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customXml/itemProps18.xml" ContentType="application/vnd.openxmlformats-officedocument.customXmlProperties+xml"/>
  <Override PartName="/customXml/itemProps19.xml" ContentType="application/vnd.openxmlformats-officedocument.customXmlProperties+xml"/>
  <Override PartName="/customXml/itemProps20.xml" ContentType="application/vnd.openxmlformats-officedocument.customXmlProperties+xml"/>
  <Override PartName="/customXml/itemProps2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codeName="ThisWorkbook" hidePivotFieldList="1" autoCompressPictures="0"/>
  <mc:AlternateContent xmlns:mc="http://schemas.openxmlformats.org/markup-compatibility/2006">
    <mc:Choice Requires="x15">
      <x15ac:absPath xmlns:x15ac="http://schemas.microsoft.com/office/spreadsheetml/2010/11/ac" url="https://appriver3651005261.sharepoint.com/sites/FactBook2020updates/Shared Documents/DataExchange/DE2020-21/Summary Data/01Degrees21 files/"/>
    </mc:Choice>
  </mc:AlternateContent>
  <xr:revisionPtr revIDLastSave="371" documentId="8_{014DD4F5-6CC3-46B7-9867-2449E61205A2}" xr6:coauthVersionLast="47" xr6:coauthVersionMax="47" xr10:uidLastSave="{3BB38EB8-00AD-4E23-9483-D2B1142323FD}"/>
  <bookViews>
    <workbookView xWindow="60" yWindow="-16320" windowWidth="29040" windowHeight="15840" activeTab="2" xr2:uid="{00000000-000D-0000-FFFF-FFFF00000000}"/>
  </bookViews>
  <sheets>
    <sheet name="New Tables 1-12" sheetId="37" r:id="rId1"/>
    <sheet name="Old 1-12" sheetId="36" r:id="rId2"/>
    <sheet name="Pivot Table for 1-11" sheetId="35" r:id="rId3"/>
    <sheet name="Pivot Table for 12" sheetId="34" r:id="rId4"/>
    <sheet name="01Degrees" sheetId="38" r:id="rId5"/>
    <sheet name="Sheet1" sheetId="39" r:id="rId6"/>
    <sheet name="Pivot Table for Trends" sheetId="33" r:id="rId7"/>
    <sheet name="Formats 1-11 pivot" sheetId="30" r:id="rId8"/>
    <sheet name="Formats 12 pivot" sheetId="31" r:id="rId9"/>
    <sheet name="Formats trends pivot" sheetId="32" r:id="rId10"/>
  </sheets>
  <externalReferences>
    <externalReference r:id="rId11"/>
  </externalReferences>
  <definedNames>
    <definedName name="a" localSheetId="1">#REF!</definedName>
    <definedName name="a">#REF!</definedName>
    <definedName name="APPHEAD" localSheetId="1">#REF!</definedName>
    <definedName name="APPHEAD" localSheetId="3">#REF!</definedName>
    <definedName name="APPHEAD" localSheetId="6">#REF!</definedName>
    <definedName name="APPHEAD">#REF!</definedName>
    <definedName name="CHHEAD" localSheetId="1">#REF!</definedName>
    <definedName name="CHHEAD" localSheetId="3">#REF!</definedName>
    <definedName name="CHHEAD" localSheetId="6">#REF!</definedName>
    <definedName name="CHHEAD">#REF!</definedName>
    <definedName name="d">#REF!</definedName>
    <definedName name="PAGE_17" localSheetId="1">#REF!</definedName>
    <definedName name="PAGE_17" localSheetId="3">#REF!</definedName>
    <definedName name="PAGE_17" localSheetId="6">#REF!</definedName>
    <definedName name="PAGE_17">#REF!</definedName>
    <definedName name="PAGE1" localSheetId="1">#REF!</definedName>
    <definedName name="PAGE1" localSheetId="3">#REF!</definedName>
    <definedName name="PAGE1" localSheetId="6">#REF!</definedName>
    <definedName name="PAGE1">#REF!</definedName>
    <definedName name="PAGE10" localSheetId="1">#REF!</definedName>
    <definedName name="PAGE10" localSheetId="3">#REF!</definedName>
    <definedName name="PAGE10" localSheetId="6">#REF!</definedName>
    <definedName name="PAGE10">#REF!</definedName>
    <definedName name="PAGE11" localSheetId="1">#REF!</definedName>
    <definedName name="PAGE11" localSheetId="3">#REF!</definedName>
    <definedName name="PAGE11" localSheetId="6">#REF!</definedName>
    <definedName name="PAGE11">#REF!</definedName>
    <definedName name="PAGE12" localSheetId="1">#REF!</definedName>
    <definedName name="PAGE12" localSheetId="3">#REF!</definedName>
    <definedName name="PAGE12" localSheetId="6">#REF!</definedName>
    <definedName name="PAGE12">#REF!</definedName>
    <definedName name="PAGE13" localSheetId="1">#REF!</definedName>
    <definedName name="PAGE13" localSheetId="3">#REF!</definedName>
    <definedName name="PAGE13" localSheetId="6">#REF!</definedName>
    <definedName name="PAGE13">#REF!</definedName>
    <definedName name="PAGE14" localSheetId="1">#REF!</definedName>
    <definedName name="PAGE14" localSheetId="3">#REF!</definedName>
    <definedName name="PAGE14" localSheetId="6">#REF!</definedName>
    <definedName name="PAGE14">#REF!</definedName>
    <definedName name="PAGE15" localSheetId="1">#REF!</definedName>
    <definedName name="PAGE15" localSheetId="3">#REF!</definedName>
    <definedName name="PAGE15" localSheetId="6">#REF!</definedName>
    <definedName name="PAGE15">#REF!</definedName>
    <definedName name="PAGE16" localSheetId="1">#REF!</definedName>
    <definedName name="PAGE16" localSheetId="3">#REF!</definedName>
    <definedName name="PAGE16" localSheetId="6">#REF!</definedName>
    <definedName name="PAGE16">#REF!</definedName>
    <definedName name="PAGE17" localSheetId="1">#REF!</definedName>
    <definedName name="PAGE17" localSheetId="3">#REF!</definedName>
    <definedName name="PAGE17" localSheetId="6">#REF!</definedName>
    <definedName name="PAGE17">#REF!</definedName>
    <definedName name="PAGE18" localSheetId="1">#REF!</definedName>
    <definedName name="PAGE18" localSheetId="3">#REF!</definedName>
    <definedName name="PAGE18" localSheetId="6">#REF!</definedName>
    <definedName name="PAGE18">#REF!</definedName>
    <definedName name="PAGE19" localSheetId="1">#REF!</definedName>
    <definedName name="PAGE19" localSheetId="3">#REF!</definedName>
    <definedName name="PAGE19" localSheetId="6">#REF!</definedName>
    <definedName name="PAGE19">#REF!</definedName>
    <definedName name="PAGE2" localSheetId="1">'[1]Degree data'!#REF!</definedName>
    <definedName name="PAGE2" localSheetId="3">'[1]Degree data'!#REF!</definedName>
    <definedName name="PAGE2" localSheetId="6">'[1]Degree data'!#REF!</definedName>
    <definedName name="PAGE2">'[1]Degree data'!#REF!</definedName>
    <definedName name="PAGE20" localSheetId="1">#REF!</definedName>
    <definedName name="PAGE20" localSheetId="3">#REF!</definedName>
    <definedName name="PAGE20" localSheetId="6">#REF!</definedName>
    <definedName name="PAGE20">#REF!</definedName>
    <definedName name="PAGE3" localSheetId="1">'[1]Degree data'!#REF!</definedName>
    <definedName name="PAGE3" localSheetId="3">'[1]Degree data'!#REF!</definedName>
    <definedName name="PAGE3" localSheetId="6">'[1]Degree data'!#REF!</definedName>
    <definedName name="PAGE3">'[1]Degree data'!#REF!</definedName>
    <definedName name="PAGE4" localSheetId="1">'[1]Degree data'!#REF!</definedName>
    <definedName name="PAGE4" localSheetId="3">'[1]Degree data'!#REF!</definedName>
    <definedName name="PAGE4" localSheetId="6">'[1]Degree data'!#REF!</definedName>
    <definedName name="PAGE4">'[1]Degree data'!#REF!</definedName>
    <definedName name="PAGE5" localSheetId="1">'[1]Degree data'!#REF!</definedName>
    <definedName name="PAGE5" localSheetId="3">'[1]Degree data'!#REF!</definedName>
    <definedName name="PAGE5" localSheetId="6">'[1]Degree data'!#REF!</definedName>
    <definedName name="PAGE5">'[1]Degree data'!#REF!</definedName>
    <definedName name="PAGE6" localSheetId="1">#REF!</definedName>
    <definedName name="PAGE6" localSheetId="3">#REF!</definedName>
    <definedName name="PAGE6" localSheetId="6">#REF!</definedName>
    <definedName name="PAGE6">#REF!</definedName>
    <definedName name="PAGE7" localSheetId="1">#REF!</definedName>
    <definedName name="PAGE7" localSheetId="3">#REF!</definedName>
    <definedName name="PAGE7" localSheetId="6">#REF!</definedName>
    <definedName name="PAGE7">#REF!</definedName>
    <definedName name="PAGE8" localSheetId="1">#REF!</definedName>
    <definedName name="PAGE8" localSheetId="3">#REF!</definedName>
    <definedName name="PAGE8" localSheetId="6">#REF!</definedName>
    <definedName name="PAGE8">#REF!</definedName>
    <definedName name="PAGE9" localSheetId="1">#REF!</definedName>
    <definedName name="PAGE9" localSheetId="3">#REF!</definedName>
    <definedName name="PAGE9" localSheetId="6">#REF!</definedName>
    <definedName name="PAGE9">#REF!</definedName>
    <definedName name="PART1" localSheetId="1">'[1]Degree data'!#REF!</definedName>
    <definedName name="PART1" localSheetId="3">'[1]Degree data'!#REF!</definedName>
    <definedName name="PART1" localSheetId="6">'[1]Degree data'!#REF!</definedName>
    <definedName name="PART1">'[1]Degree data'!#REF!</definedName>
    <definedName name="PART2" localSheetId="1">#REF!</definedName>
    <definedName name="PART2" localSheetId="3">#REF!</definedName>
    <definedName name="PART2" localSheetId="6">#REF!</definedName>
    <definedName name="PART2">#REF!</definedName>
    <definedName name="PART3" localSheetId="1">#REF!</definedName>
    <definedName name="PART3" localSheetId="3">#REF!</definedName>
    <definedName name="PART3" localSheetId="6">#REF!</definedName>
    <definedName name="PART3">#REF!</definedName>
    <definedName name="PART4A" localSheetId="1">#REF!</definedName>
    <definedName name="PART4A" localSheetId="3">#REF!</definedName>
    <definedName name="PART4A" localSheetId="6">#REF!</definedName>
    <definedName name="PART4A">#REF!</definedName>
    <definedName name="PART4B" localSheetId="1">#REF!</definedName>
    <definedName name="PART4B" localSheetId="3">#REF!</definedName>
    <definedName name="PART4B" localSheetId="6">#REF!</definedName>
    <definedName name="PART4B">#REF!</definedName>
    <definedName name="PART5" localSheetId="1">#REF!</definedName>
    <definedName name="PART5" localSheetId="3">#REF!</definedName>
    <definedName name="PART5" localSheetId="6">#REF!</definedName>
    <definedName name="PART5">#REF!</definedName>
    <definedName name="PART6A" localSheetId="1">#REF!</definedName>
    <definedName name="PART6A" localSheetId="3">#REF!</definedName>
    <definedName name="PART6A" localSheetId="6">#REF!</definedName>
    <definedName name="PART6A">#REF!</definedName>
    <definedName name="PART6B" localSheetId="1">#REF!</definedName>
    <definedName name="PART6B" localSheetId="3">#REF!</definedName>
    <definedName name="PART6B" localSheetId="6">#REF!</definedName>
    <definedName name="PART6B">#REF!</definedName>
    <definedName name="PART6C" localSheetId="1">#REF!</definedName>
    <definedName name="PART6C" localSheetId="3">#REF!</definedName>
    <definedName name="PART6C" localSheetId="6">#REF!</definedName>
    <definedName name="PART6C">#REF!</definedName>
    <definedName name="PART7B" localSheetId="1">#REF!</definedName>
    <definedName name="PART7B" localSheetId="3">#REF!</definedName>
    <definedName name="PART7B" localSheetId="6">#REF!</definedName>
    <definedName name="PART7B">#REF!</definedName>
    <definedName name="PART7C" localSheetId="1">#REF!</definedName>
    <definedName name="PART7C" localSheetId="3">#REF!</definedName>
    <definedName name="PART7C" localSheetId="6">#REF!</definedName>
    <definedName name="PART7C">#REF!</definedName>
    <definedName name="PART8" localSheetId="1">#REF!</definedName>
    <definedName name="PART8" localSheetId="3">#REF!</definedName>
    <definedName name="PART8" localSheetId="6">#REF!</definedName>
    <definedName name="PART8">#REF!</definedName>
    <definedName name="_xlnm.Print_Area" localSheetId="0">'New Tables 1-12'!$A$1:$P$347</definedName>
    <definedName name="_xlnm.Print_Area" localSheetId="1">'Old 1-12'!$A$1:$P$348</definedName>
    <definedName name="_xlnm.Print_Area" localSheetId="3">#REF!</definedName>
    <definedName name="_xlnm.Print_Area" localSheetId="6">#REF!</definedName>
    <definedName name="_xlnm.Print_Area">#REF!</definedName>
    <definedName name="RATIONALE" localSheetId="1">#REF!</definedName>
    <definedName name="RATIONALE" localSheetId="3">#REF!</definedName>
    <definedName name="RATIONALE" localSheetId="6">#REF!</definedName>
    <definedName name="RATIONALE">#REF!</definedName>
    <definedName name="RATIONALE2" localSheetId="1">#REF!</definedName>
    <definedName name="RATIONALE2" localSheetId="3">#REF!</definedName>
    <definedName name="RATIONALE2" localSheetId="6">#REF!</definedName>
    <definedName name="RATIONALE2">#REF!</definedName>
    <definedName name="SALHEAD" localSheetId="1">#REF!</definedName>
    <definedName name="SALHEAD" localSheetId="3">#REF!</definedName>
    <definedName name="SALHEAD" localSheetId="6">#REF!</definedName>
    <definedName name="SALHEAD">#REF!</definedName>
  </definedNames>
  <calcPr calcId="191028"/>
  <pivotCaches>
    <pivotCache cacheId="418" r:id="rId12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x:ext xmlns:x="http://schemas.openxmlformats.org/spreadsheetml/2006/main" xmlns:mx="http://schemas.microsoft.com/office/mac/excel/2008/main" uri="{7523E5D3-25F3-A5E0-1632-64F254C22452}">
      <mx:ArchID Flags="2"/>
    </x:ext>
  </extLst>
</workbook>
</file>

<file path=xl/calcChain.xml><?xml version="1.0" encoding="utf-8"?>
<calcChain xmlns="http://schemas.openxmlformats.org/spreadsheetml/2006/main">
  <c r="FN11" i="38" l="1"/>
  <c r="FO11" i="38"/>
  <c r="FN12" i="38"/>
  <c r="FO12" i="38"/>
  <c r="FN13" i="38"/>
  <c r="FO13" i="38"/>
  <c r="FN14" i="38"/>
  <c r="FO14" i="38"/>
  <c r="FN15" i="38"/>
  <c r="FO15" i="38"/>
  <c r="FN16" i="38"/>
  <c r="FO16" i="38"/>
  <c r="FN17" i="38"/>
  <c r="FO17" i="38"/>
  <c r="FN18" i="38"/>
  <c r="FO18" i="38"/>
  <c r="FN19" i="38"/>
  <c r="FO19" i="38"/>
  <c r="FN20" i="38"/>
  <c r="FO20" i="38"/>
  <c r="FN21" i="38"/>
  <c r="FO21" i="38"/>
  <c r="FN22" i="38"/>
  <c r="FO22" i="38"/>
  <c r="FN23" i="38"/>
  <c r="FO23" i="38"/>
  <c r="FN24" i="38"/>
  <c r="FO24" i="38"/>
  <c r="FN25" i="38"/>
  <c r="FO25" i="38"/>
  <c r="FN26" i="38"/>
  <c r="FO26" i="38"/>
  <c r="FN27" i="38"/>
  <c r="FO27" i="38"/>
  <c r="FN28" i="38"/>
  <c r="FO28" i="38"/>
  <c r="FN29" i="38"/>
  <c r="FO29" i="38"/>
  <c r="FN30" i="38"/>
  <c r="FO30" i="38"/>
  <c r="FN31" i="38"/>
  <c r="FO31" i="38"/>
  <c r="FN32" i="38"/>
  <c r="FO32" i="38"/>
  <c r="FN33" i="38"/>
  <c r="FO33" i="38"/>
  <c r="FN34" i="38"/>
  <c r="FO34" i="38"/>
  <c r="FN35" i="38"/>
  <c r="FO35" i="38"/>
  <c r="FN36" i="38"/>
  <c r="FO36" i="38"/>
  <c r="FN37" i="38"/>
  <c r="FO37" i="38"/>
  <c r="FN38" i="38"/>
  <c r="FO38" i="38"/>
  <c r="FN39" i="38"/>
  <c r="FO39" i="38"/>
  <c r="FN40" i="38"/>
  <c r="FO40" i="38"/>
  <c r="FN41" i="38"/>
  <c r="FO41" i="38"/>
  <c r="FN42" i="38"/>
  <c r="FO42" i="38"/>
  <c r="FN43" i="38"/>
  <c r="FO43" i="38"/>
  <c r="FN44" i="38"/>
  <c r="FO44" i="38"/>
  <c r="FN45" i="38"/>
  <c r="FO45" i="38"/>
  <c r="FN46" i="38"/>
  <c r="FO46" i="38"/>
  <c r="FN47" i="38"/>
  <c r="FO47" i="38"/>
  <c r="FN48" i="38"/>
  <c r="FO48" i="38"/>
  <c r="FN49" i="38"/>
  <c r="FO49" i="38"/>
  <c r="FN50" i="38"/>
  <c r="FO50" i="38"/>
  <c r="FN51" i="38"/>
  <c r="FO51" i="38"/>
  <c r="FN52" i="38"/>
  <c r="FO52" i="38"/>
  <c r="FN53" i="38"/>
  <c r="FO53" i="38"/>
  <c r="FN54" i="38"/>
  <c r="FO54" i="38"/>
  <c r="FN55" i="38"/>
  <c r="FO55" i="38"/>
  <c r="FN56" i="38"/>
  <c r="FO56" i="38"/>
  <c r="FN57" i="38"/>
  <c r="FO57" i="38"/>
  <c r="FN58" i="38"/>
  <c r="FO58" i="38"/>
  <c r="FN59" i="38"/>
  <c r="FO59" i="38"/>
  <c r="FN60" i="38"/>
  <c r="FO60" i="38"/>
  <c r="FN61" i="38"/>
  <c r="FO61" i="38"/>
  <c r="FN62" i="38"/>
  <c r="FO62" i="38"/>
  <c r="FN63" i="38"/>
  <c r="FO63" i="38"/>
  <c r="FN64" i="38"/>
  <c r="FO64" i="38"/>
  <c r="FN65" i="38"/>
  <c r="FO65" i="38"/>
  <c r="FN66" i="38"/>
  <c r="FO66" i="38"/>
  <c r="FN67" i="38"/>
  <c r="FO67" i="38"/>
  <c r="FN68" i="38"/>
  <c r="FO68" i="38"/>
  <c r="FN69" i="38"/>
  <c r="FO69" i="38"/>
  <c r="FN70" i="38"/>
  <c r="FO70" i="38"/>
  <c r="FN71" i="38"/>
  <c r="FO71" i="38"/>
  <c r="FN72" i="38"/>
  <c r="FO72" i="38"/>
  <c r="FN73" i="38"/>
  <c r="FO73" i="38"/>
  <c r="FN74" i="38"/>
  <c r="FO74" i="38"/>
  <c r="FN75" i="38"/>
  <c r="FO75" i="38"/>
  <c r="FN76" i="38"/>
  <c r="FO76" i="38"/>
  <c r="FN77" i="38"/>
  <c r="FO77" i="38"/>
  <c r="FN78" i="38"/>
  <c r="FO78" i="38"/>
  <c r="FN79" i="38"/>
  <c r="FO79" i="38"/>
  <c r="FN80" i="38"/>
  <c r="FO80" i="38"/>
  <c r="FN81" i="38"/>
  <c r="FO81" i="38"/>
  <c r="FN82" i="38"/>
  <c r="FO82" i="38"/>
  <c r="FN83" i="38"/>
  <c r="FO83" i="38"/>
  <c r="FN84" i="38"/>
  <c r="FO84" i="38"/>
  <c r="FN85" i="38"/>
  <c r="FO85" i="38"/>
  <c r="FN86" i="38"/>
  <c r="FO86" i="38"/>
  <c r="FN87" i="38"/>
  <c r="FO87" i="38"/>
  <c r="FN88" i="38"/>
  <c r="FO88" i="38"/>
  <c r="FN89" i="38"/>
  <c r="FO89" i="38"/>
  <c r="FN90" i="38"/>
  <c r="FO90" i="38"/>
  <c r="FN91" i="38"/>
  <c r="FO91" i="38"/>
  <c r="FN92" i="38"/>
  <c r="FO92" i="38"/>
  <c r="FN93" i="38"/>
  <c r="FO93" i="38"/>
  <c r="FN94" i="38"/>
  <c r="FO94" i="38"/>
  <c r="FN95" i="38"/>
  <c r="FO95" i="38"/>
  <c r="FN96" i="38"/>
  <c r="FO96" i="38"/>
  <c r="FN97" i="38"/>
  <c r="FO97" i="38"/>
  <c r="FN98" i="38"/>
  <c r="FO98" i="38"/>
  <c r="FN99" i="38"/>
  <c r="FO99" i="38"/>
  <c r="FN100" i="38"/>
  <c r="FO100" i="38"/>
  <c r="FN101" i="38"/>
  <c r="FO101" i="38"/>
  <c r="FN102" i="38"/>
  <c r="FO102" i="38"/>
  <c r="FN103" i="38"/>
  <c r="FO103" i="38"/>
  <c r="FN104" i="38"/>
  <c r="FO104" i="38"/>
  <c r="FN105" i="38"/>
  <c r="FO105" i="38"/>
  <c r="FN106" i="38"/>
  <c r="FO106" i="38"/>
  <c r="FN107" i="38"/>
  <c r="FO107" i="38"/>
  <c r="FN108" i="38"/>
  <c r="FO108" i="38"/>
  <c r="FN109" i="38"/>
  <c r="FO109" i="38"/>
  <c r="FN110" i="38"/>
  <c r="FO110" i="38"/>
  <c r="FN111" i="38"/>
  <c r="FO111" i="38"/>
  <c r="FN112" i="38"/>
  <c r="FO112" i="38"/>
  <c r="FN113" i="38"/>
  <c r="FO113" i="38"/>
  <c r="FN114" i="38"/>
  <c r="FO114" i="38"/>
  <c r="FN115" i="38"/>
  <c r="FO115" i="38"/>
  <c r="FN116" i="38"/>
  <c r="FO116" i="38"/>
  <c r="FN117" i="38"/>
  <c r="FO117" i="38"/>
  <c r="FN118" i="38"/>
  <c r="FO118" i="38"/>
  <c r="FN119" i="38"/>
  <c r="FO119" i="38"/>
  <c r="FN120" i="38"/>
  <c r="FO120" i="38"/>
  <c r="FN121" i="38"/>
  <c r="FO121" i="38"/>
  <c r="FN122" i="38"/>
  <c r="FO122" i="38"/>
  <c r="FN123" i="38"/>
  <c r="FO123" i="38"/>
  <c r="FN124" i="38"/>
  <c r="FO124" i="38"/>
  <c r="FN125" i="38"/>
  <c r="FO125" i="38"/>
  <c r="FN126" i="38"/>
  <c r="FO126" i="38"/>
  <c r="FN127" i="38"/>
  <c r="FO127" i="38"/>
  <c r="FN128" i="38"/>
  <c r="FO128" i="38"/>
  <c r="FN129" i="38"/>
  <c r="FO129" i="38"/>
  <c r="FN130" i="38"/>
  <c r="FO130" i="38"/>
  <c r="FN131" i="38"/>
  <c r="FO131" i="38"/>
  <c r="FN132" i="38"/>
  <c r="FO132" i="38"/>
  <c r="FN133" i="38"/>
  <c r="FO133" i="38"/>
  <c r="FN134" i="38"/>
  <c r="FO134" i="38"/>
  <c r="FN135" i="38"/>
  <c r="FO135" i="38"/>
  <c r="FN136" i="38"/>
  <c r="FO136" i="38"/>
  <c r="FN137" i="38"/>
  <c r="FO137" i="38"/>
  <c r="FN138" i="38"/>
  <c r="FO138" i="38"/>
  <c r="FN139" i="38"/>
  <c r="FO139" i="38"/>
  <c r="FN140" i="38"/>
  <c r="FO140" i="38"/>
  <c r="FN141" i="38"/>
  <c r="FO141" i="38"/>
  <c r="FN142" i="38"/>
  <c r="FO142" i="38"/>
  <c r="FN143" i="38"/>
  <c r="FO143" i="38"/>
  <c r="FN144" i="38"/>
  <c r="FO144" i="38"/>
  <c r="FN145" i="38"/>
  <c r="FO145" i="38"/>
  <c r="FN146" i="38"/>
  <c r="FO146" i="38"/>
  <c r="FN147" i="38"/>
  <c r="FO147" i="38"/>
  <c r="FN148" i="38"/>
  <c r="FO148" i="38"/>
  <c r="FN149" i="38"/>
  <c r="FO149" i="38"/>
  <c r="FN150" i="38"/>
  <c r="FO150" i="38"/>
  <c r="FN151" i="38"/>
  <c r="FO151" i="38"/>
  <c r="FN152" i="38"/>
  <c r="FO152" i="38"/>
  <c r="FN153" i="38"/>
  <c r="FO153" i="38"/>
  <c r="FN154" i="38"/>
  <c r="FO154" i="38"/>
  <c r="FN155" i="38"/>
  <c r="FO155" i="38"/>
  <c r="FN156" i="38"/>
  <c r="FO156" i="38"/>
  <c r="FN157" i="38"/>
  <c r="FO157" i="38"/>
  <c r="FN158" i="38"/>
  <c r="FO158" i="38"/>
  <c r="FN159" i="38"/>
  <c r="FO159" i="38"/>
  <c r="FN160" i="38"/>
  <c r="FO160" i="38"/>
  <c r="FN161" i="38"/>
  <c r="FO161" i="38"/>
  <c r="FN162" i="38"/>
  <c r="FO162" i="38"/>
  <c r="FN163" i="38"/>
  <c r="FO163" i="38"/>
  <c r="FN164" i="38"/>
  <c r="FO164" i="38"/>
  <c r="FN165" i="38"/>
  <c r="FO165" i="38"/>
  <c r="FN166" i="38"/>
  <c r="FO166" i="38"/>
  <c r="FN167" i="38"/>
  <c r="FO167" i="38"/>
  <c r="FN168" i="38"/>
  <c r="FO168" i="38"/>
  <c r="FN169" i="38"/>
  <c r="FO169" i="38"/>
  <c r="FN170" i="38"/>
  <c r="FO170" i="38"/>
  <c r="FN171" i="38"/>
  <c r="FO171" i="38"/>
  <c r="FN172" i="38"/>
  <c r="FO172" i="38"/>
  <c r="FN173" i="38"/>
  <c r="FO173" i="38"/>
  <c r="FN174" i="38"/>
  <c r="FO174" i="38"/>
  <c r="FN175" i="38"/>
  <c r="FO175" i="38"/>
  <c r="FN176" i="38"/>
  <c r="FO176" i="38"/>
  <c r="FN177" i="38"/>
  <c r="FO177" i="38"/>
  <c r="FN178" i="38"/>
  <c r="FO178" i="38"/>
  <c r="FN179" i="38"/>
  <c r="FO179" i="38"/>
  <c r="FN180" i="38"/>
  <c r="FO180" i="38"/>
  <c r="FN181" i="38"/>
  <c r="FO181" i="38"/>
  <c r="FN182" i="38"/>
  <c r="FO182" i="38"/>
  <c r="FN183" i="38"/>
  <c r="FO183" i="38"/>
  <c r="FN184" i="38"/>
  <c r="FO184" i="38"/>
  <c r="FN185" i="38"/>
  <c r="FO185" i="38"/>
  <c r="FN186" i="38"/>
  <c r="FO186" i="38"/>
  <c r="FN187" i="38"/>
  <c r="FO187" i="38"/>
  <c r="FN188" i="38"/>
  <c r="FO188" i="38"/>
  <c r="FN189" i="38"/>
  <c r="FO189" i="38"/>
  <c r="FN190" i="38"/>
  <c r="FO190" i="38"/>
  <c r="FN191" i="38"/>
  <c r="FO191" i="38"/>
  <c r="FN192" i="38"/>
  <c r="FO192" i="38"/>
  <c r="FN193" i="38"/>
  <c r="FO193" i="38"/>
  <c r="FN194" i="38"/>
  <c r="FO194" i="38"/>
  <c r="FN195" i="38"/>
  <c r="FO195" i="38"/>
  <c r="FN196" i="38"/>
  <c r="FO196" i="38"/>
  <c r="FN197" i="38"/>
  <c r="FO197" i="38"/>
  <c r="FN198" i="38"/>
  <c r="FO198" i="38"/>
  <c r="FN199" i="38"/>
  <c r="FO199" i="38"/>
  <c r="FN200" i="38"/>
  <c r="FO200" i="38"/>
  <c r="FN201" i="38"/>
  <c r="FO201" i="38"/>
  <c r="FN202" i="38"/>
  <c r="FO202" i="38"/>
  <c r="FN203" i="38"/>
  <c r="FO203" i="38"/>
  <c r="FN204" i="38"/>
  <c r="FO204" i="38"/>
  <c r="FN205" i="38"/>
  <c r="FO205" i="38"/>
  <c r="FN206" i="38"/>
  <c r="FO206" i="38"/>
  <c r="FN207" i="38"/>
  <c r="FO207" i="38"/>
  <c r="FN208" i="38"/>
  <c r="FO208" i="38"/>
  <c r="FN209" i="38"/>
  <c r="FO209" i="38"/>
  <c r="FN210" i="38"/>
  <c r="FO210" i="38"/>
  <c r="FN211" i="38"/>
  <c r="FO211" i="38"/>
  <c r="FN212" i="38"/>
  <c r="FO212" i="38"/>
  <c r="FN213" i="38"/>
  <c r="FO213" i="38"/>
  <c r="FN214" i="38"/>
  <c r="FO214" i="38"/>
  <c r="FN215" i="38"/>
  <c r="FO215" i="38"/>
  <c r="FN216" i="38"/>
  <c r="FO216" i="38"/>
  <c r="FN217" i="38"/>
  <c r="FO217" i="38"/>
  <c r="FN218" i="38"/>
  <c r="FO218" i="38"/>
  <c r="FN219" i="38"/>
  <c r="FO219" i="38"/>
  <c r="FN220" i="38"/>
  <c r="FO220" i="38"/>
  <c r="FN221" i="38"/>
  <c r="FO221" i="38"/>
  <c r="FN222" i="38"/>
  <c r="FO222" i="38"/>
  <c r="FN223" i="38"/>
  <c r="FO223" i="38"/>
  <c r="FN224" i="38"/>
  <c r="FO224" i="38"/>
  <c r="FN225" i="38"/>
  <c r="FO225" i="38"/>
  <c r="FN226" i="38"/>
  <c r="FO226" i="38"/>
  <c r="FN227" i="38"/>
  <c r="FO227" i="38"/>
  <c r="FN228" i="38"/>
  <c r="FO228" i="38"/>
  <c r="FN229" i="38"/>
  <c r="FO229" i="38"/>
  <c r="FN230" i="38"/>
  <c r="FO230" i="38"/>
  <c r="FN231" i="38"/>
  <c r="FO231" i="38"/>
  <c r="FN232" i="38"/>
  <c r="FO232" i="38"/>
  <c r="FN233" i="38"/>
  <c r="FO233" i="38"/>
  <c r="FN234" i="38"/>
  <c r="FO234" i="38"/>
  <c r="FN235" i="38"/>
  <c r="FO235" i="38"/>
  <c r="FN236" i="38"/>
  <c r="FO236" i="38"/>
  <c r="FN237" i="38"/>
  <c r="FO237" i="38"/>
  <c r="FN238" i="38"/>
  <c r="FO238" i="38"/>
  <c r="FN239" i="38"/>
  <c r="FO239" i="38"/>
  <c r="FN240" i="38"/>
  <c r="FO240" i="38"/>
  <c r="FN241" i="38"/>
  <c r="FO241" i="38"/>
  <c r="FN242" i="38"/>
  <c r="FO242" i="38"/>
  <c r="FN243" i="38"/>
  <c r="FO243" i="38"/>
  <c r="FN244" i="38"/>
  <c r="FO244" i="38"/>
  <c r="FN245" i="38"/>
  <c r="FO245" i="38"/>
  <c r="FN246" i="38"/>
  <c r="FO246" i="38"/>
  <c r="FN247" i="38"/>
  <c r="FO247" i="38"/>
  <c r="FN248" i="38"/>
  <c r="FO248" i="38"/>
  <c r="FN249" i="38"/>
  <c r="FO249" i="38"/>
  <c r="FN250" i="38"/>
  <c r="FO250" i="38"/>
  <c r="FN251" i="38"/>
  <c r="FO251" i="38"/>
  <c r="FN252" i="38"/>
  <c r="FO252" i="38"/>
  <c r="FN253" i="38"/>
  <c r="FO253" i="38"/>
  <c r="FN254" i="38"/>
  <c r="FO254" i="38"/>
  <c r="FN255" i="38"/>
  <c r="FO255" i="38"/>
  <c r="FN256" i="38"/>
  <c r="FO256" i="38"/>
  <c r="FN257" i="38"/>
  <c r="FO257" i="38"/>
  <c r="FN258" i="38"/>
  <c r="FO258" i="38"/>
  <c r="FN259" i="38"/>
  <c r="FO259" i="38"/>
  <c r="FN260" i="38"/>
  <c r="FO260" i="38"/>
  <c r="FN261" i="38"/>
  <c r="FO261" i="38"/>
  <c r="FN262" i="38"/>
  <c r="FO262" i="38"/>
  <c r="FN263" i="38"/>
  <c r="FO263" i="38"/>
  <c r="FN264" i="38"/>
  <c r="FO264" i="38"/>
  <c r="FN265" i="38"/>
  <c r="FO265" i="38"/>
  <c r="FN266" i="38"/>
  <c r="FO266" i="38"/>
  <c r="FN267" i="38"/>
  <c r="FO267" i="38"/>
  <c r="FN268" i="38"/>
  <c r="FO268" i="38"/>
  <c r="FN269" i="38"/>
  <c r="FO269" i="38"/>
  <c r="FN270" i="38"/>
  <c r="FO270" i="38"/>
  <c r="FN271" i="38"/>
  <c r="FO271" i="38"/>
  <c r="FN272" i="38"/>
  <c r="FO272" i="38"/>
  <c r="FN273" i="38"/>
  <c r="FO273" i="38"/>
  <c r="FN274" i="38"/>
  <c r="FO274" i="38"/>
  <c r="FN275" i="38"/>
  <c r="FO275" i="38"/>
  <c r="FN276" i="38"/>
  <c r="FO276" i="38"/>
  <c r="FN277" i="38"/>
  <c r="FO277" i="38"/>
  <c r="FN278" i="38"/>
  <c r="FO278" i="38"/>
  <c r="FN279" i="38"/>
  <c r="FO279" i="38"/>
  <c r="FN280" i="38"/>
  <c r="FO280" i="38"/>
  <c r="FN281" i="38"/>
  <c r="FO281" i="38"/>
  <c r="FN282" i="38"/>
  <c r="FO282" i="38"/>
  <c r="FN283" i="38"/>
  <c r="FO283" i="38"/>
  <c r="FN284" i="38"/>
  <c r="FO284" i="38"/>
  <c r="FN285" i="38"/>
  <c r="FO285" i="38"/>
  <c r="FN286" i="38"/>
  <c r="FO286" i="38"/>
  <c r="FN287" i="38"/>
  <c r="FO287" i="38"/>
  <c r="FN288" i="38"/>
  <c r="FO288" i="38"/>
  <c r="FN289" i="38"/>
  <c r="FO289" i="38"/>
  <c r="FN290" i="38"/>
  <c r="FO290" i="38"/>
  <c r="FN291" i="38"/>
  <c r="FO291" i="38"/>
  <c r="FN292" i="38"/>
  <c r="FO292" i="38"/>
  <c r="FN293" i="38"/>
  <c r="FO293" i="38"/>
  <c r="FN294" i="38"/>
  <c r="FO294" i="38"/>
  <c r="FN295" i="38"/>
  <c r="FO295" i="38"/>
  <c r="FN296" i="38"/>
  <c r="FO296" i="38"/>
  <c r="FN297" i="38"/>
  <c r="FO297" i="38"/>
  <c r="FN298" i="38"/>
  <c r="FO298" i="38"/>
  <c r="FN299" i="38"/>
  <c r="FO299" i="38"/>
  <c r="FN300" i="38"/>
  <c r="FO300" i="38"/>
  <c r="FN301" i="38"/>
  <c r="FO301" i="38"/>
  <c r="FN302" i="38"/>
  <c r="FO302" i="38"/>
  <c r="FN303" i="38"/>
  <c r="FO303" i="38"/>
  <c r="FN304" i="38"/>
  <c r="FO304" i="38"/>
  <c r="FN305" i="38"/>
  <c r="FO305" i="38"/>
  <c r="FN306" i="38"/>
  <c r="FO306" i="38"/>
  <c r="FN307" i="38"/>
  <c r="FO307" i="38"/>
  <c r="FN308" i="38"/>
  <c r="FO308" i="38"/>
  <c r="FN309" i="38"/>
  <c r="FO309" i="38"/>
  <c r="FN310" i="38"/>
  <c r="FO310" i="38"/>
  <c r="FN311" i="38"/>
  <c r="FO311" i="38"/>
  <c r="FN312" i="38"/>
  <c r="FO312" i="38"/>
  <c r="FN313" i="38"/>
  <c r="FO313" i="38"/>
  <c r="FN314" i="38"/>
  <c r="FO314" i="38"/>
  <c r="FN315" i="38"/>
  <c r="FO315" i="38"/>
  <c r="FN316" i="38"/>
  <c r="FO316" i="38"/>
  <c r="FN317" i="38"/>
  <c r="FO317" i="38"/>
  <c r="FN318" i="38"/>
  <c r="FO318" i="38"/>
  <c r="FN319" i="38"/>
  <c r="FO319" i="38"/>
  <c r="FN320" i="38"/>
  <c r="FO320" i="38"/>
  <c r="FN321" i="38"/>
  <c r="FO321" i="38"/>
  <c r="FN322" i="38"/>
  <c r="FO322" i="38"/>
  <c r="FN323" i="38"/>
  <c r="FO323" i="38"/>
  <c r="FN324" i="38"/>
  <c r="FO324" i="38"/>
  <c r="FN325" i="38"/>
  <c r="FO325" i="38"/>
  <c r="FN326" i="38"/>
  <c r="FO326" i="38"/>
  <c r="FN327" i="38"/>
  <c r="FO327" i="38"/>
  <c r="FN328" i="38"/>
  <c r="FO328" i="38"/>
  <c r="FN329" i="38"/>
  <c r="FO329" i="38"/>
  <c r="FN330" i="38"/>
  <c r="FO330" i="38"/>
  <c r="FN331" i="38"/>
  <c r="FO331" i="38"/>
  <c r="FN332" i="38"/>
  <c r="FO332" i="38"/>
  <c r="FN333" i="38"/>
  <c r="FO333" i="38"/>
  <c r="FN334" i="38"/>
  <c r="FO334" i="38"/>
  <c r="FN335" i="38"/>
  <c r="FO335" i="38"/>
  <c r="FN336" i="38"/>
  <c r="FO336" i="38"/>
  <c r="FN337" i="38"/>
  <c r="FO337" i="38"/>
  <c r="FN338" i="38"/>
  <c r="FO338" i="38"/>
  <c r="FN339" i="38"/>
  <c r="FO339" i="38"/>
  <c r="FN340" i="38"/>
  <c r="FO340" i="38"/>
  <c r="FN341" i="38"/>
  <c r="FO341" i="38"/>
  <c r="FN342" i="38"/>
  <c r="FO342" i="38"/>
  <c r="FN343" i="38"/>
  <c r="FO343" i="38"/>
  <c r="FN344" i="38"/>
  <c r="FO344" i="38"/>
  <c r="FN345" i="38"/>
  <c r="FO345" i="38"/>
  <c r="FN346" i="38"/>
  <c r="FO346" i="38"/>
  <c r="FN347" i="38"/>
  <c r="FO347" i="38"/>
  <c r="FN348" i="38"/>
  <c r="FO348" i="38"/>
  <c r="FN349" i="38"/>
  <c r="FO349" i="38"/>
  <c r="FN350" i="38"/>
  <c r="FO350" i="38"/>
  <c r="FN351" i="38"/>
  <c r="FO351" i="38"/>
  <c r="FN352" i="38"/>
  <c r="FO352" i="38"/>
  <c r="FN353" i="38"/>
  <c r="FO353" i="38"/>
  <c r="FN354" i="38"/>
  <c r="FO354" i="38"/>
  <c r="FN355" i="38"/>
  <c r="FO355" i="38"/>
  <c r="FN356" i="38"/>
  <c r="FO356" i="38"/>
  <c r="FN357" i="38"/>
  <c r="FO357" i="38"/>
  <c r="FN358" i="38"/>
  <c r="FO358" i="38"/>
  <c r="FN359" i="38"/>
  <c r="FO359" i="38"/>
  <c r="FN360" i="38"/>
  <c r="FO360" i="38"/>
  <c r="FN361" i="38"/>
  <c r="FO361" i="38"/>
  <c r="FN362" i="38"/>
  <c r="FO362" i="38"/>
  <c r="FN363" i="38"/>
  <c r="FO363" i="38"/>
  <c r="FN364" i="38"/>
  <c r="FO364" i="38"/>
  <c r="FN365" i="38"/>
  <c r="FO365" i="38"/>
  <c r="FN366" i="38"/>
  <c r="FO366" i="38"/>
  <c r="FN367" i="38"/>
  <c r="FO367" i="38"/>
  <c r="FN368" i="38"/>
  <c r="FO368" i="38"/>
  <c r="FN369" i="38"/>
  <c r="FO369" i="38"/>
  <c r="FN370" i="38"/>
  <c r="FO370" i="38"/>
  <c r="FN371" i="38"/>
  <c r="FO371" i="38"/>
  <c r="FN372" i="38"/>
  <c r="FO372" i="38"/>
  <c r="FN373" i="38"/>
  <c r="FO373" i="38"/>
  <c r="FN374" i="38"/>
  <c r="FO374" i="38"/>
  <c r="FN375" i="38"/>
  <c r="FO375" i="38"/>
  <c r="FN376" i="38"/>
  <c r="FO376" i="38"/>
  <c r="FN377" i="38"/>
  <c r="FO377" i="38"/>
  <c r="FN378" i="38"/>
  <c r="FO378" i="38"/>
  <c r="FN379" i="38"/>
  <c r="FO379" i="38"/>
  <c r="FN380" i="38"/>
  <c r="FO380" i="38"/>
  <c r="FN381" i="38"/>
  <c r="FO381" i="38"/>
  <c r="FN382" i="38"/>
  <c r="FO382" i="38"/>
  <c r="FN383" i="38"/>
  <c r="FO383" i="38"/>
  <c r="FN384" i="38"/>
  <c r="FO384" i="38"/>
  <c r="FN385" i="38"/>
  <c r="FO385" i="38"/>
  <c r="FN386" i="38"/>
  <c r="FO386" i="38"/>
  <c r="FN387" i="38"/>
  <c r="FO387" i="38"/>
  <c r="FN388" i="38"/>
  <c r="FO388" i="38"/>
  <c r="FN389" i="38"/>
  <c r="FO389" i="38"/>
  <c r="FN390" i="38"/>
  <c r="FO390" i="38"/>
  <c r="FN391" i="38"/>
  <c r="FO391" i="38"/>
  <c r="FN392" i="38"/>
  <c r="FO392" i="38"/>
  <c r="FN393" i="38"/>
  <c r="FO393" i="38"/>
  <c r="FN394" i="38"/>
  <c r="FO394" i="38"/>
  <c r="FN395" i="38"/>
  <c r="FO395" i="38"/>
  <c r="FN396" i="38"/>
  <c r="FO396" i="38"/>
  <c r="FN397" i="38"/>
  <c r="FO397" i="38"/>
  <c r="FN398" i="38"/>
  <c r="FO398" i="38"/>
  <c r="FN399" i="38"/>
  <c r="FO399" i="38"/>
  <c r="FN400" i="38"/>
  <c r="FO400" i="38"/>
  <c r="FN401" i="38"/>
  <c r="FO401" i="38"/>
  <c r="FN402" i="38"/>
  <c r="FO402" i="38"/>
  <c r="FN403" i="38"/>
  <c r="FO403" i="38"/>
  <c r="FN404" i="38"/>
  <c r="FO404" i="38"/>
  <c r="FN405" i="38"/>
  <c r="FO405" i="38"/>
  <c r="FN406" i="38"/>
  <c r="FO406" i="38"/>
  <c r="FN407" i="38"/>
  <c r="FO407" i="38"/>
  <c r="FN408" i="38"/>
  <c r="FO408" i="38"/>
  <c r="FN409" i="38"/>
  <c r="FO409" i="38"/>
  <c r="FN410" i="38"/>
  <c r="FO410" i="38"/>
  <c r="FN411" i="38"/>
  <c r="FO411" i="38"/>
  <c r="FN412" i="38"/>
  <c r="FO412" i="38"/>
  <c r="FN413" i="38"/>
  <c r="FO413" i="38"/>
  <c r="FN414" i="38"/>
  <c r="FO414" i="38"/>
  <c r="FN415" i="38"/>
  <c r="FO415" i="38"/>
  <c r="FN416" i="38"/>
  <c r="FO416" i="38"/>
  <c r="FN417" i="38"/>
  <c r="FO417" i="38"/>
  <c r="FN418" i="38"/>
  <c r="FO418" i="38"/>
  <c r="FN419" i="38"/>
  <c r="FO419" i="38"/>
  <c r="FN420" i="38"/>
  <c r="FO420" i="38"/>
  <c r="FN421" i="38"/>
  <c r="FO421" i="38"/>
  <c r="FN422" i="38"/>
  <c r="FO422" i="38"/>
  <c r="FN423" i="38"/>
  <c r="FO423" i="38"/>
  <c r="FN424" i="38"/>
  <c r="FO424" i="38"/>
  <c r="FN425" i="38"/>
  <c r="FO425" i="38"/>
  <c r="FN426" i="38"/>
  <c r="FO426" i="38"/>
  <c r="FN427" i="38"/>
  <c r="FO427" i="38"/>
  <c r="FN428" i="38"/>
  <c r="FO428" i="38"/>
  <c r="FN429" i="38"/>
  <c r="FO429" i="38"/>
  <c r="FN430" i="38"/>
  <c r="FO430" i="38"/>
  <c r="FN431" i="38"/>
  <c r="FO431" i="38"/>
  <c r="FN432" i="38"/>
  <c r="FO432" i="38"/>
  <c r="FN433" i="38"/>
  <c r="FO433" i="38"/>
  <c r="FN434" i="38"/>
  <c r="FO434" i="38"/>
  <c r="FN435" i="38"/>
  <c r="FO435" i="38"/>
  <c r="FN436" i="38"/>
  <c r="FO436" i="38"/>
  <c r="FN437" i="38"/>
  <c r="FO437" i="38"/>
  <c r="FN438" i="38"/>
  <c r="FO438" i="38"/>
  <c r="FN439" i="38"/>
  <c r="FO439" i="38"/>
  <c r="FN440" i="38"/>
  <c r="FO440" i="38"/>
  <c r="FN441" i="38"/>
  <c r="FO441" i="38"/>
  <c r="FN442" i="38"/>
  <c r="FO442" i="38"/>
  <c r="FN443" i="38"/>
  <c r="FO443" i="38"/>
  <c r="FN444" i="38"/>
  <c r="FO444" i="38"/>
  <c r="FN445" i="38"/>
  <c r="FO445" i="38"/>
  <c r="FN446" i="38"/>
  <c r="FO446" i="38"/>
  <c r="FN447" i="38"/>
  <c r="FO447" i="38"/>
  <c r="FN448" i="38"/>
  <c r="FO448" i="38"/>
  <c r="FN449" i="38"/>
  <c r="FO449" i="38"/>
  <c r="FN450" i="38"/>
  <c r="FO450" i="38"/>
  <c r="FN451" i="38"/>
  <c r="FO451" i="38"/>
  <c r="FN452" i="38"/>
  <c r="FO452" i="38"/>
  <c r="FN453" i="38"/>
  <c r="FO453" i="38"/>
  <c r="FN454" i="38"/>
  <c r="FO454" i="38"/>
  <c r="FN455" i="38"/>
  <c r="FO455" i="38"/>
  <c r="FN456" i="38"/>
  <c r="FO456" i="38"/>
  <c r="FN457" i="38"/>
  <c r="FO457" i="38"/>
  <c r="FN458" i="38"/>
  <c r="FO458" i="38"/>
  <c r="FN459" i="38"/>
  <c r="FO459" i="38"/>
  <c r="FN460" i="38"/>
  <c r="FO460" i="38"/>
  <c r="FN461" i="38"/>
  <c r="FO461" i="38"/>
  <c r="FN462" i="38"/>
  <c r="FO462" i="38"/>
  <c r="FN463" i="38"/>
  <c r="FO463" i="38"/>
  <c r="FN464" i="38"/>
  <c r="FO464" i="38"/>
  <c r="FN465" i="38"/>
  <c r="FO465" i="38"/>
  <c r="FN466" i="38"/>
  <c r="FO466" i="38"/>
  <c r="FN467" i="38"/>
  <c r="FO467" i="38"/>
  <c r="FN468" i="38"/>
  <c r="FO468" i="38"/>
  <c r="FN469" i="38"/>
  <c r="FO469" i="38"/>
  <c r="FN470" i="38"/>
  <c r="FO470" i="38"/>
  <c r="FN471" i="38"/>
  <c r="FO471" i="38"/>
  <c r="FN472" i="38"/>
  <c r="FO472" i="38"/>
  <c r="FN473" i="38"/>
  <c r="FO473" i="38"/>
  <c r="FN474" i="38"/>
  <c r="FO474" i="38"/>
  <c r="FN475" i="38"/>
  <c r="FO475" i="38"/>
  <c r="FN476" i="38"/>
  <c r="FO476" i="38"/>
  <c r="FN477" i="38"/>
  <c r="FO477" i="38"/>
  <c r="FN478" i="38"/>
  <c r="FO478" i="38"/>
  <c r="FN479" i="38"/>
  <c r="FO479" i="38"/>
  <c r="FN480" i="38"/>
  <c r="FO480" i="38"/>
  <c r="FN481" i="38"/>
  <c r="FO481" i="38"/>
  <c r="FN482" i="38"/>
  <c r="FO482" i="38"/>
  <c r="FN483" i="38"/>
  <c r="FO483" i="38"/>
  <c r="FN484" i="38"/>
  <c r="FO484" i="38"/>
  <c r="FN485" i="38"/>
  <c r="FO485" i="38"/>
  <c r="FN486" i="38"/>
  <c r="FO486" i="38"/>
  <c r="FN487" i="38"/>
  <c r="FO487" i="38"/>
  <c r="FN488" i="38"/>
  <c r="FO488" i="38"/>
  <c r="FN489" i="38"/>
  <c r="FO489" i="38"/>
  <c r="FN490" i="38"/>
  <c r="FO490" i="38"/>
  <c r="FN491" i="38"/>
  <c r="FO491" i="38"/>
  <c r="FN492" i="38"/>
  <c r="FO492" i="38"/>
  <c r="FN493" i="38"/>
  <c r="FO493" i="38"/>
  <c r="FN494" i="38"/>
  <c r="FO494" i="38"/>
  <c r="FN495" i="38"/>
  <c r="FO495" i="38"/>
  <c r="FN496" i="38"/>
  <c r="FO496" i="38"/>
  <c r="FN497" i="38"/>
  <c r="FO497" i="38"/>
  <c r="FN498" i="38"/>
  <c r="FO498" i="38"/>
  <c r="FN499" i="38"/>
  <c r="FO499" i="38"/>
  <c r="FN500" i="38"/>
  <c r="FO500" i="38"/>
  <c r="FN501" i="38"/>
  <c r="FO501" i="38"/>
  <c r="FN502" i="38"/>
  <c r="FO502" i="38"/>
  <c r="FN503" i="38"/>
  <c r="FO503" i="38"/>
  <c r="FN504" i="38"/>
  <c r="FO504" i="38"/>
  <c r="FN505" i="38"/>
  <c r="FO505" i="38"/>
  <c r="FN506" i="38"/>
  <c r="FO506" i="38"/>
  <c r="FN507" i="38"/>
  <c r="FO507" i="38"/>
  <c r="FN508" i="38"/>
  <c r="FO508" i="38"/>
  <c r="FN509" i="38"/>
  <c r="FO509" i="38"/>
  <c r="FN510" i="38"/>
  <c r="FO510" i="38"/>
  <c r="FN511" i="38"/>
  <c r="FO511" i="38"/>
  <c r="FN512" i="38"/>
  <c r="FO512" i="38"/>
  <c r="FN513" i="38"/>
  <c r="FO513" i="38"/>
  <c r="FN514" i="38"/>
  <c r="FO514" i="38"/>
  <c r="FN515" i="38"/>
  <c r="FO515" i="38"/>
  <c r="FN516" i="38"/>
  <c r="FO516" i="38"/>
  <c r="FN517" i="38"/>
  <c r="FO517" i="38"/>
  <c r="FN518" i="38"/>
  <c r="FO518" i="38"/>
  <c r="FN519" i="38"/>
  <c r="FO519" i="38"/>
  <c r="FN520" i="38"/>
  <c r="FO520" i="38"/>
  <c r="FN521" i="38"/>
  <c r="FO521" i="38"/>
  <c r="FN522" i="38"/>
  <c r="FO522" i="38"/>
  <c r="FN523" i="38"/>
  <c r="FO523" i="38"/>
  <c r="FN524" i="38"/>
  <c r="FO524" i="38"/>
  <c r="FN525" i="38"/>
  <c r="FO525" i="38"/>
  <c r="FN526" i="38"/>
  <c r="FO526" i="38"/>
  <c r="FN527" i="38"/>
  <c r="FO527" i="38"/>
  <c r="FN528" i="38"/>
  <c r="FO528" i="38"/>
  <c r="FN529" i="38"/>
  <c r="FO529" i="38"/>
  <c r="FN530" i="38"/>
  <c r="FO530" i="38"/>
  <c r="FN531" i="38"/>
  <c r="FO531" i="38"/>
  <c r="FN532" i="38"/>
  <c r="FO532" i="38"/>
  <c r="FN533" i="38"/>
  <c r="FO533" i="38"/>
  <c r="FN534" i="38"/>
  <c r="FO534" i="38"/>
  <c r="FN535" i="38"/>
  <c r="FO535" i="38"/>
  <c r="FN536" i="38"/>
  <c r="FO536" i="38"/>
  <c r="FN537" i="38"/>
  <c r="FO537" i="38"/>
  <c r="FN538" i="38"/>
  <c r="FO538" i="38"/>
  <c r="FN539" i="38"/>
  <c r="FO539" i="38"/>
  <c r="FN540" i="38"/>
  <c r="FO540" i="38"/>
  <c r="FN541" i="38"/>
  <c r="FO541" i="38"/>
  <c r="FN542" i="38"/>
  <c r="FO542" i="38"/>
  <c r="FN543" i="38"/>
  <c r="FO543" i="38"/>
  <c r="FN544" i="38"/>
  <c r="FO544" i="38"/>
  <c r="FN545" i="38"/>
  <c r="FO545" i="38"/>
  <c r="FN546" i="38"/>
  <c r="FO546" i="38"/>
  <c r="FN547" i="38"/>
  <c r="FO547" i="38"/>
  <c r="FN548" i="38"/>
  <c r="FO548" i="38"/>
  <c r="FN549" i="38"/>
  <c r="FO549" i="38"/>
  <c r="FN550" i="38"/>
  <c r="FO550" i="38"/>
  <c r="FN551" i="38"/>
  <c r="FO551" i="38"/>
  <c r="FN552" i="38"/>
  <c r="FO552" i="38"/>
  <c r="FN553" i="38"/>
  <c r="FO553" i="38"/>
  <c r="FN554" i="38"/>
  <c r="FO554" i="38"/>
  <c r="FN555" i="38"/>
  <c r="FO555" i="38"/>
  <c r="FN556" i="38"/>
  <c r="FO556" i="38"/>
  <c r="FN557" i="38"/>
  <c r="FO557" i="38"/>
  <c r="FN558" i="38"/>
  <c r="FO558" i="38"/>
  <c r="FN559" i="38"/>
  <c r="FO559" i="38"/>
  <c r="FN560" i="38"/>
  <c r="FO560" i="38"/>
  <c r="FN561" i="38"/>
  <c r="FO561" i="38"/>
  <c r="FN562" i="38"/>
  <c r="FO562" i="38"/>
  <c r="FN563" i="38"/>
  <c r="FO563" i="38"/>
  <c r="FN564" i="38"/>
  <c r="FO564" i="38"/>
  <c r="FN565" i="38"/>
  <c r="FO565" i="38"/>
  <c r="FN566" i="38"/>
  <c r="FO566" i="38"/>
  <c r="FN567" i="38"/>
  <c r="FO567" i="38"/>
  <c r="FN568" i="38"/>
  <c r="FO568" i="38"/>
  <c r="FN569" i="38"/>
  <c r="FO569" i="38"/>
  <c r="FN570" i="38"/>
  <c r="FO570" i="38"/>
  <c r="FN571" i="38"/>
  <c r="FO571" i="38"/>
  <c r="FN572" i="38"/>
  <c r="FO572" i="38"/>
  <c r="FN573" i="38"/>
  <c r="FO573" i="38"/>
  <c r="FN574" i="38"/>
  <c r="FO574" i="38"/>
  <c r="FN575" i="38"/>
  <c r="FO575" i="38"/>
  <c r="FN576" i="38"/>
  <c r="FO576" i="38"/>
  <c r="FN577" i="38"/>
  <c r="FO577" i="38"/>
  <c r="FN578" i="38"/>
  <c r="FO578" i="38"/>
  <c r="FN579" i="38"/>
  <c r="FO579" i="38"/>
  <c r="FN580" i="38"/>
  <c r="FO580" i="38"/>
  <c r="FN581" i="38"/>
  <c r="FO581" i="38"/>
  <c r="FN582" i="38"/>
  <c r="FO582" i="38"/>
  <c r="FN583" i="38"/>
  <c r="FO583" i="38"/>
  <c r="FN584" i="38"/>
  <c r="FO584" i="38"/>
  <c r="FN585" i="38"/>
  <c r="FO585" i="38"/>
  <c r="FN586" i="38"/>
  <c r="FO586" i="38"/>
  <c r="FN587" i="38"/>
  <c r="FO587" i="38"/>
  <c r="FN588" i="38"/>
  <c r="FO588" i="38"/>
  <c r="FN589" i="38"/>
  <c r="FO589" i="38"/>
  <c r="FN590" i="38"/>
  <c r="FO590" i="38"/>
  <c r="FN591" i="38"/>
  <c r="FO591" i="38"/>
  <c r="FN592" i="38"/>
  <c r="FO592" i="38"/>
  <c r="FN593" i="38"/>
  <c r="FO593" i="38"/>
  <c r="FN594" i="38"/>
  <c r="FO594" i="38"/>
  <c r="FN595" i="38"/>
  <c r="FO595" i="38"/>
  <c r="FN596" i="38"/>
  <c r="FO596" i="38"/>
  <c r="FN597" i="38"/>
  <c r="FO597" i="38"/>
  <c r="FN598" i="38"/>
  <c r="FO598" i="38"/>
  <c r="FN599" i="38"/>
  <c r="FO599" i="38"/>
  <c r="FN600" i="38"/>
  <c r="FO600" i="38"/>
  <c r="FN601" i="38"/>
  <c r="FO601" i="38"/>
  <c r="FN602" i="38"/>
  <c r="FO602" i="38"/>
  <c r="FN603" i="38"/>
  <c r="FO603" i="38"/>
  <c r="FN604" i="38"/>
  <c r="FO604" i="38"/>
  <c r="FN605" i="38"/>
  <c r="FO605" i="38"/>
  <c r="FN606" i="38"/>
  <c r="FO606" i="38"/>
  <c r="FN607" i="38"/>
  <c r="FO607" i="38"/>
  <c r="FN608" i="38"/>
  <c r="FO608" i="38"/>
  <c r="FN609" i="38"/>
  <c r="FO609" i="38"/>
  <c r="FN610" i="38"/>
  <c r="FO610" i="38"/>
  <c r="FN611" i="38"/>
  <c r="FO611" i="38"/>
  <c r="FN612" i="38"/>
  <c r="FO612" i="38"/>
  <c r="FN613" i="38"/>
  <c r="FO613" i="38"/>
  <c r="FN614" i="38"/>
  <c r="FO614" i="38"/>
  <c r="FN615" i="38"/>
  <c r="FO615" i="38"/>
  <c r="FN616" i="38"/>
  <c r="FO616" i="38"/>
  <c r="FN617" i="38"/>
  <c r="FO617" i="38"/>
  <c r="FN618" i="38"/>
  <c r="FO618" i="38"/>
  <c r="FN619" i="38"/>
  <c r="FO619" i="38"/>
  <c r="FN620" i="38"/>
  <c r="FO620" i="38"/>
  <c r="FN621" i="38"/>
  <c r="FO621" i="38"/>
  <c r="FN622" i="38"/>
  <c r="FO622" i="38"/>
  <c r="FN623" i="38"/>
  <c r="FO623" i="38"/>
  <c r="FN624" i="38"/>
  <c r="FO624" i="38"/>
  <c r="FN625" i="38"/>
  <c r="FO625" i="38"/>
  <c r="FN626" i="38"/>
  <c r="FO626" i="38"/>
  <c r="FN627" i="38"/>
  <c r="FO627" i="38"/>
  <c r="FN628" i="38"/>
  <c r="FO628" i="38"/>
  <c r="FN629" i="38"/>
  <c r="FO629" i="38"/>
  <c r="FN630" i="38"/>
  <c r="FO630" i="38"/>
  <c r="FN631" i="38"/>
  <c r="FO631" i="38"/>
  <c r="FN632" i="38"/>
  <c r="FO632" i="38"/>
  <c r="FN633" i="38"/>
  <c r="FO633" i="38"/>
  <c r="FN634" i="38"/>
  <c r="FO634" i="38"/>
  <c r="FN635" i="38"/>
  <c r="FO635" i="38"/>
  <c r="FN636" i="38"/>
  <c r="FO636" i="38"/>
  <c r="FJ11" i="38"/>
  <c r="FK11" i="38"/>
  <c r="FJ12" i="38"/>
  <c r="FK12" i="38"/>
  <c r="FJ13" i="38"/>
  <c r="FK13" i="38"/>
  <c r="FJ14" i="38"/>
  <c r="FK14" i="38"/>
  <c r="FJ15" i="38"/>
  <c r="FK15" i="38"/>
  <c r="FJ16" i="38"/>
  <c r="FK16" i="38"/>
  <c r="FJ17" i="38"/>
  <c r="FK17" i="38"/>
  <c r="FJ18" i="38"/>
  <c r="FK18" i="38"/>
  <c r="FJ19" i="38"/>
  <c r="FK19" i="38"/>
  <c r="FJ20" i="38"/>
  <c r="FK20" i="38"/>
  <c r="FJ21" i="38"/>
  <c r="FK21" i="38"/>
  <c r="FJ22" i="38"/>
  <c r="FK22" i="38"/>
  <c r="FJ23" i="38"/>
  <c r="FK23" i="38"/>
  <c r="FJ24" i="38"/>
  <c r="FK24" i="38"/>
  <c r="FJ25" i="38"/>
  <c r="FK25" i="38"/>
  <c r="FJ26" i="38"/>
  <c r="FK26" i="38"/>
  <c r="FJ27" i="38"/>
  <c r="FK27" i="38"/>
  <c r="FJ28" i="38"/>
  <c r="FK28" i="38"/>
  <c r="FJ29" i="38"/>
  <c r="FK29" i="38"/>
  <c r="FJ30" i="38"/>
  <c r="FK30" i="38"/>
  <c r="FJ31" i="38"/>
  <c r="FK31" i="38"/>
  <c r="FJ32" i="38"/>
  <c r="FK32" i="38"/>
  <c r="FJ33" i="38"/>
  <c r="FK33" i="38"/>
  <c r="FJ34" i="38"/>
  <c r="FK34" i="38"/>
  <c r="FJ35" i="38"/>
  <c r="FK35" i="38"/>
  <c r="FJ36" i="38"/>
  <c r="FK36" i="38"/>
  <c r="FJ37" i="38"/>
  <c r="FK37" i="38"/>
  <c r="FJ38" i="38"/>
  <c r="FK38" i="38"/>
  <c r="FJ39" i="38"/>
  <c r="FK39" i="38"/>
  <c r="FJ40" i="38"/>
  <c r="FK40" i="38"/>
  <c r="FJ41" i="38"/>
  <c r="FK41" i="38"/>
  <c r="FJ42" i="38"/>
  <c r="FK42" i="38"/>
  <c r="FJ43" i="38"/>
  <c r="FK43" i="38"/>
  <c r="FJ44" i="38"/>
  <c r="FK44" i="38"/>
  <c r="FJ45" i="38"/>
  <c r="FK45" i="38"/>
  <c r="FJ46" i="38"/>
  <c r="FK46" i="38"/>
  <c r="FJ47" i="38"/>
  <c r="FK47" i="38"/>
  <c r="FJ48" i="38"/>
  <c r="FK48" i="38"/>
  <c r="FJ49" i="38"/>
  <c r="FK49" i="38"/>
  <c r="FJ50" i="38"/>
  <c r="FK50" i="38"/>
  <c r="FJ51" i="38"/>
  <c r="FK51" i="38"/>
  <c r="FJ52" i="38"/>
  <c r="FK52" i="38"/>
  <c r="FJ53" i="38"/>
  <c r="FK53" i="38"/>
  <c r="FJ54" i="38"/>
  <c r="FK54" i="38"/>
  <c r="FJ55" i="38"/>
  <c r="FK55" i="38"/>
  <c r="FJ56" i="38"/>
  <c r="FK56" i="38"/>
  <c r="FJ57" i="38"/>
  <c r="FK57" i="38"/>
  <c r="FJ58" i="38"/>
  <c r="FK58" i="38"/>
  <c r="FJ59" i="38"/>
  <c r="FK59" i="38"/>
  <c r="FJ60" i="38"/>
  <c r="FK60" i="38"/>
  <c r="FJ61" i="38"/>
  <c r="FK61" i="38"/>
  <c r="FJ62" i="38"/>
  <c r="FK62" i="38"/>
  <c r="FJ63" i="38"/>
  <c r="FK63" i="38"/>
  <c r="FJ64" i="38"/>
  <c r="FK64" i="38"/>
  <c r="FJ65" i="38"/>
  <c r="FK65" i="38"/>
  <c r="FJ66" i="38"/>
  <c r="FK66" i="38"/>
  <c r="FJ67" i="38"/>
  <c r="FK67" i="38"/>
  <c r="FJ68" i="38"/>
  <c r="FK68" i="38"/>
  <c r="FJ69" i="38"/>
  <c r="FK69" i="38"/>
  <c r="FJ70" i="38"/>
  <c r="FK70" i="38"/>
  <c r="FJ71" i="38"/>
  <c r="FK71" i="38"/>
  <c r="FJ72" i="38"/>
  <c r="FK72" i="38"/>
  <c r="FJ73" i="38"/>
  <c r="FK73" i="38"/>
  <c r="FJ74" i="38"/>
  <c r="FK74" i="38"/>
  <c r="FJ75" i="38"/>
  <c r="FK75" i="38"/>
  <c r="FJ76" i="38"/>
  <c r="FK76" i="38"/>
  <c r="FJ77" i="38"/>
  <c r="FK77" i="38"/>
  <c r="FJ78" i="38"/>
  <c r="FK78" i="38"/>
  <c r="FJ79" i="38"/>
  <c r="FK79" i="38"/>
  <c r="FJ80" i="38"/>
  <c r="FK80" i="38"/>
  <c r="FJ81" i="38"/>
  <c r="FK81" i="38"/>
  <c r="FJ82" i="38"/>
  <c r="FK82" i="38"/>
  <c r="FJ83" i="38"/>
  <c r="FK83" i="38"/>
  <c r="FJ84" i="38"/>
  <c r="FK84" i="38"/>
  <c r="FJ85" i="38"/>
  <c r="FK85" i="38"/>
  <c r="FJ86" i="38"/>
  <c r="FK86" i="38"/>
  <c r="FJ87" i="38"/>
  <c r="FK87" i="38"/>
  <c r="FJ88" i="38"/>
  <c r="FK88" i="38"/>
  <c r="FJ89" i="38"/>
  <c r="FK89" i="38"/>
  <c r="FJ90" i="38"/>
  <c r="FK90" i="38"/>
  <c r="FJ91" i="38"/>
  <c r="FK91" i="38"/>
  <c r="FJ92" i="38"/>
  <c r="FK92" i="38"/>
  <c r="FJ93" i="38"/>
  <c r="FK93" i="38"/>
  <c r="FJ94" i="38"/>
  <c r="FK94" i="38"/>
  <c r="FJ95" i="38"/>
  <c r="FK95" i="38"/>
  <c r="FJ96" i="38"/>
  <c r="FK96" i="38"/>
  <c r="FJ97" i="38"/>
  <c r="FK97" i="38"/>
  <c r="FJ98" i="38"/>
  <c r="FK98" i="38"/>
  <c r="FJ99" i="38"/>
  <c r="FK99" i="38"/>
  <c r="FJ100" i="38"/>
  <c r="FK100" i="38"/>
  <c r="FJ101" i="38"/>
  <c r="FK101" i="38"/>
  <c r="FJ102" i="38"/>
  <c r="FK102" i="38"/>
  <c r="FJ103" i="38"/>
  <c r="FK103" i="38"/>
  <c r="FJ104" i="38"/>
  <c r="FK104" i="38"/>
  <c r="FJ105" i="38"/>
  <c r="FK105" i="38"/>
  <c r="FJ106" i="38"/>
  <c r="FK106" i="38"/>
  <c r="FJ107" i="38"/>
  <c r="FK107" i="38"/>
  <c r="FJ108" i="38"/>
  <c r="FK108" i="38"/>
  <c r="FJ109" i="38"/>
  <c r="FK109" i="38"/>
  <c r="FJ110" i="38"/>
  <c r="FK110" i="38"/>
  <c r="FJ111" i="38"/>
  <c r="FK111" i="38"/>
  <c r="FJ112" i="38"/>
  <c r="FK112" i="38"/>
  <c r="FJ113" i="38"/>
  <c r="FK113" i="38"/>
  <c r="FJ114" i="38"/>
  <c r="FK114" i="38"/>
  <c r="FJ115" i="38"/>
  <c r="FK115" i="38"/>
  <c r="FJ116" i="38"/>
  <c r="FK116" i="38"/>
  <c r="FJ117" i="38"/>
  <c r="FK117" i="38"/>
  <c r="FJ118" i="38"/>
  <c r="FK118" i="38"/>
  <c r="FJ119" i="38"/>
  <c r="FK119" i="38"/>
  <c r="FJ120" i="38"/>
  <c r="FK120" i="38"/>
  <c r="FJ121" i="38"/>
  <c r="FK121" i="38"/>
  <c r="FJ122" i="38"/>
  <c r="FK122" i="38"/>
  <c r="FJ123" i="38"/>
  <c r="FK123" i="38"/>
  <c r="FJ124" i="38"/>
  <c r="FK124" i="38"/>
  <c r="FJ125" i="38"/>
  <c r="FK125" i="38"/>
  <c r="FJ126" i="38"/>
  <c r="FK126" i="38"/>
  <c r="FJ127" i="38"/>
  <c r="FK127" i="38"/>
  <c r="FJ128" i="38"/>
  <c r="FK128" i="38"/>
  <c r="FJ129" i="38"/>
  <c r="FK129" i="38"/>
  <c r="FJ130" i="38"/>
  <c r="FK130" i="38"/>
  <c r="FJ131" i="38"/>
  <c r="FK131" i="38"/>
  <c r="FJ132" i="38"/>
  <c r="FK132" i="38"/>
  <c r="FJ133" i="38"/>
  <c r="FK133" i="38"/>
  <c r="FJ134" i="38"/>
  <c r="FK134" i="38"/>
  <c r="FJ135" i="38"/>
  <c r="FK135" i="38"/>
  <c r="FJ136" i="38"/>
  <c r="FK136" i="38"/>
  <c r="FJ137" i="38"/>
  <c r="FK137" i="38"/>
  <c r="FJ138" i="38"/>
  <c r="FK138" i="38"/>
  <c r="FJ139" i="38"/>
  <c r="FK139" i="38"/>
  <c r="FJ140" i="38"/>
  <c r="FK140" i="38"/>
  <c r="FJ141" i="38"/>
  <c r="FK141" i="38"/>
  <c r="FJ142" i="38"/>
  <c r="FK142" i="38"/>
  <c r="FJ143" i="38"/>
  <c r="FK143" i="38"/>
  <c r="FJ144" i="38"/>
  <c r="FK144" i="38"/>
  <c r="FJ145" i="38"/>
  <c r="FK145" i="38"/>
  <c r="FJ146" i="38"/>
  <c r="FK146" i="38"/>
  <c r="FJ147" i="38"/>
  <c r="FK147" i="38"/>
  <c r="FJ148" i="38"/>
  <c r="FK148" i="38"/>
  <c r="FJ149" i="38"/>
  <c r="FK149" i="38"/>
  <c r="FJ150" i="38"/>
  <c r="FK150" i="38"/>
  <c r="FJ151" i="38"/>
  <c r="FK151" i="38"/>
  <c r="FJ152" i="38"/>
  <c r="FK152" i="38"/>
  <c r="FJ153" i="38"/>
  <c r="FK153" i="38"/>
  <c r="FJ154" i="38"/>
  <c r="FK154" i="38"/>
  <c r="FJ155" i="38"/>
  <c r="FK155" i="38"/>
  <c r="FJ156" i="38"/>
  <c r="FK156" i="38"/>
  <c r="FJ157" i="38"/>
  <c r="FK157" i="38"/>
  <c r="FJ158" i="38"/>
  <c r="FK158" i="38"/>
  <c r="FJ159" i="38"/>
  <c r="FK159" i="38"/>
  <c r="FJ160" i="38"/>
  <c r="FK160" i="38"/>
  <c r="FJ161" i="38"/>
  <c r="FK161" i="38"/>
  <c r="FJ162" i="38"/>
  <c r="FK162" i="38"/>
  <c r="FJ163" i="38"/>
  <c r="FK163" i="38"/>
  <c r="FJ164" i="38"/>
  <c r="FK164" i="38"/>
  <c r="FJ165" i="38"/>
  <c r="FK165" i="38"/>
  <c r="FJ166" i="38"/>
  <c r="FK166" i="38"/>
  <c r="FJ167" i="38"/>
  <c r="FK167" i="38"/>
  <c r="FJ168" i="38"/>
  <c r="FK168" i="38"/>
  <c r="FJ169" i="38"/>
  <c r="FK169" i="38"/>
  <c r="FJ170" i="38"/>
  <c r="FK170" i="38"/>
  <c r="FJ171" i="38"/>
  <c r="FK171" i="38"/>
  <c r="FJ172" i="38"/>
  <c r="FK172" i="38"/>
  <c r="FJ173" i="38"/>
  <c r="FK173" i="38"/>
  <c r="FJ174" i="38"/>
  <c r="FK174" i="38"/>
  <c r="FJ175" i="38"/>
  <c r="FK175" i="38"/>
  <c r="FJ176" i="38"/>
  <c r="FK176" i="38"/>
  <c r="FJ177" i="38"/>
  <c r="FK177" i="38"/>
  <c r="FJ178" i="38"/>
  <c r="FK178" i="38"/>
  <c r="FJ179" i="38"/>
  <c r="FK179" i="38"/>
  <c r="FJ180" i="38"/>
  <c r="FK180" i="38"/>
  <c r="FJ181" i="38"/>
  <c r="FK181" i="38"/>
  <c r="FJ182" i="38"/>
  <c r="FK182" i="38"/>
  <c r="FJ183" i="38"/>
  <c r="FK183" i="38"/>
  <c r="FJ184" i="38"/>
  <c r="FK184" i="38"/>
  <c r="FJ185" i="38"/>
  <c r="FK185" i="38"/>
  <c r="FJ186" i="38"/>
  <c r="FK186" i="38"/>
  <c r="FJ187" i="38"/>
  <c r="FK187" i="38"/>
  <c r="FJ188" i="38"/>
  <c r="FK188" i="38"/>
  <c r="FJ189" i="38"/>
  <c r="FK189" i="38"/>
  <c r="FJ190" i="38"/>
  <c r="FK190" i="38"/>
  <c r="FJ191" i="38"/>
  <c r="FK191" i="38"/>
  <c r="FJ192" i="38"/>
  <c r="FK192" i="38"/>
  <c r="FJ193" i="38"/>
  <c r="FK193" i="38"/>
  <c r="FJ194" i="38"/>
  <c r="FK194" i="38"/>
  <c r="FJ195" i="38"/>
  <c r="FK195" i="38"/>
  <c r="FJ196" i="38"/>
  <c r="FK196" i="38"/>
  <c r="FJ197" i="38"/>
  <c r="FK197" i="38"/>
  <c r="FJ198" i="38"/>
  <c r="FK198" i="38"/>
  <c r="FJ199" i="38"/>
  <c r="FK199" i="38"/>
  <c r="FJ200" i="38"/>
  <c r="FK200" i="38"/>
  <c r="FJ201" i="38"/>
  <c r="FK201" i="38"/>
  <c r="FJ202" i="38"/>
  <c r="FK202" i="38"/>
  <c r="FJ203" i="38"/>
  <c r="FK203" i="38"/>
  <c r="FJ204" i="38"/>
  <c r="FK204" i="38"/>
  <c r="FJ205" i="38"/>
  <c r="FK205" i="38"/>
  <c r="FJ206" i="38"/>
  <c r="FK206" i="38"/>
  <c r="FJ207" i="38"/>
  <c r="FK207" i="38"/>
  <c r="FJ208" i="38"/>
  <c r="FK208" i="38"/>
  <c r="FJ209" i="38"/>
  <c r="FK209" i="38"/>
  <c r="FJ210" i="38"/>
  <c r="FK210" i="38"/>
  <c r="FJ211" i="38"/>
  <c r="FK211" i="38"/>
  <c r="FJ212" i="38"/>
  <c r="FK212" i="38"/>
  <c r="FJ213" i="38"/>
  <c r="FK213" i="38"/>
  <c r="FJ214" i="38"/>
  <c r="FK214" i="38"/>
  <c r="FJ215" i="38"/>
  <c r="FK215" i="38"/>
  <c r="FJ216" i="38"/>
  <c r="FK216" i="38"/>
  <c r="FJ217" i="38"/>
  <c r="FK217" i="38"/>
  <c r="FJ218" i="38"/>
  <c r="FK218" i="38"/>
  <c r="FJ219" i="38"/>
  <c r="FK219" i="38"/>
  <c r="FJ220" i="38"/>
  <c r="FK220" i="38"/>
  <c r="FJ221" i="38"/>
  <c r="FK221" i="38"/>
  <c r="FJ222" i="38"/>
  <c r="FK222" i="38"/>
  <c r="FJ223" i="38"/>
  <c r="FK223" i="38"/>
  <c r="FJ224" i="38"/>
  <c r="FK224" i="38"/>
  <c r="FJ225" i="38"/>
  <c r="FK225" i="38"/>
  <c r="FJ226" i="38"/>
  <c r="FK226" i="38"/>
  <c r="FJ227" i="38"/>
  <c r="FK227" i="38"/>
  <c r="FJ228" i="38"/>
  <c r="FK228" i="38"/>
  <c r="FJ229" i="38"/>
  <c r="FK229" i="38"/>
  <c r="FJ230" i="38"/>
  <c r="FK230" i="38"/>
  <c r="FJ231" i="38"/>
  <c r="FK231" i="38"/>
  <c r="FJ232" i="38"/>
  <c r="FK232" i="38"/>
  <c r="FJ233" i="38"/>
  <c r="FK233" i="38"/>
  <c r="FJ234" i="38"/>
  <c r="FK234" i="38"/>
  <c r="FJ235" i="38"/>
  <c r="FK235" i="38"/>
  <c r="FJ236" i="38"/>
  <c r="FK236" i="38"/>
  <c r="FJ237" i="38"/>
  <c r="FK237" i="38"/>
  <c r="FJ238" i="38"/>
  <c r="FK238" i="38"/>
  <c r="FJ239" i="38"/>
  <c r="FK239" i="38"/>
  <c r="FJ240" i="38"/>
  <c r="FK240" i="38"/>
  <c r="FJ241" i="38"/>
  <c r="FK241" i="38"/>
  <c r="FJ242" i="38"/>
  <c r="FK242" i="38"/>
  <c r="FJ243" i="38"/>
  <c r="FK243" i="38"/>
  <c r="FJ244" i="38"/>
  <c r="FK244" i="38"/>
  <c r="FJ245" i="38"/>
  <c r="FK245" i="38"/>
  <c r="FJ246" i="38"/>
  <c r="FK246" i="38"/>
  <c r="FJ247" i="38"/>
  <c r="FK247" i="38"/>
  <c r="FJ248" i="38"/>
  <c r="FK248" i="38"/>
  <c r="FJ249" i="38"/>
  <c r="FK249" i="38"/>
  <c r="FJ250" i="38"/>
  <c r="FK250" i="38"/>
  <c r="FJ251" i="38"/>
  <c r="FK251" i="38"/>
  <c r="FJ252" i="38"/>
  <c r="FK252" i="38"/>
  <c r="FJ253" i="38"/>
  <c r="FK253" i="38"/>
  <c r="FJ254" i="38"/>
  <c r="FK254" i="38"/>
  <c r="FJ255" i="38"/>
  <c r="FK255" i="38"/>
  <c r="FJ256" i="38"/>
  <c r="FK256" i="38"/>
  <c r="FJ257" i="38"/>
  <c r="FK257" i="38"/>
  <c r="FJ258" i="38"/>
  <c r="FK258" i="38"/>
  <c r="FJ259" i="38"/>
  <c r="FK259" i="38"/>
  <c r="FJ260" i="38"/>
  <c r="FK260" i="38"/>
  <c r="FJ261" i="38"/>
  <c r="FK261" i="38"/>
  <c r="FJ262" i="38"/>
  <c r="FK262" i="38"/>
  <c r="FJ263" i="38"/>
  <c r="FK263" i="38"/>
  <c r="FJ264" i="38"/>
  <c r="FK264" i="38"/>
  <c r="FJ265" i="38"/>
  <c r="FK265" i="38"/>
  <c r="FJ266" i="38"/>
  <c r="FK266" i="38"/>
  <c r="FJ267" i="38"/>
  <c r="FK267" i="38"/>
  <c r="FJ268" i="38"/>
  <c r="FK268" i="38"/>
  <c r="FJ269" i="38"/>
  <c r="FK269" i="38"/>
  <c r="FJ270" i="38"/>
  <c r="FK270" i="38"/>
  <c r="FJ271" i="38"/>
  <c r="FK271" i="38"/>
  <c r="FJ272" i="38"/>
  <c r="FK272" i="38"/>
  <c r="FJ273" i="38"/>
  <c r="FK273" i="38"/>
  <c r="FJ274" i="38"/>
  <c r="FK274" i="38"/>
  <c r="FJ275" i="38"/>
  <c r="FK275" i="38"/>
  <c r="FJ276" i="38"/>
  <c r="FK276" i="38"/>
  <c r="FJ277" i="38"/>
  <c r="FK277" i="38"/>
  <c r="FJ278" i="38"/>
  <c r="FK278" i="38"/>
  <c r="FJ279" i="38"/>
  <c r="FK279" i="38"/>
  <c r="FJ280" i="38"/>
  <c r="FK280" i="38"/>
  <c r="FJ281" i="38"/>
  <c r="FK281" i="38"/>
  <c r="FJ282" i="38"/>
  <c r="FK282" i="38"/>
  <c r="FJ283" i="38"/>
  <c r="FK283" i="38"/>
  <c r="FJ284" i="38"/>
  <c r="FK284" i="38"/>
  <c r="FJ285" i="38"/>
  <c r="FK285" i="38"/>
  <c r="FJ286" i="38"/>
  <c r="FK286" i="38"/>
  <c r="FJ287" i="38"/>
  <c r="FK287" i="38"/>
  <c r="FJ288" i="38"/>
  <c r="FK288" i="38"/>
  <c r="FJ289" i="38"/>
  <c r="FK289" i="38"/>
  <c r="FJ290" i="38"/>
  <c r="FK290" i="38"/>
  <c r="FJ291" i="38"/>
  <c r="FK291" i="38"/>
  <c r="FJ292" i="38"/>
  <c r="FK292" i="38"/>
  <c r="FJ293" i="38"/>
  <c r="FK293" i="38"/>
  <c r="FJ294" i="38"/>
  <c r="FK294" i="38"/>
  <c r="FJ295" i="38"/>
  <c r="FK295" i="38"/>
  <c r="FJ296" i="38"/>
  <c r="FK296" i="38"/>
  <c r="FJ297" i="38"/>
  <c r="FK297" i="38"/>
  <c r="FJ298" i="38"/>
  <c r="FK298" i="38"/>
  <c r="FJ299" i="38"/>
  <c r="FK299" i="38"/>
  <c r="FJ300" i="38"/>
  <c r="FK300" i="38"/>
  <c r="FJ301" i="38"/>
  <c r="FK301" i="38"/>
  <c r="FJ302" i="38"/>
  <c r="FK302" i="38"/>
  <c r="FJ303" i="38"/>
  <c r="FK303" i="38"/>
  <c r="FJ304" i="38"/>
  <c r="FK304" i="38"/>
  <c r="FJ305" i="38"/>
  <c r="FK305" i="38"/>
  <c r="FJ306" i="38"/>
  <c r="FK306" i="38"/>
  <c r="FJ307" i="38"/>
  <c r="FK307" i="38"/>
  <c r="FJ308" i="38"/>
  <c r="FK308" i="38"/>
  <c r="FJ309" i="38"/>
  <c r="FK309" i="38"/>
  <c r="FJ310" i="38"/>
  <c r="FK310" i="38"/>
  <c r="FJ311" i="38"/>
  <c r="FK311" i="38"/>
  <c r="FJ312" i="38"/>
  <c r="FK312" i="38"/>
  <c r="FJ313" i="38"/>
  <c r="FK313" i="38"/>
  <c r="FJ314" i="38"/>
  <c r="FK314" i="38"/>
  <c r="FJ315" i="38"/>
  <c r="FK315" i="38"/>
  <c r="FJ316" i="38"/>
  <c r="FK316" i="38"/>
  <c r="FJ317" i="38"/>
  <c r="FK317" i="38"/>
  <c r="FJ318" i="38"/>
  <c r="FK318" i="38"/>
  <c r="FJ319" i="38"/>
  <c r="FK319" i="38"/>
  <c r="FJ320" i="38"/>
  <c r="FK320" i="38"/>
  <c r="FJ321" i="38"/>
  <c r="FK321" i="38"/>
  <c r="FJ322" i="38"/>
  <c r="FK322" i="38"/>
  <c r="FJ323" i="38"/>
  <c r="FK323" i="38"/>
  <c r="FJ324" i="38"/>
  <c r="FK324" i="38"/>
  <c r="FJ325" i="38"/>
  <c r="FK325" i="38"/>
  <c r="FJ326" i="38"/>
  <c r="FK326" i="38"/>
  <c r="FJ327" i="38"/>
  <c r="FK327" i="38"/>
  <c r="FJ328" i="38"/>
  <c r="FK328" i="38"/>
  <c r="FJ329" i="38"/>
  <c r="FK329" i="38"/>
  <c r="FJ330" i="38"/>
  <c r="FK330" i="38"/>
  <c r="FJ331" i="38"/>
  <c r="FK331" i="38"/>
  <c r="FJ332" i="38"/>
  <c r="FK332" i="38"/>
  <c r="FJ333" i="38"/>
  <c r="FK333" i="38"/>
  <c r="FJ334" i="38"/>
  <c r="FK334" i="38"/>
  <c r="FJ335" i="38"/>
  <c r="FK335" i="38"/>
  <c r="FJ336" i="38"/>
  <c r="FK336" i="38"/>
  <c r="FJ337" i="38"/>
  <c r="FK337" i="38"/>
  <c r="FJ338" i="38"/>
  <c r="FK338" i="38"/>
  <c r="FJ339" i="38"/>
  <c r="FK339" i="38"/>
  <c r="FJ340" i="38"/>
  <c r="FK340" i="38"/>
  <c r="FJ341" i="38"/>
  <c r="FK341" i="38"/>
  <c r="FJ342" i="38"/>
  <c r="FK342" i="38"/>
  <c r="FJ343" i="38"/>
  <c r="FK343" i="38"/>
  <c r="FJ344" i="38"/>
  <c r="FK344" i="38"/>
  <c r="FJ345" i="38"/>
  <c r="FK345" i="38"/>
  <c r="FJ346" i="38"/>
  <c r="FK346" i="38"/>
  <c r="FJ347" i="38"/>
  <c r="FK347" i="38"/>
  <c r="FJ348" i="38"/>
  <c r="FK348" i="38"/>
  <c r="FJ349" i="38"/>
  <c r="FK349" i="38"/>
  <c r="FJ350" i="38"/>
  <c r="FK350" i="38"/>
  <c r="FJ351" i="38"/>
  <c r="FK351" i="38"/>
  <c r="FJ352" i="38"/>
  <c r="FK352" i="38"/>
  <c r="FJ353" i="38"/>
  <c r="FK353" i="38"/>
  <c r="FJ354" i="38"/>
  <c r="FK354" i="38"/>
  <c r="FJ355" i="38"/>
  <c r="FK355" i="38"/>
  <c r="FJ356" i="38"/>
  <c r="FK356" i="38"/>
  <c r="FJ357" i="38"/>
  <c r="FK357" i="38"/>
  <c r="FJ358" i="38"/>
  <c r="FK358" i="38"/>
  <c r="FJ359" i="38"/>
  <c r="FK359" i="38"/>
  <c r="FJ360" i="38"/>
  <c r="FK360" i="38"/>
  <c r="FJ361" i="38"/>
  <c r="FK361" i="38"/>
  <c r="FJ362" i="38"/>
  <c r="FK362" i="38"/>
  <c r="FJ363" i="38"/>
  <c r="FK363" i="38"/>
  <c r="FJ364" i="38"/>
  <c r="FK364" i="38"/>
  <c r="FJ365" i="38"/>
  <c r="FK365" i="38"/>
  <c r="FJ366" i="38"/>
  <c r="FK366" i="38"/>
  <c r="FJ367" i="38"/>
  <c r="FK367" i="38"/>
  <c r="FJ368" i="38"/>
  <c r="FK368" i="38"/>
  <c r="FJ369" i="38"/>
  <c r="FK369" i="38"/>
  <c r="FJ370" i="38"/>
  <c r="FK370" i="38"/>
  <c r="FJ371" i="38"/>
  <c r="FK371" i="38"/>
  <c r="FJ372" i="38"/>
  <c r="FK372" i="38"/>
  <c r="FJ373" i="38"/>
  <c r="FK373" i="38"/>
  <c r="FJ374" i="38"/>
  <c r="FK374" i="38"/>
  <c r="FJ375" i="38"/>
  <c r="FK375" i="38"/>
  <c r="FJ376" i="38"/>
  <c r="FK376" i="38"/>
  <c r="FJ377" i="38"/>
  <c r="FK377" i="38"/>
  <c r="FJ378" i="38"/>
  <c r="FK378" i="38"/>
  <c r="FJ379" i="38"/>
  <c r="FK379" i="38"/>
  <c r="FJ380" i="38"/>
  <c r="FK380" i="38"/>
  <c r="FJ381" i="38"/>
  <c r="FK381" i="38"/>
  <c r="FJ382" i="38"/>
  <c r="FK382" i="38"/>
  <c r="FJ383" i="38"/>
  <c r="FK383" i="38"/>
  <c r="FJ384" i="38"/>
  <c r="FK384" i="38"/>
  <c r="FJ385" i="38"/>
  <c r="FK385" i="38"/>
  <c r="FJ386" i="38"/>
  <c r="FK386" i="38"/>
  <c r="FJ387" i="38"/>
  <c r="FK387" i="38"/>
  <c r="FJ388" i="38"/>
  <c r="FK388" i="38"/>
  <c r="FJ389" i="38"/>
  <c r="FK389" i="38"/>
  <c r="FJ390" i="38"/>
  <c r="FK390" i="38"/>
  <c r="FJ391" i="38"/>
  <c r="FK391" i="38"/>
  <c r="FJ392" i="38"/>
  <c r="FK392" i="38"/>
  <c r="FJ393" i="38"/>
  <c r="FK393" i="38"/>
  <c r="FJ394" i="38"/>
  <c r="FK394" i="38"/>
  <c r="FJ395" i="38"/>
  <c r="FK395" i="38"/>
  <c r="FJ396" i="38"/>
  <c r="FK396" i="38"/>
  <c r="FJ397" i="38"/>
  <c r="FK397" i="38"/>
  <c r="FJ398" i="38"/>
  <c r="FK398" i="38"/>
  <c r="FJ399" i="38"/>
  <c r="FK399" i="38"/>
  <c r="FJ400" i="38"/>
  <c r="FK400" i="38"/>
  <c r="FJ401" i="38"/>
  <c r="FK401" i="38"/>
  <c r="FJ402" i="38"/>
  <c r="FK402" i="38"/>
  <c r="FJ403" i="38"/>
  <c r="FK403" i="38"/>
  <c r="FJ404" i="38"/>
  <c r="FK404" i="38"/>
  <c r="FJ405" i="38"/>
  <c r="FK405" i="38"/>
  <c r="FJ406" i="38"/>
  <c r="FK406" i="38"/>
  <c r="FJ407" i="38"/>
  <c r="FK407" i="38"/>
  <c r="FJ408" i="38"/>
  <c r="FK408" i="38"/>
  <c r="FJ409" i="38"/>
  <c r="FK409" i="38"/>
  <c r="FJ410" i="38"/>
  <c r="FK410" i="38"/>
  <c r="FJ411" i="38"/>
  <c r="FK411" i="38"/>
  <c r="FJ412" i="38"/>
  <c r="FK412" i="38"/>
  <c r="FJ413" i="38"/>
  <c r="FK413" i="38"/>
  <c r="FJ414" i="38"/>
  <c r="FK414" i="38"/>
  <c r="FJ415" i="38"/>
  <c r="FK415" i="38"/>
  <c r="FJ416" i="38"/>
  <c r="FK416" i="38"/>
  <c r="FJ417" i="38"/>
  <c r="FK417" i="38"/>
  <c r="FJ418" i="38"/>
  <c r="FK418" i="38"/>
  <c r="FJ419" i="38"/>
  <c r="FK419" i="38"/>
  <c r="FJ420" i="38"/>
  <c r="FK420" i="38"/>
  <c r="FJ421" i="38"/>
  <c r="FK421" i="38"/>
  <c r="FJ422" i="38"/>
  <c r="FK422" i="38"/>
  <c r="FJ423" i="38"/>
  <c r="FK423" i="38"/>
  <c r="FJ424" i="38"/>
  <c r="FK424" i="38"/>
  <c r="FJ425" i="38"/>
  <c r="FK425" i="38"/>
  <c r="FJ426" i="38"/>
  <c r="FK426" i="38"/>
  <c r="FJ427" i="38"/>
  <c r="FK427" i="38"/>
  <c r="FJ428" i="38"/>
  <c r="FK428" i="38"/>
  <c r="FJ429" i="38"/>
  <c r="FK429" i="38"/>
  <c r="FJ430" i="38"/>
  <c r="FK430" i="38"/>
  <c r="FJ431" i="38"/>
  <c r="FK431" i="38"/>
  <c r="FJ432" i="38"/>
  <c r="FK432" i="38"/>
  <c r="FJ433" i="38"/>
  <c r="FK433" i="38"/>
  <c r="FJ434" i="38"/>
  <c r="FK434" i="38"/>
  <c r="FJ435" i="38"/>
  <c r="FK435" i="38"/>
  <c r="FJ436" i="38"/>
  <c r="FK436" i="38"/>
  <c r="FJ437" i="38"/>
  <c r="FK437" i="38"/>
  <c r="FJ438" i="38"/>
  <c r="FK438" i="38"/>
  <c r="FJ439" i="38"/>
  <c r="FK439" i="38"/>
  <c r="FJ440" i="38"/>
  <c r="FK440" i="38"/>
  <c r="FJ441" i="38"/>
  <c r="FK441" i="38"/>
  <c r="FJ442" i="38"/>
  <c r="FK442" i="38"/>
  <c r="FJ443" i="38"/>
  <c r="FK443" i="38"/>
  <c r="FJ444" i="38"/>
  <c r="FK444" i="38"/>
  <c r="FJ445" i="38"/>
  <c r="FK445" i="38"/>
  <c r="FJ446" i="38"/>
  <c r="FK446" i="38"/>
  <c r="FJ447" i="38"/>
  <c r="FK447" i="38"/>
  <c r="FJ448" i="38"/>
  <c r="FK448" i="38"/>
  <c r="FJ449" i="38"/>
  <c r="FK449" i="38"/>
  <c r="FJ450" i="38"/>
  <c r="FK450" i="38"/>
  <c r="FJ451" i="38"/>
  <c r="FK451" i="38"/>
  <c r="FJ452" i="38"/>
  <c r="FK452" i="38"/>
  <c r="FJ453" i="38"/>
  <c r="FK453" i="38"/>
  <c r="FJ454" i="38"/>
  <c r="FK454" i="38"/>
  <c r="FJ455" i="38"/>
  <c r="FK455" i="38"/>
  <c r="FJ456" i="38"/>
  <c r="FK456" i="38"/>
  <c r="FJ457" i="38"/>
  <c r="FK457" i="38"/>
  <c r="FJ458" i="38"/>
  <c r="FK458" i="38"/>
  <c r="FJ459" i="38"/>
  <c r="FK459" i="38"/>
  <c r="FJ460" i="38"/>
  <c r="FK460" i="38"/>
  <c r="FJ461" i="38"/>
  <c r="FK461" i="38"/>
  <c r="FJ462" i="38"/>
  <c r="FK462" i="38"/>
  <c r="FJ463" i="38"/>
  <c r="FK463" i="38"/>
  <c r="FJ464" i="38"/>
  <c r="FK464" i="38"/>
  <c r="FJ465" i="38"/>
  <c r="FK465" i="38"/>
  <c r="FJ466" i="38"/>
  <c r="FK466" i="38"/>
  <c r="FJ467" i="38"/>
  <c r="FK467" i="38"/>
  <c r="FJ468" i="38"/>
  <c r="FK468" i="38"/>
  <c r="FJ469" i="38"/>
  <c r="FK469" i="38"/>
  <c r="FJ470" i="38"/>
  <c r="FK470" i="38"/>
  <c r="FJ471" i="38"/>
  <c r="FK471" i="38"/>
  <c r="FJ472" i="38"/>
  <c r="FK472" i="38"/>
  <c r="FJ473" i="38"/>
  <c r="FK473" i="38"/>
  <c r="FJ474" i="38"/>
  <c r="FK474" i="38"/>
  <c r="FJ475" i="38"/>
  <c r="FK475" i="38"/>
  <c r="FJ476" i="38"/>
  <c r="FK476" i="38"/>
  <c r="FJ477" i="38"/>
  <c r="FK477" i="38"/>
  <c r="FJ478" i="38"/>
  <c r="FK478" i="38"/>
  <c r="FJ479" i="38"/>
  <c r="FK479" i="38"/>
  <c r="FJ480" i="38"/>
  <c r="FK480" i="38"/>
  <c r="FJ481" i="38"/>
  <c r="FK481" i="38"/>
  <c r="FJ482" i="38"/>
  <c r="FK482" i="38"/>
  <c r="FJ483" i="38"/>
  <c r="FK483" i="38"/>
  <c r="FJ484" i="38"/>
  <c r="FK484" i="38"/>
  <c r="FJ485" i="38"/>
  <c r="FK485" i="38"/>
  <c r="FJ486" i="38"/>
  <c r="FK486" i="38"/>
  <c r="FJ487" i="38"/>
  <c r="FK487" i="38"/>
  <c r="FJ488" i="38"/>
  <c r="FK488" i="38"/>
  <c r="FJ489" i="38"/>
  <c r="FK489" i="38"/>
  <c r="FJ490" i="38"/>
  <c r="FK490" i="38"/>
  <c r="FJ491" i="38"/>
  <c r="FK491" i="38"/>
  <c r="FJ492" i="38"/>
  <c r="FK492" i="38"/>
  <c r="FJ493" i="38"/>
  <c r="FK493" i="38"/>
  <c r="FJ494" i="38"/>
  <c r="FK494" i="38"/>
  <c r="FJ495" i="38"/>
  <c r="FK495" i="38"/>
  <c r="FJ496" i="38"/>
  <c r="FK496" i="38"/>
  <c r="FJ497" i="38"/>
  <c r="FK497" i="38"/>
  <c r="FJ498" i="38"/>
  <c r="FK498" i="38"/>
  <c r="FJ499" i="38"/>
  <c r="FK499" i="38"/>
  <c r="FJ500" i="38"/>
  <c r="FK500" i="38"/>
  <c r="FJ501" i="38"/>
  <c r="FK501" i="38"/>
  <c r="FJ502" i="38"/>
  <c r="FK502" i="38"/>
  <c r="FJ503" i="38"/>
  <c r="FK503" i="38"/>
  <c r="FJ504" i="38"/>
  <c r="FK504" i="38"/>
  <c r="FJ505" i="38"/>
  <c r="FK505" i="38"/>
  <c r="FJ506" i="38"/>
  <c r="FK506" i="38"/>
  <c r="FJ507" i="38"/>
  <c r="FK507" i="38"/>
  <c r="FJ508" i="38"/>
  <c r="FK508" i="38"/>
  <c r="FJ509" i="38"/>
  <c r="FK509" i="38"/>
  <c r="FJ510" i="38"/>
  <c r="FK510" i="38"/>
  <c r="FJ511" i="38"/>
  <c r="FK511" i="38"/>
  <c r="FJ512" i="38"/>
  <c r="FK512" i="38"/>
  <c r="FJ513" i="38"/>
  <c r="FK513" i="38"/>
  <c r="FJ514" i="38"/>
  <c r="FK514" i="38"/>
  <c r="FJ515" i="38"/>
  <c r="FK515" i="38"/>
  <c r="FJ516" i="38"/>
  <c r="FK516" i="38"/>
  <c r="FJ517" i="38"/>
  <c r="FK517" i="38"/>
  <c r="FJ518" i="38"/>
  <c r="FK518" i="38"/>
  <c r="FJ519" i="38"/>
  <c r="FK519" i="38"/>
  <c r="FJ520" i="38"/>
  <c r="FK520" i="38"/>
  <c r="FJ521" i="38"/>
  <c r="FK521" i="38"/>
  <c r="FJ522" i="38"/>
  <c r="FK522" i="38"/>
  <c r="FJ523" i="38"/>
  <c r="FK523" i="38"/>
  <c r="FJ524" i="38"/>
  <c r="FK524" i="38"/>
  <c r="FJ525" i="38"/>
  <c r="FK525" i="38"/>
  <c r="FJ526" i="38"/>
  <c r="FK526" i="38"/>
  <c r="FJ527" i="38"/>
  <c r="FK527" i="38"/>
  <c r="FJ528" i="38"/>
  <c r="FK528" i="38"/>
  <c r="FJ529" i="38"/>
  <c r="FK529" i="38"/>
  <c r="FJ530" i="38"/>
  <c r="FK530" i="38"/>
  <c r="FJ531" i="38"/>
  <c r="FK531" i="38"/>
  <c r="FJ532" i="38"/>
  <c r="FK532" i="38"/>
  <c r="FJ533" i="38"/>
  <c r="FK533" i="38"/>
  <c r="FJ534" i="38"/>
  <c r="FK534" i="38"/>
  <c r="FJ535" i="38"/>
  <c r="FK535" i="38"/>
  <c r="FJ536" i="38"/>
  <c r="FK536" i="38"/>
  <c r="FJ537" i="38"/>
  <c r="FK537" i="38"/>
  <c r="FJ538" i="38"/>
  <c r="FK538" i="38"/>
  <c r="FJ539" i="38"/>
  <c r="FK539" i="38"/>
  <c r="FJ540" i="38"/>
  <c r="FK540" i="38"/>
  <c r="FJ541" i="38"/>
  <c r="FK541" i="38"/>
  <c r="FJ542" i="38"/>
  <c r="FK542" i="38"/>
  <c r="FJ543" i="38"/>
  <c r="FK543" i="38"/>
  <c r="FJ544" i="38"/>
  <c r="FK544" i="38"/>
  <c r="FJ545" i="38"/>
  <c r="FK545" i="38"/>
  <c r="FJ546" i="38"/>
  <c r="FK546" i="38"/>
  <c r="FJ547" i="38"/>
  <c r="FK547" i="38"/>
  <c r="FJ548" i="38"/>
  <c r="FK548" i="38"/>
  <c r="FJ549" i="38"/>
  <c r="FK549" i="38"/>
  <c r="FJ550" i="38"/>
  <c r="FK550" i="38"/>
  <c r="FJ551" i="38"/>
  <c r="FK551" i="38"/>
  <c r="FJ552" i="38"/>
  <c r="FK552" i="38"/>
  <c r="FJ553" i="38"/>
  <c r="FK553" i="38"/>
  <c r="FJ554" i="38"/>
  <c r="FK554" i="38"/>
  <c r="FJ555" i="38"/>
  <c r="FK555" i="38"/>
  <c r="FJ556" i="38"/>
  <c r="FK556" i="38"/>
  <c r="FJ557" i="38"/>
  <c r="FK557" i="38"/>
  <c r="FJ558" i="38"/>
  <c r="FK558" i="38"/>
  <c r="FJ559" i="38"/>
  <c r="FK559" i="38"/>
  <c r="FJ560" i="38"/>
  <c r="FK560" i="38"/>
  <c r="FJ561" i="38"/>
  <c r="FK561" i="38"/>
  <c r="FJ562" i="38"/>
  <c r="FK562" i="38"/>
  <c r="FJ563" i="38"/>
  <c r="FK563" i="38"/>
  <c r="FJ564" i="38"/>
  <c r="FK564" i="38"/>
  <c r="FJ565" i="38"/>
  <c r="FK565" i="38"/>
  <c r="FJ566" i="38"/>
  <c r="FK566" i="38"/>
  <c r="FJ567" i="38"/>
  <c r="FK567" i="38"/>
  <c r="FJ568" i="38"/>
  <c r="FK568" i="38"/>
  <c r="FJ569" i="38"/>
  <c r="FK569" i="38"/>
  <c r="FJ570" i="38"/>
  <c r="FK570" i="38"/>
  <c r="FJ571" i="38"/>
  <c r="FK571" i="38"/>
  <c r="FJ572" i="38"/>
  <c r="FK572" i="38"/>
  <c r="FJ573" i="38"/>
  <c r="FK573" i="38"/>
  <c r="FJ574" i="38"/>
  <c r="FK574" i="38"/>
  <c r="FJ575" i="38"/>
  <c r="FK575" i="38"/>
  <c r="FJ576" i="38"/>
  <c r="FK576" i="38"/>
  <c r="FJ577" i="38"/>
  <c r="FK577" i="38"/>
  <c r="FJ578" i="38"/>
  <c r="FK578" i="38"/>
  <c r="FJ579" i="38"/>
  <c r="FK579" i="38"/>
  <c r="FJ580" i="38"/>
  <c r="FK580" i="38"/>
  <c r="FJ581" i="38"/>
  <c r="FK581" i="38"/>
  <c r="FJ582" i="38"/>
  <c r="FK582" i="38"/>
  <c r="FJ583" i="38"/>
  <c r="FK583" i="38"/>
  <c r="FJ584" i="38"/>
  <c r="FK584" i="38"/>
  <c r="FJ585" i="38"/>
  <c r="FK585" i="38"/>
  <c r="FJ586" i="38"/>
  <c r="FK586" i="38"/>
  <c r="FJ587" i="38"/>
  <c r="FK587" i="38"/>
  <c r="FJ588" i="38"/>
  <c r="FK588" i="38"/>
  <c r="FJ589" i="38"/>
  <c r="FK589" i="38"/>
  <c r="FJ590" i="38"/>
  <c r="FK590" i="38"/>
  <c r="FJ591" i="38"/>
  <c r="FK591" i="38"/>
  <c r="FJ592" i="38"/>
  <c r="FK592" i="38"/>
  <c r="FJ593" i="38"/>
  <c r="FK593" i="38"/>
  <c r="FJ594" i="38"/>
  <c r="FK594" i="38"/>
  <c r="FJ595" i="38"/>
  <c r="FK595" i="38"/>
  <c r="FJ596" i="38"/>
  <c r="FK596" i="38"/>
  <c r="FJ597" i="38"/>
  <c r="FK597" i="38"/>
  <c r="FJ598" i="38"/>
  <c r="FK598" i="38"/>
  <c r="FJ599" i="38"/>
  <c r="FK599" i="38"/>
  <c r="FJ600" i="38"/>
  <c r="FK600" i="38"/>
  <c r="FJ601" i="38"/>
  <c r="FK601" i="38"/>
  <c r="FJ602" i="38"/>
  <c r="FK602" i="38"/>
  <c r="FJ603" i="38"/>
  <c r="FK603" i="38"/>
  <c r="FJ604" i="38"/>
  <c r="FK604" i="38"/>
  <c r="FJ605" i="38"/>
  <c r="FK605" i="38"/>
  <c r="FJ606" i="38"/>
  <c r="FK606" i="38"/>
  <c r="FJ607" i="38"/>
  <c r="FK607" i="38"/>
  <c r="FJ608" i="38"/>
  <c r="FK608" i="38"/>
  <c r="FJ609" i="38"/>
  <c r="FK609" i="38"/>
  <c r="FJ610" i="38"/>
  <c r="FK610" i="38"/>
  <c r="FJ611" i="38"/>
  <c r="FK611" i="38"/>
  <c r="FJ612" i="38"/>
  <c r="FK612" i="38"/>
  <c r="FJ613" i="38"/>
  <c r="FK613" i="38"/>
  <c r="FJ614" i="38"/>
  <c r="FK614" i="38"/>
  <c r="FJ615" i="38"/>
  <c r="FK615" i="38"/>
  <c r="FJ616" i="38"/>
  <c r="FK616" i="38"/>
  <c r="FJ617" i="38"/>
  <c r="FK617" i="38"/>
  <c r="FJ618" i="38"/>
  <c r="FK618" i="38"/>
  <c r="FJ619" i="38"/>
  <c r="FK619" i="38"/>
  <c r="FJ620" i="38"/>
  <c r="FK620" i="38"/>
  <c r="FJ621" i="38"/>
  <c r="FK621" i="38"/>
  <c r="FJ622" i="38"/>
  <c r="FK622" i="38"/>
  <c r="FJ623" i="38"/>
  <c r="FK623" i="38"/>
  <c r="FJ624" i="38"/>
  <c r="FK624" i="38"/>
  <c r="FJ625" i="38"/>
  <c r="FK625" i="38"/>
  <c r="FJ626" i="38"/>
  <c r="FK626" i="38"/>
  <c r="FJ627" i="38"/>
  <c r="FK627" i="38"/>
  <c r="FJ628" i="38"/>
  <c r="FK628" i="38"/>
  <c r="FJ629" i="38"/>
  <c r="FK629" i="38"/>
  <c r="FJ630" i="38"/>
  <c r="FK630" i="38"/>
  <c r="FJ631" i="38"/>
  <c r="FK631" i="38"/>
  <c r="FJ632" i="38"/>
  <c r="FK632" i="38"/>
  <c r="FJ633" i="38"/>
  <c r="FK633" i="38"/>
  <c r="FJ634" i="38"/>
  <c r="FK634" i="38"/>
  <c r="FJ635" i="38"/>
  <c r="FK635" i="38"/>
  <c r="FJ636" i="38"/>
  <c r="FK636" i="38"/>
  <c r="EH11" i="38"/>
  <c r="EJ11" i="38" s="1"/>
  <c r="EI11" i="38"/>
  <c r="EK11" i="38"/>
  <c r="EM11" i="38" s="1"/>
  <c r="EL11" i="38"/>
  <c r="EN11" i="38"/>
  <c r="EO11" i="38"/>
  <c r="EH12" i="38"/>
  <c r="EJ12" i="38" s="1"/>
  <c r="EI12" i="38"/>
  <c r="EK12" i="38"/>
  <c r="EM12" i="38" s="1"/>
  <c r="EL12" i="38"/>
  <c r="EO12" i="38"/>
  <c r="EH13" i="38"/>
  <c r="EJ13" i="38" s="1"/>
  <c r="EI13" i="38"/>
  <c r="EK13" i="38"/>
  <c r="EM13" i="38" s="1"/>
  <c r="EL13" i="38"/>
  <c r="EO13" i="38"/>
  <c r="EH14" i="38"/>
  <c r="EJ14" i="38" s="1"/>
  <c r="EI14" i="38"/>
  <c r="EK14" i="38"/>
  <c r="EM14" i="38" s="1"/>
  <c r="EL14" i="38"/>
  <c r="EN14" i="38"/>
  <c r="EO14" i="38"/>
  <c r="EH15" i="38"/>
  <c r="EJ15" i="38" s="1"/>
  <c r="EI15" i="38"/>
  <c r="EK15" i="38"/>
  <c r="EM15" i="38" s="1"/>
  <c r="EL15" i="38"/>
  <c r="EN15" i="38"/>
  <c r="EO15" i="38"/>
  <c r="EH16" i="38"/>
  <c r="EJ16" i="38" s="1"/>
  <c r="EI16" i="38"/>
  <c r="EK16" i="38"/>
  <c r="EM16" i="38" s="1"/>
  <c r="EL16" i="38"/>
  <c r="EN16" i="38"/>
  <c r="EO16" i="38"/>
  <c r="EH17" i="38"/>
  <c r="EJ17" i="38" s="1"/>
  <c r="EI17" i="38"/>
  <c r="EK17" i="38"/>
  <c r="EM17" i="38" s="1"/>
  <c r="EL17" i="38"/>
  <c r="EO17" i="38"/>
  <c r="EH18" i="38"/>
  <c r="EJ18" i="38" s="1"/>
  <c r="EI18" i="38"/>
  <c r="EK18" i="38"/>
  <c r="EM18" i="38" s="1"/>
  <c r="EL18" i="38"/>
  <c r="EO18" i="38"/>
  <c r="EH19" i="38"/>
  <c r="EJ19" i="38" s="1"/>
  <c r="EI19" i="38"/>
  <c r="EK19" i="38"/>
  <c r="EM19" i="38" s="1"/>
  <c r="EL19" i="38"/>
  <c r="EN19" i="38"/>
  <c r="EO19" i="38"/>
  <c r="EH20" i="38"/>
  <c r="EJ20" i="38" s="1"/>
  <c r="EI20" i="38"/>
  <c r="EK20" i="38"/>
  <c r="EM20" i="38" s="1"/>
  <c r="EL20" i="38"/>
  <c r="EO20" i="38"/>
  <c r="EH21" i="38"/>
  <c r="EJ21" i="38" s="1"/>
  <c r="EI21" i="38"/>
  <c r="EK21" i="38"/>
  <c r="EM21" i="38" s="1"/>
  <c r="EL21" i="38"/>
  <c r="EO21" i="38"/>
  <c r="EH22" i="38"/>
  <c r="EJ22" i="38" s="1"/>
  <c r="EI22" i="38"/>
  <c r="EK22" i="38"/>
  <c r="EM22" i="38" s="1"/>
  <c r="EL22" i="38"/>
  <c r="EN22" i="38"/>
  <c r="EO22" i="38"/>
  <c r="EH23" i="38"/>
  <c r="EJ23" i="38" s="1"/>
  <c r="EI23" i="38"/>
  <c r="EK23" i="38"/>
  <c r="EM23" i="38" s="1"/>
  <c r="EL23" i="38"/>
  <c r="EN23" i="38"/>
  <c r="EO23" i="38"/>
  <c r="EH24" i="38"/>
  <c r="EJ24" i="38" s="1"/>
  <c r="EI24" i="38"/>
  <c r="EK24" i="38"/>
  <c r="EM24" i="38" s="1"/>
  <c r="EL24" i="38"/>
  <c r="EO24" i="38"/>
  <c r="EH25" i="38"/>
  <c r="EJ25" i="38" s="1"/>
  <c r="EI25" i="38"/>
  <c r="EK25" i="38"/>
  <c r="EM25" i="38" s="1"/>
  <c r="EL25" i="38"/>
  <c r="EO25" i="38"/>
  <c r="EH26" i="38"/>
  <c r="EJ26" i="38" s="1"/>
  <c r="EI26" i="38"/>
  <c r="EK26" i="38"/>
  <c r="EM26" i="38" s="1"/>
  <c r="EL26" i="38"/>
  <c r="EN26" i="38"/>
  <c r="EO26" i="38"/>
  <c r="EH27" i="38"/>
  <c r="EJ27" i="38" s="1"/>
  <c r="EI27" i="38"/>
  <c r="EK27" i="38"/>
  <c r="EM27" i="38" s="1"/>
  <c r="EL27" i="38"/>
  <c r="EN27" i="38"/>
  <c r="EO27" i="38"/>
  <c r="EH28" i="38"/>
  <c r="EJ28" i="38" s="1"/>
  <c r="EI28" i="38"/>
  <c r="EK28" i="38"/>
  <c r="EM28" i="38" s="1"/>
  <c r="EL28" i="38"/>
  <c r="EO28" i="38"/>
  <c r="EH29" i="38"/>
  <c r="EJ29" i="38" s="1"/>
  <c r="EI29" i="38"/>
  <c r="EK29" i="38"/>
  <c r="EM29" i="38" s="1"/>
  <c r="EL29" i="38"/>
  <c r="EO29" i="38"/>
  <c r="EH30" i="38"/>
  <c r="EJ30" i="38" s="1"/>
  <c r="EI30" i="38"/>
  <c r="EK30" i="38"/>
  <c r="EM30" i="38" s="1"/>
  <c r="EL30" i="38"/>
  <c r="EN30" i="38"/>
  <c r="EO30" i="38"/>
  <c r="EH31" i="38"/>
  <c r="EJ31" i="38" s="1"/>
  <c r="EI31" i="38"/>
  <c r="EK31" i="38"/>
  <c r="EM31" i="38" s="1"/>
  <c r="EL31" i="38"/>
  <c r="EN31" i="38"/>
  <c r="EO31" i="38"/>
  <c r="EH32" i="38"/>
  <c r="EJ32" i="38" s="1"/>
  <c r="EI32" i="38"/>
  <c r="EK32" i="38"/>
  <c r="EM32" i="38" s="1"/>
  <c r="EL32" i="38"/>
  <c r="EN32" i="38"/>
  <c r="EO32" i="38"/>
  <c r="EH33" i="38"/>
  <c r="EJ33" i="38" s="1"/>
  <c r="EI33" i="38"/>
  <c r="EK33" i="38"/>
  <c r="EM33" i="38" s="1"/>
  <c r="EL33" i="38"/>
  <c r="EO33" i="38"/>
  <c r="EH34" i="38"/>
  <c r="EJ34" i="38" s="1"/>
  <c r="EI34" i="38"/>
  <c r="EK34" i="38"/>
  <c r="EM34" i="38" s="1"/>
  <c r="EL34" i="38"/>
  <c r="EO34" i="38"/>
  <c r="EH35" i="38"/>
  <c r="EJ35" i="38" s="1"/>
  <c r="EI35" i="38"/>
  <c r="EK35" i="38"/>
  <c r="EM35" i="38" s="1"/>
  <c r="EL35" i="38"/>
  <c r="EN35" i="38"/>
  <c r="EH36" i="38"/>
  <c r="EJ36" i="38" s="1"/>
  <c r="EI36" i="38"/>
  <c r="EK36" i="38"/>
  <c r="EM36" i="38" s="1"/>
  <c r="EL36" i="38"/>
  <c r="EN36" i="38"/>
  <c r="EO36" i="38"/>
  <c r="EH37" i="38"/>
  <c r="EJ37" i="38" s="1"/>
  <c r="EI37" i="38"/>
  <c r="EK37" i="38"/>
  <c r="EM37" i="38" s="1"/>
  <c r="EL37" i="38"/>
  <c r="EH38" i="38"/>
  <c r="EJ38" i="38" s="1"/>
  <c r="EI38" i="38"/>
  <c r="EK38" i="38"/>
  <c r="EM38" i="38" s="1"/>
  <c r="EL38" i="38"/>
  <c r="EO38" i="38"/>
  <c r="EH39" i="38"/>
  <c r="EJ39" i="38" s="1"/>
  <c r="EI39" i="38"/>
  <c r="EK39" i="38"/>
  <c r="EM39" i="38" s="1"/>
  <c r="EL39" i="38"/>
  <c r="EN39" i="38"/>
  <c r="EH40" i="38"/>
  <c r="EJ40" i="38" s="1"/>
  <c r="EI40" i="38"/>
  <c r="EK40" i="38"/>
  <c r="EM40" i="38" s="1"/>
  <c r="EL40" i="38"/>
  <c r="EN40" i="38"/>
  <c r="EO40" i="38"/>
  <c r="EH41" i="38"/>
  <c r="EJ41" i="38" s="1"/>
  <c r="EI41" i="38"/>
  <c r="EK41" i="38"/>
  <c r="EM41" i="38" s="1"/>
  <c r="EL41" i="38"/>
  <c r="EH42" i="38"/>
  <c r="EJ42" i="38" s="1"/>
  <c r="EI42" i="38"/>
  <c r="EK42" i="38"/>
  <c r="EM42" i="38" s="1"/>
  <c r="EL42" i="38"/>
  <c r="EO42" i="38"/>
  <c r="EH43" i="38"/>
  <c r="EJ43" i="38" s="1"/>
  <c r="EI43" i="38"/>
  <c r="EK43" i="38"/>
  <c r="EM43" i="38" s="1"/>
  <c r="EL43" i="38"/>
  <c r="EN43" i="38"/>
  <c r="EH44" i="38"/>
  <c r="EJ44" i="38" s="1"/>
  <c r="EI44" i="38"/>
  <c r="EK44" i="38"/>
  <c r="EM44" i="38" s="1"/>
  <c r="EL44" i="38"/>
  <c r="EN44" i="38"/>
  <c r="EH45" i="38"/>
  <c r="EJ45" i="38" s="1"/>
  <c r="EI45" i="38"/>
  <c r="EK45" i="38"/>
  <c r="EM45" i="38" s="1"/>
  <c r="EL45" i="38"/>
  <c r="EH46" i="38"/>
  <c r="EJ46" i="38" s="1"/>
  <c r="EI46" i="38"/>
  <c r="EK46" i="38"/>
  <c r="EM46" i="38" s="1"/>
  <c r="EL46" i="38"/>
  <c r="EN46" i="38"/>
  <c r="EO46" i="38"/>
  <c r="EH47" i="38"/>
  <c r="EJ47" i="38" s="1"/>
  <c r="EI47" i="38"/>
  <c r="EK47" i="38"/>
  <c r="EM47" i="38" s="1"/>
  <c r="EL47" i="38"/>
  <c r="EN47" i="38"/>
  <c r="EH48" i="38"/>
  <c r="EJ48" i="38" s="1"/>
  <c r="EI48" i="38"/>
  <c r="EK48" i="38"/>
  <c r="EM48" i="38" s="1"/>
  <c r="EL48" i="38"/>
  <c r="EN48" i="38"/>
  <c r="EH49" i="38"/>
  <c r="EJ49" i="38" s="1"/>
  <c r="EI49" i="38"/>
  <c r="EK49" i="38"/>
  <c r="EM49" i="38" s="1"/>
  <c r="EL49" i="38"/>
  <c r="EH50" i="38"/>
  <c r="EJ50" i="38" s="1"/>
  <c r="EI50" i="38"/>
  <c r="EK50" i="38"/>
  <c r="EM50" i="38" s="1"/>
  <c r="EL50" i="38"/>
  <c r="EN50" i="38"/>
  <c r="EO50" i="38"/>
  <c r="EH51" i="38"/>
  <c r="EJ51" i="38" s="1"/>
  <c r="EI51" i="38"/>
  <c r="EK51" i="38"/>
  <c r="EM51" i="38" s="1"/>
  <c r="EL51" i="38"/>
  <c r="EN51" i="38"/>
  <c r="EH52" i="38"/>
  <c r="EJ52" i="38" s="1"/>
  <c r="EI52" i="38"/>
  <c r="EK52" i="38"/>
  <c r="EM52" i="38" s="1"/>
  <c r="EL52" i="38"/>
  <c r="EO52" i="38"/>
  <c r="EH53" i="38"/>
  <c r="EJ53" i="38" s="1"/>
  <c r="EI53" i="38"/>
  <c r="EK53" i="38"/>
  <c r="EM53" i="38" s="1"/>
  <c r="EL53" i="38"/>
  <c r="EH54" i="38"/>
  <c r="EJ54" i="38" s="1"/>
  <c r="EI54" i="38"/>
  <c r="EK54" i="38"/>
  <c r="EM54" i="38" s="1"/>
  <c r="EL54" i="38"/>
  <c r="EN54" i="38"/>
  <c r="EO54" i="38"/>
  <c r="EH55" i="38"/>
  <c r="EJ55" i="38" s="1"/>
  <c r="EI55" i="38"/>
  <c r="EK55" i="38"/>
  <c r="EM55" i="38" s="1"/>
  <c r="EL55" i="38"/>
  <c r="EN55" i="38"/>
  <c r="EH56" i="38"/>
  <c r="EJ56" i="38" s="1"/>
  <c r="EI56" i="38"/>
  <c r="EK56" i="38"/>
  <c r="EM56" i="38" s="1"/>
  <c r="EL56" i="38"/>
  <c r="EH57" i="38"/>
  <c r="EJ57" i="38" s="1"/>
  <c r="EI57" i="38"/>
  <c r="EK57" i="38"/>
  <c r="EM57" i="38" s="1"/>
  <c r="EL57" i="38"/>
  <c r="EH58" i="38"/>
  <c r="EJ58" i="38" s="1"/>
  <c r="EI58" i="38"/>
  <c r="EK58" i="38"/>
  <c r="EM58" i="38" s="1"/>
  <c r="EL58" i="38"/>
  <c r="EN58" i="38"/>
  <c r="EO58" i="38"/>
  <c r="EH59" i="38"/>
  <c r="EJ59" i="38" s="1"/>
  <c r="EI59" i="38"/>
  <c r="EK59" i="38"/>
  <c r="EM59" i="38" s="1"/>
  <c r="EL59" i="38"/>
  <c r="EN59" i="38"/>
  <c r="EH60" i="38"/>
  <c r="EJ60" i="38" s="1"/>
  <c r="EI60" i="38"/>
  <c r="EK60" i="38"/>
  <c r="EM60" i="38" s="1"/>
  <c r="EL60" i="38"/>
  <c r="EH61" i="38"/>
  <c r="EJ61" i="38" s="1"/>
  <c r="EI61" i="38"/>
  <c r="EK61" i="38"/>
  <c r="EM61" i="38" s="1"/>
  <c r="EL61" i="38"/>
  <c r="EH62" i="38"/>
  <c r="EJ62" i="38" s="1"/>
  <c r="EI62" i="38"/>
  <c r="EK62" i="38"/>
  <c r="EM62" i="38" s="1"/>
  <c r="EL62" i="38"/>
  <c r="EN62" i="38"/>
  <c r="EO62" i="38"/>
  <c r="EH63" i="38"/>
  <c r="EJ63" i="38" s="1"/>
  <c r="EI63" i="38"/>
  <c r="EK63" i="38"/>
  <c r="EM63" i="38" s="1"/>
  <c r="EL63" i="38"/>
  <c r="EN63" i="38"/>
  <c r="EH64" i="38"/>
  <c r="EJ64" i="38" s="1"/>
  <c r="EI64" i="38"/>
  <c r="EK64" i="38"/>
  <c r="EM64" i="38" s="1"/>
  <c r="EL64" i="38"/>
  <c r="EH65" i="38"/>
  <c r="EJ65" i="38" s="1"/>
  <c r="EI65" i="38"/>
  <c r="EK65" i="38"/>
  <c r="EM65" i="38" s="1"/>
  <c r="EL65" i="38"/>
  <c r="EH66" i="38"/>
  <c r="EJ66" i="38" s="1"/>
  <c r="EI66" i="38"/>
  <c r="EK66" i="38"/>
  <c r="EM66" i="38" s="1"/>
  <c r="EL66" i="38"/>
  <c r="EN66" i="38"/>
  <c r="EO66" i="38"/>
  <c r="EH67" i="38"/>
  <c r="EJ67" i="38" s="1"/>
  <c r="EI67" i="38"/>
  <c r="EK67" i="38"/>
  <c r="EM67" i="38" s="1"/>
  <c r="EL67" i="38"/>
  <c r="EN67" i="38"/>
  <c r="EH68" i="38"/>
  <c r="EJ68" i="38" s="1"/>
  <c r="EI68" i="38"/>
  <c r="EK68" i="38"/>
  <c r="EM68" i="38" s="1"/>
  <c r="EL68" i="38"/>
  <c r="EH69" i="38"/>
  <c r="EJ69" i="38" s="1"/>
  <c r="EI69" i="38"/>
  <c r="EK69" i="38"/>
  <c r="EM69" i="38" s="1"/>
  <c r="EL69" i="38"/>
  <c r="EH70" i="38"/>
  <c r="EJ70" i="38" s="1"/>
  <c r="EI70" i="38"/>
  <c r="EK70" i="38"/>
  <c r="EM70" i="38" s="1"/>
  <c r="EL70" i="38"/>
  <c r="EN70" i="38"/>
  <c r="EO70" i="38"/>
  <c r="EH71" i="38"/>
  <c r="EJ71" i="38" s="1"/>
  <c r="EI71" i="38"/>
  <c r="EK71" i="38"/>
  <c r="EM71" i="38" s="1"/>
  <c r="EL71" i="38"/>
  <c r="EN71" i="38"/>
  <c r="EH72" i="38"/>
  <c r="EJ72" i="38" s="1"/>
  <c r="EI72" i="38"/>
  <c r="EK72" i="38"/>
  <c r="EM72" i="38" s="1"/>
  <c r="EL72" i="38"/>
  <c r="EH73" i="38"/>
  <c r="EJ73" i="38" s="1"/>
  <c r="EI73" i="38"/>
  <c r="EK73" i="38"/>
  <c r="EM73" i="38" s="1"/>
  <c r="EL73" i="38"/>
  <c r="EH74" i="38"/>
  <c r="EJ74" i="38" s="1"/>
  <c r="EI74" i="38"/>
  <c r="EK74" i="38"/>
  <c r="EM74" i="38" s="1"/>
  <c r="EL74" i="38"/>
  <c r="EN74" i="38"/>
  <c r="EO74" i="38"/>
  <c r="EH75" i="38"/>
  <c r="EJ75" i="38" s="1"/>
  <c r="EI75" i="38"/>
  <c r="EK75" i="38"/>
  <c r="EM75" i="38" s="1"/>
  <c r="EL75" i="38"/>
  <c r="EN75" i="38"/>
  <c r="EH76" i="38"/>
  <c r="EJ76" i="38" s="1"/>
  <c r="EI76" i="38"/>
  <c r="EK76" i="38"/>
  <c r="EM76" i="38" s="1"/>
  <c r="EL76" i="38"/>
  <c r="EH77" i="38"/>
  <c r="EJ77" i="38" s="1"/>
  <c r="EI77" i="38"/>
  <c r="EK77" i="38"/>
  <c r="EM77" i="38" s="1"/>
  <c r="EL77" i="38"/>
  <c r="EH78" i="38"/>
  <c r="EJ78" i="38" s="1"/>
  <c r="EI78" i="38"/>
  <c r="EK78" i="38"/>
  <c r="EM78" i="38" s="1"/>
  <c r="EL78" i="38"/>
  <c r="EN78" i="38"/>
  <c r="EO78" i="38"/>
  <c r="EH79" i="38"/>
  <c r="EJ79" i="38" s="1"/>
  <c r="EI79" i="38"/>
  <c r="EK79" i="38"/>
  <c r="EM79" i="38" s="1"/>
  <c r="EL79" i="38"/>
  <c r="EN79" i="38"/>
  <c r="EH80" i="38"/>
  <c r="EJ80" i="38" s="1"/>
  <c r="EI80" i="38"/>
  <c r="EK80" i="38"/>
  <c r="EM80" i="38" s="1"/>
  <c r="EL80" i="38"/>
  <c r="EH81" i="38"/>
  <c r="EJ81" i="38" s="1"/>
  <c r="EI81" i="38"/>
  <c r="EK81" i="38"/>
  <c r="EM81" i="38" s="1"/>
  <c r="EL81" i="38"/>
  <c r="EH82" i="38"/>
  <c r="EJ82" i="38" s="1"/>
  <c r="EI82" i="38"/>
  <c r="EK82" i="38"/>
  <c r="EM82" i="38" s="1"/>
  <c r="EL82" i="38"/>
  <c r="EN82" i="38"/>
  <c r="EO82" i="38"/>
  <c r="EH83" i="38"/>
  <c r="EN83" i="38" s="1"/>
  <c r="EI83" i="38"/>
  <c r="EJ83" i="38"/>
  <c r="EK83" i="38"/>
  <c r="EM83" i="38" s="1"/>
  <c r="EL83" i="38"/>
  <c r="EO83" i="38"/>
  <c r="EH84" i="38"/>
  <c r="EI84" i="38"/>
  <c r="EK84" i="38"/>
  <c r="EM84" i="38" s="1"/>
  <c r="EL84" i="38"/>
  <c r="EH85" i="38"/>
  <c r="EI85" i="38"/>
  <c r="EJ85" i="38"/>
  <c r="EK85" i="38"/>
  <c r="EM85" i="38" s="1"/>
  <c r="EL85" i="38"/>
  <c r="EN85" i="38"/>
  <c r="EO85" i="38"/>
  <c r="EH86" i="38"/>
  <c r="EI86" i="38"/>
  <c r="EJ86" i="38"/>
  <c r="EK86" i="38"/>
  <c r="EM86" i="38" s="1"/>
  <c r="EL86" i="38"/>
  <c r="EN86" i="38"/>
  <c r="EH87" i="38"/>
  <c r="EN87" i="38" s="1"/>
  <c r="EI87" i="38"/>
  <c r="EJ87" i="38"/>
  <c r="EK87" i="38"/>
  <c r="EL87" i="38"/>
  <c r="EH88" i="38"/>
  <c r="EJ88" i="38" s="1"/>
  <c r="EI88" i="38"/>
  <c r="EK88" i="38"/>
  <c r="EM88" i="38" s="1"/>
  <c r="EL88" i="38"/>
  <c r="EN88" i="38"/>
  <c r="EH89" i="38"/>
  <c r="EJ89" i="38" s="1"/>
  <c r="EI89" i="38"/>
  <c r="EK89" i="38"/>
  <c r="EM89" i="38" s="1"/>
  <c r="EL89" i="38"/>
  <c r="EN89" i="38"/>
  <c r="EO89" i="38"/>
  <c r="EH90" i="38"/>
  <c r="EI90" i="38"/>
  <c r="EJ90" i="38"/>
  <c r="EK90" i="38"/>
  <c r="EM90" i="38" s="1"/>
  <c r="EL90" i="38"/>
  <c r="EN90" i="38"/>
  <c r="EO90" i="38"/>
  <c r="EH91" i="38"/>
  <c r="EN91" i="38" s="1"/>
  <c r="EI91" i="38"/>
  <c r="EJ91" i="38"/>
  <c r="EK91" i="38"/>
  <c r="EM91" i="38" s="1"/>
  <c r="EL91" i="38"/>
  <c r="EO91" i="38"/>
  <c r="EH92" i="38"/>
  <c r="EI92" i="38"/>
  <c r="EK92" i="38"/>
  <c r="EM92" i="38" s="1"/>
  <c r="EL92" i="38"/>
  <c r="EH93" i="38"/>
  <c r="EJ93" i="38" s="1"/>
  <c r="EI93" i="38"/>
  <c r="EK93" i="38"/>
  <c r="EM93" i="38" s="1"/>
  <c r="EL93" i="38"/>
  <c r="EO93" i="38"/>
  <c r="EH94" i="38"/>
  <c r="EI94" i="38"/>
  <c r="EJ94" i="38"/>
  <c r="EK94" i="38"/>
  <c r="EM94" i="38" s="1"/>
  <c r="EL94" i="38"/>
  <c r="EN94" i="38"/>
  <c r="EO94" i="38"/>
  <c r="EH95" i="38"/>
  <c r="EN95" i="38" s="1"/>
  <c r="EI95" i="38"/>
  <c r="EK95" i="38"/>
  <c r="EL95" i="38"/>
  <c r="EH96" i="38"/>
  <c r="EN96" i="38" s="1"/>
  <c r="EI96" i="38"/>
  <c r="EK96" i="38"/>
  <c r="EO96" i="38" s="1"/>
  <c r="EL96" i="38"/>
  <c r="EM96" i="38"/>
  <c r="EH97" i="38"/>
  <c r="EN97" i="38" s="1"/>
  <c r="EI97" i="38"/>
  <c r="EK97" i="38"/>
  <c r="EM97" i="38" s="1"/>
  <c r="EL97" i="38"/>
  <c r="EH98" i="38"/>
  <c r="EN98" i="38" s="1"/>
  <c r="EI98" i="38"/>
  <c r="EK98" i="38"/>
  <c r="EM98" i="38" s="1"/>
  <c r="EL98" i="38"/>
  <c r="EH99" i="38"/>
  <c r="EN99" i="38" s="1"/>
  <c r="EI99" i="38"/>
  <c r="EK99" i="38"/>
  <c r="EM99" i="38" s="1"/>
  <c r="EL99" i="38"/>
  <c r="EH100" i="38"/>
  <c r="EN100" i="38" s="1"/>
  <c r="EI100" i="38"/>
  <c r="EK100" i="38"/>
  <c r="EM100" i="38" s="1"/>
  <c r="EL100" i="38"/>
  <c r="EH101" i="38"/>
  <c r="EN101" i="38" s="1"/>
  <c r="EI101" i="38"/>
  <c r="EK101" i="38"/>
  <c r="EM101" i="38" s="1"/>
  <c r="EL101" i="38"/>
  <c r="EH102" i="38"/>
  <c r="EN102" i="38" s="1"/>
  <c r="EI102" i="38"/>
  <c r="EK102" i="38"/>
  <c r="EM102" i="38" s="1"/>
  <c r="EL102" i="38"/>
  <c r="EH103" i="38"/>
  <c r="EN103" i="38" s="1"/>
  <c r="EI103" i="38"/>
  <c r="EK103" i="38"/>
  <c r="EM103" i="38" s="1"/>
  <c r="EL103" i="38"/>
  <c r="EH104" i="38"/>
  <c r="EN104" i="38" s="1"/>
  <c r="EI104" i="38"/>
  <c r="EK104" i="38"/>
  <c r="EM104" i="38" s="1"/>
  <c r="EL104" i="38"/>
  <c r="EH105" i="38"/>
  <c r="EN105" i="38" s="1"/>
  <c r="EI105" i="38"/>
  <c r="EK105" i="38"/>
  <c r="EM105" i="38" s="1"/>
  <c r="EL105" i="38"/>
  <c r="EH106" i="38"/>
  <c r="EN106" i="38" s="1"/>
  <c r="EI106" i="38"/>
  <c r="EK106" i="38"/>
  <c r="EM106" i="38" s="1"/>
  <c r="EL106" i="38"/>
  <c r="EH107" i="38"/>
  <c r="EN107" i="38" s="1"/>
  <c r="EI107" i="38"/>
  <c r="EK107" i="38"/>
  <c r="EM107" i="38" s="1"/>
  <c r="EL107" i="38"/>
  <c r="EH108" i="38"/>
  <c r="EN108" i="38" s="1"/>
  <c r="EI108" i="38"/>
  <c r="EK108" i="38"/>
  <c r="EM108" i="38" s="1"/>
  <c r="EL108" i="38"/>
  <c r="EH109" i="38"/>
  <c r="EN109" i="38" s="1"/>
  <c r="EI109" i="38"/>
  <c r="EK109" i="38"/>
  <c r="EM109" i="38" s="1"/>
  <c r="EL109" i="38"/>
  <c r="EH110" i="38"/>
  <c r="EN110" i="38" s="1"/>
  <c r="EI110" i="38"/>
  <c r="EK110" i="38"/>
  <c r="EM110" i="38" s="1"/>
  <c r="EL110" i="38"/>
  <c r="EH111" i="38"/>
  <c r="EN111" i="38" s="1"/>
  <c r="EI111" i="38"/>
  <c r="EK111" i="38"/>
  <c r="EM111" i="38" s="1"/>
  <c r="EL111" i="38"/>
  <c r="EH112" i="38"/>
  <c r="EN112" i="38" s="1"/>
  <c r="EI112" i="38"/>
  <c r="EK112" i="38"/>
  <c r="EM112" i="38" s="1"/>
  <c r="EL112" i="38"/>
  <c r="EH113" i="38"/>
  <c r="EN113" i="38" s="1"/>
  <c r="EI113" i="38"/>
  <c r="EK113" i="38"/>
  <c r="EM113" i="38" s="1"/>
  <c r="EL113" i="38"/>
  <c r="EH114" i="38"/>
  <c r="EN114" i="38" s="1"/>
  <c r="EI114" i="38"/>
  <c r="EK114" i="38"/>
  <c r="EM114" i="38" s="1"/>
  <c r="EL114" i="38"/>
  <c r="EH115" i="38"/>
  <c r="EN115" i="38" s="1"/>
  <c r="EI115" i="38"/>
  <c r="EK115" i="38"/>
  <c r="EM115" i="38" s="1"/>
  <c r="EL115" i="38"/>
  <c r="EH116" i="38"/>
  <c r="EN116" i="38" s="1"/>
  <c r="EI116" i="38"/>
  <c r="EK116" i="38"/>
  <c r="EM116" i="38" s="1"/>
  <c r="EL116" i="38"/>
  <c r="EH117" i="38"/>
  <c r="EN117" i="38" s="1"/>
  <c r="EI117" i="38"/>
  <c r="EK117" i="38"/>
  <c r="EM117" i="38" s="1"/>
  <c r="EL117" i="38"/>
  <c r="EH118" i="38"/>
  <c r="EN118" i="38" s="1"/>
  <c r="EI118" i="38"/>
  <c r="EK118" i="38"/>
  <c r="EM118" i="38" s="1"/>
  <c r="EL118" i="38"/>
  <c r="EH119" i="38"/>
  <c r="EI119" i="38"/>
  <c r="EK119" i="38"/>
  <c r="EL119" i="38"/>
  <c r="EH120" i="38"/>
  <c r="EI120" i="38"/>
  <c r="EK120" i="38"/>
  <c r="EL120" i="38"/>
  <c r="EH121" i="38"/>
  <c r="EI121" i="38"/>
  <c r="EK121" i="38"/>
  <c r="EL121" i="38"/>
  <c r="EH122" i="38"/>
  <c r="EI122" i="38"/>
  <c r="EK122" i="38"/>
  <c r="EL122" i="38"/>
  <c r="EH123" i="38"/>
  <c r="EI123" i="38"/>
  <c r="EK123" i="38"/>
  <c r="EL123" i="38"/>
  <c r="EH124" i="38"/>
  <c r="EI124" i="38"/>
  <c r="EK124" i="38"/>
  <c r="EL124" i="38"/>
  <c r="EH125" i="38"/>
  <c r="EI125" i="38"/>
  <c r="EK125" i="38"/>
  <c r="EL125" i="38"/>
  <c r="EH126" i="38"/>
  <c r="EI126" i="38"/>
  <c r="EK126" i="38"/>
  <c r="EL126" i="38"/>
  <c r="EH127" i="38"/>
  <c r="EI127" i="38"/>
  <c r="EK127" i="38"/>
  <c r="EL127" i="38"/>
  <c r="EH128" i="38"/>
  <c r="EI128" i="38"/>
  <c r="EK128" i="38"/>
  <c r="EL128" i="38"/>
  <c r="EH129" i="38"/>
  <c r="EI129" i="38"/>
  <c r="EK129" i="38"/>
  <c r="EL129" i="38"/>
  <c r="EH130" i="38"/>
  <c r="EI130" i="38"/>
  <c r="EK130" i="38"/>
  <c r="EL130" i="38"/>
  <c r="EH131" i="38"/>
  <c r="EI131" i="38"/>
  <c r="EK131" i="38"/>
  <c r="EL131" i="38"/>
  <c r="EH132" i="38"/>
  <c r="EI132" i="38"/>
  <c r="EK132" i="38"/>
  <c r="EL132" i="38"/>
  <c r="EH133" i="38"/>
  <c r="EI133" i="38"/>
  <c r="EK133" i="38"/>
  <c r="EL133" i="38"/>
  <c r="EH134" i="38"/>
  <c r="EI134" i="38"/>
  <c r="EK134" i="38"/>
  <c r="EL134" i="38"/>
  <c r="EH135" i="38"/>
  <c r="EI135" i="38"/>
  <c r="EK135" i="38"/>
  <c r="EL135" i="38"/>
  <c r="EH136" i="38"/>
  <c r="EI136" i="38"/>
  <c r="EK136" i="38"/>
  <c r="EL136" i="38"/>
  <c r="EH137" i="38"/>
  <c r="EI137" i="38"/>
  <c r="EK137" i="38"/>
  <c r="EL137" i="38"/>
  <c r="EH138" i="38"/>
  <c r="EI138" i="38"/>
  <c r="EK138" i="38"/>
  <c r="EL138" i="38"/>
  <c r="EH139" i="38"/>
  <c r="EI139" i="38"/>
  <c r="EK139" i="38"/>
  <c r="EL139" i="38"/>
  <c r="EH140" i="38"/>
  <c r="EI140" i="38"/>
  <c r="EK140" i="38"/>
  <c r="EL140" i="38"/>
  <c r="EH141" i="38"/>
  <c r="EI141" i="38"/>
  <c r="EK141" i="38"/>
  <c r="EL141" i="38"/>
  <c r="EH142" i="38"/>
  <c r="EI142" i="38"/>
  <c r="EK142" i="38"/>
  <c r="EL142" i="38"/>
  <c r="EH143" i="38"/>
  <c r="EI143" i="38"/>
  <c r="EK143" i="38"/>
  <c r="EL143" i="38"/>
  <c r="EH144" i="38"/>
  <c r="EI144" i="38"/>
  <c r="EK144" i="38"/>
  <c r="EL144" i="38"/>
  <c r="EH145" i="38"/>
  <c r="EI145" i="38"/>
  <c r="EK145" i="38"/>
  <c r="EL145" i="38"/>
  <c r="EH146" i="38"/>
  <c r="EI146" i="38"/>
  <c r="EK146" i="38"/>
  <c r="EL146" i="38"/>
  <c r="EH147" i="38"/>
  <c r="EI147" i="38"/>
  <c r="EK147" i="38"/>
  <c r="EL147" i="38"/>
  <c r="EH148" i="38"/>
  <c r="EI148" i="38"/>
  <c r="EK148" i="38"/>
  <c r="EL148" i="38"/>
  <c r="EH149" i="38"/>
  <c r="EI149" i="38"/>
  <c r="EK149" i="38"/>
  <c r="EL149" i="38"/>
  <c r="EH150" i="38"/>
  <c r="EJ150" i="38" s="1"/>
  <c r="EI150" i="38"/>
  <c r="EK150" i="38"/>
  <c r="EL150" i="38"/>
  <c r="EN150" i="38"/>
  <c r="EH151" i="38"/>
  <c r="EJ151" i="38" s="1"/>
  <c r="EI151" i="38"/>
  <c r="EK151" i="38"/>
  <c r="EM151" i="38" s="1"/>
  <c r="EL151" i="38"/>
  <c r="EN151" i="38"/>
  <c r="EH152" i="38"/>
  <c r="EI152" i="38"/>
  <c r="EK152" i="38"/>
  <c r="EM152" i="38" s="1"/>
  <c r="EL152" i="38"/>
  <c r="EO152" i="38"/>
  <c r="EH153" i="38"/>
  <c r="EJ153" i="38" s="1"/>
  <c r="EI153" i="38"/>
  <c r="EK153" i="38"/>
  <c r="EL153" i="38"/>
  <c r="EH154" i="38"/>
  <c r="EJ154" i="38" s="1"/>
  <c r="EI154" i="38"/>
  <c r="EK154" i="38"/>
  <c r="EL154" i="38"/>
  <c r="EN154" i="38"/>
  <c r="EH155" i="38"/>
  <c r="EI155" i="38"/>
  <c r="EK155" i="38"/>
  <c r="EM155" i="38" s="1"/>
  <c r="EL155" i="38"/>
  <c r="EH156" i="38"/>
  <c r="EI156" i="38"/>
  <c r="EK156" i="38"/>
  <c r="EM156" i="38" s="1"/>
  <c r="EL156" i="38"/>
  <c r="EO156" i="38"/>
  <c r="EH157" i="38"/>
  <c r="EJ157" i="38" s="1"/>
  <c r="EI157" i="38"/>
  <c r="EK157" i="38"/>
  <c r="EL157" i="38"/>
  <c r="EN157" i="38"/>
  <c r="EH158" i="38"/>
  <c r="EJ158" i="38" s="1"/>
  <c r="EI158" i="38"/>
  <c r="EK158" i="38"/>
  <c r="EL158" i="38"/>
  <c r="EN158" i="38"/>
  <c r="EH159" i="38"/>
  <c r="EJ159" i="38" s="1"/>
  <c r="EI159" i="38"/>
  <c r="EK159" i="38"/>
  <c r="EM159" i="38" s="1"/>
  <c r="EL159" i="38"/>
  <c r="EN159" i="38"/>
  <c r="EH160" i="38"/>
  <c r="EI160" i="38"/>
  <c r="EK160" i="38"/>
  <c r="EM160" i="38" s="1"/>
  <c r="EL160" i="38"/>
  <c r="EO160" i="38"/>
  <c r="EH161" i="38"/>
  <c r="EJ161" i="38" s="1"/>
  <c r="EI161" i="38"/>
  <c r="EK161" i="38"/>
  <c r="EL161" i="38"/>
  <c r="EH162" i="38"/>
  <c r="EJ162" i="38" s="1"/>
  <c r="EI162" i="38"/>
  <c r="EK162" i="38"/>
  <c r="EL162" i="38"/>
  <c r="EN162" i="38"/>
  <c r="EH163" i="38"/>
  <c r="EI163" i="38"/>
  <c r="EK163" i="38"/>
  <c r="EL163" i="38"/>
  <c r="EM163" i="38"/>
  <c r="EO163" i="38"/>
  <c r="EH164" i="38"/>
  <c r="EI164" i="38"/>
  <c r="EJ164" i="38"/>
  <c r="EK164" i="38"/>
  <c r="EL164" i="38"/>
  <c r="EM164" i="38"/>
  <c r="EN164" i="38"/>
  <c r="EO164" i="38"/>
  <c r="EH165" i="38"/>
  <c r="EI165" i="38"/>
  <c r="EJ165" i="38"/>
  <c r="EK165" i="38"/>
  <c r="EL165" i="38"/>
  <c r="EM165" i="38"/>
  <c r="EN165" i="38"/>
  <c r="EO165" i="38"/>
  <c r="EH166" i="38"/>
  <c r="EI166" i="38"/>
  <c r="EJ166" i="38"/>
  <c r="EK166" i="38"/>
  <c r="EL166" i="38"/>
  <c r="EM166" i="38"/>
  <c r="EN166" i="38"/>
  <c r="EO166" i="38"/>
  <c r="EH167" i="38"/>
  <c r="EJ167" i="38" s="1"/>
  <c r="EI167" i="38"/>
  <c r="EK167" i="38"/>
  <c r="EL167" i="38"/>
  <c r="EM167" i="38"/>
  <c r="EN167" i="38"/>
  <c r="EO167" i="38"/>
  <c r="EH168" i="38"/>
  <c r="EN168" i="38" s="1"/>
  <c r="EI168" i="38"/>
  <c r="EK168" i="38"/>
  <c r="EL168" i="38"/>
  <c r="EM168" i="38"/>
  <c r="EO168" i="38"/>
  <c r="EH169" i="38"/>
  <c r="EN169" i="38" s="1"/>
  <c r="EI169" i="38"/>
  <c r="EK169" i="38"/>
  <c r="EL169" i="38"/>
  <c r="EM169" i="38"/>
  <c r="EO169" i="38"/>
  <c r="EH170" i="38"/>
  <c r="EN170" i="38" s="1"/>
  <c r="EI170" i="38"/>
  <c r="EK170" i="38"/>
  <c r="EL170" i="38"/>
  <c r="EM170" i="38"/>
  <c r="EO170" i="38"/>
  <c r="EH171" i="38"/>
  <c r="EN171" i="38" s="1"/>
  <c r="EI171" i="38"/>
  <c r="EK171" i="38"/>
  <c r="EL171" i="38"/>
  <c r="EM171" i="38"/>
  <c r="EO171" i="38"/>
  <c r="EH172" i="38"/>
  <c r="EN172" i="38" s="1"/>
  <c r="EI172" i="38"/>
  <c r="EK172" i="38"/>
  <c r="EL172" i="38"/>
  <c r="EM172" i="38"/>
  <c r="EO172" i="38"/>
  <c r="EH173" i="38"/>
  <c r="EN173" i="38" s="1"/>
  <c r="EI173" i="38"/>
  <c r="EK173" i="38"/>
  <c r="EL173" i="38"/>
  <c r="EM173" i="38"/>
  <c r="EO173" i="38"/>
  <c r="EH174" i="38"/>
  <c r="EN174" i="38" s="1"/>
  <c r="EI174" i="38"/>
  <c r="EK174" i="38"/>
  <c r="EL174" i="38"/>
  <c r="EM174" i="38"/>
  <c r="EO174" i="38"/>
  <c r="EH175" i="38"/>
  <c r="EN175" i="38" s="1"/>
  <c r="EI175" i="38"/>
  <c r="EK175" i="38"/>
  <c r="EL175" i="38"/>
  <c r="EM175" i="38"/>
  <c r="EO175" i="38"/>
  <c r="EH176" i="38"/>
  <c r="EN176" i="38" s="1"/>
  <c r="EI176" i="38"/>
  <c r="EK176" i="38"/>
  <c r="EL176" i="38"/>
  <c r="EM176" i="38"/>
  <c r="EO176" i="38"/>
  <c r="EH177" i="38"/>
  <c r="EN177" i="38" s="1"/>
  <c r="EI177" i="38"/>
  <c r="EK177" i="38"/>
  <c r="EL177" i="38"/>
  <c r="EM177" i="38"/>
  <c r="EO177" i="38"/>
  <c r="EH178" i="38"/>
  <c r="EN178" i="38" s="1"/>
  <c r="EI178" i="38"/>
  <c r="EK178" i="38"/>
  <c r="EL178" i="38"/>
  <c r="EM178" i="38"/>
  <c r="EO178" i="38"/>
  <c r="EH179" i="38"/>
  <c r="EN179" i="38" s="1"/>
  <c r="EI179" i="38"/>
  <c r="EK179" i="38"/>
  <c r="EL179" i="38"/>
  <c r="EM179" i="38"/>
  <c r="EO179" i="38"/>
  <c r="EH180" i="38"/>
  <c r="EN180" i="38" s="1"/>
  <c r="EI180" i="38"/>
  <c r="EK180" i="38"/>
  <c r="EL180" i="38"/>
  <c r="EM180" i="38"/>
  <c r="EO180" i="38"/>
  <c r="EH181" i="38"/>
  <c r="EN181" i="38" s="1"/>
  <c r="EI181" i="38"/>
  <c r="EK181" i="38"/>
  <c r="EL181" i="38"/>
  <c r="EM181" i="38"/>
  <c r="EO181" i="38"/>
  <c r="EH182" i="38"/>
  <c r="EN182" i="38" s="1"/>
  <c r="EI182" i="38"/>
  <c r="EK182" i="38"/>
  <c r="EL182" i="38"/>
  <c r="EM182" i="38"/>
  <c r="EO182" i="38"/>
  <c r="EH183" i="38"/>
  <c r="EN183" i="38" s="1"/>
  <c r="EI183" i="38"/>
  <c r="EK183" i="38"/>
  <c r="EL183" i="38"/>
  <c r="EM183" i="38"/>
  <c r="EO183" i="38"/>
  <c r="EH184" i="38"/>
  <c r="EN184" i="38" s="1"/>
  <c r="EI184" i="38"/>
  <c r="EK184" i="38"/>
  <c r="EL184" i="38"/>
  <c r="EM184" i="38"/>
  <c r="EO184" i="38"/>
  <c r="EH185" i="38"/>
  <c r="EN185" i="38" s="1"/>
  <c r="EI185" i="38"/>
  <c r="EK185" i="38"/>
  <c r="EL185" i="38"/>
  <c r="EM185" i="38"/>
  <c r="EO185" i="38"/>
  <c r="EH186" i="38"/>
  <c r="EN186" i="38" s="1"/>
  <c r="EI186" i="38"/>
  <c r="EK186" i="38"/>
  <c r="EL186" i="38"/>
  <c r="EM186" i="38"/>
  <c r="EO186" i="38"/>
  <c r="EH187" i="38"/>
  <c r="EN187" i="38" s="1"/>
  <c r="EI187" i="38"/>
  <c r="EK187" i="38"/>
  <c r="EL187" i="38"/>
  <c r="EM187" i="38"/>
  <c r="EO187" i="38"/>
  <c r="EH188" i="38"/>
  <c r="EN188" i="38" s="1"/>
  <c r="EI188" i="38"/>
  <c r="EK188" i="38"/>
  <c r="EL188" i="38"/>
  <c r="EM188" i="38"/>
  <c r="EO188" i="38"/>
  <c r="EH189" i="38"/>
  <c r="EN189" i="38" s="1"/>
  <c r="EI189" i="38"/>
  <c r="EK189" i="38"/>
  <c r="EL189" i="38"/>
  <c r="EM189" i="38"/>
  <c r="EO189" i="38"/>
  <c r="EH190" i="38"/>
  <c r="EN190" i="38" s="1"/>
  <c r="EI190" i="38"/>
  <c r="EK190" i="38"/>
  <c r="EL190" i="38"/>
  <c r="EM190" i="38"/>
  <c r="EO190" i="38"/>
  <c r="EH191" i="38"/>
  <c r="EN191" i="38" s="1"/>
  <c r="EI191" i="38"/>
  <c r="EK191" i="38"/>
  <c r="EL191" i="38"/>
  <c r="EM191" i="38"/>
  <c r="EO191" i="38"/>
  <c r="EH192" i="38"/>
  <c r="EN192" i="38" s="1"/>
  <c r="EI192" i="38"/>
  <c r="EK192" i="38"/>
  <c r="EL192" i="38"/>
  <c r="EM192" i="38"/>
  <c r="EO192" i="38"/>
  <c r="EH193" i="38"/>
  <c r="EN193" i="38" s="1"/>
  <c r="EI193" i="38"/>
  <c r="EK193" i="38"/>
  <c r="EL193" i="38"/>
  <c r="EM193" i="38"/>
  <c r="EO193" i="38"/>
  <c r="EH194" i="38"/>
  <c r="EN194" i="38" s="1"/>
  <c r="EI194" i="38"/>
  <c r="EK194" i="38"/>
  <c r="EL194" i="38"/>
  <c r="EM194" i="38"/>
  <c r="EO194" i="38"/>
  <c r="EH195" i="38"/>
  <c r="EN195" i="38" s="1"/>
  <c r="EI195" i="38"/>
  <c r="EK195" i="38"/>
  <c r="EL195" i="38"/>
  <c r="EM195" i="38"/>
  <c r="EO195" i="38"/>
  <c r="EH196" i="38"/>
  <c r="EN196" i="38" s="1"/>
  <c r="EI196" i="38"/>
  <c r="EK196" i="38"/>
  <c r="EL196" i="38"/>
  <c r="EM196" i="38"/>
  <c r="EO196" i="38"/>
  <c r="EH197" i="38"/>
  <c r="EN197" i="38" s="1"/>
  <c r="EI197" i="38"/>
  <c r="EK197" i="38"/>
  <c r="EL197" i="38"/>
  <c r="EM197" i="38"/>
  <c r="EO197" i="38"/>
  <c r="EH198" i="38"/>
  <c r="EN198" i="38" s="1"/>
  <c r="EI198" i="38"/>
  <c r="EK198" i="38"/>
  <c r="EL198" i="38"/>
  <c r="EM198" i="38"/>
  <c r="EO198" i="38"/>
  <c r="EH199" i="38"/>
  <c r="EN199" i="38" s="1"/>
  <c r="EI199" i="38"/>
  <c r="EK199" i="38"/>
  <c r="EL199" i="38"/>
  <c r="EM199" i="38"/>
  <c r="EO199" i="38"/>
  <c r="EH200" i="38"/>
  <c r="EI200" i="38"/>
  <c r="EK200" i="38"/>
  <c r="EL200" i="38"/>
  <c r="EM200" i="38"/>
  <c r="EO200" i="38"/>
  <c r="EH201" i="38"/>
  <c r="EI201" i="38"/>
  <c r="EK201" i="38"/>
  <c r="EM201" i="38" s="1"/>
  <c r="EL201" i="38"/>
  <c r="EO201" i="38"/>
  <c r="EH202" i="38"/>
  <c r="EI202" i="38"/>
  <c r="EK202" i="38"/>
  <c r="EO202" i="38" s="1"/>
  <c r="EL202" i="38"/>
  <c r="EM202" i="38"/>
  <c r="EH203" i="38"/>
  <c r="EI203" i="38"/>
  <c r="EK203" i="38"/>
  <c r="EM203" i="38" s="1"/>
  <c r="EL203" i="38"/>
  <c r="EO203" i="38"/>
  <c r="EH204" i="38"/>
  <c r="EI204" i="38"/>
  <c r="EK204" i="38"/>
  <c r="EL204" i="38"/>
  <c r="EM204" i="38"/>
  <c r="EO204" i="38"/>
  <c r="EH205" i="38"/>
  <c r="EI205" i="38"/>
  <c r="EK205" i="38"/>
  <c r="EM205" i="38" s="1"/>
  <c r="EL205" i="38"/>
  <c r="EO205" i="38"/>
  <c r="EH206" i="38"/>
  <c r="EI206" i="38"/>
  <c r="EK206" i="38"/>
  <c r="EO206" i="38" s="1"/>
  <c r="EL206" i="38"/>
  <c r="EM206" i="38"/>
  <c r="EH207" i="38"/>
  <c r="EI207" i="38"/>
  <c r="EK207" i="38"/>
  <c r="EM207" i="38" s="1"/>
  <c r="EL207" i="38"/>
  <c r="EO207" i="38"/>
  <c r="EH208" i="38"/>
  <c r="EI208" i="38"/>
  <c r="EK208" i="38"/>
  <c r="EL208" i="38"/>
  <c r="EM208" i="38"/>
  <c r="EO208" i="38"/>
  <c r="EH209" i="38"/>
  <c r="EI209" i="38"/>
  <c r="EK209" i="38"/>
  <c r="EM209" i="38" s="1"/>
  <c r="EL209" i="38"/>
  <c r="EO209" i="38"/>
  <c r="EH210" i="38"/>
  <c r="EI210" i="38"/>
  <c r="EK210" i="38"/>
  <c r="EO210" i="38" s="1"/>
  <c r="EL210" i="38"/>
  <c r="EM210" i="38"/>
  <c r="EH211" i="38"/>
  <c r="EI211" i="38"/>
  <c r="EK211" i="38"/>
  <c r="EM211" i="38" s="1"/>
  <c r="EL211" i="38"/>
  <c r="EO211" i="38"/>
  <c r="EH212" i="38"/>
  <c r="EI212" i="38"/>
  <c r="EK212" i="38"/>
  <c r="EL212" i="38"/>
  <c r="EM212" i="38"/>
  <c r="EO212" i="38"/>
  <c r="EH213" i="38"/>
  <c r="EI213" i="38"/>
  <c r="EK213" i="38"/>
  <c r="EM213" i="38" s="1"/>
  <c r="EL213" i="38"/>
  <c r="EO213" i="38"/>
  <c r="EH214" i="38"/>
  <c r="EI214" i="38"/>
  <c r="EK214" i="38"/>
  <c r="EO214" i="38" s="1"/>
  <c r="EL214" i="38"/>
  <c r="EM214" i="38"/>
  <c r="EH215" i="38"/>
  <c r="EI215" i="38"/>
  <c r="EK215" i="38"/>
  <c r="EM215" i="38" s="1"/>
  <c r="EL215" i="38"/>
  <c r="EO215" i="38"/>
  <c r="EH216" i="38"/>
  <c r="EI216" i="38"/>
  <c r="EK216" i="38"/>
  <c r="EL216" i="38"/>
  <c r="EM216" i="38"/>
  <c r="EO216" i="38"/>
  <c r="EH217" i="38"/>
  <c r="EI217" i="38"/>
  <c r="EK217" i="38"/>
  <c r="EM217" i="38" s="1"/>
  <c r="EL217" i="38"/>
  <c r="EO217" i="38"/>
  <c r="EH218" i="38"/>
  <c r="EI218" i="38"/>
  <c r="EK218" i="38"/>
  <c r="EO218" i="38" s="1"/>
  <c r="EL218" i="38"/>
  <c r="EM218" i="38"/>
  <c r="EH219" i="38"/>
  <c r="EI219" i="38"/>
  <c r="EK219" i="38"/>
  <c r="EM219" i="38" s="1"/>
  <c r="EL219" i="38"/>
  <c r="EO219" i="38"/>
  <c r="EH220" i="38"/>
  <c r="EI220" i="38"/>
  <c r="EK220" i="38"/>
  <c r="EL220" i="38"/>
  <c r="EM220" i="38"/>
  <c r="EO220" i="38"/>
  <c r="EH221" i="38"/>
  <c r="EI221" i="38"/>
  <c r="EK221" i="38"/>
  <c r="EM221" i="38" s="1"/>
  <c r="EL221" i="38"/>
  <c r="EO221" i="38"/>
  <c r="EH222" i="38"/>
  <c r="EI222" i="38"/>
  <c r="EK222" i="38"/>
  <c r="EO222" i="38" s="1"/>
  <c r="EL222" i="38"/>
  <c r="EM222" i="38"/>
  <c r="EH223" i="38"/>
  <c r="EI223" i="38"/>
  <c r="EK223" i="38"/>
  <c r="EM223" i="38" s="1"/>
  <c r="EL223" i="38"/>
  <c r="EO223" i="38"/>
  <c r="EH224" i="38"/>
  <c r="EI224" i="38"/>
  <c r="EK224" i="38"/>
  <c r="EL224" i="38"/>
  <c r="EM224" i="38"/>
  <c r="EO224" i="38"/>
  <c r="EH225" i="38"/>
  <c r="EI225" i="38"/>
  <c r="EK225" i="38"/>
  <c r="EM225" i="38" s="1"/>
  <c r="EL225" i="38"/>
  <c r="EO225" i="38"/>
  <c r="EH226" i="38"/>
  <c r="EI226" i="38"/>
  <c r="EK226" i="38"/>
  <c r="EO226" i="38" s="1"/>
  <c r="EL226" i="38"/>
  <c r="EM226" i="38"/>
  <c r="EH227" i="38"/>
  <c r="EI227" i="38"/>
  <c r="EK227" i="38"/>
  <c r="EM227" i="38" s="1"/>
  <c r="EL227" i="38"/>
  <c r="EO227" i="38"/>
  <c r="EH228" i="38"/>
  <c r="EI228" i="38"/>
  <c r="EK228" i="38"/>
  <c r="EL228" i="38"/>
  <c r="EM228" i="38"/>
  <c r="EO228" i="38"/>
  <c r="EH229" i="38"/>
  <c r="EI229" i="38"/>
  <c r="EK229" i="38"/>
  <c r="EM229" i="38" s="1"/>
  <c r="EL229" i="38"/>
  <c r="EO229" i="38"/>
  <c r="EH230" i="38"/>
  <c r="EI230" i="38"/>
  <c r="EK230" i="38"/>
  <c r="EO230" i="38" s="1"/>
  <c r="EL230" i="38"/>
  <c r="EM230" i="38"/>
  <c r="EH231" i="38"/>
  <c r="EI231" i="38"/>
  <c r="EK231" i="38"/>
  <c r="EM231" i="38" s="1"/>
  <c r="EL231" i="38"/>
  <c r="EO231" i="38"/>
  <c r="EH232" i="38"/>
  <c r="EI232" i="38"/>
  <c r="EK232" i="38"/>
  <c r="EL232" i="38"/>
  <c r="EM232" i="38"/>
  <c r="EO232" i="38"/>
  <c r="EH233" i="38"/>
  <c r="EI233" i="38"/>
  <c r="EK233" i="38"/>
  <c r="EM233" i="38" s="1"/>
  <c r="EL233" i="38"/>
  <c r="EO233" i="38"/>
  <c r="EH234" i="38"/>
  <c r="EI234" i="38"/>
  <c r="EK234" i="38"/>
  <c r="EO234" i="38" s="1"/>
  <c r="EL234" i="38"/>
  <c r="EM234" i="38"/>
  <c r="EH235" i="38"/>
  <c r="EI235" i="38"/>
  <c r="EK235" i="38"/>
  <c r="EM235" i="38" s="1"/>
  <c r="EL235" i="38"/>
  <c r="EO235" i="38"/>
  <c r="EH236" i="38"/>
  <c r="EI236" i="38"/>
  <c r="EK236" i="38"/>
  <c r="EL236" i="38"/>
  <c r="EM236" i="38"/>
  <c r="EO236" i="38"/>
  <c r="EH237" i="38"/>
  <c r="EI237" i="38"/>
  <c r="EK237" i="38"/>
  <c r="EM237" i="38" s="1"/>
  <c r="EL237" i="38"/>
  <c r="EO237" i="38"/>
  <c r="EH238" i="38"/>
  <c r="EI238" i="38"/>
  <c r="EK238" i="38"/>
  <c r="EO238" i="38" s="1"/>
  <c r="EL238" i="38"/>
  <c r="EM238" i="38"/>
  <c r="EH239" i="38"/>
  <c r="EI239" i="38"/>
  <c r="EK239" i="38"/>
  <c r="EM239" i="38" s="1"/>
  <c r="EL239" i="38"/>
  <c r="EH240" i="38"/>
  <c r="EI240" i="38"/>
  <c r="EK240" i="38"/>
  <c r="EL240" i="38"/>
  <c r="EM240" i="38"/>
  <c r="EO240" i="38"/>
  <c r="EH241" i="38"/>
  <c r="EI241" i="38"/>
  <c r="EK241" i="38"/>
  <c r="EM241" i="38" s="1"/>
  <c r="EL241" i="38"/>
  <c r="EO241" i="38"/>
  <c r="EH242" i="38"/>
  <c r="EI242" i="38"/>
  <c r="EK242" i="38"/>
  <c r="EO242" i="38" s="1"/>
  <c r="EL242" i="38"/>
  <c r="EM242" i="38"/>
  <c r="EH243" i="38"/>
  <c r="EI243" i="38"/>
  <c r="EK243" i="38"/>
  <c r="EM243" i="38" s="1"/>
  <c r="EL243" i="38"/>
  <c r="EO243" i="38"/>
  <c r="EH244" i="38"/>
  <c r="EI244" i="38"/>
  <c r="EK244" i="38"/>
  <c r="EL244" i="38"/>
  <c r="EM244" i="38"/>
  <c r="EO244" i="38"/>
  <c r="EH245" i="38"/>
  <c r="EI245" i="38"/>
  <c r="EK245" i="38"/>
  <c r="EM245" i="38" s="1"/>
  <c r="EL245" i="38"/>
  <c r="EO245" i="38"/>
  <c r="EH246" i="38"/>
  <c r="EI246" i="38"/>
  <c r="EK246" i="38"/>
  <c r="EO246" i="38" s="1"/>
  <c r="EL246" i="38"/>
  <c r="EM246" i="38"/>
  <c r="EH247" i="38"/>
  <c r="EI247" i="38"/>
  <c r="EK247" i="38"/>
  <c r="EM247" i="38" s="1"/>
  <c r="EL247" i="38"/>
  <c r="EO247" i="38"/>
  <c r="EH248" i="38"/>
  <c r="EI248" i="38"/>
  <c r="EK248" i="38"/>
  <c r="EL248" i="38"/>
  <c r="EM248" i="38"/>
  <c r="EO248" i="38"/>
  <c r="EH249" i="38"/>
  <c r="EJ249" i="38" s="1"/>
  <c r="EI249" i="38"/>
  <c r="EK249" i="38"/>
  <c r="EM249" i="38" s="1"/>
  <c r="EL249" i="38"/>
  <c r="EN249" i="38"/>
  <c r="EO249" i="38"/>
  <c r="EH250" i="38"/>
  <c r="EJ250" i="38" s="1"/>
  <c r="EI250" i="38"/>
  <c r="EK250" i="38"/>
  <c r="EM250" i="38" s="1"/>
  <c r="EL250" i="38"/>
  <c r="EH251" i="38"/>
  <c r="EI251" i="38"/>
  <c r="EK251" i="38"/>
  <c r="EO251" i="38" s="1"/>
  <c r="EL251" i="38"/>
  <c r="EM251" i="38"/>
  <c r="EH252" i="38"/>
  <c r="EI252" i="38"/>
  <c r="EK252" i="38"/>
  <c r="EO252" i="38" s="1"/>
  <c r="EL252" i="38"/>
  <c r="EM252" i="38"/>
  <c r="EH253" i="38"/>
  <c r="EJ253" i="38" s="1"/>
  <c r="EI253" i="38"/>
  <c r="EK253" i="38"/>
  <c r="EL253" i="38"/>
  <c r="EN253" i="38"/>
  <c r="EH254" i="38"/>
  <c r="EJ254" i="38" s="1"/>
  <c r="EI254" i="38"/>
  <c r="EK254" i="38"/>
  <c r="EM254" i="38" s="1"/>
  <c r="EL254" i="38"/>
  <c r="EN254" i="38"/>
  <c r="EH255" i="38"/>
  <c r="EJ255" i="38" s="1"/>
  <c r="EI255" i="38"/>
  <c r="EK255" i="38"/>
  <c r="EL255" i="38"/>
  <c r="EM255" i="38"/>
  <c r="EO255" i="38"/>
  <c r="EH256" i="38"/>
  <c r="EJ256" i="38" s="1"/>
  <c r="EI256" i="38"/>
  <c r="EK256" i="38"/>
  <c r="EL256" i="38"/>
  <c r="EM256" i="38"/>
  <c r="EN256" i="38"/>
  <c r="EO256" i="38"/>
  <c r="EH257" i="38"/>
  <c r="EJ257" i="38" s="1"/>
  <c r="EI257" i="38"/>
  <c r="EK257" i="38"/>
  <c r="EM257" i="38" s="1"/>
  <c r="EL257" i="38"/>
  <c r="EN257" i="38"/>
  <c r="EO257" i="38"/>
  <c r="EH258" i="38"/>
  <c r="EJ258" i="38" s="1"/>
  <c r="EI258" i="38"/>
  <c r="EK258" i="38"/>
  <c r="EM258" i="38" s="1"/>
  <c r="EL258" i="38"/>
  <c r="EH259" i="38"/>
  <c r="EI259" i="38"/>
  <c r="EK259" i="38"/>
  <c r="EO259" i="38" s="1"/>
  <c r="EL259" i="38"/>
  <c r="EM259" i="38"/>
  <c r="EH260" i="38"/>
  <c r="EI260" i="38"/>
  <c r="EK260" i="38"/>
  <c r="EO260" i="38" s="1"/>
  <c r="EL260" i="38"/>
  <c r="EM260" i="38"/>
  <c r="EH261" i="38"/>
  <c r="EJ261" i="38" s="1"/>
  <c r="EI261" i="38"/>
  <c r="EK261" i="38"/>
  <c r="EL261" i="38"/>
  <c r="EN261" i="38"/>
  <c r="EH262" i="38"/>
  <c r="EJ262" i="38" s="1"/>
  <c r="EI262" i="38"/>
  <c r="EK262" i="38"/>
  <c r="EM262" i="38" s="1"/>
  <c r="EL262" i="38"/>
  <c r="EN262" i="38"/>
  <c r="EO262" i="38"/>
  <c r="EH263" i="38"/>
  <c r="EJ263" i="38" s="1"/>
  <c r="EI263" i="38"/>
  <c r="EK263" i="38"/>
  <c r="EL263" i="38"/>
  <c r="EM263" i="38"/>
  <c r="EO263" i="38"/>
  <c r="EH264" i="38"/>
  <c r="EI264" i="38"/>
  <c r="EK264" i="38"/>
  <c r="EL264" i="38"/>
  <c r="EM264" i="38"/>
  <c r="EO264" i="38"/>
  <c r="EH265" i="38"/>
  <c r="EJ265" i="38" s="1"/>
  <c r="EI265" i="38"/>
  <c r="EK265" i="38"/>
  <c r="EM265" i="38" s="1"/>
  <c r="EL265" i="38"/>
  <c r="EN265" i="38"/>
  <c r="EO265" i="38"/>
  <c r="EH266" i="38"/>
  <c r="EJ266" i="38" s="1"/>
  <c r="EI266" i="38"/>
  <c r="EK266" i="38"/>
  <c r="EM266" i="38" s="1"/>
  <c r="EL266" i="38"/>
  <c r="EO266" i="38"/>
  <c r="EH267" i="38"/>
  <c r="EI267" i="38"/>
  <c r="EK267" i="38"/>
  <c r="EO267" i="38" s="1"/>
  <c r="EL267" i="38"/>
  <c r="EM267" i="38"/>
  <c r="EH268" i="38"/>
  <c r="EI268" i="38"/>
  <c r="EK268" i="38"/>
  <c r="EO268" i="38" s="1"/>
  <c r="EL268" i="38"/>
  <c r="EM268" i="38"/>
  <c r="EH269" i="38"/>
  <c r="EJ269" i="38" s="1"/>
  <c r="EI269" i="38"/>
  <c r="EK269" i="38"/>
  <c r="EL269" i="38"/>
  <c r="EN269" i="38"/>
  <c r="EH270" i="38"/>
  <c r="EJ270" i="38" s="1"/>
  <c r="EI270" i="38"/>
  <c r="EK270" i="38"/>
  <c r="EM270" i="38" s="1"/>
  <c r="EL270" i="38"/>
  <c r="EN270" i="38"/>
  <c r="EH271" i="38"/>
  <c r="EJ271" i="38" s="1"/>
  <c r="EI271" i="38"/>
  <c r="EK271" i="38"/>
  <c r="EL271" i="38"/>
  <c r="EM271" i="38"/>
  <c r="EO271" i="38"/>
  <c r="EH272" i="38"/>
  <c r="EJ272" i="38" s="1"/>
  <c r="EI272" i="38"/>
  <c r="EK272" i="38"/>
  <c r="EL272" i="38"/>
  <c r="EM272" i="38"/>
  <c r="EN272" i="38"/>
  <c r="EO272" i="38"/>
  <c r="EH273" i="38"/>
  <c r="EJ273" i="38" s="1"/>
  <c r="EI273" i="38"/>
  <c r="EK273" i="38"/>
  <c r="EM273" i="38" s="1"/>
  <c r="EL273" i="38"/>
  <c r="EN273" i="38"/>
  <c r="EO273" i="38"/>
  <c r="EH274" i="38"/>
  <c r="EJ274" i="38" s="1"/>
  <c r="EI274" i="38"/>
  <c r="EK274" i="38"/>
  <c r="EM274" i="38" s="1"/>
  <c r="EL274" i="38"/>
  <c r="EO274" i="38"/>
  <c r="EH275" i="38"/>
  <c r="EI275" i="38"/>
  <c r="EK275" i="38"/>
  <c r="EO275" i="38" s="1"/>
  <c r="EL275" i="38"/>
  <c r="EM275" i="38"/>
  <c r="EH276" i="38"/>
  <c r="EI276" i="38"/>
  <c r="EK276" i="38"/>
  <c r="EO276" i="38" s="1"/>
  <c r="EL276" i="38"/>
  <c r="EM276" i="38"/>
  <c r="EH277" i="38"/>
  <c r="EI277" i="38"/>
  <c r="EK277" i="38"/>
  <c r="EO277" i="38" s="1"/>
  <c r="EL277" i="38"/>
  <c r="EM277" i="38"/>
  <c r="EH278" i="38"/>
  <c r="EI278" i="38"/>
  <c r="EK278" i="38"/>
  <c r="EM278" i="38" s="1"/>
  <c r="EL278" i="38"/>
  <c r="EH279" i="38"/>
  <c r="EI279" i="38"/>
  <c r="EK279" i="38"/>
  <c r="EM279" i="38" s="1"/>
  <c r="EL279" i="38"/>
  <c r="EH280" i="38"/>
  <c r="EI280" i="38"/>
  <c r="EK280" i="38"/>
  <c r="EM280" i="38" s="1"/>
  <c r="EL280" i="38"/>
  <c r="EH281" i="38"/>
  <c r="EI281" i="38"/>
  <c r="EK281" i="38"/>
  <c r="EM281" i="38" s="1"/>
  <c r="EL281" i="38"/>
  <c r="EH282" i="38"/>
  <c r="EI282" i="38"/>
  <c r="EK282" i="38"/>
  <c r="EM282" i="38" s="1"/>
  <c r="EL282" i="38"/>
  <c r="EH283" i="38"/>
  <c r="EI283" i="38"/>
  <c r="EK283" i="38"/>
  <c r="EM283" i="38" s="1"/>
  <c r="EL283" i="38"/>
  <c r="EH284" i="38"/>
  <c r="EI284" i="38"/>
  <c r="EK284" i="38"/>
  <c r="EM284" i="38" s="1"/>
  <c r="EL284" i="38"/>
  <c r="EH285" i="38"/>
  <c r="EI285" i="38"/>
  <c r="EK285" i="38"/>
  <c r="EM285" i="38" s="1"/>
  <c r="EL285" i="38"/>
  <c r="EH286" i="38"/>
  <c r="EI286" i="38"/>
  <c r="EK286" i="38"/>
  <c r="EM286" i="38" s="1"/>
  <c r="EL286" i="38"/>
  <c r="EH287" i="38"/>
  <c r="EI287" i="38"/>
  <c r="EK287" i="38"/>
  <c r="EM287" i="38" s="1"/>
  <c r="EL287" i="38"/>
  <c r="EH288" i="38"/>
  <c r="EI288" i="38"/>
  <c r="EK288" i="38"/>
  <c r="EM288" i="38" s="1"/>
  <c r="EL288" i="38"/>
  <c r="EH289" i="38"/>
  <c r="EI289" i="38"/>
  <c r="EK289" i="38"/>
  <c r="EM289" i="38" s="1"/>
  <c r="EL289" i="38"/>
  <c r="EH290" i="38"/>
  <c r="EI290" i="38"/>
  <c r="EK290" i="38"/>
  <c r="EM290" i="38" s="1"/>
  <c r="EL290" i="38"/>
  <c r="EH291" i="38"/>
  <c r="EI291" i="38"/>
  <c r="EK291" i="38"/>
  <c r="EM291" i="38" s="1"/>
  <c r="EL291" i="38"/>
  <c r="EH292" i="38"/>
  <c r="EI292" i="38"/>
  <c r="EK292" i="38"/>
  <c r="EM292" i="38" s="1"/>
  <c r="EL292" i="38"/>
  <c r="EH293" i="38"/>
  <c r="EI293" i="38"/>
  <c r="EK293" i="38"/>
  <c r="EM293" i="38" s="1"/>
  <c r="EL293" i="38"/>
  <c r="EH294" i="38"/>
  <c r="EI294" i="38"/>
  <c r="EK294" i="38"/>
  <c r="EM294" i="38" s="1"/>
  <c r="EL294" i="38"/>
  <c r="EH295" i="38"/>
  <c r="EI295" i="38"/>
  <c r="EK295" i="38"/>
  <c r="EM295" i="38" s="1"/>
  <c r="EL295" i="38"/>
  <c r="EH296" i="38"/>
  <c r="EI296" i="38"/>
  <c r="EK296" i="38"/>
  <c r="EL296" i="38"/>
  <c r="EH297" i="38"/>
  <c r="EI297" i="38"/>
  <c r="EK297" i="38"/>
  <c r="EL297" i="38"/>
  <c r="EH298" i="38"/>
  <c r="EI298" i="38"/>
  <c r="EK298" i="38"/>
  <c r="EL298" i="38"/>
  <c r="EH299" i="38"/>
  <c r="EI299" i="38"/>
  <c r="EK299" i="38"/>
  <c r="EL299" i="38"/>
  <c r="EH300" i="38"/>
  <c r="EI300" i="38"/>
  <c r="EK300" i="38"/>
  <c r="EL300" i="38"/>
  <c r="EH301" i="38"/>
  <c r="EI301" i="38"/>
  <c r="EK301" i="38"/>
  <c r="EL301" i="38"/>
  <c r="EH302" i="38"/>
  <c r="EI302" i="38"/>
  <c r="EK302" i="38"/>
  <c r="EL302" i="38"/>
  <c r="EH303" i="38"/>
  <c r="EI303" i="38"/>
  <c r="EK303" i="38"/>
  <c r="EL303" i="38"/>
  <c r="EH304" i="38"/>
  <c r="EI304" i="38"/>
  <c r="EK304" i="38"/>
  <c r="EL304" i="38"/>
  <c r="EH305" i="38"/>
  <c r="EI305" i="38"/>
  <c r="EK305" i="38"/>
  <c r="EL305" i="38"/>
  <c r="EH306" i="38"/>
  <c r="EI306" i="38"/>
  <c r="EK306" i="38"/>
  <c r="EL306" i="38"/>
  <c r="EH307" i="38"/>
  <c r="EI307" i="38"/>
  <c r="EK307" i="38"/>
  <c r="EL307" i="38"/>
  <c r="EH308" i="38"/>
  <c r="EI308" i="38"/>
  <c r="EK308" i="38"/>
  <c r="EL308" i="38"/>
  <c r="EH309" i="38"/>
  <c r="EI309" i="38"/>
  <c r="EK309" i="38"/>
  <c r="EL309" i="38"/>
  <c r="EH310" i="38"/>
  <c r="EI310" i="38"/>
  <c r="EK310" i="38"/>
  <c r="EL310" i="38"/>
  <c r="EH311" i="38"/>
  <c r="EI311" i="38"/>
  <c r="EK311" i="38"/>
  <c r="EL311" i="38"/>
  <c r="EH312" i="38"/>
  <c r="EI312" i="38"/>
  <c r="EK312" i="38"/>
  <c r="EL312" i="38"/>
  <c r="EH313" i="38"/>
  <c r="EI313" i="38"/>
  <c r="EK313" i="38"/>
  <c r="EL313" i="38"/>
  <c r="EH314" i="38"/>
  <c r="EI314" i="38"/>
  <c r="EK314" i="38"/>
  <c r="EL314" i="38"/>
  <c r="EH315" i="38"/>
  <c r="EI315" i="38"/>
  <c r="EK315" i="38"/>
  <c r="EL315" i="38"/>
  <c r="EH316" i="38"/>
  <c r="EI316" i="38"/>
  <c r="EK316" i="38"/>
  <c r="EL316" i="38"/>
  <c r="EH317" i="38"/>
  <c r="EI317" i="38"/>
  <c r="EK317" i="38"/>
  <c r="EL317" i="38"/>
  <c r="EH318" i="38"/>
  <c r="EI318" i="38"/>
  <c r="EK318" i="38"/>
  <c r="EL318" i="38"/>
  <c r="EH319" i="38"/>
  <c r="EI319" i="38"/>
  <c r="EK319" i="38"/>
  <c r="EL319" i="38"/>
  <c r="EH320" i="38"/>
  <c r="EI320" i="38"/>
  <c r="EK320" i="38"/>
  <c r="EL320" i="38"/>
  <c r="EH321" i="38"/>
  <c r="EI321" i="38"/>
  <c r="EK321" i="38"/>
  <c r="EL321" i="38"/>
  <c r="EH322" i="38"/>
  <c r="EI322" i="38"/>
  <c r="EK322" i="38"/>
  <c r="EL322" i="38"/>
  <c r="EH323" i="38"/>
  <c r="EI323" i="38"/>
  <c r="EK323" i="38"/>
  <c r="EL323" i="38"/>
  <c r="EH324" i="38"/>
  <c r="EI324" i="38"/>
  <c r="EK324" i="38"/>
  <c r="EL324" i="38"/>
  <c r="EH325" i="38"/>
  <c r="EI325" i="38"/>
  <c r="EK325" i="38"/>
  <c r="EL325" i="38"/>
  <c r="EH326" i="38"/>
  <c r="EI326" i="38"/>
  <c r="EK326" i="38"/>
  <c r="EL326" i="38"/>
  <c r="EH327" i="38"/>
  <c r="EI327" i="38"/>
  <c r="EK327" i="38"/>
  <c r="EL327" i="38"/>
  <c r="EH328" i="38"/>
  <c r="EI328" i="38"/>
  <c r="EK328" i="38"/>
  <c r="EL328" i="38"/>
  <c r="EH329" i="38"/>
  <c r="EI329" i="38"/>
  <c r="EK329" i="38"/>
  <c r="EL329" i="38"/>
  <c r="EH330" i="38"/>
  <c r="EI330" i="38"/>
  <c r="EK330" i="38"/>
  <c r="EL330" i="38"/>
  <c r="EH331" i="38"/>
  <c r="EI331" i="38"/>
  <c r="EK331" i="38"/>
  <c r="EL331" i="38"/>
  <c r="EH332" i="38"/>
  <c r="EI332" i="38"/>
  <c r="EK332" i="38"/>
  <c r="EL332" i="38"/>
  <c r="EH333" i="38"/>
  <c r="EI333" i="38"/>
  <c r="EK333" i="38"/>
  <c r="EM333" i="38" s="1"/>
  <c r="EL333" i="38"/>
  <c r="EO333" i="38"/>
  <c r="EH334" i="38"/>
  <c r="EJ334" i="38" s="1"/>
  <c r="EI334" i="38"/>
  <c r="EK334" i="38"/>
  <c r="EM334" i="38" s="1"/>
  <c r="EL334" i="38"/>
  <c r="EN334" i="38"/>
  <c r="EH335" i="38"/>
  <c r="EJ335" i="38" s="1"/>
  <c r="EI335" i="38"/>
  <c r="EK335" i="38"/>
  <c r="EM335" i="38" s="1"/>
  <c r="EL335" i="38"/>
  <c r="EN335" i="38"/>
  <c r="EO335" i="38"/>
  <c r="EH336" i="38"/>
  <c r="EJ336" i="38" s="1"/>
  <c r="EI336" i="38"/>
  <c r="EK336" i="38"/>
  <c r="EM336" i="38" s="1"/>
  <c r="EL336" i="38"/>
  <c r="EO336" i="38"/>
  <c r="EH337" i="38"/>
  <c r="EJ337" i="38" s="1"/>
  <c r="EI337" i="38"/>
  <c r="EK337" i="38"/>
  <c r="EM337" i="38" s="1"/>
  <c r="EL337" i="38"/>
  <c r="EH338" i="38"/>
  <c r="EJ338" i="38" s="1"/>
  <c r="EI338" i="38"/>
  <c r="EK338" i="38"/>
  <c r="EM338" i="38" s="1"/>
  <c r="EL338" i="38"/>
  <c r="EN338" i="38"/>
  <c r="EH339" i="38"/>
  <c r="EJ339" i="38" s="1"/>
  <c r="EI339" i="38"/>
  <c r="EK339" i="38"/>
  <c r="EM339" i="38" s="1"/>
  <c r="EL339" i="38"/>
  <c r="EN339" i="38"/>
  <c r="EO339" i="38"/>
  <c r="EH340" i="38"/>
  <c r="EI340" i="38"/>
  <c r="EK340" i="38"/>
  <c r="EM340" i="38" s="1"/>
  <c r="EL340" i="38"/>
  <c r="EO340" i="38"/>
  <c r="EH341" i="38"/>
  <c r="EJ341" i="38" s="1"/>
  <c r="EI341" i="38"/>
  <c r="EK341" i="38"/>
  <c r="EL341" i="38"/>
  <c r="EH342" i="38"/>
  <c r="EJ342" i="38" s="1"/>
  <c r="EI342" i="38"/>
  <c r="EK342" i="38"/>
  <c r="EM342" i="38" s="1"/>
  <c r="EL342" i="38"/>
  <c r="EN342" i="38"/>
  <c r="EH343" i="38"/>
  <c r="EJ343" i="38" s="1"/>
  <c r="EI343" i="38"/>
  <c r="EK343" i="38"/>
  <c r="EM343" i="38" s="1"/>
  <c r="EL343" i="38"/>
  <c r="EN343" i="38"/>
  <c r="EO343" i="38"/>
  <c r="EH344" i="38"/>
  <c r="EI344" i="38"/>
  <c r="EK344" i="38"/>
  <c r="EM344" i="38" s="1"/>
  <c r="EL344" i="38"/>
  <c r="EO344" i="38"/>
  <c r="EH345" i="38"/>
  <c r="EJ345" i="38" s="1"/>
  <c r="EI345" i="38"/>
  <c r="EK345" i="38"/>
  <c r="EL345" i="38"/>
  <c r="EH346" i="38"/>
  <c r="EJ346" i="38" s="1"/>
  <c r="EI346" i="38"/>
  <c r="EK346" i="38"/>
  <c r="EO346" i="38" s="1"/>
  <c r="EL346" i="38"/>
  <c r="EM346" i="38"/>
  <c r="EN346" i="38"/>
  <c r="EH347" i="38"/>
  <c r="EN347" i="38" s="1"/>
  <c r="EI347" i="38"/>
  <c r="EJ347" i="38"/>
  <c r="EK347" i="38"/>
  <c r="EO347" i="38" s="1"/>
  <c r="EL347" i="38"/>
  <c r="EM347" i="38"/>
  <c r="EH348" i="38"/>
  <c r="EN348" i="38" s="1"/>
  <c r="EI348" i="38"/>
  <c r="EJ348" i="38"/>
  <c r="EK348" i="38"/>
  <c r="EO348" i="38" s="1"/>
  <c r="EL348" i="38"/>
  <c r="EM348" i="38"/>
  <c r="EH349" i="38"/>
  <c r="EN349" i="38" s="1"/>
  <c r="EI349" i="38"/>
  <c r="EJ349" i="38"/>
  <c r="EK349" i="38"/>
  <c r="EO349" i="38" s="1"/>
  <c r="EL349" i="38"/>
  <c r="EM349" i="38"/>
  <c r="EH350" i="38"/>
  <c r="EN350" i="38" s="1"/>
  <c r="EI350" i="38"/>
  <c r="EJ350" i="38"/>
  <c r="EK350" i="38"/>
  <c r="EO350" i="38" s="1"/>
  <c r="EL350" i="38"/>
  <c r="EM350" i="38"/>
  <c r="EH351" i="38"/>
  <c r="EN351" i="38" s="1"/>
  <c r="EI351" i="38"/>
  <c r="EJ351" i="38"/>
  <c r="EK351" i="38"/>
  <c r="EO351" i="38" s="1"/>
  <c r="EL351" i="38"/>
  <c r="EM351" i="38"/>
  <c r="EH352" i="38"/>
  <c r="EN352" i="38" s="1"/>
  <c r="EI352" i="38"/>
  <c r="EJ352" i="38"/>
  <c r="EK352" i="38"/>
  <c r="EO352" i="38" s="1"/>
  <c r="EL352" i="38"/>
  <c r="EM352" i="38"/>
  <c r="EH353" i="38"/>
  <c r="EN353" i="38" s="1"/>
  <c r="EI353" i="38"/>
  <c r="EJ353" i="38"/>
  <c r="EK353" i="38"/>
  <c r="EO353" i="38" s="1"/>
  <c r="EL353" i="38"/>
  <c r="EM353" i="38"/>
  <c r="EH354" i="38"/>
  <c r="EN354" i="38" s="1"/>
  <c r="EI354" i="38"/>
  <c r="EJ354" i="38"/>
  <c r="EK354" i="38"/>
  <c r="EO354" i="38" s="1"/>
  <c r="EL354" i="38"/>
  <c r="EM354" i="38"/>
  <c r="EH355" i="38"/>
  <c r="EN355" i="38" s="1"/>
  <c r="EI355" i="38"/>
  <c r="EJ355" i="38"/>
  <c r="EK355" i="38"/>
  <c r="EO355" i="38" s="1"/>
  <c r="EL355" i="38"/>
  <c r="EM355" i="38"/>
  <c r="EH356" i="38"/>
  <c r="EN356" i="38" s="1"/>
  <c r="EI356" i="38"/>
  <c r="EJ356" i="38"/>
  <c r="EK356" i="38"/>
  <c r="EO356" i="38" s="1"/>
  <c r="EL356" i="38"/>
  <c r="EM356" i="38"/>
  <c r="EH357" i="38"/>
  <c r="EN357" i="38" s="1"/>
  <c r="EI357" i="38"/>
  <c r="EJ357" i="38"/>
  <c r="EK357" i="38"/>
  <c r="EO357" i="38" s="1"/>
  <c r="EL357" i="38"/>
  <c r="EM357" i="38"/>
  <c r="EH358" i="38"/>
  <c r="EN358" i="38" s="1"/>
  <c r="EI358" i="38"/>
  <c r="EJ358" i="38"/>
  <c r="EK358" i="38"/>
  <c r="EO358" i="38" s="1"/>
  <c r="EL358" i="38"/>
  <c r="EM358" i="38"/>
  <c r="EH359" i="38"/>
  <c r="EN359" i="38" s="1"/>
  <c r="EI359" i="38"/>
  <c r="EJ359" i="38"/>
  <c r="EK359" i="38"/>
  <c r="EO359" i="38" s="1"/>
  <c r="EL359" i="38"/>
  <c r="EM359" i="38"/>
  <c r="EH360" i="38"/>
  <c r="EN360" i="38" s="1"/>
  <c r="EI360" i="38"/>
  <c r="EJ360" i="38"/>
  <c r="EK360" i="38"/>
  <c r="EO360" i="38" s="1"/>
  <c r="EL360" i="38"/>
  <c r="EM360" i="38"/>
  <c r="EH361" i="38"/>
  <c r="EN361" i="38" s="1"/>
  <c r="EI361" i="38"/>
  <c r="EJ361" i="38"/>
  <c r="EK361" i="38"/>
  <c r="EO361" i="38" s="1"/>
  <c r="EL361" i="38"/>
  <c r="EM361" i="38"/>
  <c r="EH362" i="38"/>
  <c r="EN362" i="38" s="1"/>
  <c r="EI362" i="38"/>
  <c r="EJ362" i="38"/>
  <c r="EK362" i="38"/>
  <c r="EO362" i="38" s="1"/>
  <c r="EL362" i="38"/>
  <c r="EM362" i="38"/>
  <c r="EH363" i="38"/>
  <c r="EN363" i="38" s="1"/>
  <c r="EI363" i="38"/>
  <c r="EJ363" i="38"/>
  <c r="EK363" i="38"/>
  <c r="EO363" i="38" s="1"/>
  <c r="EL363" i="38"/>
  <c r="EM363" i="38"/>
  <c r="EH364" i="38"/>
  <c r="EN364" i="38" s="1"/>
  <c r="EI364" i="38"/>
  <c r="EJ364" i="38"/>
  <c r="EK364" i="38"/>
  <c r="EO364" i="38" s="1"/>
  <c r="EL364" i="38"/>
  <c r="EM364" i="38"/>
  <c r="EH365" i="38"/>
  <c r="EN365" i="38" s="1"/>
  <c r="EI365" i="38"/>
  <c r="EJ365" i="38"/>
  <c r="EK365" i="38"/>
  <c r="EO365" i="38" s="1"/>
  <c r="EL365" i="38"/>
  <c r="EM365" i="38"/>
  <c r="EH366" i="38"/>
  <c r="EN366" i="38" s="1"/>
  <c r="EI366" i="38"/>
  <c r="EJ366" i="38"/>
  <c r="EK366" i="38"/>
  <c r="EO366" i="38" s="1"/>
  <c r="EL366" i="38"/>
  <c r="EM366" i="38"/>
  <c r="EH367" i="38"/>
  <c r="EN367" i="38" s="1"/>
  <c r="EI367" i="38"/>
  <c r="EJ367" i="38"/>
  <c r="EK367" i="38"/>
  <c r="EO367" i="38" s="1"/>
  <c r="EL367" i="38"/>
  <c r="EM367" i="38"/>
  <c r="EH368" i="38"/>
  <c r="EN368" i="38" s="1"/>
  <c r="EI368" i="38"/>
  <c r="EJ368" i="38"/>
  <c r="EK368" i="38"/>
  <c r="EO368" i="38" s="1"/>
  <c r="EL368" i="38"/>
  <c r="EM368" i="38"/>
  <c r="EH369" i="38"/>
  <c r="EN369" i="38" s="1"/>
  <c r="EI369" i="38"/>
  <c r="EJ369" i="38"/>
  <c r="EK369" i="38"/>
  <c r="EO369" i="38" s="1"/>
  <c r="EL369" i="38"/>
  <c r="EM369" i="38"/>
  <c r="EH370" i="38"/>
  <c r="EN370" i="38" s="1"/>
  <c r="EI370" i="38"/>
  <c r="EJ370" i="38"/>
  <c r="EK370" i="38"/>
  <c r="EO370" i="38" s="1"/>
  <c r="EL370" i="38"/>
  <c r="EM370" i="38"/>
  <c r="EH371" i="38"/>
  <c r="EN371" i="38" s="1"/>
  <c r="EI371" i="38"/>
  <c r="EJ371" i="38"/>
  <c r="EK371" i="38"/>
  <c r="EO371" i="38" s="1"/>
  <c r="EL371" i="38"/>
  <c r="EM371" i="38"/>
  <c r="EH372" i="38"/>
  <c r="EN372" i="38" s="1"/>
  <c r="EI372" i="38"/>
  <c r="EJ372" i="38"/>
  <c r="EK372" i="38"/>
  <c r="EO372" i="38" s="1"/>
  <c r="EL372" i="38"/>
  <c r="EM372" i="38"/>
  <c r="EH373" i="38"/>
  <c r="EN373" i="38" s="1"/>
  <c r="EI373" i="38"/>
  <c r="EJ373" i="38"/>
  <c r="EK373" i="38"/>
  <c r="EL373" i="38"/>
  <c r="EH374" i="38"/>
  <c r="EN374" i="38" s="1"/>
  <c r="EI374" i="38"/>
  <c r="EJ374" i="38"/>
  <c r="EK374" i="38"/>
  <c r="EO374" i="38" s="1"/>
  <c r="EL374" i="38"/>
  <c r="EM374" i="38"/>
  <c r="EH375" i="38"/>
  <c r="EN375" i="38" s="1"/>
  <c r="EI375" i="38"/>
  <c r="EK375" i="38"/>
  <c r="EO375" i="38" s="1"/>
  <c r="EL375" i="38"/>
  <c r="EM375" i="38"/>
  <c r="EH376" i="38"/>
  <c r="EN376" i="38" s="1"/>
  <c r="EI376" i="38"/>
  <c r="EJ376" i="38"/>
  <c r="EK376" i="38"/>
  <c r="EO376" i="38" s="1"/>
  <c r="EL376" i="38"/>
  <c r="EM376" i="38"/>
  <c r="EH377" i="38"/>
  <c r="EN377" i="38" s="1"/>
  <c r="EI377" i="38"/>
  <c r="EK377" i="38"/>
  <c r="EL377" i="38"/>
  <c r="EH378" i="38"/>
  <c r="EN378" i="38" s="1"/>
  <c r="EI378" i="38"/>
  <c r="EJ378" i="38"/>
  <c r="EK378" i="38"/>
  <c r="EO378" i="38" s="1"/>
  <c r="EL378" i="38"/>
  <c r="EH379" i="38"/>
  <c r="EI379" i="38"/>
  <c r="EK379" i="38"/>
  <c r="EO379" i="38" s="1"/>
  <c r="EL379" i="38"/>
  <c r="EM379" i="38"/>
  <c r="EH380" i="38"/>
  <c r="EN380" i="38" s="1"/>
  <c r="EI380" i="38"/>
  <c r="EJ380" i="38"/>
  <c r="EK380" i="38"/>
  <c r="EO380" i="38" s="1"/>
  <c r="EL380" i="38"/>
  <c r="EM380" i="38"/>
  <c r="EH381" i="38"/>
  <c r="EN381" i="38" s="1"/>
  <c r="EI381" i="38"/>
  <c r="EK381" i="38"/>
  <c r="EL381" i="38"/>
  <c r="EH382" i="38"/>
  <c r="EN382" i="38" s="1"/>
  <c r="EI382" i="38"/>
  <c r="EJ382" i="38"/>
  <c r="EK382" i="38"/>
  <c r="EO382" i="38" s="1"/>
  <c r="EL382" i="38"/>
  <c r="EH383" i="38"/>
  <c r="EI383" i="38"/>
  <c r="EK383" i="38"/>
  <c r="EO383" i="38" s="1"/>
  <c r="EL383" i="38"/>
  <c r="EM383" i="38"/>
  <c r="EH384" i="38"/>
  <c r="EN384" i="38" s="1"/>
  <c r="EI384" i="38"/>
  <c r="EJ384" i="38"/>
  <c r="EK384" i="38"/>
  <c r="EO384" i="38" s="1"/>
  <c r="EL384" i="38"/>
  <c r="EM384" i="38"/>
  <c r="EH385" i="38"/>
  <c r="EN385" i="38" s="1"/>
  <c r="EI385" i="38"/>
  <c r="EK385" i="38"/>
  <c r="EL385" i="38"/>
  <c r="EH386" i="38"/>
  <c r="EN386" i="38" s="1"/>
  <c r="EI386" i="38"/>
  <c r="EJ386" i="38"/>
  <c r="EK386" i="38"/>
  <c r="EO386" i="38" s="1"/>
  <c r="EL386" i="38"/>
  <c r="EM386" i="38"/>
  <c r="EH387" i="38"/>
  <c r="EI387" i="38"/>
  <c r="EK387" i="38"/>
  <c r="EO387" i="38" s="1"/>
  <c r="EL387" i="38"/>
  <c r="EM387" i="38"/>
  <c r="EH388" i="38"/>
  <c r="EN388" i="38" s="1"/>
  <c r="EI388" i="38"/>
  <c r="EJ388" i="38"/>
  <c r="EK388" i="38"/>
  <c r="EO388" i="38" s="1"/>
  <c r="EL388" i="38"/>
  <c r="EM388" i="38"/>
  <c r="EH389" i="38"/>
  <c r="EN389" i="38" s="1"/>
  <c r="EI389" i="38"/>
  <c r="EK389" i="38"/>
  <c r="EL389" i="38"/>
  <c r="EH390" i="38"/>
  <c r="EN390" i="38" s="1"/>
  <c r="EI390" i="38"/>
  <c r="EJ390" i="38"/>
  <c r="EK390" i="38"/>
  <c r="EO390" i="38" s="1"/>
  <c r="EL390" i="38"/>
  <c r="EM390" i="38"/>
  <c r="EH391" i="38"/>
  <c r="EI391" i="38"/>
  <c r="EK391" i="38"/>
  <c r="EO391" i="38" s="1"/>
  <c r="EL391" i="38"/>
  <c r="EM391" i="38"/>
  <c r="EH392" i="38"/>
  <c r="EN392" i="38" s="1"/>
  <c r="EI392" i="38"/>
  <c r="EJ392" i="38"/>
  <c r="EK392" i="38"/>
  <c r="EO392" i="38" s="1"/>
  <c r="EL392" i="38"/>
  <c r="EM392" i="38"/>
  <c r="EH393" i="38"/>
  <c r="EN393" i="38" s="1"/>
  <c r="EI393" i="38"/>
  <c r="EK393" i="38"/>
  <c r="EL393" i="38"/>
  <c r="EH394" i="38"/>
  <c r="EN394" i="38" s="1"/>
  <c r="EI394" i="38"/>
  <c r="EJ394" i="38"/>
  <c r="EK394" i="38"/>
  <c r="EO394" i="38" s="1"/>
  <c r="EL394" i="38"/>
  <c r="EM394" i="38"/>
  <c r="EH395" i="38"/>
  <c r="EI395" i="38"/>
  <c r="EK395" i="38"/>
  <c r="EO395" i="38" s="1"/>
  <c r="EL395" i="38"/>
  <c r="EM395" i="38"/>
  <c r="EH396" i="38"/>
  <c r="EN396" i="38" s="1"/>
  <c r="EI396" i="38"/>
  <c r="EJ396" i="38"/>
  <c r="EK396" i="38"/>
  <c r="EO396" i="38" s="1"/>
  <c r="EL396" i="38"/>
  <c r="EM396" i="38"/>
  <c r="EH397" i="38"/>
  <c r="EN397" i="38" s="1"/>
  <c r="EI397" i="38"/>
  <c r="EK397" i="38"/>
  <c r="EL397" i="38"/>
  <c r="EH398" i="38"/>
  <c r="EN398" i="38" s="1"/>
  <c r="EI398" i="38"/>
  <c r="EJ398" i="38"/>
  <c r="EK398" i="38"/>
  <c r="EO398" i="38" s="1"/>
  <c r="EL398" i="38"/>
  <c r="EH399" i="38"/>
  <c r="EI399" i="38"/>
  <c r="EK399" i="38"/>
  <c r="EO399" i="38" s="1"/>
  <c r="EL399" i="38"/>
  <c r="EM399" i="38"/>
  <c r="EH400" i="38"/>
  <c r="EN400" i="38" s="1"/>
  <c r="EI400" i="38"/>
  <c r="EJ400" i="38"/>
  <c r="EK400" i="38"/>
  <c r="EO400" i="38" s="1"/>
  <c r="EL400" i="38"/>
  <c r="EM400" i="38"/>
  <c r="EH401" i="38"/>
  <c r="EN401" i="38" s="1"/>
  <c r="EI401" i="38"/>
  <c r="EK401" i="38"/>
  <c r="EL401" i="38"/>
  <c r="EH402" i="38"/>
  <c r="EN402" i="38" s="1"/>
  <c r="EI402" i="38"/>
  <c r="EJ402" i="38"/>
  <c r="EK402" i="38"/>
  <c r="EO402" i="38" s="1"/>
  <c r="EL402" i="38"/>
  <c r="EH403" i="38"/>
  <c r="EI403" i="38"/>
  <c r="EK403" i="38"/>
  <c r="EO403" i="38" s="1"/>
  <c r="EL403" i="38"/>
  <c r="EM403" i="38"/>
  <c r="EH404" i="38"/>
  <c r="EN404" i="38" s="1"/>
  <c r="EI404" i="38"/>
  <c r="EJ404" i="38"/>
  <c r="EK404" i="38"/>
  <c r="EO404" i="38" s="1"/>
  <c r="EL404" i="38"/>
  <c r="EM404" i="38"/>
  <c r="EH405" i="38"/>
  <c r="EN405" i="38" s="1"/>
  <c r="EI405" i="38"/>
  <c r="EK405" i="38"/>
  <c r="EL405" i="38"/>
  <c r="EH406" i="38"/>
  <c r="EN406" i="38" s="1"/>
  <c r="EI406" i="38"/>
  <c r="EJ406" i="38"/>
  <c r="EK406" i="38"/>
  <c r="EO406" i="38" s="1"/>
  <c r="EL406" i="38"/>
  <c r="EM406" i="38"/>
  <c r="EH407" i="38"/>
  <c r="EI407" i="38"/>
  <c r="EK407" i="38"/>
  <c r="EO407" i="38" s="1"/>
  <c r="EL407" i="38"/>
  <c r="EM407" i="38"/>
  <c r="EH408" i="38"/>
  <c r="EN408" i="38" s="1"/>
  <c r="EI408" i="38"/>
  <c r="EJ408" i="38"/>
  <c r="EK408" i="38"/>
  <c r="EO408" i="38" s="1"/>
  <c r="EL408" i="38"/>
  <c r="EM408" i="38"/>
  <c r="EH409" i="38"/>
  <c r="EN409" i="38" s="1"/>
  <c r="EI409" i="38"/>
  <c r="EK409" i="38"/>
  <c r="EL409" i="38"/>
  <c r="EH410" i="38"/>
  <c r="EN410" i="38" s="1"/>
  <c r="EI410" i="38"/>
  <c r="EJ410" i="38"/>
  <c r="EK410" i="38"/>
  <c r="EO410" i="38" s="1"/>
  <c r="EL410" i="38"/>
  <c r="EM410" i="38"/>
  <c r="EH411" i="38"/>
  <c r="EI411" i="38"/>
  <c r="EK411" i="38"/>
  <c r="EO411" i="38" s="1"/>
  <c r="EL411" i="38"/>
  <c r="EM411" i="38"/>
  <c r="EH412" i="38"/>
  <c r="EN412" i="38" s="1"/>
  <c r="EI412" i="38"/>
  <c r="EJ412" i="38"/>
  <c r="EK412" i="38"/>
  <c r="EO412" i="38" s="1"/>
  <c r="EL412" i="38"/>
  <c r="EH413" i="38"/>
  <c r="EN413" i="38" s="1"/>
  <c r="EI413" i="38"/>
  <c r="EK413" i="38"/>
  <c r="EL413" i="38"/>
  <c r="EH414" i="38"/>
  <c r="EN414" i="38" s="1"/>
  <c r="EI414" i="38"/>
  <c r="EJ414" i="38"/>
  <c r="EK414" i="38"/>
  <c r="EO414" i="38" s="1"/>
  <c r="EL414" i="38"/>
  <c r="EM414" i="38"/>
  <c r="EH415" i="38"/>
  <c r="EI415" i="38"/>
  <c r="EK415" i="38"/>
  <c r="EO415" i="38" s="1"/>
  <c r="EL415" i="38"/>
  <c r="EM415" i="38"/>
  <c r="EH416" i="38"/>
  <c r="EN416" i="38" s="1"/>
  <c r="EI416" i="38"/>
  <c r="EJ416" i="38"/>
  <c r="EK416" i="38"/>
  <c r="EO416" i="38" s="1"/>
  <c r="EL416" i="38"/>
  <c r="EH417" i="38"/>
  <c r="EN417" i="38" s="1"/>
  <c r="EI417" i="38"/>
  <c r="EK417" i="38"/>
  <c r="EL417" i="38"/>
  <c r="EH418" i="38"/>
  <c r="EN418" i="38" s="1"/>
  <c r="EI418" i="38"/>
  <c r="EJ418" i="38"/>
  <c r="EK418" i="38"/>
  <c r="EO418" i="38" s="1"/>
  <c r="EL418" i="38"/>
  <c r="EM418" i="38"/>
  <c r="EH419" i="38"/>
  <c r="EI419" i="38"/>
  <c r="EK419" i="38"/>
  <c r="EL419" i="38"/>
  <c r="EM419" i="38"/>
  <c r="EO419" i="38"/>
  <c r="EH420" i="38"/>
  <c r="EI420" i="38"/>
  <c r="EK420" i="38"/>
  <c r="EL420" i="38"/>
  <c r="EM420" i="38"/>
  <c r="EO420" i="38"/>
  <c r="EH421" i="38"/>
  <c r="EI421" i="38"/>
  <c r="EK421" i="38"/>
  <c r="EL421" i="38"/>
  <c r="EM421" i="38"/>
  <c r="EO421" i="38"/>
  <c r="EH422" i="38"/>
  <c r="EI422" i="38"/>
  <c r="EK422" i="38"/>
  <c r="EL422" i="38"/>
  <c r="EM422" i="38"/>
  <c r="EO422" i="38"/>
  <c r="EH423" i="38"/>
  <c r="EI423" i="38"/>
  <c r="EK423" i="38"/>
  <c r="EL423" i="38"/>
  <c r="EM423" i="38"/>
  <c r="EO423" i="38"/>
  <c r="EH424" i="38"/>
  <c r="EI424" i="38"/>
  <c r="EK424" i="38"/>
  <c r="EL424" i="38"/>
  <c r="EM424" i="38"/>
  <c r="EO424" i="38"/>
  <c r="EH425" i="38"/>
  <c r="EI425" i="38"/>
  <c r="EK425" i="38"/>
  <c r="EL425" i="38"/>
  <c r="EM425" i="38"/>
  <c r="EO425" i="38"/>
  <c r="EH426" i="38"/>
  <c r="EI426" i="38"/>
  <c r="EK426" i="38"/>
  <c r="EL426" i="38"/>
  <c r="EM426" i="38"/>
  <c r="EO426" i="38"/>
  <c r="EH427" i="38"/>
  <c r="EI427" i="38"/>
  <c r="EK427" i="38"/>
  <c r="EL427" i="38"/>
  <c r="EM427" i="38"/>
  <c r="EO427" i="38"/>
  <c r="EH428" i="38"/>
  <c r="EI428" i="38"/>
  <c r="EK428" i="38"/>
  <c r="EL428" i="38"/>
  <c r="EM428" i="38"/>
  <c r="EO428" i="38"/>
  <c r="EH429" i="38"/>
  <c r="EI429" i="38"/>
  <c r="EK429" i="38"/>
  <c r="EL429" i="38"/>
  <c r="EM429" i="38"/>
  <c r="EO429" i="38"/>
  <c r="EH430" i="38"/>
  <c r="EI430" i="38"/>
  <c r="EK430" i="38"/>
  <c r="EL430" i="38"/>
  <c r="EM430" i="38"/>
  <c r="EO430" i="38"/>
  <c r="EH431" i="38"/>
  <c r="EI431" i="38"/>
  <c r="EK431" i="38"/>
  <c r="EL431" i="38"/>
  <c r="EM431" i="38"/>
  <c r="EO431" i="38"/>
  <c r="EH432" i="38"/>
  <c r="EI432" i="38"/>
  <c r="EK432" i="38"/>
  <c r="EL432" i="38"/>
  <c r="EM432" i="38"/>
  <c r="EO432" i="38"/>
  <c r="EH433" i="38"/>
  <c r="EI433" i="38"/>
  <c r="EK433" i="38"/>
  <c r="EL433" i="38"/>
  <c r="EM433" i="38"/>
  <c r="EO433" i="38"/>
  <c r="EH434" i="38"/>
  <c r="EI434" i="38"/>
  <c r="EK434" i="38"/>
  <c r="EL434" i="38"/>
  <c r="EM434" i="38"/>
  <c r="EO434" i="38"/>
  <c r="EH435" i="38"/>
  <c r="EI435" i="38"/>
  <c r="EK435" i="38"/>
  <c r="EL435" i="38"/>
  <c r="EM435" i="38"/>
  <c r="EO435" i="38"/>
  <c r="EH436" i="38"/>
  <c r="EI436" i="38"/>
  <c r="EK436" i="38"/>
  <c r="EL436" i="38"/>
  <c r="EM436" i="38"/>
  <c r="EO436" i="38"/>
  <c r="EH437" i="38"/>
  <c r="EI437" i="38"/>
  <c r="EK437" i="38"/>
  <c r="EL437" i="38"/>
  <c r="EM437" i="38"/>
  <c r="EO437" i="38"/>
  <c r="EH438" i="38"/>
  <c r="EI438" i="38"/>
  <c r="EK438" i="38"/>
  <c r="EL438" i="38"/>
  <c r="EM438" i="38"/>
  <c r="EO438" i="38"/>
  <c r="EH439" i="38"/>
  <c r="EI439" i="38"/>
  <c r="EK439" i="38"/>
  <c r="EL439" i="38"/>
  <c r="EM439" i="38"/>
  <c r="EO439" i="38"/>
  <c r="EH440" i="38"/>
  <c r="EI440" i="38"/>
  <c r="EK440" i="38"/>
  <c r="EL440" i="38"/>
  <c r="EM440" i="38"/>
  <c r="EO440" i="38"/>
  <c r="EH441" i="38"/>
  <c r="EI441" i="38"/>
  <c r="EK441" i="38"/>
  <c r="EM441" i="38" s="1"/>
  <c r="EL441" i="38"/>
  <c r="EH442" i="38"/>
  <c r="EI442" i="38"/>
  <c r="EK442" i="38"/>
  <c r="EL442" i="38"/>
  <c r="EM442" i="38"/>
  <c r="EO442" i="38"/>
  <c r="EH443" i="38"/>
  <c r="EI443" i="38"/>
  <c r="EK443" i="38"/>
  <c r="EM443" i="38" s="1"/>
  <c r="EL443" i="38"/>
  <c r="EH444" i="38"/>
  <c r="EI444" i="38"/>
  <c r="EK444" i="38"/>
  <c r="EL444" i="38"/>
  <c r="EM444" i="38"/>
  <c r="EO444" i="38"/>
  <c r="EH445" i="38"/>
  <c r="EI445" i="38"/>
  <c r="EK445" i="38"/>
  <c r="EM445" i="38" s="1"/>
  <c r="EL445" i="38"/>
  <c r="EH446" i="38"/>
  <c r="EI446" i="38"/>
  <c r="EK446" i="38"/>
  <c r="EL446" i="38"/>
  <c r="EM446" i="38"/>
  <c r="EO446" i="38"/>
  <c r="EH447" i="38"/>
  <c r="EI447" i="38"/>
  <c r="EK447" i="38"/>
  <c r="EM447" i="38" s="1"/>
  <c r="EL447" i="38"/>
  <c r="EH448" i="38"/>
  <c r="EI448" i="38"/>
  <c r="EK448" i="38"/>
  <c r="EL448" i="38"/>
  <c r="EM448" i="38"/>
  <c r="EO448" i="38"/>
  <c r="EH449" i="38"/>
  <c r="EI449" i="38"/>
  <c r="EK449" i="38"/>
  <c r="EM449" i="38" s="1"/>
  <c r="EL449" i="38"/>
  <c r="EH450" i="38"/>
  <c r="EI450" i="38"/>
  <c r="EK450" i="38"/>
  <c r="EL450" i="38"/>
  <c r="EM450" i="38"/>
  <c r="EO450" i="38"/>
  <c r="EH451" i="38"/>
  <c r="EI451" i="38"/>
  <c r="EK451" i="38"/>
  <c r="EM451" i="38" s="1"/>
  <c r="EL451" i="38"/>
  <c r="EH452" i="38"/>
  <c r="EI452" i="38"/>
  <c r="EK452" i="38"/>
  <c r="EL452" i="38"/>
  <c r="EM452" i="38"/>
  <c r="EO452" i="38"/>
  <c r="EH453" i="38"/>
  <c r="EI453" i="38"/>
  <c r="EK453" i="38"/>
  <c r="EM453" i="38" s="1"/>
  <c r="EL453" i="38"/>
  <c r="EH454" i="38"/>
  <c r="EI454" i="38"/>
  <c r="EK454" i="38"/>
  <c r="EL454" i="38"/>
  <c r="EM454" i="38"/>
  <c r="EO454" i="38"/>
  <c r="EH455" i="38"/>
  <c r="EI455" i="38"/>
  <c r="EK455" i="38"/>
  <c r="EM455" i="38" s="1"/>
  <c r="EL455" i="38"/>
  <c r="EH456" i="38"/>
  <c r="EI456" i="38"/>
  <c r="EK456" i="38"/>
  <c r="EL456" i="38"/>
  <c r="EM456" i="38"/>
  <c r="EO456" i="38"/>
  <c r="EH457" i="38"/>
  <c r="EI457" i="38"/>
  <c r="EK457" i="38"/>
  <c r="EM457" i="38" s="1"/>
  <c r="EL457" i="38"/>
  <c r="EH458" i="38"/>
  <c r="EI458" i="38"/>
  <c r="EK458" i="38"/>
  <c r="EL458" i="38"/>
  <c r="EM458" i="38"/>
  <c r="EO458" i="38"/>
  <c r="EH459" i="38"/>
  <c r="EI459" i="38"/>
  <c r="EK459" i="38"/>
  <c r="EM459" i="38" s="1"/>
  <c r="EL459" i="38"/>
  <c r="EH460" i="38"/>
  <c r="EI460" i="38"/>
  <c r="EK460" i="38"/>
  <c r="EL460" i="38"/>
  <c r="EM460" i="38"/>
  <c r="EO460" i="38"/>
  <c r="EH461" i="38"/>
  <c r="EI461" i="38"/>
  <c r="EK461" i="38"/>
  <c r="EM461" i="38" s="1"/>
  <c r="EL461" i="38"/>
  <c r="EH462" i="38"/>
  <c r="EI462" i="38"/>
  <c r="EK462" i="38"/>
  <c r="EL462" i="38"/>
  <c r="EM462" i="38"/>
  <c r="EO462" i="38"/>
  <c r="EH463" i="38"/>
  <c r="EI463" i="38"/>
  <c r="EK463" i="38"/>
  <c r="EM463" i="38" s="1"/>
  <c r="EL463" i="38"/>
  <c r="EH464" i="38"/>
  <c r="EI464" i="38"/>
  <c r="EK464" i="38"/>
  <c r="EL464" i="38"/>
  <c r="EM464" i="38"/>
  <c r="EO464" i="38"/>
  <c r="EH465" i="38"/>
  <c r="EI465" i="38"/>
  <c r="EK465" i="38"/>
  <c r="EM465" i="38" s="1"/>
  <c r="EL465" i="38"/>
  <c r="EH466" i="38"/>
  <c r="EI466" i="38"/>
  <c r="EK466" i="38"/>
  <c r="EL466" i="38"/>
  <c r="EM466" i="38"/>
  <c r="EO466" i="38"/>
  <c r="EH467" i="38"/>
  <c r="EI467" i="38"/>
  <c r="EK467" i="38"/>
  <c r="EM467" i="38" s="1"/>
  <c r="EL467" i="38"/>
  <c r="EH468" i="38"/>
  <c r="EI468" i="38"/>
  <c r="EK468" i="38"/>
  <c r="EL468" i="38"/>
  <c r="EM468" i="38"/>
  <c r="EO468" i="38"/>
  <c r="EH469" i="38"/>
  <c r="EI469" i="38"/>
  <c r="EK469" i="38"/>
  <c r="EM469" i="38" s="1"/>
  <c r="EL469" i="38"/>
  <c r="EH470" i="38"/>
  <c r="EI470" i="38"/>
  <c r="EK470" i="38"/>
  <c r="EL470" i="38"/>
  <c r="EM470" i="38"/>
  <c r="EO470" i="38"/>
  <c r="EH471" i="38"/>
  <c r="EI471" i="38"/>
  <c r="EK471" i="38"/>
  <c r="EM471" i="38" s="1"/>
  <c r="EL471" i="38"/>
  <c r="EH472" i="38"/>
  <c r="EI472" i="38"/>
  <c r="EK472" i="38"/>
  <c r="EL472" i="38"/>
  <c r="EM472" i="38"/>
  <c r="EO472" i="38"/>
  <c r="EH473" i="38"/>
  <c r="EI473" i="38"/>
  <c r="EK473" i="38"/>
  <c r="EM473" i="38" s="1"/>
  <c r="EL473" i="38"/>
  <c r="EH474" i="38"/>
  <c r="EI474" i="38"/>
  <c r="EK474" i="38"/>
  <c r="EL474" i="38"/>
  <c r="EM474" i="38"/>
  <c r="EO474" i="38"/>
  <c r="EH475" i="38"/>
  <c r="EI475" i="38"/>
  <c r="EK475" i="38"/>
  <c r="EM475" i="38" s="1"/>
  <c r="EL475" i="38"/>
  <c r="EH476" i="38"/>
  <c r="EI476" i="38"/>
  <c r="EK476" i="38"/>
  <c r="EL476" i="38"/>
  <c r="EM476" i="38"/>
  <c r="EO476" i="38"/>
  <c r="EH477" i="38"/>
  <c r="EI477" i="38"/>
  <c r="EK477" i="38"/>
  <c r="EM477" i="38" s="1"/>
  <c r="EL477" i="38"/>
  <c r="EH478" i="38"/>
  <c r="EI478" i="38"/>
  <c r="EK478" i="38"/>
  <c r="EO478" i="38" s="1"/>
  <c r="EL478" i="38"/>
  <c r="EM478" i="38"/>
  <c r="EH479" i="38"/>
  <c r="EI479" i="38"/>
  <c r="EK479" i="38"/>
  <c r="EM479" i="38" s="1"/>
  <c r="EL479" i="38"/>
  <c r="EH480" i="38"/>
  <c r="EI480" i="38"/>
  <c r="EK480" i="38"/>
  <c r="EL480" i="38"/>
  <c r="EM480" i="38"/>
  <c r="EO480" i="38"/>
  <c r="EH481" i="38"/>
  <c r="EI481" i="38"/>
  <c r="EK481" i="38"/>
  <c r="EM481" i="38" s="1"/>
  <c r="EL481" i="38"/>
  <c r="EH482" i="38"/>
  <c r="EI482" i="38"/>
  <c r="EK482" i="38"/>
  <c r="EO482" i="38" s="1"/>
  <c r="EL482" i="38"/>
  <c r="EM482" i="38"/>
  <c r="EH483" i="38"/>
  <c r="EI483" i="38"/>
  <c r="EK483" i="38"/>
  <c r="EM483" i="38" s="1"/>
  <c r="EL483" i="38"/>
  <c r="EH484" i="38"/>
  <c r="EI484" i="38"/>
  <c r="EK484" i="38"/>
  <c r="EL484" i="38"/>
  <c r="EM484" i="38"/>
  <c r="EO484" i="38"/>
  <c r="EH485" i="38"/>
  <c r="EJ485" i="38" s="1"/>
  <c r="EI485" i="38"/>
  <c r="EK485" i="38"/>
  <c r="EM485" i="38" s="1"/>
  <c r="EL485" i="38"/>
  <c r="EN485" i="38"/>
  <c r="EO485" i="38"/>
  <c r="EH486" i="38"/>
  <c r="EJ486" i="38" s="1"/>
  <c r="EI486" i="38"/>
  <c r="EK486" i="38"/>
  <c r="EM486" i="38" s="1"/>
  <c r="EL486" i="38"/>
  <c r="EO486" i="38"/>
  <c r="EH487" i="38"/>
  <c r="EJ487" i="38" s="1"/>
  <c r="EI487" i="38"/>
  <c r="EK487" i="38"/>
  <c r="EO487" i="38" s="1"/>
  <c r="EL487" i="38"/>
  <c r="EM487" i="38"/>
  <c r="EH488" i="38"/>
  <c r="EJ488" i="38" s="1"/>
  <c r="EI488" i="38"/>
  <c r="EK488" i="38"/>
  <c r="EM488" i="38" s="1"/>
  <c r="EL488" i="38"/>
  <c r="EN488" i="38"/>
  <c r="EH489" i="38"/>
  <c r="EJ489" i="38" s="1"/>
  <c r="EI489" i="38"/>
  <c r="EK489" i="38"/>
  <c r="EM489" i="38" s="1"/>
  <c r="EL489" i="38"/>
  <c r="EH490" i="38"/>
  <c r="EJ490" i="38" s="1"/>
  <c r="EI490" i="38"/>
  <c r="EK490" i="38"/>
  <c r="EO490" i="38" s="1"/>
  <c r="EL490" i="38"/>
  <c r="EM490" i="38"/>
  <c r="EN490" i="38"/>
  <c r="EH491" i="38"/>
  <c r="EJ491" i="38" s="1"/>
  <c r="EI491" i="38"/>
  <c r="EK491" i="38"/>
  <c r="EO491" i="38" s="1"/>
  <c r="EL491" i="38"/>
  <c r="EM491" i="38"/>
  <c r="EH492" i="38"/>
  <c r="EJ492" i="38" s="1"/>
  <c r="EI492" i="38"/>
  <c r="EK492" i="38"/>
  <c r="EL492" i="38"/>
  <c r="EM492" i="38"/>
  <c r="EN492" i="38"/>
  <c r="EO492" i="38"/>
  <c r="EH493" i="38"/>
  <c r="EI493" i="38"/>
  <c r="EJ493" i="38"/>
  <c r="EK493" i="38"/>
  <c r="EL493" i="38"/>
  <c r="EM493" i="38"/>
  <c r="EN493" i="38"/>
  <c r="EO493" i="38"/>
  <c r="EH494" i="38"/>
  <c r="EI494" i="38"/>
  <c r="EJ494" i="38"/>
  <c r="EK494" i="38"/>
  <c r="EL494" i="38"/>
  <c r="EM494" i="38"/>
  <c r="EN494" i="38"/>
  <c r="EO494" i="38"/>
  <c r="EH495" i="38"/>
  <c r="EI495" i="38"/>
  <c r="EJ495" i="38"/>
  <c r="EK495" i="38"/>
  <c r="EL495" i="38"/>
  <c r="EM495" i="38"/>
  <c r="EN495" i="38"/>
  <c r="EO495" i="38"/>
  <c r="EH496" i="38"/>
  <c r="EI496" i="38"/>
  <c r="EJ496" i="38"/>
  <c r="EK496" i="38"/>
  <c r="EL496" i="38"/>
  <c r="EM496" i="38"/>
  <c r="EN496" i="38"/>
  <c r="EO496" i="38"/>
  <c r="EH497" i="38"/>
  <c r="EI497" i="38"/>
  <c r="EJ497" i="38"/>
  <c r="EK497" i="38"/>
  <c r="EL497" i="38"/>
  <c r="EM497" i="38"/>
  <c r="EN497" i="38"/>
  <c r="EO497" i="38"/>
  <c r="EH498" i="38"/>
  <c r="EI498" i="38"/>
  <c r="EJ498" i="38"/>
  <c r="EK498" i="38"/>
  <c r="EL498" i="38"/>
  <c r="EM498" i="38"/>
  <c r="EN498" i="38"/>
  <c r="EO498" i="38"/>
  <c r="EH499" i="38"/>
  <c r="EI499" i="38"/>
  <c r="EJ499" i="38"/>
  <c r="EK499" i="38"/>
  <c r="EL499" i="38"/>
  <c r="EM499" i="38"/>
  <c r="EN499" i="38"/>
  <c r="EO499" i="38"/>
  <c r="EH500" i="38"/>
  <c r="EI500" i="38"/>
  <c r="EJ500" i="38"/>
  <c r="EK500" i="38"/>
  <c r="EL500" i="38"/>
  <c r="EM500" i="38"/>
  <c r="EN500" i="38"/>
  <c r="EO500" i="38"/>
  <c r="EH501" i="38"/>
  <c r="EI501" i="38"/>
  <c r="EJ501" i="38"/>
  <c r="EK501" i="38"/>
  <c r="EL501" i="38"/>
  <c r="EM501" i="38"/>
  <c r="EN501" i="38"/>
  <c r="EO501" i="38"/>
  <c r="EH502" i="38"/>
  <c r="EI502" i="38"/>
  <c r="EJ502" i="38"/>
  <c r="EK502" i="38"/>
  <c r="EL502" i="38"/>
  <c r="EM502" i="38"/>
  <c r="EN502" i="38"/>
  <c r="EO502" i="38"/>
  <c r="EH503" i="38"/>
  <c r="EI503" i="38"/>
  <c r="EJ503" i="38"/>
  <c r="EK503" i="38"/>
  <c r="EL503" i="38"/>
  <c r="EM503" i="38"/>
  <c r="EN503" i="38"/>
  <c r="EO503" i="38"/>
  <c r="EH504" i="38"/>
  <c r="EI504" i="38"/>
  <c r="EJ504" i="38"/>
  <c r="EK504" i="38"/>
  <c r="EL504" i="38"/>
  <c r="EM504" i="38"/>
  <c r="EN504" i="38"/>
  <c r="EO504" i="38"/>
  <c r="EH505" i="38"/>
  <c r="EI505" i="38"/>
  <c r="EJ505" i="38"/>
  <c r="EK505" i="38"/>
  <c r="EM505" i="38" s="1"/>
  <c r="EL505" i="38"/>
  <c r="EN505" i="38"/>
  <c r="EO505" i="38"/>
  <c r="EH506" i="38"/>
  <c r="EI506" i="38"/>
  <c r="EJ506" i="38"/>
  <c r="EK506" i="38"/>
  <c r="EM506" i="38" s="1"/>
  <c r="EL506" i="38"/>
  <c r="EN506" i="38"/>
  <c r="EO506" i="38"/>
  <c r="EH507" i="38"/>
  <c r="EI507" i="38"/>
  <c r="EJ507" i="38"/>
  <c r="EK507" i="38"/>
  <c r="EM507" i="38" s="1"/>
  <c r="EL507" i="38"/>
  <c r="EN507" i="38"/>
  <c r="EO507" i="38"/>
  <c r="EH508" i="38"/>
  <c r="EI508" i="38"/>
  <c r="EJ508" i="38"/>
  <c r="EK508" i="38"/>
  <c r="EM508" i="38" s="1"/>
  <c r="EL508" i="38"/>
  <c r="EN508" i="38"/>
  <c r="EO508" i="38"/>
  <c r="EH509" i="38"/>
  <c r="EI509" i="38"/>
  <c r="EJ509" i="38"/>
  <c r="EK509" i="38"/>
  <c r="EM509" i="38" s="1"/>
  <c r="EL509" i="38"/>
  <c r="EN509" i="38"/>
  <c r="EO509" i="38"/>
  <c r="EH510" i="38"/>
  <c r="EI510" i="38"/>
  <c r="EJ510" i="38"/>
  <c r="EK510" i="38"/>
  <c r="EM510" i="38" s="1"/>
  <c r="EL510" i="38"/>
  <c r="EN510" i="38"/>
  <c r="EO510" i="38"/>
  <c r="EH511" i="38"/>
  <c r="EI511" i="38"/>
  <c r="EJ511" i="38"/>
  <c r="EK511" i="38"/>
  <c r="EM511" i="38" s="1"/>
  <c r="EL511" i="38"/>
  <c r="EN511" i="38"/>
  <c r="EO511" i="38"/>
  <c r="EH512" i="38"/>
  <c r="EI512" i="38"/>
  <c r="EJ512" i="38"/>
  <c r="EK512" i="38"/>
  <c r="EM512" i="38" s="1"/>
  <c r="EL512" i="38"/>
  <c r="EN512" i="38"/>
  <c r="EO512" i="38"/>
  <c r="EH513" i="38"/>
  <c r="EI513" i="38"/>
  <c r="EJ513" i="38"/>
  <c r="EK513" i="38"/>
  <c r="EM513" i="38" s="1"/>
  <c r="EL513" i="38"/>
  <c r="EN513" i="38"/>
  <c r="EO513" i="38"/>
  <c r="EH514" i="38"/>
  <c r="EI514" i="38"/>
  <c r="EJ514" i="38"/>
  <c r="EK514" i="38"/>
  <c r="EM514" i="38" s="1"/>
  <c r="EL514" i="38"/>
  <c r="EN514" i="38"/>
  <c r="EO514" i="38"/>
  <c r="EH515" i="38"/>
  <c r="EI515" i="38"/>
  <c r="EJ515" i="38"/>
  <c r="EK515" i="38"/>
  <c r="EM515" i="38" s="1"/>
  <c r="EL515" i="38"/>
  <c r="EN515" i="38"/>
  <c r="EO515" i="38"/>
  <c r="EH516" i="38"/>
  <c r="EI516" i="38"/>
  <c r="EJ516" i="38"/>
  <c r="EK516" i="38"/>
  <c r="EM516" i="38" s="1"/>
  <c r="EL516" i="38"/>
  <c r="EN516" i="38"/>
  <c r="EO516" i="38"/>
  <c r="EH517" i="38"/>
  <c r="EI517" i="38"/>
  <c r="EJ517" i="38"/>
  <c r="EK517" i="38"/>
  <c r="EM517" i="38" s="1"/>
  <c r="EL517" i="38"/>
  <c r="EN517" i="38"/>
  <c r="EO517" i="38"/>
  <c r="EH518" i="38"/>
  <c r="EI518" i="38"/>
  <c r="EJ518" i="38"/>
  <c r="EK518" i="38"/>
  <c r="EM518" i="38" s="1"/>
  <c r="EL518" i="38"/>
  <c r="EN518" i="38"/>
  <c r="EO518" i="38"/>
  <c r="EH519" i="38"/>
  <c r="EI519" i="38"/>
  <c r="EJ519" i="38"/>
  <c r="EK519" i="38"/>
  <c r="EM519" i="38" s="1"/>
  <c r="EL519" i="38"/>
  <c r="EN519" i="38"/>
  <c r="EO519" i="38"/>
  <c r="EH520" i="38"/>
  <c r="EI520" i="38"/>
  <c r="EJ520" i="38"/>
  <c r="EK520" i="38"/>
  <c r="EM520" i="38" s="1"/>
  <c r="EL520" i="38"/>
  <c r="EN520" i="38"/>
  <c r="EO520" i="38"/>
  <c r="EH521" i="38"/>
  <c r="EI521" i="38"/>
  <c r="EJ521" i="38"/>
  <c r="EK521" i="38"/>
  <c r="EM521" i="38" s="1"/>
  <c r="EL521" i="38"/>
  <c r="EN521" i="38"/>
  <c r="EO521" i="38"/>
  <c r="EH522" i="38"/>
  <c r="EI522" i="38"/>
  <c r="EJ522" i="38"/>
  <c r="EK522" i="38"/>
  <c r="EM522" i="38" s="1"/>
  <c r="EL522" i="38"/>
  <c r="EN522" i="38"/>
  <c r="EO522" i="38"/>
  <c r="EH523" i="38"/>
  <c r="EI523" i="38"/>
  <c r="EJ523" i="38"/>
  <c r="EK523" i="38"/>
  <c r="EM523" i="38" s="1"/>
  <c r="EL523" i="38"/>
  <c r="EN523" i="38"/>
  <c r="EO523" i="38"/>
  <c r="EH524" i="38"/>
  <c r="EI524" i="38"/>
  <c r="EJ524" i="38"/>
  <c r="EK524" i="38"/>
  <c r="EM524" i="38" s="1"/>
  <c r="EL524" i="38"/>
  <c r="EN524" i="38"/>
  <c r="EO524" i="38"/>
  <c r="EH525" i="38"/>
  <c r="EI525" i="38"/>
  <c r="EJ525" i="38"/>
  <c r="EK525" i="38"/>
  <c r="EM525" i="38" s="1"/>
  <c r="EL525" i="38"/>
  <c r="EN525" i="38"/>
  <c r="EO525" i="38"/>
  <c r="EH526" i="38"/>
  <c r="EI526" i="38"/>
  <c r="EJ526" i="38"/>
  <c r="EK526" i="38"/>
  <c r="EM526" i="38" s="1"/>
  <c r="EL526" i="38"/>
  <c r="EN526" i="38"/>
  <c r="EO526" i="38"/>
  <c r="EH527" i="38"/>
  <c r="EI527" i="38"/>
  <c r="EJ527" i="38"/>
  <c r="EK527" i="38"/>
  <c r="EM527" i="38" s="1"/>
  <c r="EL527" i="38"/>
  <c r="EN527" i="38"/>
  <c r="EO527" i="38"/>
  <c r="EH528" i="38"/>
  <c r="EI528" i="38"/>
  <c r="EJ528" i="38"/>
  <c r="EK528" i="38"/>
  <c r="EM528" i="38" s="1"/>
  <c r="EL528" i="38"/>
  <c r="EN528" i="38"/>
  <c r="EO528" i="38"/>
  <c r="EH529" i="38"/>
  <c r="EI529" i="38"/>
  <c r="EJ529" i="38"/>
  <c r="EK529" i="38"/>
  <c r="EM529" i="38" s="1"/>
  <c r="EL529" i="38"/>
  <c r="EN529" i="38"/>
  <c r="EO529" i="38"/>
  <c r="EH530" i="38"/>
  <c r="EI530" i="38"/>
  <c r="EJ530" i="38"/>
  <c r="EK530" i="38"/>
  <c r="EM530" i="38" s="1"/>
  <c r="EL530" i="38"/>
  <c r="EN530" i="38"/>
  <c r="EO530" i="38"/>
  <c r="EH531" i="38"/>
  <c r="EI531" i="38"/>
  <c r="EJ531" i="38"/>
  <c r="EK531" i="38"/>
  <c r="EM531" i="38" s="1"/>
  <c r="EL531" i="38"/>
  <c r="EN531" i="38"/>
  <c r="EO531" i="38"/>
  <c r="EH532" i="38"/>
  <c r="EI532" i="38"/>
  <c r="EJ532" i="38"/>
  <c r="EK532" i="38"/>
  <c r="EM532" i="38" s="1"/>
  <c r="EL532" i="38"/>
  <c r="EN532" i="38"/>
  <c r="EO532" i="38"/>
  <c r="EH533" i="38"/>
  <c r="EI533" i="38"/>
  <c r="EJ533" i="38"/>
  <c r="EK533" i="38"/>
  <c r="EM533" i="38" s="1"/>
  <c r="EL533" i="38"/>
  <c r="EN533" i="38"/>
  <c r="EO533" i="38"/>
  <c r="EH534" i="38"/>
  <c r="EI534" i="38"/>
  <c r="EJ534" i="38"/>
  <c r="EK534" i="38"/>
  <c r="EM534" i="38" s="1"/>
  <c r="EL534" i="38"/>
  <c r="EN534" i="38"/>
  <c r="EO534" i="38"/>
  <c r="EH535" i="38"/>
  <c r="EI535" i="38"/>
  <c r="EJ535" i="38"/>
  <c r="EK535" i="38"/>
  <c r="EM535" i="38" s="1"/>
  <c r="EL535" i="38"/>
  <c r="EN535" i="38"/>
  <c r="EO535" i="38"/>
  <c r="EH536" i="38"/>
  <c r="EI536" i="38"/>
  <c r="EJ536" i="38"/>
  <c r="EK536" i="38"/>
  <c r="EM536" i="38" s="1"/>
  <c r="EL536" i="38"/>
  <c r="EN536" i="38"/>
  <c r="EO536" i="38"/>
  <c r="EH537" i="38"/>
  <c r="EI537" i="38"/>
  <c r="EJ537" i="38"/>
  <c r="EK537" i="38"/>
  <c r="EM537" i="38" s="1"/>
  <c r="EL537" i="38"/>
  <c r="EN537" i="38"/>
  <c r="EO537" i="38"/>
  <c r="EH538" i="38"/>
  <c r="EI538" i="38"/>
  <c r="EJ538" i="38"/>
  <c r="EK538" i="38"/>
  <c r="EM538" i="38" s="1"/>
  <c r="EL538" i="38"/>
  <c r="EN538" i="38"/>
  <c r="EO538" i="38"/>
  <c r="EH539" i="38"/>
  <c r="EI539" i="38"/>
  <c r="EJ539" i="38"/>
  <c r="EK539" i="38"/>
  <c r="EM539" i="38" s="1"/>
  <c r="EL539" i="38"/>
  <c r="EN539" i="38"/>
  <c r="EO539" i="38"/>
  <c r="EH540" i="38"/>
  <c r="EJ540" i="38" s="1"/>
  <c r="EI540" i="38"/>
  <c r="EK540" i="38"/>
  <c r="EM540" i="38" s="1"/>
  <c r="EL540" i="38"/>
  <c r="EN540" i="38"/>
  <c r="EO540" i="38"/>
  <c r="EH541" i="38"/>
  <c r="EJ541" i="38" s="1"/>
  <c r="EI541" i="38"/>
  <c r="EK541" i="38"/>
  <c r="EM541" i="38" s="1"/>
  <c r="EL541" i="38"/>
  <c r="EN541" i="38"/>
  <c r="EO541" i="38"/>
  <c r="EH542" i="38"/>
  <c r="EJ542" i="38" s="1"/>
  <c r="EI542" i="38"/>
  <c r="EK542" i="38"/>
  <c r="EM542" i="38" s="1"/>
  <c r="EL542" i="38"/>
  <c r="EN542" i="38"/>
  <c r="EO542" i="38"/>
  <c r="EH543" i="38"/>
  <c r="EJ543" i="38" s="1"/>
  <c r="EI543" i="38"/>
  <c r="EK543" i="38"/>
  <c r="EM543" i="38" s="1"/>
  <c r="EL543" i="38"/>
  <c r="EN543" i="38"/>
  <c r="EO543" i="38"/>
  <c r="EH544" i="38"/>
  <c r="EJ544" i="38" s="1"/>
  <c r="EI544" i="38"/>
  <c r="EK544" i="38"/>
  <c r="EM544" i="38" s="1"/>
  <c r="EL544" i="38"/>
  <c r="EN544" i="38"/>
  <c r="EO544" i="38"/>
  <c r="EH545" i="38"/>
  <c r="EJ545" i="38" s="1"/>
  <c r="EI545" i="38"/>
  <c r="EK545" i="38"/>
  <c r="EM545" i="38" s="1"/>
  <c r="EL545" i="38"/>
  <c r="EN545" i="38"/>
  <c r="EO545" i="38"/>
  <c r="EH546" i="38"/>
  <c r="EJ546" i="38" s="1"/>
  <c r="EI546" i="38"/>
  <c r="EK546" i="38"/>
  <c r="EM546" i="38" s="1"/>
  <c r="EL546" i="38"/>
  <c r="EN546" i="38"/>
  <c r="EO546" i="38"/>
  <c r="EH547" i="38"/>
  <c r="EJ547" i="38" s="1"/>
  <c r="EI547" i="38"/>
  <c r="EK547" i="38"/>
  <c r="EM547" i="38" s="1"/>
  <c r="EL547" i="38"/>
  <c r="EN547" i="38"/>
  <c r="EO547" i="38"/>
  <c r="EH548" i="38"/>
  <c r="EJ548" i="38" s="1"/>
  <c r="EI548" i="38"/>
  <c r="EK548" i="38"/>
  <c r="EM548" i="38" s="1"/>
  <c r="EL548" i="38"/>
  <c r="EN548" i="38"/>
  <c r="EO548" i="38"/>
  <c r="EH549" i="38"/>
  <c r="EJ549" i="38" s="1"/>
  <c r="EI549" i="38"/>
  <c r="EK549" i="38"/>
  <c r="EM549" i="38" s="1"/>
  <c r="EL549" i="38"/>
  <c r="EN549" i="38"/>
  <c r="EO549" i="38"/>
  <c r="EH550" i="38"/>
  <c r="EJ550" i="38" s="1"/>
  <c r="EI550" i="38"/>
  <c r="EK550" i="38"/>
  <c r="EM550" i="38" s="1"/>
  <c r="EL550" i="38"/>
  <c r="EN550" i="38"/>
  <c r="EO550" i="38"/>
  <c r="EH551" i="38"/>
  <c r="EJ551" i="38" s="1"/>
  <c r="EI551" i="38"/>
  <c r="EK551" i="38"/>
  <c r="EM551" i="38" s="1"/>
  <c r="EL551" i="38"/>
  <c r="EN551" i="38"/>
  <c r="EO551" i="38"/>
  <c r="EH552" i="38"/>
  <c r="EJ552" i="38" s="1"/>
  <c r="EI552" i="38"/>
  <c r="EK552" i="38"/>
  <c r="EM552" i="38" s="1"/>
  <c r="EL552" i="38"/>
  <c r="EN552" i="38"/>
  <c r="EO552" i="38"/>
  <c r="EH553" i="38"/>
  <c r="EJ553" i="38" s="1"/>
  <c r="EI553" i="38"/>
  <c r="EK553" i="38"/>
  <c r="EO553" i="38" s="1"/>
  <c r="EL553" i="38"/>
  <c r="EN553" i="38"/>
  <c r="EH554" i="38"/>
  <c r="EJ554" i="38" s="1"/>
  <c r="EI554" i="38"/>
  <c r="EK554" i="38"/>
  <c r="EO554" i="38" s="1"/>
  <c r="EL554" i="38"/>
  <c r="EN554" i="38"/>
  <c r="EH555" i="38"/>
  <c r="EJ555" i="38" s="1"/>
  <c r="EI555" i="38"/>
  <c r="EK555" i="38"/>
  <c r="EO555" i="38" s="1"/>
  <c r="EL555" i="38"/>
  <c r="EN555" i="38"/>
  <c r="EH556" i="38"/>
  <c r="EJ556" i="38" s="1"/>
  <c r="EI556" i="38"/>
  <c r="EK556" i="38"/>
  <c r="EO556" i="38" s="1"/>
  <c r="EL556" i="38"/>
  <c r="EN556" i="38"/>
  <c r="EH557" i="38"/>
  <c r="EJ557" i="38" s="1"/>
  <c r="EI557" i="38"/>
  <c r="EK557" i="38"/>
  <c r="EO557" i="38" s="1"/>
  <c r="EL557" i="38"/>
  <c r="EN557" i="38"/>
  <c r="EH558" i="38"/>
  <c r="EJ558" i="38" s="1"/>
  <c r="EI558" i="38"/>
  <c r="EK558" i="38"/>
  <c r="EO558" i="38" s="1"/>
  <c r="EL558" i="38"/>
  <c r="EN558" i="38"/>
  <c r="EH559" i="38"/>
  <c r="EJ559" i="38" s="1"/>
  <c r="EI559" i="38"/>
  <c r="EK559" i="38"/>
  <c r="EO559" i="38" s="1"/>
  <c r="EL559" i="38"/>
  <c r="EN559" i="38"/>
  <c r="EH560" i="38"/>
  <c r="EJ560" i="38" s="1"/>
  <c r="EI560" i="38"/>
  <c r="EK560" i="38"/>
  <c r="EO560" i="38" s="1"/>
  <c r="EL560" i="38"/>
  <c r="EN560" i="38"/>
  <c r="EH561" i="38"/>
  <c r="EJ561" i="38" s="1"/>
  <c r="EI561" i="38"/>
  <c r="EK561" i="38"/>
  <c r="EO561" i="38" s="1"/>
  <c r="EL561" i="38"/>
  <c r="EN561" i="38"/>
  <c r="EH562" i="38"/>
  <c r="EJ562" i="38" s="1"/>
  <c r="EI562" i="38"/>
  <c r="EK562" i="38"/>
  <c r="EO562" i="38" s="1"/>
  <c r="EL562" i="38"/>
  <c r="EN562" i="38"/>
  <c r="EH563" i="38"/>
  <c r="EJ563" i="38" s="1"/>
  <c r="EI563" i="38"/>
  <c r="EK563" i="38"/>
  <c r="EO563" i="38" s="1"/>
  <c r="EL563" i="38"/>
  <c r="EN563" i="38"/>
  <c r="EH564" i="38"/>
  <c r="EJ564" i="38" s="1"/>
  <c r="EI564" i="38"/>
  <c r="EK564" i="38"/>
  <c r="EO564" i="38" s="1"/>
  <c r="EL564" i="38"/>
  <c r="EN564" i="38"/>
  <c r="EH565" i="38"/>
  <c r="EJ565" i="38" s="1"/>
  <c r="EI565" i="38"/>
  <c r="EK565" i="38"/>
  <c r="EO565" i="38" s="1"/>
  <c r="EL565" i="38"/>
  <c r="EN565" i="38"/>
  <c r="EH566" i="38"/>
  <c r="EJ566" i="38" s="1"/>
  <c r="EI566" i="38"/>
  <c r="EK566" i="38"/>
  <c r="EO566" i="38" s="1"/>
  <c r="EL566" i="38"/>
  <c r="EN566" i="38"/>
  <c r="EH567" i="38"/>
  <c r="EJ567" i="38" s="1"/>
  <c r="EI567" i="38"/>
  <c r="EK567" i="38"/>
  <c r="EO567" i="38" s="1"/>
  <c r="EL567" i="38"/>
  <c r="EN567" i="38"/>
  <c r="EH568" i="38"/>
  <c r="EJ568" i="38" s="1"/>
  <c r="EI568" i="38"/>
  <c r="EK568" i="38"/>
  <c r="EO568" i="38" s="1"/>
  <c r="EL568" i="38"/>
  <c r="EN568" i="38"/>
  <c r="EH569" i="38"/>
  <c r="EJ569" i="38" s="1"/>
  <c r="EI569" i="38"/>
  <c r="EK569" i="38"/>
  <c r="EO569" i="38" s="1"/>
  <c r="EL569" i="38"/>
  <c r="EN569" i="38"/>
  <c r="EH570" i="38"/>
  <c r="EJ570" i="38" s="1"/>
  <c r="EI570" i="38"/>
  <c r="EK570" i="38"/>
  <c r="EO570" i="38" s="1"/>
  <c r="EL570" i="38"/>
  <c r="EN570" i="38"/>
  <c r="EH571" i="38"/>
  <c r="EJ571" i="38" s="1"/>
  <c r="EI571" i="38"/>
  <c r="EK571" i="38"/>
  <c r="EO571" i="38" s="1"/>
  <c r="EL571" i="38"/>
  <c r="EN571" i="38"/>
  <c r="EH572" i="38"/>
  <c r="EJ572" i="38" s="1"/>
  <c r="EI572" i="38"/>
  <c r="EK572" i="38"/>
  <c r="EO572" i="38" s="1"/>
  <c r="EL572" i="38"/>
  <c r="EN572" i="38"/>
  <c r="EH573" i="38"/>
  <c r="EJ573" i="38" s="1"/>
  <c r="EI573" i="38"/>
  <c r="EK573" i="38"/>
  <c r="EO573" i="38" s="1"/>
  <c r="EL573" i="38"/>
  <c r="EN573" i="38"/>
  <c r="EH574" i="38"/>
  <c r="EJ574" i="38" s="1"/>
  <c r="EI574" i="38"/>
  <c r="EK574" i="38"/>
  <c r="EO574" i="38" s="1"/>
  <c r="EL574" i="38"/>
  <c r="EN574" i="38"/>
  <c r="EH575" i="38"/>
  <c r="EJ575" i="38" s="1"/>
  <c r="EI575" i="38"/>
  <c r="EK575" i="38"/>
  <c r="EO575" i="38" s="1"/>
  <c r="EL575" i="38"/>
  <c r="EN575" i="38"/>
  <c r="EH576" i="38"/>
  <c r="EJ576" i="38" s="1"/>
  <c r="EI576" i="38"/>
  <c r="EK576" i="38"/>
  <c r="EO576" i="38" s="1"/>
  <c r="EL576" i="38"/>
  <c r="EN576" i="38"/>
  <c r="EH577" i="38"/>
  <c r="EJ577" i="38" s="1"/>
  <c r="EI577" i="38"/>
  <c r="EK577" i="38"/>
  <c r="EO577" i="38" s="1"/>
  <c r="EL577" i="38"/>
  <c r="EN577" i="38"/>
  <c r="EH578" i="38"/>
  <c r="EJ578" i="38" s="1"/>
  <c r="EI578" i="38"/>
  <c r="EK578" i="38"/>
  <c r="EO578" i="38" s="1"/>
  <c r="EL578" i="38"/>
  <c r="EN578" i="38"/>
  <c r="EH579" i="38"/>
  <c r="EJ579" i="38" s="1"/>
  <c r="EI579" i="38"/>
  <c r="EK579" i="38"/>
  <c r="EO579" i="38" s="1"/>
  <c r="EL579" i="38"/>
  <c r="EN579" i="38"/>
  <c r="EH580" i="38"/>
  <c r="EJ580" i="38" s="1"/>
  <c r="EI580" i="38"/>
  <c r="EK580" i="38"/>
  <c r="EO580" i="38" s="1"/>
  <c r="EL580" i="38"/>
  <c r="EN580" i="38"/>
  <c r="EH581" i="38"/>
  <c r="EJ581" i="38" s="1"/>
  <c r="EI581" i="38"/>
  <c r="EK581" i="38"/>
  <c r="EO581" i="38" s="1"/>
  <c r="EL581" i="38"/>
  <c r="EN581" i="38"/>
  <c r="EH582" i="38"/>
  <c r="EJ582" i="38" s="1"/>
  <c r="EI582" i="38"/>
  <c r="EK582" i="38"/>
  <c r="EO582" i="38" s="1"/>
  <c r="EL582" i="38"/>
  <c r="EN582" i="38"/>
  <c r="EH583" i="38"/>
  <c r="EJ583" i="38" s="1"/>
  <c r="EI583" i="38"/>
  <c r="EK583" i="38"/>
  <c r="EO583" i="38" s="1"/>
  <c r="EL583" i="38"/>
  <c r="EN583" i="38"/>
  <c r="EH584" i="38"/>
  <c r="EJ584" i="38" s="1"/>
  <c r="EI584" i="38"/>
  <c r="EK584" i="38"/>
  <c r="EO584" i="38" s="1"/>
  <c r="EL584" i="38"/>
  <c r="EN584" i="38"/>
  <c r="EH585" i="38"/>
  <c r="EJ585" i="38" s="1"/>
  <c r="EI585" i="38"/>
  <c r="EK585" i="38"/>
  <c r="EO585" i="38" s="1"/>
  <c r="EL585" i="38"/>
  <c r="EN585" i="38"/>
  <c r="EH586" i="38"/>
  <c r="EJ586" i="38" s="1"/>
  <c r="EI586" i="38"/>
  <c r="EK586" i="38"/>
  <c r="EO586" i="38" s="1"/>
  <c r="EL586" i="38"/>
  <c r="EN586" i="38"/>
  <c r="EH587" i="38"/>
  <c r="EJ587" i="38" s="1"/>
  <c r="EI587" i="38"/>
  <c r="EK587" i="38"/>
  <c r="EO587" i="38" s="1"/>
  <c r="EL587" i="38"/>
  <c r="EN587" i="38"/>
  <c r="EH588" i="38"/>
  <c r="EJ588" i="38" s="1"/>
  <c r="EI588" i="38"/>
  <c r="EK588" i="38"/>
  <c r="EO588" i="38" s="1"/>
  <c r="EL588" i="38"/>
  <c r="EN588" i="38"/>
  <c r="EH589" i="38"/>
  <c r="EJ589" i="38" s="1"/>
  <c r="EI589" i="38"/>
  <c r="EK589" i="38"/>
  <c r="EO589" i="38" s="1"/>
  <c r="EL589" i="38"/>
  <c r="EN589" i="38"/>
  <c r="EH590" i="38"/>
  <c r="EJ590" i="38" s="1"/>
  <c r="EI590" i="38"/>
  <c r="EK590" i="38"/>
  <c r="EO590" i="38" s="1"/>
  <c r="EL590" i="38"/>
  <c r="EN590" i="38"/>
  <c r="EH591" i="38"/>
  <c r="EJ591" i="38" s="1"/>
  <c r="EI591" i="38"/>
  <c r="EK591" i="38"/>
  <c r="EO591" i="38" s="1"/>
  <c r="EL591" i="38"/>
  <c r="EN591" i="38"/>
  <c r="EH592" i="38"/>
  <c r="EJ592" i="38" s="1"/>
  <c r="EI592" i="38"/>
  <c r="EK592" i="38"/>
  <c r="EO592" i="38" s="1"/>
  <c r="EL592" i="38"/>
  <c r="EN592" i="38"/>
  <c r="EH593" i="38"/>
  <c r="EJ593" i="38" s="1"/>
  <c r="EI593" i="38"/>
  <c r="EK593" i="38"/>
  <c r="EO593" i="38" s="1"/>
  <c r="EL593" i="38"/>
  <c r="EN593" i="38"/>
  <c r="EH594" i="38"/>
  <c r="EJ594" i="38" s="1"/>
  <c r="EI594" i="38"/>
  <c r="EK594" i="38"/>
  <c r="EO594" i="38" s="1"/>
  <c r="EL594" i="38"/>
  <c r="EN594" i="38"/>
  <c r="EH595" i="38"/>
  <c r="EJ595" i="38" s="1"/>
  <c r="EI595" i="38"/>
  <c r="EK595" i="38"/>
  <c r="EO595" i="38" s="1"/>
  <c r="EL595" i="38"/>
  <c r="EN595" i="38"/>
  <c r="EH596" i="38"/>
  <c r="EJ596" i="38" s="1"/>
  <c r="EI596" i="38"/>
  <c r="EK596" i="38"/>
  <c r="EO596" i="38" s="1"/>
  <c r="EL596" i="38"/>
  <c r="EN596" i="38"/>
  <c r="EH597" i="38"/>
  <c r="EJ597" i="38" s="1"/>
  <c r="EI597" i="38"/>
  <c r="EK597" i="38"/>
  <c r="EO597" i="38" s="1"/>
  <c r="EL597" i="38"/>
  <c r="EN597" i="38"/>
  <c r="EH598" i="38"/>
  <c r="EJ598" i="38" s="1"/>
  <c r="EI598" i="38"/>
  <c r="EK598" i="38"/>
  <c r="EO598" i="38" s="1"/>
  <c r="EL598" i="38"/>
  <c r="EN598" i="38"/>
  <c r="EH599" i="38"/>
  <c r="EJ599" i="38" s="1"/>
  <c r="EI599" i="38"/>
  <c r="EK599" i="38"/>
  <c r="EO599" i="38" s="1"/>
  <c r="EL599" i="38"/>
  <c r="EN599" i="38"/>
  <c r="EH600" i="38"/>
  <c r="EJ600" i="38" s="1"/>
  <c r="EI600" i="38"/>
  <c r="EK600" i="38"/>
  <c r="EO600" i="38" s="1"/>
  <c r="EL600" i="38"/>
  <c r="EN600" i="38"/>
  <c r="EH601" i="38"/>
  <c r="EJ601" i="38" s="1"/>
  <c r="EI601" i="38"/>
  <c r="EK601" i="38"/>
  <c r="EO601" i="38" s="1"/>
  <c r="EL601" i="38"/>
  <c r="EN601" i="38"/>
  <c r="EH602" i="38"/>
  <c r="EJ602" i="38" s="1"/>
  <c r="EI602" i="38"/>
  <c r="EK602" i="38"/>
  <c r="EO602" i="38" s="1"/>
  <c r="EL602" i="38"/>
  <c r="EN602" i="38"/>
  <c r="EH603" i="38"/>
  <c r="EJ603" i="38" s="1"/>
  <c r="EI603" i="38"/>
  <c r="EK603" i="38"/>
  <c r="EO603" i="38" s="1"/>
  <c r="EL603" i="38"/>
  <c r="EN603" i="38"/>
  <c r="EH604" i="38"/>
  <c r="EJ604" i="38" s="1"/>
  <c r="EI604" i="38"/>
  <c r="EK604" i="38"/>
  <c r="EO604" i="38" s="1"/>
  <c r="EL604" i="38"/>
  <c r="EN604" i="38"/>
  <c r="EH605" i="38"/>
  <c r="EJ605" i="38" s="1"/>
  <c r="EI605" i="38"/>
  <c r="EK605" i="38"/>
  <c r="EO605" i="38" s="1"/>
  <c r="EL605" i="38"/>
  <c r="EN605" i="38"/>
  <c r="EH606" i="38"/>
  <c r="EJ606" i="38" s="1"/>
  <c r="EI606" i="38"/>
  <c r="EK606" i="38"/>
  <c r="EO606" i="38" s="1"/>
  <c r="EL606" i="38"/>
  <c r="EN606" i="38"/>
  <c r="EH607" i="38"/>
  <c r="EJ607" i="38" s="1"/>
  <c r="EI607" i="38"/>
  <c r="EK607" i="38"/>
  <c r="EO607" i="38" s="1"/>
  <c r="EL607" i="38"/>
  <c r="EN607" i="38"/>
  <c r="EH608" i="38"/>
  <c r="EJ608" i="38" s="1"/>
  <c r="EI608" i="38"/>
  <c r="EK608" i="38"/>
  <c r="EO608" i="38" s="1"/>
  <c r="EL608" i="38"/>
  <c r="EN608" i="38"/>
  <c r="EH609" i="38"/>
  <c r="EJ609" i="38" s="1"/>
  <c r="EI609" i="38"/>
  <c r="EK609" i="38"/>
  <c r="EO609" i="38" s="1"/>
  <c r="EL609" i="38"/>
  <c r="EN609" i="38"/>
  <c r="EH610" i="38"/>
  <c r="EJ610" i="38" s="1"/>
  <c r="EI610" i="38"/>
  <c r="EK610" i="38"/>
  <c r="EO610" i="38" s="1"/>
  <c r="EL610" i="38"/>
  <c r="EN610" i="38"/>
  <c r="EH611" i="38"/>
  <c r="EJ611" i="38" s="1"/>
  <c r="EI611" i="38"/>
  <c r="EK611" i="38"/>
  <c r="EO611" i="38" s="1"/>
  <c r="EL611" i="38"/>
  <c r="EN611" i="38"/>
  <c r="EH612" i="38"/>
  <c r="EJ612" i="38" s="1"/>
  <c r="EI612" i="38"/>
  <c r="EK612" i="38"/>
  <c r="EO612" i="38" s="1"/>
  <c r="EL612" i="38"/>
  <c r="EN612" i="38"/>
  <c r="EH613" i="38"/>
  <c r="EJ613" i="38" s="1"/>
  <c r="EI613" i="38"/>
  <c r="EK613" i="38"/>
  <c r="EO613" i="38" s="1"/>
  <c r="EL613" i="38"/>
  <c r="EN613" i="38"/>
  <c r="EH614" i="38"/>
  <c r="EJ614" i="38" s="1"/>
  <c r="EI614" i="38"/>
  <c r="EK614" i="38"/>
  <c r="EO614" i="38" s="1"/>
  <c r="EL614" i="38"/>
  <c r="EN614" i="38"/>
  <c r="EH615" i="38"/>
  <c r="EJ615" i="38" s="1"/>
  <c r="EI615" i="38"/>
  <c r="EK615" i="38"/>
  <c r="EO615" i="38" s="1"/>
  <c r="EL615" i="38"/>
  <c r="EN615" i="38"/>
  <c r="EH616" i="38"/>
  <c r="EJ616" i="38" s="1"/>
  <c r="EI616" i="38"/>
  <c r="EK616" i="38"/>
  <c r="EO616" i="38" s="1"/>
  <c r="EL616" i="38"/>
  <c r="EN616" i="38"/>
  <c r="EH617" i="38"/>
  <c r="EJ617" i="38" s="1"/>
  <c r="EI617" i="38"/>
  <c r="EK617" i="38"/>
  <c r="EO617" i="38" s="1"/>
  <c r="EL617" i="38"/>
  <c r="EN617" i="38"/>
  <c r="EH618" i="38"/>
  <c r="EJ618" i="38" s="1"/>
  <c r="EI618" i="38"/>
  <c r="EK618" i="38"/>
  <c r="EO618" i="38" s="1"/>
  <c r="EL618" i="38"/>
  <c r="EN618" i="38"/>
  <c r="EH619" i="38"/>
  <c r="EJ619" i="38" s="1"/>
  <c r="EI619" i="38"/>
  <c r="EK619" i="38"/>
  <c r="EO619" i="38" s="1"/>
  <c r="EL619" i="38"/>
  <c r="EN619" i="38"/>
  <c r="EH620" i="38"/>
  <c r="EJ620" i="38" s="1"/>
  <c r="EI620" i="38"/>
  <c r="EK620" i="38"/>
  <c r="EO620" i="38" s="1"/>
  <c r="EL620" i="38"/>
  <c r="EN620" i="38"/>
  <c r="EH621" i="38"/>
  <c r="EJ621" i="38" s="1"/>
  <c r="EI621" i="38"/>
  <c r="EK621" i="38"/>
  <c r="EO621" i="38" s="1"/>
  <c r="EL621" i="38"/>
  <c r="EN621" i="38"/>
  <c r="EH622" i="38"/>
  <c r="EJ622" i="38" s="1"/>
  <c r="EI622" i="38"/>
  <c r="EK622" i="38"/>
  <c r="EO622" i="38" s="1"/>
  <c r="EL622" i="38"/>
  <c r="EN622" i="38"/>
  <c r="EH623" i="38"/>
  <c r="EJ623" i="38" s="1"/>
  <c r="EI623" i="38"/>
  <c r="EK623" i="38"/>
  <c r="EO623" i="38" s="1"/>
  <c r="EL623" i="38"/>
  <c r="EN623" i="38"/>
  <c r="EH624" i="38"/>
  <c r="EJ624" i="38" s="1"/>
  <c r="EI624" i="38"/>
  <c r="EK624" i="38"/>
  <c r="EO624" i="38" s="1"/>
  <c r="EL624" i="38"/>
  <c r="EN624" i="38"/>
  <c r="EH625" i="38"/>
  <c r="EJ625" i="38" s="1"/>
  <c r="EI625" i="38"/>
  <c r="EK625" i="38"/>
  <c r="EO625" i="38" s="1"/>
  <c r="EL625" i="38"/>
  <c r="EN625" i="38"/>
  <c r="EH626" i="38"/>
  <c r="EJ626" i="38" s="1"/>
  <c r="EI626" i="38"/>
  <c r="EK626" i="38"/>
  <c r="EO626" i="38" s="1"/>
  <c r="EL626" i="38"/>
  <c r="EN626" i="38"/>
  <c r="EH627" i="38"/>
  <c r="EJ627" i="38" s="1"/>
  <c r="EI627" i="38"/>
  <c r="EK627" i="38"/>
  <c r="EO627" i="38" s="1"/>
  <c r="EL627" i="38"/>
  <c r="EN627" i="38"/>
  <c r="EH628" i="38"/>
  <c r="EJ628" i="38" s="1"/>
  <c r="EI628" i="38"/>
  <c r="EK628" i="38"/>
  <c r="EO628" i="38" s="1"/>
  <c r="EL628" i="38"/>
  <c r="EN628" i="38"/>
  <c r="EH629" i="38"/>
  <c r="EJ629" i="38" s="1"/>
  <c r="EI629" i="38"/>
  <c r="EK629" i="38"/>
  <c r="EO629" i="38" s="1"/>
  <c r="EL629" i="38"/>
  <c r="EN629" i="38"/>
  <c r="EH630" i="38"/>
  <c r="EJ630" i="38" s="1"/>
  <c r="EI630" i="38"/>
  <c r="EK630" i="38"/>
  <c r="EO630" i="38" s="1"/>
  <c r="EL630" i="38"/>
  <c r="EN630" i="38"/>
  <c r="EH631" i="38"/>
  <c r="EJ631" i="38" s="1"/>
  <c r="EI631" i="38"/>
  <c r="EK631" i="38"/>
  <c r="EO631" i="38" s="1"/>
  <c r="EL631" i="38"/>
  <c r="EN631" i="38"/>
  <c r="EH632" i="38"/>
  <c r="EJ632" i="38" s="1"/>
  <c r="EI632" i="38"/>
  <c r="EK632" i="38"/>
  <c r="EO632" i="38" s="1"/>
  <c r="EL632" i="38"/>
  <c r="EN632" i="38"/>
  <c r="EH633" i="38"/>
  <c r="EJ633" i="38" s="1"/>
  <c r="EI633" i="38"/>
  <c r="EK633" i="38"/>
  <c r="EO633" i="38" s="1"/>
  <c r="EL633" i="38"/>
  <c r="EN633" i="38"/>
  <c r="EH634" i="38"/>
  <c r="EJ634" i="38" s="1"/>
  <c r="EI634" i="38"/>
  <c r="EK634" i="38"/>
  <c r="EO634" i="38" s="1"/>
  <c r="EL634" i="38"/>
  <c r="EN634" i="38"/>
  <c r="EH635" i="38"/>
  <c r="EJ635" i="38" s="1"/>
  <c r="EI635" i="38"/>
  <c r="EK635" i="38"/>
  <c r="EO635" i="38" s="1"/>
  <c r="EL635" i="38"/>
  <c r="EN635" i="38"/>
  <c r="EH636" i="38"/>
  <c r="EJ636" i="38" s="1"/>
  <c r="EI636" i="38"/>
  <c r="EK636" i="38"/>
  <c r="EO636" i="38" s="1"/>
  <c r="EL636" i="38"/>
  <c r="EN636" i="38"/>
  <c r="CN11" i="38"/>
  <c r="CO11" i="38"/>
  <c r="CP11" i="38"/>
  <c r="CQ11" i="38"/>
  <c r="CN12" i="38"/>
  <c r="CO12" i="38"/>
  <c r="CP12" i="38"/>
  <c r="CQ12" i="38"/>
  <c r="CN13" i="38"/>
  <c r="CO13" i="38"/>
  <c r="CP13" i="38"/>
  <c r="CQ13" i="38"/>
  <c r="CN14" i="38"/>
  <c r="CO14" i="38"/>
  <c r="CP14" i="38"/>
  <c r="CQ14" i="38"/>
  <c r="CN15" i="38"/>
  <c r="CO15" i="38"/>
  <c r="CP15" i="38"/>
  <c r="CQ15" i="38"/>
  <c r="CN16" i="38"/>
  <c r="CO16" i="38"/>
  <c r="CP16" i="38"/>
  <c r="CQ16" i="38"/>
  <c r="CN17" i="38"/>
  <c r="CO17" i="38"/>
  <c r="CP17" i="38"/>
  <c r="CQ17" i="38"/>
  <c r="CN18" i="38"/>
  <c r="CO18" i="38"/>
  <c r="CP18" i="38"/>
  <c r="CQ18" i="38"/>
  <c r="CN19" i="38"/>
  <c r="CO19" i="38"/>
  <c r="CP19" i="38"/>
  <c r="CQ19" i="38"/>
  <c r="CN20" i="38"/>
  <c r="CO20" i="38"/>
  <c r="CP20" i="38"/>
  <c r="CQ20" i="38"/>
  <c r="CN21" i="38"/>
  <c r="CO21" i="38"/>
  <c r="CP21" i="38"/>
  <c r="CQ21" i="38"/>
  <c r="CN22" i="38"/>
  <c r="CO22" i="38"/>
  <c r="CP22" i="38"/>
  <c r="CQ22" i="38"/>
  <c r="CN23" i="38"/>
  <c r="CO23" i="38"/>
  <c r="CP23" i="38"/>
  <c r="CQ23" i="38"/>
  <c r="CN24" i="38"/>
  <c r="CO24" i="38"/>
  <c r="CP24" i="38"/>
  <c r="CQ24" i="38"/>
  <c r="CN25" i="38"/>
  <c r="CO25" i="38"/>
  <c r="CP25" i="38"/>
  <c r="CQ25" i="38"/>
  <c r="CN26" i="38"/>
  <c r="CO26" i="38"/>
  <c r="CP26" i="38"/>
  <c r="CQ26" i="38"/>
  <c r="CN27" i="38"/>
  <c r="CO27" i="38"/>
  <c r="CP27" i="38"/>
  <c r="CQ27" i="38"/>
  <c r="CN28" i="38"/>
  <c r="CO28" i="38"/>
  <c r="CP28" i="38"/>
  <c r="CQ28" i="38"/>
  <c r="CN29" i="38"/>
  <c r="CO29" i="38"/>
  <c r="CP29" i="38"/>
  <c r="CQ29" i="38"/>
  <c r="CN30" i="38"/>
  <c r="CO30" i="38"/>
  <c r="CP30" i="38"/>
  <c r="CQ30" i="38"/>
  <c r="CN31" i="38"/>
  <c r="CO31" i="38"/>
  <c r="CP31" i="38"/>
  <c r="CQ31" i="38"/>
  <c r="CN32" i="38"/>
  <c r="CO32" i="38"/>
  <c r="CP32" i="38"/>
  <c r="CQ32" i="38"/>
  <c r="CN33" i="38"/>
  <c r="CO33" i="38"/>
  <c r="CP33" i="38"/>
  <c r="CQ33" i="38"/>
  <c r="CN34" i="38"/>
  <c r="CO34" i="38"/>
  <c r="CP34" i="38"/>
  <c r="CQ34" i="38"/>
  <c r="CN35" i="38"/>
  <c r="CO35" i="38"/>
  <c r="CP35" i="38"/>
  <c r="CQ35" i="38"/>
  <c r="CN36" i="38"/>
  <c r="CO36" i="38"/>
  <c r="CP36" i="38"/>
  <c r="CQ36" i="38"/>
  <c r="CN37" i="38"/>
  <c r="CO37" i="38"/>
  <c r="CP37" i="38"/>
  <c r="CQ37" i="38"/>
  <c r="CN38" i="38"/>
  <c r="CO38" i="38"/>
  <c r="CP38" i="38"/>
  <c r="CQ38" i="38"/>
  <c r="CN39" i="38"/>
  <c r="CO39" i="38"/>
  <c r="CP39" i="38"/>
  <c r="CQ39" i="38"/>
  <c r="CN40" i="38"/>
  <c r="CO40" i="38"/>
  <c r="CP40" i="38"/>
  <c r="CQ40" i="38"/>
  <c r="CN41" i="38"/>
  <c r="CO41" i="38"/>
  <c r="CP41" i="38"/>
  <c r="CQ41" i="38"/>
  <c r="CN42" i="38"/>
  <c r="CO42" i="38"/>
  <c r="CP42" i="38"/>
  <c r="CQ42" i="38"/>
  <c r="CN43" i="38"/>
  <c r="CO43" i="38"/>
  <c r="CP43" i="38"/>
  <c r="CQ43" i="38"/>
  <c r="CN44" i="38"/>
  <c r="CO44" i="38"/>
  <c r="CP44" i="38"/>
  <c r="CQ44" i="38"/>
  <c r="CN45" i="38"/>
  <c r="CO45" i="38"/>
  <c r="CP45" i="38"/>
  <c r="CQ45" i="38"/>
  <c r="CN46" i="38"/>
  <c r="CO46" i="38"/>
  <c r="CP46" i="38"/>
  <c r="CQ46" i="38"/>
  <c r="CN47" i="38"/>
  <c r="CO47" i="38"/>
  <c r="CP47" i="38"/>
  <c r="CQ47" i="38"/>
  <c r="CN48" i="38"/>
  <c r="CO48" i="38"/>
  <c r="CP48" i="38"/>
  <c r="CQ48" i="38"/>
  <c r="CN49" i="38"/>
  <c r="CO49" i="38"/>
  <c r="CP49" i="38"/>
  <c r="CQ49" i="38"/>
  <c r="CN50" i="38"/>
  <c r="CO50" i="38"/>
  <c r="CP50" i="38"/>
  <c r="CQ50" i="38"/>
  <c r="CN51" i="38"/>
  <c r="CO51" i="38"/>
  <c r="CP51" i="38"/>
  <c r="CQ51" i="38"/>
  <c r="CN52" i="38"/>
  <c r="CO52" i="38"/>
  <c r="CP52" i="38"/>
  <c r="CQ52" i="38"/>
  <c r="CN53" i="38"/>
  <c r="CO53" i="38"/>
  <c r="CP53" i="38"/>
  <c r="CQ53" i="38"/>
  <c r="CN54" i="38"/>
  <c r="CO54" i="38"/>
  <c r="CP54" i="38"/>
  <c r="CQ54" i="38"/>
  <c r="CN55" i="38"/>
  <c r="CO55" i="38"/>
  <c r="CP55" i="38"/>
  <c r="CQ55" i="38"/>
  <c r="CN56" i="38"/>
  <c r="CO56" i="38"/>
  <c r="CP56" i="38"/>
  <c r="CQ56" i="38"/>
  <c r="CN57" i="38"/>
  <c r="CO57" i="38"/>
  <c r="CP57" i="38"/>
  <c r="CQ57" i="38"/>
  <c r="CN58" i="38"/>
  <c r="CO58" i="38"/>
  <c r="CP58" i="38"/>
  <c r="CQ58" i="38"/>
  <c r="CN59" i="38"/>
  <c r="CO59" i="38"/>
  <c r="CP59" i="38"/>
  <c r="CQ59" i="38"/>
  <c r="CN60" i="38"/>
  <c r="CO60" i="38"/>
  <c r="CP60" i="38"/>
  <c r="CQ60" i="38"/>
  <c r="CN61" i="38"/>
  <c r="CO61" i="38"/>
  <c r="CP61" i="38"/>
  <c r="CQ61" i="38"/>
  <c r="CN62" i="38"/>
  <c r="CO62" i="38"/>
  <c r="CP62" i="38"/>
  <c r="CQ62" i="38"/>
  <c r="CN63" i="38"/>
  <c r="CO63" i="38"/>
  <c r="CP63" i="38"/>
  <c r="CQ63" i="38"/>
  <c r="CN64" i="38"/>
  <c r="CO64" i="38"/>
  <c r="CP64" i="38"/>
  <c r="CQ64" i="38"/>
  <c r="CN65" i="38"/>
  <c r="CO65" i="38"/>
  <c r="CP65" i="38"/>
  <c r="CQ65" i="38"/>
  <c r="CN66" i="38"/>
  <c r="CO66" i="38"/>
  <c r="CP66" i="38"/>
  <c r="CQ66" i="38"/>
  <c r="CN67" i="38"/>
  <c r="CO67" i="38"/>
  <c r="CP67" i="38"/>
  <c r="CQ67" i="38"/>
  <c r="CN68" i="38"/>
  <c r="CO68" i="38"/>
  <c r="CP68" i="38"/>
  <c r="CQ68" i="38"/>
  <c r="CN69" i="38"/>
  <c r="CO69" i="38"/>
  <c r="CP69" i="38"/>
  <c r="CQ69" i="38"/>
  <c r="CN70" i="38"/>
  <c r="CO70" i="38"/>
  <c r="CP70" i="38"/>
  <c r="CQ70" i="38"/>
  <c r="CN71" i="38"/>
  <c r="CO71" i="38"/>
  <c r="CP71" i="38"/>
  <c r="CQ71" i="38"/>
  <c r="CN72" i="38"/>
  <c r="CO72" i="38"/>
  <c r="CP72" i="38"/>
  <c r="CQ72" i="38"/>
  <c r="CN73" i="38"/>
  <c r="CO73" i="38"/>
  <c r="CP73" i="38"/>
  <c r="CQ73" i="38"/>
  <c r="CN74" i="38"/>
  <c r="CO74" i="38"/>
  <c r="CP74" i="38"/>
  <c r="CQ74" i="38"/>
  <c r="CN75" i="38"/>
  <c r="CO75" i="38"/>
  <c r="CP75" i="38"/>
  <c r="CQ75" i="38"/>
  <c r="CN76" i="38"/>
  <c r="CO76" i="38"/>
  <c r="CP76" i="38"/>
  <c r="CQ76" i="38"/>
  <c r="CN77" i="38"/>
  <c r="CO77" i="38"/>
  <c r="CP77" i="38"/>
  <c r="CQ77" i="38"/>
  <c r="CN78" i="38"/>
  <c r="CO78" i="38"/>
  <c r="CP78" i="38"/>
  <c r="CQ78" i="38"/>
  <c r="CN79" i="38"/>
  <c r="CO79" i="38"/>
  <c r="CP79" i="38"/>
  <c r="CQ79" i="38"/>
  <c r="CN80" i="38"/>
  <c r="CO80" i="38"/>
  <c r="CP80" i="38"/>
  <c r="CQ80" i="38"/>
  <c r="CN81" i="38"/>
  <c r="CO81" i="38"/>
  <c r="CP81" i="38"/>
  <c r="CQ81" i="38"/>
  <c r="CN82" i="38"/>
  <c r="CO82" i="38"/>
  <c r="CP82" i="38"/>
  <c r="CQ82" i="38"/>
  <c r="CN83" i="38"/>
  <c r="CO83" i="38"/>
  <c r="CP83" i="38"/>
  <c r="CQ83" i="38"/>
  <c r="CN84" i="38"/>
  <c r="CO84" i="38"/>
  <c r="CP84" i="38"/>
  <c r="CQ84" i="38"/>
  <c r="CN85" i="38"/>
  <c r="CO85" i="38"/>
  <c r="CP85" i="38"/>
  <c r="CQ85" i="38"/>
  <c r="CN86" i="38"/>
  <c r="CO86" i="38"/>
  <c r="CP86" i="38"/>
  <c r="CQ86" i="38"/>
  <c r="CN87" i="38"/>
  <c r="CO87" i="38"/>
  <c r="CP87" i="38"/>
  <c r="CQ87" i="38"/>
  <c r="CN88" i="38"/>
  <c r="CO88" i="38"/>
  <c r="CP88" i="38"/>
  <c r="CQ88" i="38"/>
  <c r="CN89" i="38"/>
  <c r="CO89" i="38"/>
  <c r="CP89" i="38"/>
  <c r="CQ89" i="38"/>
  <c r="CN90" i="38"/>
  <c r="CO90" i="38"/>
  <c r="CP90" i="38"/>
  <c r="CQ90" i="38"/>
  <c r="CN91" i="38"/>
  <c r="CO91" i="38"/>
  <c r="CP91" i="38"/>
  <c r="CQ91" i="38"/>
  <c r="CN92" i="38"/>
  <c r="CO92" i="38"/>
  <c r="CP92" i="38"/>
  <c r="CQ92" i="38"/>
  <c r="CN93" i="38"/>
  <c r="CO93" i="38"/>
  <c r="CP93" i="38"/>
  <c r="CQ93" i="38"/>
  <c r="CN94" i="38"/>
  <c r="CO94" i="38"/>
  <c r="CP94" i="38"/>
  <c r="CQ94" i="38"/>
  <c r="CN95" i="38"/>
  <c r="CO95" i="38"/>
  <c r="CP95" i="38"/>
  <c r="CQ95" i="38"/>
  <c r="CN96" i="38"/>
  <c r="CO96" i="38"/>
  <c r="CP96" i="38"/>
  <c r="CQ96" i="38"/>
  <c r="CN97" i="38"/>
  <c r="CO97" i="38"/>
  <c r="CP97" i="38"/>
  <c r="CQ97" i="38"/>
  <c r="CN98" i="38"/>
  <c r="CO98" i="38"/>
  <c r="CP98" i="38"/>
  <c r="CQ98" i="38"/>
  <c r="CN99" i="38"/>
  <c r="CO99" i="38"/>
  <c r="CP99" i="38"/>
  <c r="CQ99" i="38"/>
  <c r="CN100" i="38"/>
  <c r="CO100" i="38"/>
  <c r="CP100" i="38"/>
  <c r="CQ100" i="38"/>
  <c r="CN101" i="38"/>
  <c r="CO101" i="38"/>
  <c r="CP101" i="38"/>
  <c r="CQ101" i="38"/>
  <c r="CN102" i="38"/>
  <c r="CO102" i="38"/>
  <c r="CP102" i="38"/>
  <c r="CQ102" i="38"/>
  <c r="CN103" i="38"/>
  <c r="CO103" i="38"/>
  <c r="CP103" i="38"/>
  <c r="CQ103" i="38"/>
  <c r="CN104" i="38"/>
  <c r="CO104" i="38"/>
  <c r="CP104" i="38"/>
  <c r="CQ104" i="38"/>
  <c r="CN105" i="38"/>
  <c r="CO105" i="38"/>
  <c r="CP105" i="38"/>
  <c r="CQ105" i="38"/>
  <c r="CN106" i="38"/>
  <c r="CO106" i="38"/>
  <c r="CP106" i="38"/>
  <c r="CQ106" i="38"/>
  <c r="CN107" i="38"/>
  <c r="CO107" i="38"/>
  <c r="CP107" i="38"/>
  <c r="CQ107" i="38"/>
  <c r="CN108" i="38"/>
  <c r="CO108" i="38"/>
  <c r="CP108" i="38"/>
  <c r="CQ108" i="38"/>
  <c r="CN109" i="38"/>
  <c r="CO109" i="38"/>
  <c r="CP109" i="38"/>
  <c r="CQ109" i="38"/>
  <c r="CN110" i="38"/>
  <c r="CO110" i="38"/>
  <c r="CP110" i="38"/>
  <c r="CQ110" i="38"/>
  <c r="CN111" i="38"/>
  <c r="CO111" i="38"/>
  <c r="CP111" i="38"/>
  <c r="CQ111" i="38"/>
  <c r="CN112" i="38"/>
  <c r="CO112" i="38"/>
  <c r="CP112" i="38"/>
  <c r="CQ112" i="38"/>
  <c r="CN113" i="38"/>
  <c r="CO113" i="38"/>
  <c r="CP113" i="38"/>
  <c r="CQ113" i="38"/>
  <c r="CN114" i="38"/>
  <c r="CO114" i="38"/>
  <c r="CP114" i="38"/>
  <c r="CQ114" i="38"/>
  <c r="CN115" i="38"/>
  <c r="CO115" i="38"/>
  <c r="CP115" i="38"/>
  <c r="CQ115" i="38"/>
  <c r="CN116" i="38"/>
  <c r="CO116" i="38"/>
  <c r="CP116" i="38"/>
  <c r="CQ116" i="38"/>
  <c r="CN117" i="38"/>
  <c r="CO117" i="38"/>
  <c r="CP117" i="38"/>
  <c r="CQ117" i="38"/>
  <c r="CN118" i="38"/>
  <c r="CO118" i="38"/>
  <c r="CP118" i="38"/>
  <c r="CQ118" i="38"/>
  <c r="CN119" i="38"/>
  <c r="CO119" i="38"/>
  <c r="CP119" i="38"/>
  <c r="CQ119" i="38"/>
  <c r="CN120" i="38"/>
  <c r="CO120" i="38"/>
  <c r="CP120" i="38"/>
  <c r="CQ120" i="38"/>
  <c r="CN121" i="38"/>
  <c r="CO121" i="38"/>
  <c r="CP121" i="38"/>
  <c r="CQ121" i="38"/>
  <c r="CN122" i="38"/>
  <c r="CO122" i="38"/>
  <c r="CP122" i="38"/>
  <c r="CQ122" i="38"/>
  <c r="CN123" i="38"/>
  <c r="CO123" i="38"/>
  <c r="CP123" i="38"/>
  <c r="CQ123" i="38"/>
  <c r="CN124" i="38"/>
  <c r="CO124" i="38"/>
  <c r="CP124" i="38"/>
  <c r="CQ124" i="38"/>
  <c r="CN125" i="38"/>
  <c r="CO125" i="38"/>
  <c r="CP125" i="38"/>
  <c r="CQ125" i="38"/>
  <c r="CN126" i="38"/>
  <c r="CO126" i="38"/>
  <c r="CP126" i="38"/>
  <c r="CQ126" i="38"/>
  <c r="CN127" i="38"/>
  <c r="CO127" i="38"/>
  <c r="CP127" i="38"/>
  <c r="CQ127" i="38"/>
  <c r="CN128" i="38"/>
  <c r="CO128" i="38"/>
  <c r="CP128" i="38"/>
  <c r="CQ128" i="38"/>
  <c r="CN129" i="38"/>
  <c r="CO129" i="38"/>
  <c r="CP129" i="38"/>
  <c r="CQ129" i="38"/>
  <c r="CN130" i="38"/>
  <c r="CO130" i="38"/>
  <c r="CP130" i="38"/>
  <c r="CQ130" i="38"/>
  <c r="CN131" i="38"/>
  <c r="CO131" i="38"/>
  <c r="CP131" i="38"/>
  <c r="CQ131" i="38"/>
  <c r="CN132" i="38"/>
  <c r="CO132" i="38"/>
  <c r="CP132" i="38"/>
  <c r="CQ132" i="38"/>
  <c r="CN133" i="38"/>
  <c r="CO133" i="38"/>
  <c r="CP133" i="38"/>
  <c r="CQ133" i="38"/>
  <c r="CN134" i="38"/>
  <c r="CO134" i="38"/>
  <c r="CP134" i="38"/>
  <c r="CQ134" i="38"/>
  <c r="CN135" i="38"/>
  <c r="CO135" i="38"/>
  <c r="CP135" i="38"/>
  <c r="CQ135" i="38"/>
  <c r="CN136" i="38"/>
  <c r="CO136" i="38"/>
  <c r="CP136" i="38"/>
  <c r="CQ136" i="38"/>
  <c r="CN137" i="38"/>
  <c r="CO137" i="38"/>
  <c r="CP137" i="38"/>
  <c r="CQ137" i="38"/>
  <c r="CN138" i="38"/>
  <c r="CO138" i="38"/>
  <c r="CP138" i="38"/>
  <c r="CQ138" i="38"/>
  <c r="CN139" i="38"/>
  <c r="CO139" i="38"/>
  <c r="CP139" i="38"/>
  <c r="CQ139" i="38"/>
  <c r="CN140" i="38"/>
  <c r="CO140" i="38"/>
  <c r="CP140" i="38"/>
  <c r="CQ140" i="38"/>
  <c r="CN141" i="38"/>
  <c r="CO141" i="38"/>
  <c r="CP141" i="38"/>
  <c r="CQ141" i="38"/>
  <c r="CN142" i="38"/>
  <c r="CO142" i="38"/>
  <c r="CP142" i="38"/>
  <c r="CQ142" i="38"/>
  <c r="CN143" i="38"/>
  <c r="CO143" i="38"/>
  <c r="CP143" i="38"/>
  <c r="CQ143" i="38"/>
  <c r="CN144" i="38"/>
  <c r="CO144" i="38"/>
  <c r="CP144" i="38"/>
  <c r="CQ144" i="38"/>
  <c r="CN145" i="38"/>
  <c r="CO145" i="38"/>
  <c r="CP145" i="38"/>
  <c r="CQ145" i="38"/>
  <c r="CN146" i="38"/>
  <c r="CO146" i="38"/>
  <c r="CP146" i="38"/>
  <c r="CQ146" i="38"/>
  <c r="CN147" i="38"/>
  <c r="CO147" i="38"/>
  <c r="CP147" i="38"/>
  <c r="CQ147" i="38"/>
  <c r="CN148" i="38"/>
  <c r="CO148" i="38"/>
  <c r="CP148" i="38"/>
  <c r="CQ148" i="38"/>
  <c r="CN149" i="38"/>
  <c r="CO149" i="38"/>
  <c r="CP149" i="38"/>
  <c r="CQ149" i="38"/>
  <c r="CN150" i="38"/>
  <c r="CO150" i="38"/>
  <c r="CP150" i="38"/>
  <c r="CQ150" i="38"/>
  <c r="CN151" i="38"/>
  <c r="CO151" i="38"/>
  <c r="CP151" i="38"/>
  <c r="CQ151" i="38"/>
  <c r="CN152" i="38"/>
  <c r="CO152" i="38"/>
  <c r="CP152" i="38"/>
  <c r="CQ152" i="38"/>
  <c r="CN153" i="38"/>
  <c r="CO153" i="38"/>
  <c r="CP153" i="38"/>
  <c r="CQ153" i="38"/>
  <c r="CN154" i="38"/>
  <c r="CO154" i="38"/>
  <c r="CP154" i="38"/>
  <c r="CQ154" i="38"/>
  <c r="CN155" i="38"/>
  <c r="CO155" i="38"/>
  <c r="CP155" i="38"/>
  <c r="CQ155" i="38"/>
  <c r="CN156" i="38"/>
  <c r="CO156" i="38"/>
  <c r="CP156" i="38"/>
  <c r="CQ156" i="38"/>
  <c r="CN157" i="38"/>
  <c r="CO157" i="38"/>
  <c r="CP157" i="38"/>
  <c r="CQ157" i="38"/>
  <c r="CN158" i="38"/>
  <c r="CO158" i="38"/>
  <c r="CP158" i="38"/>
  <c r="CQ158" i="38"/>
  <c r="CN159" i="38"/>
  <c r="CO159" i="38"/>
  <c r="CP159" i="38"/>
  <c r="CQ159" i="38"/>
  <c r="CN160" i="38"/>
  <c r="CO160" i="38"/>
  <c r="CP160" i="38"/>
  <c r="CQ160" i="38"/>
  <c r="CN161" i="38"/>
  <c r="CO161" i="38"/>
  <c r="CP161" i="38"/>
  <c r="CQ161" i="38"/>
  <c r="CN162" i="38"/>
  <c r="CO162" i="38"/>
  <c r="CP162" i="38"/>
  <c r="CQ162" i="38"/>
  <c r="CN163" i="38"/>
  <c r="CO163" i="38"/>
  <c r="CP163" i="38"/>
  <c r="CQ163" i="38"/>
  <c r="CN164" i="38"/>
  <c r="CO164" i="38"/>
  <c r="CP164" i="38"/>
  <c r="CQ164" i="38"/>
  <c r="CN165" i="38"/>
  <c r="CO165" i="38"/>
  <c r="CP165" i="38"/>
  <c r="CQ165" i="38"/>
  <c r="CN166" i="38"/>
  <c r="CO166" i="38"/>
  <c r="CP166" i="38"/>
  <c r="CQ166" i="38"/>
  <c r="CN167" i="38"/>
  <c r="CO167" i="38"/>
  <c r="CP167" i="38"/>
  <c r="CQ167" i="38"/>
  <c r="CN168" i="38"/>
  <c r="CO168" i="38"/>
  <c r="CP168" i="38"/>
  <c r="CQ168" i="38"/>
  <c r="CN169" i="38"/>
  <c r="CO169" i="38"/>
  <c r="CP169" i="38"/>
  <c r="CQ169" i="38"/>
  <c r="CN170" i="38"/>
  <c r="CO170" i="38"/>
  <c r="CP170" i="38"/>
  <c r="CQ170" i="38"/>
  <c r="CN171" i="38"/>
  <c r="CO171" i="38"/>
  <c r="CP171" i="38"/>
  <c r="CQ171" i="38"/>
  <c r="CN172" i="38"/>
  <c r="CO172" i="38"/>
  <c r="CP172" i="38"/>
  <c r="CQ172" i="38"/>
  <c r="CN173" i="38"/>
  <c r="CO173" i="38"/>
  <c r="CP173" i="38"/>
  <c r="CQ173" i="38"/>
  <c r="CN174" i="38"/>
  <c r="CO174" i="38"/>
  <c r="CP174" i="38"/>
  <c r="CQ174" i="38"/>
  <c r="CN175" i="38"/>
  <c r="CO175" i="38"/>
  <c r="CP175" i="38"/>
  <c r="CQ175" i="38"/>
  <c r="CN176" i="38"/>
  <c r="CO176" i="38"/>
  <c r="CP176" i="38"/>
  <c r="CQ176" i="38"/>
  <c r="CN177" i="38"/>
  <c r="CO177" i="38"/>
  <c r="CP177" i="38"/>
  <c r="CQ177" i="38"/>
  <c r="CN178" i="38"/>
  <c r="CO178" i="38"/>
  <c r="CP178" i="38"/>
  <c r="CQ178" i="38"/>
  <c r="CN179" i="38"/>
  <c r="CO179" i="38"/>
  <c r="CP179" i="38"/>
  <c r="CQ179" i="38"/>
  <c r="CN180" i="38"/>
  <c r="CO180" i="38"/>
  <c r="CP180" i="38"/>
  <c r="CQ180" i="38"/>
  <c r="CN181" i="38"/>
  <c r="CO181" i="38"/>
  <c r="CP181" i="38"/>
  <c r="CQ181" i="38"/>
  <c r="CN182" i="38"/>
  <c r="CO182" i="38"/>
  <c r="CP182" i="38"/>
  <c r="CQ182" i="38"/>
  <c r="CN183" i="38"/>
  <c r="CO183" i="38"/>
  <c r="CP183" i="38"/>
  <c r="CQ183" i="38"/>
  <c r="CN184" i="38"/>
  <c r="CO184" i="38"/>
  <c r="CP184" i="38"/>
  <c r="CQ184" i="38"/>
  <c r="CN185" i="38"/>
  <c r="CO185" i="38"/>
  <c r="CP185" i="38"/>
  <c r="CQ185" i="38"/>
  <c r="CN186" i="38"/>
  <c r="CO186" i="38"/>
  <c r="CP186" i="38"/>
  <c r="CQ186" i="38"/>
  <c r="CN187" i="38"/>
  <c r="CO187" i="38"/>
  <c r="CP187" i="38"/>
  <c r="CQ187" i="38"/>
  <c r="CN188" i="38"/>
  <c r="CO188" i="38"/>
  <c r="CP188" i="38"/>
  <c r="CQ188" i="38"/>
  <c r="CN189" i="38"/>
  <c r="CO189" i="38"/>
  <c r="CP189" i="38"/>
  <c r="CQ189" i="38"/>
  <c r="CN190" i="38"/>
  <c r="CO190" i="38"/>
  <c r="CP190" i="38"/>
  <c r="CQ190" i="38"/>
  <c r="CN191" i="38"/>
  <c r="CO191" i="38"/>
  <c r="CP191" i="38"/>
  <c r="CQ191" i="38"/>
  <c r="CN192" i="38"/>
  <c r="CO192" i="38"/>
  <c r="CP192" i="38"/>
  <c r="CQ192" i="38"/>
  <c r="CN193" i="38"/>
  <c r="CO193" i="38"/>
  <c r="CP193" i="38"/>
  <c r="CQ193" i="38"/>
  <c r="CN194" i="38"/>
  <c r="CO194" i="38"/>
  <c r="CP194" i="38"/>
  <c r="CQ194" i="38"/>
  <c r="CN195" i="38"/>
  <c r="CO195" i="38"/>
  <c r="CP195" i="38"/>
  <c r="CQ195" i="38"/>
  <c r="CN196" i="38"/>
  <c r="CO196" i="38"/>
  <c r="CP196" i="38"/>
  <c r="CQ196" i="38"/>
  <c r="CN197" i="38"/>
  <c r="CO197" i="38"/>
  <c r="CP197" i="38"/>
  <c r="CQ197" i="38"/>
  <c r="CN198" i="38"/>
  <c r="CO198" i="38"/>
  <c r="CP198" i="38"/>
  <c r="CQ198" i="38"/>
  <c r="CN199" i="38"/>
  <c r="CO199" i="38"/>
  <c r="CP199" i="38"/>
  <c r="CQ199" i="38"/>
  <c r="CN200" i="38"/>
  <c r="CO200" i="38"/>
  <c r="CP200" i="38"/>
  <c r="CQ200" i="38"/>
  <c r="CN201" i="38"/>
  <c r="CO201" i="38"/>
  <c r="CP201" i="38"/>
  <c r="CQ201" i="38"/>
  <c r="CN202" i="38"/>
  <c r="CO202" i="38"/>
  <c r="CP202" i="38"/>
  <c r="CQ202" i="38"/>
  <c r="CN203" i="38"/>
  <c r="CO203" i="38"/>
  <c r="CP203" i="38"/>
  <c r="CQ203" i="38"/>
  <c r="CN204" i="38"/>
  <c r="CO204" i="38"/>
  <c r="CP204" i="38"/>
  <c r="CQ204" i="38"/>
  <c r="CN205" i="38"/>
  <c r="CO205" i="38"/>
  <c r="CP205" i="38"/>
  <c r="CQ205" i="38"/>
  <c r="CN206" i="38"/>
  <c r="CO206" i="38"/>
  <c r="CP206" i="38"/>
  <c r="CQ206" i="38"/>
  <c r="CN207" i="38"/>
  <c r="CO207" i="38"/>
  <c r="CP207" i="38"/>
  <c r="CQ207" i="38"/>
  <c r="CN208" i="38"/>
  <c r="CO208" i="38"/>
  <c r="CP208" i="38"/>
  <c r="CQ208" i="38"/>
  <c r="CN209" i="38"/>
  <c r="CO209" i="38"/>
  <c r="CP209" i="38"/>
  <c r="CQ209" i="38"/>
  <c r="CN210" i="38"/>
  <c r="CO210" i="38"/>
  <c r="CP210" i="38"/>
  <c r="CQ210" i="38"/>
  <c r="CN211" i="38"/>
  <c r="CO211" i="38"/>
  <c r="CP211" i="38"/>
  <c r="CQ211" i="38"/>
  <c r="CN212" i="38"/>
  <c r="CO212" i="38"/>
  <c r="CP212" i="38"/>
  <c r="CQ212" i="38"/>
  <c r="CN213" i="38"/>
  <c r="CO213" i="38"/>
  <c r="CP213" i="38"/>
  <c r="CQ213" i="38"/>
  <c r="CN214" i="38"/>
  <c r="CO214" i="38"/>
  <c r="CP214" i="38"/>
  <c r="CQ214" i="38"/>
  <c r="CN215" i="38"/>
  <c r="CO215" i="38"/>
  <c r="CP215" i="38"/>
  <c r="CQ215" i="38"/>
  <c r="CN216" i="38"/>
  <c r="CO216" i="38"/>
  <c r="CP216" i="38"/>
  <c r="CQ216" i="38"/>
  <c r="CN217" i="38"/>
  <c r="CO217" i="38"/>
  <c r="CP217" i="38"/>
  <c r="CQ217" i="38"/>
  <c r="CN218" i="38"/>
  <c r="CO218" i="38"/>
  <c r="CP218" i="38"/>
  <c r="CQ218" i="38"/>
  <c r="CN219" i="38"/>
  <c r="CO219" i="38"/>
  <c r="CP219" i="38"/>
  <c r="CQ219" i="38"/>
  <c r="CN220" i="38"/>
  <c r="CO220" i="38"/>
  <c r="CP220" i="38"/>
  <c r="CQ220" i="38"/>
  <c r="CN221" i="38"/>
  <c r="CO221" i="38"/>
  <c r="CP221" i="38"/>
  <c r="CQ221" i="38"/>
  <c r="CN222" i="38"/>
  <c r="CO222" i="38"/>
  <c r="CP222" i="38"/>
  <c r="CQ222" i="38"/>
  <c r="CN223" i="38"/>
  <c r="CO223" i="38"/>
  <c r="CP223" i="38"/>
  <c r="CQ223" i="38"/>
  <c r="CN224" i="38"/>
  <c r="CO224" i="38"/>
  <c r="CP224" i="38"/>
  <c r="CQ224" i="38"/>
  <c r="CN225" i="38"/>
  <c r="CO225" i="38"/>
  <c r="CP225" i="38"/>
  <c r="CQ225" i="38"/>
  <c r="CN226" i="38"/>
  <c r="CO226" i="38"/>
  <c r="CP226" i="38"/>
  <c r="CQ226" i="38"/>
  <c r="CN227" i="38"/>
  <c r="CO227" i="38"/>
  <c r="CP227" i="38"/>
  <c r="CQ227" i="38"/>
  <c r="CN228" i="38"/>
  <c r="CO228" i="38"/>
  <c r="CP228" i="38"/>
  <c r="CQ228" i="38"/>
  <c r="CN229" i="38"/>
  <c r="CO229" i="38"/>
  <c r="CP229" i="38"/>
  <c r="CQ229" i="38"/>
  <c r="CN230" i="38"/>
  <c r="CO230" i="38"/>
  <c r="CP230" i="38"/>
  <c r="CQ230" i="38"/>
  <c r="CN231" i="38"/>
  <c r="CO231" i="38"/>
  <c r="CP231" i="38"/>
  <c r="CQ231" i="38"/>
  <c r="CN232" i="38"/>
  <c r="CO232" i="38"/>
  <c r="CP232" i="38"/>
  <c r="CQ232" i="38"/>
  <c r="CN233" i="38"/>
  <c r="CO233" i="38"/>
  <c r="CP233" i="38"/>
  <c r="CQ233" i="38"/>
  <c r="CN234" i="38"/>
  <c r="CO234" i="38"/>
  <c r="CP234" i="38"/>
  <c r="CQ234" i="38"/>
  <c r="CN235" i="38"/>
  <c r="CO235" i="38"/>
  <c r="CP235" i="38"/>
  <c r="CQ235" i="38"/>
  <c r="CN236" i="38"/>
  <c r="CO236" i="38"/>
  <c r="CP236" i="38"/>
  <c r="CQ236" i="38"/>
  <c r="CN237" i="38"/>
  <c r="CO237" i="38"/>
  <c r="CP237" i="38"/>
  <c r="CQ237" i="38"/>
  <c r="CN238" i="38"/>
  <c r="CO238" i="38"/>
  <c r="CP238" i="38"/>
  <c r="CQ238" i="38"/>
  <c r="CN239" i="38"/>
  <c r="CO239" i="38"/>
  <c r="CP239" i="38"/>
  <c r="CQ239" i="38"/>
  <c r="CN240" i="38"/>
  <c r="CO240" i="38"/>
  <c r="CP240" i="38"/>
  <c r="CQ240" i="38"/>
  <c r="CN241" i="38"/>
  <c r="CO241" i="38"/>
  <c r="CP241" i="38"/>
  <c r="CQ241" i="38"/>
  <c r="CN242" i="38"/>
  <c r="CO242" i="38"/>
  <c r="CP242" i="38"/>
  <c r="CQ242" i="38"/>
  <c r="CN243" i="38"/>
  <c r="CO243" i="38"/>
  <c r="CP243" i="38"/>
  <c r="CQ243" i="38"/>
  <c r="CN244" i="38"/>
  <c r="CO244" i="38"/>
  <c r="CP244" i="38"/>
  <c r="CQ244" i="38"/>
  <c r="CN245" i="38"/>
  <c r="CO245" i="38"/>
  <c r="CP245" i="38"/>
  <c r="CQ245" i="38"/>
  <c r="CN246" i="38"/>
  <c r="CO246" i="38"/>
  <c r="CP246" i="38"/>
  <c r="CQ246" i="38"/>
  <c r="CN247" i="38"/>
  <c r="CO247" i="38"/>
  <c r="CP247" i="38"/>
  <c r="CQ247" i="38"/>
  <c r="CN248" i="38"/>
  <c r="CO248" i="38"/>
  <c r="CP248" i="38"/>
  <c r="CQ248" i="38"/>
  <c r="CN249" i="38"/>
  <c r="CO249" i="38"/>
  <c r="CP249" i="38"/>
  <c r="CQ249" i="38"/>
  <c r="CN250" i="38"/>
  <c r="CO250" i="38"/>
  <c r="CP250" i="38"/>
  <c r="CQ250" i="38"/>
  <c r="CN251" i="38"/>
  <c r="CO251" i="38"/>
  <c r="CP251" i="38"/>
  <c r="CQ251" i="38"/>
  <c r="CN252" i="38"/>
  <c r="CO252" i="38"/>
  <c r="CP252" i="38"/>
  <c r="CQ252" i="38"/>
  <c r="CN253" i="38"/>
  <c r="CO253" i="38"/>
  <c r="CP253" i="38"/>
  <c r="CQ253" i="38"/>
  <c r="CN254" i="38"/>
  <c r="CO254" i="38"/>
  <c r="CP254" i="38"/>
  <c r="CQ254" i="38"/>
  <c r="CN255" i="38"/>
  <c r="CO255" i="38"/>
  <c r="CP255" i="38"/>
  <c r="CQ255" i="38"/>
  <c r="CN256" i="38"/>
  <c r="CO256" i="38"/>
  <c r="CP256" i="38"/>
  <c r="CQ256" i="38"/>
  <c r="CN257" i="38"/>
  <c r="CO257" i="38"/>
  <c r="CP257" i="38"/>
  <c r="CQ257" i="38"/>
  <c r="CN258" i="38"/>
  <c r="CO258" i="38"/>
  <c r="CP258" i="38"/>
  <c r="CQ258" i="38"/>
  <c r="CN259" i="38"/>
  <c r="CO259" i="38"/>
  <c r="CP259" i="38"/>
  <c r="CQ259" i="38"/>
  <c r="CN260" i="38"/>
  <c r="CO260" i="38"/>
  <c r="CP260" i="38"/>
  <c r="CQ260" i="38"/>
  <c r="CN261" i="38"/>
  <c r="CO261" i="38"/>
  <c r="CP261" i="38"/>
  <c r="CQ261" i="38"/>
  <c r="CN262" i="38"/>
  <c r="CO262" i="38"/>
  <c r="CP262" i="38"/>
  <c r="CQ262" i="38"/>
  <c r="CN263" i="38"/>
  <c r="CO263" i="38"/>
  <c r="CP263" i="38"/>
  <c r="CQ263" i="38"/>
  <c r="CN264" i="38"/>
  <c r="CO264" i="38"/>
  <c r="CP264" i="38"/>
  <c r="CQ264" i="38"/>
  <c r="CN265" i="38"/>
  <c r="CO265" i="38"/>
  <c r="CP265" i="38"/>
  <c r="CQ265" i="38"/>
  <c r="CN266" i="38"/>
  <c r="CO266" i="38"/>
  <c r="CP266" i="38"/>
  <c r="CQ266" i="38"/>
  <c r="CN267" i="38"/>
  <c r="CO267" i="38"/>
  <c r="CP267" i="38"/>
  <c r="CQ267" i="38"/>
  <c r="CN268" i="38"/>
  <c r="CO268" i="38"/>
  <c r="CP268" i="38"/>
  <c r="CQ268" i="38"/>
  <c r="CN269" i="38"/>
  <c r="CO269" i="38"/>
  <c r="CP269" i="38"/>
  <c r="CQ269" i="38"/>
  <c r="CN270" i="38"/>
  <c r="CO270" i="38"/>
  <c r="CP270" i="38"/>
  <c r="CQ270" i="38"/>
  <c r="CN271" i="38"/>
  <c r="CO271" i="38"/>
  <c r="CP271" i="38"/>
  <c r="CQ271" i="38"/>
  <c r="CN272" i="38"/>
  <c r="CO272" i="38"/>
  <c r="CP272" i="38"/>
  <c r="CQ272" i="38"/>
  <c r="CN273" i="38"/>
  <c r="CO273" i="38"/>
  <c r="CP273" i="38"/>
  <c r="CQ273" i="38"/>
  <c r="CN274" i="38"/>
  <c r="CO274" i="38"/>
  <c r="CP274" i="38"/>
  <c r="CQ274" i="38"/>
  <c r="CN275" i="38"/>
  <c r="CO275" i="38"/>
  <c r="CP275" i="38"/>
  <c r="CQ275" i="38"/>
  <c r="CN276" i="38"/>
  <c r="CO276" i="38"/>
  <c r="CP276" i="38"/>
  <c r="CQ276" i="38"/>
  <c r="CN277" i="38"/>
  <c r="CO277" i="38"/>
  <c r="CP277" i="38"/>
  <c r="CQ277" i="38"/>
  <c r="CN278" i="38"/>
  <c r="CO278" i="38"/>
  <c r="CP278" i="38"/>
  <c r="CQ278" i="38"/>
  <c r="CN279" i="38"/>
  <c r="CO279" i="38"/>
  <c r="CP279" i="38"/>
  <c r="CQ279" i="38"/>
  <c r="CN280" i="38"/>
  <c r="CO280" i="38"/>
  <c r="CP280" i="38"/>
  <c r="CQ280" i="38"/>
  <c r="CN281" i="38"/>
  <c r="CO281" i="38"/>
  <c r="CP281" i="38"/>
  <c r="CQ281" i="38"/>
  <c r="CN282" i="38"/>
  <c r="CO282" i="38"/>
  <c r="CP282" i="38"/>
  <c r="CQ282" i="38"/>
  <c r="CN283" i="38"/>
  <c r="CO283" i="38"/>
  <c r="CP283" i="38"/>
  <c r="CQ283" i="38"/>
  <c r="CN284" i="38"/>
  <c r="CO284" i="38"/>
  <c r="CP284" i="38"/>
  <c r="CQ284" i="38"/>
  <c r="CN285" i="38"/>
  <c r="CO285" i="38"/>
  <c r="CP285" i="38"/>
  <c r="CQ285" i="38"/>
  <c r="CN286" i="38"/>
  <c r="CO286" i="38"/>
  <c r="CP286" i="38"/>
  <c r="CQ286" i="38"/>
  <c r="CN287" i="38"/>
  <c r="CO287" i="38"/>
  <c r="CP287" i="38"/>
  <c r="CQ287" i="38"/>
  <c r="CN288" i="38"/>
  <c r="CO288" i="38"/>
  <c r="CP288" i="38"/>
  <c r="CQ288" i="38"/>
  <c r="CN289" i="38"/>
  <c r="CO289" i="38"/>
  <c r="CP289" i="38"/>
  <c r="CQ289" i="38"/>
  <c r="CN290" i="38"/>
  <c r="CO290" i="38"/>
  <c r="CP290" i="38"/>
  <c r="CQ290" i="38"/>
  <c r="CN291" i="38"/>
  <c r="CO291" i="38"/>
  <c r="CP291" i="38"/>
  <c r="CQ291" i="38"/>
  <c r="CN292" i="38"/>
  <c r="CO292" i="38"/>
  <c r="CP292" i="38"/>
  <c r="CQ292" i="38"/>
  <c r="CN293" i="38"/>
  <c r="CO293" i="38"/>
  <c r="CP293" i="38"/>
  <c r="CQ293" i="38"/>
  <c r="CN294" i="38"/>
  <c r="CO294" i="38"/>
  <c r="CP294" i="38"/>
  <c r="CQ294" i="38"/>
  <c r="CN295" i="38"/>
  <c r="CO295" i="38"/>
  <c r="CP295" i="38"/>
  <c r="CQ295" i="38"/>
  <c r="CN296" i="38"/>
  <c r="CO296" i="38"/>
  <c r="CP296" i="38"/>
  <c r="CQ296" i="38"/>
  <c r="CN297" i="38"/>
  <c r="CO297" i="38"/>
  <c r="CP297" i="38"/>
  <c r="CQ297" i="38"/>
  <c r="CN298" i="38"/>
  <c r="CO298" i="38"/>
  <c r="CP298" i="38"/>
  <c r="CQ298" i="38"/>
  <c r="CN299" i="38"/>
  <c r="CO299" i="38"/>
  <c r="CP299" i="38"/>
  <c r="CQ299" i="38"/>
  <c r="CN300" i="38"/>
  <c r="CO300" i="38"/>
  <c r="CP300" i="38"/>
  <c r="CQ300" i="38"/>
  <c r="CN301" i="38"/>
  <c r="CO301" i="38"/>
  <c r="CP301" i="38"/>
  <c r="CQ301" i="38"/>
  <c r="CN302" i="38"/>
  <c r="CO302" i="38"/>
  <c r="CP302" i="38"/>
  <c r="CQ302" i="38"/>
  <c r="CN303" i="38"/>
  <c r="CO303" i="38"/>
  <c r="CP303" i="38"/>
  <c r="CQ303" i="38"/>
  <c r="CN304" i="38"/>
  <c r="CO304" i="38"/>
  <c r="CP304" i="38"/>
  <c r="CQ304" i="38"/>
  <c r="CN305" i="38"/>
  <c r="CO305" i="38"/>
  <c r="CP305" i="38"/>
  <c r="CQ305" i="38"/>
  <c r="CN306" i="38"/>
  <c r="CO306" i="38"/>
  <c r="CP306" i="38"/>
  <c r="CQ306" i="38"/>
  <c r="CN307" i="38"/>
  <c r="CO307" i="38"/>
  <c r="CP307" i="38"/>
  <c r="CQ307" i="38"/>
  <c r="CN308" i="38"/>
  <c r="CO308" i="38"/>
  <c r="CP308" i="38"/>
  <c r="CQ308" i="38"/>
  <c r="CN309" i="38"/>
  <c r="CO309" i="38"/>
  <c r="CP309" i="38"/>
  <c r="CQ309" i="38"/>
  <c r="CN310" i="38"/>
  <c r="CO310" i="38"/>
  <c r="CP310" i="38"/>
  <c r="CQ310" i="38"/>
  <c r="CN311" i="38"/>
  <c r="CO311" i="38"/>
  <c r="CP311" i="38"/>
  <c r="CQ311" i="38"/>
  <c r="CN312" i="38"/>
  <c r="CO312" i="38"/>
  <c r="CP312" i="38"/>
  <c r="CQ312" i="38"/>
  <c r="CN313" i="38"/>
  <c r="CO313" i="38"/>
  <c r="CP313" i="38"/>
  <c r="CQ313" i="38"/>
  <c r="CN314" i="38"/>
  <c r="CO314" i="38"/>
  <c r="CP314" i="38"/>
  <c r="CQ314" i="38"/>
  <c r="CN315" i="38"/>
  <c r="CO315" i="38"/>
  <c r="CP315" i="38"/>
  <c r="CQ315" i="38"/>
  <c r="CN316" i="38"/>
  <c r="CO316" i="38"/>
  <c r="CP316" i="38"/>
  <c r="CQ316" i="38"/>
  <c r="CN317" i="38"/>
  <c r="CO317" i="38"/>
  <c r="CP317" i="38"/>
  <c r="CQ317" i="38"/>
  <c r="CN318" i="38"/>
  <c r="CO318" i="38"/>
  <c r="CP318" i="38"/>
  <c r="CQ318" i="38"/>
  <c r="CN319" i="38"/>
  <c r="CO319" i="38"/>
  <c r="CP319" i="38"/>
  <c r="CQ319" i="38"/>
  <c r="CN320" i="38"/>
  <c r="CO320" i="38"/>
  <c r="CP320" i="38"/>
  <c r="CQ320" i="38"/>
  <c r="CN321" i="38"/>
  <c r="CO321" i="38"/>
  <c r="CP321" i="38"/>
  <c r="CQ321" i="38"/>
  <c r="CN322" i="38"/>
  <c r="CO322" i="38"/>
  <c r="CP322" i="38"/>
  <c r="CQ322" i="38"/>
  <c r="CN323" i="38"/>
  <c r="CO323" i="38"/>
  <c r="CP323" i="38"/>
  <c r="CQ323" i="38"/>
  <c r="CN324" i="38"/>
  <c r="CO324" i="38"/>
  <c r="CP324" i="38"/>
  <c r="CQ324" i="38"/>
  <c r="CN325" i="38"/>
  <c r="CO325" i="38"/>
  <c r="CP325" i="38"/>
  <c r="CQ325" i="38"/>
  <c r="CN326" i="38"/>
  <c r="CO326" i="38"/>
  <c r="CP326" i="38"/>
  <c r="CQ326" i="38"/>
  <c r="CN327" i="38"/>
  <c r="CO327" i="38"/>
  <c r="CP327" i="38"/>
  <c r="CQ327" i="38"/>
  <c r="CN328" i="38"/>
  <c r="CO328" i="38"/>
  <c r="CP328" i="38"/>
  <c r="CQ328" i="38"/>
  <c r="CN329" i="38"/>
  <c r="CO329" i="38"/>
  <c r="CP329" i="38"/>
  <c r="CQ329" i="38"/>
  <c r="CN330" i="38"/>
  <c r="CO330" i="38"/>
  <c r="CP330" i="38"/>
  <c r="CQ330" i="38"/>
  <c r="CN331" i="38"/>
  <c r="CO331" i="38"/>
  <c r="CP331" i="38"/>
  <c r="CQ331" i="38"/>
  <c r="CN332" i="38"/>
  <c r="CO332" i="38"/>
  <c r="CP332" i="38"/>
  <c r="CQ332" i="38"/>
  <c r="CN333" i="38"/>
  <c r="CO333" i="38"/>
  <c r="CP333" i="38"/>
  <c r="CQ333" i="38"/>
  <c r="CN334" i="38"/>
  <c r="CO334" i="38"/>
  <c r="CP334" i="38"/>
  <c r="CQ334" i="38"/>
  <c r="CN335" i="38"/>
  <c r="CO335" i="38"/>
  <c r="CP335" i="38"/>
  <c r="CQ335" i="38"/>
  <c r="CN336" i="38"/>
  <c r="CO336" i="38"/>
  <c r="CP336" i="38"/>
  <c r="CQ336" i="38"/>
  <c r="CN337" i="38"/>
  <c r="CO337" i="38"/>
  <c r="CP337" i="38"/>
  <c r="CQ337" i="38"/>
  <c r="CN338" i="38"/>
  <c r="CO338" i="38"/>
  <c r="CP338" i="38"/>
  <c r="CQ338" i="38"/>
  <c r="CN339" i="38"/>
  <c r="CO339" i="38"/>
  <c r="CP339" i="38"/>
  <c r="CQ339" i="38"/>
  <c r="CN340" i="38"/>
  <c r="CO340" i="38"/>
  <c r="CP340" i="38"/>
  <c r="CQ340" i="38"/>
  <c r="CN341" i="38"/>
  <c r="CO341" i="38"/>
  <c r="CP341" i="38"/>
  <c r="CQ341" i="38"/>
  <c r="CN342" i="38"/>
  <c r="CO342" i="38"/>
  <c r="CP342" i="38"/>
  <c r="CQ342" i="38"/>
  <c r="CN343" i="38"/>
  <c r="CO343" i="38"/>
  <c r="CP343" i="38"/>
  <c r="CQ343" i="38"/>
  <c r="CN344" i="38"/>
  <c r="CO344" i="38"/>
  <c r="CP344" i="38"/>
  <c r="CQ344" i="38"/>
  <c r="CN345" i="38"/>
  <c r="CO345" i="38"/>
  <c r="CP345" i="38"/>
  <c r="CQ345" i="38"/>
  <c r="CN346" i="38"/>
  <c r="CO346" i="38"/>
  <c r="CP346" i="38"/>
  <c r="CQ346" i="38"/>
  <c r="CN347" i="38"/>
  <c r="CO347" i="38"/>
  <c r="CP347" i="38"/>
  <c r="CQ347" i="38"/>
  <c r="CN348" i="38"/>
  <c r="CO348" i="38"/>
  <c r="CP348" i="38"/>
  <c r="CQ348" i="38"/>
  <c r="CN349" i="38"/>
  <c r="CO349" i="38"/>
  <c r="CP349" i="38"/>
  <c r="CQ349" i="38"/>
  <c r="CN350" i="38"/>
  <c r="CO350" i="38"/>
  <c r="CP350" i="38"/>
  <c r="CQ350" i="38"/>
  <c r="CN351" i="38"/>
  <c r="CO351" i="38"/>
  <c r="CP351" i="38"/>
  <c r="CQ351" i="38"/>
  <c r="CN352" i="38"/>
  <c r="CO352" i="38"/>
  <c r="CP352" i="38"/>
  <c r="CQ352" i="38"/>
  <c r="CN353" i="38"/>
  <c r="CO353" i="38"/>
  <c r="CP353" i="38"/>
  <c r="CQ353" i="38"/>
  <c r="CN354" i="38"/>
  <c r="CO354" i="38"/>
  <c r="CP354" i="38"/>
  <c r="CQ354" i="38"/>
  <c r="CN355" i="38"/>
  <c r="CO355" i="38"/>
  <c r="CP355" i="38"/>
  <c r="CQ355" i="38"/>
  <c r="CN356" i="38"/>
  <c r="CO356" i="38"/>
  <c r="CP356" i="38"/>
  <c r="CQ356" i="38"/>
  <c r="CN357" i="38"/>
  <c r="CO357" i="38"/>
  <c r="CP357" i="38"/>
  <c r="CQ357" i="38"/>
  <c r="CN358" i="38"/>
  <c r="CO358" i="38"/>
  <c r="CP358" i="38"/>
  <c r="CQ358" i="38"/>
  <c r="CN359" i="38"/>
  <c r="CO359" i="38"/>
  <c r="CP359" i="38"/>
  <c r="CQ359" i="38"/>
  <c r="CN360" i="38"/>
  <c r="CO360" i="38"/>
  <c r="CP360" i="38"/>
  <c r="CQ360" i="38"/>
  <c r="CN361" i="38"/>
  <c r="CO361" i="38"/>
  <c r="CP361" i="38"/>
  <c r="CQ361" i="38"/>
  <c r="CN362" i="38"/>
  <c r="CO362" i="38"/>
  <c r="CP362" i="38"/>
  <c r="CQ362" i="38"/>
  <c r="CN363" i="38"/>
  <c r="CO363" i="38"/>
  <c r="CP363" i="38"/>
  <c r="CQ363" i="38"/>
  <c r="CN364" i="38"/>
  <c r="CO364" i="38"/>
  <c r="CP364" i="38"/>
  <c r="CQ364" i="38"/>
  <c r="CN365" i="38"/>
  <c r="CO365" i="38"/>
  <c r="CP365" i="38"/>
  <c r="CQ365" i="38"/>
  <c r="CN366" i="38"/>
  <c r="CO366" i="38"/>
  <c r="CP366" i="38"/>
  <c r="CQ366" i="38"/>
  <c r="CN367" i="38"/>
  <c r="CO367" i="38"/>
  <c r="CP367" i="38"/>
  <c r="CQ367" i="38"/>
  <c r="CN368" i="38"/>
  <c r="CO368" i="38"/>
  <c r="CP368" i="38"/>
  <c r="CQ368" i="38"/>
  <c r="CN369" i="38"/>
  <c r="CO369" i="38"/>
  <c r="CP369" i="38"/>
  <c r="CQ369" i="38"/>
  <c r="CN370" i="38"/>
  <c r="CO370" i="38"/>
  <c r="CP370" i="38"/>
  <c r="CQ370" i="38"/>
  <c r="CN371" i="38"/>
  <c r="CO371" i="38"/>
  <c r="CP371" i="38"/>
  <c r="CQ371" i="38"/>
  <c r="CN372" i="38"/>
  <c r="CO372" i="38"/>
  <c r="CP372" i="38"/>
  <c r="CQ372" i="38"/>
  <c r="CN373" i="38"/>
  <c r="CO373" i="38"/>
  <c r="CP373" i="38"/>
  <c r="CQ373" i="38"/>
  <c r="CN374" i="38"/>
  <c r="CO374" i="38"/>
  <c r="CP374" i="38"/>
  <c r="CQ374" i="38"/>
  <c r="CN375" i="38"/>
  <c r="CO375" i="38"/>
  <c r="CP375" i="38"/>
  <c r="CQ375" i="38"/>
  <c r="CN376" i="38"/>
  <c r="CO376" i="38"/>
  <c r="CP376" i="38"/>
  <c r="CQ376" i="38"/>
  <c r="CN377" i="38"/>
  <c r="CO377" i="38"/>
  <c r="CP377" i="38"/>
  <c r="CQ377" i="38"/>
  <c r="CN378" i="38"/>
  <c r="CO378" i="38"/>
  <c r="CP378" i="38"/>
  <c r="CQ378" i="38"/>
  <c r="CN379" i="38"/>
  <c r="CO379" i="38"/>
  <c r="CP379" i="38"/>
  <c r="CQ379" i="38"/>
  <c r="CN380" i="38"/>
  <c r="CO380" i="38"/>
  <c r="CP380" i="38"/>
  <c r="CQ380" i="38"/>
  <c r="CN381" i="38"/>
  <c r="CO381" i="38"/>
  <c r="CP381" i="38"/>
  <c r="CQ381" i="38"/>
  <c r="CN382" i="38"/>
  <c r="CO382" i="38"/>
  <c r="CP382" i="38"/>
  <c r="CQ382" i="38"/>
  <c r="CN383" i="38"/>
  <c r="CO383" i="38"/>
  <c r="CP383" i="38"/>
  <c r="CQ383" i="38"/>
  <c r="CN384" i="38"/>
  <c r="CO384" i="38"/>
  <c r="CP384" i="38"/>
  <c r="CQ384" i="38"/>
  <c r="CN385" i="38"/>
  <c r="CO385" i="38"/>
  <c r="CP385" i="38"/>
  <c r="CQ385" i="38"/>
  <c r="CN386" i="38"/>
  <c r="CO386" i="38"/>
  <c r="CP386" i="38"/>
  <c r="CQ386" i="38"/>
  <c r="CN387" i="38"/>
  <c r="CO387" i="38"/>
  <c r="CP387" i="38"/>
  <c r="CQ387" i="38"/>
  <c r="CN388" i="38"/>
  <c r="CO388" i="38"/>
  <c r="CP388" i="38"/>
  <c r="CQ388" i="38"/>
  <c r="CN389" i="38"/>
  <c r="CO389" i="38"/>
  <c r="CP389" i="38"/>
  <c r="CQ389" i="38"/>
  <c r="CN390" i="38"/>
  <c r="CO390" i="38"/>
  <c r="CP390" i="38"/>
  <c r="CQ390" i="38"/>
  <c r="CN391" i="38"/>
  <c r="CO391" i="38"/>
  <c r="CP391" i="38"/>
  <c r="CQ391" i="38"/>
  <c r="CN392" i="38"/>
  <c r="CO392" i="38"/>
  <c r="CP392" i="38"/>
  <c r="CQ392" i="38"/>
  <c r="CN393" i="38"/>
  <c r="CO393" i="38"/>
  <c r="CP393" i="38"/>
  <c r="CQ393" i="38"/>
  <c r="CN394" i="38"/>
  <c r="CO394" i="38"/>
  <c r="CP394" i="38"/>
  <c r="CQ394" i="38"/>
  <c r="CN395" i="38"/>
  <c r="CO395" i="38"/>
  <c r="CP395" i="38"/>
  <c r="CQ395" i="38"/>
  <c r="CN396" i="38"/>
  <c r="CO396" i="38"/>
  <c r="CP396" i="38"/>
  <c r="CQ396" i="38"/>
  <c r="CN397" i="38"/>
  <c r="CO397" i="38"/>
  <c r="CP397" i="38"/>
  <c r="CQ397" i="38"/>
  <c r="CN398" i="38"/>
  <c r="CO398" i="38"/>
  <c r="CP398" i="38"/>
  <c r="CQ398" i="38"/>
  <c r="CN399" i="38"/>
  <c r="CO399" i="38"/>
  <c r="CP399" i="38"/>
  <c r="CQ399" i="38"/>
  <c r="CN400" i="38"/>
  <c r="CO400" i="38"/>
  <c r="CP400" i="38"/>
  <c r="CQ400" i="38"/>
  <c r="CN401" i="38"/>
  <c r="CO401" i="38"/>
  <c r="CP401" i="38"/>
  <c r="CQ401" i="38"/>
  <c r="CN402" i="38"/>
  <c r="CO402" i="38"/>
  <c r="CP402" i="38"/>
  <c r="CQ402" i="38"/>
  <c r="CN403" i="38"/>
  <c r="CO403" i="38"/>
  <c r="CP403" i="38"/>
  <c r="CQ403" i="38"/>
  <c r="CN404" i="38"/>
  <c r="CO404" i="38"/>
  <c r="CP404" i="38"/>
  <c r="CQ404" i="38"/>
  <c r="CN405" i="38"/>
  <c r="CO405" i="38"/>
  <c r="CP405" i="38"/>
  <c r="CQ405" i="38"/>
  <c r="CN406" i="38"/>
  <c r="CO406" i="38"/>
  <c r="CP406" i="38"/>
  <c r="CQ406" i="38"/>
  <c r="CN407" i="38"/>
  <c r="CO407" i="38"/>
  <c r="CP407" i="38"/>
  <c r="CQ407" i="38"/>
  <c r="CN408" i="38"/>
  <c r="CO408" i="38"/>
  <c r="CP408" i="38"/>
  <c r="CQ408" i="38"/>
  <c r="CN409" i="38"/>
  <c r="CO409" i="38"/>
  <c r="CP409" i="38"/>
  <c r="CQ409" i="38"/>
  <c r="CN410" i="38"/>
  <c r="CO410" i="38"/>
  <c r="CP410" i="38"/>
  <c r="CQ410" i="38"/>
  <c r="CN411" i="38"/>
  <c r="CO411" i="38"/>
  <c r="CP411" i="38"/>
  <c r="CQ411" i="38"/>
  <c r="CN412" i="38"/>
  <c r="CO412" i="38"/>
  <c r="CP412" i="38"/>
  <c r="CQ412" i="38"/>
  <c r="CN413" i="38"/>
  <c r="CO413" i="38"/>
  <c r="CP413" i="38"/>
  <c r="CQ413" i="38"/>
  <c r="CN414" i="38"/>
  <c r="CO414" i="38"/>
  <c r="CP414" i="38"/>
  <c r="CQ414" i="38"/>
  <c r="CN415" i="38"/>
  <c r="CO415" i="38"/>
  <c r="CP415" i="38"/>
  <c r="CQ415" i="38"/>
  <c r="CN416" i="38"/>
  <c r="CO416" i="38"/>
  <c r="CP416" i="38"/>
  <c r="CQ416" i="38"/>
  <c r="CN417" i="38"/>
  <c r="CO417" i="38"/>
  <c r="CP417" i="38"/>
  <c r="CQ417" i="38"/>
  <c r="CN418" i="38"/>
  <c r="CO418" i="38"/>
  <c r="CP418" i="38"/>
  <c r="CQ418" i="38"/>
  <c r="CN419" i="38"/>
  <c r="CO419" i="38"/>
  <c r="CP419" i="38"/>
  <c r="CQ419" i="38"/>
  <c r="CN420" i="38"/>
  <c r="CO420" i="38"/>
  <c r="CP420" i="38"/>
  <c r="CQ420" i="38"/>
  <c r="CN421" i="38"/>
  <c r="CO421" i="38"/>
  <c r="CP421" i="38"/>
  <c r="CQ421" i="38"/>
  <c r="CN422" i="38"/>
  <c r="CO422" i="38"/>
  <c r="CP422" i="38"/>
  <c r="CQ422" i="38"/>
  <c r="CN423" i="38"/>
  <c r="CO423" i="38"/>
  <c r="CP423" i="38"/>
  <c r="CQ423" i="38"/>
  <c r="CN424" i="38"/>
  <c r="CO424" i="38"/>
  <c r="CP424" i="38"/>
  <c r="CQ424" i="38"/>
  <c r="CN425" i="38"/>
  <c r="CO425" i="38"/>
  <c r="CP425" i="38"/>
  <c r="CQ425" i="38"/>
  <c r="CN426" i="38"/>
  <c r="CO426" i="38"/>
  <c r="CP426" i="38"/>
  <c r="CQ426" i="38"/>
  <c r="CN427" i="38"/>
  <c r="CO427" i="38"/>
  <c r="CP427" i="38"/>
  <c r="CQ427" i="38"/>
  <c r="CN428" i="38"/>
  <c r="CO428" i="38"/>
  <c r="CP428" i="38"/>
  <c r="CQ428" i="38"/>
  <c r="CN429" i="38"/>
  <c r="CO429" i="38"/>
  <c r="CP429" i="38"/>
  <c r="CQ429" i="38"/>
  <c r="CN430" i="38"/>
  <c r="CO430" i="38"/>
  <c r="CP430" i="38"/>
  <c r="CQ430" i="38"/>
  <c r="CN431" i="38"/>
  <c r="CO431" i="38"/>
  <c r="CP431" i="38"/>
  <c r="CQ431" i="38"/>
  <c r="CN432" i="38"/>
  <c r="CO432" i="38"/>
  <c r="CP432" i="38"/>
  <c r="CQ432" i="38"/>
  <c r="CN433" i="38"/>
  <c r="CO433" i="38"/>
  <c r="CP433" i="38"/>
  <c r="CQ433" i="38"/>
  <c r="CN434" i="38"/>
  <c r="CO434" i="38"/>
  <c r="CP434" i="38"/>
  <c r="CQ434" i="38"/>
  <c r="CN435" i="38"/>
  <c r="CO435" i="38"/>
  <c r="CP435" i="38"/>
  <c r="CQ435" i="38"/>
  <c r="CN436" i="38"/>
  <c r="CO436" i="38"/>
  <c r="CP436" i="38"/>
  <c r="CQ436" i="38"/>
  <c r="CN437" i="38"/>
  <c r="CO437" i="38"/>
  <c r="CP437" i="38"/>
  <c r="CQ437" i="38"/>
  <c r="CN438" i="38"/>
  <c r="CO438" i="38"/>
  <c r="CP438" i="38"/>
  <c r="CQ438" i="38"/>
  <c r="CN439" i="38"/>
  <c r="CO439" i="38"/>
  <c r="CP439" i="38"/>
  <c r="CQ439" i="38"/>
  <c r="CN440" i="38"/>
  <c r="CO440" i="38"/>
  <c r="CP440" i="38"/>
  <c r="CQ440" i="38"/>
  <c r="CN441" i="38"/>
  <c r="CO441" i="38"/>
  <c r="CP441" i="38"/>
  <c r="CQ441" i="38"/>
  <c r="CN442" i="38"/>
  <c r="CO442" i="38"/>
  <c r="CP442" i="38"/>
  <c r="CQ442" i="38"/>
  <c r="CN443" i="38"/>
  <c r="CO443" i="38"/>
  <c r="CP443" i="38"/>
  <c r="CQ443" i="38"/>
  <c r="CN444" i="38"/>
  <c r="CO444" i="38"/>
  <c r="CP444" i="38"/>
  <c r="CQ444" i="38"/>
  <c r="CN445" i="38"/>
  <c r="CO445" i="38"/>
  <c r="CP445" i="38"/>
  <c r="CQ445" i="38"/>
  <c r="CN446" i="38"/>
  <c r="CO446" i="38"/>
  <c r="CP446" i="38"/>
  <c r="CQ446" i="38"/>
  <c r="CN447" i="38"/>
  <c r="CO447" i="38"/>
  <c r="CP447" i="38"/>
  <c r="CQ447" i="38"/>
  <c r="CN448" i="38"/>
  <c r="CO448" i="38"/>
  <c r="CP448" i="38"/>
  <c r="CQ448" i="38"/>
  <c r="CN449" i="38"/>
  <c r="CO449" i="38"/>
  <c r="CP449" i="38"/>
  <c r="CQ449" i="38"/>
  <c r="CN450" i="38"/>
  <c r="CO450" i="38"/>
  <c r="CP450" i="38"/>
  <c r="CQ450" i="38"/>
  <c r="CN451" i="38"/>
  <c r="CO451" i="38"/>
  <c r="CP451" i="38"/>
  <c r="CQ451" i="38"/>
  <c r="CN452" i="38"/>
  <c r="CO452" i="38"/>
  <c r="CP452" i="38"/>
  <c r="CQ452" i="38"/>
  <c r="CN453" i="38"/>
  <c r="CO453" i="38"/>
  <c r="CP453" i="38"/>
  <c r="CQ453" i="38"/>
  <c r="CN454" i="38"/>
  <c r="CO454" i="38"/>
  <c r="CP454" i="38"/>
  <c r="CQ454" i="38"/>
  <c r="CN455" i="38"/>
  <c r="CO455" i="38"/>
  <c r="CP455" i="38"/>
  <c r="CQ455" i="38"/>
  <c r="CN456" i="38"/>
  <c r="CO456" i="38"/>
  <c r="CP456" i="38"/>
  <c r="CQ456" i="38"/>
  <c r="CN457" i="38"/>
  <c r="CO457" i="38"/>
  <c r="CP457" i="38"/>
  <c r="CQ457" i="38"/>
  <c r="CN458" i="38"/>
  <c r="CO458" i="38"/>
  <c r="CP458" i="38"/>
  <c r="CQ458" i="38"/>
  <c r="CN459" i="38"/>
  <c r="CO459" i="38"/>
  <c r="CP459" i="38"/>
  <c r="CQ459" i="38"/>
  <c r="CN460" i="38"/>
  <c r="CO460" i="38"/>
  <c r="CP460" i="38"/>
  <c r="CQ460" i="38"/>
  <c r="CN461" i="38"/>
  <c r="CO461" i="38"/>
  <c r="CP461" i="38"/>
  <c r="CQ461" i="38"/>
  <c r="CN462" i="38"/>
  <c r="CO462" i="38"/>
  <c r="CP462" i="38"/>
  <c r="CQ462" i="38"/>
  <c r="CN463" i="38"/>
  <c r="CO463" i="38"/>
  <c r="CP463" i="38"/>
  <c r="CQ463" i="38"/>
  <c r="CN464" i="38"/>
  <c r="CO464" i="38"/>
  <c r="CP464" i="38"/>
  <c r="CQ464" i="38"/>
  <c r="CN465" i="38"/>
  <c r="CO465" i="38"/>
  <c r="CP465" i="38"/>
  <c r="CQ465" i="38"/>
  <c r="CN466" i="38"/>
  <c r="CO466" i="38"/>
  <c r="CP466" i="38"/>
  <c r="CQ466" i="38"/>
  <c r="CN467" i="38"/>
  <c r="CO467" i="38"/>
  <c r="CP467" i="38"/>
  <c r="CQ467" i="38"/>
  <c r="CN468" i="38"/>
  <c r="CO468" i="38"/>
  <c r="CP468" i="38"/>
  <c r="CQ468" i="38"/>
  <c r="CN469" i="38"/>
  <c r="CO469" i="38"/>
  <c r="CP469" i="38"/>
  <c r="CQ469" i="38"/>
  <c r="CN470" i="38"/>
  <c r="CO470" i="38"/>
  <c r="CP470" i="38"/>
  <c r="CQ470" i="38"/>
  <c r="CN471" i="38"/>
  <c r="CO471" i="38"/>
  <c r="CP471" i="38"/>
  <c r="CQ471" i="38"/>
  <c r="CN472" i="38"/>
  <c r="CO472" i="38"/>
  <c r="CP472" i="38"/>
  <c r="CQ472" i="38"/>
  <c r="CN473" i="38"/>
  <c r="CO473" i="38"/>
  <c r="CP473" i="38"/>
  <c r="CQ473" i="38"/>
  <c r="CN474" i="38"/>
  <c r="CO474" i="38"/>
  <c r="CP474" i="38"/>
  <c r="CQ474" i="38"/>
  <c r="CN475" i="38"/>
  <c r="CO475" i="38"/>
  <c r="CP475" i="38"/>
  <c r="CQ475" i="38"/>
  <c r="CN476" i="38"/>
  <c r="CO476" i="38"/>
  <c r="CP476" i="38"/>
  <c r="CQ476" i="38"/>
  <c r="CN477" i="38"/>
  <c r="CO477" i="38"/>
  <c r="CP477" i="38"/>
  <c r="CQ477" i="38"/>
  <c r="CN478" i="38"/>
  <c r="CO478" i="38"/>
  <c r="CP478" i="38"/>
  <c r="CQ478" i="38"/>
  <c r="CN479" i="38"/>
  <c r="CO479" i="38"/>
  <c r="CP479" i="38"/>
  <c r="CQ479" i="38"/>
  <c r="CN480" i="38"/>
  <c r="CO480" i="38"/>
  <c r="CP480" i="38"/>
  <c r="CQ480" i="38"/>
  <c r="CN481" i="38"/>
  <c r="CO481" i="38"/>
  <c r="CP481" i="38"/>
  <c r="CQ481" i="38"/>
  <c r="CN482" i="38"/>
  <c r="CO482" i="38"/>
  <c r="CP482" i="38"/>
  <c r="CQ482" i="38"/>
  <c r="CN483" i="38"/>
  <c r="CO483" i="38"/>
  <c r="CP483" i="38"/>
  <c r="CQ483" i="38"/>
  <c r="CN484" i="38"/>
  <c r="CO484" i="38"/>
  <c r="CP484" i="38"/>
  <c r="CQ484" i="38"/>
  <c r="CN485" i="38"/>
  <c r="CO485" i="38"/>
  <c r="CP485" i="38"/>
  <c r="CQ485" i="38"/>
  <c r="CN486" i="38"/>
  <c r="CO486" i="38"/>
  <c r="CP486" i="38"/>
  <c r="CQ486" i="38"/>
  <c r="CN487" i="38"/>
  <c r="CO487" i="38"/>
  <c r="CP487" i="38"/>
  <c r="CQ487" i="38"/>
  <c r="CN488" i="38"/>
  <c r="CO488" i="38"/>
  <c r="CP488" i="38"/>
  <c r="CQ488" i="38"/>
  <c r="CN489" i="38"/>
  <c r="CO489" i="38"/>
  <c r="CP489" i="38"/>
  <c r="CQ489" i="38"/>
  <c r="CN490" i="38"/>
  <c r="CO490" i="38"/>
  <c r="CP490" i="38"/>
  <c r="CQ490" i="38"/>
  <c r="CN491" i="38"/>
  <c r="CO491" i="38"/>
  <c r="CP491" i="38"/>
  <c r="CQ491" i="38"/>
  <c r="CN492" i="38"/>
  <c r="CO492" i="38"/>
  <c r="CP492" i="38"/>
  <c r="CQ492" i="38"/>
  <c r="CN493" i="38"/>
  <c r="CO493" i="38"/>
  <c r="CP493" i="38"/>
  <c r="CQ493" i="38"/>
  <c r="CN494" i="38"/>
  <c r="CO494" i="38"/>
  <c r="CP494" i="38"/>
  <c r="CQ494" i="38"/>
  <c r="CN495" i="38"/>
  <c r="CO495" i="38"/>
  <c r="CP495" i="38"/>
  <c r="CQ495" i="38"/>
  <c r="CN496" i="38"/>
  <c r="CO496" i="38"/>
  <c r="CP496" i="38"/>
  <c r="CQ496" i="38"/>
  <c r="CN497" i="38"/>
  <c r="CO497" i="38"/>
  <c r="CP497" i="38"/>
  <c r="CQ497" i="38"/>
  <c r="CN498" i="38"/>
  <c r="CO498" i="38"/>
  <c r="CP498" i="38"/>
  <c r="CQ498" i="38"/>
  <c r="CN499" i="38"/>
  <c r="CO499" i="38"/>
  <c r="CP499" i="38"/>
  <c r="CQ499" i="38"/>
  <c r="CN500" i="38"/>
  <c r="CO500" i="38"/>
  <c r="CP500" i="38"/>
  <c r="CQ500" i="38"/>
  <c r="CN501" i="38"/>
  <c r="CO501" i="38"/>
  <c r="CP501" i="38"/>
  <c r="CQ501" i="38"/>
  <c r="CN502" i="38"/>
  <c r="CO502" i="38"/>
  <c r="CP502" i="38"/>
  <c r="CQ502" i="38"/>
  <c r="CN503" i="38"/>
  <c r="CO503" i="38"/>
  <c r="CP503" i="38"/>
  <c r="CQ503" i="38"/>
  <c r="CN504" i="38"/>
  <c r="CO504" i="38"/>
  <c r="CP504" i="38"/>
  <c r="CQ504" i="38"/>
  <c r="CN505" i="38"/>
  <c r="CO505" i="38"/>
  <c r="CP505" i="38"/>
  <c r="CQ505" i="38"/>
  <c r="CN506" i="38"/>
  <c r="CO506" i="38"/>
  <c r="CP506" i="38"/>
  <c r="CQ506" i="38"/>
  <c r="CN507" i="38"/>
  <c r="CO507" i="38"/>
  <c r="CP507" i="38"/>
  <c r="CQ507" i="38"/>
  <c r="CN508" i="38"/>
  <c r="CO508" i="38"/>
  <c r="CP508" i="38"/>
  <c r="CQ508" i="38"/>
  <c r="CN509" i="38"/>
  <c r="CO509" i="38"/>
  <c r="CP509" i="38"/>
  <c r="CQ509" i="38"/>
  <c r="CN510" i="38"/>
  <c r="CO510" i="38"/>
  <c r="CP510" i="38"/>
  <c r="CQ510" i="38"/>
  <c r="CN511" i="38"/>
  <c r="CO511" i="38"/>
  <c r="CP511" i="38"/>
  <c r="CQ511" i="38"/>
  <c r="CN512" i="38"/>
  <c r="CO512" i="38"/>
  <c r="CP512" i="38"/>
  <c r="CQ512" i="38"/>
  <c r="CN513" i="38"/>
  <c r="CO513" i="38"/>
  <c r="CP513" i="38"/>
  <c r="CQ513" i="38"/>
  <c r="CN514" i="38"/>
  <c r="CO514" i="38"/>
  <c r="CP514" i="38"/>
  <c r="CQ514" i="38"/>
  <c r="CN515" i="38"/>
  <c r="CO515" i="38"/>
  <c r="CP515" i="38"/>
  <c r="CQ515" i="38"/>
  <c r="CN516" i="38"/>
  <c r="CO516" i="38"/>
  <c r="CP516" i="38"/>
  <c r="CQ516" i="38"/>
  <c r="CN517" i="38"/>
  <c r="CO517" i="38"/>
  <c r="CP517" i="38"/>
  <c r="CQ517" i="38"/>
  <c r="CN518" i="38"/>
  <c r="CO518" i="38"/>
  <c r="CP518" i="38"/>
  <c r="CQ518" i="38"/>
  <c r="CN519" i="38"/>
  <c r="CO519" i="38"/>
  <c r="CP519" i="38"/>
  <c r="CQ519" i="38"/>
  <c r="CN520" i="38"/>
  <c r="CO520" i="38"/>
  <c r="CP520" i="38"/>
  <c r="CQ520" i="38"/>
  <c r="CN521" i="38"/>
  <c r="CO521" i="38"/>
  <c r="CP521" i="38"/>
  <c r="CQ521" i="38"/>
  <c r="CN522" i="38"/>
  <c r="CO522" i="38"/>
  <c r="CP522" i="38"/>
  <c r="CQ522" i="38"/>
  <c r="CN523" i="38"/>
  <c r="CO523" i="38"/>
  <c r="CP523" i="38"/>
  <c r="CQ523" i="38"/>
  <c r="CN524" i="38"/>
  <c r="CO524" i="38"/>
  <c r="CP524" i="38"/>
  <c r="CQ524" i="38"/>
  <c r="CN525" i="38"/>
  <c r="CO525" i="38"/>
  <c r="CP525" i="38"/>
  <c r="CQ525" i="38"/>
  <c r="CN526" i="38"/>
  <c r="CO526" i="38"/>
  <c r="CP526" i="38"/>
  <c r="CQ526" i="38"/>
  <c r="CN527" i="38"/>
  <c r="CO527" i="38"/>
  <c r="CP527" i="38"/>
  <c r="CQ527" i="38"/>
  <c r="CN528" i="38"/>
  <c r="CO528" i="38"/>
  <c r="CP528" i="38"/>
  <c r="CQ528" i="38"/>
  <c r="CN529" i="38"/>
  <c r="CO529" i="38"/>
  <c r="CP529" i="38"/>
  <c r="CQ529" i="38"/>
  <c r="CN530" i="38"/>
  <c r="CO530" i="38"/>
  <c r="CP530" i="38"/>
  <c r="CQ530" i="38"/>
  <c r="CN531" i="38"/>
  <c r="CO531" i="38"/>
  <c r="CP531" i="38"/>
  <c r="CQ531" i="38"/>
  <c r="CN532" i="38"/>
  <c r="CO532" i="38"/>
  <c r="CP532" i="38"/>
  <c r="CQ532" i="38"/>
  <c r="CN533" i="38"/>
  <c r="CO533" i="38"/>
  <c r="CP533" i="38"/>
  <c r="CQ533" i="38"/>
  <c r="CN534" i="38"/>
  <c r="CO534" i="38"/>
  <c r="CP534" i="38"/>
  <c r="CQ534" i="38"/>
  <c r="CN535" i="38"/>
  <c r="CO535" i="38"/>
  <c r="CP535" i="38"/>
  <c r="CQ535" i="38"/>
  <c r="CN536" i="38"/>
  <c r="CO536" i="38"/>
  <c r="CP536" i="38"/>
  <c r="CQ536" i="38"/>
  <c r="CN537" i="38"/>
  <c r="CO537" i="38"/>
  <c r="CP537" i="38"/>
  <c r="CQ537" i="38"/>
  <c r="CN538" i="38"/>
  <c r="CO538" i="38"/>
  <c r="CP538" i="38"/>
  <c r="CQ538" i="38"/>
  <c r="CN539" i="38"/>
  <c r="CO539" i="38"/>
  <c r="CP539" i="38"/>
  <c r="CQ539" i="38"/>
  <c r="CN540" i="38"/>
  <c r="CO540" i="38"/>
  <c r="CP540" i="38"/>
  <c r="CQ540" i="38"/>
  <c r="CN541" i="38"/>
  <c r="CO541" i="38"/>
  <c r="CP541" i="38"/>
  <c r="CQ541" i="38"/>
  <c r="CN542" i="38"/>
  <c r="CO542" i="38"/>
  <c r="CP542" i="38"/>
  <c r="CQ542" i="38"/>
  <c r="CN543" i="38"/>
  <c r="CO543" i="38"/>
  <c r="CP543" i="38"/>
  <c r="CQ543" i="38"/>
  <c r="CN544" i="38"/>
  <c r="CO544" i="38"/>
  <c r="CP544" i="38"/>
  <c r="CQ544" i="38"/>
  <c r="CN545" i="38"/>
  <c r="CO545" i="38"/>
  <c r="CP545" i="38"/>
  <c r="CQ545" i="38"/>
  <c r="CN546" i="38"/>
  <c r="CO546" i="38"/>
  <c r="CP546" i="38"/>
  <c r="CQ546" i="38"/>
  <c r="CN547" i="38"/>
  <c r="CO547" i="38"/>
  <c r="CP547" i="38"/>
  <c r="CQ547" i="38"/>
  <c r="CN548" i="38"/>
  <c r="CO548" i="38"/>
  <c r="CP548" i="38"/>
  <c r="CQ548" i="38"/>
  <c r="CN549" i="38"/>
  <c r="CO549" i="38"/>
  <c r="CP549" i="38"/>
  <c r="CQ549" i="38"/>
  <c r="CN550" i="38"/>
  <c r="CO550" i="38"/>
  <c r="CP550" i="38"/>
  <c r="CQ550" i="38"/>
  <c r="CN551" i="38"/>
  <c r="CO551" i="38"/>
  <c r="CP551" i="38"/>
  <c r="CQ551" i="38"/>
  <c r="CN552" i="38"/>
  <c r="CO552" i="38"/>
  <c r="CP552" i="38"/>
  <c r="CQ552" i="38"/>
  <c r="CN553" i="38"/>
  <c r="CO553" i="38"/>
  <c r="CP553" i="38"/>
  <c r="CQ553" i="38"/>
  <c r="CN554" i="38"/>
  <c r="CO554" i="38"/>
  <c r="CP554" i="38"/>
  <c r="CQ554" i="38"/>
  <c r="CN555" i="38"/>
  <c r="CO555" i="38"/>
  <c r="CP555" i="38"/>
  <c r="CQ555" i="38"/>
  <c r="CN556" i="38"/>
  <c r="CO556" i="38"/>
  <c r="CP556" i="38"/>
  <c r="CQ556" i="38"/>
  <c r="CN557" i="38"/>
  <c r="CO557" i="38"/>
  <c r="CP557" i="38"/>
  <c r="CQ557" i="38"/>
  <c r="CN558" i="38"/>
  <c r="CO558" i="38"/>
  <c r="CP558" i="38"/>
  <c r="CQ558" i="38"/>
  <c r="CN559" i="38"/>
  <c r="CO559" i="38"/>
  <c r="CP559" i="38"/>
  <c r="CQ559" i="38"/>
  <c r="CN560" i="38"/>
  <c r="CO560" i="38"/>
  <c r="CP560" i="38"/>
  <c r="CQ560" i="38"/>
  <c r="CN561" i="38"/>
  <c r="CO561" i="38"/>
  <c r="CP561" i="38"/>
  <c r="CQ561" i="38"/>
  <c r="CN562" i="38"/>
  <c r="CO562" i="38"/>
  <c r="CP562" i="38"/>
  <c r="CQ562" i="38"/>
  <c r="CN563" i="38"/>
  <c r="CO563" i="38"/>
  <c r="CP563" i="38"/>
  <c r="CQ563" i="38"/>
  <c r="CN564" i="38"/>
  <c r="CO564" i="38"/>
  <c r="CP564" i="38"/>
  <c r="CQ564" i="38"/>
  <c r="CN565" i="38"/>
  <c r="CO565" i="38"/>
  <c r="CP565" i="38"/>
  <c r="CQ565" i="38"/>
  <c r="CN566" i="38"/>
  <c r="CO566" i="38"/>
  <c r="CP566" i="38"/>
  <c r="CQ566" i="38"/>
  <c r="CN567" i="38"/>
  <c r="CO567" i="38"/>
  <c r="CP567" i="38"/>
  <c r="CQ567" i="38"/>
  <c r="CN568" i="38"/>
  <c r="CO568" i="38"/>
  <c r="CP568" i="38"/>
  <c r="CQ568" i="38"/>
  <c r="CN569" i="38"/>
  <c r="CO569" i="38"/>
  <c r="CP569" i="38"/>
  <c r="CQ569" i="38"/>
  <c r="CN570" i="38"/>
  <c r="CO570" i="38"/>
  <c r="CP570" i="38"/>
  <c r="CQ570" i="38"/>
  <c r="CN571" i="38"/>
  <c r="CO571" i="38"/>
  <c r="CP571" i="38"/>
  <c r="CQ571" i="38"/>
  <c r="CN572" i="38"/>
  <c r="CO572" i="38"/>
  <c r="CP572" i="38"/>
  <c r="CQ572" i="38"/>
  <c r="CN573" i="38"/>
  <c r="CO573" i="38"/>
  <c r="CP573" i="38"/>
  <c r="CQ573" i="38"/>
  <c r="CN574" i="38"/>
  <c r="CO574" i="38"/>
  <c r="CP574" i="38"/>
  <c r="CQ574" i="38"/>
  <c r="CN575" i="38"/>
  <c r="CO575" i="38"/>
  <c r="CP575" i="38"/>
  <c r="CQ575" i="38"/>
  <c r="CN576" i="38"/>
  <c r="CO576" i="38"/>
  <c r="CP576" i="38"/>
  <c r="CQ576" i="38"/>
  <c r="CN577" i="38"/>
  <c r="CO577" i="38"/>
  <c r="CP577" i="38"/>
  <c r="CQ577" i="38"/>
  <c r="CN578" i="38"/>
  <c r="CO578" i="38"/>
  <c r="CP578" i="38"/>
  <c r="CQ578" i="38"/>
  <c r="CN579" i="38"/>
  <c r="CO579" i="38"/>
  <c r="CP579" i="38"/>
  <c r="CQ579" i="38"/>
  <c r="CN580" i="38"/>
  <c r="CO580" i="38"/>
  <c r="CP580" i="38"/>
  <c r="CQ580" i="38"/>
  <c r="CN581" i="38"/>
  <c r="CO581" i="38"/>
  <c r="CP581" i="38"/>
  <c r="CQ581" i="38"/>
  <c r="CN582" i="38"/>
  <c r="CO582" i="38"/>
  <c r="CP582" i="38"/>
  <c r="CQ582" i="38"/>
  <c r="CN583" i="38"/>
  <c r="CO583" i="38"/>
  <c r="CP583" i="38"/>
  <c r="CQ583" i="38"/>
  <c r="CN584" i="38"/>
  <c r="CO584" i="38"/>
  <c r="CP584" i="38"/>
  <c r="CQ584" i="38"/>
  <c r="CN585" i="38"/>
  <c r="CO585" i="38"/>
  <c r="CP585" i="38"/>
  <c r="CQ585" i="38"/>
  <c r="CN586" i="38"/>
  <c r="CO586" i="38"/>
  <c r="CP586" i="38"/>
  <c r="CQ586" i="38"/>
  <c r="CN587" i="38"/>
  <c r="CO587" i="38"/>
  <c r="CP587" i="38"/>
  <c r="CQ587" i="38"/>
  <c r="CN588" i="38"/>
  <c r="CO588" i="38"/>
  <c r="CP588" i="38"/>
  <c r="CQ588" i="38"/>
  <c r="CN589" i="38"/>
  <c r="CO589" i="38"/>
  <c r="CP589" i="38"/>
  <c r="CQ589" i="38"/>
  <c r="CN590" i="38"/>
  <c r="CO590" i="38"/>
  <c r="CP590" i="38"/>
  <c r="CQ590" i="38"/>
  <c r="CN591" i="38"/>
  <c r="CO591" i="38"/>
  <c r="CP591" i="38"/>
  <c r="CQ591" i="38"/>
  <c r="CN592" i="38"/>
  <c r="CO592" i="38"/>
  <c r="CP592" i="38"/>
  <c r="CQ592" i="38"/>
  <c r="CN593" i="38"/>
  <c r="CO593" i="38"/>
  <c r="CP593" i="38"/>
  <c r="CQ593" i="38"/>
  <c r="CN594" i="38"/>
  <c r="CO594" i="38"/>
  <c r="CP594" i="38"/>
  <c r="CQ594" i="38"/>
  <c r="CN595" i="38"/>
  <c r="CO595" i="38"/>
  <c r="CP595" i="38"/>
  <c r="CQ595" i="38"/>
  <c r="CN596" i="38"/>
  <c r="CO596" i="38"/>
  <c r="CP596" i="38"/>
  <c r="CQ596" i="38"/>
  <c r="CN597" i="38"/>
  <c r="CO597" i="38"/>
  <c r="CP597" i="38"/>
  <c r="CQ597" i="38"/>
  <c r="CN598" i="38"/>
  <c r="CO598" i="38"/>
  <c r="CP598" i="38"/>
  <c r="CQ598" i="38"/>
  <c r="CN599" i="38"/>
  <c r="CO599" i="38"/>
  <c r="CP599" i="38"/>
  <c r="CQ599" i="38"/>
  <c r="CN600" i="38"/>
  <c r="CO600" i="38"/>
  <c r="CP600" i="38"/>
  <c r="CQ600" i="38"/>
  <c r="CN601" i="38"/>
  <c r="CO601" i="38"/>
  <c r="CP601" i="38"/>
  <c r="CQ601" i="38"/>
  <c r="CN602" i="38"/>
  <c r="CO602" i="38"/>
  <c r="CP602" i="38"/>
  <c r="CQ602" i="38"/>
  <c r="CN603" i="38"/>
  <c r="CO603" i="38"/>
  <c r="CP603" i="38"/>
  <c r="CQ603" i="38"/>
  <c r="CN604" i="38"/>
  <c r="CO604" i="38"/>
  <c r="CP604" i="38"/>
  <c r="CQ604" i="38"/>
  <c r="CN605" i="38"/>
  <c r="CO605" i="38"/>
  <c r="CP605" i="38"/>
  <c r="CQ605" i="38"/>
  <c r="CN606" i="38"/>
  <c r="CO606" i="38"/>
  <c r="CP606" i="38"/>
  <c r="CQ606" i="38"/>
  <c r="CN607" i="38"/>
  <c r="CO607" i="38"/>
  <c r="CP607" i="38"/>
  <c r="CQ607" i="38"/>
  <c r="CN608" i="38"/>
  <c r="CO608" i="38"/>
  <c r="CP608" i="38"/>
  <c r="CQ608" i="38"/>
  <c r="CN609" i="38"/>
  <c r="CO609" i="38"/>
  <c r="CP609" i="38"/>
  <c r="CQ609" i="38"/>
  <c r="CN610" i="38"/>
  <c r="CO610" i="38"/>
  <c r="CP610" i="38"/>
  <c r="CQ610" i="38"/>
  <c r="CN611" i="38"/>
  <c r="CO611" i="38"/>
  <c r="CP611" i="38"/>
  <c r="CQ611" i="38"/>
  <c r="CN612" i="38"/>
  <c r="CO612" i="38"/>
  <c r="CP612" i="38"/>
  <c r="CQ612" i="38"/>
  <c r="CN613" i="38"/>
  <c r="CO613" i="38"/>
  <c r="CP613" i="38"/>
  <c r="CQ613" i="38"/>
  <c r="CN614" i="38"/>
  <c r="CO614" i="38"/>
  <c r="CP614" i="38"/>
  <c r="CQ614" i="38"/>
  <c r="CN615" i="38"/>
  <c r="CO615" i="38"/>
  <c r="CP615" i="38"/>
  <c r="CQ615" i="38"/>
  <c r="CN616" i="38"/>
  <c r="CO616" i="38"/>
  <c r="CP616" i="38"/>
  <c r="CQ616" i="38"/>
  <c r="CN617" i="38"/>
  <c r="CO617" i="38"/>
  <c r="CP617" i="38"/>
  <c r="CQ617" i="38"/>
  <c r="CN618" i="38"/>
  <c r="CO618" i="38"/>
  <c r="CP618" i="38"/>
  <c r="CQ618" i="38"/>
  <c r="CN619" i="38"/>
  <c r="CO619" i="38"/>
  <c r="CP619" i="38"/>
  <c r="CQ619" i="38"/>
  <c r="CN620" i="38"/>
  <c r="CO620" i="38"/>
  <c r="CP620" i="38"/>
  <c r="CQ620" i="38"/>
  <c r="CN621" i="38"/>
  <c r="CO621" i="38"/>
  <c r="CP621" i="38"/>
  <c r="CQ621" i="38"/>
  <c r="CN622" i="38"/>
  <c r="CO622" i="38"/>
  <c r="CP622" i="38"/>
  <c r="CQ622" i="38"/>
  <c r="CN623" i="38"/>
  <c r="CO623" i="38"/>
  <c r="CP623" i="38"/>
  <c r="CQ623" i="38"/>
  <c r="CN624" i="38"/>
  <c r="CO624" i="38"/>
  <c r="CP624" i="38"/>
  <c r="CQ624" i="38"/>
  <c r="CN625" i="38"/>
  <c r="CO625" i="38"/>
  <c r="CP625" i="38"/>
  <c r="CQ625" i="38"/>
  <c r="CN626" i="38"/>
  <c r="CO626" i="38"/>
  <c r="CP626" i="38"/>
  <c r="CQ626" i="38"/>
  <c r="CN627" i="38"/>
  <c r="CO627" i="38"/>
  <c r="CP627" i="38"/>
  <c r="CQ627" i="38"/>
  <c r="CN628" i="38"/>
  <c r="CO628" i="38"/>
  <c r="CP628" i="38"/>
  <c r="CQ628" i="38"/>
  <c r="CN629" i="38"/>
  <c r="CO629" i="38"/>
  <c r="CP629" i="38"/>
  <c r="CQ629" i="38"/>
  <c r="CN630" i="38"/>
  <c r="CO630" i="38"/>
  <c r="CP630" i="38"/>
  <c r="CQ630" i="38"/>
  <c r="CN631" i="38"/>
  <c r="CO631" i="38"/>
  <c r="CP631" i="38"/>
  <c r="CQ631" i="38"/>
  <c r="CN632" i="38"/>
  <c r="CO632" i="38"/>
  <c r="CP632" i="38"/>
  <c r="CQ632" i="38"/>
  <c r="CN633" i="38"/>
  <c r="CO633" i="38"/>
  <c r="CP633" i="38"/>
  <c r="CQ633" i="38"/>
  <c r="CN634" i="38"/>
  <c r="CO634" i="38"/>
  <c r="CP634" i="38"/>
  <c r="CQ634" i="38"/>
  <c r="CN635" i="38"/>
  <c r="CO635" i="38"/>
  <c r="CP635" i="38"/>
  <c r="CQ635" i="38"/>
  <c r="CN636" i="38"/>
  <c r="CO636" i="38"/>
  <c r="CP636" i="38"/>
  <c r="CQ636" i="38"/>
  <c r="AR11" i="38"/>
  <c r="AT11" i="38"/>
  <c r="AR12" i="38"/>
  <c r="AT12" i="38"/>
  <c r="AR13" i="38"/>
  <c r="AT13" i="38"/>
  <c r="AR14" i="38"/>
  <c r="AT14" i="38"/>
  <c r="AR15" i="38"/>
  <c r="AT15" i="38"/>
  <c r="AR16" i="38"/>
  <c r="AT16" i="38"/>
  <c r="AR17" i="38"/>
  <c r="AT17" i="38"/>
  <c r="AR18" i="38"/>
  <c r="AT18" i="38"/>
  <c r="AR19" i="38"/>
  <c r="AT19" i="38"/>
  <c r="AR20" i="38"/>
  <c r="AT20" i="38"/>
  <c r="AR21" i="38"/>
  <c r="AT21" i="38"/>
  <c r="AR22" i="38"/>
  <c r="AT22" i="38"/>
  <c r="AR23" i="38"/>
  <c r="AT23" i="38"/>
  <c r="AR24" i="38"/>
  <c r="AT24" i="38"/>
  <c r="AR25" i="38"/>
  <c r="AT25" i="38"/>
  <c r="AR26" i="38"/>
  <c r="AT26" i="38"/>
  <c r="AR27" i="38"/>
  <c r="AT27" i="38"/>
  <c r="AR28" i="38"/>
  <c r="AT28" i="38"/>
  <c r="AR29" i="38"/>
  <c r="AT29" i="38"/>
  <c r="AR30" i="38"/>
  <c r="AT30" i="38"/>
  <c r="AR31" i="38"/>
  <c r="AT31" i="38"/>
  <c r="AR32" i="38"/>
  <c r="AT32" i="38"/>
  <c r="AR33" i="38"/>
  <c r="AT33" i="38"/>
  <c r="AR34" i="38"/>
  <c r="AT34" i="38"/>
  <c r="AR35" i="38"/>
  <c r="AT35" i="38"/>
  <c r="AR36" i="38"/>
  <c r="AT36" i="38"/>
  <c r="AR37" i="38"/>
  <c r="AT37" i="38"/>
  <c r="AR38" i="38"/>
  <c r="AT38" i="38"/>
  <c r="AR39" i="38"/>
  <c r="AT39" i="38"/>
  <c r="AR40" i="38"/>
  <c r="AT40" i="38"/>
  <c r="AR41" i="38"/>
  <c r="AT41" i="38"/>
  <c r="AR42" i="38"/>
  <c r="AT42" i="38"/>
  <c r="AR43" i="38"/>
  <c r="AT43" i="38"/>
  <c r="AR44" i="38"/>
  <c r="AT44" i="38"/>
  <c r="AR45" i="38"/>
  <c r="AT45" i="38"/>
  <c r="AR46" i="38"/>
  <c r="AT46" i="38"/>
  <c r="AR47" i="38"/>
  <c r="AT47" i="38"/>
  <c r="AR48" i="38"/>
  <c r="AT48" i="38"/>
  <c r="AR49" i="38"/>
  <c r="AT49" i="38"/>
  <c r="AR50" i="38"/>
  <c r="AT50" i="38"/>
  <c r="AR51" i="38"/>
  <c r="AT51" i="38"/>
  <c r="AR52" i="38"/>
  <c r="AT52" i="38"/>
  <c r="AR53" i="38"/>
  <c r="AT53" i="38"/>
  <c r="AR54" i="38"/>
  <c r="AT54" i="38"/>
  <c r="AR55" i="38"/>
  <c r="AT55" i="38"/>
  <c r="AR56" i="38"/>
  <c r="AT56" i="38"/>
  <c r="AR57" i="38"/>
  <c r="AT57" i="38"/>
  <c r="AR58" i="38"/>
  <c r="AT58" i="38"/>
  <c r="AR59" i="38"/>
  <c r="AT59" i="38"/>
  <c r="AR60" i="38"/>
  <c r="AT60" i="38"/>
  <c r="AR61" i="38"/>
  <c r="AT61" i="38"/>
  <c r="AR62" i="38"/>
  <c r="AT62" i="38"/>
  <c r="AR63" i="38"/>
  <c r="AT63" i="38"/>
  <c r="AR64" i="38"/>
  <c r="AT64" i="38"/>
  <c r="AR65" i="38"/>
  <c r="AT65" i="38"/>
  <c r="AR66" i="38"/>
  <c r="AT66" i="38"/>
  <c r="AR67" i="38"/>
  <c r="AT67" i="38"/>
  <c r="AR68" i="38"/>
  <c r="AT68" i="38"/>
  <c r="AR69" i="38"/>
  <c r="AT69" i="38"/>
  <c r="AR70" i="38"/>
  <c r="AT70" i="38"/>
  <c r="AR71" i="38"/>
  <c r="AT71" i="38"/>
  <c r="AR72" i="38"/>
  <c r="AT72" i="38"/>
  <c r="AR73" i="38"/>
  <c r="AT73" i="38"/>
  <c r="AR74" i="38"/>
  <c r="AT74" i="38"/>
  <c r="AR75" i="38"/>
  <c r="AT75" i="38"/>
  <c r="AR76" i="38"/>
  <c r="AT76" i="38"/>
  <c r="AR77" i="38"/>
  <c r="AT77" i="38"/>
  <c r="AR78" i="38"/>
  <c r="AT78" i="38"/>
  <c r="AR79" i="38"/>
  <c r="AT79" i="38"/>
  <c r="AR80" i="38"/>
  <c r="AT80" i="38"/>
  <c r="AR81" i="38"/>
  <c r="AT81" i="38"/>
  <c r="AR82" i="38"/>
  <c r="AT82" i="38"/>
  <c r="AR83" i="38"/>
  <c r="AT83" i="38"/>
  <c r="AR84" i="38"/>
  <c r="AS84" i="38"/>
  <c r="AT84" i="38"/>
  <c r="AU84" i="38"/>
  <c r="AR85" i="38"/>
  <c r="AT85" i="38"/>
  <c r="AR86" i="38"/>
  <c r="AT86" i="38"/>
  <c r="AR87" i="38"/>
  <c r="AT87" i="38"/>
  <c r="AR88" i="38"/>
  <c r="AT88" i="38"/>
  <c r="AR89" i="38"/>
  <c r="AT89" i="38"/>
  <c r="AR90" i="38"/>
  <c r="AT90" i="38"/>
  <c r="AR91" i="38"/>
  <c r="AT91" i="38"/>
  <c r="AR92" i="38"/>
  <c r="AT92" i="38"/>
  <c r="AR93" i="38"/>
  <c r="AT93" i="38"/>
  <c r="AR94" i="38"/>
  <c r="AT94" i="38"/>
  <c r="AR95" i="38"/>
  <c r="AT95" i="38"/>
  <c r="AR96" i="38"/>
  <c r="AT96" i="38"/>
  <c r="AR97" i="38"/>
  <c r="AT97" i="38"/>
  <c r="AR98" i="38"/>
  <c r="AT98" i="38"/>
  <c r="AR99" i="38"/>
  <c r="AT99" i="38"/>
  <c r="AR100" i="38"/>
  <c r="AT100" i="38"/>
  <c r="AR101" i="38"/>
  <c r="AT101" i="38"/>
  <c r="AR102" i="38"/>
  <c r="AT102" i="38"/>
  <c r="AR103" i="38"/>
  <c r="AT103" i="38"/>
  <c r="AR104" i="38"/>
  <c r="AT104" i="38"/>
  <c r="AR105" i="38"/>
  <c r="AT105" i="38"/>
  <c r="AR106" i="38"/>
  <c r="AT106" i="38"/>
  <c r="AR107" i="38"/>
  <c r="AT107" i="38"/>
  <c r="AR108" i="38"/>
  <c r="AT108" i="38"/>
  <c r="AR109" i="38"/>
  <c r="AT109" i="38"/>
  <c r="AR110" i="38"/>
  <c r="AT110" i="38"/>
  <c r="AR111" i="38"/>
  <c r="AT111" i="38"/>
  <c r="AR112" i="38"/>
  <c r="AT112" i="38"/>
  <c r="AR113" i="38"/>
  <c r="AT113" i="38"/>
  <c r="AR114" i="38"/>
  <c r="AT114" i="38"/>
  <c r="AR115" i="38"/>
  <c r="AT115" i="38"/>
  <c r="AR116" i="38"/>
  <c r="AT116" i="38"/>
  <c r="AR117" i="38"/>
  <c r="AT117" i="38"/>
  <c r="AR118" i="38"/>
  <c r="AT118" i="38"/>
  <c r="AR119" i="38"/>
  <c r="AT119" i="38"/>
  <c r="AR120" i="38"/>
  <c r="AT120" i="38"/>
  <c r="AR121" i="38"/>
  <c r="AT121" i="38"/>
  <c r="AR122" i="38"/>
  <c r="AT122" i="38"/>
  <c r="AR123" i="38"/>
  <c r="AT123" i="38"/>
  <c r="AR124" i="38"/>
  <c r="AT124" i="38"/>
  <c r="AR125" i="38"/>
  <c r="AT125" i="38"/>
  <c r="AR126" i="38"/>
  <c r="AT126" i="38"/>
  <c r="AR127" i="38"/>
  <c r="AT127" i="38"/>
  <c r="AR128" i="38"/>
  <c r="AT128" i="38"/>
  <c r="AR129" i="38"/>
  <c r="AT129" i="38"/>
  <c r="AR130" i="38"/>
  <c r="AT130" i="38"/>
  <c r="AR131" i="38"/>
  <c r="AT131" i="38"/>
  <c r="AR132" i="38"/>
  <c r="AT132" i="38"/>
  <c r="AR133" i="38"/>
  <c r="AT133" i="38"/>
  <c r="AR134" i="38"/>
  <c r="AT134" i="38"/>
  <c r="AR135" i="38"/>
  <c r="AT135" i="38"/>
  <c r="AR136" i="38"/>
  <c r="AT136" i="38"/>
  <c r="AR137" i="38"/>
  <c r="AT137" i="38"/>
  <c r="AR138" i="38"/>
  <c r="AT138" i="38"/>
  <c r="AR139" i="38"/>
  <c r="AT139" i="38"/>
  <c r="AR140" i="38"/>
  <c r="AT140" i="38"/>
  <c r="AR141" i="38"/>
  <c r="AT141" i="38"/>
  <c r="AR142" i="38"/>
  <c r="AT142" i="38"/>
  <c r="AR143" i="38"/>
  <c r="AT143" i="38"/>
  <c r="AR144" i="38"/>
  <c r="AT144" i="38"/>
  <c r="AR145" i="38"/>
  <c r="AT145" i="38"/>
  <c r="AR146" i="38"/>
  <c r="AT146" i="38"/>
  <c r="AR147" i="38"/>
  <c r="AT147" i="38"/>
  <c r="AR148" i="38"/>
  <c r="AT148" i="38"/>
  <c r="AR149" i="38"/>
  <c r="AT149" i="38"/>
  <c r="AR150" i="38"/>
  <c r="AT150" i="38"/>
  <c r="AR151" i="38"/>
  <c r="AT151" i="38"/>
  <c r="AR152" i="38"/>
  <c r="AT152" i="38"/>
  <c r="AR153" i="38"/>
  <c r="AT153" i="38"/>
  <c r="AR154" i="38"/>
  <c r="AT154" i="38"/>
  <c r="AR155" i="38"/>
  <c r="AT155" i="38"/>
  <c r="AR156" i="38"/>
  <c r="AT156" i="38"/>
  <c r="AR157" i="38"/>
  <c r="AT157" i="38"/>
  <c r="AR158" i="38"/>
  <c r="AT158" i="38"/>
  <c r="AR159" i="38"/>
  <c r="AT159" i="38"/>
  <c r="AR160" i="38"/>
  <c r="AT160" i="38"/>
  <c r="AR161" i="38"/>
  <c r="AT161" i="38"/>
  <c r="AR162" i="38"/>
  <c r="AT162" i="38"/>
  <c r="AR163" i="38"/>
  <c r="AT163" i="38"/>
  <c r="AR164" i="38"/>
  <c r="AT164" i="38"/>
  <c r="AR165" i="38"/>
  <c r="AT165" i="38"/>
  <c r="AR166" i="38"/>
  <c r="AT166" i="38"/>
  <c r="AR167" i="38"/>
  <c r="AT167" i="38"/>
  <c r="AR168" i="38"/>
  <c r="AT168" i="38"/>
  <c r="AR169" i="38"/>
  <c r="AT169" i="38"/>
  <c r="AR170" i="38"/>
  <c r="AT170" i="38"/>
  <c r="AR171" i="38"/>
  <c r="AT171" i="38"/>
  <c r="AR172" i="38"/>
  <c r="AT172" i="38"/>
  <c r="AR173" i="38"/>
  <c r="AT173" i="38"/>
  <c r="AR174" i="38"/>
  <c r="AT174" i="38"/>
  <c r="AR175" i="38"/>
  <c r="AT175" i="38"/>
  <c r="AR176" i="38"/>
  <c r="AT176" i="38"/>
  <c r="AR177" i="38"/>
  <c r="AT177" i="38"/>
  <c r="AR178" i="38"/>
  <c r="AT178" i="38"/>
  <c r="AR179" i="38"/>
  <c r="AT179" i="38"/>
  <c r="AR180" i="38"/>
  <c r="AT180" i="38"/>
  <c r="AR181" i="38"/>
  <c r="AT181" i="38"/>
  <c r="AR182" i="38"/>
  <c r="AT182" i="38"/>
  <c r="AR183" i="38"/>
  <c r="AT183" i="38"/>
  <c r="AR184" i="38"/>
  <c r="AT184" i="38"/>
  <c r="AR185" i="38"/>
  <c r="AT185" i="38"/>
  <c r="AR186" i="38"/>
  <c r="AT186" i="38"/>
  <c r="AR187" i="38"/>
  <c r="AT187" i="38"/>
  <c r="AR188" i="38"/>
  <c r="AT188" i="38"/>
  <c r="AR189" i="38"/>
  <c r="AT189" i="38"/>
  <c r="AR190" i="38"/>
  <c r="AT190" i="38"/>
  <c r="AR191" i="38"/>
  <c r="AT191" i="38"/>
  <c r="AR192" i="38"/>
  <c r="AT192" i="38"/>
  <c r="AR193" i="38"/>
  <c r="AT193" i="38"/>
  <c r="AR194" i="38"/>
  <c r="AT194" i="38"/>
  <c r="AR195" i="38"/>
  <c r="AT195" i="38"/>
  <c r="AR196" i="38"/>
  <c r="AT196" i="38"/>
  <c r="AR197" i="38"/>
  <c r="AT197" i="38"/>
  <c r="AR198" i="38"/>
  <c r="AT198" i="38"/>
  <c r="AR199" i="38"/>
  <c r="AT199" i="38"/>
  <c r="AR200" i="38"/>
  <c r="AT200" i="38"/>
  <c r="AR201" i="38"/>
  <c r="AT201" i="38"/>
  <c r="AR202" i="38"/>
  <c r="AT202" i="38"/>
  <c r="AR203" i="38"/>
  <c r="AT203" i="38"/>
  <c r="AR204" i="38"/>
  <c r="AT204" i="38"/>
  <c r="AR205" i="38"/>
  <c r="AT205" i="38"/>
  <c r="AR206" i="38"/>
  <c r="AT206" i="38"/>
  <c r="AR207" i="38"/>
  <c r="AT207" i="38"/>
  <c r="AR208" i="38"/>
  <c r="AT208" i="38"/>
  <c r="AR209" i="38"/>
  <c r="AT209" i="38"/>
  <c r="AR210" i="38"/>
  <c r="AT210" i="38"/>
  <c r="AR211" i="38"/>
  <c r="AT211" i="38"/>
  <c r="AR212" i="38"/>
  <c r="AT212" i="38"/>
  <c r="AR213" i="38"/>
  <c r="AT213" i="38"/>
  <c r="AR214" i="38"/>
  <c r="AT214" i="38"/>
  <c r="AR215" i="38"/>
  <c r="AT215" i="38"/>
  <c r="AR216" i="38"/>
  <c r="AS216" i="38"/>
  <c r="AT216" i="38"/>
  <c r="AU216" i="38"/>
  <c r="AR217" i="38"/>
  <c r="AT217" i="38"/>
  <c r="AR218" i="38"/>
  <c r="AT218" i="38"/>
  <c r="AR219" i="38"/>
  <c r="AT219" i="38"/>
  <c r="AR220" i="38"/>
  <c r="AT220" i="38"/>
  <c r="AR221" i="38"/>
  <c r="AT221" i="38"/>
  <c r="AR222" i="38"/>
  <c r="AT222" i="38"/>
  <c r="AR223" i="38"/>
  <c r="AT223" i="38"/>
  <c r="AR224" i="38"/>
  <c r="AT224" i="38"/>
  <c r="AR225" i="38"/>
  <c r="AS225" i="38"/>
  <c r="AT225" i="38"/>
  <c r="AU225" i="38"/>
  <c r="AR226" i="38"/>
  <c r="AT226" i="38"/>
  <c r="AR227" i="38"/>
  <c r="AT227" i="38"/>
  <c r="AR228" i="38"/>
  <c r="AT228" i="38"/>
  <c r="AR229" i="38"/>
  <c r="AT229" i="38"/>
  <c r="AR230" i="38"/>
  <c r="AT230" i="38"/>
  <c r="AR231" i="38"/>
  <c r="AT231" i="38"/>
  <c r="AR232" i="38"/>
  <c r="AT232" i="38"/>
  <c r="AR233" i="38"/>
  <c r="AT233" i="38"/>
  <c r="AR234" i="38"/>
  <c r="AT234" i="38"/>
  <c r="AR235" i="38"/>
  <c r="AT235" i="38"/>
  <c r="AR236" i="38"/>
  <c r="AT236" i="38"/>
  <c r="AR237" i="38"/>
  <c r="AT237" i="38"/>
  <c r="AR238" i="38"/>
  <c r="AT238" i="38"/>
  <c r="AR239" i="38"/>
  <c r="AT239" i="38"/>
  <c r="AR240" i="38"/>
  <c r="AT240" i="38"/>
  <c r="AR241" i="38"/>
  <c r="AT241" i="38"/>
  <c r="AR242" i="38"/>
  <c r="AT242" i="38"/>
  <c r="AR243" i="38"/>
  <c r="AT243" i="38"/>
  <c r="AR244" i="38"/>
  <c r="AT244" i="38"/>
  <c r="AR245" i="38"/>
  <c r="AT245" i="38"/>
  <c r="AR246" i="38"/>
  <c r="AT246" i="38"/>
  <c r="AR247" i="38"/>
  <c r="AT247" i="38"/>
  <c r="AR248" i="38"/>
  <c r="AT248" i="38"/>
  <c r="AR249" i="38"/>
  <c r="AT249" i="38"/>
  <c r="AR250" i="38"/>
  <c r="AT250" i="38"/>
  <c r="AR251" i="38"/>
  <c r="AT251" i="38"/>
  <c r="AR252" i="38"/>
  <c r="AT252" i="38"/>
  <c r="AR253" i="38"/>
  <c r="AT253" i="38"/>
  <c r="AR254" i="38"/>
  <c r="AT254" i="38"/>
  <c r="AR255" i="38"/>
  <c r="AT255" i="38"/>
  <c r="AR256" i="38"/>
  <c r="AT256" i="38"/>
  <c r="AR257" i="38"/>
  <c r="AT257" i="38"/>
  <c r="AR258" i="38"/>
  <c r="AT258" i="38"/>
  <c r="AR259" i="38"/>
  <c r="AT259" i="38"/>
  <c r="AR260" i="38"/>
  <c r="AT260" i="38"/>
  <c r="AR261" i="38"/>
  <c r="AT261" i="38"/>
  <c r="AR262" i="38"/>
  <c r="AT262" i="38"/>
  <c r="AR263" i="38"/>
  <c r="AT263" i="38"/>
  <c r="AR264" i="38"/>
  <c r="AT264" i="38"/>
  <c r="AR265" i="38"/>
  <c r="AT265" i="38"/>
  <c r="AR266" i="38"/>
  <c r="AT266" i="38"/>
  <c r="AR267" i="38"/>
  <c r="AT267" i="38"/>
  <c r="AR268" i="38"/>
  <c r="AT268" i="38"/>
  <c r="AR269" i="38"/>
  <c r="AT269" i="38"/>
  <c r="AR270" i="38"/>
  <c r="AT270" i="38"/>
  <c r="AR271" i="38"/>
  <c r="AT271" i="38"/>
  <c r="AR272" i="38"/>
  <c r="AT272" i="38"/>
  <c r="AR273" i="38"/>
  <c r="AT273" i="38"/>
  <c r="AR274" i="38"/>
  <c r="AT274" i="38"/>
  <c r="AR275" i="38"/>
  <c r="AT275" i="38"/>
  <c r="AR276" i="38"/>
  <c r="AT276" i="38"/>
  <c r="AR277" i="38"/>
  <c r="AT277" i="38"/>
  <c r="AR278" i="38"/>
  <c r="AT278" i="38"/>
  <c r="AR279" i="38"/>
  <c r="AT279" i="38"/>
  <c r="AR280" i="38"/>
  <c r="AT280" i="38"/>
  <c r="AR281" i="38"/>
  <c r="AT281" i="38"/>
  <c r="AR282" i="38"/>
  <c r="AT282" i="38"/>
  <c r="AR283" i="38"/>
  <c r="AT283" i="38"/>
  <c r="AR284" i="38"/>
  <c r="AT284" i="38"/>
  <c r="AR285" i="38"/>
  <c r="AT285" i="38"/>
  <c r="AR286" i="38"/>
  <c r="AT286" i="38"/>
  <c r="AR287" i="38"/>
  <c r="AT287" i="38"/>
  <c r="AR288" i="38"/>
  <c r="AT288" i="38"/>
  <c r="AR289" i="38"/>
  <c r="AT289" i="38"/>
  <c r="AR290" i="38"/>
  <c r="AT290" i="38"/>
  <c r="AR291" i="38"/>
  <c r="AT291" i="38"/>
  <c r="AR292" i="38"/>
  <c r="AT292" i="38"/>
  <c r="AR293" i="38"/>
  <c r="AT293" i="38"/>
  <c r="AR294" i="38"/>
  <c r="AT294" i="38"/>
  <c r="AR295" i="38"/>
  <c r="AT295" i="38"/>
  <c r="AR296" i="38"/>
  <c r="AT296" i="38"/>
  <c r="AR297" i="38"/>
  <c r="AT297" i="38"/>
  <c r="AR298" i="38"/>
  <c r="AT298" i="38"/>
  <c r="AR299" i="38"/>
  <c r="AT299" i="38"/>
  <c r="AR300" i="38"/>
  <c r="AS300" i="38"/>
  <c r="AT300" i="38"/>
  <c r="AU300" i="38"/>
  <c r="AR301" i="38"/>
  <c r="AT301" i="38"/>
  <c r="AR302" i="38"/>
  <c r="AT302" i="38"/>
  <c r="AR303" i="38"/>
  <c r="AT303" i="38"/>
  <c r="AR304" i="38"/>
  <c r="AT304" i="38"/>
  <c r="AR305" i="38"/>
  <c r="AT305" i="38"/>
  <c r="AR306" i="38"/>
  <c r="AT306" i="38"/>
  <c r="AR307" i="38"/>
  <c r="AT307" i="38"/>
  <c r="AR308" i="38"/>
  <c r="AT308" i="38"/>
  <c r="AR309" i="38"/>
  <c r="AT309" i="38"/>
  <c r="AR310" i="38"/>
  <c r="AT310" i="38"/>
  <c r="AR311" i="38"/>
  <c r="AT311" i="38"/>
  <c r="AR312" i="38"/>
  <c r="AT312" i="38"/>
  <c r="AR313" i="38"/>
  <c r="AT313" i="38"/>
  <c r="AR314" i="38"/>
  <c r="AT314" i="38"/>
  <c r="AR315" i="38"/>
  <c r="AT315" i="38"/>
  <c r="AR316" i="38"/>
  <c r="AT316" i="38"/>
  <c r="AR317" i="38"/>
  <c r="AT317" i="38"/>
  <c r="AR318" i="38"/>
  <c r="AT318" i="38"/>
  <c r="AR319" i="38"/>
  <c r="AT319" i="38"/>
  <c r="AR320" i="38"/>
  <c r="AT320" i="38"/>
  <c r="AR321" i="38"/>
  <c r="AT321" i="38"/>
  <c r="AR322" i="38"/>
  <c r="AT322" i="38"/>
  <c r="AR323" i="38"/>
  <c r="AT323" i="38"/>
  <c r="AR324" i="38"/>
  <c r="AT324" i="38"/>
  <c r="AR325" i="38"/>
  <c r="AT325" i="38"/>
  <c r="AR326" i="38"/>
  <c r="AT326" i="38"/>
  <c r="AR327" i="38"/>
  <c r="AT327" i="38"/>
  <c r="AR328" i="38"/>
  <c r="AT328" i="38"/>
  <c r="AR329" i="38"/>
  <c r="AT329" i="38"/>
  <c r="AR330" i="38"/>
  <c r="AT330" i="38"/>
  <c r="AR331" i="38"/>
  <c r="AT331" i="38"/>
  <c r="AR332" i="38"/>
  <c r="AT332" i="38"/>
  <c r="AR333" i="38"/>
  <c r="AT333" i="38"/>
  <c r="AR334" i="38"/>
  <c r="AT334" i="38"/>
  <c r="AR335" i="38"/>
  <c r="AT335" i="38"/>
  <c r="AR336" i="38"/>
  <c r="AT336" i="38"/>
  <c r="AR337" i="38"/>
  <c r="AT337" i="38"/>
  <c r="AR338" i="38"/>
  <c r="AT338" i="38"/>
  <c r="AR339" i="38"/>
  <c r="AT339" i="38"/>
  <c r="AR340" i="38"/>
  <c r="AT340" i="38"/>
  <c r="AR341" i="38"/>
  <c r="AT341" i="38"/>
  <c r="AR342" i="38"/>
  <c r="AT342" i="38"/>
  <c r="AR343" i="38"/>
  <c r="AT343" i="38"/>
  <c r="AR344" i="38"/>
  <c r="AT344" i="38"/>
  <c r="AR345" i="38"/>
  <c r="AT345" i="38"/>
  <c r="AR346" i="38"/>
  <c r="AT346" i="38"/>
  <c r="AR347" i="38"/>
  <c r="AT347" i="38"/>
  <c r="AR348" i="38"/>
  <c r="AT348" i="38"/>
  <c r="AR349" i="38"/>
  <c r="AT349" i="38"/>
  <c r="AR350" i="38"/>
  <c r="AT350" i="38"/>
  <c r="AR351" i="38"/>
  <c r="AT351" i="38"/>
  <c r="AR352" i="38"/>
  <c r="AT352" i="38"/>
  <c r="AR353" i="38"/>
  <c r="AT353" i="38"/>
  <c r="AR354" i="38"/>
  <c r="AT354" i="38"/>
  <c r="AR355" i="38"/>
  <c r="AT355" i="38"/>
  <c r="AR356" i="38"/>
  <c r="AT356" i="38"/>
  <c r="AR357" i="38"/>
  <c r="AT357" i="38"/>
  <c r="AR358" i="38"/>
  <c r="AT358" i="38"/>
  <c r="AR359" i="38"/>
  <c r="AT359" i="38"/>
  <c r="AR360" i="38"/>
  <c r="AT360" i="38"/>
  <c r="AR361" i="38"/>
  <c r="AT361" i="38"/>
  <c r="AR362" i="38"/>
  <c r="AT362" i="38"/>
  <c r="AR363" i="38"/>
  <c r="AT363" i="38"/>
  <c r="AR364" i="38"/>
  <c r="AT364" i="38"/>
  <c r="AR365" i="38"/>
  <c r="AT365" i="38"/>
  <c r="AR366" i="38"/>
  <c r="AT366" i="38"/>
  <c r="AR367" i="38"/>
  <c r="AT367" i="38"/>
  <c r="AR368" i="38"/>
  <c r="AT368" i="38"/>
  <c r="AR369" i="38"/>
  <c r="AT369" i="38"/>
  <c r="AR370" i="38"/>
  <c r="AT370" i="38"/>
  <c r="AR371" i="38"/>
  <c r="AT371" i="38"/>
  <c r="AR372" i="38"/>
  <c r="AT372" i="38"/>
  <c r="AR373" i="38"/>
  <c r="AT373" i="38"/>
  <c r="AR374" i="38"/>
  <c r="AT374" i="38"/>
  <c r="AR375" i="38"/>
  <c r="AT375" i="38"/>
  <c r="AR376" i="38"/>
  <c r="AT376" i="38"/>
  <c r="AR377" i="38"/>
  <c r="AT377" i="38"/>
  <c r="AR378" i="38"/>
  <c r="AT378" i="38"/>
  <c r="AR379" i="38"/>
  <c r="AT379" i="38"/>
  <c r="AR380" i="38"/>
  <c r="AT380" i="38"/>
  <c r="AR381" i="38"/>
  <c r="AT381" i="38"/>
  <c r="AR382" i="38"/>
  <c r="AT382" i="38"/>
  <c r="AR383" i="38"/>
  <c r="AT383" i="38"/>
  <c r="AR384" i="38"/>
  <c r="AT384" i="38"/>
  <c r="AR385" i="38"/>
  <c r="AT385" i="38"/>
  <c r="AR386" i="38"/>
  <c r="AT386" i="38"/>
  <c r="AR387" i="38"/>
  <c r="AT387" i="38"/>
  <c r="AR388" i="38"/>
  <c r="AT388" i="38"/>
  <c r="AR389" i="38"/>
  <c r="AT389" i="38"/>
  <c r="AR390" i="38"/>
  <c r="AT390" i="38"/>
  <c r="AR391" i="38"/>
  <c r="AT391" i="38"/>
  <c r="AR392" i="38"/>
  <c r="AT392" i="38"/>
  <c r="AR393" i="38"/>
  <c r="AT393" i="38"/>
  <c r="AR394" i="38"/>
  <c r="AT394" i="38"/>
  <c r="AR395" i="38"/>
  <c r="AT395" i="38"/>
  <c r="AR396" i="38"/>
  <c r="AT396" i="38"/>
  <c r="AR397" i="38"/>
  <c r="AT397" i="38"/>
  <c r="AR398" i="38"/>
  <c r="AT398" i="38"/>
  <c r="AR399" i="38"/>
  <c r="AT399" i="38"/>
  <c r="AR400" i="38"/>
  <c r="AT400" i="38"/>
  <c r="AR401" i="38"/>
  <c r="AT401" i="38"/>
  <c r="AR402" i="38"/>
  <c r="AT402" i="38"/>
  <c r="AR403" i="38"/>
  <c r="AT403" i="38"/>
  <c r="AR404" i="38"/>
  <c r="AT404" i="38"/>
  <c r="AR405" i="38"/>
  <c r="AT405" i="38"/>
  <c r="AR406" i="38"/>
  <c r="AT406" i="38"/>
  <c r="AR407" i="38"/>
  <c r="AT407" i="38"/>
  <c r="AR408" i="38"/>
  <c r="AT408" i="38"/>
  <c r="AR409" i="38"/>
  <c r="AT409" i="38"/>
  <c r="AR410" i="38"/>
  <c r="AT410" i="38"/>
  <c r="AR411" i="38"/>
  <c r="AT411" i="38"/>
  <c r="AR412" i="38"/>
  <c r="AT412" i="38"/>
  <c r="AR413" i="38"/>
  <c r="AT413" i="38"/>
  <c r="AR414" i="38"/>
  <c r="AT414" i="38"/>
  <c r="AR415" i="38"/>
  <c r="AT415" i="38"/>
  <c r="AR416" i="38"/>
  <c r="AT416" i="38"/>
  <c r="AR417" i="38"/>
  <c r="AT417" i="38"/>
  <c r="AR418" i="38"/>
  <c r="AT418" i="38"/>
  <c r="AR419" i="38"/>
  <c r="AT419" i="38"/>
  <c r="AR420" i="38"/>
  <c r="AT420" i="38"/>
  <c r="AR421" i="38"/>
  <c r="AT421" i="38"/>
  <c r="AR422" i="38"/>
  <c r="AT422" i="38"/>
  <c r="AR423" i="38"/>
  <c r="AT423" i="38"/>
  <c r="AR424" i="38"/>
  <c r="AT424" i="38"/>
  <c r="AR425" i="38"/>
  <c r="AT425" i="38"/>
  <c r="AR426" i="38"/>
  <c r="AT426" i="38"/>
  <c r="AR427" i="38"/>
  <c r="AT427" i="38"/>
  <c r="AR428" i="38"/>
  <c r="AT428" i="38"/>
  <c r="AR429" i="38"/>
  <c r="AT429" i="38"/>
  <c r="AR430" i="38"/>
  <c r="AT430" i="38"/>
  <c r="AR431" i="38"/>
  <c r="AT431" i="38"/>
  <c r="AR432" i="38"/>
  <c r="AT432" i="38"/>
  <c r="AR433" i="38"/>
  <c r="AT433" i="38"/>
  <c r="AR434" i="38"/>
  <c r="AT434" i="38"/>
  <c r="AR435" i="38"/>
  <c r="AT435" i="38"/>
  <c r="AR436" i="38"/>
  <c r="AT436" i="38"/>
  <c r="AR437" i="38"/>
  <c r="AT437" i="38"/>
  <c r="AR438" i="38"/>
  <c r="AT438" i="38"/>
  <c r="AR439" i="38"/>
  <c r="AT439" i="38"/>
  <c r="AR440" i="38"/>
  <c r="AT440" i="38"/>
  <c r="AR441" i="38"/>
  <c r="AT441" i="38"/>
  <c r="AR442" i="38"/>
  <c r="AT442" i="38"/>
  <c r="AR443" i="38"/>
  <c r="AT443" i="38"/>
  <c r="AR444" i="38"/>
  <c r="AT444" i="38"/>
  <c r="AR445" i="38"/>
  <c r="AT445" i="38"/>
  <c r="AR446" i="38"/>
  <c r="AT446" i="38"/>
  <c r="AR447" i="38"/>
  <c r="AT447" i="38"/>
  <c r="AR448" i="38"/>
  <c r="AT448" i="38"/>
  <c r="AR449" i="38"/>
  <c r="AT449" i="38"/>
  <c r="AR450" i="38"/>
  <c r="AT450" i="38"/>
  <c r="AR451" i="38"/>
  <c r="AT451" i="38"/>
  <c r="AR452" i="38"/>
  <c r="AT452" i="38"/>
  <c r="AR453" i="38"/>
  <c r="AT453" i="38"/>
  <c r="AR454" i="38"/>
  <c r="AT454" i="38"/>
  <c r="AR455" i="38"/>
  <c r="AT455" i="38"/>
  <c r="AR456" i="38"/>
  <c r="AT456" i="38"/>
  <c r="AR457" i="38"/>
  <c r="AT457" i="38"/>
  <c r="AR458" i="38"/>
  <c r="AT458" i="38"/>
  <c r="AR459" i="38"/>
  <c r="AT459" i="38"/>
  <c r="AR460" i="38"/>
  <c r="AT460" i="38"/>
  <c r="AR461" i="38"/>
  <c r="AT461" i="38"/>
  <c r="AR462" i="38"/>
  <c r="AT462" i="38"/>
  <c r="AR463" i="38"/>
  <c r="AT463" i="38"/>
  <c r="AR464" i="38"/>
  <c r="AT464" i="38"/>
  <c r="AR465" i="38"/>
  <c r="AT465" i="38"/>
  <c r="AR466" i="38"/>
  <c r="AT466" i="38"/>
  <c r="AR467" i="38"/>
  <c r="AT467" i="38"/>
  <c r="AR468" i="38"/>
  <c r="AT468" i="38"/>
  <c r="AR469" i="38"/>
  <c r="AT469" i="38"/>
  <c r="AR470" i="38"/>
  <c r="AT470" i="38"/>
  <c r="AR471" i="38"/>
  <c r="AT471" i="38"/>
  <c r="AR472" i="38"/>
  <c r="AT472" i="38"/>
  <c r="AR473" i="38"/>
  <c r="AT473" i="38"/>
  <c r="AR474" i="38"/>
  <c r="AT474" i="38"/>
  <c r="AR475" i="38"/>
  <c r="AT475" i="38"/>
  <c r="AR476" i="38"/>
  <c r="AT476" i="38"/>
  <c r="AR477" i="38"/>
  <c r="AT477" i="38"/>
  <c r="AR478" i="38"/>
  <c r="AT478" i="38"/>
  <c r="AR479" i="38"/>
  <c r="AT479" i="38"/>
  <c r="AR480" i="38"/>
  <c r="AT480" i="38"/>
  <c r="AR481" i="38"/>
  <c r="AT481" i="38"/>
  <c r="AR482" i="38"/>
  <c r="AT482" i="38"/>
  <c r="AR483" i="38"/>
  <c r="AT483" i="38"/>
  <c r="AR484" i="38"/>
  <c r="AT484" i="38"/>
  <c r="AR485" i="38"/>
  <c r="AT485" i="38"/>
  <c r="AR486" i="38"/>
  <c r="AT486" i="38"/>
  <c r="AR487" i="38"/>
  <c r="AT487" i="38"/>
  <c r="AR488" i="38"/>
  <c r="AT488" i="38"/>
  <c r="AR489" i="38"/>
  <c r="AT489" i="38"/>
  <c r="AR490" i="38"/>
  <c r="AT490" i="38"/>
  <c r="AR491" i="38"/>
  <c r="AT491" i="38"/>
  <c r="AR492" i="38"/>
  <c r="AT492" i="38"/>
  <c r="AR493" i="38"/>
  <c r="AT493" i="38"/>
  <c r="AR494" i="38"/>
  <c r="AT494" i="38"/>
  <c r="AR495" i="38"/>
  <c r="AT495" i="38"/>
  <c r="AR496" i="38"/>
  <c r="AT496" i="38"/>
  <c r="AR497" i="38"/>
  <c r="AT497" i="38"/>
  <c r="AR498" i="38"/>
  <c r="AT498" i="38"/>
  <c r="AR499" i="38"/>
  <c r="AT499" i="38"/>
  <c r="AR500" i="38"/>
  <c r="AT500" i="38"/>
  <c r="AR501" i="38"/>
  <c r="AT501" i="38"/>
  <c r="AR502" i="38"/>
  <c r="AT502" i="38"/>
  <c r="AR503" i="38"/>
  <c r="AT503" i="38"/>
  <c r="AR504" i="38"/>
  <c r="AT504" i="38"/>
  <c r="AR505" i="38"/>
  <c r="AT505" i="38"/>
  <c r="AR506" i="38"/>
  <c r="AT506" i="38"/>
  <c r="AR507" i="38"/>
  <c r="AT507" i="38"/>
  <c r="AR508" i="38"/>
  <c r="AT508" i="38"/>
  <c r="AR509" i="38"/>
  <c r="AT509" i="38"/>
  <c r="AR510" i="38"/>
  <c r="AT510" i="38"/>
  <c r="AR511" i="38"/>
  <c r="AT511" i="38"/>
  <c r="AR512" i="38"/>
  <c r="AT512" i="38"/>
  <c r="AR513" i="38"/>
  <c r="AT513" i="38"/>
  <c r="AR514" i="38"/>
  <c r="AT514" i="38"/>
  <c r="AR515" i="38"/>
  <c r="AT515" i="38"/>
  <c r="AR516" i="38"/>
  <c r="AT516" i="38"/>
  <c r="AR517" i="38"/>
  <c r="AT517" i="38"/>
  <c r="AR518" i="38"/>
  <c r="AT518" i="38"/>
  <c r="AR519" i="38"/>
  <c r="AT519" i="38"/>
  <c r="AR520" i="38"/>
  <c r="AT520" i="38"/>
  <c r="AR521" i="38"/>
  <c r="AT521" i="38"/>
  <c r="AR522" i="38"/>
  <c r="AT522" i="38"/>
  <c r="AR523" i="38"/>
  <c r="AT523" i="38"/>
  <c r="AR524" i="38"/>
  <c r="AT524" i="38"/>
  <c r="AR525" i="38"/>
  <c r="AT525" i="38"/>
  <c r="AR526" i="38"/>
  <c r="AT526" i="38"/>
  <c r="AR527" i="38"/>
  <c r="AT527" i="38"/>
  <c r="AR528" i="38"/>
  <c r="AT528" i="38"/>
  <c r="AR529" i="38"/>
  <c r="AT529" i="38"/>
  <c r="AR530" i="38"/>
  <c r="AT530" i="38"/>
  <c r="AR531" i="38"/>
  <c r="AT531" i="38"/>
  <c r="AR532" i="38"/>
  <c r="AT532" i="38"/>
  <c r="AR533" i="38"/>
  <c r="AT533" i="38"/>
  <c r="AR534" i="38"/>
  <c r="AT534" i="38"/>
  <c r="AR535" i="38"/>
  <c r="AT535" i="38"/>
  <c r="AR536" i="38"/>
  <c r="AT536" i="38"/>
  <c r="AR537" i="38"/>
  <c r="AT537" i="38"/>
  <c r="AR538" i="38"/>
  <c r="AT538" i="38"/>
  <c r="AR539" i="38"/>
  <c r="AT539" i="38"/>
  <c r="AR540" i="38"/>
  <c r="AT540" i="38"/>
  <c r="AR541" i="38"/>
  <c r="AT541" i="38"/>
  <c r="AR542" i="38"/>
  <c r="AT542" i="38"/>
  <c r="AR543" i="38"/>
  <c r="AT543" i="38"/>
  <c r="AR544" i="38"/>
  <c r="AT544" i="38"/>
  <c r="AR545" i="38"/>
  <c r="AT545" i="38"/>
  <c r="AR546" i="38"/>
  <c r="AT546" i="38"/>
  <c r="AR547" i="38"/>
  <c r="AT547" i="38"/>
  <c r="AR548" i="38"/>
  <c r="AT548" i="38"/>
  <c r="AR549" i="38"/>
  <c r="AT549" i="38"/>
  <c r="AR550" i="38"/>
  <c r="AT550" i="38"/>
  <c r="AR551" i="38"/>
  <c r="AT551" i="38"/>
  <c r="AR552" i="38"/>
  <c r="AT552" i="38"/>
  <c r="AR553" i="38"/>
  <c r="AT553" i="38"/>
  <c r="AR554" i="38"/>
  <c r="AT554" i="38"/>
  <c r="AR555" i="38"/>
  <c r="AT555" i="38"/>
  <c r="AR556" i="38"/>
  <c r="AT556" i="38"/>
  <c r="AR557" i="38"/>
  <c r="AT557" i="38"/>
  <c r="AR558" i="38"/>
  <c r="AT558" i="38"/>
  <c r="AR559" i="38"/>
  <c r="AT559" i="38"/>
  <c r="AR560" i="38"/>
  <c r="AT560" i="38"/>
  <c r="AR561" i="38"/>
  <c r="AT561" i="38"/>
  <c r="AR562" i="38"/>
  <c r="AT562" i="38"/>
  <c r="AR563" i="38"/>
  <c r="AT563" i="38"/>
  <c r="AR564" i="38"/>
  <c r="AT564" i="38"/>
  <c r="AR565" i="38"/>
  <c r="AT565" i="38"/>
  <c r="AR566" i="38"/>
  <c r="AT566" i="38"/>
  <c r="AR567" i="38"/>
  <c r="AT567" i="38"/>
  <c r="AR568" i="38"/>
  <c r="AT568" i="38"/>
  <c r="AR569" i="38"/>
  <c r="AT569" i="38"/>
  <c r="AR570" i="38"/>
  <c r="AT570" i="38"/>
  <c r="AR571" i="38"/>
  <c r="AT571" i="38"/>
  <c r="AR572" i="38"/>
  <c r="AT572" i="38"/>
  <c r="AR573" i="38"/>
  <c r="AT573" i="38"/>
  <c r="AR574" i="38"/>
  <c r="AT574" i="38"/>
  <c r="AR575" i="38"/>
  <c r="AT575" i="38"/>
  <c r="AR576" i="38"/>
  <c r="AT576" i="38"/>
  <c r="AR577" i="38"/>
  <c r="AT577" i="38"/>
  <c r="AR578" i="38"/>
  <c r="AT578" i="38"/>
  <c r="AR579" i="38"/>
  <c r="AT579" i="38"/>
  <c r="AR580" i="38"/>
  <c r="AT580" i="38"/>
  <c r="AR581" i="38"/>
  <c r="AT581" i="38"/>
  <c r="AR582" i="38"/>
  <c r="AT582" i="38"/>
  <c r="AR583" i="38"/>
  <c r="AT583" i="38"/>
  <c r="AR584" i="38"/>
  <c r="AT584" i="38"/>
  <c r="AR585" i="38"/>
  <c r="AT585" i="38"/>
  <c r="AR586" i="38"/>
  <c r="AT586" i="38"/>
  <c r="AR587" i="38"/>
  <c r="AT587" i="38"/>
  <c r="AR588" i="38"/>
  <c r="AT588" i="38"/>
  <c r="AR589" i="38"/>
  <c r="AT589" i="38"/>
  <c r="AR590" i="38"/>
  <c r="AT590" i="38"/>
  <c r="AR591" i="38"/>
  <c r="AT591" i="38"/>
  <c r="AR592" i="38"/>
  <c r="AT592" i="38"/>
  <c r="AR593" i="38"/>
  <c r="AT593" i="38"/>
  <c r="AR594" i="38"/>
  <c r="AT594" i="38"/>
  <c r="AR595" i="38"/>
  <c r="AT595" i="38"/>
  <c r="AR596" i="38"/>
  <c r="AT596" i="38"/>
  <c r="AR597" i="38"/>
  <c r="AT597" i="38"/>
  <c r="AR598" i="38"/>
  <c r="AT598" i="38"/>
  <c r="AR599" i="38"/>
  <c r="AT599" i="38"/>
  <c r="AR600" i="38"/>
  <c r="AT600" i="38"/>
  <c r="AR601" i="38"/>
  <c r="AT601" i="38"/>
  <c r="AR602" i="38"/>
  <c r="AT602" i="38"/>
  <c r="AR603" i="38"/>
  <c r="AT603" i="38"/>
  <c r="AR604" i="38"/>
  <c r="AT604" i="38"/>
  <c r="AR605" i="38"/>
  <c r="AT605" i="38"/>
  <c r="AR606" i="38"/>
  <c r="AT606" i="38"/>
  <c r="AR607" i="38"/>
  <c r="AT607" i="38"/>
  <c r="AR608" i="38"/>
  <c r="AT608" i="38"/>
  <c r="AR609" i="38"/>
  <c r="AT609" i="38"/>
  <c r="AR610" i="38"/>
  <c r="AT610" i="38"/>
  <c r="AR611" i="38"/>
  <c r="AT611" i="38"/>
  <c r="AR612" i="38"/>
  <c r="AT612" i="38"/>
  <c r="AR613" i="38"/>
  <c r="AT613" i="38"/>
  <c r="AR614" i="38"/>
  <c r="AT614" i="38"/>
  <c r="AR615" i="38"/>
  <c r="AT615" i="38"/>
  <c r="AR616" i="38"/>
  <c r="AT616" i="38"/>
  <c r="AR617" i="38"/>
  <c r="AT617" i="38"/>
  <c r="AR618" i="38"/>
  <c r="AT618" i="38"/>
  <c r="AR619" i="38"/>
  <c r="AT619" i="38"/>
  <c r="AR620" i="38"/>
  <c r="AT620" i="38"/>
  <c r="AR621" i="38"/>
  <c r="AT621" i="38"/>
  <c r="AR622" i="38"/>
  <c r="AT622" i="38"/>
  <c r="AR623" i="38"/>
  <c r="AT623" i="38"/>
  <c r="AR624" i="38"/>
  <c r="AT624" i="38"/>
  <c r="AR625" i="38"/>
  <c r="AT625" i="38"/>
  <c r="AR626" i="38"/>
  <c r="AT626" i="38"/>
  <c r="AR627" i="38"/>
  <c r="AT627" i="38"/>
  <c r="AR628" i="38"/>
  <c r="AT628" i="38"/>
  <c r="AR629" i="38"/>
  <c r="AT629" i="38"/>
  <c r="AR630" i="38"/>
  <c r="AT630" i="38"/>
  <c r="AR631" i="38"/>
  <c r="AT631" i="38"/>
  <c r="AR632" i="38"/>
  <c r="AT632" i="38"/>
  <c r="AR633" i="38"/>
  <c r="AT633" i="38"/>
  <c r="AR634" i="38"/>
  <c r="AT634" i="38"/>
  <c r="AR635" i="38"/>
  <c r="AT635" i="38"/>
  <c r="AR636" i="38"/>
  <c r="AT636" i="38"/>
  <c r="EJ482" i="38" l="1"/>
  <c r="EN482" i="38"/>
  <c r="EJ478" i="38"/>
  <c r="EN478" i="38"/>
  <c r="EJ474" i="38"/>
  <c r="EN474" i="38"/>
  <c r="EJ470" i="38"/>
  <c r="EN470" i="38"/>
  <c r="EJ466" i="38"/>
  <c r="EN466" i="38"/>
  <c r="EJ462" i="38"/>
  <c r="EN462" i="38"/>
  <c r="EJ458" i="38"/>
  <c r="EN458" i="38"/>
  <c r="EJ454" i="38"/>
  <c r="EN454" i="38"/>
  <c r="EJ450" i="38"/>
  <c r="EN450" i="38"/>
  <c r="EJ446" i="38"/>
  <c r="EN446" i="38"/>
  <c r="EJ438" i="38"/>
  <c r="EN438" i="38"/>
  <c r="EJ434" i="38"/>
  <c r="EN434" i="38"/>
  <c r="EJ430" i="38"/>
  <c r="EN430" i="38"/>
  <c r="EJ426" i="38"/>
  <c r="EN426" i="38"/>
  <c r="EJ422" i="38"/>
  <c r="EN422" i="38"/>
  <c r="EN387" i="38"/>
  <c r="EJ387" i="38"/>
  <c r="EO385" i="38"/>
  <c r="EM385" i="38"/>
  <c r="EM636" i="38"/>
  <c r="EM635" i="38"/>
  <c r="EM634" i="38"/>
  <c r="EM633" i="38"/>
  <c r="EM632" i="38"/>
  <c r="EM631" i="38"/>
  <c r="EM630" i="38"/>
  <c r="EM629" i="38"/>
  <c r="EM628" i="38"/>
  <c r="EM627" i="38"/>
  <c r="EM626" i="38"/>
  <c r="EM625" i="38"/>
  <c r="EM624" i="38"/>
  <c r="EM623" i="38"/>
  <c r="EM622" i="38"/>
  <c r="EM621" i="38"/>
  <c r="EM620" i="38"/>
  <c r="EM619" i="38"/>
  <c r="EM618" i="38"/>
  <c r="EM617" i="38"/>
  <c r="EM616" i="38"/>
  <c r="EM615" i="38"/>
  <c r="EM614" i="38"/>
  <c r="EM613" i="38"/>
  <c r="EM612" i="38"/>
  <c r="EM611" i="38"/>
  <c r="EM610" i="38"/>
  <c r="EM609" i="38"/>
  <c r="EM608" i="38"/>
  <c r="EM607" i="38"/>
  <c r="EM606" i="38"/>
  <c r="EM605" i="38"/>
  <c r="EM604" i="38"/>
  <c r="EM603" i="38"/>
  <c r="EM602" i="38"/>
  <c r="EM601" i="38"/>
  <c r="EM600" i="38"/>
  <c r="EM599" i="38"/>
  <c r="EM598" i="38"/>
  <c r="EM597" i="38"/>
  <c r="EM596" i="38"/>
  <c r="EM595" i="38"/>
  <c r="EM594" i="38"/>
  <c r="EM593" i="38"/>
  <c r="EM592" i="38"/>
  <c r="EM591" i="38"/>
  <c r="EM590" i="38"/>
  <c r="EM589" i="38"/>
  <c r="EM588" i="38"/>
  <c r="EM587" i="38"/>
  <c r="EM586" i="38"/>
  <c r="EM585" i="38"/>
  <c r="EM584" i="38"/>
  <c r="EM583" i="38"/>
  <c r="EM582" i="38"/>
  <c r="EM581" i="38"/>
  <c r="EM580" i="38"/>
  <c r="EM579" i="38"/>
  <c r="EM578" i="38"/>
  <c r="EM577" i="38"/>
  <c r="EM576" i="38"/>
  <c r="EM575" i="38"/>
  <c r="EM574" i="38"/>
  <c r="EM573" i="38"/>
  <c r="EM572" i="38"/>
  <c r="EM571" i="38"/>
  <c r="EM570" i="38"/>
  <c r="EM569" i="38"/>
  <c r="EM568" i="38"/>
  <c r="EM567" i="38"/>
  <c r="EM566" i="38"/>
  <c r="EM565" i="38"/>
  <c r="EM564" i="38"/>
  <c r="EM563" i="38"/>
  <c r="EM562" i="38"/>
  <c r="EM561" i="38"/>
  <c r="EM560" i="38"/>
  <c r="EM559" i="38"/>
  <c r="EM558" i="38"/>
  <c r="EM557" i="38"/>
  <c r="EM556" i="38"/>
  <c r="EM555" i="38"/>
  <c r="EM554" i="38"/>
  <c r="EM553" i="38"/>
  <c r="EO481" i="38"/>
  <c r="EO477" i="38"/>
  <c r="EO473" i="38"/>
  <c r="EO469" i="38"/>
  <c r="EO465" i="38"/>
  <c r="EO461" i="38"/>
  <c r="EO457" i="38"/>
  <c r="EO453" i="38"/>
  <c r="EO449" i="38"/>
  <c r="EO445" i="38"/>
  <c r="EO441" i="38"/>
  <c r="EN399" i="38"/>
  <c r="EJ399" i="38"/>
  <c r="EO397" i="38"/>
  <c r="EM397" i="38"/>
  <c r="EJ340" i="38"/>
  <c r="EN340" i="38"/>
  <c r="EJ155" i="38"/>
  <c r="EN155" i="38"/>
  <c r="EN486" i="38"/>
  <c r="EJ483" i="38"/>
  <c r="EN483" i="38"/>
  <c r="EJ479" i="38"/>
  <c r="EN479" i="38"/>
  <c r="EJ475" i="38"/>
  <c r="EN475" i="38"/>
  <c r="EJ471" i="38"/>
  <c r="EN471" i="38"/>
  <c r="EJ467" i="38"/>
  <c r="EN467" i="38"/>
  <c r="EJ463" i="38"/>
  <c r="EN463" i="38"/>
  <c r="EJ459" i="38"/>
  <c r="EN459" i="38"/>
  <c r="EJ455" i="38"/>
  <c r="EN455" i="38"/>
  <c r="EJ451" i="38"/>
  <c r="EN451" i="38"/>
  <c r="EJ447" i="38"/>
  <c r="EN447" i="38"/>
  <c r="EJ443" i="38"/>
  <c r="EN443" i="38"/>
  <c r="EJ439" i="38"/>
  <c r="EN439" i="38"/>
  <c r="EJ435" i="38"/>
  <c r="EN435" i="38"/>
  <c r="EJ431" i="38"/>
  <c r="EN431" i="38"/>
  <c r="EJ427" i="38"/>
  <c r="EN427" i="38"/>
  <c r="EJ423" i="38"/>
  <c r="EN423" i="38"/>
  <c r="EJ419" i="38"/>
  <c r="EN419" i="38"/>
  <c r="EO417" i="38"/>
  <c r="EM417" i="38"/>
  <c r="EN411" i="38"/>
  <c r="EJ411" i="38"/>
  <c r="EO409" i="38"/>
  <c r="EM409" i="38"/>
  <c r="EM398" i="38"/>
  <c r="EN379" i="38"/>
  <c r="EJ379" i="38"/>
  <c r="EO377" i="38"/>
  <c r="EM377" i="38"/>
  <c r="EO488" i="38"/>
  <c r="EN487" i="38"/>
  <c r="EN391" i="38"/>
  <c r="EJ391" i="38"/>
  <c r="EO389" i="38"/>
  <c r="EM389" i="38"/>
  <c r="EM378" i="38"/>
  <c r="EO489" i="38"/>
  <c r="EJ484" i="38"/>
  <c r="EN484" i="38"/>
  <c r="EJ480" i="38"/>
  <c r="EN480" i="38"/>
  <c r="EJ476" i="38"/>
  <c r="EN476" i="38"/>
  <c r="EJ472" i="38"/>
  <c r="EN472" i="38"/>
  <c r="EJ468" i="38"/>
  <c r="EN468" i="38"/>
  <c r="EJ464" i="38"/>
  <c r="EN464" i="38"/>
  <c r="EJ460" i="38"/>
  <c r="EN460" i="38"/>
  <c r="EJ456" i="38"/>
  <c r="EN456" i="38"/>
  <c r="EJ452" i="38"/>
  <c r="EN452" i="38"/>
  <c r="EJ448" i="38"/>
  <c r="EN448" i="38"/>
  <c r="EJ444" i="38"/>
  <c r="EN444" i="38"/>
  <c r="EJ440" i="38"/>
  <c r="EN440" i="38"/>
  <c r="EJ436" i="38"/>
  <c r="EN436" i="38"/>
  <c r="EJ432" i="38"/>
  <c r="EN432" i="38"/>
  <c r="EJ428" i="38"/>
  <c r="EN428" i="38"/>
  <c r="EJ424" i="38"/>
  <c r="EN424" i="38"/>
  <c r="EJ420" i="38"/>
  <c r="EN420" i="38"/>
  <c r="EN403" i="38"/>
  <c r="EJ403" i="38"/>
  <c r="EO401" i="38"/>
  <c r="EM401" i="38"/>
  <c r="EJ442" i="38"/>
  <c r="EN442" i="38"/>
  <c r="EN489" i="38"/>
  <c r="EO483" i="38"/>
  <c r="EO479" i="38"/>
  <c r="EO475" i="38"/>
  <c r="EO471" i="38"/>
  <c r="EO467" i="38"/>
  <c r="EO463" i="38"/>
  <c r="EO459" i="38"/>
  <c r="EO455" i="38"/>
  <c r="EO451" i="38"/>
  <c r="EO447" i="38"/>
  <c r="EO443" i="38"/>
  <c r="EM402" i="38"/>
  <c r="EN383" i="38"/>
  <c r="EJ383" i="38"/>
  <c r="EO381" i="38"/>
  <c r="EM381" i="38"/>
  <c r="EJ481" i="38"/>
  <c r="EN481" i="38"/>
  <c r="EJ477" i="38"/>
  <c r="EN477" i="38"/>
  <c r="EJ473" i="38"/>
  <c r="EN473" i="38"/>
  <c r="EJ469" i="38"/>
  <c r="EN469" i="38"/>
  <c r="EJ465" i="38"/>
  <c r="EN465" i="38"/>
  <c r="EJ461" i="38"/>
  <c r="EN461" i="38"/>
  <c r="EJ457" i="38"/>
  <c r="EN457" i="38"/>
  <c r="EJ453" i="38"/>
  <c r="EN453" i="38"/>
  <c r="EJ449" i="38"/>
  <c r="EN449" i="38"/>
  <c r="EJ445" i="38"/>
  <c r="EN445" i="38"/>
  <c r="EJ441" i="38"/>
  <c r="EN441" i="38"/>
  <c r="EJ437" i="38"/>
  <c r="EN437" i="38"/>
  <c r="EJ433" i="38"/>
  <c r="EN433" i="38"/>
  <c r="EJ429" i="38"/>
  <c r="EN429" i="38"/>
  <c r="EJ425" i="38"/>
  <c r="EN425" i="38"/>
  <c r="EJ421" i="38"/>
  <c r="EN421" i="38"/>
  <c r="EN415" i="38"/>
  <c r="EJ415" i="38"/>
  <c r="EO413" i="38"/>
  <c r="EM413" i="38"/>
  <c r="EN395" i="38"/>
  <c r="EJ395" i="38"/>
  <c r="EO393" i="38"/>
  <c r="EM393" i="38"/>
  <c r="EM382" i="38"/>
  <c r="EN491" i="38"/>
  <c r="EN407" i="38"/>
  <c r="EJ407" i="38"/>
  <c r="EO405" i="38"/>
  <c r="EM405" i="38"/>
  <c r="EO373" i="38"/>
  <c r="EM373" i="38"/>
  <c r="EJ417" i="38"/>
  <c r="EJ413" i="38"/>
  <c r="EJ409" i="38"/>
  <c r="EJ405" i="38"/>
  <c r="EJ401" i="38"/>
  <c r="EJ397" i="38"/>
  <c r="EJ393" i="38"/>
  <c r="EJ389" i="38"/>
  <c r="EJ385" i="38"/>
  <c r="EJ381" i="38"/>
  <c r="EJ377" i="38"/>
  <c r="EM341" i="38"/>
  <c r="EO341" i="38"/>
  <c r="EN242" i="38"/>
  <c r="EJ242" i="38"/>
  <c r="EM416" i="38"/>
  <c r="EM412" i="38"/>
  <c r="EJ251" i="38"/>
  <c r="EN251" i="38"/>
  <c r="EJ375" i="38"/>
  <c r="EJ344" i="38"/>
  <c r="EN344" i="38"/>
  <c r="EJ264" i="38"/>
  <c r="EN264" i="38"/>
  <c r="EM345" i="38"/>
  <c r="EO345" i="38"/>
  <c r="EM332" i="38"/>
  <c r="EO332" i="38"/>
  <c r="EM330" i="38"/>
  <c r="EO330" i="38"/>
  <c r="EM328" i="38"/>
  <c r="EO328" i="38"/>
  <c r="EM326" i="38"/>
  <c r="EO326" i="38"/>
  <c r="EM324" i="38"/>
  <c r="EO324" i="38"/>
  <c r="EM322" i="38"/>
  <c r="EO322" i="38"/>
  <c r="EM320" i="38"/>
  <c r="EO320" i="38"/>
  <c r="EM318" i="38"/>
  <c r="EO318" i="38"/>
  <c r="EM316" i="38"/>
  <c r="EO316" i="38"/>
  <c r="EM314" i="38"/>
  <c r="EO314" i="38"/>
  <c r="EM312" i="38"/>
  <c r="EO312" i="38"/>
  <c r="EM310" i="38"/>
  <c r="EO310" i="38"/>
  <c r="EM308" i="38"/>
  <c r="EO308" i="38"/>
  <c r="EM306" i="38"/>
  <c r="EO306" i="38"/>
  <c r="EM304" i="38"/>
  <c r="EO304" i="38"/>
  <c r="EM302" i="38"/>
  <c r="EO302" i="38"/>
  <c r="EM300" i="38"/>
  <c r="EO300" i="38"/>
  <c r="EM298" i="38"/>
  <c r="EO298" i="38"/>
  <c r="EM296" i="38"/>
  <c r="EO296" i="38"/>
  <c r="EJ277" i="38"/>
  <c r="EN277" i="38"/>
  <c r="EM261" i="38"/>
  <c r="EO261" i="38"/>
  <c r="EM153" i="38"/>
  <c r="EO153" i="38"/>
  <c r="EM87" i="38"/>
  <c r="EO87" i="38"/>
  <c r="EN336" i="38"/>
  <c r="EJ275" i="38"/>
  <c r="EN275" i="38"/>
  <c r="EJ268" i="38"/>
  <c r="EN268" i="38"/>
  <c r="EO250" i="38"/>
  <c r="EM161" i="38"/>
  <c r="EO161" i="38"/>
  <c r="EO337" i="38"/>
  <c r="EJ332" i="38"/>
  <c r="EN332" i="38"/>
  <c r="EJ330" i="38"/>
  <c r="EN330" i="38"/>
  <c r="EJ328" i="38"/>
  <c r="EN328" i="38"/>
  <c r="EJ326" i="38"/>
  <c r="EN326" i="38"/>
  <c r="EJ324" i="38"/>
  <c r="EN324" i="38"/>
  <c r="EJ322" i="38"/>
  <c r="EN322" i="38"/>
  <c r="EJ320" i="38"/>
  <c r="EN320" i="38"/>
  <c r="EJ318" i="38"/>
  <c r="EN318" i="38"/>
  <c r="EJ316" i="38"/>
  <c r="EN316" i="38"/>
  <c r="EJ314" i="38"/>
  <c r="EN314" i="38"/>
  <c r="EJ312" i="38"/>
  <c r="EN312" i="38"/>
  <c r="EJ310" i="38"/>
  <c r="EN310" i="38"/>
  <c r="EJ308" i="38"/>
  <c r="EN308" i="38"/>
  <c r="EJ306" i="38"/>
  <c r="EN306" i="38"/>
  <c r="EJ304" i="38"/>
  <c r="EN304" i="38"/>
  <c r="EJ302" i="38"/>
  <c r="EN302" i="38"/>
  <c r="EJ300" i="38"/>
  <c r="EN300" i="38"/>
  <c r="EJ298" i="38"/>
  <c r="EN298" i="38"/>
  <c r="EJ296" i="38"/>
  <c r="EN296" i="38"/>
  <c r="EJ294" i="38"/>
  <c r="EN294" i="38"/>
  <c r="EJ292" i="38"/>
  <c r="EN292" i="38"/>
  <c r="EJ290" i="38"/>
  <c r="EN290" i="38"/>
  <c r="EJ288" i="38"/>
  <c r="EN288" i="38"/>
  <c r="EJ286" i="38"/>
  <c r="EN286" i="38"/>
  <c r="EJ284" i="38"/>
  <c r="EN284" i="38"/>
  <c r="EJ282" i="38"/>
  <c r="EN282" i="38"/>
  <c r="EJ280" i="38"/>
  <c r="EN280" i="38"/>
  <c r="EJ278" i="38"/>
  <c r="EN278" i="38"/>
  <c r="EO270" i="38"/>
  <c r="EM269" i="38"/>
  <c r="EO269" i="38"/>
  <c r="EJ163" i="38"/>
  <c r="EN163" i="38"/>
  <c r="EN345" i="38"/>
  <c r="EN341" i="38"/>
  <c r="EN337" i="38"/>
  <c r="EJ259" i="38"/>
  <c r="EN259" i="38"/>
  <c r="EJ252" i="38"/>
  <c r="EN252" i="38"/>
  <c r="EN246" i="38"/>
  <c r="EJ246" i="38"/>
  <c r="EO342" i="38"/>
  <c r="EO338" i="38"/>
  <c r="EO334" i="38"/>
  <c r="EM331" i="38"/>
  <c r="EO331" i="38"/>
  <c r="EM329" i="38"/>
  <c r="EO329" i="38"/>
  <c r="EM327" i="38"/>
  <c r="EO327" i="38"/>
  <c r="EM325" i="38"/>
  <c r="EO325" i="38"/>
  <c r="EM323" i="38"/>
  <c r="EO323" i="38"/>
  <c r="EM321" i="38"/>
  <c r="EO321" i="38"/>
  <c r="EM319" i="38"/>
  <c r="EO319" i="38"/>
  <c r="EM317" i="38"/>
  <c r="EO317" i="38"/>
  <c r="EM315" i="38"/>
  <c r="EO315" i="38"/>
  <c r="EM313" i="38"/>
  <c r="EO313" i="38"/>
  <c r="EM311" i="38"/>
  <c r="EO311" i="38"/>
  <c r="EM309" i="38"/>
  <c r="EO309" i="38"/>
  <c r="EM307" i="38"/>
  <c r="EO307" i="38"/>
  <c r="EM305" i="38"/>
  <c r="EO305" i="38"/>
  <c r="EM303" i="38"/>
  <c r="EO303" i="38"/>
  <c r="EM301" i="38"/>
  <c r="EO301" i="38"/>
  <c r="EM299" i="38"/>
  <c r="EO299" i="38"/>
  <c r="EM297" i="38"/>
  <c r="EO297" i="38"/>
  <c r="EJ276" i="38"/>
  <c r="EN276" i="38"/>
  <c r="EO258" i="38"/>
  <c r="EO254" i="38"/>
  <c r="EM253" i="38"/>
  <c r="EO253" i="38"/>
  <c r="EO239" i="38"/>
  <c r="EN238" i="38"/>
  <c r="EJ238" i="38"/>
  <c r="EJ333" i="38"/>
  <c r="EN333" i="38"/>
  <c r="EJ331" i="38"/>
  <c r="EN331" i="38"/>
  <c r="EJ329" i="38"/>
  <c r="EN329" i="38"/>
  <c r="EJ327" i="38"/>
  <c r="EN327" i="38"/>
  <c r="EJ325" i="38"/>
  <c r="EN325" i="38"/>
  <c r="EJ323" i="38"/>
  <c r="EN323" i="38"/>
  <c r="EJ321" i="38"/>
  <c r="EN321" i="38"/>
  <c r="EJ319" i="38"/>
  <c r="EN319" i="38"/>
  <c r="EJ317" i="38"/>
  <c r="EN317" i="38"/>
  <c r="EJ315" i="38"/>
  <c r="EN315" i="38"/>
  <c r="EJ313" i="38"/>
  <c r="EN313" i="38"/>
  <c r="EJ311" i="38"/>
  <c r="EN311" i="38"/>
  <c r="EJ309" i="38"/>
  <c r="EN309" i="38"/>
  <c r="EJ307" i="38"/>
  <c r="EN307" i="38"/>
  <c r="EJ305" i="38"/>
  <c r="EN305" i="38"/>
  <c r="EJ303" i="38"/>
  <c r="EN303" i="38"/>
  <c r="EJ301" i="38"/>
  <c r="EN301" i="38"/>
  <c r="EJ299" i="38"/>
  <c r="EN299" i="38"/>
  <c r="EJ297" i="38"/>
  <c r="EN297" i="38"/>
  <c r="EJ295" i="38"/>
  <c r="EN295" i="38"/>
  <c r="EJ293" i="38"/>
  <c r="EN293" i="38"/>
  <c r="EJ291" i="38"/>
  <c r="EN291" i="38"/>
  <c r="EJ289" i="38"/>
  <c r="EN289" i="38"/>
  <c r="EJ287" i="38"/>
  <c r="EN287" i="38"/>
  <c r="EJ285" i="38"/>
  <c r="EN285" i="38"/>
  <c r="EJ283" i="38"/>
  <c r="EN283" i="38"/>
  <c r="EJ281" i="38"/>
  <c r="EN281" i="38"/>
  <c r="EJ279" i="38"/>
  <c r="EN279" i="38"/>
  <c r="EJ267" i="38"/>
  <c r="EN267" i="38"/>
  <c r="EJ260" i="38"/>
  <c r="EN260" i="38"/>
  <c r="EO295" i="38"/>
  <c r="EO294" i="38"/>
  <c r="EO293" i="38"/>
  <c r="EO292" i="38"/>
  <c r="EO291" i="38"/>
  <c r="EO290" i="38"/>
  <c r="EO289" i="38"/>
  <c r="EO288" i="38"/>
  <c r="EO287" i="38"/>
  <c r="EO286" i="38"/>
  <c r="EO285" i="38"/>
  <c r="EO284" i="38"/>
  <c r="EO283" i="38"/>
  <c r="EO282" i="38"/>
  <c r="EO281" i="38"/>
  <c r="EO280" i="38"/>
  <c r="EO279" i="38"/>
  <c r="EO278" i="38"/>
  <c r="EN274" i="38"/>
  <c r="EN266" i="38"/>
  <c r="EN258" i="38"/>
  <c r="EN250" i="38"/>
  <c r="EN247" i="38"/>
  <c r="EJ247" i="38"/>
  <c r="EN243" i="38"/>
  <c r="EJ243" i="38"/>
  <c r="EN239" i="38"/>
  <c r="EJ239" i="38"/>
  <c r="EN235" i="38"/>
  <c r="EJ235" i="38"/>
  <c r="EN231" i="38"/>
  <c r="EJ231" i="38"/>
  <c r="EN227" i="38"/>
  <c r="EJ227" i="38"/>
  <c r="EN223" i="38"/>
  <c r="EJ223" i="38"/>
  <c r="EN219" i="38"/>
  <c r="EJ219" i="38"/>
  <c r="EN215" i="38"/>
  <c r="EJ215" i="38"/>
  <c r="EN211" i="38"/>
  <c r="EJ211" i="38"/>
  <c r="EN207" i="38"/>
  <c r="EJ207" i="38"/>
  <c r="EN203" i="38"/>
  <c r="EJ203" i="38"/>
  <c r="EN248" i="38"/>
  <c r="EJ248" i="38"/>
  <c r="EN244" i="38"/>
  <c r="EJ244" i="38"/>
  <c r="EN240" i="38"/>
  <c r="EJ240" i="38"/>
  <c r="EN236" i="38"/>
  <c r="EJ236" i="38"/>
  <c r="EN232" i="38"/>
  <c r="EJ232" i="38"/>
  <c r="EN228" i="38"/>
  <c r="EJ228" i="38"/>
  <c r="EN224" i="38"/>
  <c r="EJ224" i="38"/>
  <c r="EN220" i="38"/>
  <c r="EJ220" i="38"/>
  <c r="EN216" i="38"/>
  <c r="EJ216" i="38"/>
  <c r="EN212" i="38"/>
  <c r="EJ212" i="38"/>
  <c r="EN208" i="38"/>
  <c r="EJ208" i="38"/>
  <c r="EN204" i="38"/>
  <c r="EJ204" i="38"/>
  <c r="EN200" i="38"/>
  <c r="EJ200" i="38"/>
  <c r="EM162" i="38"/>
  <c r="EO162" i="38"/>
  <c r="EJ156" i="38"/>
  <c r="EN156" i="38"/>
  <c r="EM154" i="38"/>
  <c r="EO154" i="38"/>
  <c r="EM149" i="38"/>
  <c r="EO149" i="38"/>
  <c r="EM147" i="38"/>
  <c r="EO147" i="38"/>
  <c r="EM145" i="38"/>
  <c r="EO145" i="38"/>
  <c r="EM143" i="38"/>
  <c r="EO143" i="38"/>
  <c r="EM141" i="38"/>
  <c r="EO141" i="38"/>
  <c r="EM139" i="38"/>
  <c r="EO139" i="38"/>
  <c r="EM137" i="38"/>
  <c r="EO137" i="38"/>
  <c r="EM135" i="38"/>
  <c r="EO135" i="38"/>
  <c r="EM133" i="38"/>
  <c r="EO133" i="38"/>
  <c r="EM131" i="38"/>
  <c r="EO131" i="38"/>
  <c r="EM129" i="38"/>
  <c r="EO129" i="38"/>
  <c r="EM127" i="38"/>
  <c r="EO127" i="38"/>
  <c r="EM125" i="38"/>
  <c r="EO125" i="38"/>
  <c r="EM123" i="38"/>
  <c r="EO123" i="38"/>
  <c r="EM121" i="38"/>
  <c r="EO121" i="38"/>
  <c r="EM119" i="38"/>
  <c r="EO119" i="38"/>
  <c r="EM157" i="38"/>
  <c r="EO157" i="38"/>
  <c r="EN245" i="38"/>
  <c r="EJ245" i="38"/>
  <c r="EN241" i="38"/>
  <c r="EJ241" i="38"/>
  <c r="EN237" i="38"/>
  <c r="EJ237" i="38"/>
  <c r="EN233" i="38"/>
  <c r="EJ233" i="38"/>
  <c r="EN229" i="38"/>
  <c r="EJ229" i="38"/>
  <c r="EN225" i="38"/>
  <c r="EJ225" i="38"/>
  <c r="EN221" i="38"/>
  <c r="EJ221" i="38"/>
  <c r="EN217" i="38"/>
  <c r="EJ217" i="38"/>
  <c r="EN213" i="38"/>
  <c r="EJ213" i="38"/>
  <c r="EN209" i="38"/>
  <c r="EJ209" i="38"/>
  <c r="EN205" i="38"/>
  <c r="EJ205" i="38"/>
  <c r="EN201" i="38"/>
  <c r="EJ201" i="38"/>
  <c r="EN149" i="38"/>
  <c r="EJ149" i="38"/>
  <c r="EN147" i="38"/>
  <c r="EJ147" i="38"/>
  <c r="EN145" i="38"/>
  <c r="EJ145" i="38"/>
  <c r="EN143" i="38"/>
  <c r="EJ143" i="38"/>
  <c r="EN141" i="38"/>
  <c r="EJ141" i="38"/>
  <c r="EN139" i="38"/>
  <c r="EJ139" i="38"/>
  <c r="EN137" i="38"/>
  <c r="EJ137" i="38"/>
  <c r="EN135" i="38"/>
  <c r="EJ135" i="38"/>
  <c r="EN133" i="38"/>
  <c r="EJ133" i="38"/>
  <c r="EN131" i="38"/>
  <c r="EJ131" i="38"/>
  <c r="EN129" i="38"/>
  <c r="EJ129" i="38"/>
  <c r="EN127" i="38"/>
  <c r="EJ127" i="38"/>
  <c r="EN125" i="38"/>
  <c r="EJ125" i="38"/>
  <c r="EN123" i="38"/>
  <c r="EJ123" i="38"/>
  <c r="EN121" i="38"/>
  <c r="EJ121" i="38"/>
  <c r="EN119" i="38"/>
  <c r="EJ119" i="38"/>
  <c r="EN271" i="38"/>
  <c r="EN263" i="38"/>
  <c r="EN255" i="38"/>
  <c r="EN161" i="38"/>
  <c r="EN153" i="38"/>
  <c r="EN234" i="38"/>
  <c r="EJ234" i="38"/>
  <c r="EN230" i="38"/>
  <c r="EJ230" i="38"/>
  <c r="EN226" i="38"/>
  <c r="EJ226" i="38"/>
  <c r="EN222" i="38"/>
  <c r="EJ222" i="38"/>
  <c r="EN218" i="38"/>
  <c r="EJ218" i="38"/>
  <c r="EN214" i="38"/>
  <c r="EJ214" i="38"/>
  <c r="EN210" i="38"/>
  <c r="EJ210" i="38"/>
  <c r="EN206" i="38"/>
  <c r="EJ206" i="38"/>
  <c r="EN202" i="38"/>
  <c r="EJ202" i="38"/>
  <c r="EJ160" i="38"/>
  <c r="EN160" i="38"/>
  <c r="EM158" i="38"/>
  <c r="EO158" i="38"/>
  <c r="EJ152" i="38"/>
  <c r="EN152" i="38"/>
  <c r="EM150" i="38"/>
  <c r="EO150" i="38"/>
  <c r="EM148" i="38"/>
  <c r="EO148" i="38"/>
  <c r="EM146" i="38"/>
  <c r="EO146" i="38"/>
  <c r="EM144" i="38"/>
  <c r="EO144" i="38"/>
  <c r="EN148" i="38"/>
  <c r="EJ148" i="38"/>
  <c r="EN146" i="38"/>
  <c r="EJ146" i="38"/>
  <c r="EN144" i="38"/>
  <c r="EJ144" i="38"/>
  <c r="EN142" i="38"/>
  <c r="EJ142" i="38"/>
  <c r="EN140" i="38"/>
  <c r="EJ140" i="38"/>
  <c r="EN138" i="38"/>
  <c r="EJ138" i="38"/>
  <c r="EN136" i="38"/>
  <c r="EJ136" i="38"/>
  <c r="EN134" i="38"/>
  <c r="EJ134" i="38"/>
  <c r="EN132" i="38"/>
  <c r="EJ132" i="38"/>
  <c r="EN130" i="38"/>
  <c r="EJ130" i="38"/>
  <c r="EN128" i="38"/>
  <c r="EJ128" i="38"/>
  <c r="EN126" i="38"/>
  <c r="EJ126" i="38"/>
  <c r="EN124" i="38"/>
  <c r="EJ124" i="38"/>
  <c r="EN122" i="38"/>
  <c r="EJ122" i="38"/>
  <c r="EN120" i="38"/>
  <c r="EJ120" i="38"/>
  <c r="EJ199" i="38"/>
  <c r="EJ198" i="38"/>
  <c r="EJ197" i="38"/>
  <c r="EJ196" i="38"/>
  <c r="EJ195" i="38"/>
  <c r="EJ194" i="38"/>
  <c r="EJ193" i="38"/>
  <c r="EJ192" i="38"/>
  <c r="EJ191" i="38"/>
  <c r="EJ190" i="38"/>
  <c r="EJ189" i="38"/>
  <c r="EJ188" i="38"/>
  <c r="EJ187" i="38"/>
  <c r="EJ186" i="38"/>
  <c r="EJ185" i="38"/>
  <c r="EJ184" i="38"/>
  <c r="EJ183" i="38"/>
  <c r="EJ182" i="38"/>
  <c r="EJ181" i="38"/>
  <c r="EJ180" i="38"/>
  <c r="EJ179" i="38"/>
  <c r="EJ178" i="38"/>
  <c r="EJ177" i="38"/>
  <c r="EJ176" i="38"/>
  <c r="EJ175" i="38"/>
  <c r="EJ174" i="38"/>
  <c r="EJ173" i="38"/>
  <c r="EJ172" i="38"/>
  <c r="EJ171" i="38"/>
  <c r="EJ170" i="38"/>
  <c r="EJ169" i="38"/>
  <c r="EJ168" i="38"/>
  <c r="EM95" i="38"/>
  <c r="EO95" i="38"/>
  <c r="EJ84" i="38"/>
  <c r="EN84" i="38"/>
  <c r="EO159" i="38"/>
  <c r="EO155" i="38"/>
  <c r="EO151" i="38"/>
  <c r="EJ92" i="38"/>
  <c r="EN92" i="38"/>
  <c r="EM142" i="38"/>
  <c r="EO142" i="38"/>
  <c r="EM140" i="38"/>
  <c r="EO140" i="38"/>
  <c r="EM138" i="38"/>
  <c r="EO138" i="38"/>
  <c r="EM136" i="38"/>
  <c r="EO136" i="38"/>
  <c r="EM134" i="38"/>
  <c r="EO134" i="38"/>
  <c r="EM132" i="38"/>
  <c r="EO132" i="38"/>
  <c r="EM130" i="38"/>
  <c r="EO130" i="38"/>
  <c r="EM128" i="38"/>
  <c r="EO128" i="38"/>
  <c r="EM126" i="38"/>
  <c r="EO126" i="38"/>
  <c r="EM124" i="38"/>
  <c r="EO124" i="38"/>
  <c r="EM122" i="38"/>
  <c r="EO122" i="38"/>
  <c r="EM120" i="38"/>
  <c r="EO120" i="38"/>
  <c r="EJ95" i="38"/>
  <c r="EN42" i="38"/>
  <c r="EN38" i="38"/>
  <c r="EN34" i="38"/>
  <c r="EN18" i="38"/>
  <c r="EJ118" i="38"/>
  <c r="EJ117" i="38"/>
  <c r="EJ116" i="38"/>
  <c r="EJ115" i="38"/>
  <c r="EJ114" i="38"/>
  <c r="EJ113" i="38"/>
  <c r="EJ112" i="38"/>
  <c r="EJ111" i="38"/>
  <c r="EJ110" i="38"/>
  <c r="EJ109" i="38"/>
  <c r="EJ108" i="38"/>
  <c r="EJ107" i="38"/>
  <c r="EJ106" i="38"/>
  <c r="EJ105" i="38"/>
  <c r="EJ104" i="38"/>
  <c r="EJ103" i="38"/>
  <c r="EJ102" i="38"/>
  <c r="EJ101" i="38"/>
  <c r="EJ100" i="38"/>
  <c r="EJ99" i="38"/>
  <c r="EJ98" i="38"/>
  <c r="EJ97" i="38"/>
  <c r="EJ96" i="38"/>
  <c r="EO92" i="38"/>
  <c r="EO84" i="38"/>
  <c r="EO79" i="38"/>
  <c r="EO75" i="38"/>
  <c r="EO71" i="38"/>
  <c r="EO67" i="38"/>
  <c r="EO63" i="38"/>
  <c r="EO59" i="38"/>
  <c r="EO55" i="38"/>
  <c r="EO51" i="38"/>
  <c r="EO47" i="38"/>
  <c r="EO43" i="38"/>
  <c r="EO39" i="38"/>
  <c r="EO35" i="38"/>
  <c r="EN93" i="38"/>
  <c r="EO86" i="38"/>
  <c r="EO80" i="38"/>
  <c r="EO76" i="38"/>
  <c r="EO72" i="38"/>
  <c r="EO68" i="38"/>
  <c r="EO64" i="38"/>
  <c r="EO60" i="38"/>
  <c r="EO56" i="38"/>
  <c r="EO48" i="38"/>
  <c r="EO44" i="38"/>
  <c r="EO118" i="38"/>
  <c r="EO117" i="38"/>
  <c r="EO116" i="38"/>
  <c r="EO115" i="38"/>
  <c r="EO114" i="38"/>
  <c r="EO113" i="38"/>
  <c r="EO112" i="38"/>
  <c r="EO111" i="38"/>
  <c r="EO110" i="38"/>
  <c r="EO109" i="38"/>
  <c r="EO108" i="38"/>
  <c r="EO107" i="38"/>
  <c r="EO106" i="38"/>
  <c r="EO105" i="38"/>
  <c r="EO104" i="38"/>
  <c r="EO103" i="38"/>
  <c r="EO102" i="38"/>
  <c r="EO101" i="38"/>
  <c r="EO100" i="38"/>
  <c r="EO99" i="38"/>
  <c r="EO98" i="38"/>
  <c r="EO97" i="38"/>
  <c r="EN80" i="38"/>
  <c r="EN76" i="38"/>
  <c r="EN72" i="38"/>
  <c r="EN68" i="38"/>
  <c r="EN64" i="38"/>
  <c r="EN60" i="38"/>
  <c r="EN56" i="38"/>
  <c r="EN52" i="38"/>
  <c r="EN28" i="38"/>
  <c r="EN24" i="38"/>
  <c r="EN20" i="38"/>
  <c r="EN12" i="38"/>
  <c r="EO88" i="38"/>
  <c r="EO81" i="38"/>
  <c r="EO77" i="38"/>
  <c r="EO73" i="38"/>
  <c r="EO69" i="38"/>
  <c r="EO65" i="38"/>
  <c r="EO61" i="38"/>
  <c r="EO57" i="38"/>
  <c r="EO53" i="38"/>
  <c r="EO49" i="38"/>
  <c r="EO45" i="38"/>
  <c r="EO41" i="38"/>
  <c r="EO37" i="38"/>
  <c r="EN81" i="38"/>
  <c r="EN77" i="38"/>
  <c r="EN73" i="38"/>
  <c r="EN69" i="38"/>
  <c r="EN65" i="38"/>
  <c r="EN61" i="38"/>
  <c r="EN57" i="38"/>
  <c r="EN53" i="38"/>
  <c r="EN49" i="38"/>
  <c r="EN45" i="38"/>
  <c r="EN41" i="38"/>
  <c r="EN37" i="38"/>
  <c r="EN33" i="38"/>
  <c r="EN29" i="38"/>
  <c r="EN25" i="38"/>
  <c r="EN21" i="38"/>
  <c r="EN17" i="38"/>
  <c r="EN13" i="38"/>
  <c r="W551" i="38"/>
  <c r="W11" i="38"/>
  <c r="W12" i="38"/>
  <c r="W13" i="38"/>
  <c r="W14" i="38"/>
  <c r="W15" i="38"/>
  <c r="W16" i="38"/>
  <c r="W17" i="38"/>
  <c r="W18" i="38"/>
  <c r="W19" i="38"/>
  <c r="W20" i="38"/>
  <c r="W21" i="38"/>
  <c r="W22" i="38"/>
  <c r="W23" i="38"/>
  <c r="W24" i="38"/>
  <c r="W25" i="38"/>
  <c r="W26" i="38"/>
  <c r="W27" i="38"/>
  <c r="W28" i="38"/>
  <c r="W29" i="38"/>
  <c r="W30" i="38"/>
  <c r="W31" i="38"/>
  <c r="W32" i="38"/>
  <c r="W33" i="38"/>
  <c r="W34" i="38"/>
  <c r="W35" i="38"/>
  <c r="W36" i="38"/>
  <c r="W37" i="38"/>
  <c r="W38" i="38"/>
  <c r="W39" i="38"/>
  <c r="W40" i="38"/>
  <c r="W41" i="38"/>
  <c r="W42" i="38"/>
  <c r="W43" i="38"/>
  <c r="W44" i="38"/>
  <c r="W45" i="38"/>
  <c r="W46" i="38"/>
  <c r="W47" i="38"/>
  <c r="W48" i="38"/>
  <c r="W49" i="38"/>
  <c r="W50" i="38"/>
  <c r="W51" i="38"/>
  <c r="W52" i="38"/>
  <c r="W53" i="38"/>
  <c r="W54" i="38"/>
  <c r="W55" i="38"/>
  <c r="W56" i="38"/>
  <c r="W57" i="38"/>
  <c r="W58" i="38"/>
  <c r="W59" i="38"/>
  <c r="W60" i="38"/>
  <c r="W61" i="38"/>
  <c r="W62" i="38"/>
  <c r="W63" i="38"/>
  <c r="W64" i="38"/>
  <c r="W65" i="38"/>
  <c r="W66" i="38"/>
  <c r="W67" i="38"/>
  <c r="W68" i="38"/>
  <c r="W69" i="38"/>
  <c r="W70" i="38"/>
  <c r="W71" i="38"/>
  <c r="W72" i="38"/>
  <c r="W73" i="38"/>
  <c r="W74" i="38"/>
  <c r="W75" i="38"/>
  <c r="W76" i="38"/>
  <c r="W77" i="38"/>
  <c r="W78" i="38"/>
  <c r="W79" i="38"/>
  <c r="W80" i="38"/>
  <c r="W81" i="38"/>
  <c r="W82" i="38"/>
  <c r="W83" i="38"/>
  <c r="W84" i="38"/>
  <c r="W85" i="38"/>
  <c r="W86" i="38"/>
  <c r="W87" i="38"/>
  <c r="W88" i="38"/>
  <c r="W89" i="38"/>
  <c r="W90" i="38"/>
  <c r="W91" i="38"/>
  <c r="W92" i="38"/>
  <c r="W93" i="38"/>
  <c r="W94" i="38"/>
  <c r="W95" i="38"/>
  <c r="W96" i="38"/>
  <c r="W97" i="38"/>
  <c r="W98" i="38"/>
  <c r="W99" i="38"/>
  <c r="W100" i="38"/>
  <c r="W101" i="38"/>
  <c r="W102" i="38"/>
  <c r="W103" i="38"/>
  <c r="W104" i="38"/>
  <c r="W105" i="38"/>
  <c r="W106" i="38"/>
  <c r="W107" i="38"/>
  <c r="W108" i="38"/>
  <c r="W109" i="38"/>
  <c r="W110" i="38"/>
  <c r="W111" i="38"/>
  <c r="W112" i="38"/>
  <c r="W113" i="38"/>
  <c r="W114" i="38"/>
  <c r="W115" i="38"/>
  <c r="W116" i="38"/>
  <c r="W117" i="38"/>
  <c r="W118" i="38"/>
  <c r="W119" i="38"/>
  <c r="W120" i="38"/>
  <c r="W121" i="38"/>
  <c r="W122" i="38"/>
  <c r="W123" i="38"/>
  <c r="W124" i="38"/>
  <c r="W125" i="38"/>
  <c r="W126" i="38"/>
  <c r="W127" i="38"/>
  <c r="W128" i="38"/>
  <c r="W129" i="38"/>
  <c r="W130" i="38"/>
  <c r="W131" i="38"/>
  <c r="W132" i="38"/>
  <c r="W133" i="38"/>
  <c r="W134" i="38"/>
  <c r="W135" i="38"/>
  <c r="W136" i="38"/>
  <c r="W137" i="38"/>
  <c r="W138" i="38"/>
  <c r="W139" i="38"/>
  <c r="W140" i="38"/>
  <c r="W141" i="38"/>
  <c r="W142" i="38"/>
  <c r="W143" i="38"/>
  <c r="W144" i="38"/>
  <c r="W145" i="38"/>
  <c r="W146" i="38"/>
  <c r="W147" i="38"/>
  <c r="W148" i="38"/>
  <c r="W149" i="38"/>
  <c r="W150" i="38"/>
  <c r="W151" i="38"/>
  <c r="W152" i="38"/>
  <c r="W153" i="38"/>
  <c r="W154" i="38"/>
  <c r="W155" i="38"/>
  <c r="W156" i="38"/>
  <c r="W157" i="38"/>
  <c r="W158" i="38"/>
  <c r="W159" i="38"/>
  <c r="W160" i="38"/>
  <c r="W161" i="38"/>
  <c r="W162" i="38"/>
  <c r="W163" i="38"/>
  <c r="W164" i="38"/>
  <c r="W165" i="38"/>
  <c r="W166" i="38"/>
  <c r="W167" i="38"/>
  <c r="W168" i="38"/>
  <c r="W169" i="38"/>
  <c r="W170" i="38"/>
  <c r="W171" i="38"/>
  <c r="W172" i="38"/>
  <c r="W173" i="38"/>
  <c r="W174" i="38"/>
  <c r="W175" i="38"/>
  <c r="W176" i="38"/>
  <c r="W177" i="38"/>
  <c r="W178" i="38"/>
  <c r="W179" i="38"/>
  <c r="W180" i="38"/>
  <c r="W181" i="38"/>
  <c r="W182" i="38"/>
  <c r="W183" i="38"/>
  <c r="W184" i="38"/>
  <c r="W185" i="38"/>
  <c r="W186" i="38"/>
  <c r="W187" i="38"/>
  <c r="W188" i="38"/>
  <c r="W189" i="38"/>
  <c r="W190" i="38"/>
  <c r="W191" i="38"/>
  <c r="W192" i="38"/>
  <c r="W193" i="38"/>
  <c r="W194" i="38"/>
  <c r="W195" i="38"/>
  <c r="W196" i="38"/>
  <c r="W197" i="38"/>
  <c r="W198" i="38"/>
  <c r="W199" i="38"/>
  <c r="W200" i="38"/>
  <c r="W201" i="38"/>
  <c r="W202" i="38"/>
  <c r="W203" i="38"/>
  <c r="W204" i="38"/>
  <c r="W205" i="38"/>
  <c r="W206" i="38"/>
  <c r="W207" i="38"/>
  <c r="W208" i="38"/>
  <c r="W209" i="38"/>
  <c r="W210" i="38"/>
  <c r="W211" i="38"/>
  <c r="W212" i="38"/>
  <c r="W213" i="38"/>
  <c r="W214" i="38"/>
  <c r="W215" i="38"/>
  <c r="W216" i="38"/>
  <c r="W217" i="38"/>
  <c r="W218" i="38"/>
  <c r="W219" i="38"/>
  <c r="W220" i="38"/>
  <c r="W221" i="38"/>
  <c r="W222" i="38"/>
  <c r="W223" i="38"/>
  <c r="W224" i="38"/>
  <c r="W225" i="38"/>
  <c r="W226" i="38"/>
  <c r="W227" i="38"/>
  <c r="W228" i="38"/>
  <c r="W229" i="38"/>
  <c r="W230" i="38"/>
  <c r="W231" i="38"/>
  <c r="W232" i="38"/>
  <c r="W233" i="38"/>
  <c r="W234" i="38"/>
  <c r="W235" i="38"/>
  <c r="W236" i="38"/>
  <c r="W237" i="38"/>
  <c r="W238" i="38"/>
  <c r="W239" i="38"/>
  <c r="W240" i="38"/>
  <c r="W241" i="38"/>
  <c r="W242" i="38"/>
  <c r="W243" i="38"/>
  <c r="W244" i="38"/>
  <c r="W245" i="38"/>
  <c r="W246" i="38"/>
  <c r="W247" i="38"/>
  <c r="W248" i="38"/>
  <c r="W249" i="38"/>
  <c r="W250" i="38"/>
  <c r="W251" i="38"/>
  <c r="W252" i="38"/>
  <c r="W253" i="38"/>
  <c r="W254" i="38"/>
  <c r="W255" i="38"/>
  <c r="W256" i="38"/>
  <c r="W257" i="38"/>
  <c r="W258" i="38"/>
  <c r="W259" i="38"/>
  <c r="W260" i="38"/>
  <c r="W261" i="38"/>
  <c r="W262" i="38"/>
  <c r="W263" i="38"/>
  <c r="W264" i="38"/>
  <c r="W265" i="38"/>
  <c r="W266" i="38"/>
  <c r="W267" i="38"/>
  <c r="W268" i="38"/>
  <c r="W269" i="38"/>
  <c r="W270" i="38"/>
  <c r="W271" i="38"/>
  <c r="W272" i="38"/>
  <c r="W273" i="38"/>
  <c r="W274" i="38"/>
  <c r="W275" i="38"/>
  <c r="W276" i="38"/>
  <c r="W277" i="38"/>
  <c r="W278" i="38"/>
  <c r="W279" i="38"/>
  <c r="W280" i="38"/>
  <c r="W281" i="38"/>
  <c r="W282" i="38"/>
  <c r="W283" i="38"/>
  <c r="W284" i="38"/>
  <c r="W285" i="38"/>
  <c r="W286" i="38"/>
  <c r="W287" i="38"/>
  <c r="W288" i="38"/>
  <c r="W289" i="38"/>
  <c r="W290" i="38"/>
  <c r="W291" i="38"/>
  <c r="W292" i="38"/>
  <c r="W293" i="38"/>
  <c r="W294" i="38"/>
  <c r="W295" i="38"/>
  <c r="W296" i="38"/>
  <c r="W297" i="38"/>
  <c r="W298" i="38"/>
  <c r="W299" i="38"/>
  <c r="W300" i="38"/>
  <c r="W301" i="38"/>
  <c r="W302" i="38"/>
  <c r="W303" i="38"/>
  <c r="W304" i="38"/>
  <c r="W305" i="38"/>
  <c r="W306" i="38"/>
  <c r="W307" i="38"/>
  <c r="W308" i="38"/>
  <c r="W309" i="38"/>
  <c r="W310" i="38"/>
  <c r="W311" i="38"/>
  <c r="W312" i="38"/>
  <c r="W313" i="38"/>
  <c r="W314" i="38"/>
  <c r="W315" i="38"/>
  <c r="W316" i="38"/>
  <c r="W317" i="38"/>
  <c r="W318" i="38"/>
  <c r="W319" i="38"/>
  <c r="W320" i="38"/>
  <c r="W321" i="38"/>
  <c r="W322" i="38"/>
  <c r="W323" i="38"/>
  <c r="W324" i="38"/>
  <c r="W325" i="38"/>
  <c r="W326" i="38"/>
  <c r="W327" i="38"/>
  <c r="W328" i="38"/>
  <c r="W329" i="38"/>
  <c r="W330" i="38"/>
  <c r="W331" i="38"/>
  <c r="W332" i="38"/>
  <c r="W333" i="38"/>
  <c r="W334" i="38"/>
  <c r="W335" i="38"/>
  <c r="W336" i="38"/>
  <c r="W337" i="38"/>
  <c r="W338" i="38"/>
  <c r="W339" i="38"/>
  <c r="W340" i="38"/>
  <c r="W341" i="38"/>
  <c r="W342" i="38"/>
  <c r="W343" i="38"/>
  <c r="W344" i="38"/>
  <c r="W345" i="38"/>
  <c r="W346" i="38"/>
  <c r="W347" i="38"/>
  <c r="W348" i="38"/>
  <c r="W349" i="38"/>
  <c r="W350" i="38"/>
  <c r="W351" i="38"/>
  <c r="W352" i="38"/>
  <c r="W353" i="38"/>
  <c r="W354" i="38"/>
  <c r="W355" i="38"/>
  <c r="W356" i="38"/>
  <c r="W357" i="38"/>
  <c r="W358" i="38"/>
  <c r="W359" i="38"/>
  <c r="W360" i="38"/>
  <c r="W361" i="38"/>
  <c r="W362" i="38"/>
  <c r="W363" i="38"/>
  <c r="W364" i="38"/>
  <c r="W365" i="38"/>
  <c r="W366" i="38"/>
  <c r="W367" i="38"/>
  <c r="W368" i="38"/>
  <c r="W369" i="38"/>
  <c r="W370" i="38"/>
  <c r="W371" i="38"/>
  <c r="W372" i="38"/>
  <c r="W373" i="38"/>
  <c r="W374" i="38"/>
  <c r="W375" i="38"/>
  <c r="W376" i="38"/>
  <c r="W377" i="38"/>
  <c r="W378" i="38"/>
  <c r="W379" i="38"/>
  <c r="W380" i="38"/>
  <c r="W381" i="38"/>
  <c r="W382" i="38"/>
  <c r="W383" i="38"/>
  <c r="W384" i="38"/>
  <c r="W385" i="38"/>
  <c r="W386" i="38"/>
  <c r="W387" i="38"/>
  <c r="W388" i="38"/>
  <c r="W389" i="38"/>
  <c r="W390" i="38"/>
  <c r="W391" i="38"/>
  <c r="W392" i="38"/>
  <c r="W393" i="38"/>
  <c r="W394" i="38"/>
  <c r="W395" i="38"/>
  <c r="W396" i="38"/>
  <c r="W397" i="38"/>
  <c r="W398" i="38"/>
  <c r="W399" i="38"/>
  <c r="W400" i="38"/>
  <c r="W401" i="38"/>
  <c r="W402" i="38"/>
  <c r="W403" i="38"/>
  <c r="W404" i="38"/>
  <c r="W405" i="38"/>
  <c r="W406" i="38"/>
  <c r="W407" i="38"/>
  <c r="W408" i="38"/>
  <c r="W409" i="38"/>
  <c r="W410" i="38"/>
  <c r="W411" i="38"/>
  <c r="W412" i="38"/>
  <c r="W413" i="38"/>
  <c r="W414" i="38"/>
  <c r="W415" i="38"/>
  <c r="W416" i="38"/>
  <c r="W417" i="38"/>
  <c r="W418" i="38"/>
  <c r="W419" i="38"/>
  <c r="W420" i="38"/>
  <c r="W421" i="38"/>
  <c r="W422" i="38"/>
  <c r="W423" i="38"/>
  <c r="W424" i="38"/>
  <c r="W425" i="38"/>
  <c r="W426" i="38"/>
  <c r="W427" i="38"/>
  <c r="W428" i="38"/>
  <c r="W429" i="38"/>
  <c r="W430" i="38"/>
  <c r="W431" i="38"/>
  <c r="W432" i="38"/>
  <c r="W433" i="38"/>
  <c r="W434" i="38"/>
  <c r="W435" i="38"/>
  <c r="W436" i="38"/>
  <c r="W437" i="38"/>
  <c r="W438" i="38"/>
  <c r="W439" i="38"/>
  <c r="W440" i="38"/>
  <c r="W441" i="38"/>
  <c r="W442" i="38"/>
  <c r="W443" i="38"/>
  <c r="W444" i="38"/>
  <c r="W445" i="38"/>
  <c r="W446" i="38"/>
  <c r="W447" i="38"/>
  <c r="W448" i="38"/>
  <c r="W449" i="38"/>
  <c r="W450" i="38"/>
  <c r="W451" i="38"/>
  <c r="W452" i="38"/>
  <c r="W453" i="38"/>
  <c r="W454" i="38"/>
  <c r="W455" i="38"/>
  <c r="W456" i="38"/>
  <c r="W457" i="38"/>
  <c r="W458" i="38"/>
  <c r="W459" i="38"/>
  <c r="W460" i="38"/>
  <c r="W461" i="38"/>
  <c r="W462" i="38"/>
  <c r="W463" i="38"/>
  <c r="W464" i="38"/>
  <c r="W465" i="38"/>
  <c r="W466" i="38"/>
  <c r="W467" i="38"/>
  <c r="W468" i="38"/>
  <c r="W469" i="38"/>
  <c r="W470" i="38"/>
  <c r="W471" i="38"/>
  <c r="W472" i="38"/>
  <c r="W473" i="38"/>
  <c r="W474" i="38"/>
  <c r="W475" i="38"/>
  <c r="W476" i="38"/>
  <c r="W477" i="38"/>
  <c r="W478" i="38"/>
  <c r="W479" i="38"/>
  <c r="W480" i="38"/>
  <c r="W481" i="38"/>
  <c r="W482" i="38"/>
  <c r="W483" i="38"/>
  <c r="W484" i="38"/>
  <c r="W485" i="38"/>
  <c r="W486" i="38"/>
  <c r="W487" i="38"/>
  <c r="W488" i="38"/>
  <c r="W489" i="38"/>
  <c r="W490" i="38"/>
  <c r="W491" i="38"/>
  <c r="W492" i="38"/>
  <c r="W493" i="38"/>
  <c r="W494" i="38"/>
  <c r="W495" i="38"/>
  <c r="W496" i="38"/>
  <c r="W497" i="38"/>
  <c r="W498" i="38"/>
  <c r="W499" i="38"/>
  <c r="W500" i="38"/>
  <c r="W501" i="38"/>
  <c r="W502" i="38"/>
  <c r="W503" i="38"/>
  <c r="W504" i="38"/>
  <c r="W505" i="38"/>
  <c r="W506" i="38"/>
  <c r="W507" i="38"/>
  <c r="W508" i="38"/>
  <c r="W509" i="38"/>
  <c r="W510" i="38"/>
  <c r="W511" i="38"/>
  <c r="W512" i="38"/>
  <c r="W513" i="38"/>
  <c r="W514" i="38"/>
  <c r="W515" i="38"/>
  <c r="W516" i="38"/>
  <c r="W517" i="38"/>
  <c r="W518" i="38"/>
  <c r="W519" i="38"/>
  <c r="W520" i="38"/>
  <c r="W521" i="38"/>
  <c r="W522" i="38"/>
  <c r="W523" i="38"/>
  <c r="W524" i="38"/>
  <c r="W525" i="38"/>
  <c r="W526" i="38"/>
  <c r="W527" i="38"/>
  <c r="W528" i="38"/>
  <c r="W529" i="38"/>
  <c r="W530" i="38"/>
  <c r="W531" i="38"/>
  <c r="W532" i="38"/>
  <c r="W533" i="38"/>
  <c r="W534" i="38"/>
  <c r="W535" i="38"/>
  <c r="W536" i="38"/>
  <c r="W537" i="38"/>
  <c r="W538" i="38"/>
  <c r="W539" i="38"/>
  <c r="W540" i="38"/>
  <c r="W541" i="38"/>
  <c r="W542" i="38"/>
  <c r="W543" i="38"/>
  <c r="W544" i="38"/>
  <c r="W545" i="38"/>
  <c r="W546" i="38"/>
  <c r="W547" i="38"/>
  <c r="W548" i="38"/>
  <c r="W549" i="38"/>
  <c r="W550" i="38"/>
  <c r="W552" i="38"/>
  <c r="W553" i="38"/>
  <c r="W554" i="38"/>
  <c r="W555" i="38"/>
  <c r="W556" i="38"/>
  <c r="W557" i="38"/>
  <c r="W558" i="38"/>
  <c r="W559" i="38"/>
  <c r="W560" i="38"/>
  <c r="W561" i="38"/>
  <c r="W562" i="38"/>
  <c r="W563" i="38"/>
  <c r="W564" i="38"/>
  <c r="W565" i="38"/>
  <c r="W566" i="38"/>
  <c r="W567" i="38"/>
  <c r="W568" i="38"/>
  <c r="W569" i="38"/>
  <c r="W570" i="38"/>
  <c r="W571" i="38"/>
  <c r="W572" i="38"/>
  <c r="W573" i="38"/>
  <c r="W574" i="38"/>
  <c r="W575" i="38"/>
  <c r="W576" i="38"/>
  <c r="W577" i="38"/>
  <c r="W578" i="38"/>
  <c r="W579" i="38"/>
  <c r="W580" i="38"/>
  <c r="W581" i="38"/>
  <c r="W582" i="38"/>
  <c r="W583" i="38"/>
  <c r="W584" i="38"/>
  <c r="W585" i="38"/>
  <c r="W586" i="38"/>
  <c r="W587" i="38"/>
  <c r="W588" i="38"/>
  <c r="W589" i="38"/>
  <c r="W590" i="38"/>
  <c r="W591" i="38"/>
  <c r="W592" i="38"/>
  <c r="W593" i="38"/>
  <c r="W594" i="38"/>
  <c r="W595" i="38"/>
  <c r="W596" i="38"/>
  <c r="W597" i="38"/>
  <c r="W598" i="38"/>
  <c r="W599" i="38"/>
  <c r="W600" i="38"/>
  <c r="W601" i="38"/>
  <c r="W602" i="38"/>
  <c r="W603" i="38"/>
  <c r="W604" i="38"/>
  <c r="W605" i="38"/>
  <c r="W606" i="38"/>
  <c r="W607" i="38"/>
  <c r="W608" i="38"/>
  <c r="W609" i="38"/>
  <c r="W610" i="38"/>
  <c r="W611" i="38"/>
  <c r="W612" i="38"/>
  <c r="W613" i="38"/>
  <c r="W614" i="38"/>
  <c r="W615" i="38"/>
  <c r="W616" i="38"/>
  <c r="W617" i="38"/>
  <c r="W618" i="38"/>
  <c r="W619" i="38"/>
  <c r="W620" i="38"/>
  <c r="W621" i="38"/>
  <c r="W622" i="38"/>
  <c r="W623" i="38"/>
  <c r="W624" i="38"/>
  <c r="W625" i="38"/>
  <c r="W626" i="38"/>
  <c r="W627" i="38"/>
  <c r="W628" i="38"/>
  <c r="W629" i="38"/>
  <c r="W630" i="38"/>
  <c r="W631" i="38"/>
  <c r="W632" i="38"/>
  <c r="W633" i="38"/>
  <c r="W634" i="38"/>
  <c r="W635" i="38"/>
  <c r="W636" i="38"/>
  <c r="R11" i="38"/>
  <c r="R12" i="38"/>
  <c r="R13" i="38"/>
  <c r="R14" i="38"/>
  <c r="R15" i="38"/>
  <c r="R16" i="38"/>
  <c r="R17" i="38"/>
  <c r="R18" i="38"/>
  <c r="R19" i="38"/>
  <c r="R20" i="38"/>
  <c r="R21" i="38"/>
  <c r="R22" i="38"/>
  <c r="R23" i="38"/>
  <c r="R24" i="38"/>
  <c r="R25" i="38"/>
  <c r="R26" i="38"/>
  <c r="R27" i="38"/>
  <c r="R28" i="38"/>
  <c r="R29" i="38"/>
  <c r="R30" i="38"/>
  <c r="R31" i="38"/>
  <c r="R32" i="38"/>
  <c r="R33" i="38"/>
  <c r="R34" i="38"/>
  <c r="R35" i="38"/>
  <c r="R36" i="38"/>
  <c r="R37" i="38"/>
  <c r="R38" i="38"/>
  <c r="R39" i="38"/>
  <c r="R40" i="38"/>
  <c r="R41" i="38"/>
  <c r="R42" i="38"/>
  <c r="R43" i="38"/>
  <c r="R44" i="38"/>
  <c r="R45" i="38"/>
  <c r="R46" i="38"/>
  <c r="R47" i="38"/>
  <c r="R48" i="38"/>
  <c r="R49" i="38"/>
  <c r="R50" i="38"/>
  <c r="R51" i="38"/>
  <c r="R52" i="38"/>
  <c r="R53" i="38"/>
  <c r="R54" i="38"/>
  <c r="R55" i="38"/>
  <c r="R56" i="38"/>
  <c r="R57" i="38"/>
  <c r="R58" i="38"/>
  <c r="R59" i="38"/>
  <c r="R60" i="38"/>
  <c r="R61" i="38"/>
  <c r="R62" i="38"/>
  <c r="R63" i="38"/>
  <c r="R64" i="38"/>
  <c r="R65" i="38"/>
  <c r="R66" i="38"/>
  <c r="R67" i="38"/>
  <c r="R68" i="38"/>
  <c r="R69" i="38"/>
  <c r="R70" i="38"/>
  <c r="R71" i="38"/>
  <c r="R72" i="38"/>
  <c r="R73" i="38"/>
  <c r="R74" i="38"/>
  <c r="R75" i="38"/>
  <c r="R76" i="38"/>
  <c r="R77" i="38"/>
  <c r="R78" i="38"/>
  <c r="R79" i="38"/>
  <c r="R80" i="38"/>
  <c r="R81" i="38"/>
  <c r="R82" i="38"/>
  <c r="R83" i="38"/>
  <c r="R84" i="38"/>
  <c r="R85" i="38"/>
  <c r="R86" i="38"/>
  <c r="R87" i="38"/>
  <c r="R88" i="38"/>
  <c r="R89" i="38"/>
  <c r="R90" i="38"/>
  <c r="R91" i="38"/>
  <c r="R92" i="38"/>
  <c r="R93" i="38"/>
  <c r="R94" i="38"/>
  <c r="R95" i="38"/>
  <c r="R96" i="38"/>
  <c r="R97" i="38"/>
  <c r="R98" i="38"/>
  <c r="R99" i="38"/>
  <c r="R100" i="38"/>
  <c r="R101" i="38"/>
  <c r="R102" i="38"/>
  <c r="R103" i="38"/>
  <c r="R104" i="38"/>
  <c r="R105" i="38"/>
  <c r="R106" i="38"/>
  <c r="R107" i="38"/>
  <c r="R108" i="38"/>
  <c r="R109" i="38"/>
  <c r="R110" i="38"/>
  <c r="R111" i="38"/>
  <c r="R112" i="38"/>
  <c r="R113" i="38"/>
  <c r="R114" i="38"/>
  <c r="R115" i="38"/>
  <c r="R116" i="38"/>
  <c r="R117" i="38"/>
  <c r="R118" i="38"/>
  <c r="R119" i="38"/>
  <c r="R120" i="38"/>
  <c r="R121" i="38"/>
  <c r="R122" i="38"/>
  <c r="R123" i="38"/>
  <c r="R124" i="38"/>
  <c r="R125" i="38"/>
  <c r="R126" i="38"/>
  <c r="R127" i="38"/>
  <c r="R128" i="38"/>
  <c r="R129" i="38"/>
  <c r="R130" i="38"/>
  <c r="R131" i="38"/>
  <c r="R132" i="38"/>
  <c r="R133" i="38"/>
  <c r="R134" i="38"/>
  <c r="R135" i="38"/>
  <c r="R136" i="38"/>
  <c r="R137" i="38"/>
  <c r="R138" i="38"/>
  <c r="R139" i="38"/>
  <c r="R140" i="38"/>
  <c r="R141" i="38"/>
  <c r="R142" i="38"/>
  <c r="R143" i="38"/>
  <c r="R144" i="38"/>
  <c r="R145" i="38"/>
  <c r="R146" i="38"/>
  <c r="R147" i="38"/>
  <c r="R148" i="38"/>
  <c r="R149" i="38"/>
  <c r="R150" i="38"/>
  <c r="R151" i="38"/>
  <c r="R152" i="38"/>
  <c r="R153" i="38"/>
  <c r="R154" i="38"/>
  <c r="R155" i="38"/>
  <c r="R156" i="38"/>
  <c r="R157" i="38"/>
  <c r="R158" i="38"/>
  <c r="R159" i="38"/>
  <c r="R160" i="38"/>
  <c r="R161" i="38"/>
  <c r="R162" i="38"/>
  <c r="R163" i="38"/>
  <c r="R164" i="38"/>
  <c r="R165" i="38"/>
  <c r="R166" i="38"/>
  <c r="R167" i="38"/>
  <c r="R168" i="38"/>
  <c r="R169" i="38"/>
  <c r="R170" i="38"/>
  <c r="R171" i="38"/>
  <c r="R172" i="38"/>
  <c r="R173" i="38"/>
  <c r="R174" i="38"/>
  <c r="R175" i="38"/>
  <c r="R176" i="38"/>
  <c r="R177" i="38"/>
  <c r="R178" i="38"/>
  <c r="R179" i="38"/>
  <c r="R180" i="38"/>
  <c r="R181" i="38"/>
  <c r="R182" i="38"/>
  <c r="R183" i="38"/>
  <c r="R184" i="38"/>
  <c r="R185" i="38"/>
  <c r="R186" i="38"/>
  <c r="R187" i="38"/>
  <c r="R188" i="38"/>
  <c r="R189" i="38"/>
  <c r="R190" i="38"/>
  <c r="R191" i="38"/>
  <c r="R192" i="38"/>
  <c r="R193" i="38"/>
  <c r="R194" i="38"/>
  <c r="R195" i="38"/>
  <c r="R196" i="38"/>
  <c r="R197" i="38"/>
  <c r="R198" i="38"/>
  <c r="R199" i="38"/>
  <c r="R200" i="38"/>
  <c r="R201" i="38"/>
  <c r="R202" i="38"/>
  <c r="R203" i="38"/>
  <c r="R204" i="38"/>
  <c r="R205" i="38"/>
  <c r="R206" i="38"/>
  <c r="R207" i="38"/>
  <c r="R208" i="38"/>
  <c r="R209" i="38"/>
  <c r="R210" i="38"/>
  <c r="R211" i="38"/>
  <c r="R212" i="38"/>
  <c r="R213" i="38"/>
  <c r="R214" i="38"/>
  <c r="R215" i="38"/>
  <c r="R216" i="38"/>
  <c r="R217" i="38"/>
  <c r="R218" i="38"/>
  <c r="R219" i="38"/>
  <c r="R220" i="38"/>
  <c r="R221" i="38"/>
  <c r="R222" i="38"/>
  <c r="R223" i="38"/>
  <c r="R224" i="38"/>
  <c r="R225" i="38"/>
  <c r="R226" i="38"/>
  <c r="R227" i="38"/>
  <c r="R228" i="38"/>
  <c r="R229" i="38"/>
  <c r="R230" i="38"/>
  <c r="R231" i="38"/>
  <c r="R232" i="38"/>
  <c r="R233" i="38"/>
  <c r="R234" i="38"/>
  <c r="R235" i="38"/>
  <c r="R236" i="38"/>
  <c r="R237" i="38"/>
  <c r="R238" i="38"/>
  <c r="R239" i="38"/>
  <c r="R240" i="38"/>
  <c r="R241" i="38"/>
  <c r="R242" i="38"/>
  <c r="R243" i="38"/>
  <c r="R244" i="38"/>
  <c r="R245" i="38"/>
  <c r="R246" i="38"/>
  <c r="R247" i="38"/>
  <c r="R248" i="38"/>
  <c r="R249" i="38"/>
  <c r="R250" i="38"/>
  <c r="R251" i="38"/>
  <c r="R252" i="38"/>
  <c r="R253" i="38"/>
  <c r="R254" i="38"/>
  <c r="R255" i="38"/>
  <c r="R256" i="38"/>
  <c r="R257" i="38"/>
  <c r="R258" i="38"/>
  <c r="R259" i="38"/>
  <c r="R260" i="38"/>
  <c r="R261" i="38"/>
  <c r="R262" i="38"/>
  <c r="R263" i="38"/>
  <c r="R264" i="38"/>
  <c r="R265" i="38"/>
  <c r="R266" i="38"/>
  <c r="R267" i="38"/>
  <c r="R268" i="38"/>
  <c r="R269" i="38"/>
  <c r="R270" i="38"/>
  <c r="R271" i="38"/>
  <c r="R272" i="38"/>
  <c r="R273" i="38"/>
  <c r="R274" i="38"/>
  <c r="R275" i="38"/>
  <c r="R276" i="38"/>
  <c r="R277" i="38"/>
  <c r="R278" i="38"/>
  <c r="R279" i="38"/>
  <c r="R280" i="38"/>
  <c r="R281" i="38"/>
  <c r="R282" i="38"/>
  <c r="R283" i="38"/>
  <c r="R284" i="38"/>
  <c r="R285" i="38"/>
  <c r="R286" i="38"/>
  <c r="R287" i="38"/>
  <c r="R288" i="38"/>
  <c r="R289" i="38"/>
  <c r="R290" i="38"/>
  <c r="R291" i="38"/>
  <c r="R292" i="38"/>
  <c r="R293" i="38"/>
  <c r="R294" i="38"/>
  <c r="R295" i="38"/>
  <c r="R296" i="38"/>
  <c r="R297" i="38"/>
  <c r="R298" i="38"/>
  <c r="R299" i="38"/>
  <c r="R300" i="38"/>
  <c r="R301" i="38"/>
  <c r="R302" i="38"/>
  <c r="R303" i="38"/>
  <c r="R304" i="38"/>
  <c r="R305" i="38"/>
  <c r="R306" i="38"/>
  <c r="R307" i="38"/>
  <c r="R308" i="38"/>
  <c r="R309" i="38"/>
  <c r="R310" i="38"/>
  <c r="R311" i="38"/>
  <c r="R312" i="38"/>
  <c r="R313" i="38"/>
  <c r="R314" i="38"/>
  <c r="R315" i="38"/>
  <c r="R316" i="38"/>
  <c r="R317" i="38"/>
  <c r="R318" i="38"/>
  <c r="R319" i="38"/>
  <c r="R320" i="38"/>
  <c r="R321" i="38"/>
  <c r="R322" i="38"/>
  <c r="R323" i="38"/>
  <c r="R324" i="38"/>
  <c r="R325" i="38"/>
  <c r="R326" i="38"/>
  <c r="R327" i="38"/>
  <c r="R328" i="38"/>
  <c r="R329" i="38"/>
  <c r="R330" i="38"/>
  <c r="R331" i="38"/>
  <c r="R332" i="38"/>
  <c r="R333" i="38"/>
  <c r="R334" i="38"/>
  <c r="R335" i="38"/>
  <c r="R336" i="38"/>
  <c r="R337" i="38"/>
  <c r="R338" i="38"/>
  <c r="R339" i="38"/>
  <c r="R340" i="38"/>
  <c r="R341" i="38"/>
  <c r="R342" i="38"/>
  <c r="R343" i="38"/>
  <c r="R344" i="38"/>
  <c r="R345" i="38"/>
  <c r="R346" i="38"/>
  <c r="R347" i="38"/>
  <c r="R348" i="38"/>
  <c r="R349" i="38"/>
  <c r="R350" i="38"/>
  <c r="R351" i="38"/>
  <c r="R352" i="38"/>
  <c r="R353" i="38"/>
  <c r="R354" i="38"/>
  <c r="R355" i="38"/>
  <c r="R356" i="38"/>
  <c r="R357" i="38"/>
  <c r="R358" i="38"/>
  <c r="R359" i="38"/>
  <c r="R360" i="38"/>
  <c r="R361" i="38"/>
  <c r="R362" i="38"/>
  <c r="R363" i="38"/>
  <c r="R364" i="38"/>
  <c r="R365" i="38"/>
  <c r="R366" i="38"/>
  <c r="R367" i="38"/>
  <c r="R368" i="38"/>
  <c r="R369" i="38"/>
  <c r="R370" i="38"/>
  <c r="R371" i="38"/>
  <c r="R372" i="38"/>
  <c r="R373" i="38"/>
  <c r="R374" i="38"/>
  <c r="R375" i="38"/>
  <c r="R376" i="38"/>
  <c r="R377" i="38"/>
  <c r="R378" i="38"/>
  <c r="R379" i="38"/>
  <c r="R380" i="38"/>
  <c r="R381" i="38"/>
  <c r="R382" i="38"/>
  <c r="R383" i="38"/>
  <c r="R384" i="38"/>
  <c r="R385" i="38"/>
  <c r="R386" i="38"/>
  <c r="R387" i="38"/>
  <c r="R388" i="38"/>
  <c r="R389" i="38"/>
  <c r="R390" i="38"/>
  <c r="R391" i="38"/>
  <c r="R392" i="38"/>
  <c r="R393" i="38"/>
  <c r="R394" i="38"/>
  <c r="R395" i="38"/>
  <c r="R396" i="38"/>
  <c r="R397" i="38"/>
  <c r="R398" i="38"/>
  <c r="R399" i="38"/>
  <c r="R400" i="38"/>
  <c r="R401" i="38"/>
  <c r="R402" i="38"/>
  <c r="R403" i="38"/>
  <c r="R404" i="38"/>
  <c r="R405" i="38"/>
  <c r="R406" i="38"/>
  <c r="R407" i="38"/>
  <c r="R408" i="38"/>
  <c r="R409" i="38"/>
  <c r="R410" i="38"/>
  <c r="R411" i="38"/>
  <c r="R412" i="38"/>
  <c r="R413" i="38"/>
  <c r="R414" i="38"/>
  <c r="R415" i="38"/>
  <c r="R416" i="38"/>
  <c r="R417" i="38"/>
  <c r="R418" i="38"/>
  <c r="R419" i="38"/>
  <c r="R420" i="38"/>
  <c r="R421" i="38"/>
  <c r="R422" i="38"/>
  <c r="R423" i="38"/>
  <c r="R424" i="38"/>
  <c r="R425" i="38"/>
  <c r="R426" i="38"/>
  <c r="R427" i="38"/>
  <c r="R428" i="38"/>
  <c r="R429" i="38"/>
  <c r="R430" i="38"/>
  <c r="R431" i="38"/>
  <c r="R432" i="38"/>
  <c r="R433" i="38"/>
  <c r="R434" i="38"/>
  <c r="R435" i="38"/>
  <c r="R436" i="38"/>
  <c r="R437" i="38"/>
  <c r="R438" i="38"/>
  <c r="R439" i="38"/>
  <c r="R440" i="38"/>
  <c r="R441" i="38"/>
  <c r="R442" i="38"/>
  <c r="R443" i="38"/>
  <c r="R444" i="38"/>
  <c r="R445" i="38"/>
  <c r="R446" i="38"/>
  <c r="R447" i="38"/>
  <c r="R448" i="38"/>
  <c r="R449" i="38"/>
  <c r="R450" i="38"/>
  <c r="R451" i="38"/>
  <c r="R452" i="38"/>
  <c r="R453" i="38"/>
  <c r="R454" i="38"/>
  <c r="R455" i="38"/>
  <c r="R456" i="38"/>
  <c r="R457" i="38"/>
  <c r="R458" i="38"/>
  <c r="R459" i="38"/>
  <c r="R460" i="38"/>
  <c r="R461" i="38"/>
  <c r="R462" i="38"/>
  <c r="R463" i="38"/>
  <c r="R464" i="38"/>
  <c r="R465" i="38"/>
  <c r="R466" i="38"/>
  <c r="R467" i="38"/>
  <c r="R468" i="38"/>
  <c r="R469" i="38"/>
  <c r="R470" i="38"/>
  <c r="R471" i="38"/>
  <c r="R472" i="38"/>
  <c r="R473" i="38"/>
  <c r="R474" i="38"/>
  <c r="R475" i="38"/>
  <c r="R476" i="38"/>
  <c r="R477" i="38"/>
  <c r="R478" i="38"/>
  <c r="R479" i="38"/>
  <c r="R480" i="38"/>
  <c r="R481" i="38"/>
  <c r="R482" i="38"/>
  <c r="R483" i="38"/>
  <c r="R484" i="38"/>
  <c r="R485" i="38"/>
  <c r="R486" i="38"/>
  <c r="R487" i="38"/>
  <c r="R488" i="38"/>
  <c r="R489" i="38"/>
  <c r="R490" i="38"/>
  <c r="R491" i="38"/>
  <c r="R492" i="38"/>
  <c r="R493" i="38"/>
  <c r="R494" i="38"/>
  <c r="R495" i="38"/>
  <c r="R496" i="38"/>
  <c r="R497" i="38"/>
  <c r="R498" i="38"/>
  <c r="R499" i="38"/>
  <c r="R500" i="38"/>
  <c r="R501" i="38"/>
  <c r="R502" i="38"/>
  <c r="R503" i="38"/>
  <c r="R504" i="38"/>
  <c r="R505" i="38"/>
  <c r="R506" i="38"/>
  <c r="R507" i="38"/>
  <c r="R508" i="38"/>
  <c r="R509" i="38"/>
  <c r="R510" i="38"/>
  <c r="R511" i="38"/>
  <c r="R512" i="38"/>
  <c r="R513" i="38"/>
  <c r="R514" i="38"/>
  <c r="R515" i="38"/>
  <c r="R516" i="38"/>
  <c r="R517" i="38"/>
  <c r="R518" i="38"/>
  <c r="R519" i="38"/>
  <c r="R520" i="38"/>
  <c r="R521" i="38"/>
  <c r="R522" i="38"/>
  <c r="R523" i="38"/>
  <c r="R524" i="38"/>
  <c r="R525" i="38"/>
  <c r="R526" i="38"/>
  <c r="R527" i="38"/>
  <c r="R528" i="38"/>
  <c r="R529" i="38"/>
  <c r="R530" i="38"/>
  <c r="R531" i="38"/>
  <c r="R532" i="38"/>
  <c r="R533" i="38"/>
  <c r="R534" i="38"/>
  <c r="R535" i="38"/>
  <c r="R536" i="38"/>
  <c r="R537" i="38"/>
  <c r="R538" i="38"/>
  <c r="R539" i="38"/>
  <c r="R540" i="38"/>
  <c r="R541" i="38"/>
  <c r="R542" i="38"/>
  <c r="R543" i="38"/>
  <c r="R544" i="38"/>
  <c r="R545" i="38"/>
  <c r="R546" i="38"/>
  <c r="R547" i="38"/>
  <c r="R548" i="38"/>
  <c r="R549" i="38"/>
  <c r="R550" i="38"/>
  <c r="R551" i="38"/>
  <c r="R552" i="38"/>
  <c r="R553" i="38"/>
  <c r="R554" i="38"/>
  <c r="R555" i="38"/>
  <c r="R556" i="38"/>
  <c r="R557" i="38"/>
  <c r="R558" i="38"/>
  <c r="R559" i="38"/>
  <c r="R560" i="38"/>
  <c r="R561" i="38"/>
  <c r="R562" i="38"/>
  <c r="R563" i="38"/>
  <c r="R564" i="38"/>
  <c r="R565" i="38"/>
  <c r="R566" i="38"/>
  <c r="R567" i="38"/>
  <c r="R568" i="38"/>
  <c r="R569" i="38"/>
  <c r="R570" i="38"/>
  <c r="R571" i="38"/>
  <c r="R572" i="38"/>
  <c r="R573" i="38"/>
  <c r="R574" i="38"/>
  <c r="R575" i="38"/>
  <c r="R576" i="38"/>
  <c r="R577" i="38"/>
  <c r="R578" i="38"/>
  <c r="R579" i="38"/>
  <c r="R580" i="38"/>
  <c r="R581" i="38"/>
  <c r="R582" i="38"/>
  <c r="R583" i="38"/>
  <c r="R584" i="38"/>
  <c r="R585" i="38"/>
  <c r="R586" i="38"/>
  <c r="R587" i="38"/>
  <c r="R588" i="38"/>
  <c r="R589" i="38"/>
  <c r="R590" i="38"/>
  <c r="R591" i="38"/>
  <c r="R592" i="38"/>
  <c r="R593" i="38"/>
  <c r="R594" i="38"/>
  <c r="R595" i="38"/>
  <c r="R596" i="38"/>
  <c r="R597" i="38"/>
  <c r="R598" i="38"/>
  <c r="R599" i="38"/>
  <c r="R600" i="38"/>
  <c r="R601" i="38"/>
  <c r="R602" i="38"/>
  <c r="R603" i="38"/>
  <c r="R604" i="38"/>
  <c r="R605" i="38"/>
  <c r="R606" i="38"/>
  <c r="R607" i="38"/>
  <c r="R608" i="38"/>
  <c r="R609" i="38"/>
  <c r="R610" i="38"/>
  <c r="R611" i="38"/>
  <c r="R612" i="38"/>
  <c r="R613" i="38"/>
  <c r="R614" i="38"/>
  <c r="R615" i="38"/>
  <c r="R616" i="38"/>
  <c r="R617" i="38"/>
  <c r="R618" i="38"/>
  <c r="R619" i="38"/>
  <c r="R620" i="38"/>
  <c r="R621" i="38"/>
  <c r="R622" i="38"/>
  <c r="R623" i="38"/>
  <c r="R624" i="38"/>
  <c r="R625" i="38"/>
  <c r="R626" i="38"/>
  <c r="R627" i="38"/>
  <c r="R628" i="38"/>
  <c r="R629" i="38"/>
  <c r="R630" i="38"/>
  <c r="R631" i="38"/>
  <c r="R632" i="38"/>
  <c r="R633" i="38"/>
  <c r="R634" i="38"/>
  <c r="R635" i="38"/>
  <c r="R636" i="38"/>
  <c r="L11" i="38"/>
  <c r="M11" i="38"/>
  <c r="L12" i="38"/>
  <c r="M12" i="38"/>
  <c r="L13" i="38"/>
  <c r="M13" i="38"/>
  <c r="L14" i="38"/>
  <c r="M14" i="38"/>
  <c r="L15" i="38"/>
  <c r="M15" i="38"/>
  <c r="L16" i="38"/>
  <c r="M16" i="38"/>
  <c r="L17" i="38"/>
  <c r="M17" i="38"/>
  <c r="L18" i="38"/>
  <c r="M18" i="38"/>
  <c r="L19" i="38"/>
  <c r="M19" i="38"/>
  <c r="L20" i="38"/>
  <c r="M20" i="38"/>
  <c r="L21" i="38"/>
  <c r="M21" i="38"/>
  <c r="L22" i="38"/>
  <c r="M22" i="38"/>
  <c r="L23" i="38"/>
  <c r="M23" i="38"/>
  <c r="L24" i="38"/>
  <c r="M24" i="38"/>
  <c r="L25" i="38"/>
  <c r="M25" i="38"/>
  <c r="L26" i="38"/>
  <c r="M26" i="38"/>
  <c r="L27" i="38"/>
  <c r="M27" i="38"/>
  <c r="L28" i="38"/>
  <c r="M28" i="38"/>
  <c r="L29" i="38"/>
  <c r="M29" i="38"/>
  <c r="L30" i="38"/>
  <c r="M30" i="38"/>
  <c r="L31" i="38"/>
  <c r="M31" i="38"/>
  <c r="L32" i="38"/>
  <c r="M32" i="38"/>
  <c r="L33" i="38"/>
  <c r="M33" i="38"/>
  <c r="L34" i="38"/>
  <c r="M34" i="38"/>
  <c r="L35" i="38"/>
  <c r="M35" i="38"/>
  <c r="L36" i="38"/>
  <c r="M36" i="38"/>
  <c r="L37" i="38"/>
  <c r="M37" i="38"/>
  <c r="L38" i="38"/>
  <c r="M38" i="38"/>
  <c r="L39" i="38"/>
  <c r="M39" i="38"/>
  <c r="L40" i="38"/>
  <c r="M40" i="38"/>
  <c r="L41" i="38"/>
  <c r="M41" i="38"/>
  <c r="L42" i="38"/>
  <c r="M42" i="38"/>
  <c r="L43" i="38"/>
  <c r="M43" i="38"/>
  <c r="L44" i="38"/>
  <c r="M44" i="38"/>
  <c r="L45" i="38"/>
  <c r="M45" i="38"/>
  <c r="L46" i="38"/>
  <c r="M46" i="38"/>
  <c r="L47" i="38"/>
  <c r="M47" i="38"/>
  <c r="L48" i="38"/>
  <c r="M48" i="38"/>
  <c r="L49" i="38"/>
  <c r="M49" i="38"/>
  <c r="L50" i="38"/>
  <c r="M50" i="38"/>
  <c r="L51" i="38"/>
  <c r="M51" i="38"/>
  <c r="L52" i="38"/>
  <c r="M52" i="38"/>
  <c r="L53" i="38"/>
  <c r="M53" i="38"/>
  <c r="L54" i="38"/>
  <c r="M54" i="38"/>
  <c r="L55" i="38"/>
  <c r="M55" i="38"/>
  <c r="L56" i="38"/>
  <c r="M56" i="38"/>
  <c r="L57" i="38"/>
  <c r="M57" i="38"/>
  <c r="L58" i="38"/>
  <c r="M58" i="38"/>
  <c r="L59" i="38"/>
  <c r="M59" i="38"/>
  <c r="L60" i="38"/>
  <c r="M60" i="38"/>
  <c r="L61" i="38"/>
  <c r="M61" i="38"/>
  <c r="L62" i="38"/>
  <c r="M62" i="38"/>
  <c r="L63" i="38"/>
  <c r="M63" i="38"/>
  <c r="L64" i="38"/>
  <c r="M64" i="38"/>
  <c r="L65" i="38"/>
  <c r="M65" i="38"/>
  <c r="L66" i="38"/>
  <c r="M66" i="38"/>
  <c r="L67" i="38"/>
  <c r="M67" i="38"/>
  <c r="L68" i="38"/>
  <c r="M68" i="38"/>
  <c r="L69" i="38"/>
  <c r="M69" i="38"/>
  <c r="L70" i="38"/>
  <c r="M70" i="38"/>
  <c r="L71" i="38"/>
  <c r="M71" i="38"/>
  <c r="L72" i="38"/>
  <c r="M72" i="38"/>
  <c r="L73" i="38"/>
  <c r="M73" i="38"/>
  <c r="L74" i="38"/>
  <c r="M74" i="38"/>
  <c r="L75" i="38"/>
  <c r="M75" i="38"/>
  <c r="L76" i="38"/>
  <c r="M76" i="38"/>
  <c r="L77" i="38"/>
  <c r="M77" i="38"/>
  <c r="L78" i="38"/>
  <c r="M78" i="38"/>
  <c r="L79" i="38"/>
  <c r="M79" i="38"/>
  <c r="L80" i="38"/>
  <c r="M80" i="38"/>
  <c r="L81" i="38"/>
  <c r="M81" i="38"/>
  <c r="L82" i="38"/>
  <c r="M82" i="38"/>
  <c r="L83" i="38"/>
  <c r="M83" i="38"/>
  <c r="L84" i="38"/>
  <c r="M84" i="38"/>
  <c r="L85" i="38"/>
  <c r="M85" i="38"/>
  <c r="L86" i="38"/>
  <c r="M86" i="38"/>
  <c r="L87" i="38"/>
  <c r="M87" i="38"/>
  <c r="L88" i="38"/>
  <c r="M88" i="38"/>
  <c r="L89" i="38"/>
  <c r="M89" i="38"/>
  <c r="L90" i="38"/>
  <c r="M90" i="38"/>
  <c r="L91" i="38"/>
  <c r="M91" i="38"/>
  <c r="L92" i="38"/>
  <c r="M92" i="38"/>
  <c r="L93" i="38"/>
  <c r="M93" i="38"/>
  <c r="L94" i="38"/>
  <c r="M94" i="38"/>
  <c r="L95" i="38"/>
  <c r="M95" i="38"/>
  <c r="L96" i="38"/>
  <c r="M96" i="38"/>
  <c r="L97" i="38"/>
  <c r="M97" i="38"/>
  <c r="L98" i="38"/>
  <c r="M98" i="38"/>
  <c r="L99" i="38"/>
  <c r="M99" i="38"/>
  <c r="L100" i="38"/>
  <c r="M100" i="38"/>
  <c r="L101" i="38"/>
  <c r="M101" i="38"/>
  <c r="L102" i="38"/>
  <c r="M102" i="38"/>
  <c r="L103" i="38"/>
  <c r="M103" i="38"/>
  <c r="L104" i="38"/>
  <c r="M104" i="38"/>
  <c r="L105" i="38"/>
  <c r="M105" i="38"/>
  <c r="L106" i="38"/>
  <c r="M106" i="38"/>
  <c r="L107" i="38"/>
  <c r="M107" i="38"/>
  <c r="L108" i="38"/>
  <c r="M108" i="38"/>
  <c r="L109" i="38"/>
  <c r="M109" i="38"/>
  <c r="L110" i="38"/>
  <c r="M110" i="38"/>
  <c r="L111" i="38"/>
  <c r="M111" i="38"/>
  <c r="L112" i="38"/>
  <c r="M112" i="38"/>
  <c r="L113" i="38"/>
  <c r="M113" i="38"/>
  <c r="L114" i="38"/>
  <c r="M114" i="38"/>
  <c r="L115" i="38"/>
  <c r="M115" i="38"/>
  <c r="L116" i="38"/>
  <c r="M116" i="38"/>
  <c r="L117" i="38"/>
  <c r="M117" i="38"/>
  <c r="L118" i="38"/>
  <c r="M118" i="38"/>
  <c r="L119" i="38"/>
  <c r="M119" i="38"/>
  <c r="L120" i="38"/>
  <c r="M120" i="38"/>
  <c r="L121" i="38"/>
  <c r="M121" i="38"/>
  <c r="L122" i="38"/>
  <c r="M122" i="38"/>
  <c r="L123" i="38"/>
  <c r="M123" i="38"/>
  <c r="L124" i="38"/>
  <c r="M124" i="38"/>
  <c r="L125" i="38"/>
  <c r="M125" i="38"/>
  <c r="L126" i="38"/>
  <c r="M126" i="38"/>
  <c r="L127" i="38"/>
  <c r="M127" i="38"/>
  <c r="L128" i="38"/>
  <c r="M128" i="38"/>
  <c r="L129" i="38"/>
  <c r="M129" i="38"/>
  <c r="L130" i="38"/>
  <c r="M130" i="38"/>
  <c r="L131" i="38"/>
  <c r="M131" i="38"/>
  <c r="L132" i="38"/>
  <c r="M132" i="38"/>
  <c r="L133" i="38"/>
  <c r="M133" i="38"/>
  <c r="L134" i="38"/>
  <c r="M134" i="38"/>
  <c r="L135" i="38"/>
  <c r="M135" i="38"/>
  <c r="L136" i="38"/>
  <c r="M136" i="38"/>
  <c r="L137" i="38"/>
  <c r="M137" i="38"/>
  <c r="L138" i="38"/>
  <c r="M138" i="38"/>
  <c r="L139" i="38"/>
  <c r="M139" i="38"/>
  <c r="L140" i="38"/>
  <c r="M140" i="38"/>
  <c r="L141" i="38"/>
  <c r="M141" i="38"/>
  <c r="L142" i="38"/>
  <c r="M142" i="38"/>
  <c r="L143" i="38"/>
  <c r="M143" i="38"/>
  <c r="L144" i="38"/>
  <c r="M144" i="38"/>
  <c r="L145" i="38"/>
  <c r="M145" i="38"/>
  <c r="L146" i="38"/>
  <c r="M146" i="38"/>
  <c r="L147" i="38"/>
  <c r="M147" i="38"/>
  <c r="L148" i="38"/>
  <c r="M148" i="38"/>
  <c r="L149" i="38"/>
  <c r="M149" i="38"/>
  <c r="L150" i="38"/>
  <c r="M150" i="38"/>
  <c r="L151" i="38"/>
  <c r="M151" i="38"/>
  <c r="L152" i="38"/>
  <c r="M152" i="38"/>
  <c r="L153" i="38"/>
  <c r="M153" i="38"/>
  <c r="L154" i="38"/>
  <c r="M154" i="38"/>
  <c r="L155" i="38"/>
  <c r="M155" i="38"/>
  <c r="L156" i="38"/>
  <c r="M156" i="38"/>
  <c r="L157" i="38"/>
  <c r="M157" i="38"/>
  <c r="L158" i="38"/>
  <c r="M158" i="38"/>
  <c r="L159" i="38"/>
  <c r="M159" i="38"/>
  <c r="L160" i="38"/>
  <c r="M160" i="38"/>
  <c r="L161" i="38"/>
  <c r="M161" i="38"/>
  <c r="L162" i="38"/>
  <c r="M162" i="38"/>
  <c r="L163" i="38"/>
  <c r="M163" i="38"/>
  <c r="L164" i="38"/>
  <c r="M164" i="38"/>
  <c r="L165" i="38"/>
  <c r="M165" i="38"/>
  <c r="L166" i="38"/>
  <c r="M166" i="38"/>
  <c r="L167" i="38"/>
  <c r="M167" i="38"/>
  <c r="L168" i="38"/>
  <c r="M168" i="38"/>
  <c r="L169" i="38"/>
  <c r="M169" i="38"/>
  <c r="L170" i="38"/>
  <c r="M170" i="38"/>
  <c r="L171" i="38"/>
  <c r="M171" i="38"/>
  <c r="L172" i="38"/>
  <c r="M172" i="38"/>
  <c r="L173" i="38"/>
  <c r="M173" i="38"/>
  <c r="L174" i="38"/>
  <c r="M174" i="38"/>
  <c r="L175" i="38"/>
  <c r="M175" i="38"/>
  <c r="L176" i="38"/>
  <c r="M176" i="38"/>
  <c r="L177" i="38"/>
  <c r="M177" i="38"/>
  <c r="L178" i="38"/>
  <c r="M178" i="38"/>
  <c r="L179" i="38"/>
  <c r="M179" i="38"/>
  <c r="L180" i="38"/>
  <c r="M180" i="38"/>
  <c r="L181" i="38"/>
  <c r="M181" i="38"/>
  <c r="L182" i="38"/>
  <c r="M182" i="38"/>
  <c r="L183" i="38"/>
  <c r="M183" i="38"/>
  <c r="L184" i="38"/>
  <c r="M184" i="38"/>
  <c r="L185" i="38"/>
  <c r="M185" i="38"/>
  <c r="L186" i="38"/>
  <c r="M186" i="38"/>
  <c r="L187" i="38"/>
  <c r="M187" i="38"/>
  <c r="L188" i="38"/>
  <c r="M188" i="38"/>
  <c r="L189" i="38"/>
  <c r="M189" i="38"/>
  <c r="L190" i="38"/>
  <c r="M190" i="38"/>
  <c r="L191" i="38"/>
  <c r="M191" i="38"/>
  <c r="L192" i="38"/>
  <c r="M192" i="38"/>
  <c r="L193" i="38"/>
  <c r="M193" i="38"/>
  <c r="L194" i="38"/>
  <c r="M194" i="38"/>
  <c r="L195" i="38"/>
  <c r="M195" i="38"/>
  <c r="L196" i="38"/>
  <c r="M196" i="38"/>
  <c r="L197" i="38"/>
  <c r="M197" i="38"/>
  <c r="L198" i="38"/>
  <c r="M198" i="38"/>
  <c r="L199" i="38"/>
  <c r="M199" i="38"/>
  <c r="L200" i="38"/>
  <c r="M200" i="38"/>
  <c r="L201" i="38"/>
  <c r="M201" i="38"/>
  <c r="L202" i="38"/>
  <c r="M202" i="38"/>
  <c r="L203" i="38"/>
  <c r="M203" i="38"/>
  <c r="L204" i="38"/>
  <c r="M204" i="38"/>
  <c r="L205" i="38"/>
  <c r="M205" i="38"/>
  <c r="L206" i="38"/>
  <c r="M206" i="38"/>
  <c r="L207" i="38"/>
  <c r="M207" i="38"/>
  <c r="L208" i="38"/>
  <c r="M208" i="38"/>
  <c r="L209" i="38"/>
  <c r="M209" i="38"/>
  <c r="L210" i="38"/>
  <c r="M210" i="38"/>
  <c r="L211" i="38"/>
  <c r="M211" i="38"/>
  <c r="L212" i="38"/>
  <c r="M212" i="38"/>
  <c r="L213" i="38"/>
  <c r="M213" i="38"/>
  <c r="L214" i="38"/>
  <c r="M214" i="38"/>
  <c r="L215" i="38"/>
  <c r="M215" i="38"/>
  <c r="L216" i="38"/>
  <c r="M216" i="38"/>
  <c r="L217" i="38"/>
  <c r="M217" i="38"/>
  <c r="L218" i="38"/>
  <c r="M218" i="38"/>
  <c r="L219" i="38"/>
  <c r="M219" i="38"/>
  <c r="L220" i="38"/>
  <c r="M220" i="38"/>
  <c r="L221" i="38"/>
  <c r="M221" i="38"/>
  <c r="L222" i="38"/>
  <c r="M222" i="38"/>
  <c r="L223" i="38"/>
  <c r="M223" i="38"/>
  <c r="L224" i="38"/>
  <c r="M224" i="38"/>
  <c r="L225" i="38"/>
  <c r="M225" i="38"/>
  <c r="L226" i="38"/>
  <c r="M226" i="38"/>
  <c r="L227" i="38"/>
  <c r="M227" i="38"/>
  <c r="L228" i="38"/>
  <c r="M228" i="38"/>
  <c r="L229" i="38"/>
  <c r="M229" i="38"/>
  <c r="L230" i="38"/>
  <c r="M230" i="38"/>
  <c r="L231" i="38"/>
  <c r="M231" i="38"/>
  <c r="L232" i="38"/>
  <c r="M232" i="38"/>
  <c r="L233" i="38"/>
  <c r="M233" i="38"/>
  <c r="L234" i="38"/>
  <c r="M234" i="38"/>
  <c r="L235" i="38"/>
  <c r="M235" i="38"/>
  <c r="L236" i="38"/>
  <c r="M236" i="38"/>
  <c r="L237" i="38"/>
  <c r="M237" i="38"/>
  <c r="L238" i="38"/>
  <c r="M238" i="38"/>
  <c r="L239" i="38"/>
  <c r="M239" i="38"/>
  <c r="L240" i="38"/>
  <c r="M240" i="38"/>
  <c r="L241" i="38"/>
  <c r="M241" i="38"/>
  <c r="L242" i="38"/>
  <c r="M242" i="38"/>
  <c r="L243" i="38"/>
  <c r="M243" i="38"/>
  <c r="L244" i="38"/>
  <c r="M244" i="38"/>
  <c r="L245" i="38"/>
  <c r="M245" i="38"/>
  <c r="L246" i="38"/>
  <c r="M246" i="38"/>
  <c r="L247" i="38"/>
  <c r="M247" i="38"/>
  <c r="L248" i="38"/>
  <c r="M248" i="38"/>
  <c r="L249" i="38"/>
  <c r="M249" i="38"/>
  <c r="L250" i="38"/>
  <c r="M250" i="38"/>
  <c r="L251" i="38"/>
  <c r="M251" i="38"/>
  <c r="L252" i="38"/>
  <c r="M252" i="38"/>
  <c r="L253" i="38"/>
  <c r="M253" i="38"/>
  <c r="L254" i="38"/>
  <c r="M254" i="38"/>
  <c r="L255" i="38"/>
  <c r="M255" i="38"/>
  <c r="L256" i="38"/>
  <c r="M256" i="38"/>
  <c r="L257" i="38"/>
  <c r="M257" i="38"/>
  <c r="L258" i="38"/>
  <c r="M258" i="38"/>
  <c r="L259" i="38"/>
  <c r="M259" i="38"/>
  <c r="L260" i="38"/>
  <c r="M260" i="38"/>
  <c r="L261" i="38"/>
  <c r="M261" i="38"/>
  <c r="L262" i="38"/>
  <c r="M262" i="38"/>
  <c r="L263" i="38"/>
  <c r="M263" i="38"/>
  <c r="L264" i="38"/>
  <c r="M264" i="38"/>
  <c r="L265" i="38"/>
  <c r="M265" i="38"/>
  <c r="L266" i="38"/>
  <c r="M266" i="38"/>
  <c r="L267" i="38"/>
  <c r="M267" i="38"/>
  <c r="L268" i="38"/>
  <c r="M268" i="38"/>
  <c r="L269" i="38"/>
  <c r="M269" i="38"/>
  <c r="L270" i="38"/>
  <c r="M270" i="38"/>
  <c r="L271" i="38"/>
  <c r="M271" i="38"/>
  <c r="L272" i="38"/>
  <c r="M272" i="38"/>
  <c r="L273" i="38"/>
  <c r="M273" i="38"/>
  <c r="L274" i="38"/>
  <c r="M274" i="38"/>
  <c r="L275" i="38"/>
  <c r="M275" i="38"/>
  <c r="L276" i="38"/>
  <c r="M276" i="38"/>
  <c r="L277" i="38"/>
  <c r="M277" i="38"/>
  <c r="L278" i="38"/>
  <c r="M278" i="38"/>
  <c r="L279" i="38"/>
  <c r="M279" i="38"/>
  <c r="L280" i="38"/>
  <c r="M280" i="38"/>
  <c r="L281" i="38"/>
  <c r="M281" i="38"/>
  <c r="L282" i="38"/>
  <c r="M282" i="38"/>
  <c r="L283" i="38"/>
  <c r="M283" i="38"/>
  <c r="L284" i="38"/>
  <c r="M284" i="38"/>
  <c r="L285" i="38"/>
  <c r="M285" i="38"/>
  <c r="L286" i="38"/>
  <c r="M286" i="38"/>
  <c r="L287" i="38"/>
  <c r="M287" i="38"/>
  <c r="L288" i="38"/>
  <c r="M288" i="38"/>
  <c r="L289" i="38"/>
  <c r="M289" i="38"/>
  <c r="L290" i="38"/>
  <c r="M290" i="38"/>
  <c r="L291" i="38"/>
  <c r="M291" i="38"/>
  <c r="L292" i="38"/>
  <c r="M292" i="38"/>
  <c r="L293" i="38"/>
  <c r="M293" i="38"/>
  <c r="L294" i="38"/>
  <c r="M294" i="38"/>
  <c r="L295" i="38"/>
  <c r="M295" i="38"/>
  <c r="L296" i="38"/>
  <c r="M296" i="38"/>
  <c r="L297" i="38"/>
  <c r="M297" i="38"/>
  <c r="L298" i="38"/>
  <c r="M298" i="38"/>
  <c r="L299" i="38"/>
  <c r="M299" i="38"/>
  <c r="L300" i="38"/>
  <c r="M300" i="38"/>
  <c r="L301" i="38"/>
  <c r="M301" i="38"/>
  <c r="L302" i="38"/>
  <c r="M302" i="38"/>
  <c r="L303" i="38"/>
  <c r="M303" i="38"/>
  <c r="L304" i="38"/>
  <c r="M304" i="38"/>
  <c r="L305" i="38"/>
  <c r="M305" i="38"/>
  <c r="L306" i="38"/>
  <c r="M306" i="38"/>
  <c r="L307" i="38"/>
  <c r="M307" i="38"/>
  <c r="L308" i="38"/>
  <c r="M308" i="38"/>
  <c r="L309" i="38"/>
  <c r="M309" i="38"/>
  <c r="L310" i="38"/>
  <c r="M310" i="38"/>
  <c r="L311" i="38"/>
  <c r="M311" i="38"/>
  <c r="L312" i="38"/>
  <c r="M312" i="38"/>
  <c r="L313" i="38"/>
  <c r="M313" i="38"/>
  <c r="L314" i="38"/>
  <c r="M314" i="38"/>
  <c r="L315" i="38"/>
  <c r="M315" i="38"/>
  <c r="L316" i="38"/>
  <c r="M316" i="38"/>
  <c r="L317" i="38"/>
  <c r="M317" i="38"/>
  <c r="L318" i="38"/>
  <c r="M318" i="38"/>
  <c r="L319" i="38"/>
  <c r="M319" i="38"/>
  <c r="L320" i="38"/>
  <c r="M320" i="38"/>
  <c r="L321" i="38"/>
  <c r="M321" i="38"/>
  <c r="L322" i="38"/>
  <c r="M322" i="38"/>
  <c r="L323" i="38"/>
  <c r="M323" i="38"/>
  <c r="L324" i="38"/>
  <c r="M324" i="38"/>
  <c r="L325" i="38"/>
  <c r="M325" i="38"/>
  <c r="L326" i="38"/>
  <c r="M326" i="38"/>
  <c r="L327" i="38"/>
  <c r="M327" i="38"/>
  <c r="L328" i="38"/>
  <c r="M328" i="38"/>
  <c r="L329" i="38"/>
  <c r="M329" i="38"/>
  <c r="L330" i="38"/>
  <c r="M330" i="38"/>
  <c r="L331" i="38"/>
  <c r="M331" i="38"/>
  <c r="L332" i="38"/>
  <c r="M332" i="38"/>
  <c r="L333" i="38"/>
  <c r="M333" i="38"/>
  <c r="L334" i="38"/>
  <c r="M334" i="38"/>
  <c r="L335" i="38"/>
  <c r="M335" i="38"/>
  <c r="L336" i="38"/>
  <c r="M336" i="38"/>
  <c r="L337" i="38"/>
  <c r="M337" i="38"/>
  <c r="L338" i="38"/>
  <c r="M338" i="38"/>
  <c r="L339" i="38"/>
  <c r="M339" i="38"/>
  <c r="L340" i="38"/>
  <c r="M340" i="38"/>
  <c r="L341" i="38"/>
  <c r="M341" i="38"/>
  <c r="L342" i="38"/>
  <c r="M342" i="38"/>
  <c r="L343" i="38"/>
  <c r="M343" i="38"/>
  <c r="L344" i="38"/>
  <c r="M344" i="38"/>
  <c r="L345" i="38"/>
  <c r="M345" i="38"/>
  <c r="L346" i="38"/>
  <c r="M346" i="38"/>
  <c r="L347" i="38"/>
  <c r="M347" i="38"/>
  <c r="L348" i="38"/>
  <c r="M348" i="38"/>
  <c r="L349" i="38"/>
  <c r="M349" i="38"/>
  <c r="L350" i="38"/>
  <c r="M350" i="38"/>
  <c r="L351" i="38"/>
  <c r="M351" i="38"/>
  <c r="L352" i="38"/>
  <c r="M352" i="38"/>
  <c r="L353" i="38"/>
  <c r="M353" i="38"/>
  <c r="L354" i="38"/>
  <c r="M354" i="38"/>
  <c r="L355" i="38"/>
  <c r="M355" i="38"/>
  <c r="L356" i="38"/>
  <c r="M356" i="38"/>
  <c r="L357" i="38"/>
  <c r="M357" i="38"/>
  <c r="L358" i="38"/>
  <c r="M358" i="38"/>
  <c r="L359" i="38"/>
  <c r="M359" i="38"/>
  <c r="L360" i="38"/>
  <c r="M360" i="38"/>
  <c r="L361" i="38"/>
  <c r="M361" i="38"/>
  <c r="L362" i="38"/>
  <c r="M362" i="38"/>
  <c r="L363" i="38"/>
  <c r="M363" i="38"/>
  <c r="L364" i="38"/>
  <c r="M364" i="38"/>
  <c r="L365" i="38"/>
  <c r="M365" i="38"/>
  <c r="L366" i="38"/>
  <c r="M366" i="38"/>
  <c r="L367" i="38"/>
  <c r="M367" i="38"/>
  <c r="L368" i="38"/>
  <c r="M368" i="38"/>
  <c r="L369" i="38"/>
  <c r="M369" i="38"/>
  <c r="L370" i="38"/>
  <c r="M370" i="38"/>
  <c r="L371" i="38"/>
  <c r="M371" i="38"/>
  <c r="L372" i="38"/>
  <c r="M372" i="38"/>
  <c r="L373" i="38"/>
  <c r="M373" i="38"/>
  <c r="L374" i="38"/>
  <c r="M374" i="38"/>
  <c r="L375" i="38"/>
  <c r="M375" i="38"/>
  <c r="L376" i="38"/>
  <c r="M376" i="38"/>
  <c r="L377" i="38"/>
  <c r="M377" i="38"/>
  <c r="L378" i="38"/>
  <c r="M378" i="38"/>
  <c r="L379" i="38"/>
  <c r="M379" i="38"/>
  <c r="L380" i="38"/>
  <c r="M380" i="38"/>
  <c r="L381" i="38"/>
  <c r="M381" i="38"/>
  <c r="L382" i="38"/>
  <c r="M382" i="38"/>
  <c r="L383" i="38"/>
  <c r="M383" i="38"/>
  <c r="L384" i="38"/>
  <c r="M384" i="38"/>
  <c r="L385" i="38"/>
  <c r="M385" i="38"/>
  <c r="L386" i="38"/>
  <c r="M386" i="38"/>
  <c r="L387" i="38"/>
  <c r="M387" i="38"/>
  <c r="L388" i="38"/>
  <c r="M388" i="38"/>
  <c r="L389" i="38"/>
  <c r="M389" i="38"/>
  <c r="L390" i="38"/>
  <c r="M390" i="38"/>
  <c r="L391" i="38"/>
  <c r="M391" i="38"/>
  <c r="L392" i="38"/>
  <c r="M392" i="38"/>
  <c r="L393" i="38"/>
  <c r="M393" i="38"/>
  <c r="L394" i="38"/>
  <c r="M394" i="38"/>
  <c r="L395" i="38"/>
  <c r="M395" i="38"/>
  <c r="L396" i="38"/>
  <c r="M396" i="38"/>
  <c r="L397" i="38"/>
  <c r="M397" i="38"/>
  <c r="L398" i="38"/>
  <c r="M398" i="38"/>
  <c r="L399" i="38"/>
  <c r="M399" i="38"/>
  <c r="L400" i="38"/>
  <c r="M400" i="38"/>
  <c r="L401" i="38"/>
  <c r="M401" i="38"/>
  <c r="L402" i="38"/>
  <c r="M402" i="38"/>
  <c r="L403" i="38"/>
  <c r="M403" i="38"/>
  <c r="L404" i="38"/>
  <c r="M404" i="38"/>
  <c r="L405" i="38"/>
  <c r="M405" i="38"/>
  <c r="L406" i="38"/>
  <c r="M406" i="38"/>
  <c r="L407" i="38"/>
  <c r="M407" i="38"/>
  <c r="L408" i="38"/>
  <c r="M408" i="38"/>
  <c r="L409" i="38"/>
  <c r="M409" i="38"/>
  <c r="L410" i="38"/>
  <c r="M410" i="38"/>
  <c r="L411" i="38"/>
  <c r="M411" i="38"/>
  <c r="L412" i="38"/>
  <c r="M412" i="38"/>
  <c r="L413" i="38"/>
  <c r="M413" i="38"/>
  <c r="L414" i="38"/>
  <c r="M414" i="38"/>
  <c r="L415" i="38"/>
  <c r="M415" i="38"/>
  <c r="L416" i="38"/>
  <c r="M416" i="38"/>
  <c r="L417" i="38"/>
  <c r="M417" i="38"/>
  <c r="L418" i="38"/>
  <c r="M418" i="38"/>
  <c r="L419" i="38"/>
  <c r="M419" i="38"/>
  <c r="L420" i="38"/>
  <c r="M420" i="38"/>
  <c r="L421" i="38"/>
  <c r="M421" i="38"/>
  <c r="L422" i="38"/>
  <c r="M422" i="38"/>
  <c r="L423" i="38"/>
  <c r="M423" i="38"/>
  <c r="L424" i="38"/>
  <c r="M424" i="38"/>
  <c r="L425" i="38"/>
  <c r="M425" i="38"/>
  <c r="L426" i="38"/>
  <c r="M426" i="38"/>
  <c r="L427" i="38"/>
  <c r="M427" i="38"/>
  <c r="L428" i="38"/>
  <c r="M428" i="38"/>
  <c r="L429" i="38"/>
  <c r="M429" i="38"/>
  <c r="L430" i="38"/>
  <c r="M430" i="38"/>
  <c r="L431" i="38"/>
  <c r="M431" i="38"/>
  <c r="L432" i="38"/>
  <c r="M432" i="38"/>
  <c r="L433" i="38"/>
  <c r="M433" i="38"/>
  <c r="L434" i="38"/>
  <c r="M434" i="38"/>
  <c r="L435" i="38"/>
  <c r="M435" i="38"/>
  <c r="L436" i="38"/>
  <c r="M436" i="38"/>
  <c r="L437" i="38"/>
  <c r="M437" i="38"/>
  <c r="L438" i="38"/>
  <c r="M438" i="38"/>
  <c r="L439" i="38"/>
  <c r="M439" i="38"/>
  <c r="L440" i="38"/>
  <c r="M440" i="38"/>
  <c r="L441" i="38"/>
  <c r="M441" i="38"/>
  <c r="L442" i="38"/>
  <c r="M442" i="38"/>
  <c r="L443" i="38"/>
  <c r="M443" i="38"/>
  <c r="L444" i="38"/>
  <c r="M444" i="38"/>
  <c r="L445" i="38"/>
  <c r="M445" i="38"/>
  <c r="L446" i="38"/>
  <c r="M446" i="38"/>
  <c r="L447" i="38"/>
  <c r="M447" i="38"/>
  <c r="L448" i="38"/>
  <c r="M448" i="38"/>
  <c r="L449" i="38"/>
  <c r="M449" i="38"/>
  <c r="L450" i="38"/>
  <c r="M450" i="38"/>
  <c r="L451" i="38"/>
  <c r="M451" i="38"/>
  <c r="L452" i="38"/>
  <c r="M452" i="38"/>
  <c r="L453" i="38"/>
  <c r="M453" i="38"/>
  <c r="L454" i="38"/>
  <c r="M454" i="38"/>
  <c r="L455" i="38"/>
  <c r="M455" i="38"/>
  <c r="L456" i="38"/>
  <c r="M456" i="38"/>
  <c r="L457" i="38"/>
  <c r="M457" i="38"/>
  <c r="L458" i="38"/>
  <c r="M458" i="38"/>
  <c r="L459" i="38"/>
  <c r="M459" i="38"/>
  <c r="L460" i="38"/>
  <c r="M460" i="38"/>
  <c r="L461" i="38"/>
  <c r="M461" i="38"/>
  <c r="L462" i="38"/>
  <c r="M462" i="38"/>
  <c r="L463" i="38"/>
  <c r="M463" i="38"/>
  <c r="L464" i="38"/>
  <c r="M464" i="38"/>
  <c r="L465" i="38"/>
  <c r="M465" i="38"/>
  <c r="L466" i="38"/>
  <c r="M466" i="38"/>
  <c r="L467" i="38"/>
  <c r="M467" i="38"/>
  <c r="L468" i="38"/>
  <c r="M468" i="38"/>
  <c r="L469" i="38"/>
  <c r="M469" i="38"/>
  <c r="L470" i="38"/>
  <c r="M470" i="38"/>
  <c r="L471" i="38"/>
  <c r="M471" i="38"/>
  <c r="L472" i="38"/>
  <c r="M472" i="38"/>
  <c r="L473" i="38"/>
  <c r="M473" i="38"/>
  <c r="L474" i="38"/>
  <c r="M474" i="38"/>
  <c r="L475" i="38"/>
  <c r="M475" i="38"/>
  <c r="L476" i="38"/>
  <c r="M476" i="38"/>
  <c r="L477" i="38"/>
  <c r="M477" i="38"/>
  <c r="L478" i="38"/>
  <c r="M478" i="38"/>
  <c r="L479" i="38"/>
  <c r="M479" i="38"/>
  <c r="L480" i="38"/>
  <c r="M480" i="38"/>
  <c r="L481" i="38"/>
  <c r="M481" i="38"/>
  <c r="L482" i="38"/>
  <c r="M482" i="38"/>
  <c r="L483" i="38"/>
  <c r="M483" i="38"/>
  <c r="L484" i="38"/>
  <c r="M484" i="38"/>
  <c r="L485" i="38"/>
  <c r="M485" i="38"/>
  <c r="L486" i="38"/>
  <c r="M486" i="38"/>
  <c r="L487" i="38"/>
  <c r="M487" i="38"/>
  <c r="L488" i="38"/>
  <c r="M488" i="38"/>
  <c r="L489" i="38"/>
  <c r="M489" i="38"/>
  <c r="L490" i="38"/>
  <c r="M490" i="38"/>
  <c r="L491" i="38"/>
  <c r="M491" i="38"/>
  <c r="L492" i="38"/>
  <c r="M492" i="38"/>
  <c r="L493" i="38"/>
  <c r="M493" i="38"/>
  <c r="L494" i="38"/>
  <c r="M494" i="38"/>
  <c r="L495" i="38"/>
  <c r="M495" i="38"/>
  <c r="L496" i="38"/>
  <c r="M496" i="38"/>
  <c r="L497" i="38"/>
  <c r="M497" i="38"/>
  <c r="L498" i="38"/>
  <c r="M498" i="38"/>
  <c r="L499" i="38"/>
  <c r="M499" i="38"/>
  <c r="L500" i="38"/>
  <c r="M500" i="38"/>
  <c r="L501" i="38"/>
  <c r="M501" i="38"/>
  <c r="L502" i="38"/>
  <c r="M502" i="38"/>
  <c r="L503" i="38"/>
  <c r="M503" i="38"/>
  <c r="L504" i="38"/>
  <c r="M504" i="38"/>
  <c r="L505" i="38"/>
  <c r="M505" i="38"/>
  <c r="L506" i="38"/>
  <c r="M506" i="38"/>
  <c r="L507" i="38"/>
  <c r="M507" i="38"/>
  <c r="L508" i="38"/>
  <c r="M508" i="38"/>
  <c r="L509" i="38"/>
  <c r="M509" i="38"/>
  <c r="L510" i="38"/>
  <c r="M510" i="38"/>
  <c r="L511" i="38"/>
  <c r="M511" i="38"/>
  <c r="L512" i="38"/>
  <c r="M512" i="38"/>
  <c r="L513" i="38"/>
  <c r="M513" i="38"/>
  <c r="L514" i="38"/>
  <c r="M514" i="38"/>
  <c r="L515" i="38"/>
  <c r="M515" i="38"/>
  <c r="L516" i="38"/>
  <c r="M516" i="38"/>
  <c r="L517" i="38"/>
  <c r="M517" i="38"/>
  <c r="L518" i="38"/>
  <c r="M518" i="38"/>
  <c r="L519" i="38"/>
  <c r="M519" i="38"/>
  <c r="L520" i="38"/>
  <c r="M520" i="38"/>
  <c r="L521" i="38"/>
  <c r="M521" i="38"/>
  <c r="L522" i="38"/>
  <c r="M522" i="38"/>
  <c r="L523" i="38"/>
  <c r="M523" i="38"/>
  <c r="L524" i="38"/>
  <c r="M524" i="38"/>
  <c r="L525" i="38"/>
  <c r="M525" i="38"/>
  <c r="L526" i="38"/>
  <c r="M526" i="38"/>
  <c r="L527" i="38"/>
  <c r="M527" i="38"/>
  <c r="L528" i="38"/>
  <c r="M528" i="38"/>
  <c r="L529" i="38"/>
  <c r="M529" i="38"/>
  <c r="L530" i="38"/>
  <c r="M530" i="38"/>
  <c r="L531" i="38"/>
  <c r="M531" i="38"/>
  <c r="L532" i="38"/>
  <c r="M532" i="38"/>
  <c r="L533" i="38"/>
  <c r="M533" i="38"/>
  <c r="L534" i="38"/>
  <c r="M534" i="38"/>
  <c r="L535" i="38"/>
  <c r="M535" i="38"/>
  <c r="L536" i="38"/>
  <c r="M536" i="38"/>
  <c r="L537" i="38"/>
  <c r="M537" i="38"/>
  <c r="L538" i="38"/>
  <c r="M538" i="38"/>
  <c r="L539" i="38"/>
  <c r="M539" i="38"/>
  <c r="L540" i="38"/>
  <c r="M540" i="38"/>
  <c r="L541" i="38"/>
  <c r="M541" i="38"/>
  <c r="L542" i="38"/>
  <c r="M542" i="38"/>
  <c r="L543" i="38"/>
  <c r="M543" i="38"/>
  <c r="L544" i="38"/>
  <c r="M544" i="38"/>
  <c r="L545" i="38"/>
  <c r="M545" i="38"/>
  <c r="L546" i="38"/>
  <c r="M546" i="38"/>
  <c r="L547" i="38"/>
  <c r="M547" i="38"/>
  <c r="L548" i="38"/>
  <c r="M548" i="38"/>
  <c r="L549" i="38"/>
  <c r="M549" i="38"/>
  <c r="L550" i="38"/>
  <c r="M550" i="38"/>
  <c r="L551" i="38"/>
  <c r="M551" i="38"/>
  <c r="L552" i="38"/>
  <c r="M552" i="38"/>
  <c r="L553" i="38"/>
  <c r="M553" i="38"/>
  <c r="L554" i="38"/>
  <c r="M554" i="38"/>
  <c r="L555" i="38"/>
  <c r="M555" i="38"/>
  <c r="L556" i="38"/>
  <c r="M556" i="38"/>
  <c r="L557" i="38"/>
  <c r="M557" i="38"/>
  <c r="L558" i="38"/>
  <c r="M558" i="38"/>
  <c r="L559" i="38"/>
  <c r="M559" i="38"/>
  <c r="L560" i="38"/>
  <c r="M560" i="38"/>
  <c r="L561" i="38"/>
  <c r="M561" i="38"/>
  <c r="L562" i="38"/>
  <c r="M562" i="38"/>
  <c r="L563" i="38"/>
  <c r="M563" i="38"/>
  <c r="L564" i="38"/>
  <c r="M564" i="38"/>
  <c r="L565" i="38"/>
  <c r="M565" i="38"/>
  <c r="L566" i="38"/>
  <c r="M566" i="38"/>
  <c r="L567" i="38"/>
  <c r="M567" i="38"/>
  <c r="L568" i="38"/>
  <c r="M568" i="38"/>
  <c r="L569" i="38"/>
  <c r="M569" i="38"/>
  <c r="L570" i="38"/>
  <c r="M570" i="38"/>
  <c r="L571" i="38"/>
  <c r="M571" i="38"/>
  <c r="L572" i="38"/>
  <c r="M572" i="38"/>
  <c r="L573" i="38"/>
  <c r="M573" i="38"/>
  <c r="L574" i="38"/>
  <c r="M574" i="38"/>
  <c r="L575" i="38"/>
  <c r="M575" i="38"/>
  <c r="L576" i="38"/>
  <c r="M576" i="38"/>
  <c r="L577" i="38"/>
  <c r="M577" i="38"/>
  <c r="L578" i="38"/>
  <c r="M578" i="38"/>
  <c r="L579" i="38"/>
  <c r="M579" i="38"/>
  <c r="L580" i="38"/>
  <c r="M580" i="38"/>
  <c r="L581" i="38"/>
  <c r="M581" i="38"/>
  <c r="L582" i="38"/>
  <c r="M582" i="38"/>
  <c r="L583" i="38"/>
  <c r="M583" i="38"/>
  <c r="L584" i="38"/>
  <c r="M584" i="38"/>
  <c r="L585" i="38"/>
  <c r="M585" i="38"/>
  <c r="L586" i="38"/>
  <c r="M586" i="38"/>
  <c r="L587" i="38"/>
  <c r="M587" i="38"/>
  <c r="L588" i="38"/>
  <c r="M588" i="38"/>
  <c r="L589" i="38"/>
  <c r="M589" i="38"/>
  <c r="L590" i="38"/>
  <c r="M590" i="38"/>
  <c r="L591" i="38"/>
  <c r="M591" i="38"/>
  <c r="L592" i="38"/>
  <c r="M592" i="38"/>
  <c r="L593" i="38"/>
  <c r="M593" i="38"/>
  <c r="L594" i="38"/>
  <c r="M594" i="38"/>
  <c r="L595" i="38"/>
  <c r="M595" i="38"/>
  <c r="L596" i="38"/>
  <c r="M596" i="38"/>
  <c r="L597" i="38"/>
  <c r="M597" i="38"/>
  <c r="L598" i="38"/>
  <c r="M598" i="38"/>
  <c r="L599" i="38"/>
  <c r="M599" i="38"/>
  <c r="L600" i="38"/>
  <c r="M600" i="38"/>
  <c r="L601" i="38"/>
  <c r="M601" i="38"/>
  <c r="L602" i="38"/>
  <c r="M602" i="38"/>
  <c r="L603" i="38"/>
  <c r="M603" i="38"/>
  <c r="L604" i="38"/>
  <c r="M604" i="38"/>
  <c r="L605" i="38"/>
  <c r="M605" i="38"/>
  <c r="L606" i="38"/>
  <c r="M606" i="38"/>
  <c r="L607" i="38"/>
  <c r="M607" i="38"/>
  <c r="L608" i="38"/>
  <c r="M608" i="38"/>
  <c r="L609" i="38"/>
  <c r="M609" i="38"/>
  <c r="L610" i="38"/>
  <c r="M610" i="38"/>
  <c r="L611" i="38"/>
  <c r="M611" i="38"/>
  <c r="L612" i="38"/>
  <c r="M612" i="38"/>
  <c r="L613" i="38"/>
  <c r="M613" i="38"/>
  <c r="L614" i="38"/>
  <c r="M614" i="38"/>
  <c r="L615" i="38"/>
  <c r="M615" i="38"/>
  <c r="L616" i="38"/>
  <c r="M616" i="38"/>
  <c r="L617" i="38"/>
  <c r="M617" i="38"/>
  <c r="L618" i="38"/>
  <c r="M618" i="38"/>
  <c r="L619" i="38"/>
  <c r="M619" i="38"/>
  <c r="L620" i="38"/>
  <c r="M620" i="38"/>
  <c r="L621" i="38"/>
  <c r="M621" i="38"/>
  <c r="L622" i="38"/>
  <c r="M622" i="38"/>
  <c r="L623" i="38"/>
  <c r="M623" i="38"/>
  <c r="L624" i="38"/>
  <c r="M624" i="38"/>
  <c r="L625" i="38"/>
  <c r="M625" i="38"/>
  <c r="L626" i="38"/>
  <c r="M626" i="38"/>
  <c r="L627" i="38"/>
  <c r="M627" i="38"/>
  <c r="L628" i="38"/>
  <c r="M628" i="38"/>
  <c r="L629" i="38"/>
  <c r="M629" i="38"/>
  <c r="L630" i="38"/>
  <c r="M630" i="38"/>
  <c r="L631" i="38"/>
  <c r="M631" i="38"/>
  <c r="L632" i="38"/>
  <c r="M632" i="38"/>
  <c r="L633" i="38"/>
  <c r="M633" i="38"/>
  <c r="L634" i="38"/>
  <c r="M634" i="38"/>
  <c r="L635" i="38"/>
  <c r="M635" i="38"/>
  <c r="L636" i="38"/>
  <c r="M636" i="38"/>
  <c r="AU636" i="38" l="1"/>
  <c r="AS636" i="38"/>
  <c r="V636" i="38"/>
  <c r="U636" i="38"/>
  <c r="T636" i="38"/>
  <c r="Q636" i="38"/>
  <c r="P636" i="38"/>
  <c r="O636" i="38"/>
  <c r="AU635" i="38"/>
  <c r="AS635" i="38"/>
  <c r="V635" i="38"/>
  <c r="U635" i="38"/>
  <c r="T635" i="38"/>
  <c r="Q635" i="38"/>
  <c r="P635" i="38"/>
  <c r="O635" i="38"/>
  <c r="AU634" i="38"/>
  <c r="AS634" i="38"/>
  <c r="V634" i="38"/>
  <c r="U634" i="38"/>
  <c r="T634" i="38"/>
  <c r="Q634" i="38"/>
  <c r="P634" i="38"/>
  <c r="O634" i="38"/>
  <c r="AS633" i="38"/>
  <c r="AU633" i="38"/>
  <c r="V633" i="38"/>
  <c r="U633" i="38"/>
  <c r="T633" i="38"/>
  <c r="Q633" i="38"/>
  <c r="P633" i="38"/>
  <c r="O633" i="38"/>
  <c r="AU632" i="38"/>
  <c r="AS632" i="38"/>
  <c r="V632" i="38"/>
  <c r="U632" i="38"/>
  <c r="T632" i="38"/>
  <c r="Q632" i="38"/>
  <c r="P632" i="38"/>
  <c r="O632" i="38"/>
  <c r="AU631" i="38"/>
  <c r="AS631" i="38"/>
  <c r="V631" i="38"/>
  <c r="U631" i="38"/>
  <c r="T631" i="38"/>
  <c r="Q631" i="38"/>
  <c r="P631" i="38"/>
  <c r="O631" i="38"/>
  <c r="AU630" i="38"/>
  <c r="AS630" i="38"/>
  <c r="V630" i="38"/>
  <c r="U630" i="38"/>
  <c r="T630" i="38"/>
  <c r="Q630" i="38"/>
  <c r="P630" i="38"/>
  <c r="O630" i="38"/>
  <c r="AS629" i="38"/>
  <c r="AU629" i="38"/>
  <c r="V629" i="38"/>
  <c r="U629" i="38"/>
  <c r="T629" i="38"/>
  <c r="Q629" i="38"/>
  <c r="P629" i="38"/>
  <c r="O629" i="38"/>
  <c r="AU628" i="38"/>
  <c r="AS628" i="38"/>
  <c r="V628" i="38"/>
  <c r="U628" i="38"/>
  <c r="T628" i="38"/>
  <c r="Q628" i="38"/>
  <c r="P628" i="38"/>
  <c r="O628" i="38"/>
  <c r="AU627" i="38"/>
  <c r="AS627" i="38"/>
  <c r="V627" i="38"/>
  <c r="U627" i="38"/>
  <c r="T627" i="38"/>
  <c r="Q627" i="38"/>
  <c r="P627" i="38"/>
  <c r="O627" i="38"/>
  <c r="AU626" i="38"/>
  <c r="AS626" i="38"/>
  <c r="V626" i="38"/>
  <c r="U626" i="38"/>
  <c r="T626" i="38"/>
  <c r="Q626" i="38"/>
  <c r="P626" i="38"/>
  <c r="O626" i="38"/>
  <c r="AS625" i="38"/>
  <c r="AU625" i="38"/>
  <c r="V625" i="38"/>
  <c r="U625" i="38"/>
  <c r="T625" i="38"/>
  <c r="Q625" i="38"/>
  <c r="P625" i="38"/>
  <c r="O625" i="38"/>
  <c r="AU624" i="38"/>
  <c r="AS624" i="38"/>
  <c r="V624" i="38"/>
  <c r="U624" i="38"/>
  <c r="T624" i="38"/>
  <c r="Q624" i="38"/>
  <c r="P624" i="38"/>
  <c r="O624" i="38"/>
  <c r="AU623" i="38"/>
  <c r="AS623" i="38"/>
  <c r="V623" i="38"/>
  <c r="U623" i="38"/>
  <c r="T623" i="38"/>
  <c r="Q623" i="38"/>
  <c r="P623" i="38"/>
  <c r="O623" i="38"/>
  <c r="AU622" i="38"/>
  <c r="AS622" i="38"/>
  <c r="V622" i="38"/>
  <c r="U622" i="38"/>
  <c r="T622" i="38"/>
  <c r="Q622" i="38"/>
  <c r="P622" i="38"/>
  <c r="O622" i="38"/>
  <c r="AS621" i="38"/>
  <c r="AU621" i="38"/>
  <c r="V621" i="38"/>
  <c r="U621" i="38"/>
  <c r="T621" i="38"/>
  <c r="Q621" i="38"/>
  <c r="P621" i="38"/>
  <c r="O621" i="38"/>
  <c r="AU620" i="38"/>
  <c r="AS620" i="38"/>
  <c r="V620" i="38"/>
  <c r="U620" i="38"/>
  <c r="T620" i="38"/>
  <c r="Q620" i="38"/>
  <c r="P620" i="38"/>
  <c r="O620" i="38"/>
  <c r="AU619" i="38"/>
  <c r="AS619" i="38"/>
  <c r="V619" i="38"/>
  <c r="U619" i="38"/>
  <c r="T619" i="38"/>
  <c r="Q619" i="38"/>
  <c r="P619" i="38"/>
  <c r="O619" i="38"/>
  <c r="AU618" i="38"/>
  <c r="AS618" i="38"/>
  <c r="V618" i="38"/>
  <c r="U618" i="38"/>
  <c r="T618" i="38"/>
  <c r="Q618" i="38"/>
  <c r="P618" i="38"/>
  <c r="O618" i="38"/>
  <c r="AS617" i="38"/>
  <c r="AU617" i="38"/>
  <c r="V617" i="38"/>
  <c r="U617" i="38"/>
  <c r="T617" i="38"/>
  <c r="Q617" i="38"/>
  <c r="P617" i="38"/>
  <c r="O617" i="38"/>
  <c r="AU616" i="38"/>
  <c r="AS616" i="38"/>
  <c r="V616" i="38"/>
  <c r="U616" i="38"/>
  <c r="T616" i="38"/>
  <c r="Q616" i="38"/>
  <c r="P616" i="38"/>
  <c r="O616" i="38"/>
  <c r="AU615" i="38"/>
  <c r="AS615" i="38"/>
  <c r="V615" i="38"/>
  <c r="U615" i="38"/>
  <c r="T615" i="38"/>
  <c r="Q615" i="38"/>
  <c r="P615" i="38"/>
  <c r="O615" i="38"/>
  <c r="AU614" i="38"/>
  <c r="AS614" i="38"/>
  <c r="V614" i="38"/>
  <c r="U614" i="38"/>
  <c r="T614" i="38"/>
  <c r="Q614" i="38"/>
  <c r="P614" i="38"/>
  <c r="O614" i="38"/>
  <c r="AS613" i="38"/>
  <c r="AU613" i="38"/>
  <c r="V613" i="38"/>
  <c r="U613" i="38"/>
  <c r="T613" i="38"/>
  <c r="Q613" i="38"/>
  <c r="P613" i="38"/>
  <c r="O613" i="38"/>
  <c r="AU612" i="38"/>
  <c r="AS612" i="38"/>
  <c r="V612" i="38"/>
  <c r="U612" i="38"/>
  <c r="T612" i="38"/>
  <c r="Q612" i="38"/>
  <c r="P612" i="38"/>
  <c r="O612" i="38"/>
  <c r="AU611" i="38"/>
  <c r="AS611" i="38"/>
  <c r="V611" i="38"/>
  <c r="U611" i="38"/>
  <c r="T611" i="38"/>
  <c r="Q611" i="38"/>
  <c r="P611" i="38"/>
  <c r="O611" i="38"/>
  <c r="AU610" i="38"/>
  <c r="AS610" i="38"/>
  <c r="V610" i="38"/>
  <c r="U610" i="38"/>
  <c r="T610" i="38"/>
  <c r="Q610" i="38"/>
  <c r="P610" i="38"/>
  <c r="O610" i="38"/>
  <c r="AU609" i="38"/>
  <c r="AS609" i="38"/>
  <c r="V609" i="38"/>
  <c r="U609" i="38"/>
  <c r="T609" i="38"/>
  <c r="Q609" i="38"/>
  <c r="P609" i="38"/>
  <c r="O609" i="38"/>
  <c r="AU608" i="38"/>
  <c r="AS608" i="38"/>
  <c r="V608" i="38"/>
  <c r="U608" i="38"/>
  <c r="T608" i="38"/>
  <c r="Q608" i="38"/>
  <c r="P608" i="38"/>
  <c r="O608" i="38"/>
  <c r="AS607" i="38"/>
  <c r="AU607" i="38"/>
  <c r="V607" i="38"/>
  <c r="U607" i="38"/>
  <c r="T607" i="38"/>
  <c r="Q607" i="38"/>
  <c r="P607" i="38"/>
  <c r="O607" i="38"/>
  <c r="AU606" i="38"/>
  <c r="AS606" i="38"/>
  <c r="V606" i="38"/>
  <c r="U606" i="38"/>
  <c r="T606" i="38"/>
  <c r="Q606" i="38"/>
  <c r="P606" i="38"/>
  <c r="O606" i="38"/>
  <c r="AU605" i="38"/>
  <c r="AS605" i="38"/>
  <c r="V605" i="38"/>
  <c r="U605" i="38"/>
  <c r="T605" i="38"/>
  <c r="Q605" i="38"/>
  <c r="P605" i="38"/>
  <c r="O605" i="38"/>
  <c r="AU604" i="38"/>
  <c r="AS604" i="38"/>
  <c r="V604" i="38"/>
  <c r="U604" i="38"/>
  <c r="T604" i="38"/>
  <c r="Q604" i="38"/>
  <c r="P604" i="38"/>
  <c r="O604" i="38"/>
  <c r="AS603" i="38"/>
  <c r="AU603" i="38"/>
  <c r="V603" i="38"/>
  <c r="U603" i="38"/>
  <c r="T603" i="38"/>
  <c r="Q603" i="38"/>
  <c r="P603" i="38"/>
  <c r="O603" i="38"/>
  <c r="AU602" i="38"/>
  <c r="AS602" i="38"/>
  <c r="V602" i="38"/>
  <c r="U602" i="38"/>
  <c r="T602" i="38"/>
  <c r="Q602" i="38"/>
  <c r="P602" i="38"/>
  <c r="O602" i="38"/>
  <c r="AU601" i="38"/>
  <c r="AS601" i="38"/>
  <c r="V601" i="38"/>
  <c r="U601" i="38"/>
  <c r="T601" i="38"/>
  <c r="Q601" i="38"/>
  <c r="P601" i="38"/>
  <c r="O601" i="38"/>
  <c r="AU600" i="38"/>
  <c r="AS600" i="38"/>
  <c r="V600" i="38"/>
  <c r="U600" i="38"/>
  <c r="T600" i="38"/>
  <c r="Q600" i="38"/>
  <c r="P600" i="38"/>
  <c r="O600" i="38"/>
  <c r="AS599" i="38"/>
  <c r="AU599" i="38"/>
  <c r="V599" i="38"/>
  <c r="U599" i="38"/>
  <c r="T599" i="38"/>
  <c r="Q599" i="38"/>
  <c r="P599" i="38"/>
  <c r="O599" i="38"/>
  <c r="AU598" i="38"/>
  <c r="AS598" i="38"/>
  <c r="V598" i="38"/>
  <c r="U598" i="38"/>
  <c r="T598" i="38"/>
  <c r="Q598" i="38"/>
  <c r="P598" i="38"/>
  <c r="O598" i="38"/>
  <c r="AU597" i="38"/>
  <c r="AS597" i="38"/>
  <c r="V597" i="38"/>
  <c r="U597" i="38"/>
  <c r="T597" i="38"/>
  <c r="Q597" i="38"/>
  <c r="P597" i="38"/>
  <c r="O597" i="38"/>
  <c r="AU596" i="38"/>
  <c r="AS596" i="38"/>
  <c r="V596" i="38"/>
  <c r="U596" i="38"/>
  <c r="T596" i="38"/>
  <c r="Q596" i="38"/>
  <c r="P596" i="38"/>
  <c r="O596" i="38"/>
  <c r="AS595" i="38"/>
  <c r="AU595" i="38"/>
  <c r="V595" i="38"/>
  <c r="U595" i="38"/>
  <c r="T595" i="38"/>
  <c r="Q595" i="38"/>
  <c r="P595" i="38"/>
  <c r="O595" i="38"/>
  <c r="AU594" i="38"/>
  <c r="AS594" i="38"/>
  <c r="V594" i="38"/>
  <c r="U594" i="38"/>
  <c r="T594" i="38"/>
  <c r="Q594" i="38"/>
  <c r="P594" i="38"/>
  <c r="O594" i="38"/>
  <c r="AU593" i="38"/>
  <c r="AS593" i="38"/>
  <c r="V593" i="38"/>
  <c r="U593" i="38"/>
  <c r="T593" i="38"/>
  <c r="Q593" i="38"/>
  <c r="P593" i="38"/>
  <c r="O593" i="38"/>
  <c r="AU592" i="38"/>
  <c r="AS592" i="38"/>
  <c r="V592" i="38"/>
  <c r="U592" i="38"/>
  <c r="T592" i="38"/>
  <c r="Q592" i="38"/>
  <c r="P592" i="38"/>
  <c r="O592" i="38"/>
  <c r="AS591" i="38"/>
  <c r="AU591" i="38"/>
  <c r="V591" i="38"/>
  <c r="U591" i="38"/>
  <c r="T591" i="38"/>
  <c r="Q591" i="38"/>
  <c r="P591" i="38"/>
  <c r="O591" i="38"/>
  <c r="AU590" i="38"/>
  <c r="AS590" i="38"/>
  <c r="V590" i="38"/>
  <c r="U590" i="38"/>
  <c r="T590" i="38"/>
  <c r="Q590" i="38"/>
  <c r="P590" i="38"/>
  <c r="O590" i="38"/>
  <c r="AS589" i="38"/>
  <c r="AU589" i="38"/>
  <c r="V589" i="38"/>
  <c r="U589" i="38"/>
  <c r="T589" i="38"/>
  <c r="Q589" i="38"/>
  <c r="P589" i="38"/>
  <c r="O589" i="38"/>
  <c r="AU588" i="38"/>
  <c r="AS588" i="38"/>
  <c r="V588" i="38"/>
  <c r="U588" i="38"/>
  <c r="T588" i="38"/>
  <c r="Q588" i="38"/>
  <c r="P588" i="38"/>
  <c r="O588" i="38"/>
  <c r="AS587" i="38"/>
  <c r="AU587" i="38"/>
  <c r="V587" i="38"/>
  <c r="U587" i="38"/>
  <c r="T587" i="38"/>
  <c r="Q587" i="38"/>
  <c r="P587" i="38"/>
  <c r="O587" i="38"/>
  <c r="AU586" i="38"/>
  <c r="AS586" i="38"/>
  <c r="V586" i="38"/>
  <c r="U586" i="38"/>
  <c r="T586" i="38"/>
  <c r="Q586" i="38"/>
  <c r="P586" i="38"/>
  <c r="O586" i="38"/>
  <c r="AS585" i="38"/>
  <c r="AU585" i="38"/>
  <c r="V585" i="38"/>
  <c r="U585" i="38"/>
  <c r="T585" i="38"/>
  <c r="Q585" i="38"/>
  <c r="P585" i="38"/>
  <c r="O585" i="38"/>
  <c r="AU584" i="38"/>
  <c r="AS584" i="38"/>
  <c r="V584" i="38"/>
  <c r="U584" i="38"/>
  <c r="T584" i="38"/>
  <c r="Q584" i="38"/>
  <c r="P584" i="38"/>
  <c r="O584" i="38"/>
  <c r="AS583" i="38"/>
  <c r="AU583" i="38"/>
  <c r="V583" i="38"/>
  <c r="U583" i="38"/>
  <c r="T583" i="38"/>
  <c r="Q583" i="38"/>
  <c r="P583" i="38"/>
  <c r="O583" i="38"/>
  <c r="AU582" i="38"/>
  <c r="AS582" i="38"/>
  <c r="V582" i="38"/>
  <c r="U582" i="38"/>
  <c r="T582" i="38"/>
  <c r="Q582" i="38"/>
  <c r="P582" i="38"/>
  <c r="O582" i="38"/>
  <c r="AS581" i="38"/>
  <c r="AU581" i="38"/>
  <c r="V581" i="38"/>
  <c r="U581" i="38"/>
  <c r="T581" i="38"/>
  <c r="Q581" i="38"/>
  <c r="P581" i="38"/>
  <c r="O581" i="38"/>
  <c r="AU580" i="38"/>
  <c r="AS580" i="38"/>
  <c r="V580" i="38"/>
  <c r="U580" i="38"/>
  <c r="T580" i="38"/>
  <c r="Q580" i="38"/>
  <c r="P580" i="38"/>
  <c r="O580" i="38"/>
  <c r="AS579" i="38"/>
  <c r="AU579" i="38"/>
  <c r="V579" i="38"/>
  <c r="U579" i="38"/>
  <c r="T579" i="38"/>
  <c r="Q579" i="38"/>
  <c r="P579" i="38"/>
  <c r="O579" i="38"/>
  <c r="AU578" i="38"/>
  <c r="AS578" i="38"/>
  <c r="V578" i="38"/>
  <c r="U578" i="38"/>
  <c r="T578" i="38"/>
  <c r="Q578" i="38"/>
  <c r="P578" i="38"/>
  <c r="O578" i="38"/>
  <c r="AS577" i="38"/>
  <c r="AU577" i="38"/>
  <c r="V577" i="38"/>
  <c r="U577" i="38"/>
  <c r="T577" i="38"/>
  <c r="Q577" i="38"/>
  <c r="P577" i="38"/>
  <c r="O577" i="38"/>
  <c r="AU576" i="38"/>
  <c r="AS576" i="38"/>
  <c r="V576" i="38"/>
  <c r="U576" i="38"/>
  <c r="T576" i="38"/>
  <c r="Q576" i="38"/>
  <c r="P576" i="38"/>
  <c r="O576" i="38"/>
  <c r="AS575" i="38"/>
  <c r="AU575" i="38"/>
  <c r="V575" i="38"/>
  <c r="U575" i="38"/>
  <c r="T575" i="38"/>
  <c r="Q575" i="38"/>
  <c r="P575" i="38"/>
  <c r="O575" i="38"/>
  <c r="AU574" i="38"/>
  <c r="AS574" i="38"/>
  <c r="V574" i="38"/>
  <c r="U574" i="38"/>
  <c r="T574" i="38"/>
  <c r="Q574" i="38"/>
  <c r="P574" i="38"/>
  <c r="O574" i="38"/>
  <c r="AS573" i="38"/>
  <c r="AU573" i="38"/>
  <c r="V573" i="38"/>
  <c r="U573" i="38"/>
  <c r="T573" i="38"/>
  <c r="Q573" i="38"/>
  <c r="P573" i="38"/>
  <c r="O573" i="38"/>
  <c r="AU572" i="38"/>
  <c r="AS572" i="38"/>
  <c r="V572" i="38"/>
  <c r="U572" i="38"/>
  <c r="T572" i="38"/>
  <c r="Q572" i="38"/>
  <c r="P572" i="38"/>
  <c r="O572" i="38"/>
  <c r="AS571" i="38"/>
  <c r="AU571" i="38"/>
  <c r="V571" i="38"/>
  <c r="U571" i="38"/>
  <c r="T571" i="38"/>
  <c r="Q571" i="38"/>
  <c r="P571" i="38"/>
  <c r="O571" i="38"/>
  <c r="AU570" i="38"/>
  <c r="AS570" i="38"/>
  <c r="V570" i="38"/>
  <c r="U570" i="38"/>
  <c r="T570" i="38"/>
  <c r="Q570" i="38"/>
  <c r="P570" i="38"/>
  <c r="O570" i="38"/>
  <c r="AS569" i="38"/>
  <c r="AU569" i="38"/>
  <c r="V569" i="38"/>
  <c r="U569" i="38"/>
  <c r="T569" i="38"/>
  <c r="Q569" i="38"/>
  <c r="P569" i="38"/>
  <c r="O569" i="38"/>
  <c r="AU568" i="38"/>
  <c r="AS568" i="38"/>
  <c r="V568" i="38"/>
  <c r="U568" i="38"/>
  <c r="T568" i="38"/>
  <c r="Q568" i="38"/>
  <c r="P568" i="38"/>
  <c r="O568" i="38"/>
  <c r="AS567" i="38"/>
  <c r="AU567" i="38"/>
  <c r="V567" i="38"/>
  <c r="U567" i="38"/>
  <c r="T567" i="38"/>
  <c r="Q567" i="38"/>
  <c r="P567" i="38"/>
  <c r="O567" i="38"/>
  <c r="AU566" i="38"/>
  <c r="AS566" i="38"/>
  <c r="V566" i="38"/>
  <c r="U566" i="38"/>
  <c r="T566" i="38"/>
  <c r="Q566" i="38"/>
  <c r="P566" i="38"/>
  <c r="O566" i="38"/>
  <c r="AS565" i="38"/>
  <c r="AU565" i="38"/>
  <c r="V565" i="38"/>
  <c r="U565" i="38"/>
  <c r="T565" i="38"/>
  <c r="Q565" i="38"/>
  <c r="P565" i="38"/>
  <c r="O565" i="38"/>
  <c r="AU564" i="38"/>
  <c r="AS564" i="38"/>
  <c r="V564" i="38"/>
  <c r="U564" i="38"/>
  <c r="T564" i="38"/>
  <c r="Q564" i="38"/>
  <c r="P564" i="38"/>
  <c r="O564" i="38"/>
  <c r="AS563" i="38"/>
  <c r="AU563" i="38"/>
  <c r="V563" i="38"/>
  <c r="U563" i="38"/>
  <c r="T563" i="38"/>
  <c r="Q563" i="38"/>
  <c r="P563" i="38"/>
  <c r="O563" i="38"/>
  <c r="AU562" i="38"/>
  <c r="AS562" i="38"/>
  <c r="V562" i="38"/>
  <c r="U562" i="38"/>
  <c r="T562" i="38"/>
  <c r="Q562" i="38"/>
  <c r="P562" i="38"/>
  <c r="O562" i="38"/>
  <c r="AS561" i="38"/>
  <c r="AU561" i="38"/>
  <c r="V561" i="38"/>
  <c r="U561" i="38"/>
  <c r="T561" i="38"/>
  <c r="Q561" i="38"/>
  <c r="P561" i="38"/>
  <c r="O561" i="38"/>
  <c r="AU560" i="38"/>
  <c r="AS560" i="38"/>
  <c r="V560" i="38"/>
  <c r="U560" i="38"/>
  <c r="T560" i="38"/>
  <c r="Q560" i="38"/>
  <c r="P560" i="38"/>
  <c r="O560" i="38"/>
  <c r="AS559" i="38"/>
  <c r="AU559" i="38"/>
  <c r="V559" i="38"/>
  <c r="U559" i="38"/>
  <c r="T559" i="38"/>
  <c r="Q559" i="38"/>
  <c r="P559" i="38"/>
  <c r="O559" i="38"/>
  <c r="AU558" i="38"/>
  <c r="AS558" i="38"/>
  <c r="V558" i="38"/>
  <c r="U558" i="38"/>
  <c r="T558" i="38"/>
  <c r="Q558" i="38"/>
  <c r="P558" i="38"/>
  <c r="O558" i="38"/>
  <c r="AS557" i="38"/>
  <c r="AU557" i="38"/>
  <c r="V557" i="38"/>
  <c r="U557" i="38"/>
  <c r="T557" i="38"/>
  <c r="Q557" i="38"/>
  <c r="P557" i="38"/>
  <c r="O557" i="38"/>
  <c r="AU556" i="38"/>
  <c r="AS556" i="38"/>
  <c r="V556" i="38"/>
  <c r="U556" i="38"/>
  <c r="T556" i="38"/>
  <c r="Q556" i="38"/>
  <c r="P556" i="38"/>
  <c r="O556" i="38"/>
  <c r="AS555" i="38"/>
  <c r="AU555" i="38"/>
  <c r="V555" i="38"/>
  <c r="U555" i="38"/>
  <c r="T555" i="38"/>
  <c r="Q555" i="38"/>
  <c r="P555" i="38"/>
  <c r="O555" i="38"/>
  <c r="AU554" i="38"/>
  <c r="AS554" i="38"/>
  <c r="V554" i="38"/>
  <c r="U554" i="38"/>
  <c r="T554" i="38"/>
  <c r="Q554" i="38"/>
  <c r="P554" i="38"/>
  <c r="O554" i="38"/>
  <c r="AS553" i="38"/>
  <c r="AU553" i="38"/>
  <c r="V553" i="38"/>
  <c r="U553" i="38"/>
  <c r="T553" i="38"/>
  <c r="Q553" i="38"/>
  <c r="P553" i="38"/>
  <c r="O553" i="38"/>
  <c r="AU552" i="38"/>
  <c r="AS552" i="38"/>
  <c r="V552" i="38"/>
  <c r="U552" i="38"/>
  <c r="T552" i="38"/>
  <c r="Q552" i="38"/>
  <c r="P552" i="38"/>
  <c r="O552" i="38"/>
  <c r="AS551" i="38"/>
  <c r="AU551" i="38"/>
  <c r="V551" i="38"/>
  <c r="U551" i="38"/>
  <c r="T551" i="38"/>
  <c r="Q551" i="38"/>
  <c r="P551" i="38"/>
  <c r="O551" i="38"/>
  <c r="AU550" i="38"/>
  <c r="AS550" i="38"/>
  <c r="V550" i="38"/>
  <c r="U550" i="38"/>
  <c r="T550" i="38"/>
  <c r="Q550" i="38"/>
  <c r="P550" i="38"/>
  <c r="O550" i="38"/>
  <c r="AS549" i="38"/>
  <c r="AU549" i="38"/>
  <c r="V549" i="38"/>
  <c r="U549" i="38"/>
  <c r="T549" i="38"/>
  <c r="Q549" i="38"/>
  <c r="P549" i="38"/>
  <c r="O549" i="38"/>
  <c r="AU548" i="38"/>
  <c r="AS548" i="38"/>
  <c r="V548" i="38"/>
  <c r="U548" i="38"/>
  <c r="T548" i="38"/>
  <c r="Q548" i="38"/>
  <c r="P548" i="38"/>
  <c r="O548" i="38"/>
  <c r="AS547" i="38"/>
  <c r="AU547" i="38"/>
  <c r="V547" i="38"/>
  <c r="U547" i="38"/>
  <c r="T547" i="38"/>
  <c r="Q547" i="38"/>
  <c r="P547" i="38"/>
  <c r="O547" i="38"/>
  <c r="AS546" i="38"/>
  <c r="V546" i="38"/>
  <c r="U546" i="38"/>
  <c r="T546" i="38"/>
  <c r="Q546" i="38"/>
  <c r="P546" i="38"/>
  <c r="O546" i="38"/>
  <c r="AS545" i="38"/>
  <c r="AU545" i="38"/>
  <c r="V545" i="38"/>
  <c r="U545" i="38"/>
  <c r="T545" i="38"/>
  <c r="Q545" i="38"/>
  <c r="P545" i="38"/>
  <c r="O545" i="38"/>
  <c r="AU544" i="38"/>
  <c r="AS544" i="38"/>
  <c r="V544" i="38"/>
  <c r="U544" i="38"/>
  <c r="T544" i="38"/>
  <c r="Q544" i="38"/>
  <c r="P544" i="38"/>
  <c r="O544" i="38"/>
  <c r="AS543" i="38"/>
  <c r="AU543" i="38"/>
  <c r="V543" i="38"/>
  <c r="U543" i="38"/>
  <c r="T543" i="38"/>
  <c r="Q543" i="38"/>
  <c r="P543" i="38"/>
  <c r="O543" i="38"/>
  <c r="AS542" i="38"/>
  <c r="V542" i="38"/>
  <c r="U542" i="38"/>
  <c r="T542" i="38"/>
  <c r="Q542" i="38"/>
  <c r="P542" i="38"/>
  <c r="O542" i="38"/>
  <c r="AS541" i="38"/>
  <c r="AU541" i="38"/>
  <c r="V541" i="38"/>
  <c r="U541" i="38"/>
  <c r="T541" i="38"/>
  <c r="Q541" i="38"/>
  <c r="P541" i="38"/>
  <c r="O541" i="38"/>
  <c r="AU540" i="38"/>
  <c r="AS540" i="38"/>
  <c r="V540" i="38"/>
  <c r="U540" i="38"/>
  <c r="T540" i="38"/>
  <c r="Q540" i="38"/>
  <c r="P540" i="38"/>
  <c r="O540" i="38"/>
  <c r="AS539" i="38"/>
  <c r="V539" i="38"/>
  <c r="U539" i="38"/>
  <c r="T539" i="38"/>
  <c r="Q539" i="38"/>
  <c r="P539" i="38"/>
  <c r="O539" i="38"/>
  <c r="AU538" i="38"/>
  <c r="AS538" i="38"/>
  <c r="V538" i="38"/>
  <c r="U538" i="38"/>
  <c r="T538" i="38"/>
  <c r="Q538" i="38"/>
  <c r="P538" i="38"/>
  <c r="O538" i="38"/>
  <c r="V537" i="38"/>
  <c r="U537" i="38"/>
  <c r="T537" i="38"/>
  <c r="Q537" i="38"/>
  <c r="P537" i="38"/>
  <c r="O537" i="38"/>
  <c r="AU536" i="38"/>
  <c r="AS536" i="38"/>
  <c r="V536" i="38"/>
  <c r="U536" i="38"/>
  <c r="T536" i="38"/>
  <c r="Q536" i="38"/>
  <c r="P536" i="38"/>
  <c r="O536" i="38"/>
  <c r="AS535" i="38"/>
  <c r="V535" i="38"/>
  <c r="U535" i="38"/>
  <c r="T535" i="38"/>
  <c r="Q535" i="38"/>
  <c r="P535" i="38"/>
  <c r="O535" i="38"/>
  <c r="AU534" i="38"/>
  <c r="AS534" i="38"/>
  <c r="V534" i="38"/>
  <c r="U534" i="38"/>
  <c r="T534" i="38"/>
  <c r="Q534" i="38"/>
  <c r="P534" i="38"/>
  <c r="O534" i="38"/>
  <c r="V533" i="38"/>
  <c r="U533" i="38"/>
  <c r="T533" i="38"/>
  <c r="Q533" i="38"/>
  <c r="P533" i="38"/>
  <c r="O533" i="38"/>
  <c r="AU532" i="38"/>
  <c r="AS532" i="38"/>
  <c r="V532" i="38"/>
  <c r="U532" i="38"/>
  <c r="T532" i="38"/>
  <c r="Q532" i="38"/>
  <c r="P532" i="38"/>
  <c r="O532" i="38"/>
  <c r="AS531" i="38"/>
  <c r="AU531" i="38"/>
  <c r="V531" i="38"/>
  <c r="U531" i="38"/>
  <c r="T531" i="38"/>
  <c r="Q531" i="38"/>
  <c r="P531" i="38"/>
  <c r="O531" i="38"/>
  <c r="V530" i="38"/>
  <c r="U530" i="38"/>
  <c r="T530" i="38"/>
  <c r="Q530" i="38"/>
  <c r="P530" i="38"/>
  <c r="O530" i="38"/>
  <c r="AS529" i="38"/>
  <c r="AU529" i="38"/>
  <c r="V529" i="38"/>
  <c r="U529" i="38"/>
  <c r="T529" i="38"/>
  <c r="Q529" i="38"/>
  <c r="P529" i="38"/>
  <c r="O529" i="38"/>
  <c r="AS528" i="38"/>
  <c r="V528" i="38"/>
  <c r="U528" i="38"/>
  <c r="T528" i="38"/>
  <c r="Q528" i="38"/>
  <c r="P528" i="38"/>
  <c r="O528" i="38"/>
  <c r="AS527" i="38"/>
  <c r="AU527" i="38"/>
  <c r="V527" i="38"/>
  <c r="U527" i="38"/>
  <c r="T527" i="38"/>
  <c r="Q527" i="38"/>
  <c r="P527" i="38"/>
  <c r="O527" i="38"/>
  <c r="V526" i="38"/>
  <c r="U526" i="38"/>
  <c r="T526" i="38"/>
  <c r="Q526" i="38"/>
  <c r="P526" i="38"/>
  <c r="O526" i="38"/>
  <c r="AS525" i="38"/>
  <c r="AU525" i="38"/>
  <c r="V525" i="38"/>
  <c r="U525" i="38"/>
  <c r="T525" i="38"/>
  <c r="Q525" i="38"/>
  <c r="P525" i="38"/>
  <c r="O525" i="38"/>
  <c r="AS524" i="38"/>
  <c r="V524" i="38"/>
  <c r="U524" i="38"/>
  <c r="T524" i="38"/>
  <c r="Q524" i="38"/>
  <c r="P524" i="38"/>
  <c r="O524" i="38"/>
  <c r="AS523" i="38"/>
  <c r="V523" i="38"/>
  <c r="U523" i="38"/>
  <c r="T523" i="38"/>
  <c r="Q523" i="38"/>
  <c r="P523" i="38"/>
  <c r="O523" i="38"/>
  <c r="AU522" i="38"/>
  <c r="V522" i="38"/>
  <c r="U522" i="38"/>
  <c r="T522" i="38"/>
  <c r="Q522" i="38"/>
  <c r="P522" i="38"/>
  <c r="O522" i="38"/>
  <c r="V521" i="38"/>
  <c r="U521" i="38"/>
  <c r="T521" i="38"/>
  <c r="Q521" i="38"/>
  <c r="P521" i="38"/>
  <c r="O521" i="38"/>
  <c r="AU520" i="38"/>
  <c r="AS520" i="38"/>
  <c r="V520" i="38"/>
  <c r="U520" i="38"/>
  <c r="T520" i="38"/>
  <c r="Q520" i="38"/>
  <c r="P520" i="38"/>
  <c r="O520" i="38"/>
  <c r="AS519" i="38"/>
  <c r="V519" i="38"/>
  <c r="U519" i="38"/>
  <c r="T519" i="38"/>
  <c r="Q519" i="38"/>
  <c r="P519" i="38"/>
  <c r="O519" i="38"/>
  <c r="AU518" i="38"/>
  <c r="V518" i="38"/>
  <c r="U518" i="38"/>
  <c r="T518" i="38"/>
  <c r="Q518" i="38"/>
  <c r="P518" i="38"/>
  <c r="O518" i="38"/>
  <c r="V517" i="38"/>
  <c r="U517" i="38"/>
  <c r="T517" i="38"/>
  <c r="Q517" i="38"/>
  <c r="P517" i="38"/>
  <c r="O517" i="38"/>
  <c r="AU516" i="38"/>
  <c r="AS516" i="38"/>
  <c r="V516" i="38"/>
  <c r="U516" i="38"/>
  <c r="T516" i="38"/>
  <c r="Q516" i="38"/>
  <c r="P516" i="38"/>
  <c r="O516" i="38"/>
  <c r="AS515" i="38"/>
  <c r="AU515" i="38"/>
  <c r="V515" i="38"/>
  <c r="U515" i="38"/>
  <c r="T515" i="38"/>
  <c r="Q515" i="38"/>
  <c r="P515" i="38"/>
  <c r="O515" i="38"/>
  <c r="AS514" i="38"/>
  <c r="V514" i="38"/>
  <c r="U514" i="38"/>
  <c r="T514" i="38"/>
  <c r="Q514" i="38"/>
  <c r="P514" i="38"/>
  <c r="O514" i="38"/>
  <c r="AU513" i="38"/>
  <c r="V513" i="38"/>
  <c r="U513" i="38"/>
  <c r="T513" i="38"/>
  <c r="Q513" i="38"/>
  <c r="P513" i="38"/>
  <c r="O513" i="38"/>
  <c r="AS512" i="38"/>
  <c r="V512" i="38"/>
  <c r="U512" i="38"/>
  <c r="T512" i="38"/>
  <c r="Q512" i="38"/>
  <c r="P512" i="38"/>
  <c r="O512" i="38"/>
  <c r="AS511" i="38"/>
  <c r="AU511" i="38"/>
  <c r="V511" i="38"/>
  <c r="U511" i="38"/>
  <c r="T511" i="38"/>
  <c r="Q511" i="38"/>
  <c r="P511" i="38"/>
  <c r="O511" i="38"/>
  <c r="AS510" i="38"/>
  <c r="V510" i="38"/>
  <c r="U510" i="38"/>
  <c r="T510" i="38"/>
  <c r="Q510" i="38"/>
  <c r="P510" i="38"/>
  <c r="O510" i="38"/>
  <c r="AS509" i="38"/>
  <c r="AU509" i="38"/>
  <c r="V509" i="38"/>
  <c r="U509" i="38"/>
  <c r="T509" i="38"/>
  <c r="Q509" i="38"/>
  <c r="P509" i="38"/>
  <c r="O509" i="38"/>
  <c r="AU508" i="38"/>
  <c r="V508" i="38"/>
  <c r="U508" i="38"/>
  <c r="T508" i="38"/>
  <c r="Q508" i="38"/>
  <c r="P508" i="38"/>
  <c r="O508" i="38"/>
  <c r="AS507" i="38"/>
  <c r="V507" i="38"/>
  <c r="U507" i="38"/>
  <c r="T507" i="38"/>
  <c r="Q507" i="38"/>
  <c r="P507" i="38"/>
  <c r="O507" i="38"/>
  <c r="AU506" i="38"/>
  <c r="AS506" i="38"/>
  <c r="V506" i="38"/>
  <c r="U506" i="38"/>
  <c r="T506" i="38"/>
  <c r="Q506" i="38"/>
  <c r="P506" i="38"/>
  <c r="O506" i="38"/>
  <c r="V505" i="38"/>
  <c r="U505" i="38"/>
  <c r="T505" i="38"/>
  <c r="Q505" i="38"/>
  <c r="P505" i="38"/>
  <c r="O505" i="38"/>
  <c r="AU504" i="38"/>
  <c r="AS504" i="38"/>
  <c r="V504" i="38"/>
  <c r="U504" i="38"/>
  <c r="T504" i="38"/>
  <c r="Q504" i="38"/>
  <c r="P504" i="38"/>
  <c r="O504" i="38"/>
  <c r="AS503" i="38"/>
  <c r="V503" i="38"/>
  <c r="U503" i="38"/>
  <c r="T503" i="38"/>
  <c r="Q503" i="38"/>
  <c r="P503" i="38"/>
  <c r="O503" i="38"/>
  <c r="AU502" i="38"/>
  <c r="AS502" i="38"/>
  <c r="V502" i="38"/>
  <c r="U502" i="38"/>
  <c r="T502" i="38"/>
  <c r="Q502" i="38"/>
  <c r="P502" i="38"/>
  <c r="O502" i="38"/>
  <c r="V501" i="38"/>
  <c r="U501" i="38"/>
  <c r="T501" i="38"/>
  <c r="Q501" i="38"/>
  <c r="P501" i="38"/>
  <c r="O501" i="38"/>
  <c r="AS500" i="38"/>
  <c r="AU500" i="38"/>
  <c r="V500" i="38"/>
  <c r="U500" i="38"/>
  <c r="T500" i="38"/>
  <c r="Q500" i="38"/>
  <c r="P500" i="38"/>
  <c r="O500" i="38"/>
  <c r="AU499" i="38"/>
  <c r="AS499" i="38"/>
  <c r="V499" i="38"/>
  <c r="U499" i="38"/>
  <c r="T499" i="38"/>
  <c r="Q499" i="38"/>
  <c r="P499" i="38"/>
  <c r="O499" i="38"/>
  <c r="AS498" i="38"/>
  <c r="V498" i="38"/>
  <c r="U498" i="38"/>
  <c r="T498" i="38"/>
  <c r="Q498" i="38"/>
  <c r="P498" i="38"/>
  <c r="O498" i="38"/>
  <c r="AU497" i="38"/>
  <c r="AS497" i="38"/>
  <c r="V497" i="38"/>
  <c r="U497" i="38"/>
  <c r="T497" i="38"/>
  <c r="Q497" i="38"/>
  <c r="P497" i="38"/>
  <c r="O497" i="38"/>
  <c r="AS496" i="38"/>
  <c r="AU496" i="38"/>
  <c r="V496" i="38"/>
  <c r="U496" i="38"/>
  <c r="T496" i="38"/>
  <c r="Q496" i="38"/>
  <c r="P496" i="38"/>
  <c r="O496" i="38"/>
  <c r="AU495" i="38"/>
  <c r="V495" i="38"/>
  <c r="U495" i="38"/>
  <c r="T495" i="38"/>
  <c r="Q495" i="38"/>
  <c r="P495" i="38"/>
  <c r="O495" i="38"/>
  <c r="AS494" i="38"/>
  <c r="V494" i="38"/>
  <c r="U494" i="38"/>
  <c r="T494" i="38"/>
  <c r="Q494" i="38"/>
  <c r="P494" i="38"/>
  <c r="O494" i="38"/>
  <c r="AU493" i="38"/>
  <c r="AS493" i="38"/>
  <c r="V493" i="38"/>
  <c r="U493" i="38"/>
  <c r="T493" i="38"/>
  <c r="Q493" i="38"/>
  <c r="P493" i="38"/>
  <c r="O493" i="38"/>
  <c r="AS492" i="38"/>
  <c r="AU492" i="38"/>
  <c r="V492" i="38"/>
  <c r="U492" i="38"/>
  <c r="T492" i="38"/>
  <c r="Q492" i="38"/>
  <c r="P492" i="38"/>
  <c r="O492" i="38"/>
  <c r="AU491" i="38"/>
  <c r="V491" i="38"/>
  <c r="U491" i="38"/>
  <c r="T491" i="38"/>
  <c r="Q491" i="38"/>
  <c r="P491" i="38"/>
  <c r="O491" i="38"/>
  <c r="AS490" i="38"/>
  <c r="V490" i="38"/>
  <c r="U490" i="38"/>
  <c r="T490" i="38"/>
  <c r="Q490" i="38"/>
  <c r="P490" i="38"/>
  <c r="O490" i="38"/>
  <c r="AU489" i="38"/>
  <c r="V489" i="38"/>
  <c r="U489" i="38"/>
  <c r="T489" i="38"/>
  <c r="Q489" i="38"/>
  <c r="P489" i="38"/>
  <c r="O489" i="38"/>
  <c r="AS488" i="38"/>
  <c r="AU488" i="38"/>
  <c r="V488" i="38"/>
  <c r="U488" i="38"/>
  <c r="T488" i="38"/>
  <c r="Q488" i="38"/>
  <c r="P488" i="38"/>
  <c r="O488" i="38"/>
  <c r="AU487" i="38"/>
  <c r="V487" i="38"/>
  <c r="U487" i="38"/>
  <c r="T487" i="38"/>
  <c r="Q487" i="38"/>
  <c r="P487" i="38"/>
  <c r="O487" i="38"/>
  <c r="AS486" i="38"/>
  <c r="AU486" i="38"/>
  <c r="V486" i="38"/>
  <c r="U486" i="38"/>
  <c r="T486" i="38"/>
  <c r="Q486" i="38"/>
  <c r="P486" i="38"/>
  <c r="O486" i="38"/>
  <c r="AU485" i="38"/>
  <c r="AS485" i="38"/>
  <c r="V485" i="38"/>
  <c r="U485" i="38"/>
  <c r="T485" i="38"/>
  <c r="Q485" i="38"/>
  <c r="P485" i="38"/>
  <c r="O485" i="38"/>
  <c r="AS484" i="38"/>
  <c r="AU484" i="38"/>
  <c r="V484" i="38"/>
  <c r="U484" i="38"/>
  <c r="T484" i="38"/>
  <c r="Q484" i="38"/>
  <c r="P484" i="38"/>
  <c r="O484" i="38"/>
  <c r="AU483" i="38"/>
  <c r="V483" i="38"/>
  <c r="U483" i="38"/>
  <c r="T483" i="38"/>
  <c r="Q483" i="38"/>
  <c r="P483" i="38"/>
  <c r="O483" i="38"/>
  <c r="AS482" i="38"/>
  <c r="V482" i="38"/>
  <c r="U482" i="38"/>
  <c r="T482" i="38"/>
  <c r="Q482" i="38"/>
  <c r="P482" i="38"/>
  <c r="O482" i="38"/>
  <c r="V481" i="38"/>
  <c r="U481" i="38"/>
  <c r="T481" i="38"/>
  <c r="Q481" i="38"/>
  <c r="P481" i="38"/>
  <c r="O481" i="38"/>
  <c r="AS480" i="38"/>
  <c r="AU480" i="38"/>
  <c r="V480" i="38"/>
  <c r="U480" i="38"/>
  <c r="T480" i="38"/>
  <c r="Q480" i="38"/>
  <c r="P480" i="38"/>
  <c r="O480" i="38"/>
  <c r="AU479" i="38"/>
  <c r="V479" i="38"/>
  <c r="U479" i="38"/>
  <c r="T479" i="38"/>
  <c r="Q479" i="38"/>
  <c r="P479" i="38"/>
  <c r="O479" i="38"/>
  <c r="AU478" i="38"/>
  <c r="AS478" i="38"/>
  <c r="V478" i="38"/>
  <c r="U478" i="38"/>
  <c r="T478" i="38"/>
  <c r="Q478" i="38"/>
  <c r="P478" i="38"/>
  <c r="O478" i="38"/>
  <c r="AS477" i="38"/>
  <c r="V477" i="38"/>
  <c r="U477" i="38"/>
  <c r="T477" i="38"/>
  <c r="Q477" i="38"/>
  <c r="P477" i="38"/>
  <c r="O477" i="38"/>
  <c r="AS476" i="38"/>
  <c r="AU476" i="38"/>
  <c r="V476" i="38"/>
  <c r="U476" i="38"/>
  <c r="T476" i="38"/>
  <c r="Q476" i="38"/>
  <c r="P476" i="38"/>
  <c r="O476" i="38"/>
  <c r="AU475" i="38"/>
  <c r="AS475" i="38"/>
  <c r="V475" i="38"/>
  <c r="U475" i="38"/>
  <c r="T475" i="38"/>
  <c r="Q475" i="38"/>
  <c r="P475" i="38"/>
  <c r="O475" i="38"/>
  <c r="AU474" i="38"/>
  <c r="AS474" i="38"/>
  <c r="V474" i="38"/>
  <c r="U474" i="38"/>
  <c r="T474" i="38"/>
  <c r="Q474" i="38"/>
  <c r="P474" i="38"/>
  <c r="O474" i="38"/>
  <c r="V473" i="38"/>
  <c r="U473" i="38"/>
  <c r="T473" i="38"/>
  <c r="Q473" i="38"/>
  <c r="P473" i="38"/>
  <c r="O473" i="38"/>
  <c r="AS472" i="38"/>
  <c r="AU472" i="38"/>
  <c r="V472" i="38"/>
  <c r="U472" i="38"/>
  <c r="T472" i="38"/>
  <c r="Q472" i="38"/>
  <c r="P472" i="38"/>
  <c r="O472" i="38"/>
  <c r="AU471" i="38"/>
  <c r="AS471" i="38"/>
  <c r="V471" i="38"/>
  <c r="U471" i="38"/>
  <c r="T471" i="38"/>
  <c r="Q471" i="38"/>
  <c r="P471" i="38"/>
  <c r="O471" i="38"/>
  <c r="AU470" i="38"/>
  <c r="AS470" i="38"/>
  <c r="V470" i="38"/>
  <c r="U470" i="38"/>
  <c r="T470" i="38"/>
  <c r="Q470" i="38"/>
  <c r="P470" i="38"/>
  <c r="O470" i="38"/>
  <c r="AS469" i="38"/>
  <c r="V469" i="38"/>
  <c r="U469" i="38"/>
  <c r="T469" i="38"/>
  <c r="Q469" i="38"/>
  <c r="P469" i="38"/>
  <c r="O469" i="38"/>
  <c r="AS468" i="38"/>
  <c r="AU468" i="38"/>
  <c r="V468" i="38"/>
  <c r="U468" i="38"/>
  <c r="T468" i="38"/>
  <c r="Q468" i="38"/>
  <c r="P468" i="38"/>
  <c r="O468" i="38"/>
  <c r="AU467" i="38"/>
  <c r="AS467" i="38"/>
  <c r="V467" i="38"/>
  <c r="U467" i="38"/>
  <c r="T467" i="38"/>
  <c r="Q467" i="38"/>
  <c r="P467" i="38"/>
  <c r="O467" i="38"/>
  <c r="AU466" i="38"/>
  <c r="AS466" i="38"/>
  <c r="V466" i="38"/>
  <c r="U466" i="38"/>
  <c r="T466" i="38"/>
  <c r="Q466" i="38"/>
  <c r="P466" i="38"/>
  <c r="O466" i="38"/>
  <c r="AS465" i="38"/>
  <c r="V465" i="38"/>
  <c r="U465" i="38"/>
  <c r="T465" i="38"/>
  <c r="Q465" i="38"/>
  <c r="P465" i="38"/>
  <c r="O465" i="38"/>
  <c r="AS464" i="38"/>
  <c r="AU464" i="38"/>
  <c r="V464" i="38"/>
  <c r="U464" i="38"/>
  <c r="T464" i="38"/>
  <c r="Q464" i="38"/>
  <c r="P464" i="38"/>
  <c r="O464" i="38"/>
  <c r="AU463" i="38"/>
  <c r="AS463" i="38"/>
  <c r="V463" i="38"/>
  <c r="U463" i="38"/>
  <c r="T463" i="38"/>
  <c r="Q463" i="38"/>
  <c r="P463" i="38"/>
  <c r="O463" i="38"/>
  <c r="AU462" i="38"/>
  <c r="AS462" i="38"/>
  <c r="V462" i="38"/>
  <c r="U462" i="38"/>
  <c r="T462" i="38"/>
  <c r="Q462" i="38"/>
  <c r="P462" i="38"/>
  <c r="O462" i="38"/>
  <c r="V461" i="38"/>
  <c r="U461" i="38"/>
  <c r="T461" i="38"/>
  <c r="Q461" i="38"/>
  <c r="P461" i="38"/>
  <c r="O461" i="38"/>
  <c r="AS460" i="38"/>
  <c r="AU460" i="38"/>
  <c r="V460" i="38"/>
  <c r="U460" i="38"/>
  <c r="T460" i="38"/>
  <c r="Q460" i="38"/>
  <c r="P460" i="38"/>
  <c r="O460" i="38"/>
  <c r="AU459" i="38"/>
  <c r="AS459" i="38"/>
  <c r="V459" i="38"/>
  <c r="U459" i="38"/>
  <c r="T459" i="38"/>
  <c r="Q459" i="38"/>
  <c r="P459" i="38"/>
  <c r="O459" i="38"/>
  <c r="AU458" i="38"/>
  <c r="AS458" i="38"/>
  <c r="V458" i="38"/>
  <c r="U458" i="38"/>
  <c r="T458" i="38"/>
  <c r="Q458" i="38"/>
  <c r="P458" i="38"/>
  <c r="O458" i="38"/>
  <c r="V457" i="38"/>
  <c r="U457" i="38"/>
  <c r="T457" i="38"/>
  <c r="Q457" i="38"/>
  <c r="P457" i="38"/>
  <c r="O457" i="38"/>
  <c r="AS456" i="38"/>
  <c r="AU456" i="38"/>
  <c r="V456" i="38"/>
  <c r="U456" i="38"/>
  <c r="T456" i="38"/>
  <c r="Q456" i="38"/>
  <c r="P456" i="38"/>
  <c r="O456" i="38"/>
  <c r="AU455" i="38"/>
  <c r="AS455" i="38"/>
  <c r="V455" i="38"/>
  <c r="U455" i="38"/>
  <c r="T455" i="38"/>
  <c r="Q455" i="38"/>
  <c r="P455" i="38"/>
  <c r="O455" i="38"/>
  <c r="AU454" i="38"/>
  <c r="AS454" i="38"/>
  <c r="V454" i="38"/>
  <c r="U454" i="38"/>
  <c r="T454" i="38"/>
  <c r="Q454" i="38"/>
  <c r="P454" i="38"/>
  <c r="O454" i="38"/>
  <c r="V453" i="38"/>
  <c r="U453" i="38"/>
  <c r="T453" i="38"/>
  <c r="Q453" i="38"/>
  <c r="P453" i="38"/>
  <c r="O453" i="38"/>
  <c r="AS452" i="38"/>
  <c r="AU452" i="38"/>
  <c r="V452" i="38"/>
  <c r="U452" i="38"/>
  <c r="T452" i="38"/>
  <c r="Q452" i="38"/>
  <c r="P452" i="38"/>
  <c r="O452" i="38"/>
  <c r="AU451" i="38"/>
  <c r="AS451" i="38"/>
  <c r="V451" i="38"/>
  <c r="U451" i="38"/>
  <c r="T451" i="38"/>
  <c r="Q451" i="38"/>
  <c r="P451" i="38"/>
  <c r="O451" i="38"/>
  <c r="AU450" i="38"/>
  <c r="AS450" i="38"/>
  <c r="V450" i="38"/>
  <c r="U450" i="38"/>
  <c r="T450" i="38"/>
  <c r="Q450" i="38"/>
  <c r="P450" i="38"/>
  <c r="O450" i="38"/>
  <c r="AU449" i="38"/>
  <c r="V449" i="38"/>
  <c r="U449" i="38"/>
  <c r="T449" i="38"/>
  <c r="Q449" i="38"/>
  <c r="P449" i="38"/>
  <c r="O449" i="38"/>
  <c r="AS448" i="38"/>
  <c r="AU448" i="38"/>
  <c r="V448" i="38"/>
  <c r="U448" i="38"/>
  <c r="T448" i="38"/>
  <c r="Q448" i="38"/>
  <c r="P448" i="38"/>
  <c r="O448" i="38"/>
  <c r="AU447" i="38"/>
  <c r="AS447" i="38"/>
  <c r="V447" i="38"/>
  <c r="U447" i="38"/>
  <c r="T447" i="38"/>
  <c r="Q447" i="38"/>
  <c r="P447" i="38"/>
  <c r="O447" i="38"/>
  <c r="AU446" i="38"/>
  <c r="AS446" i="38"/>
  <c r="V446" i="38"/>
  <c r="U446" i="38"/>
  <c r="T446" i="38"/>
  <c r="Q446" i="38"/>
  <c r="P446" i="38"/>
  <c r="O446" i="38"/>
  <c r="AU445" i="38"/>
  <c r="AS445" i="38"/>
  <c r="V445" i="38"/>
  <c r="U445" i="38"/>
  <c r="T445" i="38"/>
  <c r="Q445" i="38"/>
  <c r="P445" i="38"/>
  <c r="O445" i="38"/>
  <c r="AS444" i="38"/>
  <c r="AU444" i="38"/>
  <c r="V444" i="38"/>
  <c r="U444" i="38"/>
  <c r="T444" i="38"/>
  <c r="Q444" i="38"/>
  <c r="P444" i="38"/>
  <c r="O444" i="38"/>
  <c r="AU443" i="38"/>
  <c r="AS443" i="38"/>
  <c r="V443" i="38"/>
  <c r="U443" i="38"/>
  <c r="T443" i="38"/>
  <c r="Q443" i="38"/>
  <c r="P443" i="38"/>
  <c r="O443" i="38"/>
  <c r="AU442" i="38"/>
  <c r="AS442" i="38"/>
  <c r="V442" i="38"/>
  <c r="U442" i="38"/>
  <c r="T442" i="38"/>
  <c r="Q442" i="38"/>
  <c r="P442" i="38"/>
  <c r="O442" i="38"/>
  <c r="AU441" i="38"/>
  <c r="V441" i="38"/>
  <c r="U441" i="38"/>
  <c r="T441" i="38"/>
  <c r="Q441" i="38"/>
  <c r="P441" i="38"/>
  <c r="O441" i="38"/>
  <c r="AU440" i="38"/>
  <c r="AS440" i="38"/>
  <c r="V440" i="38"/>
  <c r="U440" i="38"/>
  <c r="T440" i="38"/>
  <c r="Q440" i="38"/>
  <c r="P440" i="38"/>
  <c r="O440" i="38"/>
  <c r="AU439" i="38"/>
  <c r="AS439" i="38"/>
  <c r="V439" i="38"/>
  <c r="U439" i="38"/>
  <c r="T439" i="38"/>
  <c r="Q439" i="38"/>
  <c r="P439" i="38"/>
  <c r="O439" i="38"/>
  <c r="AU438" i="38"/>
  <c r="AS438" i="38"/>
  <c r="V438" i="38"/>
  <c r="U438" i="38"/>
  <c r="T438" i="38"/>
  <c r="Q438" i="38"/>
  <c r="P438" i="38"/>
  <c r="O438" i="38"/>
  <c r="AS437" i="38"/>
  <c r="AU437" i="38"/>
  <c r="V437" i="38"/>
  <c r="U437" i="38"/>
  <c r="T437" i="38"/>
  <c r="Q437" i="38"/>
  <c r="P437" i="38"/>
  <c r="O437" i="38"/>
  <c r="AU436" i="38"/>
  <c r="AS436" i="38"/>
  <c r="V436" i="38"/>
  <c r="U436" i="38"/>
  <c r="T436" i="38"/>
  <c r="Q436" i="38"/>
  <c r="P436" i="38"/>
  <c r="O436" i="38"/>
  <c r="AU435" i="38"/>
  <c r="AS435" i="38"/>
  <c r="V435" i="38"/>
  <c r="U435" i="38"/>
  <c r="T435" i="38"/>
  <c r="Q435" i="38"/>
  <c r="P435" i="38"/>
  <c r="O435" i="38"/>
  <c r="AU434" i="38"/>
  <c r="AS434" i="38"/>
  <c r="V434" i="38"/>
  <c r="U434" i="38"/>
  <c r="T434" i="38"/>
  <c r="Q434" i="38"/>
  <c r="P434" i="38"/>
  <c r="O434" i="38"/>
  <c r="AS433" i="38"/>
  <c r="AU433" i="38"/>
  <c r="V433" i="38"/>
  <c r="U433" i="38"/>
  <c r="T433" i="38"/>
  <c r="Q433" i="38"/>
  <c r="P433" i="38"/>
  <c r="O433" i="38"/>
  <c r="AS432" i="38"/>
  <c r="AU432" i="38"/>
  <c r="V432" i="38"/>
  <c r="U432" i="38"/>
  <c r="T432" i="38"/>
  <c r="Q432" i="38"/>
  <c r="P432" i="38"/>
  <c r="O432" i="38"/>
  <c r="AS431" i="38"/>
  <c r="V431" i="38"/>
  <c r="U431" i="38"/>
  <c r="T431" i="38"/>
  <c r="Q431" i="38"/>
  <c r="P431" i="38"/>
  <c r="O431" i="38"/>
  <c r="AS430" i="38"/>
  <c r="V430" i="38"/>
  <c r="U430" i="38"/>
  <c r="T430" i="38"/>
  <c r="Q430" i="38"/>
  <c r="P430" i="38"/>
  <c r="O430" i="38"/>
  <c r="AU429" i="38"/>
  <c r="V429" i="38"/>
  <c r="U429" i="38"/>
  <c r="T429" i="38"/>
  <c r="Q429" i="38"/>
  <c r="P429" i="38"/>
  <c r="O429" i="38"/>
  <c r="AS428" i="38"/>
  <c r="AU428" i="38"/>
  <c r="V428" i="38"/>
  <c r="U428" i="38"/>
  <c r="T428" i="38"/>
  <c r="Q428" i="38"/>
  <c r="P428" i="38"/>
  <c r="O428" i="38"/>
  <c r="AS427" i="38"/>
  <c r="V427" i="38"/>
  <c r="U427" i="38"/>
  <c r="T427" i="38"/>
  <c r="Q427" i="38"/>
  <c r="P427" i="38"/>
  <c r="O427" i="38"/>
  <c r="AU426" i="38"/>
  <c r="AS426" i="38"/>
  <c r="V426" i="38"/>
  <c r="U426" i="38"/>
  <c r="T426" i="38"/>
  <c r="Q426" i="38"/>
  <c r="P426" i="38"/>
  <c r="O426" i="38"/>
  <c r="AU425" i="38"/>
  <c r="V425" i="38"/>
  <c r="U425" i="38"/>
  <c r="T425" i="38"/>
  <c r="Q425" i="38"/>
  <c r="P425" i="38"/>
  <c r="O425" i="38"/>
  <c r="AS424" i="38"/>
  <c r="AU424" i="38"/>
  <c r="V424" i="38"/>
  <c r="U424" i="38"/>
  <c r="T424" i="38"/>
  <c r="Q424" i="38"/>
  <c r="P424" i="38"/>
  <c r="O424" i="38"/>
  <c r="AS423" i="38"/>
  <c r="V423" i="38"/>
  <c r="U423" i="38"/>
  <c r="T423" i="38"/>
  <c r="Q423" i="38"/>
  <c r="P423" i="38"/>
  <c r="O423" i="38"/>
  <c r="AU422" i="38"/>
  <c r="AS422" i="38"/>
  <c r="V422" i="38"/>
  <c r="U422" i="38"/>
  <c r="T422" i="38"/>
  <c r="Q422" i="38"/>
  <c r="P422" i="38"/>
  <c r="O422" i="38"/>
  <c r="AU421" i="38"/>
  <c r="AS421" i="38"/>
  <c r="V421" i="38"/>
  <c r="U421" i="38"/>
  <c r="T421" i="38"/>
  <c r="Q421" i="38"/>
  <c r="P421" i="38"/>
  <c r="O421" i="38"/>
  <c r="AS420" i="38"/>
  <c r="AU420" i="38"/>
  <c r="V420" i="38"/>
  <c r="U420" i="38"/>
  <c r="T420" i="38"/>
  <c r="Q420" i="38"/>
  <c r="P420" i="38"/>
  <c r="O420" i="38"/>
  <c r="AU419" i="38"/>
  <c r="AS419" i="38"/>
  <c r="V419" i="38"/>
  <c r="U419" i="38"/>
  <c r="T419" i="38"/>
  <c r="Q419" i="38"/>
  <c r="P419" i="38"/>
  <c r="O419" i="38"/>
  <c r="AU418" i="38"/>
  <c r="AS418" i="38"/>
  <c r="V418" i="38"/>
  <c r="U418" i="38"/>
  <c r="T418" i="38"/>
  <c r="Q418" i="38"/>
  <c r="P418" i="38"/>
  <c r="O418" i="38"/>
  <c r="AU417" i="38"/>
  <c r="V417" i="38"/>
  <c r="U417" i="38"/>
  <c r="T417" i="38"/>
  <c r="Q417" i="38"/>
  <c r="P417" i="38"/>
  <c r="O417" i="38"/>
  <c r="AS416" i="38"/>
  <c r="AU416" i="38"/>
  <c r="V416" i="38"/>
  <c r="U416" i="38"/>
  <c r="T416" i="38"/>
  <c r="Q416" i="38"/>
  <c r="P416" i="38"/>
  <c r="O416" i="38"/>
  <c r="AS415" i="38"/>
  <c r="V415" i="38"/>
  <c r="U415" i="38"/>
  <c r="T415" i="38"/>
  <c r="Q415" i="38"/>
  <c r="P415" i="38"/>
  <c r="O415" i="38"/>
  <c r="AU414" i="38"/>
  <c r="AS414" i="38"/>
  <c r="V414" i="38"/>
  <c r="U414" i="38"/>
  <c r="T414" i="38"/>
  <c r="Q414" i="38"/>
  <c r="P414" i="38"/>
  <c r="O414" i="38"/>
  <c r="AU413" i="38"/>
  <c r="AS413" i="38"/>
  <c r="V413" i="38"/>
  <c r="U413" i="38"/>
  <c r="T413" i="38"/>
  <c r="Q413" i="38"/>
  <c r="P413" i="38"/>
  <c r="O413" i="38"/>
  <c r="AS412" i="38"/>
  <c r="AU412" i="38"/>
  <c r="V412" i="38"/>
  <c r="U412" i="38"/>
  <c r="T412" i="38"/>
  <c r="Q412" i="38"/>
  <c r="P412" i="38"/>
  <c r="O412" i="38"/>
  <c r="AS411" i="38"/>
  <c r="V411" i="38"/>
  <c r="U411" i="38"/>
  <c r="T411" i="38"/>
  <c r="Q411" i="38"/>
  <c r="P411" i="38"/>
  <c r="O411" i="38"/>
  <c r="AU410" i="38"/>
  <c r="AS410" i="38"/>
  <c r="V410" i="38"/>
  <c r="U410" i="38"/>
  <c r="T410" i="38"/>
  <c r="Q410" i="38"/>
  <c r="P410" i="38"/>
  <c r="O410" i="38"/>
  <c r="AU409" i="38"/>
  <c r="V409" i="38"/>
  <c r="U409" i="38"/>
  <c r="T409" i="38"/>
  <c r="Q409" i="38"/>
  <c r="P409" i="38"/>
  <c r="O409" i="38"/>
  <c r="AS408" i="38"/>
  <c r="AU408" i="38"/>
  <c r="V408" i="38"/>
  <c r="U408" i="38"/>
  <c r="T408" i="38"/>
  <c r="Q408" i="38"/>
  <c r="P408" i="38"/>
  <c r="O408" i="38"/>
  <c r="AS407" i="38"/>
  <c r="V407" i="38"/>
  <c r="U407" i="38"/>
  <c r="T407" i="38"/>
  <c r="Q407" i="38"/>
  <c r="P407" i="38"/>
  <c r="O407" i="38"/>
  <c r="AU406" i="38"/>
  <c r="AS406" i="38"/>
  <c r="V406" i="38"/>
  <c r="U406" i="38"/>
  <c r="T406" i="38"/>
  <c r="Q406" i="38"/>
  <c r="P406" i="38"/>
  <c r="O406" i="38"/>
  <c r="AU405" i="38"/>
  <c r="AS405" i="38"/>
  <c r="V405" i="38"/>
  <c r="U405" i="38"/>
  <c r="T405" i="38"/>
  <c r="Q405" i="38"/>
  <c r="P405" i="38"/>
  <c r="O405" i="38"/>
  <c r="AS404" i="38"/>
  <c r="AU404" i="38"/>
  <c r="V404" i="38"/>
  <c r="U404" i="38"/>
  <c r="T404" i="38"/>
  <c r="Q404" i="38"/>
  <c r="P404" i="38"/>
  <c r="O404" i="38"/>
  <c r="AU403" i="38"/>
  <c r="AS403" i="38"/>
  <c r="V403" i="38"/>
  <c r="U403" i="38"/>
  <c r="T403" i="38"/>
  <c r="Q403" i="38"/>
  <c r="P403" i="38"/>
  <c r="O403" i="38"/>
  <c r="AS402" i="38"/>
  <c r="AU402" i="38"/>
  <c r="V402" i="38"/>
  <c r="U402" i="38"/>
  <c r="T402" i="38"/>
  <c r="Q402" i="38"/>
  <c r="P402" i="38"/>
  <c r="O402" i="38"/>
  <c r="AU401" i="38"/>
  <c r="V401" i="38"/>
  <c r="U401" i="38"/>
  <c r="T401" i="38"/>
  <c r="Q401" i="38"/>
  <c r="P401" i="38"/>
  <c r="O401" i="38"/>
  <c r="AS400" i="38"/>
  <c r="AU400" i="38"/>
  <c r="V400" i="38"/>
  <c r="U400" i="38"/>
  <c r="T400" i="38"/>
  <c r="Q400" i="38"/>
  <c r="P400" i="38"/>
  <c r="O400" i="38"/>
  <c r="AS399" i="38"/>
  <c r="V399" i="38"/>
  <c r="U399" i="38"/>
  <c r="T399" i="38"/>
  <c r="Q399" i="38"/>
  <c r="P399" i="38"/>
  <c r="O399" i="38"/>
  <c r="AU398" i="38"/>
  <c r="AS398" i="38"/>
  <c r="V398" i="38"/>
  <c r="U398" i="38"/>
  <c r="T398" i="38"/>
  <c r="Q398" i="38"/>
  <c r="P398" i="38"/>
  <c r="O398" i="38"/>
  <c r="AU397" i="38"/>
  <c r="AS397" i="38"/>
  <c r="V397" i="38"/>
  <c r="U397" i="38"/>
  <c r="T397" i="38"/>
  <c r="Q397" i="38"/>
  <c r="P397" i="38"/>
  <c r="O397" i="38"/>
  <c r="AS396" i="38"/>
  <c r="AU396" i="38"/>
  <c r="V396" i="38"/>
  <c r="U396" i="38"/>
  <c r="T396" i="38"/>
  <c r="Q396" i="38"/>
  <c r="P396" i="38"/>
  <c r="O396" i="38"/>
  <c r="AU395" i="38"/>
  <c r="AS395" i="38"/>
  <c r="V395" i="38"/>
  <c r="U395" i="38"/>
  <c r="T395" i="38"/>
  <c r="Q395" i="38"/>
  <c r="P395" i="38"/>
  <c r="O395" i="38"/>
  <c r="AU394" i="38"/>
  <c r="AS394" i="38"/>
  <c r="V394" i="38"/>
  <c r="U394" i="38"/>
  <c r="T394" i="38"/>
  <c r="Q394" i="38"/>
  <c r="P394" i="38"/>
  <c r="O394" i="38"/>
  <c r="AU393" i="38"/>
  <c r="V393" i="38"/>
  <c r="U393" i="38"/>
  <c r="T393" i="38"/>
  <c r="Q393" i="38"/>
  <c r="P393" i="38"/>
  <c r="O393" i="38"/>
  <c r="AS392" i="38"/>
  <c r="AU392" i="38"/>
  <c r="V392" i="38"/>
  <c r="U392" i="38"/>
  <c r="T392" i="38"/>
  <c r="Q392" i="38"/>
  <c r="P392" i="38"/>
  <c r="O392" i="38"/>
  <c r="AU391" i="38"/>
  <c r="AS391" i="38"/>
  <c r="V391" i="38"/>
  <c r="U391" i="38"/>
  <c r="T391" i="38"/>
  <c r="Q391" i="38"/>
  <c r="P391" i="38"/>
  <c r="O391" i="38"/>
  <c r="AU390" i="38"/>
  <c r="AS390" i="38"/>
  <c r="V390" i="38"/>
  <c r="U390" i="38"/>
  <c r="T390" i="38"/>
  <c r="Q390" i="38"/>
  <c r="P390" i="38"/>
  <c r="O390" i="38"/>
  <c r="AU389" i="38"/>
  <c r="V389" i="38"/>
  <c r="U389" i="38"/>
  <c r="T389" i="38"/>
  <c r="Q389" i="38"/>
  <c r="P389" i="38"/>
  <c r="O389" i="38"/>
  <c r="AS388" i="38"/>
  <c r="AU388" i="38"/>
  <c r="V388" i="38"/>
  <c r="U388" i="38"/>
  <c r="T388" i="38"/>
  <c r="Q388" i="38"/>
  <c r="P388" i="38"/>
  <c r="O388" i="38"/>
  <c r="AU387" i="38"/>
  <c r="AS387" i="38"/>
  <c r="V387" i="38"/>
  <c r="U387" i="38"/>
  <c r="T387" i="38"/>
  <c r="Q387" i="38"/>
  <c r="P387" i="38"/>
  <c r="O387" i="38"/>
  <c r="AU386" i="38"/>
  <c r="AS386" i="38"/>
  <c r="V386" i="38"/>
  <c r="U386" i="38"/>
  <c r="T386" i="38"/>
  <c r="Q386" i="38"/>
  <c r="P386" i="38"/>
  <c r="O386" i="38"/>
  <c r="AU385" i="38"/>
  <c r="AS385" i="38"/>
  <c r="V385" i="38"/>
  <c r="U385" i="38"/>
  <c r="T385" i="38"/>
  <c r="Q385" i="38"/>
  <c r="P385" i="38"/>
  <c r="O385" i="38"/>
  <c r="AS384" i="38"/>
  <c r="AU384" i="38"/>
  <c r="V384" i="38"/>
  <c r="U384" i="38"/>
  <c r="T384" i="38"/>
  <c r="Q384" i="38"/>
  <c r="P384" i="38"/>
  <c r="O384" i="38"/>
  <c r="AU383" i="38"/>
  <c r="AS383" i="38"/>
  <c r="V383" i="38"/>
  <c r="U383" i="38"/>
  <c r="T383" i="38"/>
  <c r="Q383" i="38"/>
  <c r="P383" i="38"/>
  <c r="O383" i="38"/>
  <c r="AU382" i="38"/>
  <c r="AS382" i="38"/>
  <c r="V382" i="38"/>
  <c r="U382" i="38"/>
  <c r="T382" i="38"/>
  <c r="Q382" i="38"/>
  <c r="P382" i="38"/>
  <c r="O382" i="38"/>
  <c r="AU381" i="38"/>
  <c r="AS381" i="38"/>
  <c r="V381" i="38"/>
  <c r="U381" i="38"/>
  <c r="T381" i="38"/>
  <c r="Q381" i="38"/>
  <c r="P381" i="38"/>
  <c r="O381" i="38"/>
  <c r="AS380" i="38"/>
  <c r="AU380" i="38"/>
  <c r="V380" i="38"/>
  <c r="U380" i="38"/>
  <c r="T380" i="38"/>
  <c r="Q380" i="38"/>
  <c r="P380" i="38"/>
  <c r="O380" i="38"/>
  <c r="AU379" i="38"/>
  <c r="AS379" i="38"/>
  <c r="V379" i="38"/>
  <c r="U379" i="38"/>
  <c r="T379" i="38"/>
  <c r="Q379" i="38"/>
  <c r="P379" i="38"/>
  <c r="O379" i="38"/>
  <c r="AU378" i="38"/>
  <c r="AS378" i="38"/>
  <c r="V378" i="38"/>
  <c r="U378" i="38"/>
  <c r="T378" i="38"/>
  <c r="Q378" i="38"/>
  <c r="P378" i="38"/>
  <c r="O378" i="38"/>
  <c r="AU377" i="38"/>
  <c r="AS377" i="38"/>
  <c r="V377" i="38"/>
  <c r="U377" i="38"/>
  <c r="T377" i="38"/>
  <c r="Q377" i="38"/>
  <c r="P377" i="38"/>
  <c r="O377" i="38"/>
  <c r="AS376" i="38"/>
  <c r="AU376" i="38"/>
  <c r="V376" i="38"/>
  <c r="U376" i="38"/>
  <c r="T376" i="38"/>
  <c r="Q376" i="38"/>
  <c r="P376" i="38"/>
  <c r="O376" i="38"/>
  <c r="AU375" i="38"/>
  <c r="AS375" i="38"/>
  <c r="V375" i="38"/>
  <c r="U375" i="38"/>
  <c r="T375" i="38"/>
  <c r="Q375" i="38"/>
  <c r="P375" i="38"/>
  <c r="O375" i="38"/>
  <c r="AU374" i="38"/>
  <c r="AS374" i="38"/>
  <c r="V374" i="38"/>
  <c r="U374" i="38"/>
  <c r="T374" i="38"/>
  <c r="Q374" i="38"/>
  <c r="P374" i="38"/>
  <c r="O374" i="38"/>
  <c r="AU373" i="38"/>
  <c r="AS373" i="38"/>
  <c r="V373" i="38"/>
  <c r="U373" i="38"/>
  <c r="T373" i="38"/>
  <c r="Q373" i="38"/>
  <c r="P373" i="38"/>
  <c r="O373" i="38"/>
  <c r="AS372" i="38"/>
  <c r="AU372" i="38"/>
  <c r="V372" i="38"/>
  <c r="U372" i="38"/>
  <c r="T372" i="38"/>
  <c r="Q372" i="38"/>
  <c r="P372" i="38"/>
  <c r="O372" i="38"/>
  <c r="AU371" i="38"/>
  <c r="AS371" i="38"/>
  <c r="V371" i="38"/>
  <c r="U371" i="38"/>
  <c r="T371" i="38"/>
  <c r="Q371" i="38"/>
  <c r="P371" i="38"/>
  <c r="O371" i="38"/>
  <c r="AU370" i="38"/>
  <c r="AS370" i="38"/>
  <c r="V370" i="38"/>
  <c r="U370" i="38"/>
  <c r="T370" i="38"/>
  <c r="Q370" i="38"/>
  <c r="P370" i="38"/>
  <c r="O370" i="38"/>
  <c r="AU369" i="38"/>
  <c r="AS369" i="38"/>
  <c r="V369" i="38"/>
  <c r="U369" i="38"/>
  <c r="T369" i="38"/>
  <c r="Q369" i="38"/>
  <c r="P369" i="38"/>
  <c r="O369" i="38"/>
  <c r="AS368" i="38"/>
  <c r="AU368" i="38"/>
  <c r="V368" i="38"/>
  <c r="U368" i="38"/>
  <c r="T368" i="38"/>
  <c r="Q368" i="38"/>
  <c r="P368" i="38"/>
  <c r="O368" i="38"/>
  <c r="AU367" i="38"/>
  <c r="AS367" i="38"/>
  <c r="V367" i="38"/>
  <c r="U367" i="38"/>
  <c r="T367" i="38"/>
  <c r="Q367" i="38"/>
  <c r="P367" i="38"/>
  <c r="O367" i="38"/>
  <c r="AU366" i="38"/>
  <c r="AS366" i="38"/>
  <c r="V366" i="38"/>
  <c r="U366" i="38"/>
  <c r="T366" i="38"/>
  <c r="Q366" i="38"/>
  <c r="P366" i="38"/>
  <c r="O366" i="38"/>
  <c r="AU365" i="38"/>
  <c r="AS365" i="38"/>
  <c r="V365" i="38"/>
  <c r="U365" i="38"/>
  <c r="T365" i="38"/>
  <c r="Q365" i="38"/>
  <c r="P365" i="38"/>
  <c r="O365" i="38"/>
  <c r="AS364" i="38"/>
  <c r="AU364" i="38"/>
  <c r="V364" i="38"/>
  <c r="U364" i="38"/>
  <c r="T364" i="38"/>
  <c r="Q364" i="38"/>
  <c r="P364" i="38"/>
  <c r="O364" i="38"/>
  <c r="AU363" i="38"/>
  <c r="AS363" i="38"/>
  <c r="V363" i="38"/>
  <c r="U363" i="38"/>
  <c r="T363" i="38"/>
  <c r="Q363" i="38"/>
  <c r="P363" i="38"/>
  <c r="O363" i="38"/>
  <c r="AS362" i="38"/>
  <c r="AU362" i="38"/>
  <c r="V362" i="38"/>
  <c r="U362" i="38"/>
  <c r="T362" i="38"/>
  <c r="Q362" i="38"/>
  <c r="P362" i="38"/>
  <c r="O362" i="38"/>
  <c r="AU361" i="38"/>
  <c r="AS361" i="38"/>
  <c r="V361" i="38"/>
  <c r="U361" i="38"/>
  <c r="T361" i="38"/>
  <c r="Q361" i="38"/>
  <c r="P361" i="38"/>
  <c r="O361" i="38"/>
  <c r="AS360" i="38"/>
  <c r="AU360" i="38"/>
  <c r="V360" i="38"/>
  <c r="U360" i="38"/>
  <c r="T360" i="38"/>
  <c r="Q360" i="38"/>
  <c r="P360" i="38"/>
  <c r="O360" i="38"/>
  <c r="AU359" i="38"/>
  <c r="AS359" i="38"/>
  <c r="V359" i="38"/>
  <c r="U359" i="38"/>
  <c r="T359" i="38"/>
  <c r="Q359" i="38"/>
  <c r="P359" i="38"/>
  <c r="O359" i="38"/>
  <c r="AS358" i="38"/>
  <c r="AU358" i="38"/>
  <c r="V358" i="38"/>
  <c r="U358" i="38"/>
  <c r="T358" i="38"/>
  <c r="Q358" i="38"/>
  <c r="P358" i="38"/>
  <c r="O358" i="38"/>
  <c r="AU357" i="38"/>
  <c r="AS357" i="38"/>
  <c r="V357" i="38"/>
  <c r="U357" i="38"/>
  <c r="T357" i="38"/>
  <c r="Q357" i="38"/>
  <c r="P357" i="38"/>
  <c r="O357" i="38"/>
  <c r="AS356" i="38"/>
  <c r="AU356" i="38"/>
  <c r="V356" i="38"/>
  <c r="U356" i="38"/>
  <c r="T356" i="38"/>
  <c r="Q356" i="38"/>
  <c r="P356" i="38"/>
  <c r="O356" i="38"/>
  <c r="AU355" i="38"/>
  <c r="AS355" i="38"/>
  <c r="V355" i="38"/>
  <c r="U355" i="38"/>
  <c r="T355" i="38"/>
  <c r="Q355" i="38"/>
  <c r="P355" i="38"/>
  <c r="O355" i="38"/>
  <c r="AS354" i="38"/>
  <c r="AU354" i="38"/>
  <c r="V354" i="38"/>
  <c r="U354" i="38"/>
  <c r="T354" i="38"/>
  <c r="Q354" i="38"/>
  <c r="P354" i="38"/>
  <c r="O354" i="38"/>
  <c r="AU353" i="38"/>
  <c r="AS353" i="38"/>
  <c r="V353" i="38"/>
  <c r="U353" i="38"/>
  <c r="T353" i="38"/>
  <c r="Q353" i="38"/>
  <c r="P353" i="38"/>
  <c r="O353" i="38"/>
  <c r="AS352" i="38"/>
  <c r="AU352" i="38"/>
  <c r="V352" i="38"/>
  <c r="U352" i="38"/>
  <c r="T352" i="38"/>
  <c r="Q352" i="38"/>
  <c r="P352" i="38"/>
  <c r="O352" i="38"/>
  <c r="AU351" i="38"/>
  <c r="AS351" i="38"/>
  <c r="V351" i="38"/>
  <c r="U351" i="38"/>
  <c r="T351" i="38"/>
  <c r="Q351" i="38"/>
  <c r="P351" i="38"/>
  <c r="O351" i="38"/>
  <c r="AS350" i="38"/>
  <c r="AU350" i="38"/>
  <c r="V350" i="38"/>
  <c r="U350" i="38"/>
  <c r="T350" i="38"/>
  <c r="Q350" i="38"/>
  <c r="P350" i="38"/>
  <c r="O350" i="38"/>
  <c r="AU349" i="38"/>
  <c r="AS349" i="38"/>
  <c r="V349" i="38"/>
  <c r="U349" i="38"/>
  <c r="T349" i="38"/>
  <c r="Q349" i="38"/>
  <c r="P349" i="38"/>
  <c r="O349" i="38"/>
  <c r="AU348" i="38"/>
  <c r="AS348" i="38"/>
  <c r="V348" i="38"/>
  <c r="U348" i="38"/>
  <c r="T348" i="38"/>
  <c r="Q348" i="38"/>
  <c r="P348" i="38"/>
  <c r="O348" i="38"/>
  <c r="V347" i="38"/>
  <c r="U347" i="38"/>
  <c r="T347" i="38"/>
  <c r="Q347" i="38"/>
  <c r="P347" i="38"/>
  <c r="O347" i="38"/>
  <c r="AU346" i="38"/>
  <c r="AS346" i="38"/>
  <c r="V346" i="38"/>
  <c r="U346" i="38"/>
  <c r="T346" i="38"/>
  <c r="Q346" i="38"/>
  <c r="P346" i="38"/>
  <c r="O346" i="38"/>
  <c r="AU345" i="38"/>
  <c r="AS345" i="38"/>
  <c r="V345" i="38"/>
  <c r="U345" i="38"/>
  <c r="T345" i="38"/>
  <c r="Q345" i="38"/>
  <c r="P345" i="38"/>
  <c r="O345" i="38"/>
  <c r="AS344" i="38"/>
  <c r="V344" i="38"/>
  <c r="U344" i="38"/>
  <c r="T344" i="38"/>
  <c r="Q344" i="38"/>
  <c r="P344" i="38"/>
  <c r="O344" i="38"/>
  <c r="AU343" i="38"/>
  <c r="V343" i="38"/>
  <c r="U343" i="38"/>
  <c r="T343" i="38"/>
  <c r="Q343" i="38"/>
  <c r="P343" i="38"/>
  <c r="O343" i="38"/>
  <c r="AU342" i="38"/>
  <c r="AS342" i="38"/>
  <c r="V342" i="38"/>
  <c r="U342" i="38"/>
  <c r="T342" i="38"/>
  <c r="Q342" i="38"/>
  <c r="P342" i="38"/>
  <c r="O342" i="38"/>
  <c r="AU341" i="38"/>
  <c r="AS341" i="38"/>
  <c r="V341" i="38"/>
  <c r="U341" i="38"/>
  <c r="T341" i="38"/>
  <c r="Q341" i="38"/>
  <c r="P341" i="38"/>
  <c r="O341" i="38"/>
  <c r="AS340" i="38"/>
  <c r="V340" i="38"/>
  <c r="U340" i="38"/>
  <c r="T340" i="38"/>
  <c r="Q340" i="38"/>
  <c r="P340" i="38"/>
  <c r="O340" i="38"/>
  <c r="V339" i="38"/>
  <c r="U339" i="38"/>
  <c r="T339" i="38"/>
  <c r="Q339" i="38"/>
  <c r="P339" i="38"/>
  <c r="O339" i="38"/>
  <c r="AU338" i="38"/>
  <c r="AS338" i="38"/>
  <c r="V338" i="38"/>
  <c r="U338" i="38"/>
  <c r="T338" i="38"/>
  <c r="Q338" i="38"/>
  <c r="P338" i="38"/>
  <c r="O338" i="38"/>
  <c r="AU337" i="38"/>
  <c r="AS337" i="38"/>
  <c r="V337" i="38"/>
  <c r="U337" i="38"/>
  <c r="T337" i="38"/>
  <c r="Q337" i="38"/>
  <c r="P337" i="38"/>
  <c r="O337" i="38"/>
  <c r="AU336" i="38"/>
  <c r="AS336" i="38"/>
  <c r="V336" i="38"/>
  <c r="U336" i="38"/>
  <c r="T336" i="38"/>
  <c r="Q336" i="38"/>
  <c r="P336" i="38"/>
  <c r="O336" i="38"/>
  <c r="AS335" i="38"/>
  <c r="V335" i="38"/>
  <c r="U335" i="38"/>
  <c r="T335" i="38"/>
  <c r="Q335" i="38"/>
  <c r="P335" i="38"/>
  <c r="O335" i="38"/>
  <c r="AU334" i="38"/>
  <c r="AS334" i="38"/>
  <c r="V334" i="38"/>
  <c r="U334" i="38"/>
  <c r="T334" i="38"/>
  <c r="Q334" i="38"/>
  <c r="P334" i="38"/>
  <c r="O334" i="38"/>
  <c r="AU333" i="38"/>
  <c r="AS333" i="38"/>
  <c r="V333" i="38"/>
  <c r="U333" i="38"/>
  <c r="T333" i="38"/>
  <c r="Q333" i="38"/>
  <c r="P333" i="38"/>
  <c r="O333" i="38"/>
  <c r="AS332" i="38"/>
  <c r="AU332" i="38"/>
  <c r="V332" i="38"/>
  <c r="U332" i="38"/>
  <c r="T332" i="38"/>
  <c r="Q332" i="38"/>
  <c r="P332" i="38"/>
  <c r="O332" i="38"/>
  <c r="AS331" i="38"/>
  <c r="V331" i="38"/>
  <c r="U331" i="38"/>
  <c r="T331" i="38"/>
  <c r="Q331" i="38"/>
  <c r="P331" i="38"/>
  <c r="O331" i="38"/>
  <c r="AU330" i="38"/>
  <c r="AS330" i="38"/>
  <c r="V330" i="38"/>
  <c r="U330" i="38"/>
  <c r="T330" i="38"/>
  <c r="Q330" i="38"/>
  <c r="P330" i="38"/>
  <c r="O330" i="38"/>
  <c r="AU329" i="38"/>
  <c r="AS329" i="38"/>
  <c r="V329" i="38"/>
  <c r="U329" i="38"/>
  <c r="T329" i="38"/>
  <c r="Q329" i="38"/>
  <c r="P329" i="38"/>
  <c r="O329" i="38"/>
  <c r="AS328" i="38"/>
  <c r="V328" i="38"/>
  <c r="U328" i="38"/>
  <c r="T328" i="38"/>
  <c r="Q328" i="38"/>
  <c r="P328" i="38"/>
  <c r="O328" i="38"/>
  <c r="AU327" i="38"/>
  <c r="V327" i="38"/>
  <c r="U327" i="38"/>
  <c r="T327" i="38"/>
  <c r="Q327" i="38"/>
  <c r="P327" i="38"/>
  <c r="O327" i="38"/>
  <c r="AU326" i="38"/>
  <c r="AS326" i="38"/>
  <c r="V326" i="38"/>
  <c r="U326" i="38"/>
  <c r="T326" i="38"/>
  <c r="Q326" i="38"/>
  <c r="P326" i="38"/>
  <c r="O326" i="38"/>
  <c r="AU325" i="38"/>
  <c r="AS325" i="38"/>
  <c r="V325" i="38"/>
  <c r="U325" i="38"/>
  <c r="T325" i="38"/>
  <c r="Q325" i="38"/>
  <c r="P325" i="38"/>
  <c r="O325" i="38"/>
  <c r="AS324" i="38"/>
  <c r="V324" i="38"/>
  <c r="U324" i="38"/>
  <c r="T324" i="38"/>
  <c r="Q324" i="38"/>
  <c r="P324" i="38"/>
  <c r="O324" i="38"/>
  <c r="V323" i="38"/>
  <c r="U323" i="38"/>
  <c r="T323" i="38"/>
  <c r="Q323" i="38"/>
  <c r="P323" i="38"/>
  <c r="O323" i="38"/>
  <c r="AU322" i="38"/>
  <c r="AS322" i="38"/>
  <c r="V322" i="38"/>
  <c r="U322" i="38"/>
  <c r="T322" i="38"/>
  <c r="Q322" i="38"/>
  <c r="P322" i="38"/>
  <c r="O322" i="38"/>
  <c r="AU321" i="38"/>
  <c r="AS321" i="38"/>
  <c r="V321" i="38"/>
  <c r="U321" i="38"/>
  <c r="T321" i="38"/>
  <c r="Q321" i="38"/>
  <c r="P321" i="38"/>
  <c r="O321" i="38"/>
  <c r="AU320" i="38"/>
  <c r="AS320" i="38"/>
  <c r="V320" i="38"/>
  <c r="U320" i="38"/>
  <c r="T320" i="38"/>
  <c r="Q320" i="38"/>
  <c r="P320" i="38"/>
  <c r="O320" i="38"/>
  <c r="AS319" i="38"/>
  <c r="V319" i="38"/>
  <c r="U319" i="38"/>
  <c r="T319" i="38"/>
  <c r="Q319" i="38"/>
  <c r="P319" i="38"/>
  <c r="O319" i="38"/>
  <c r="AU318" i="38"/>
  <c r="AS318" i="38"/>
  <c r="V318" i="38"/>
  <c r="U318" i="38"/>
  <c r="T318" i="38"/>
  <c r="Q318" i="38"/>
  <c r="P318" i="38"/>
  <c r="O318" i="38"/>
  <c r="AU317" i="38"/>
  <c r="AS317" i="38"/>
  <c r="V317" i="38"/>
  <c r="U317" i="38"/>
  <c r="T317" i="38"/>
  <c r="Q317" i="38"/>
  <c r="P317" i="38"/>
  <c r="O317" i="38"/>
  <c r="AS316" i="38"/>
  <c r="AU316" i="38"/>
  <c r="V316" i="38"/>
  <c r="U316" i="38"/>
  <c r="T316" i="38"/>
  <c r="Q316" i="38"/>
  <c r="P316" i="38"/>
  <c r="O316" i="38"/>
  <c r="AU315" i="38"/>
  <c r="V315" i="38"/>
  <c r="U315" i="38"/>
  <c r="T315" i="38"/>
  <c r="Q315" i="38"/>
  <c r="P315" i="38"/>
  <c r="O315" i="38"/>
  <c r="AU314" i="38"/>
  <c r="V314" i="38"/>
  <c r="U314" i="38"/>
  <c r="T314" i="38"/>
  <c r="Q314" i="38"/>
  <c r="P314" i="38"/>
  <c r="O314" i="38"/>
  <c r="AU313" i="38"/>
  <c r="AS313" i="38"/>
  <c r="V313" i="38"/>
  <c r="U313" i="38"/>
  <c r="T313" i="38"/>
  <c r="Q313" i="38"/>
  <c r="P313" i="38"/>
  <c r="O313" i="38"/>
  <c r="AS312" i="38"/>
  <c r="V312" i="38"/>
  <c r="U312" i="38"/>
  <c r="T312" i="38"/>
  <c r="Q312" i="38"/>
  <c r="P312" i="38"/>
  <c r="O312" i="38"/>
  <c r="AU311" i="38"/>
  <c r="AS311" i="38"/>
  <c r="V311" i="38"/>
  <c r="U311" i="38"/>
  <c r="T311" i="38"/>
  <c r="Q311" i="38"/>
  <c r="P311" i="38"/>
  <c r="O311" i="38"/>
  <c r="AU310" i="38"/>
  <c r="AS310" i="38"/>
  <c r="V310" i="38"/>
  <c r="U310" i="38"/>
  <c r="T310" i="38"/>
  <c r="Q310" i="38"/>
  <c r="P310" i="38"/>
  <c r="O310" i="38"/>
  <c r="AU309" i="38"/>
  <c r="AS309" i="38"/>
  <c r="V309" i="38"/>
  <c r="U309" i="38"/>
  <c r="T309" i="38"/>
  <c r="Q309" i="38"/>
  <c r="P309" i="38"/>
  <c r="O309" i="38"/>
  <c r="AS308" i="38"/>
  <c r="V308" i="38"/>
  <c r="U308" i="38"/>
  <c r="T308" i="38"/>
  <c r="Q308" i="38"/>
  <c r="P308" i="38"/>
  <c r="O308" i="38"/>
  <c r="AU307" i="38"/>
  <c r="V307" i="38"/>
  <c r="U307" i="38"/>
  <c r="T307" i="38"/>
  <c r="Q307" i="38"/>
  <c r="P307" i="38"/>
  <c r="O307" i="38"/>
  <c r="AU306" i="38"/>
  <c r="V306" i="38"/>
  <c r="U306" i="38"/>
  <c r="T306" i="38"/>
  <c r="Q306" i="38"/>
  <c r="P306" i="38"/>
  <c r="O306" i="38"/>
  <c r="AU305" i="38"/>
  <c r="AS305" i="38"/>
  <c r="V305" i="38"/>
  <c r="U305" i="38"/>
  <c r="T305" i="38"/>
  <c r="Q305" i="38"/>
  <c r="P305" i="38"/>
  <c r="O305" i="38"/>
  <c r="AS304" i="38"/>
  <c r="AU304" i="38"/>
  <c r="V304" i="38"/>
  <c r="U304" i="38"/>
  <c r="T304" i="38"/>
  <c r="Q304" i="38"/>
  <c r="P304" i="38"/>
  <c r="O304" i="38"/>
  <c r="AU303" i="38"/>
  <c r="V303" i="38"/>
  <c r="U303" i="38"/>
  <c r="T303" i="38"/>
  <c r="Q303" i="38"/>
  <c r="P303" i="38"/>
  <c r="O303" i="38"/>
  <c r="AU302" i="38"/>
  <c r="AS302" i="38"/>
  <c r="V302" i="38"/>
  <c r="U302" i="38"/>
  <c r="T302" i="38"/>
  <c r="Q302" i="38"/>
  <c r="P302" i="38"/>
  <c r="O302" i="38"/>
  <c r="AS301" i="38"/>
  <c r="AU301" i="38"/>
  <c r="V301" i="38"/>
  <c r="U301" i="38"/>
  <c r="T301" i="38"/>
  <c r="Q301" i="38"/>
  <c r="P301" i="38"/>
  <c r="O301" i="38"/>
  <c r="AS453" i="38" l="1"/>
  <c r="AS505" i="38"/>
  <c r="AS441" i="38"/>
  <c r="AS449" i="38"/>
  <c r="AS461" i="38"/>
  <c r="AS473" i="38"/>
  <c r="AU514" i="38"/>
  <c r="AS457" i="38"/>
  <c r="AU453" i="38"/>
  <c r="AU457" i="38"/>
  <c r="AU461" i="38"/>
  <c r="AU465" i="38"/>
  <c r="AU469" i="38"/>
  <c r="AU473" i="38"/>
  <c r="AU477" i="38"/>
  <c r="AS487" i="38"/>
  <c r="AS501" i="38"/>
  <c r="AS508" i="38"/>
  <c r="AU530" i="38"/>
  <c r="AS483" i="38"/>
  <c r="AS495" i="38"/>
  <c r="AU498" i="38"/>
  <c r="AS513" i="38"/>
  <c r="AS517" i="38"/>
  <c r="AS481" i="38"/>
  <c r="AU482" i="38"/>
  <c r="AS491" i="38"/>
  <c r="AU494" i="38"/>
  <c r="AU510" i="38"/>
  <c r="AU542" i="38"/>
  <c r="AS479" i="38"/>
  <c r="AU501" i="38"/>
  <c r="AU512" i="38"/>
  <c r="AS518" i="38"/>
  <c r="AU524" i="38"/>
  <c r="AU528" i="38"/>
  <c r="AU481" i="38"/>
  <c r="AS489" i="38"/>
  <c r="AU490" i="38"/>
  <c r="AS521" i="38"/>
  <c r="AU505" i="38"/>
  <c r="AU523" i="38"/>
  <c r="AU537" i="38"/>
  <c r="AS537" i="38"/>
  <c r="AU546" i="38"/>
  <c r="AU519" i="38"/>
  <c r="AU533" i="38"/>
  <c r="AS533" i="38"/>
  <c r="AS530" i="38"/>
  <c r="AU507" i="38"/>
  <c r="AU521" i="38"/>
  <c r="AS526" i="38"/>
  <c r="AU539" i="38"/>
  <c r="AU503" i="38"/>
  <c r="AU517" i="38"/>
  <c r="AS522" i="38"/>
  <c r="AU526" i="38"/>
  <c r="AU535" i="38"/>
  <c r="AS389" i="38"/>
  <c r="AS401" i="38"/>
  <c r="AS417" i="38"/>
  <c r="AS429" i="38"/>
  <c r="AU407" i="38"/>
  <c r="AS393" i="38"/>
  <c r="AS409" i="38"/>
  <c r="AU411" i="38"/>
  <c r="AS425" i="38"/>
  <c r="AU430" i="38"/>
  <c r="AU399" i="38"/>
  <c r="AU415" i="38"/>
  <c r="AU423" i="38"/>
  <c r="AU427" i="38"/>
  <c r="AU431" i="38"/>
  <c r="AS347" i="38"/>
  <c r="AU331" i="38"/>
  <c r="AU347" i="38"/>
  <c r="AU312" i="38"/>
  <c r="AS307" i="38"/>
  <c r="AU319" i="38"/>
  <c r="AS323" i="38"/>
  <c r="AU324" i="38"/>
  <c r="AU335" i="38"/>
  <c r="AS339" i="38"/>
  <c r="AU340" i="38"/>
  <c r="AS306" i="38"/>
  <c r="AU308" i="38"/>
  <c r="AS315" i="38"/>
  <c r="AU323" i="38"/>
  <c r="AS327" i="38"/>
  <c r="AU328" i="38"/>
  <c r="AU339" i="38"/>
  <c r="AS343" i="38"/>
  <c r="AU344" i="38"/>
  <c r="AS303" i="38"/>
  <c r="AS314" i="38"/>
  <c r="AU299" i="38"/>
  <c r="AS299" i="38"/>
  <c r="V299" i="38"/>
  <c r="U299" i="38"/>
  <c r="T299" i="38"/>
  <c r="Q299" i="38"/>
  <c r="P299" i="38"/>
  <c r="O299" i="38"/>
  <c r="AU298" i="38"/>
  <c r="AS298" i="38"/>
  <c r="V298" i="38"/>
  <c r="U298" i="38"/>
  <c r="T298" i="38"/>
  <c r="Q298" i="38"/>
  <c r="P298" i="38"/>
  <c r="O298" i="38"/>
  <c r="V297" i="38"/>
  <c r="U297" i="38"/>
  <c r="T297" i="38"/>
  <c r="Q297" i="38"/>
  <c r="P297" i="38"/>
  <c r="O297" i="38"/>
  <c r="AS296" i="38"/>
  <c r="V296" i="38"/>
  <c r="U296" i="38"/>
  <c r="T296" i="38"/>
  <c r="Q296" i="38"/>
  <c r="P296" i="38"/>
  <c r="O296" i="38"/>
  <c r="AU295" i="38"/>
  <c r="AS295" i="38"/>
  <c r="V295" i="38"/>
  <c r="U295" i="38"/>
  <c r="T295" i="38"/>
  <c r="Q295" i="38"/>
  <c r="P295" i="38"/>
  <c r="O295" i="38"/>
  <c r="AU294" i="38"/>
  <c r="AS294" i="38"/>
  <c r="V294" i="38"/>
  <c r="U294" i="38"/>
  <c r="T294" i="38"/>
  <c r="Q294" i="38"/>
  <c r="P294" i="38"/>
  <c r="O294" i="38"/>
  <c r="V293" i="38"/>
  <c r="U293" i="38"/>
  <c r="T293" i="38"/>
  <c r="Q293" i="38"/>
  <c r="P293" i="38"/>
  <c r="O293" i="38"/>
  <c r="AS292" i="38"/>
  <c r="AU292" i="38"/>
  <c r="V292" i="38"/>
  <c r="U292" i="38"/>
  <c r="T292" i="38"/>
  <c r="Q292" i="38"/>
  <c r="P292" i="38"/>
  <c r="O292" i="38"/>
  <c r="AU291" i="38"/>
  <c r="AS291" i="38"/>
  <c r="V291" i="38"/>
  <c r="U291" i="38"/>
  <c r="T291" i="38"/>
  <c r="Q291" i="38"/>
  <c r="P291" i="38"/>
  <c r="O291" i="38"/>
  <c r="AU290" i="38"/>
  <c r="AS290" i="38"/>
  <c r="V290" i="38"/>
  <c r="U290" i="38"/>
  <c r="T290" i="38"/>
  <c r="Q290" i="38"/>
  <c r="P290" i="38"/>
  <c r="O290" i="38"/>
  <c r="V289" i="38"/>
  <c r="U289" i="38"/>
  <c r="T289" i="38"/>
  <c r="Q289" i="38"/>
  <c r="P289" i="38"/>
  <c r="O289" i="38"/>
  <c r="AS288" i="38"/>
  <c r="V288" i="38"/>
  <c r="U288" i="38"/>
  <c r="T288" i="38"/>
  <c r="Q288" i="38"/>
  <c r="P288" i="38"/>
  <c r="O288" i="38"/>
  <c r="AU287" i="38"/>
  <c r="AS287" i="38"/>
  <c r="V287" i="38"/>
  <c r="U287" i="38"/>
  <c r="T287" i="38"/>
  <c r="Q287" i="38"/>
  <c r="P287" i="38"/>
  <c r="O287" i="38"/>
  <c r="AU286" i="38"/>
  <c r="V286" i="38"/>
  <c r="U286" i="38"/>
  <c r="T286" i="38"/>
  <c r="Q286" i="38"/>
  <c r="P286" i="38"/>
  <c r="O286" i="38"/>
  <c r="AU285" i="38"/>
  <c r="V285" i="38"/>
  <c r="U285" i="38"/>
  <c r="T285" i="38"/>
  <c r="Q285" i="38"/>
  <c r="P285" i="38"/>
  <c r="O285" i="38"/>
  <c r="AU284" i="38"/>
  <c r="AS284" i="38"/>
  <c r="V284" i="38"/>
  <c r="U284" i="38"/>
  <c r="T284" i="38"/>
  <c r="Q284" i="38"/>
  <c r="P284" i="38"/>
  <c r="O284" i="38"/>
  <c r="AU283" i="38"/>
  <c r="AS283" i="38"/>
  <c r="V283" i="38"/>
  <c r="U283" i="38"/>
  <c r="T283" i="38"/>
  <c r="Q283" i="38"/>
  <c r="P283" i="38"/>
  <c r="O283" i="38"/>
  <c r="AU282" i="38"/>
  <c r="V282" i="38"/>
  <c r="U282" i="38"/>
  <c r="T282" i="38"/>
  <c r="Q282" i="38"/>
  <c r="P282" i="38"/>
  <c r="O282" i="38"/>
  <c r="AS281" i="38"/>
  <c r="V281" i="38"/>
  <c r="U281" i="38"/>
  <c r="T281" i="38"/>
  <c r="Q281" i="38"/>
  <c r="P281" i="38"/>
  <c r="O281" i="38"/>
  <c r="AU280" i="38"/>
  <c r="AS280" i="38"/>
  <c r="V280" i="38"/>
  <c r="U280" i="38"/>
  <c r="T280" i="38"/>
  <c r="Q280" i="38"/>
  <c r="P280" i="38"/>
  <c r="O280" i="38"/>
  <c r="AU279" i="38"/>
  <c r="AS279" i="38"/>
  <c r="V279" i="38"/>
  <c r="U279" i="38"/>
  <c r="T279" i="38"/>
  <c r="Q279" i="38"/>
  <c r="P279" i="38"/>
  <c r="O279" i="38"/>
  <c r="AU278" i="38"/>
  <c r="AS278" i="38"/>
  <c r="V278" i="38"/>
  <c r="U278" i="38"/>
  <c r="T278" i="38"/>
  <c r="Q278" i="38"/>
  <c r="P278" i="38"/>
  <c r="O278" i="38"/>
  <c r="AS277" i="38"/>
  <c r="AU277" i="38"/>
  <c r="V277" i="38"/>
  <c r="U277" i="38"/>
  <c r="T277" i="38"/>
  <c r="Q277" i="38"/>
  <c r="P277" i="38"/>
  <c r="O277" i="38"/>
  <c r="AS276" i="38"/>
  <c r="V276" i="38"/>
  <c r="U276" i="38"/>
  <c r="T276" i="38"/>
  <c r="Q276" i="38"/>
  <c r="P276" i="38"/>
  <c r="O276" i="38"/>
  <c r="AS275" i="38"/>
  <c r="AU275" i="38"/>
  <c r="V275" i="38"/>
  <c r="U275" i="38"/>
  <c r="T275" i="38"/>
  <c r="Q275" i="38"/>
  <c r="P275" i="38"/>
  <c r="O275" i="38"/>
  <c r="AS274" i="38"/>
  <c r="V274" i="38"/>
  <c r="U274" i="38"/>
  <c r="T274" i="38"/>
  <c r="Q274" i="38"/>
  <c r="P274" i="38"/>
  <c r="O274" i="38"/>
  <c r="AS273" i="38"/>
  <c r="AU273" i="38"/>
  <c r="V273" i="38"/>
  <c r="U273" i="38"/>
  <c r="T273" i="38"/>
  <c r="Q273" i="38"/>
  <c r="P273" i="38"/>
  <c r="O273" i="38"/>
  <c r="AU272" i="38"/>
  <c r="AS272" i="38"/>
  <c r="V272" i="38"/>
  <c r="U272" i="38"/>
  <c r="T272" i="38"/>
  <c r="Q272" i="38"/>
  <c r="P272" i="38"/>
  <c r="O272" i="38"/>
  <c r="AU271" i="38"/>
  <c r="AS271" i="38"/>
  <c r="V271" i="38"/>
  <c r="U271" i="38"/>
  <c r="T271" i="38"/>
  <c r="Q271" i="38"/>
  <c r="P271" i="38"/>
  <c r="O271" i="38"/>
  <c r="AU270" i="38"/>
  <c r="AS270" i="38"/>
  <c r="V270" i="38"/>
  <c r="U270" i="38"/>
  <c r="T270" i="38"/>
  <c r="Q270" i="38"/>
  <c r="P270" i="38"/>
  <c r="O270" i="38"/>
  <c r="AS269" i="38"/>
  <c r="AU269" i="38"/>
  <c r="V269" i="38"/>
  <c r="U269" i="38"/>
  <c r="T269" i="38"/>
  <c r="Q269" i="38"/>
  <c r="P269" i="38"/>
  <c r="O269" i="38"/>
  <c r="AS268" i="38"/>
  <c r="AU268" i="38"/>
  <c r="V268" i="38"/>
  <c r="U268" i="38"/>
  <c r="T268" i="38"/>
  <c r="Q268" i="38"/>
  <c r="P268" i="38"/>
  <c r="O268" i="38"/>
  <c r="AS267" i="38"/>
  <c r="AU267" i="38"/>
  <c r="V267" i="38"/>
  <c r="U267" i="38"/>
  <c r="T267" i="38"/>
  <c r="Q267" i="38"/>
  <c r="P267" i="38"/>
  <c r="O267" i="38"/>
  <c r="AS266" i="38"/>
  <c r="V266" i="38"/>
  <c r="U266" i="38"/>
  <c r="T266" i="38"/>
  <c r="Q266" i="38"/>
  <c r="P266" i="38"/>
  <c r="O266" i="38"/>
  <c r="AS265" i="38"/>
  <c r="AU265" i="38"/>
  <c r="V265" i="38"/>
  <c r="U265" i="38"/>
  <c r="T265" i="38"/>
  <c r="Q265" i="38"/>
  <c r="P265" i="38"/>
  <c r="O265" i="38"/>
  <c r="AU264" i="38"/>
  <c r="AS264" i="38"/>
  <c r="V264" i="38"/>
  <c r="U264" i="38"/>
  <c r="T264" i="38"/>
  <c r="Q264" i="38"/>
  <c r="P264" i="38"/>
  <c r="O264" i="38"/>
  <c r="AU263" i="38"/>
  <c r="AS263" i="38"/>
  <c r="V263" i="38"/>
  <c r="U263" i="38"/>
  <c r="T263" i="38"/>
  <c r="Q263" i="38"/>
  <c r="P263" i="38"/>
  <c r="O263" i="38"/>
  <c r="AU262" i="38"/>
  <c r="V262" i="38"/>
  <c r="U262" i="38"/>
  <c r="T262" i="38"/>
  <c r="Q262" i="38"/>
  <c r="P262" i="38"/>
  <c r="O262" i="38"/>
  <c r="AS261" i="38"/>
  <c r="AU261" i="38"/>
  <c r="V261" i="38"/>
  <c r="U261" i="38"/>
  <c r="T261" i="38"/>
  <c r="Q261" i="38"/>
  <c r="P261" i="38"/>
  <c r="O261" i="38"/>
  <c r="AS260" i="38"/>
  <c r="V260" i="38"/>
  <c r="U260" i="38"/>
  <c r="T260" i="38"/>
  <c r="Q260" i="38"/>
  <c r="P260" i="38"/>
  <c r="O260" i="38"/>
  <c r="AS259" i="38"/>
  <c r="AU259" i="38"/>
  <c r="V259" i="38"/>
  <c r="U259" i="38"/>
  <c r="T259" i="38"/>
  <c r="Q259" i="38"/>
  <c r="P259" i="38"/>
  <c r="O259" i="38"/>
  <c r="V258" i="38"/>
  <c r="U258" i="38"/>
  <c r="T258" i="38"/>
  <c r="Q258" i="38"/>
  <c r="P258" i="38"/>
  <c r="O258" i="38"/>
  <c r="AS257" i="38"/>
  <c r="AU257" i="38"/>
  <c r="V257" i="38"/>
  <c r="U257" i="38"/>
  <c r="T257" i="38"/>
  <c r="Q257" i="38"/>
  <c r="P257" i="38"/>
  <c r="O257" i="38"/>
  <c r="AU256" i="38"/>
  <c r="AS256" i="38"/>
  <c r="V256" i="38"/>
  <c r="U256" i="38"/>
  <c r="T256" i="38"/>
  <c r="Q256" i="38"/>
  <c r="P256" i="38"/>
  <c r="O256" i="38"/>
  <c r="AU255" i="38"/>
  <c r="AS255" i="38"/>
  <c r="V255" i="38"/>
  <c r="U255" i="38"/>
  <c r="T255" i="38"/>
  <c r="Q255" i="38"/>
  <c r="P255" i="38"/>
  <c r="O255" i="38"/>
  <c r="AU254" i="38"/>
  <c r="V254" i="38"/>
  <c r="U254" i="38"/>
  <c r="T254" i="38"/>
  <c r="Q254" i="38"/>
  <c r="P254" i="38"/>
  <c r="O254" i="38"/>
  <c r="AS253" i="38"/>
  <c r="AU253" i="38"/>
  <c r="V253" i="38"/>
  <c r="U253" i="38"/>
  <c r="T253" i="38"/>
  <c r="Q253" i="38"/>
  <c r="P253" i="38"/>
  <c r="O253" i="38"/>
  <c r="AS252" i="38"/>
  <c r="V252" i="38"/>
  <c r="U252" i="38"/>
  <c r="T252" i="38"/>
  <c r="Q252" i="38"/>
  <c r="P252" i="38"/>
  <c r="O252" i="38"/>
  <c r="AU251" i="38"/>
  <c r="AS251" i="38"/>
  <c r="V251" i="38"/>
  <c r="U251" i="38"/>
  <c r="T251" i="38"/>
  <c r="Q251" i="38"/>
  <c r="P251" i="38"/>
  <c r="O251" i="38"/>
  <c r="AU250" i="38"/>
  <c r="AS250" i="38"/>
  <c r="V250" i="38"/>
  <c r="U250" i="38"/>
  <c r="T250" i="38"/>
  <c r="Q250" i="38"/>
  <c r="P250" i="38"/>
  <c r="O250" i="38"/>
  <c r="AU249" i="38"/>
  <c r="V249" i="38"/>
  <c r="U249" i="38"/>
  <c r="T249" i="38"/>
  <c r="Q249" i="38"/>
  <c r="P249" i="38"/>
  <c r="O249" i="38"/>
  <c r="AS248" i="38"/>
  <c r="AU248" i="38"/>
  <c r="V248" i="38"/>
  <c r="U248" i="38"/>
  <c r="T248" i="38"/>
  <c r="Q248" i="38"/>
  <c r="P248" i="38"/>
  <c r="O248" i="38"/>
  <c r="AU247" i="38"/>
  <c r="AS247" i="38"/>
  <c r="V247" i="38"/>
  <c r="U247" i="38"/>
  <c r="T247" i="38"/>
  <c r="Q247" i="38"/>
  <c r="P247" i="38"/>
  <c r="O247" i="38"/>
  <c r="AU246" i="38"/>
  <c r="AS246" i="38"/>
  <c r="V246" i="38"/>
  <c r="U246" i="38"/>
  <c r="T246" i="38"/>
  <c r="Q246" i="38"/>
  <c r="P246" i="38"/>
  <c r="O246" i="38"/>
  <c r="AU245" i="38"/>
  <c r="V245" i="38"/>
  <c r="U245" i="38"/>
  <c r="T245" i="38"/>
  <c r="Q245" i="38"/>
  <c r="P245" i="38"/>
  <c r="O245" i="38"/>
  <c r="AS244" i="38"/>
  <c r="AU244" i="38"/>
  <c r="V244" i="38"/>
  <c r="U244" i="38"/>
  <c r="T244" i="38"/>
  <c r="Q244" i="38"/>
  <c r="P244" i="38"/>
  <c r="O244" i="38"/>
  <c r="AU243" i="38"/>
  <c r="AS243" i="38"/>
  <c r="V243" i="38"/>
  <c r="U243" i="38"/>
  <c r="T243" i="38"/>
  <c r="Q243" i="38"/>
  <c r="P243" i="38"/>
  <c r="O243" i="38"/>
  <c r="AU242" i="38"/>
  <c r="AS242" i="38"/>
  <c r="V242" i="38"/>
  <c r="U242" i="38"/>
  <c r="T242" i="38"/>
  <c r="Q242" i="38"/>
  <c r="P242" i="38"/>
  <c r="O242" i="38"/>
  <c r="AS245" i="38" l="1"/>
  <c r="AS249" i="38"/>
  <c r="AU258" i="38"/>
  <c r="AU276" i="38"/>
  <c r="AU281" i="38"/>
  <c r="AS293" i="38"/>
  <c r="AU296" i="38"/>
  <c r="AU297" i="38"/>
  <c r="AU260" i="38"/>
  <c r="AU274" i="38"/>
  <c r="AS262" i="38"/>
  <c r="AS286" i="38"/>
  <c r="AS289" i="38"/>
  <c r="AU293" i="38"/>
  <c r="AS297" i="38"/>
  <c r="AU252" i="38"/>
  <c r="AS258" i="38"/>
  <c r="AU266" i="38"/>
  <c r="AS254" i="38"/>
  <c r="AS282" i="38"/>
  <c r="AS285" i="38"/>
  <c r="AU288" i="38"/>
  <c r="AU289" i="38"/>
  <c r="AU241" i="38"/>
  <c r="AS241" i="38"/>
  <c r="V241" i="38"/>
  <c r="U241" i="38"/>
  <c r="T241" i="38"/>
  <c r="Q241" i="38"/>
  <c r="P241" i="38"/>
  <c r="O241" i="38"/>
  <c r="AU240" i="38"/>
  <c r="AS240" i="38"/>
  <c r="V240" i="38"/>
  <c r="U240" i="38"/>
  <c r="T240" i="38"/>
  <c r="Q240" i="38"/>
  <c r="P240" i="38"/>
  <c r="O240" i="38"/>
  <c r="AU239" i="38"/>
  <c r="AS239" i="38"/>
  <c r="V239" i="38"/>
  <c r="U239" i="38"/>
  <c r="T239" i="38"/>
  <c r="Q239" i="38"/>
  <c r="P239" i="38"/>
  <c r="O239" i="38"/>
  <c r="AU238" i="38"/>
  <c r="AS238" i="38"/>
  <c r="V238" i="38"/>
  <c r="U238" i="38"/>
  <c r="T238" i="38"/>
  <c r="Q238" i="38"/>
  <c r="P238" i="38"/>
  <c r="O238" i="38"/>
  <c r="AU237" i="38"/>
  <c r="AS237" i="38"/>
  <c r="V237" i="38"/>
  <c r="U237" i="38"/>
  <c r="T237" i="38"/>
  <c r="Q237" i="38"/>
  <c r="P237" i="38"/>
  <c r="O237" i="38"/>
  <c r="AU236" i="38"/>
  <c r="AS236" i="38"/>
  <c r="V236" i="38"/>
  <c r="U236" i="38"/>
  <c r="T236" i="38"/>
  <c r="Q236" i="38"/>
  <c r="P236" i="38"/>
  <c r="O236" i="38"/>
  <c r="AU235" i="38"/>
  <c r="AS235" i="38"/>
  <c r="V235" i="38"/>
  <c r="U235" i="38"/>
  <c r="T235" i="38"/>
  <c r="Q235" i="38"/>
  <c r="P235" i="38"/>
  <c r="O235" i="38"/>
  <c r="AU234" i="38"/>
  <c r="AS234" i="38"/>
  <c r="V234" i="38"/>
  <c r="U234" i="38"/>
  <c r="T234" i="38"/>
  <c r="Q234" i="38"/>
  <c r="P234" i="38"/>
  <c r="O234" i="38"/>
  <c r="AU233" i="38"/>
  <c r="AS233" i="38"/>
  <c r="V233" i="38"/>
  <c r="U233" i="38"/>
  <c r="T233" i="38"/>
  <c r="Q233" i="38"/>
  <c r="P233" i="38"/>
  <c r="O233" i="38"/>
  <c r="AU232" i="38"/>
  <c r="AS232" i="38"/>
  <c r="V232" i="38"/>
  <c r="U232" i="38"/>
  <c r="T232" i="38"/>
  <c r="Q232" i="38"/>
  <c r="P232" i="38"/>
  <c r="O232" i="38"/>
  <c r="AU231" i="38"/>
  <c r="AS231" i="38"/>
  <c r="V231" i="38"/>
  <c r="U231" i="38"/>
  <c r="T231" i="38"/>
  <c r="Q231" i="38"/>
  <c r="P231" i="38"/>
  <c r="O231" i="38"/>
  <c r="AU230" i="38"/>
  <c r="AS230" i="38"/>
  <c r="V230" i="38"/>
  <c r="U230" i="38"/>
  <c r="T230" i="38"/>
  <c r="Q230" i="38"/>
  <c r="P230" i="38"/>
  <c r="O230" i="38"/>
  <c r="AU229" i="38"/>
  <c r="AS229" i="38"/>
  <c r="V229" i="38"/>
  <c r="U229" i="38"/>
  <c r="T229" i="38"/>
  <c r="Q229" i="38"/>
  <c r="P229" i="38"/>
  <c r="O229" i="38"/>
  <c r="AU228" i="38"/>
  <c r="AS228" i="38"/>
  <c r="V228" i="38"/>
  <c r="U228" i="38"/>
  <c r="T228" i="38"/>
  <c r="Q228" i="38"/>
  <c r="P228" i="38"/>
  <c r="O228" i="38"/>
  <c r="AU227" i="38"/>
  <c r="AS227" i="38"/>
  <c r="V227" i="38"/>
  <c r="U227" i="38"/>
  <c r="T227" i="38"/>
  <c r="Q227" i="38"/>
  <c r="P227" i="38"/>
  <c r="O227" i="38"/>
  <c r="AU226" i="38"/>
  <c r="AS226" i="38"/>
  <c r="V226" i="38"/>
  <c r="U226" i="38"/>
  <c r="T226" i="38"/>
  <c r="Q226" i="38"/>
  <c r="P226" i="38"/>
  <c r="O226" i="38"/>
  <c r="AU224" i="38"/>
  <c r="AS224" i="38"/>
  <c r="V224" i="38"/>
  <c r="U224" i="38"/>
  <c r="T224" i="38"/>
  <c r="Q224" i="38"/>
  <c r="P224" i="38"/>
  <c r="O224" i="38"/>
  <c r="AU223" i="38"/>
  <c r="AS223" i="38"/>
  <c r="V223" i="38"/>
  <c r="U223" i="38"/>
  <c r="T223" i="38"/>
  <c r="Q223" i="38"/>
  <c r="P223" i="38"/>
  <c r="O223" i="38"/>
  <c r="AS222" i="38"/>
  <c r="AU222" i="38"/>
  <c r="V222" i="38"/>
  <c r="U222" i="38"/>
  <c r="T222" i="38"/>
  <c r="Q222" i="38"/>
  <c r="P222" i="38"/>
  <c r="O222" i="38"/>
  <c r="AS221" i="38"/>
  <c r="AU221" i="38"/>
  <c r="V221" i="38"/>
  <c r="U221" i="38"/>
  <c r="T221" i="38"/>
  <c r="Q221" i="38"/>
  <c r="P221" i="38"/>
  <c r="O221" i="38"/>
  <c r="AU220" i="38"/>
  <c r="AS220" i="38"/>
  <c r="V220" i="38"/>
  <c r="U220" i="38"/>
  <c r="T220" i="38"/>
  <c r="Q220" i="38"/>
  <c r="P220" i="38"/>
  <c r="O220" i="38"/>
  <c r="AU219" i="38"/>
  <c r="AS219" i="38"/>
  <c r="V219" i="38"/>
  <c r="U219" i="38"/>
  <c r="T219" i="38"/>
  <c r="Q219" i="38"/>
  <c r="P219" i="38"/>
  <c r="O219" i="38"/>
  <c r="AS218" i="38"/>
  <c r="AU218" i="38"/>
  <c r="V218" i="38"/>
  <c r="U218" i="38"/>
  <c r="T218" i="38"/>
  <c r="Q218" i="38"/>
  <c r="P218" i="38"/>
  <c r="O218" i="38"/>
  <c r="AS217" i="38"/>
  <c r="AU217" i="38"/>
  <c r="V217" i="38"/>
  <c r="U217" i="38"/>
  <c r="T217" i="38"/>
  <c r="Q217" i="38"/>
  <c r="P217" i="38"/>
  <c r="O217" i="38"/>
  <c r="AS215" i="38"/>
  <c r="AU215" i="38"/>
  <c r="V215" i="38"/>
  <c r="U215" i="38"/>
  <c r="T215" i="38"/>
  <c r="Q215" i="38"/>
  <c r="P215" i="38"/>
  <c r="O215" i="38"/>
  <c r="AU214" i="38"/>
  <c r="AS214" i="38"/>
  <c r="V214" i="38"/>
  <c r="U214" i="38"/>
  <c r="T214" i="38"/>
  <c r="Q214" i="38"/>
  <c r="P214" i="38"/>
  <c r="O214" i="38"/>
  <c r="AU213" i="38"/>
  <c r="AS213" i="38"/>
  <c r="V213" i="38"/>
  <c r="U213" i="38"/>
  <c r="T213" i="38"/>
  <c r="Q213" i="38"/>
  <c r="P213" i="38"/>
  <c r="O213" i="38"/>
  <c r="AU212" i="38"/>
  <c r="AS212" i="38"/>
  <c r="V212" i="38"/>
  <c r="U212" i="38"/>
  <c r="T212" i="38"/>
  <c r="Q212" i="38"/>
  <c r="P212" i="38"/>
  <c r="O212" i="38"/>
  <c r="AS211" i="38"/>
  <c r="AU211" i="38"/>
  <c r="V211" i="38"/>
  <c r="U211" i="38"/>
  <c r="T211" i="38"/>
  <c r="Q211" i="38"/>
  <c r="P211" i="38"/>
  <c r="O211" i="38"/>
  <c r="AU210" i="38"/>
  <c r="AS210" i="38"/>
  <c r="V210" i="38"/>
  <c r="U210" i="38"/>
  <c r="T210" i="38"/>
  <c r="Q210" i="38"/>
  <c r="P210" i="38"/>
  <c r="O210" i="38"/>
  <c r="AU209" i="38"/>
  <c r="AS209" i="38"/>
  <c r="V209" i="38"/>
  <c r="U209" i="38"/>
  <c r="T209" i="38"/>
  <c r="Q209" i="38"/>
  <c r="P209" i="38"/>
  <c r="O209" i="38"/>
  <c r="AU208" i="38"/>
  <c r="AS208" i="38"/>
  <c r="V208" i="38"/>
  <c r="U208" i="38"/>
  <c r="T208" i="38"/>
  <c r="Q208" i="38"/>
  <c r="P208" i="38"/>
  <c r="O208" i="38"/>
  <c r="AS207" i="38"/>
  <c r="AU207" i="38"/>
  <c r="V207" i="38"/>
  <c r="U207" i="38"/>
  <c r="T207" i="38"/>
  <c r="Q207" i="38"/>
  <c r="P207" i="38"/>
  <c r="O207" i="38"/>
  <c r="AU206" i="38"/>
  <c r="AS206" i="38"/>
  <c r="V206" i="38"/>
  <c r="U206" i="38"/>
  <c r="T206" i="38"/>
  <c r="Q206" i="38"/>
  <c r="P206" i="38"/>
  <c r="O206" i="38"/>
  <c r="AU205" i="38"/>
  <c r="AS205" i="38"/>
  <c r="V205" i="38"/>
  <c r="U205" i="38"/>
  <c r="T205" i="38"/>
  <c r="Q205" i="38"/>
  <c r="P205" i="38"/>
  <c r="O205" i="38"/>
  <c r="AU204" i="38"/>
  <c r="AS204" i="38"/>
  <c r="V204" i="38"/>
  <c r="U204" i="38"/>
  <c r="T204" i="38"/>
  <c r="Q204" i="38"/>
  <c r="P204" i="38"/>
  <c r="O204" i="38"/>
  <c r="AS203" i="38"/>
  <c r="AU203" i="38"/>
  <c r="V203" i="38"/>
  <c r="U203" i="38"/>
  <c r="T203" i="38"/>
  <c r="Q203" i="38"/>
  <c r="P203" i="38"/>
  <c r="O203" i="38"/>
  <c r="AU202" i="38"/>
  <c r="AS202" i="38"/>
  <c r="V202" i="38"/>
  <c r="U202" i="38"/>
  <c r="T202" i="38"/>
  <c r="Q202" i="38"/>
  <c r="P202" i="38"/>
  <c r="O202" i="38"/>
  <c r="AU201" i="38"/>
  <c r="AS201" i="38"/>
  <c r="V201" i="38"/>
  <c r="U201" i="38"/>
  <c r="T201" i="38"/>
  <c r="Q201" i="38"/>
  <c r="P201" i="38"/>
  <c r="O201" i="38"/>
  <c r="AU200" i="38"/>
  <c r="AS200" i="38"/>
  <c r="V200" i="38"/>
  <c r="U200" i="38"/>
  <c r="T200" i="38"/>
  <c r="Q200" i="38"/>
  <c r="P200" i="38"/>
  <c r="O200" i="38"/>
  <c r="AS199" i="38"/>
  <c r="AU199" i="38"/>
  <c r="V199" i="38"/>
  <c r="U199" i="38"/>
  <c r="T199" i="38"/>
  <c r="Q199" i="38"/>
  <c r="P199" i="38"/>
  <c r="O199" i="38"/>
  <c r="AU198" i="38"/>
  <c r="AS198" i="38"/>
  <c r="V198" i="38"/>
  <c r="U198" i="38"/>
  <c r="T198" i="38"/>
  <c r="Q198" i="38"/>
  <c r="P198" i="38"/>
  <c r="O198" i="38"/>
  <c r="AU197" i="38"/>
  <c r="AS197" i="38"/>
  <c r="V197" i="38"/>
  <c r="U197" i="38"/>
  <c r="T197" i="38"/>
  <c r="Q197" i="38"/>
  <c r="P197" i="38"/>
  <c r="O197" i="38"/>
  <c r="AU196" i="38"/>
  <c r="AS196" i="38"/>
  <c r="V196" i="38"/>
  <c r="U196" i="38"/>
  <c r="T196" i="38"/>
  <c r="Q196" i="38"/>
  <c r="P196" i="38"/>
  <c r="O196" i="38"/>
  <c r="AS195" i="38"/>
  <c r="AU195" i="38"/>
  <c r="V195" i="38"/>
  <c r="U195" i="38"/>
  <c r="T195" i="38"/>
  <c r="Q195" i="38"/>
  <c r="P195" i="38"/>
  <c r="O195" i="38"/>
  <c r="AU194" i="38"/>
  <c r="AS194" i="38"/>
  <c r="V194" i="38"/>
  <c r="U194" i="38"/>
  <c r="T194" i="38"/>
  <c r="Q194" i="38"/>
  <c r="P194" i="38"/>
  <c r="O194" i="38"/>
  <c r="AU193" i="38"/>
  <c r="AS193" i="38"/>
  <c r="V193" i="38"/>
  <c r="U193" i="38"/>
  <c r="T193" i="38"/>
  <c r="Q193" i="38"/>
  <c r="P193" i="38"/>
  <c r="O193" i="38"/>
  <c r="AU192" i="38"/>
  <c r="AS192" i="38"/>
  <c r="V192" i="38"/>
  <c r="U192" i="38"/>
  <c r="T192" i="38"/>
  <c r="Q192" i="38"/>
  <c r="P192" i="38"/>
  <c r="O192" i="38"/>
  <c r="AS191" i="38"/>
  <c r="AU191" i="38"/>
  <c r="V191" i="38"/>
  <c r="U191" i="38"/>
  <c r="T191" i="38"/>
  <c r="Q191" i="38"/>
  <c r="P191" i="38"/>
  <c r="O191" i="38"/>
  <c r="AU190" i="38"/>
  <c r="AS190" i="38"/>
  <c r="V190" i="38"/>
  <c r="U190" i="38"/>
  <c r="T190" i="38"/>
  <c r="Q190" i="38"/>
  <c r="P190" i="38"/>
  <c r="O190" i="38"/>
  <c r="AU189" i="38"/>
  <c r="AS189" i="38"/>
  <c r="V189" i="38"/>
  <c r="U189" i="38"/>
  <c r="T189" i="38"/>
  <c r="Q189" i="38"/>
  <c r="P189" i="38"/>
  <c r="O189" i="38"/>
  <c r="AU188" i="38"/>
  <c r="AS188" i="38"/>
  <c r="V188" i="38"/>
  <c r="U188" i="38"/>
  <c r="T188" i="38"/>
  <c r="Q188" i="38"/>
  <c r="P188" i="38"/>
  <c r="O188" i="38"/>
  <c r="AS187" i="38"/>
  <c r="AU187" i="38"/>
  <c r="V187" i="38"/>
  <c r="U187" i="38"/>
  <c r="T187" i="38"/>
  <c r="Q187" i="38"/>
  <c r="P187" i="38"/>
  <c r="O187" i="38"/>
  <c r="AU186" i="38"/>
  <c r="AS186" i="38"/>
  <c r="V186" i="38"/>
  <c r="U186" i="38"/>
  <c r="T186" i="38"/>
  <c r="Q186" i="38"/>
  <c r="P186" i="38"/>
  <c r="O186" i="38"/>
  <c r="AU185" i="38"/>
  <c r="AS185" i="38"/>
  <c r="V185" i="38"/>
  <c r="U185" i="38"/>
  <c r="T185" i="38"/>
  <c r="Q185" i="38"/>
  <c r="P185" i="38"/>
  <c r="O185" i="38"/>
  <c r="AS184" i="38"/>
  <c r="AU184" i="38"/>
  <c r="V184" i="38"/>
  <c r="U184" i="38"/>
  <c r="T184" i="38"/>
  <c r="Q184" i="38"/>
  <c r="P184" i="38"/>
  <c r="O184" i="38"/>
  <c r="AU183" i="38"/>
  <c r="AS183" i="38"/>
  <c r="V183" i="38"/>
  <c r="U183" i="38"/>
  <c r="T183" i="38"/>
  <c r="Q183" i="38"/>
  <c r="P183" i="38"/>
  <c r="O183" i="38"/>
  <c r="AU182" i="38"/>
  <c r="AS182" i="38"/>
  <c r="V182" i="38"/>
  <c r="U182" i="38"/>
  <c r="T182" i="38"/>
  <c r="Q182" i="38"/>
  <c r="P182" i="38"/>
  <c r="O182" i="38"/>
  <c r="AU181" i="38"/>
  <c r="AS181" i="38"/>
  <c r="V181" i="38"/>
  <c r="U181" i="38"/>
  <c r="T181" i="38"/>
  <c r="Q181" i="38"/>
  <c r="P181" i="38"/>
  <c r="O181" i="38"/>
  <c r="AU180" i="38"/>
  <c r="AS180" i="38"/>
  <c r="V180" i="38"/>
  <c r="U180" i="38"/>
  <c r="T180" i="38"/>
  <c r="Q180" i="38"/>
  <c r="P180" i="38"/>
  <c r="O180" i="38"/>
  <c r="AU179" i="38"/>
  <c r="AS179" i="38"/>
  <c r="V179" i="38"/>
  <c r="U179" i="38"/>
  <c r="T179" i="38"/>
  <c r="Q179" i="38"/>
  <c r="P179" i="38"/>
  <c r="O179" i="38"/>
  <c r="AU178" i="38"/>
  <c r="AS178" i="38"/>
  <c r="V178" i="38"/>
  <c r="U178" i="38"/>
  <c r="T178" i="38"/>
  <c r="Q178" i="38"/>
  <c r="P178" i="38"/>
  <c r="O178" i="38"/>
  <c r="AU177" i="38"/>
  <c r="AS177" i="38"/>
  <c r="V177" i="38"/>
  <c r="U177" i="38"/>
  <c r="T177" i="38"/>
  <c r="Q177" i="38"/>
  <c r="P177" i="38"/>
  <c r="O177" i="38"/>
  <c r="AU176" i="38"/>
  <c r="AS176" i="38"/>
  <c r="V176" i="38"/>
  <c r="U176" i="38"/>
  <c r="T176" i="38"/>
  <c r="Q176" i="38"/>
  <c r="P176" i="38"/>
  <c r="O176" i="38"/>
  <c r="AU175" i="38"/>
  <c r="AS175" i="38"/>
  <c r="V175" i="38"/>
  <c r="U175" i="38"/>
  <c r="T175" i="38"/>
  <c r="Q175" i="38"/>
  <c r="P175" i="38"/>
  <c r="O175" i="38"/>
  <c r="AU174" i="38"/>
  <c r="AS174" i="38"/>
  <c r="V174" i="38"/>
  <c r="U174" i="38"/>
  <c r="T174" i="38"/>
  <c r="Q174" i="38"/>
  <c r="P174" i="38"/>
  <c r="O174" i="38"/>
  <c r="AU173" i="38"/>
  <c r="AS173" i="38"/>
  <c r="V173" i="38"/>
  <c r="U173" i="38"/>
  <c r="T173" i="38"/>
  <c r="Q173" i="38"/>
  <c r="P173" i="38"/>
  <c r="O173" i="38"/>
  <c r="AU172" i="38"/>
  <c r="AS172" i="38"/>
  <c r="V172" i="38"/>
  <c r="U172" i="38"/>
  <c r="T172" i="38"/>
  <c r="Q172" i="38"/>
  <c r="P172" i="38"/>
  <c r="O172" i="38"/>
  <c r="AU171" i="38"/>
  <c r="AS171" i="38"/>
  <c r="V171" i="38"/>
  <c r="U171" i="38"/>
  <c r="T171" i="38"/>
  <c r="Q171" i="38"/>
  <c r="P171" i="38"/>
  <c r="O171" i="38"/>
  <c r="AU170" i="38"/>
  <c r="AS170" i="38"/>
  <c r="V170" i="38"/>
  <c r="U170" i="38"/>
  <c r="T170" i="38"/>
  <c r="Q170" i="38"/>
  <c r="P170" i="38"/>
  <c r="O170" i="38"/>
  <c r="AU169" i="38"/>
  <c r="AS169" i="38"/>
  <c r="V169" i="38"/>
  <c r="U169" i="38"/>
  <c r="T169" i="38"/>
  <c r="Q169" i="38"/>
  <c r="P169" i="38"/>
  <c r="O169" i="38"/>
  <c r="AU168" i="38"/>
  <c r="AS168" i="38"/>
  <c r="V168" i="38"/>
  <c r="U168" i="38"/>
  <c r="T168" i="38"/>
  <c r="Q168" i="38"/>
  <c r="P168" i="38"/>
  <c r="O168" i="38"/>
  <c r="AU167" i="38"/>
  <c r="AS167" i="38"/>
  <c r="V167" i="38"/>
  <c r="U167" i="38"/>
  <c r="T167" i="38"/>
  <c r="Q167" i="38"/>
  <c r="P167" i="38"/>
  <c r="O167" i="38"/>
  <c r="AU166" i="38"/>
  <c r="AS166" i="38"/>
  <c r="V166" i="38"/>
  <c r="U166" i="38"/>
  <c r="T166" i="38"/>
  <c r="Q166" i="38"/>
  <c r="P166" i="38"/>
  <c r="O166" i="38"/>
  <c r="AU165" i="38"/>
  <c r="AS165" i="38"/>
  <c r="V165" i="38"/>
  <c r="U165" i="38"/>
  <c r="T165" i="38"/>
  <c r="Q165" i="38"/>
  <c r="P165" i="38"/>
  <c r="O165" i="38"/>
  <c r="AU164" i="38"/>
  <c r="AS164" i="38"/>
  <c r="V164" i="38"/>
  <c r="U164" i="38"/>
  <c r="T164" i="38"/>
  <c r="Q164" i="38"/>
  <c r="P164" i="38"/>
  <c r="O164" i="38"/>
  <c r="AU163" i="38"/>
  <c r="AS163" i="38"/>
  <c r="V163" i="38"/>
  <c r="U163" i="38"/>
  <c r="T163" i="38"/>
  <c r="Q163" i="38"/>
  <c r="P163" i="38"/>
  <c r="O163" i="38"/>
  <c r="AU162" i="38"/>
  <c r="AS162" i="38"/>
  <c r="V162" i="38"/>
  <c r="U162" i="38"/>
  <c r="T162" i="38"/>
  <c r="Q162" i="38"/>
  <c r="P162" i="38"/>
  <c r="O162" i="38"/>
  <c r="AU161" i="38"/>
  <c r="AS161" i="38"/>
  <c r="V161" i="38"/>
  <c r="U161" i="38"/>
  <c r="T161" i="38"/>
  <c r="Q161" i="38"/>
  <c r="P161" i="38"/>
  <c r="O161" i="38"/>
  <c r="AS160" i="38"/>
  <c r="AU160" i="38"/>
  <c r="V160" i="38"/>
  <c r="U160" i="38"/>
  <c r="T160" i="38"/>
  <c r="Q160" i="38"/>
  <c r="P160" i="38"/>
  <c r="O160" i="38"/>
  <c r="AU159" i="38"/>
  <c r="AS159" i="38"/>
  <c r="V159" i="38"/>
  <c r="U159" i="38"/>
  <c r="T159" i="38"/>
  <c r="Q159" i="38"/>
  <c r="P159" i="38"/>
  <c r="O159" i="38"/>
  <c r="AU158" i="38"/>
  <c r="AS158" i="38"/>
  <c r="V158" i="38"/>
  <c r="U158" i="38"/>
  <c r="T158" i="38"/>
  <c r="Q158" i="38"/>
  <c r="P158" i="38"/>
  <c r="O158" i="38"/>
  <c r="AU157" i="38"/>
  <c r="AS157" i="38"/>
  <c r="V157" i="38"/>
  <c r="U157" i="38"/>
  <c r="T157" i="38"/>
  <c r="Q157" i="38"/>
  <c r="P157" i="38"/>
  <c r="O157" i="38"/>
  <c r="AS156" i="38"/>
  <c r="AU156" i="38"/>
  <c r="V156" i="38"/>
  <c r="U156" i="38"/>
  <c r="T156" i="38"/>
  <c r="Q156" i="38"/>
  <c r="P156" i="38"/>
  <c r="O156" i="38"/>
  <c r="AU155" i="38"/>
  <c r="AS155" i="38"/>
  <c r="V155" i="38"/>
  <c r="U155" i="38"/>
  <c r="T155" i="38"/>
  <c r="Q155" i="38"/>
  <c r="P155" i="38"/>
  <c r="O155" i="38"/>
  <c r="AU154" i="38"/>
  <c r="AS154" i="38"/>
  <c r="V154" i="38"/>
  <c r="U154" i="38"/>
  <c r="T154" i="38"/>
  <c r="Q154" i="38"/>
  <c r="P154" i="38"/>
  <c r="O154" i="38"/>
  <c r="AU153" i="38"/>
  <c r="AS153" i="38"/>
  <c r="V153" i="38"/>
  <c r="U153" i="38"/>
  <c r="T153" i="38"/>
  <c r="Q153" i="38"/>
  <c r="P153" i="38"/>
  <c r="O153" i="38"/>
  <c r="AS152" i="38"/>
  <c r="AU152" i="38"/>
  <c r="V152" i="38"/>
  <c r="U152" i="38"/>
  <c r="T152" i="38"/>
  <c r="Q152" i="38"/>
  <c r="P152" i="38"/>
  <c r="O152" i="38"/>
  <c r="AU151" i="38"/>
  <c r="AS151" i="38"/>
  <c r="V151" i="38"/>
  <c r="U151" i="38"/>
  <c r="T151" i="38"/>
  <c r="Q151" i="38"/>
  <c r="P151" i="38"/>
  <c r="O151" i="38"/>
  <c r="AU150" i="38"/>
  <c r="AS150" i="38"/>
  <c r="V150" i="38"/>
  <c r="U150" i="38"/>
  <c r="T150" i="38"/>
  <c r="Q150" i="38"/>
  <c r="P150" i="38"/>
  <c r="O150" i="38"/>
  <c r="AU149" i="38"/>
  <c r="AS149" i="38"/>
  <c r="V149" i="38"/>
  <c r="U149" i="38"/>
  <c r="T149" i="38"/>
  <c r="Q149" i="38"/>
  <c r="P149" i="38"/>
  <c r="O149" i="38"/>
  <c r="AS148" i="38"/>
  <c r="AU148" i="38"/>
  <c r="V148" i="38"/>
  <c r="U148" i="38"/>
  <c r="T148" i="38"/>
  <c r="Q148" i="38"/>
  <c r="P148" i="38"/>
  <c r="O148" i="38"/>
  <c r="AU147" i="38"/>
  <c r="AS147" i="38"/>
  <c r="V147" i="38"/>
  <c r="U147" i="38"/>
  <c r="T147" i="38"/>
  <c r="Q147" i="38"/>
  <c r="P147" i="38"/>
  <c r="O147" i="38"/>
  <c r="AU146" i="38"/>
  <c r="AS146" i="38"/>
  <c r="V146" i="38"/>
  <c r="U146" i="38"/>
  <c r="T146" i="38"/>
  <c r="Q146" i="38"/>
  <c r="P146" i="38"/>
  <c r="O146" i="38"/>
  <c r="AU145" i="38"/>
  <c r="AS145" i="38"/>
  <c r="V145" i="38"/>
  <c r="U145" i="38"/>
  <c r="T145" i="38"/>
  <c r="Q145" i="38"/>
  <c r="P145" i="38"/>
  <c r="O145" i="38"/>
  <c r="AS144" i="38"/>
  <c r="AU144" i="38"/>
  <c r="V144" i="38"/>
  <c r="U144" i="38"/>
  <c r="T144" i="38"/>
  <c r="Q144" i="38"/>
  <c r="P144" i="38"/>
  <c r="O144" i="38"/>
  <c r="AU143" i="38"/>
  <c r="AS143" i="38"/>
  <c r="V143" i="38"/>
  <c r="U143" i="38"/>
  <c r="T143" i="38"/>
  <c r="Q143" i="38"/>
  <c r="P143" i="38"/>
  <c r="O143" i="38"/>
  <c r="AU142" i="38"/>
  <c r="AS142" i="38"/>
  <c r="V142" i="38"/>
  <c r="U142" i="38"/>
  <c r="T142" i="38"/>
  <c r="Q142" i="38"/>
  <c r="P142" i="38"/>
  <c r="O142" i="38"/>
  <c r="AU141" i="38"/>
  <c r="AS141" i="38"/>
  <c r="V141" i="38"/>
  <c r="U141" i="38"/>
  <c r="T141" i="38"/>
  <c r="Q141" i="38"/>
  <c r="P141" i="38"/>
  <c r="O141" i="38"/>
  <c r="AS140" i="38"/>
  <c r="AU140" i="38"/>
  <c r="V140" i="38"/>
  <c r="U140" i="38"/>
  <c r="T140" i="38"/>
  <c r="Q140" i="38"/>
  <c r="P140" i="38"/>
  <c r="O140" i="38"/>
  <c r="AU139" i="38"/>
  <c r="AS139" i="38"/>
  <c r="V139" i="38"/>
  <c r="U139" i="38"/>
  <c r="T139" i="38"/>
  <c r="Q139" i="38"/>
  <c r="P139" i="38"/>
  <c r="O139" i="38"/>
  <c r="AS138" i="38"/>
  <c r="AU138" i="38"/>
  <c r="V138" i="38"/>
  <c r="U138" i="38"/>
  <c r="T138" i="38"/>
  <c r="Q138" i="38"/>
  <c r="P138" i="38"/>
  <c r="O138" i="38"/>
  <c r="AU137" i="38"/>
  <c r="AS137" i="38"/>
  <c r="V137" i="38"/>
  <c r="U137" i="38"/>
  <c r="T137" i="38"/>
  <c r="Q137" i="38"/>
  <c r="P137" i="38"/>
  <c r="O137" i="38"/>
  <c r="AS136" i="38"/>
  <c r="AU136" i="38"/>
  <c r="V136" i="38"/>
  <c r="U136" i="38"/>
  <c r="T136" i="38"/>
  <c r="Q136" i="38"/>
  <c r="P136" i="38"/>
  <c r="O136" i="38"/>
  <c r="AU135" i="38"/>
  <c r="AS135" i="38"/>
  <c r="V135" i="38"/>
  <c r="U135" i="38"/>
  <c r="T135" i="38"/>
  <c r="Q135" i="38"/>
  <c r="P135" i="38"/>
  <c r="O135" i="38"/>
  <c r="AS134" i="38"/>
  <c r="AU134" i="38"/>
  <c r="V134" i="38"/>
  <c r="U134" i="38"/>
  <c r="T134" i="38"/>
  <c r="Q134" i="38"/>
  <c r="P134" i="38"/>
  <c r="O134" i="38"/>
  <c r="AU133" i="38"/>
  <c r="AS133" i="38"/>
  <c r="V133" i="38"/>
  <c r="U133" i="38"/>
  <c r="T133" i="38"/>
  <c r="Q133" i="38"/>
  <c r="P133" i="38"/>
  <c r="O133" i="38"/>
  <c r="AS132" i="38"/>
  <c r="AU132" i="38"/>
  <c r="V132" i="38"/>
  <c r="U132" i="38"/>
  <c r="T132" i="38"/>
  <c r="Q132" i="38"/>
  <c r="P132" i="38"/>
  <c r="O132" i="38"/>
  <c r="AU131" i="38"/>
  <c r="AS131" i="38"/>
  <c r="V131" i="38"/>
  <c r="U131" i="38"/>
  <c r="T131" i="38"/>
  <c r="Q131" i="38"/>
  <c r="P131" i="38"/>
  <c r="O131" i="38"/>
  <c r="AS130" i="38"/>
  <c r="AU130" i="38"/>
  <c r="V130" i="38"/>
  <c r="U130" i="38"/>
  <c r="T130" i="38"/>
  <c r="Q130" i="38"/>
  <c r="P130" i="38"/>
  <c r="O130" i="38"/>
  <c r="AU129" i="38"/>
  <c r="AS129" i="38"/>
  <c r="V129" i="38"/>
  <c r="U129" i="38"/>
  <c r="T129" i="38"/>
  <c r="Q129" i="38"/>
  <c r="P129" i="38"/>
  <c r="O129" i="38"/>
  <c r="AS128" i="38"/>
  <c r="AU128" i="38"/>
  <c r="V128" i="38"/>
  <c r="U128" i="38"/>
  <c r="T128" i="38"/>
  <c r="Q128" i="38"/>
  <c r="P128" i="38"/>
  <c r="O128" i="38"/>
  <c r="AU127" i="38"/>
  <c r="AS127" i="38"/>
  <c r="V127" i="38"/>
  <c r="U127" i="38"/>
  <c r="T127" i="38"/>
  <c r="Q127" i="38"/>
  <c r="P127" i="38"/>
  <c r="O127" i="38"/>
  <c r="AS126" i="38"/>
  <c r="AU126" i="38"/>
  <c r="V126" i="38"/>
  <c r="U126" i="38"/>
  <c r="T126" i="38"/>
  <c r="Q126" i="38"/>
  <c r="P126" i="38"/>
  <c r="O126" i="38"/>
  <c r="AU125" i="38"/>
  <c r="AS125" i="38"/>
  <c r="V125" i="38"/>
  <c r="U125" i="38"/>
  <c r="T125" i="38"/>
  <c r="Q125" i="38"/>
  <c r="P125" i="38"/>
  <c r="O125" i="38"/>
  <c r="AS124" i="38"/>
  <c r="AU124" i="38"/>
  <c r="V124" i="38"/>
  <c r="U124" i="38"/>
  <c r="T124" i="38"/>
  <c r="Q124" i="38"/>
  <c r="P124" i="38"/>
  <c r="O124" i="38"/>
  <c r="AU123" i="38"/>
  <c r="AS123" i="38"/>
  <c r="V123" i="38"/>
  <c r="U123" i="38"/>
  <c r="T123" i="38"/>
  <c r="Q123" i="38"/>
  <c r="P123" i="38"/>
  <c r="O123" i="38"/>
  <c r="AS122" i="38"/>
  <c r="AU122" i="38"/>
  <c r="V122" i="38"/>
  <c r="U122" i="38"/>
  <c r="T122" i="38"/>
  <c r="Q122" i="38"/>
  <c r="P122" i="38"/>
  <c r="O122" i="38"/>
  <c r="AU121" i="38"/>
  <c r="AS121" i="38"/>
  <c r="V121" i="38"/>
  <c r="U121" i="38"/>
  <c r="T121" i="38"/>
  <c r="Q121" i="38"/>
  <c r="P121" i="38"/>
  <c r="O121" i="38"/>
  <c r="AS120" i="38"/>
  <c r="AU120" i="38"/>
  <c r="V120" i="38"/>
  <c r="U120" i="38"/>
  <c r="T120" i="38"/>
  <c r="Q120" i="38"/>
  <c r="P120" i="38"/>
  <c r="O120" i="38"/>
  <c r="AU119" i="38"/>
  <c r="AS119" i="38"/>
  <c r="V119" i="38"/>
  <c r="U119" i="38"/>
  <c r="T119" i="38"/>
  <c r="Q119" i="38"/>
  <c r="P119" i="38"/>
  <c r="O119" i="38"/>
  <c r="AS118" i="38"/>
  <c r="AU118" i="38"/>
  <c r="V118" i="38"/>
  <c r="U118" i="38"/>
  <c r="T118" i="38"/>
  <c r="Q118" i="38"/>
  <c r="P118" i="38"/>
  <c r="O118" i="38"/>
  <c r="AU117" i="38"/>
  <c r="AS117" i="38"/>
  <c r="V117" i="38"/>
  <c r="U117" i="38"/>
  <c r="T117" i="38"/>
  <c r="Q117" i="38"/>
  <c r="P117" i="38"/>
  <c r="O117" i="38"/>
  <c r="AS116" i="38"/>
  <c r="AU116" i="38"/>
  <c r="V116" i="38"/>
  <c r="U116" i="38"/>
  <c r="T116" i="38"/>
  <c r="Q116" i="38"/>
  <c r="P116" i="38"/>
  <c r="O116" i="38"/>
  <c r="AU115" i="38"/>
  <c r="AS115" i="38"/>
  <c r="V115" i="38"/>
  <c r="U115" i="38"/>
  <c r="T115" i="38"/>
  <c r="Q115" i="38"/>
  <c r="P115" i="38"/>
  <c r="O115" i="38"/>
  <c r="AS114" i="38"/>
  <c r="AU114" i="38"/>
  <c r="V114" i="38"/>
  <c r="U114" i="38"/>
  <c r="T114" i="38"/>
  <c r="Q114" i="38"/>
  <c r="P114" i="38"/>
  <c r="O114" i="38"/>
  <c r="AU113" i="38"/>
  <c r="AS113" i="38"/>
  <c r="V113" i="38"/>
  <c r="U113" i="38"/>
  <c r="T113" i="38"/>
  <c r="Q113" i="38"/>
  <c r="P113" i="38"/>
  <c r="O113" i="38"/>
  <c r="AU83" i="38"/>
  <c r="AS83" i="38"/>
  <c r="V83" i="38"/>
  <c r="U83" i="38"/>
  <c r="T83" i="38"/>
  <c r="Q83" i="38"/>
  <c r="P83" i="38"/>
  <c r="O83" i="38"/>
  <c r="AU82" i="38"/>
  <c r="AS82" i="38"/>
  <c r="V82" i="38"/>
  <c r="U82" i="38"/>
  <c r="T82" i="38"/>
  <c r="Q82" i="38"/>
  <c r="P82" i="38"/>
  <c r="O82" i="38"/>
  <c r="AS81" i="38"/>
  <c r="AU81" i="38"/>
  <c r="V81" i="38"/>
  <c r="U81" i="38"/>
  <c r="T81" i="38"/>
  <c r="Q81" i="38"/>
  <c r="P81" i="38"/>
  <c r="O81" i="38"/>
  <c r="AU112" i="38" l="1"/>
  <c r="AS112" i="38"/>
  <c r="Q112" i="38"/>
  <c r="P112" i="38"/>
  <c r="O112" i="38"/>
  <c r="AU111" i="38"/>
  <c r="AS111" i="38"/>
  <c r="Q111" i="38"/>
  <c r="P111" i="38"/>
  <c r="O111" i="38"/>
  <c r="AU110" i="38"/>
  <c r="AS110" i="38"/>
  <c r="Q110" i="38"/>
  <c r="P110" i="38"/>
  <c r="O110" i="38"/>
  <c r="AU109" i="38"/>
  <c r="AS109" i="38"/>
  <c r="Q109" i="38"/>
  <c r="P109" i="38"/>
  <c r="O109" i="38"/>
  <c r="AS108" i="38"/>
  <c r="AU108" i="38"/>
  <c r="Q108" i="38"/>
  <c r="P108" i="38"/>
  <c r="O108" i="38"/>
  <c r="AU107" i="38"/>
  <c r="AS107" i="38"/>
  <c r="Q107" i="38"/>
  <c r="P107" i="38"/>
  <c r="O107" i="38"/>
  <c r="AS106" i="38"/>
  <c r="AU106" i="38"/>
  <c r="Q106" i="38"/>
  <c r="P106" i="38"/>
  <c r="O106" i="38"/>
  <c r="AU105" i="38"/>
  <c r="AS105" i="38"/>
  <c r="Q105" i="38"/>
  <c r="P105" i="38"/>
  <c r="O105" i="38"/>
  <c r="AU104" i="38"/>
  <c r="AS104" i="38"/>
  <c r="Q104" i="38"/>
  <c r="P104" i="38"/>
  <c r="O104" i="38"/>
  <c r="AU103" i="38"/>
  <c r="AS103" i="38"/>
  <c r="Q103" i="38"/>
  <c r="P103" i="38"/>
  <c r="O103" i="38"/>
  <c r="AU102" i="38"/>
  <c r="AS102" i="38"/>
  <c r="Q102" i="38"/>
  <c r="P102" i="38"/>
  <c r="O102" i="38"/>
  <c r="AU101" i="38"/>
  <c r="AS101" i="38"/>
  <c r="Q101" i="38"/>
  <c r="P101" i="38"/>
  <c r="O101" i="38"/>
  <c r="AU100" i="38"/>
  <c r="AS100" i="38"/>
  <c r="Q100" i="38"/>
  <c r="P100" i="38"/>
  <c r="O100" i="38"/>
  <c r="AU99" i="38"/>
  <c r="AS99" i="38"/>
  <c r="Q99" i="38"/>
  <c r="P99" i="38"/>
  <c r="O99" i="38"/>
  <c r="AS98" i="38"/>
  <c r="AU98" i="38"/>
  <c r="Q98" i="38"/>
  <c r="P98" i="38"/>
  <c r="O98" i="38"/>
  <c r="AU97" i="38"/>
  <c r="AS97" i="38"/>
  <c r="Q97" i="38"/>
  <c r="P97" i="38"/>
  <c r="O97" i="38"/>
  <c r="AU96" i="38"/>
  <c r="AS96" i="38"/>
  <c r="Q96" i="38"/>
  <c r="P96" i="38"/>
  <c r="O96" i="38"/>
  <c r="AU95" i="38"/>
  <c r="AS95" i="38"/>
  <c r="Q95" i="38"/>
  <c r="P95" i="38"/>
  <c r="O95" i="38"/>
  <c r="AU94" i="38"/>
  <c r="AS94" i="38"/>
  <c r="Q94" i="38"/>
  <c r="P94" i="38"/>
  <c r="O94" i="38"/>
  <c r="AU93" i="38"/>
  <c r="AS93" i="38"/>
  <c r="Q93" i="38"/>
  <c r="P93" i="38"/>
  <c r="O93" i="38"/>
  <c r="AU92" i="38"/>
  <c r="AS92" i="38"/>
  <c r="Q92" i="38"/>
  <c r="P92" i="38"/>
  <c r="O92" i="38"/>
  <c r="AU91" i="38"/>
  <c r="AS91" i="38"/>
  <c r="Q91" i="38"/>
  <c r="P91" i="38"/>
  <c r="O91" i="38"/>
  <c r="AS90" i="38"/>
  <c r="AU90" i="38"/>
  <c r="Q90" i="38"/>
  <c r="P90" i="38"/>
  <c r="O90" i="38"/>
  <c r="AU89" i="38"/>
  <c r="AS89" i="38"/>
  <c r="Q89" i="38"/>
  <c r="P89" i="38"/>
  <c r="O89" i="38"/>
  <c r="AU88" i="38"/>
  <c r="AS88" i="38"/>
  <c r="Q88" i="38"/>
  <c r="P88" i="38"/>
  <c r="O88" i="38"/>
  <c r="AU87" i="38"/>
  <c r="AS87" i="38"/>
  <c r="Q87" i="38"/>
  <c r="P87" i="38"/>
  <c r="O87" i="38"/>
  <c r="AU86" i="38"/>
  <c r="AS86" i="38"/>
  <c r="Q86" i="38"/>
  <c r="P86" i="38"/>
  <c r="O86" i="38"/>
  <c r="AU85" i="38"/>
  <c r="AS85" i="38"/>
  <c r="Q85" i="38"/>
  <c r="P85" i="38"/>
  <c r="O85" i="38"/>
  <c r="AU80" i="38" l="1"/>
  <c r="AS80" i="38"/>
  <c r="V80" i="38"/>
  <c r="U80" i="38"/>
  <c r="T80" i="38"/>
  <c r="Q80" i="38"/>
  <c r="P80" i="38"/>
  <c r="O80" i="38"/>
  <c r="AU79" i="38"/>
  <c r="AS79" i="38"/>
  <c r="V79" i="38"/>
  <c r="U79" i="38"/>
  <c r="T79" i="38"/>
  <c r="Q79" i="38"/>
  <c r="P79" i="38"/>
  <c r="O79" i="38"/>
  <c r="AU78" i="38"/>
  <c r="AS78" i="38"/>
  <c r="V78" i="38"/>
  <c r="U78" i="38"/>
  <c r="T78" i="38"/>
  <c r="Q78" i="38"/>
  <c r="P78" i="38"/>
  <c r="O78" i="38"/>
  <c r="AU77" i="38"/>
  <c r="AS77" i="38"/>
  <c r="V77" i="38"/>
  <c r="U77" i="38"/>
  <c r="T77" i="38"/>
  <c r="Q77" i="38"/>
  <c r="P77" i="38"/>
  <c r="O77" i="38"/>
  <c r="AU76" i="38"/>
  <c r="AS76" i="38"/>
  <c r="V76" i="38"/>
  <c r="U76" i="38"/>
  <c r="T76" i="38"/>
  <c r="Q76" i="38"/>
  <c r="P76" i="38"/>
  <c r="O76" i="38"/>
  <c r="AU75" i="38"/>
  <c r="AS75" i="38"/>
  <c r="V75" i="38"/>
  <c r="U75" i="38"/>
  <c r="T75" i="38"/>
  <c r="Q75" i="38"/>
  <c r="P75" i="38"/>
  <c r="O75" i="38"/>
  <c r="AU74" i="38"/>
  <c r="AS74" i="38"/>
  <c r="V74" i="38"/>
  <c r="U74" i="38"/>
  <c r="T74" i="38"/>
  <c r="Q74" i="38"/>
  <c r="P74" i="38"/>
  <c r="O74" i="38"/>
  <c r="AS73" i="38"/>
  <c r="AU73" i="38"/>
  <c r="V73" i="38"/>
  <c r="U73" i="38"/>
  <c r="T73" i="38"/>
  <c r="Q73" i="38"/>
  <c r="P73" i="38"/>
  <c r="O73" i="38"/>
  <c r="AU72" i="38"/>
  <c r="AS72" i="38"/>
  <c r="V72" i="38"/>
  <c r="U72" i="38"/>
  <c r="T72" i="38"/>
  <c r="Q72" i="38"/>
  <c r="P72" i="38"/>
  <c r="O72" i="38"/>
  <c r="AU71" i="38"/>
  <c r="AS71" i="38"/>
  <c r="V71" i="38"/>
  <c r="U71" i="38"/>
  <c r="T71" i="38"/>
  <c r="Q71" i="38"/>
  <c r="P71" i="38"/>
  <c r="O71" i="38"/>
  <c r="AU70" i="38"/>
  <c r="AS70" i="38"/>
  <c r="V70" i="38"/>
  <c r="U70" i="38"/>
  <c r="T70" i="38"/>
  <c r="Q70" i="38"/>
  <c r="P70" i="38"/>
  <c r="O70" i="38"/>
  <c r="AS69" i="38"/>
  <c r="AU69" i="38"/>
  <c r="V69" i="38"/>
  <c r="U69" i="38"/>
  <c r="T69" i="38"/>
  <c r="Q69" i="38"/>
  <c r="P69" i="38"/>
  <c r="O69" i="38"/>
  <c r="AU68" i="38"/>
  <c r="AS68" i="38"/>
  <c r="V68" i="38"/>
  <c r="U68" i="38"/>
  <c r="T68" i="38"/>
  <c r="Q68" i="38"/>
  <c r="P68" i="38"/>
  <c r="O68" i="38"/>
  <c r="AU67" i="38"/>
  <c r="AS67" i="38"/>
  <c r="V67" i="38"/>
  <c r="U67" i="38"/>
  <c r="T67" i="38"/>
  <c r="Q67" i="38"/>
  <c r="P67" i="38"/>
  <c r="O67" i="38"/>
  <c r="AU66" i="38"/>
  <c r="AS66" i="38"/>
  <c r="V66" i="38"/>
  <c r="U66" i="38"/>
  <c r="T66" i="38"/>
  <c r="Q66" i="38"/>
  <c r="P66" i="38"/>
  <c r="O66" i="38"/>
  <c r="AS65" i="38"/>
  <c r="AU65" i="38"/>
  <c r="V65" i="38"/>
  <c r="U65" i="38"/>
  <c r="T65" i="38"/>
  <c r="Q65" i="38"/>
  <c r="P65" i="38"/>
  <c r="O65" i="38"/>
  <c r="AU64" i="38"/>
  <c r="AS64" i="38"/>
  <c r="V64" i="38"/>
  <c r="U64" i="38"/>
  <c r="T64" i="38"/>
  <c r="Q64" i="38"/>
  <c r="P64" i="38"/>
  <c r="O64" i="38"/>
  <c r="AU63" i="38"/>
  <c r="AS63" i="38"/>
  <c r="V63" i="38"/>
  <c r="U63" i="38"/>
  <c r="T63" i="38"/>
  <c r="Q63" i="38"/>
  <c r="P63" i="38"/>
  <c r="O63" i="38"/>
  <c r="AU62" i="38"/>
  <c r="AS62" i="38"/>
  <c r="V62" i="38"/>
  <c r="U62" i="38"/>
  <c r="T62" i="38"/>
  <c r="Q62" i="38"/>
  <c r="P62" i="38"/>
  <c r="O62" i="38"/>
  <c r="AS61" i="38"/>
  <c r="AU61" i="38"/>
  <c r="V61" i="38"/>
  <c r="U61" i="38"/>
  <c r="T61" i="38"/>
  <c r="Q61" i="38"/>
  <c r="P61" i="38"/>
  <c r="O61" i="38"/>
  <c r="AU60" i="38"/>
  <c r="AS60" i="38"/>
  <c r="V60" i="38"/>
  <c r="U60" i="38"/>
  <c r="T60" i="38"/>
  <c r="Q60" i="38"/>
  <c r="P60" i="38"/>
  <c r="O60" i="38"/>
  <c r="AU59" i="38"/>
  <c r="AS59" i="38"/>
  <c r="V59" i="38"/>
  <c r="U59" i="38"/>
  <c r="T59" i="38"/>
  <c r="Q59" i="38"/>
  <c r="P59" i="38"/>
  <c r="O59" i="38"/>
  <c r="AU58" i="38"/>
  <c r="AS58" i="38"/>
  <c r="V58" i="38"/>
  <c r="U58" i="38"/>
  <c r="T58" i="38"/>
  <c r="Q58" i="38"/>
  <c r="P58" i="38"/>
  <c r="O58" i="38"/>
  <c r="AS57" i="38"/>
  <c r="AU57" i="38"/>
  <c r="V57" i="38"/>
  <c r="U57" i="38"/>
  <c r="T57" i="38"/>
  <c r="Q57" i="38"/>
  <c r="P57" i="38"/>
  <c r="O57" i="38"/>
  <c r="AU56" i="38"/>
  <c r="AS56" i="38"/>
  <c r="V56" i="38"/>
  <c r="U56" i="38"/>
  <c r="T56" i="38"/>
  <c r="Q56" i="38"/>
  <c r="P56" i="38"/>
  <c r="O56" i="38"/>
  <c r="AU55" i="38"/>
  <c r="AS55" i="38"/>
  <c r="V55" i="38"/>
  <c r="U55" i="38"/>
  <c r="T55" i="38"/>
  <c r="Q55" i="38"/>
  <c r="P55" i="38"/>
  <c r="O55" i="38"/>
  <c r="AU54" i="38"/>
  <c r="AS54" i="38"/>
  <c r="V54" i="38"/>
  <c r="U54" i="38"/>
  <c r="T54" i="38"/>
  <c r="Q54" i="38"/>
  <c r="P54" i="38"/>
  <c r="O54" i="38"/>
  <c r="AS53" i="38"/>
  <c r="AU53" i="38"/>
  <c r="V53" i="38"/>
  <c r="U53" i="38"/>
  <c r="T53" i="38"/>
  <c r="Q53" i="38"/>
  <c r="P53" i="38"/>
  <c r="O53" i="38"/>
  <c r="AU52" i="38"/>
  <c r="AS52" i="38"/>
  <c r="V52" i="38"/>
  <c r="U52" i="38"/>
  <c r="T52" i="38"/>
  <c r="Q52" i="38"/>
  <c r="P52" i="38"/>
  <c r="O52" i="38"/>
  <c r="AU51" i="38"/>
  <c r="AS51" i="38"/>
  <c r="V51" i="38"/>
  <c r="U51" i="38"/>
  <c r="T51" i="38"/>
  <c r="Q51" i="38"/>
  <c r="P51" i="38"/>
  <c r="O51" i="38"/>
  <c r="AU50" i="38"/>
  <c r="AS50" i="38"/>
  <c r="V50" i="38"/>
  <c r="U50" i="38"/>
  <c r="T50" i="38"/>
  <c r="Q50" i="38"/>
  <c r="P50" i="38"/>
  <c r="O50" i="38"/>
  <c r="AS49" i="38"/>
  <c r="AU49" i="38"/>
  <c r="V49" i="38"/>
  <c r="U49" i="38"/>
  <c r="T49" i="38"/>
  <c r="Q49" i="38"/>
  <c r="P49" i="38"/>
  <c r="O49" i="38"/>
  <c r="AU48" i="38"/>
  <c r="AS48" i="38"/>
  <c r="V48" i="38"/>
  <c r="U48" i="38"/>
  <c r="T48" i="38"/>
  <c r="Q48" i="38"/>
  <c r="P48" i="38"/>
  <c r="O48" i="38"/>
  <c r="AU47" i="38"/>
  <c r="AS47" i="38"/>
  <c r="V47" i="38"/>
  <c r="U47" i="38"/>
  <c r="T47" i="38"/>
  <c r="Q47" i="38"/>
  <c r="P47" i="38"/>
  <c r="O47" i="38"/>
  <c r="AU46" i="38"/>
  <c r="AS46" i="38"/>
  <c r="V46" i="38"/>
  <c r="U46" i="38"/>
  <c r="T46" i="38"/>
  <c r="Q46" i="38"/>
  <c r="P46" i="38"/>
  <c r="O46" i="38"/>
  <c r="AU45" i="38"/>
  <c r="AS45" i="38"/>
  <c r="V45" i="38"/>
  <c r="U45" i="38"/>
  <c r="T45" i="38"/>
  <c r="Q45" i="38"/>
  <c r="P45" i="38"/>
  <c r="O45" i="38"/>
  <c r="AS44" i="38"/>
  <c r="AU44" i="38"/>
  <c r="V44" i="38"/>
  <c r="U44" i="38"/>
  <c r="T44" i="38"/>
  <c r="Q44" i="38"/>
  <c r="P44" i="38"/>
  <c r="O44" i="38"/>
  <c r="AU43" i="38"/>
  <c r="AS43" i="38"/>
  <c r="V43" i="38"/>
  <c r="U43" i="38"/>
  <c r="T43" i="38"/>
  <c r="Q43" i="38"/>
  <c r="P43" i="38"/>
  <c r="O43" i="38"/>
  <c r="AU42" i="38"/>
  <c r="AS42" i="38"/>
  <c r="V42" i="38"/>
  <c r="U42" i="38"/>
  <c r="T42" i="38"/>
  <c r="Q42" i="38"/>
  <c r="P42" i="38"/>
  <c r="O42" i="38"/>
  <c r="AU41" i="38"/>
  <c r="AS41" i="38"/>
  <c r="V41" i="38"/>
  <c r="U41" i="38"/>
  <c r="T41" i="38"/>
  <c r="Q41" i="38"/>
  <c r="P41" i="38"/>
  <c r="O41" i="38"/>
  <c r="AS40" i="38"/>
  <c r="AU40" i="38"/>
  <c r="V40" i="38"/>
  <c r="U40" i="38"/>
  <c r="T40" i="38"/>
  <c r="Q40" i="38"/>
  <c r="P40" i="38"/>
  <c r="O40" i="38"/>
  <c r="AU39" i="38"/>
  <c r="AS39" i="38"/>
  <c r="V39" i="38"/>
  <c r="U39" i="38"/>
  <c r="T39" i="38"/>
  <c r="Q39" i="38"/>
  <c r="P39" i="38"/>
  <c r="O39" i="38"/>
  <c r="AU38" i="38"/>
  <c r="AS38" i="38"/>
  <c r="V38" i="38"/>
  <c r="U38" i="38"/>
  <c r="T38" i="38"/>
  <c r="Q38" i="38"/>
  <c r="P38" i="38"/>
  <c r="O38" i="38"/>
  <c r="AU37" i="38"/>
  <c r="AS37" i="38"/>
  <c r="V37" i="38"/>
  <c r="U37" i="38"/>
  <c r="T37" i="38"/>
  <c r="Q37" i="38"/>
  <c r="P37" i="38"/>
  <c r="O37" i="38"/>
  <c r="AS36" i="38"/>
  <c r="AU36" i="38"/>
  <c r="V36" i="38"/>
  <c r="U36" i="38"/>
  <c r="T36" i="38"/>
  <c r="Q36" i="38"/>
  <c r="P36" i="38"/>
  <c r="O36" i="38"/>
  <c r="AU35" i="38"/>
  <c r="AS35" i="38"/>
  <c r="V35" i="38"/>
  <c r="U35" i="38"/>
  <c r="T35" i="38"/>
  <c r="Q35" i="38"/>
  <c r="P35" i="38"/>
  <c r="O35" i="38"/>
  <c r="AU34" i="38"/>
  <c r="AS34" i="38"/>
  <c r="V34" i="38"/>
  <c r="U34" i="38"/>
  <c r="T34" i="38"/>
  <c r="Q34" i="38"/>
  <c r="P34" i="38"/>
  <c r="O34" i="38"/>
  <c r="AU33" i="38"/>
  <c r="AS33" i="38"/>
  <c r="V33" i="38"/>
  <c r="U33" i="38"/>
  <c r="T33" i="38"/>
  <c r="Q33" i="38"/>
  <c r="P33" i="38"/>
  <c r="O33" i="38"/>
  <c r="AS32" i="38"/>
  <c r="AU32" i="38"/>
  <c r="V32" i="38"/>
  <c r="U32" i="38"/>
  <c r="T32" i="38"/>
  <c r="Q32" i="38"/>
  <c r="P32" i="38"/>
  <c r="O32" i="38"/>
  <c r="AU31" i="38"/>
  <c r="AS31" i="38"/>
  <c r="V31" i="38"/>
  <c r="U31" i="38"/>
  <c r="T31" i="38"/>
  <c r="Q31" i="38"/>
  <c r="P31" i="38"/>
  <c r="O31" i="38"/>
  <c r="AU30" i="38"/>
  <c r="AS30" i="38"/>
  <c r="V30" i="38"/>
  <c r="U30" i="38"/>
  <c r="T30" i="38"/>
  <c r="Q30" i="38"/>
  <c r="P30" i="38"/>
  <c r="O30" i="38"/>
  <c r="AU29" i="38"/>
  <c r="AS29" i="38"/>
  <c r="V29" i="38"/>
  <c r="U29" i="38"/>
  <c r="T29" i="38"/>
  <c r="Q29" i="38"/>
  <c r="P29" i="38"/>
  <c r="O29" i="38"/>
  <c r="AS28" i="38"/>
  <c r="AU28" i="38"/>
  <c r="V28" i="38"/>
  <c r="U28" i="38"/>
  <c r="T28" i="38"/>
  <c r="Q28" i="38"/>
  <c r="P28" i="38"/>
  <c r="O28" i="38"/>
  <c r="AU27" i="38"/>
  <c r="AS27" i="38"/>
  <c r="V27" i="38"/>
  <c r="U27" i="38"/>
  <c r="T27" i="38"/>
  <c r="Q27" i="38"/>
  <c r="P27" i="38"/>
  <c r="O27" i="38"/>
  <c r="AU26" i="38"/>
  <c r="AS26" i="38"/>
  <c r="V26" i="38"/>
  <c r="U26" i="38"/>
  <c r="T26" i="38"/>
  <c r="Q26" i="38"/>
  <c r="P26" i="38"/>
  <c r="O26" i="38"/>
  <c r="AU25" i="38"/>
  <c r="AS25" i="38"/>
  <c r="V25" i="38"/>
  <c r="U25" i="38"/>
  <c r="T25" i="38"/>
  <c r="Q25" i="38"/>
  <c r="P25" i="38"/>
  <c r="O25" i="38"/>
  <c r="AS24" i="38"/>
  <c r="AU24" i="38"/>
  <c r="V24" i="38"/>
  <c r="U24" i="38"/>
  <c r="T24" i="38"/>
  <c r="Q24" i="38"/>
  <c r="P24" i="38"/>
  <c r="O24" i="38"/>
  <c r="AU23" i="38"/>
  <c r="AS23" i="38"/>
  <c r="V23" i="38"/>
  <c r="U23" i="38"/>
  <c r="T23" i="38"/>
  <c r="Q23" i="38"/>
  <c r="P23" i="38"/>
  <c r="O23" i="38"/>
  <c r="AU22" i="38"/>
  <c r="AS22" i="38"/>
  <c r="V22" i="38"/>
  <c r="U22" i="38"/>
  <c r="T22" i="38"/>
  <c r="Q22" i="38"/>
  <c r="P22" i="38"/>
  <c r="O22" i="38"/>
  <c r="AU21" i="38"/>
  <c r="AS21" i="38"/>
  <c r="V21" i="38"/>
  <c r="U21" i="38"/>
  <c r="T21" i="38"/>
  <c r="Q21" i="38"/>
  <c r="P21" i="38"/>
  <c r="O21" i="38"/>
  <c r="AS20" i="38"/>
  <c r="AU20" i="38"/>
  <c r="V20" i="38"/>
  <c r="U20" i="38"/>
  <c r="T20" i="38"/>
  <c r="Q20" i="38"/>
  <c r="P20" i="38"/>
  <c r="O20" i="38"/>
  <c r="AU19" i="38"/>
  <c r="AS19" i="38"/>
  <c r="V19" i="38"/>
  <c r="U19" i="38"/>
  <c r="T19" i="38"/>
  <c r="Q19" i="38"/>
  <c r="P19" i="38"/>
  <c r="O19" i="38"/>
  <c r="AU18" i="38"/>
  <c r="AS18" i="38"/>
  <c r="V18" i="38"/>
  <c r="U18" i="38"/>
  <c r="T18" i="38"/>
  <c r="Q18" i="38"/>
  <c r="P18" i="38"/>
  <c r="O18" i="38"/>
  <c r="AU17" i="38"/>
  <c r="AS17" i="38"/>
  <c r="V17" i="38"/>
  <c r="U17" i="38"/>
  <c r="T17" i="38"/>
  <c r="Q17" i="38"/>
  <c r="P17" i="38"/>
  <c r="O17" i="38"/>
  <c r="AS16" i="38"/>
  <c r="AU16" i="38"/>
  <c r="V16" i="38"/>
  <c r="U16" i="38"/>
  <c r="T16" i="38"/>
  <c r="Q16" i="38"/>
  <c r="P16" i="38"/>
  <c r="O16" i="38"/>
  <c r="AU15" i="38"/>
  <c r="AS15" i="38"/>
  <c r="V15" i="38"/>
  <c r="U15" i="38"/>
  <c r="T15" i="38"/>
  <c r="Q15" i="38"/>
  <c r="P15" i="38"/>
  <c r="O15" i="38"/>
  <c r="AU14" i="38"/>
  <c r="AS14" i="38"/>
  <c r="V14" i="38"/>
  <c r="U14" i="38"/>
  <c r="T14" i="38"/>
  <c r="Q14" i="38"/>
  <c r="P14" i="38"/>
  <c r="O14" i="38"/>
  <c r="AU13" i="38"/>
  <c r="AS13" i="38"/>
  <c r="V13" i="38"/>
  <c r="U13" i="38"/>
  <c r="T13" i="38"/>
  <c r="Q13" i="38"/>
  <c r="P13" i="38"/>
  <c r="O13" i="38"/>
  <c r="AS12" i="38"/>
  <c r="AU12" i="38"/>
  <c r="V12" i="38"/>
  <c r="U12" i="38"/>
  <c r="T12" i="38"/>
  <c r="Q12" i="38"/>
  <c r="P12" i="38"/>
  <c r="O12" i="38"/>
  <c r="AU11" i="38"/>
  <c r="AS11" i="38"/>
  <c r="V11" i="38"/>
  <c r="U11" i="38"/>
  <c r="T11" i="38"/>
  <c r="Q11" i="38"/>
  <c r="P11" i="38"/>
  <c r="O11" i="38"/>
  <c r="FK10" i="38"/>
  <c r="FJ10" i="38"/>
  <c r="EL10" i="38"/>
  <c r="EK10" i="38"/>
  <c r="EM10" i="38" s="1"/>
  <c r="EJ10" i="38"/>
  <c r="EI10" i="38"/>
  <c r="EH10" i="38"/>
  <c r="CQ10" i="38"/>
  <c r="CP10" i="38"/>
  <c r="EO10" i="38" s="1"/>
  <c r="FO10" i="38" s="1"/>
  <c r="AU10" i="38" s="1"/>
  <c r="CO10" i="38"/>
  <c r="CN10" i="38"/>
  <c r="EN10" i="38" s="1"/>
  <c r="FN10" i="38" s="1"/>
  <c r="AS10" i="38" s="1"/>
  <c r="AT10" i="38"/>
  <c r="AR10" i="38"/>
  <c r="V10" i="38"/>
  <c r="U10" i="38"/>
  <c r="T10" i="38"/>
  <c r="W10" i="38" s="1"/>
  <c r="Q10" i="38"/>
  <c r="R10" i="38" s="1"/>
  <c r="P10" i="38"/>
  <c r="O10" i="38"/>
  <c r="M10" i="38"/>
  <c r="L10" i="38"/>
  <c r="FK1" i="38" l="1"/>
  <c r="FJ1" i="38"/>
  <c r="EL1" i="38"/>
  <c r="EK1" i="38"/>
  <c r="EM1" i="38" s="1"/>
  <c r="EI1" i="38"/>
  <c r="EH1" i="38"/>
  <c r="EJ1" i="38" s="1"/>
  <c r="CQ1" i="38"/>
  <c r="CP1" i="38"/>
  <c r="CO1" i="38"/>
  <c r="CN1" i="38"/>
  <c r="AT1" i="38"/>
  <c r="AR1" i="38"/>
  <c r="W1" i="38"/>
  <c r="R1" i="38"/>
  <c r="M1" i="38"/>
  <c r="L1" i="38"/>
  <c r="EN1" i="38" l="1"/>
  <c r="FN1" i="38" s="1"/>
  <c r="AS1" i="38" s="1"/>
  <c r="EO1" i="38"/>
  <c r="FO1" i="38" s="1"/>
  <c r="AU1" i="38" s="1"/>
  <c r="P330" i="37" l="1"/>
  <c r="P232" i="37"/>
  <c r="P206" i="37"/>
  <c r="P201" i="37"/>
  <c r="P175" i="37"/>
  <c r="P170" i="37"/>
  <c r="P118" i="37"/>
  <c r="P113" i="37"/>
  <c r="P108" i="37"/>
  <c r="F337" i="36" l="1"/>
  <c r="I105" i="36"/>
  <c r="M12" i="36"/>
  <c r="J270" i="36"/>
  <c r="N141" i="36"/>
  <c r="K141" i="36"/>
  <c r="G102" i="36"/>
  <c r="M86" i="36"/>
  <c r="E301" i="36"/>
  <c r="O148" i="36"/>
  <c r="D41" i="36"/>
  <c r="O25" i="36"/>
  <c r="J71" i="36"/>
  <c r="M267" i="36"/>
  <c r="E133" i="36"/>
  <c r="F121" i="36"/>
  <c r="E272" i="36"/>
  <c r="C28" i="36"/>
  <c r="D74" i="36"/>
  <c r="L143" i="36"/>
  <c r="F204" i="36"/>
  <c r="M148" i="36"/>
  <c r="C326" i="36"/>
  <c r="N88" i="36"/>
  <c r="L245" i="36"/>
  <c r="B20" i="36"/>
  <c r="M264" i="36"/>
  <c r="N331" i="36"/>
  <c r="I59" i="36"/>
  <c r="E229" i="36"/>
  <c r="D241" i="36"/>
  <c r="G308" i="36"/>
  <c r="G334" i="36"/>
  <c r="B207" i="36"/>
  <c r="L197" i="36"/>
  <c r="H172" i="36"/>
  <c r="H114" i="36"/>
  <c r="K12" i="36"/>
  <c r="H329" i="36"/>
  <c r="D111" i="36"/>
  <c r="K183" i="36"/>
  <c r="B233" i="36"/>
  <c r="O73" i="36"/>
  <c r="O80" i="36"/>
  <c r="F210" i="36"/>
  <c r="K267" i="36"/>
  <c r="I83" i="36"/>
  <c r="H164" i="36"/>
  <c r="B176" i="36"/>
  <c r="O109" i="36"/>
  <c r="H228" i="36"/>
  <c r="M151" i="36"/>
  <c r="D234" i="36"/>
  <c r="G288" i="36"/>
  <c r="C83" i="36"/>
  <c r="M26" i="36"/>
  <c r="I109" i="36"/>
  <c r="J215" i="36"/>
  <c r="I339" i="36"/>
  <c r="O142" i="36"/>
  <c r="F167" i="36"/>
  <c r="B236" i="36"/>
  <c r="H13" i="36"/>
  <c r="B319" i="36"/>
  <c r="C233" i="36"/>
  <c r="O179" i="36"/>
  <c r="K259" i="36"/>
  <c r="C307" i="36"/>
  <c r="B230" i="36"/>
  <c r="C56" i="36"/>
  <c r="F276" i="36"/>
  <c r="J204" i="36"/>
  <c r="B333" i="36"/>
  <c r="C209" i="36"/>
  <c r="E166" i="36"/>
  <c r="B26" i="36"/>
  <c r="I172" i="36"/>
  <c r="J260" i="36"/>
  <c r="K245" i="36"/>
  <c r="D259" i="36"/>
  <c r="E200" i="36"/>
  <c r="H106" i="36"/>
  <c r="G28" i="36"/>
  <c r="H236" i="36"/>
  <c r="J21" i="36"/>
  <c r="J146" i="36"/>
  <c r="O74" i="36"/>
  <c r="M238" i="36"/>
  <c r="F122" i="36"/>
  <c r="B42" i="36"/>
  <c r="K339" i="36"/>
  <c r="C46" i="36"/>
  <c r="O41" i="36"/>
  <c r="G84" i="36"/>
  <c r="F88" i="36"/>
  <c r="H11" i="36"/>
  <c r="O172" i="36"/>
  <c r="G209" i="36"/>
  <c r="C323" i="36"/>
  <c r="E276" i="36"/>
  <c r="I26" i="36"/>
  <c r="J214" i="36"/>
  <c r="L58" i="36"/>
  <c r="E18" i="36"/>
  <c r="N332" i="36"/>
  <c r="I10" i="36"/>
  <c r="F321" i="36"/>
  <c r="J177" i="36"/>
  <c r="J209" i="36"/>
  <c r="O15" i="36"/>
  <c r="J76" i="36"/>
  <c r="G117" i="36"/>
  <c r="M81" i="36"/>
  <c r="D245" i="36"/>
  <c r="E297" i="36"/>
  <c r="N48" i="36"/>
  <c r="E57" i="36"/>
  <c r="N321" i="36"/>
  <c r="D44" i="36"/>
  <c r="F52" i="36"/>
  <c r="F259" i="36"/>
  <c r="F168" i="36"/>
  <c r="L231" i="36"/>
  <c r="J145" i="36"/>
  <c r="L323" i="36"/>
  <c r="C178" i="36"/>
  <c r="I261" i="37"/>
  <c r="E323" i="36"/>
  <c r="C106" i="36"/>
  <c r="M53" i="36"/>
  <c r="K333" i="36"/>
  <c r="B80" i="36"/>
  <c r="F20" i="36"/>
  <c r="J39" i="36"/>
  <c r="N81" i="36"/>
  <c r="I85" i="36"/>
  <c r="L59" i="36"/>
  <c r="N23" i="36"/>
  <c r="F116" i="36"/>
  <c r="E51" i="36"/>
  <c r="I266" i="36"/>
  <c r="J41" i="36"/>
  <c r="B336" i="36"/>
  <c r="O107" i="36"/>
  <c r="G42" i="36"/>
  <c r="I79" i="36"/>
  <c r="E114" i="36"/>
  <c r="H86" i="36"/>
  <c r="K226" i="36"/>
  <c r="H122" i="36"/>
  <c r="G109" i="36"/>
  <c r="B88" i="36"/>
  <c r="C179" i="36"/>
  <c r="O42" i="36"/>
  <c r="E109" i="36"/>
  <c r="E333" i="36"/>
  <c r="H333" i="36"/>
  <c r="F44" i="36"/>
  <c r="B17" i="36"/>
  <c r="F257" i="36"/>
  <c r="C10" i="36"/>
  <c r="B58" i="36"/>
  <c r="C213" i="36"/>
  <c r="I179" i="36"/>
  <c r="F307" i="36"/>
  <c r="D89" i="36"/>
  <c r="H181" i="36"/>
  <c r="I119" i="36"/>
  <c r="I111" i="36"/>
  <c r="D75" i="36"/>
  <c r="F238" i="36"/>
  <c r="F145" i="36"/>
  <c r="K241" i="36"/>
  <c r="L277" i="36"/>
  <c r="M145" i="36"/>
  <c r="N173" i="36"/>
  <c r="G303" i="36"/>
  <c r="E181" i="36"/>
  <c r="O52" i="36"/>
  <c r="M106" i="36"/>
  <c r="K75" i="36"/>
  <c r="H244" i="36"/>
  <c r="L27" i="36"/>
  <c r="L73" i="36"/>
  <c r="O331" i="36"/>
  <c r="G235" i="36"/>
  <c r="D195" i="36"/>
  <c r="O75" i="36"/>
  <c r="N137" i="36"/>
  <c r="J151" i="36"/>
  <c r="D76" i="36"/>
  <c r="L74" i="36"/>
  <c r="C119" i="36"/>
  <c r="K16" i="36"/>
  <c r="J231" i="36"/>
  <c r="E202" i="36"/>
  <c r="N47" i="36"/>
  <c r="C150" i="36"/>
  <c r="E327" i="36"/>
  <c r="L39" i="36"/>
  <c r="F241" i="36"/>
  <c r="G204" i="36"/>
  <c r="K176" i="36"/>
  <c r="N21" i="36"/>
  <c r="I106" i="36"/>
  <c r="D334" i="36"/>
  <c r="H174" i="36"/>
  <c r="D151" i="36"/>
  <c r="H137" i="36"/>
  <c r="C208" i="36"/>
  <c r="F146" i="36"/>
  <c r="D205" i="36"/>
  <c r="M333" i="36"/>
  <c r="O143" i="36"/>
  <c r="L120" i="36"/>
  <c r="D23" i="36"/>
  <c r="F208" i="36"/>
  <c r="J17" i="36"/>
  <c r="F117" i="36"/>
  <c r="D136" i="36"/>
  <c r="C148" i="36"/>
  <c r="C177" i="36"/>
  <c r="E288" i="36"/>
  <c r="H321" i="36"/>
  <c r="J244" i="36"/>
  <c r="D331" i="36"/>
  <c r="F339" i="36"/>
  <c r="C90" i="36"/>
  <c r="C135" i="36"/>
  <c r="K271" i="36"/>
  <c r="J107" i="36"/>
  <c r="B150" i="36"/>
  <c r="O328" i="36"/>
  <c r="I164" i="36"/>
  <c r="I238" i="36"/>
  <c r="I120" i="36"/>
  <c r="J202" i="36"/>
  <c r="E90" i="36"/>
  <c r="G296" i="36"/>
  <c r="H243" i="36"/>
  <c r="K203" i="36"/>
  <c r="G16" i="36"/>
  <c r="F239" i="36"/>
  <c r="I323" i="36"/>
  <c r="G245" i="36"/>
  <c r="K260" i="36"/>
  <c r="D133" i="36"/>
  <c r="K137" i="36"/>
  <c r="H229" i="36"/>
  <c r="G326" i="36"/>
  <c r="D178" i="36"/>
  <c r="I135" i="36"/>
  <c r="D114" i="37"/>
  <c r="F298" i="37"/>
  <c r="B323" i="36"/>
  <c r="D171" i="36"/>
  <c r="C195" i="36"/>
  <c r="E53" i="36"/>
  <c r="K89" i="36"/>
  <c r="I86" i="36"/>
  <c r="G202" i="36"/>
  <c r="L264" i="36"/>
  <c r="J229" i="36"/>
  <c r="J266" i="36"/>
  <c r="B270" i="36"/>
  <c r="O202" i="36"/>
  <c r="K269" i="36"/>
  <c r="C306" i="36"/>
  <c r="C52" i="36"/>
  <c r="M334" i="36"/>
  <c r="J334" i="36"/>
  <c r="O339" i="36"/>
  <c r="M337" i="36"/>
  <c r="I42" i="36"/>
  <c r="C183" i="36"/>
  <c r="D52" i="36"/>
  <c r="D58" i="36"/>
  <c r="I146" i="36"/>
  <c r="J171" i="36"/>
  <c r="G135" i="36"/>
  <c r="N241" i="36"/>
  <c r="M324" i="36"/>
  <c r="O174" i="36"/>
  <c r="C236" i="36"/>
  <c r="E292" i="36"/>
  <c r="O27" i="36"/>
  <c r="O204" i="36"/>
  <c r="B331" i="36"/>
  <c r="I71" i="36"/>
  <c r="K233" i="36"/>
  <c r="D143" i="36"/>
  <c r="N39" i="36"/>
  <c r="G176" i="36"/>
  <c r="I214" i="36"/>
  <c r="O47" i="36"/>
  <c r="G322" i="36"/>
  <c r="B262" i="36"/>
  <c r="O333" i="36"/>
  <c r="E74" i="36"/>
  <c r="L42" i="36"/>
  <c r="F292" i="36"/>
  <c r="L327" i="36"/>
  <c r="E39" i="36"/>
  <c r="C241" i="36"/>
  <c r="D233" i="36"/>
  <c r="M178" i="36"/>
  <c r="C266" i="36"/>
  <c r="K10" i="36"/>
  <c r="G80" i="36"/>
  <c r="E105" i="36"/>
  <c r="B212" i="36"/>
  <c r="C290" i="36"/>
  <c r="O8" i="36"/>
  <c r="M319" i="36"/>
  <c r="G246" i="36"/>
  <c r="H41" i="36"/>
  <c r="J337" i="36"/>
  <c r="F83" i="36"/>
  <c r="L83" i="36"/>
  <c r="E228" i="36"/>
  <c r="B71" i="36"/>
  <c r="M84" i="36"/>
  <c r="I133" i="36"/>
  <c r="G153" i="36"/>
  <c r="G107" i="36"/>
  <c r="F214" i="36"/>
  <c r="M177" i="36"/>
  <c r="N205" i="36"/>
  <c r="G292" i="36"/>
  <c r="C171" i="36"/>
  <c r="J42" i="36"/>
  <c r="M272" i="36"/>
  <c r="L214" i="36"/>
  <c r="C145" i="36"/>
  <c r="B337" i="36"/>
  <c r="B136" i="36"/>
  <c r="M46" i="36"/>
  <c r="J235" i="36"/>
  <c r="O199" i="36"/>
  <c r="D115" i="36"/>
  <c r="G195" i="36"/>
  <c r="K197" i="36"/>
  <c r="B117" i="36"/>
  <c r="E275" i="36"/>
  <c r="I49" i="36"/>
  <c r="H21" i="36"/>
  <c r="E203" i="36"/>
  <c r="F233" i="36"/>
  <c r="N119" i="36"/>
  <c r="L265" i="36"/>
  <c r="E112" i="36"/>
  <c r="D339" i="36"/>
  <c r="L235" i="36"/>
  <c r="N109" i="36"/>
  <c r="B47" i="36"/>
  <c r="I173" i="36"/>
  <c r="J173" i="36"/>
  <c r="M57" i="36"/>
  <c r="E308" i="36"/>
  <c r="M208" i="36"/>
  <c r="N239" i="36"/>
  <c r="D85" i="36"/>
  <c r="I115" i="36"/>
  <c r="L238" i="36"/>
  <c r="F105" i="36"/>
  <c r="H22" i="36"/>
  <c r="B228" i="36"/>
  <c r="F336" i="36"/>
  <c r="I21" i="36"/>
  <c r="K13" i="36"/>
  <c r="M59" i="36"/>
  <c r="D135" i="36"/>
  <c r="E56" i="36"/>
  <c r="M202" i="36"/>
  <c r="B296" i="36"/>
  <c r="I228" i="36"/>
  <c r="O209" i="36"/>
  <c r="E204" i="36"/>
  <c r="L150" i="36"/>
  <c r="J245" i="37"/>
  <c r="J58" i="37"/>
  <c r="C293" i="36"/>
  <c r="L18" i="36"/>
  <c r="G329" i="36"/>
  <c r="E336" i="36"/>
  <c r="M229" i="36"/>
  <c r="I141" i="36"/>
  <c r="H326" i="36"/>
  <c r="I16" i="36"/>
  <c r="G290" i="36"/>
  <c r="I210" i="36"/>
  <c r="C303" i="36"/>
  <c r="H15" i="36"/>
  <c r="D308" i="36"/>
  <c r="L259" i="36"/>
  <c r="I75" i="36"/>
  <c r="I114" i="36"/>
  <c r="O44" i="36"/>
  <c r="N177" i="36"/>
  <c r="D22" i="36"/>
  <c r="B295" i="36"/>
  <c r="E243" i="36"/>
  <c r="L57" i="36"/>
  <c r="C136" i="36"/>
  <c r="E120" i="36"/>
  <c r="J81" i="36"/>
  <c r="D323" i="36"/>
  <c r="E15" i="36"/>
  <c r="J136" i="36"/>
  <c r="G54" i="36"/>
  <c r="K102" i="36"/>
  <c r="B57" i="36"/>
  <c r="O78" i="36"/>
  <c r="O138" i="36"/>
  <c r="K212" i="36"/>
  <c r="I28" i="36"/>
  <c r="L76" i="36"/>
  <c r="J91" i="36"/>
  <c r="O208" i="36"/>
  <c r="J109" i="36"/>
  <c r="I197" i="36"/>
  <c r="L328" i="36"/>
  <c r="M328" i="36"/>
  <c r="C91" i="36"/>
  <c r="H73" i="36"/>
  <c r="H198" i="36"/>
  <c r="N244" i="36"/>
  <c r="O89" i="36"/>
  <c r="C78" i="36"/>
  <c r="C75" i="36"/>
  <c r="J57" i="36"/>
  <c r="C337" i="36"/>
  <c r="H337" i="36"/>
  <c r="E81" i="36"/>
  <c r="B266" i="36"/>
  <c r="M111" i="36"/>
  <c r="H239" i="36"/>
  <c r="F147" i="36"/>
  <c r="J208" i="36"/>
  <c r="K205" i="36"/>
  <c r="H80" i="36"/>
  <c r="G339" i="36"/>
  <c r="C333" i="36"/>
  <c r="J10" i="36"/>
  <c r="J233" i="36"/>
  <c r="I245" i="36"/>
  <c r="I239" i="36"/>
  <c r="M136" i="36"/>
  <c r="E266" i="36"/>
  <c r="D261" i="36"/>
  <c r="D267" i="36"/>
  <c r="E41" i="36"/>
  <c r="O229" i="36"/>
  <c r="I260" i="36"/>
  <c r="I117" i="36"/>
  <c r="L142" i="36"/>
  <c r="G271" i="36"/>
  <c r="L176" i="36"/>
  <c r="C86" i="36"/>
  <c r="B329" i="36"/>
  <c r="K142" i="36"/>
  <c r="I166" i="36"/>
  <c r="E241" i="36"/>
  <c r="F42" i="36"/>
  <c r="I169" i="36"/>
  <c r="E150" i="36"/>
  <c r="K114" i="36"/>
  <c r="F261" i="36"/>
  <c r="G79" i="36"/>
  <c r="M172" i="36"/>
  <c r="J88" i="36"/>
  <c r="G112" i="36"/>
  <c r="J326" i="36"/>
  <c r="D46" i="36"/>
  <c r="I241" i="36"/>
  <c r="L44" i="36"/>
  <c r="K22" i="36"/>
  <c r="M181" i="36"/>
  <c r="B52" i="36"/>
  <c r="L324" i="36"/>
  <c r="J13" i="36"/>
  <c r="J110" i="36"/>
  <c r="E270" i="36"/>
  <c r="J112" i="36"/>
  <c r="D119" i="36"/>
  <c r="F137" i="36"/>
  <c r="G297" i="36"/>
  <c r="C25" i="36"/>
  <c r="E138" i="36"/>
  <c r="K209" i="36"/>
  <c r="O120" i="36"/>
  <c r="D116" i="36"/>
  <c r="M269" i="36"/>
  <c r="H178" i="36"/>
  <c r="G205" i="36"/>
  <c r="J48" i="36"/>
  <c r="F153" i="36"/>
  <c r="J27" i="36"/>
  <c r="H76" i="36"/>
  <c r="N226" i="36"/>
  <c r="C8" i="36"/>
  <c r="C121" i="36"/>
  <c r="D240" i="36"/>
  <c r="E111" i="36"/>
  <c r="E148" i="36"/>
  <c r="L22" i="36"/>
  <c r="E104" i="36"/>
  <c r="M117" i="36"/>
  <c r="K207" i="36"/>
  <c r="D291" i="36"/>
  <c r="J28" i="36"/>
  <c r="M182" i="36"/>
  <c r="L179" i="36"/>
  <c r="O137" i="36"/>
  <c r="G274" i="36"/>
  <c r="H148" i="36"/>
  <c r="G110" i="36"/>
  <c r="D173" i="36"/>
  <c r="D307" i="36"/>
  <c r="E25" i="36"/>
  <c r="G56" i="36"/>
  <c r="H324" i="36"/>
  <c r="I174" i="36"/>
  <c r="B121" i="36"/>
  <c r="H322" i="36"/>
  <c r="N59" i="36"/>
  <c r="M119" i="36"/>
  <c r="N178" i="36"/>
  <c r="E145" i="36"/>
  <c r="J150" i="36"/>
  <c r="M164" i="36"/>
  <c r="B145" i="36"/>
  <c r="D200" i="36"/>
  <c r="H177" i="36"/>
  <c r="D11" i="36"/>
  <c r="K262" i="36"/>
  <c r="L184" i="36"/>
  <c r="N16" i="36"/>
  <c r="E305" i="36"/>
  <c r="M39" i="36"/>
  <c r="O240" i="36"/>
  <c r="G198" i="36"/>
  <c r="O12" i="36"/>
  <c r="N51" i="36"/>
  <c r="C15" i="36"/>
  <c r="J52" i="36"/>
  <c r="F80" i="36"/>
  <c r="E338" i="36"/>
  <c r="O323" i="36"/>
  <c r="M271" i="36"/>
  <c r="H49" i="36"/>
  <c r="C112" i="36"/>
  <c r="I261" i="36"/>
  <c r="N233" i="36"/>
  <c r="K171" i="36"/>
  <c r="C11" i="36"/>
  <c r="F228" i="36"/>
  <c r="H143" i="36"/>
  <c r="I153" i="36"/>
  <c r="M147" i="36"/>
  <c r="N56" i="36"/>
  <c r="E49" i="36"/>
  <c r="F240" i="36"/>
  <c r="M80" i="36"/>
  <c r="G208" i="36"/>
  <c r="I235" i="36"/>
  <c r="E20" i="36"/>
  <c r="M71" i="36"/>
  <c r="K53" i="36"/>
  <c r="J265" i="36"/>
  <c r="E213" i="36"/>
  <c r="L271" i="36"/>
  <c r="K172" i="36"/>
  <c r="N209" i="36"/>
  <c r="D198" i="36"/>
  <c r="H141" i="36"/>
  <c r="I80" i="36"/>
  <c r="F172" i="36"/>
  <c r="M336" i="36"/>
  <c r="F288" i="36"/>
  <c r="D17" i="36"/>
  <c r="D213" i="36"/>
  <c r="J238" i="36"/>
  <c r="O57" i="36"/>
  <c r="N333" i="36"/>
  <c r="J122" i="36"/>
  <c r="M210" i="36"/>
  <c r="B308" i="36"/>
  <c r="E13" i="36"/>
  <c r="B59" i="36"/>
  <c r="G305" i="36"/>
  <c r="G210" i="36"/>
  <c r="C73" i="36"/>
  <c r="E137" i="36"/>
  <c r="E332" i="36"/>
  <c r="C71" i="36"/>
  <c r="L105" i="36"/>
  <c r="N135" i="36"/>
  <c r="B56" i="36"/>
  <c r="G272" i="36"/>
  <c r="O245" i="36"/>
  <c r="F71" i="36"/>
  <c r="I231" i="36"/>
  <c r="D53" i="36"/>
  <c r="B290" i="36"/>
  <c r="J18" i="36"/>
  <c r="C164" i="36"/>
  <c r="B46" i="36"/>
  <c r="I53" i="36"/>
  <c r="E28" i="36"/>
  <c r="B90" i="36"/>
  <c r="E198" i="36"/>
  <c r="G307" i="36"/>
  <c r="G239" i="36"/>
  <c r="B164" i="36"/>
  <c r="O88" i="36"/>
  <c r="K179" i="36"/>
  <c r="L121" i="36"/>
  <c r="J141" i="36"/>
  <c r="B141" i="36"/>
  <c r="D137" i="36"/>
  <c r="F13" i="36"/>
  <c r="B265" i="36"/>
  <c r="K8" i="36"/>
  <c r="C12" i="36"/>
  <c r="D21" i="36"/>
  <c r="C261" i="36"/>
  <c r="D48" i="36"/>
  <c r="O46" i="36"/>
  <c r="B166" i="36"/>
  <c r="O141" i="36"/>
  <c r="H238" i="36"/>
  <c r="D90" i="36"/>
  <c r="C20" i="36"/>
  <c r="D81" i="36"/>
  <c r="F150" i="36"/>
  <c r="H10" i="36"/>
  <c r="C41" i="36"/>
  <c r="N8" i="36"/>
  <c r="L25" i="36"/>
  <c r="J106" i="36"/>
  <c r="N213" i="36"/>
  <c r="K173" i="36"/>
  <c r="I116" i="36"/>
  <c r="O230" i="36"/>
  <c r="L322" i="36"/>
  <c r="M146" i="36"/>
  <c r="I110" i="36"/>
  <c r="K266" i="36"/>
  <c r="F141" i="36"/>
  <c r="K47" i="36"/>
  <c r="D57" i="36"/>
  <c r="M74" i="36"/>
  <c r="C271" i="36"/>
  <c r="O105" i="36"/>
  <c r="I233" i="36"/>
  <c r="M141" i="36"/>
  <c r="O76" i="36"/>
  <c r="L122" i="36"/>
  <c r="B327" i="36"/>
  <c r="I143" i="36"/>
  <c r="H112" i="36"/>
  <c r="G18" i="36"/>
  <c r="C117" i="36"/>
  <c r="M274" i="36"/>
  <c r="B119" i="36"/>
  <c r="D329" i="36"/>
  <c r="M257" i="36"/>
  <c r="F56" i="36"/>
  <c r="O104" i="36"/>
  <c r="F171" i="36"/>
  <c r="J135" i="36"/>
  <c r="D138" i="36"/>
  <c r="H275" i="36"/>
  <c r="J257" i="36"/>
  <c r="G233" i="36"/>
  <c r="O26" i="36"/>
  <c r="F209" i="36"/>
  <c r="D328" i="36"/>
  <c r="L141" i="36"/>
  <c r="F41" i="36"/>
  <c r="H57" i="36"/>
  <c r="F231" i="36"/>
  <c r="N41" i="36"/>
  <c r="N164" i="36"/>
  <c r="G121" i="36"/>
  <c r="G259" i="36"/>
  <c r="F302" i="36"/>
  <c r="B328" i="36"/>
  <c r="G261" i="36"/>
  <c r="N80" i="36"/>
  <c r="C181" i="36"/>
  <c r="J121" i="36"/>
  <c r="D25" i="36"/>
  <c r="J73" i="36"/>
  <c r="D91" i="36"/>
  <c r="B75" i="36"/>
  <c r="F226" i="36"/>
  <c r="C246" i="36"/>
  <c r="O168" i="36"/>
  <c r="K79" i="36"/>
  <c r="D303" i="36"/>
  <c r="E44" i="36"/>
  <c r="M152" i="36"/>
  <c r="F203" i="36"/>
  <c r="C39" i="36"/>
  <c r="G106" i="36"/>
  <c r="G57" i="36"/>
  <c r="B288" i="36"/>
  <c r="N46" i="36"/>
  <c r="E328" i="36"/>
  <c r="D302" i="36"/>
  <c r="J324" i="36"/>
  <c r="H28" i="36"/>
  <c r="M121" i="36"/>
  <c r="C116" i="36"/>
  <c r="N112" i="36"/>
  <c r="O322" i="36"/>
  <c r="N21" i="37"/>
  <c r="D210" i="37"/>
  <c r="G122" i="36"/>
  <c r="O213" i="36"/>
  <c r="K178" i="36"/>
  <c r="N319" i="36"/>
  <c r="M332" i="36"/>
  <c r="D203" i="36"/>
  <c r="K46" i="36"/>
  <c r="F110" i="36"/>
  <c r="J182" i="36"/>
  <c r="N133" i="36"/>
  <c r="F293" i="36"/>
  <c r="J86" i="36"/>
  <c r="H117" i="36"/>
  <c r="H136" i="36"/>
  <c r="J259" i="36"/>
  <c r="G183" i="36"/>
  <c r="B122" i="36"/>
  <c r="D182" i="36"/>
  <c r="M116" i="36"/>
  <c r="C235" i="36"/>
  <c r="C243" i="36"/>
  <c r="K167" i="36"/>
  <c r="I22" i="36"/>
  <c r="B231" i="36"/>
  <c r="G47" i="36"/>
  <c r="I331" i="36"/>
  <c r="I76" i="36"/>
  <c r="J178" i="36"/>
  <c r="C22" i="36"/>
  <c r="H214" i="36"/>
  <c r="N73" i="36"/>
  <c r="E195" i="36"/>
  <c r="K117" i="36"/>
  <c r="H169" i="36"/>
  <c r="E88" i="36"/>
  <c r="M322" i="36"/>
  <c r="G59" i="37"/>
  <c r="L212" i="36"/>
  <c r="J322" i="36"/>
  <c r="H202" i="36"/>
  <c r="L169" i="36"/>
  <c r="G168" i="36"/>
  <c r="C51" i="36"/>
  <c r="B275" i="36"/>
  <c r="C182" i="36"/>
  <c r="L26" i="36"/>
  <c r="F306" i="36"/>
  <c r="H74" i="36"/>
  <c r="I269" i="36"/>
  <c r="J267" i="36"/>
  <c r="E306" i="36"/>
  <c r="N327" i="36"/>
  <c r="G58" i="36"/>
  <c r="C204" i="36"/>
  <c r="O246" i="36"/>
  <c r="D10" i="36"/>
  <c r="E52" i="36"/>
  <c r="F73" i="36"/>
  <c r="G200" i="36"/>
  <c r="D235" i="36"/>
  <c r="I112" i="36"/>
  <c r="M21" i="36"/>
  <c r="K42" i="36"/>
  <c r="M228" i="36"/>
  <c r="C153" i="36"/>
  <c r="K120" i="36"/>
  <c r="D338" i="36"/>
  <c r="K91" i="36"/>
  <c r="E226" i="36"/>
  <c r="I337" i="36"/>
  <c r="D290" i="36"/>
  <c r="F277" i="36"/>
  <c r="O22" i="36"/>
  <c r="O54" i="36"/>
  <c r="C104" i="36"/>
  <c r="I25" i="36"/>
  <c r="N15" i="36"/>
  <c r="O176" i="36"/>
  <c r="B334" i="36"/>
  <c r="G243" i="36"/>
  <c r="K153" i="36"/>
  <c r="D333" i="36"/>
  <c r="O215" i="36"/>
  <c r="M261" i="36"/>
  <c r="H111" i="36"/>
  <c r="O116" i="36"/>
  <c r="M214" i="36"/>
  <c r="D337" i="36"/>
  <c r="J236" i="36"/>
  <c r="N146" i="36"/>
  <c r="M13" i="36"/>
  <c r="G331" i="36"/>
  <c r="M91" i="36"/>
  <c r="G73" i="36"/>
  <c r="H276" i="36"/>
  <c r="C120" i="36"/>
  <c r="D16" i="36"/>
  <c r="I57" i="36"/>
  <c r="C168" i="36"/>
  <c r="H51" i="36"/>
  <c r="B183" i="36"/>
  <c r="L111" i="36"/>
  <c r="L112" i="36"/>
  <c r="N84" i="36"/>
  <c r="I102" i="36"/>
  <c r="N174" i="36"/>
  <c r="J49" i="36"/>
  <c r="J71" i="37"/>
  <c r="N27" i="36"/>
  <c r="K52" i="36"/>
  <c r="E293" i="36"/>
  <c r="M122" i="36"/>
  <c r="C174" i="36"/>
  <c r="M11" i="36"/>
  <c r="F90" i="36"/>
  <c r="B300" i="36"/>
  <c r="O133" i="36"/>
  <c r="K257" i="36"/>
  <c r="I138" i="36"/>
  <c r="O327" i="36"/>
  <c r="K215" i="36"/>
  <c r="C297" i="36"/>
  <c r="N105" i="36"/>
  <c r="B43" i="36"/>
  <c r="L17" i="36"/>
  <c r="N229" i="36"/>
  <c r="G74" i="36"/>
  <c r="L145" i="36"/>
  <c r="E290" i="36"/>
  <c r="N197" i="36"/>
  <c r="F109" i="36"/>
  <c r="H332" i="36"/>
  <c r="L339" i="36"/>
  <c r="L202" i="36"/>
  <c r="G323" i="36"/>
  <c r="I319" i="36"/>
  <c r="H173" i="36"/>
  <c r="K214" i="36"/>
  <c r="D270" i="36"/>
  <c r="M260" i="36"/>
  <c r="I176" i="36"/>
  <c r="D212" i="36"/>
  <c r="O51" i="36"/>
  <c r="H42" i="36"/>
  <c r="D184" i="36"/>
  <c r="N169" i="36"/>
  <c r="C265" i="36"/>
  <c r="M44" i="36"/>
  <c r="B205" i="36"/>
  <c r="D56" i="36"/>
  <c r="I259" i="36"/>
  <c r="K213" i="36"/>
  <c r="L228" i="36"/>
  <c r="D306" i="36"/>
  <c r="K18" i="36"/>
  <c r="F148" i="36"/>
  <c r="F244" i="36"/>
  <c r="E140" i="36"/>
  <c r="J111" i="36"/>
  <c r="K204" i="36"/>
  <c r="I167" i="36"/>
  <c r="C146" i="36"/>
  <c r="O324" i="36"/>
  <c r="B298" i="36"/>
  <c r="H90" i="36"/>
  <c r="G86" i="36"/>
  <c r="D8" i="36"/>
  <c r="I48" i="36"/>
  <c r="B229" i="36"/>
  <c r="H166" i="36"/>
  <c r="J16" i="36"/>
  <c r="E11" i="36"/>
  <c r="C47" i="36"/>
  <c r="B137" i="36"/>
  <c r="O115" i="36"/>
  <c r="D204" i="36"/>
  <c r="B151" i="36"/>
  <c r="L178" i="36"/>
  <c r="M54" i="36"/>
  <c r="C28" i="37"/>
  <c r="M138" i="36"/>
  <c r="E245" i="36"/>
  <c r="I168" i="36"/>
  <c r="C109" i="36"/>
  <c r="H16" i="36"/>
  <c r="O167" i="36"/>
  <c r="I147" i="36"/>
  <c r="F333" i="36"/>
  <c r="C228" i="36"/>
  <c r="D169" i="36"/>
  <c r="F75" i="36"/>
  <c r="C274" i="36"/>
  <c r="B111" i="36"/>
  <c r="G171" i="36"/>
  <c r="O241" i="36"/>
  <c r="F17" i="36"/>
  <c r="L209" i="36"/>
  <c r="J336" i="36"/>
  <c r="E210" i="36"/>
  <c r="J274" i="36"/>
  <c r="J195" i="36"/>
  <c r="O338" i="36"/>
  <c r="J245" i="36"/>
  <c r="C42" i="36"/>
  <c r="E141" i="36"/>
  <c r="K151" i="36"/>
  <c r="O136" i="36"/>
  <c r="D141" i="36"/>
  <c r="G184" i="36"/>
  <c r="H145" i="36"/>
  <c r="M10" i="36"/>
  <c r="I81" i="36"/>
  <c r="F166" i="36"/>
  <c r="G241" i="36"/>
  <c r="D229" i="36"/>
  <c r="F91" i="36"/>
  <c r="G337" i="37"/>
  <c r="H327" i="37"/>
  <c r="G25" i="36"/>
  <c r="E117" i="36"/>
  <c r="F136" i="36"/>
  <c r="L116" i="36"/>
  <c r="K107" i="36"/>
  <c r="N168" i="36"/>
  <c r="B204" i="36"/>
  <c r="N143" i="36"/>
  <c r="M213" i="36"/>
  <c r="D78" i="36"/>
  <c r="D300" i="36"/>
  <c r="D266" i="36"/>
  <c r="H46" i="36"/>
  <c r="E321" i="36"/>
  <c r="E51" i="37"/>
  <c r="F302" i="37"/>
  <c r="N107" i="36"/>
  <c r="B54" i="36"/>
  <c r="M323" i="36"/>
  <c r="O178" i="36"/>
  <c r="E168" i="36"/>
  <c r="I121" i="36"/>
  <c r="H153" i="36"/>
  <c r="I150" i="36"/>
  <c r="E89" i="36"/>
  <c r="B307" i="36"/>
  <c r="C267" i="36"/>
  <c r="K272" i="36"/>
  <c r="F322" i="36"/>
  <c r="D20" i="36"/>
  <c r="B59" i="37"/>
  <c r="K17" i="37"/>
  <c r="E17" i="36"/>
  <c r="I240" i="36"/>
  <c r="L71" i="36"/>
  <c r="F269" i="36"/>
  <c r="G301" i="36"/>
  <c r="H59" i="36"/>
  <c r="O228" i="36"/>
  <c r="J133" i="36"/>
  <c r="F181" i="36"/>
  <c r="J331" i="36"/>
  <c r="C288" i="36"/>
  <c r="L114" i="36"/>
  <c r="F57" i="36"/>
  <c r="C199" i="36"/>
  <c r="E15" i="37"/>
  <c r="J198" i="37"/>
  <c r="F138" i="36"/>
  <c r="B199" i="36"/>
  <c r="C115" i="36"/>
  <c r="G140" i="36"/>
  <c r="L195" i="36"/>
  <c r="B79" i="36"/>
  <c r="H8" i="36"/>
  <c r="H104" i="36"/>
  <c r="O244" i="36"/>
  <c r="F46" i="36"/>
  <c r="E116" i="36"/>
  <c r="H235" i="36"/>
  <c r="C339" i="36"/>
  <c r="N152" i="36"/>
  <c r="K261" i="36"/>
  <c r="J323" i="36"/>
  <c r="B257" i="36"/>
  <c r="E143" i="36"/>
  <c r="C23" i="36"/>
  <c r="J327" i="36"/>
  <c r="J333" i="36"/>
  <c r="F290" i="36"/>
  <c r="B339" i="36"/>
  <c r="M231" i="36"/>
  <c r="J174" i="36"/>
  <c r="G276" i="36"/>
  <c r="K105" i="36"/>
  <c r="N337" i="36"/>
  <c r="D121" i="36"/>
  <c r="B293" i="36"/>
  <c r="N115" i="36"/>
  <c r="I23" i="36"/>
  <c r="O84" i="36"/>
  <c r="M245" i="36"/>
  <c r="M112" i="36"/>
  <c r="H53" i="36"/>
  <c r="B168" i="36"/>
  <c r="E26" i="36"/>
  <c r="G226" i="36"/>
  <c r="N329" i="36"/>
  <c r="G8" i="36"/>
  <c r="J324" i="37"/>
  <c r="I178" i="36"/>
  <c r="H262" i="36"/>
  <c r="E207" i="36"/>
  <c r="B85" i="36"/>
  <c r="G23" i="36"/>
  <c r="G260" i="36"/>
  <c r="G142" i="36"/>
  <c r="O164" i="36"/>
  <c r="F308" i="36"/>
  <c r="B179" i="36"/>
  <c r="F176" i="36"/>
  <c r="C328" i="36"/>
  <c r="H89" i="36"/>
  <c r="D326" i="36"/>
  <c r="E142" i="36"/>
  <c r="C111" i="36"/>
  <c r="M58" i="36"/>
  <c r="O17" i="36"/>
  <c r="D140" i="36"/>
  <c r="J169" i="36"/>
  <c r="J44" i="36"/>
  <c r="N57" i="36"/>
  <c r="O200" i="36"/>
  <c r="M331" i="36"/>
  <c r="O236" i="36"/>
  <c r="I78" i="36"/>
  <c r="H52" i="36"/>
  <c r="L236" i="36"/>
  <c r="J200" i="36"/>
  <c r="D297" i="36"/>
  <c r="H200" i="36"/>
  <c r="E271" i="36"/>
  <c r="O106" i="36"/>
  <c r="H135" i="36"/>
  <c r="J184" i="36"/>
  <c r="G150" i="36"/>
  <c r="D260" i="37"/>
  <c r="G140" i="37"/>
  <c r="E295" i="36"/>
  <c r="D13" i="36"/>
  <c r="F140" i="36"/>
  <c r="F106" i="36"/>
  <c r="D43" i="36"/>
  <c r="E267" i="36"/>
  <c r="C49" i="36"/>
  <c r="B138" i="36"/>
  <c r="G337" i="36"/>
  <c r="M266" i="36"/>
  <c r="G85" i="36"/>
  <c r="N339" i="36"/>
  <c r="K337" i="36"/>
  <c r="K322" i="36"/>
  <c r="H265" i="36"/>
  <c r="O153" i="36"/>
  <c r="I184" i="36"/>
  <c r="H208" i="36"/>
  <c r="O117" i="36"/>
  <c r="F332" i="36"/>
  <c r="F264" i="36"/>
  <c r="H184" i="36"/>
  <c r="I51" i="36"/>
  <c r="G152" i="36"/>
  <c r="C245" i="36"/>
  <c r="G177" i="36"/>
  <c r="N22" i="36"/>
  <c r="K236" i="36"/>
  <c r="C334" i="36"/>
  <c r="B226" i="36"/>
  <c r="H71" i="36"/>
  <c r="K329" i="36"/>
  <c r="M183" i="36"/>
  <c r="G133" i="36"/>
  <c r="M133" i="36"/>
  <c r="F173" i="36"/>
  <c r="G327" i="36"/>
  <c r="F16" i="36"/>
  <c r="E48" i="36"/>
  <c r="D307" i="37"/>
  <c r="G48" i="36"/>
  <c r="B15" i="36"/>
  <c r="L166" i="36"/>
  <c r="O11" i="36"/>
  <c r="C141" i="36"/>
  <c r="E71" i="36"/>
  <c r="C76" i="36"/>
  <c r="L270" i="36"/>
  <c r="L81" i="36"/>
  <c r="D327" i="36"/>
  <c r="I39" i="36"/>
  <c r="O226" i="36"/>
  <c r="H142" i="36"/>
  <c r="I104" i="36"/>
  <c r="J51" i="36"/>
  <c r="B182" i="36"/>
  <c r="L321" i="36"/>
  <c r="M239" i="36"/>
  <c r="K146" i="36"/>
  <c r="J22" i="36"/>
  <c r="C173" i="36"/>
  <c r="H23" i="36"/>
  <c r="G306" i="36"/>
  <c r="G12" i="36"/>
  <c r="B177" i="36"/>
  <c r="H204" i="36"/>
  <c r="C169" i="36"/>
  <c r="B208" i="36"/>
  <c r="E54" i="36"/>
  <c r="D271" i="36"/>
  <c r="H210" i="36"/>
  <c r="H261" i="36"/>
  <c r="C332" i="36"/>
  <c r="L319" i="36"/>
  <c r="L47" i="36"/>
  <c r="H151" i="36"/>
  <c r="B147" i="36"/>
  <c r="H27" i="36"/>
  <c r="L276" i="36"/>
  <c r="H12" i="36"/>
  <c r="N338" i="36"/>
  <c r="H176" i="36"/>
  <c r="C16" i="36"/>
  <c r="H171" i="36"/>
  <c r="L15" i="36"/>
  <c r="M18" i="36"/>
  <c r="K109" i="36"/>
  <c r="N202" i="36"/>
  <c r="J176" i="36"/>
  <c r="G298" i="36"/>
  <c r="J12" i="36"/>
  <c r="C264" i="36"/>
  <c r="J79" i="36"/>
  <c r="D272" i="36"/>
  <c r="E235" i="36"/>
  <c r="E83" i="36"/>
  <c r="K202" i="36"/>
  <c r="N204" i="36"/>
  <c r="C110" i="36"/>
  <c r="O238" i="36"/>
  <c r="G172" i="36"/>
  <c r="L246" i="36"/>
  <c r="H203" i="36"/>
  <c r="I88" i="36"/>
  <c r="J167" i="36"/>
  <c r="I11" i="36"/>
  <c r="F8" i="36"/>
  <c r="H327" i="36"/>
  <c r="K199" i="36"/>
  <c r="O226" i="37"/>
  <c r="I236" i="36"/>
  <c r="H102" i="36"/>
  <c r="L152" i="36"/>
  <c r="M207" i="36"/>
  <c r="H81" i="36"/>
  <c r="B28" i="36"/>
  <c r="M75" i="36"/>
  <c r="O39" i="36"/>
  <c r="K150" i="36"/>
  <c r="J207" i="36"/>
  <c r="O239" i="36"/>
  <c r="F112" i="36"/>
  <c r="C85" i="36"/>
  <c r="B332" i="36"/>
  <c r="C79" i="36"/>
  <c r="J262" i="36"/>
  <c r="L41" i="36"/>
  <c r="K121" i="36"/>
  <c r="B152" i="36"/>
  <c r="I41" i="36"/>
  <c r="H259" i="36"/>
  <c r="K181" i="36"/>
  <c r="C262" i="36"/>
  <c r="L75" i="36"/>
  <c r="M212" i="36"/>
  <c r="N42" i="36"/>
  <c r="M240" i="36"/>
  <c r="F301" i="36"/>
  <c r="C133" i="36"/>
  <c r="E257" i="36"/>
  <c r="G167" i="36"/>
  <c r="C234" i="36"/>
  <c r="J246" i="36"/>
  <c r="B142" i="36"/>
  <c r="L136" i="36"/>
  <c r="J83" i="36"/>
  <c r="H339" i="36"/>
  <c r="D246" i="36"/>
  <c r="F184" i="36"/>
  <c r="E146" i="36"/>
  <c r="B326" i="36"/>
  <c r="G265" i="36"/>
  <c r="F54" i="36"/>
  <c r="G89" i="36"/>
  <c r="J205" i="36"/>
  <c r="O28" i="36"/>
  <c r="K133" i="36"/>
  <c r="H54" i="36"/>
  <c r="C43" i="36"/>
  <c r="E307" i="36"/>
  <c r="D208" i="36"/>
  <c r="K15" i="36"/>
  <c r="M41" i="36"/>
  <c r="K327" i="36"/>
  <c r="I203" i="36"/>
  <c r="B306" i="36"/>
  <c r="B53" i="36"/>
  <c r="F271" i="36"/>
  <c r="G49" i="36"/>
  <c r="B277" i="36"/>
  <c r="B214" i="36"/>
  <c r="F327" i="36"/>
  <c r="I328" i="36"/>
  <c r="G295" i="36"/>
  <c r="H271" i="36"/>
  <c r="N199" i="36"/>
  <c r="H105" i="36"/>
  <c r="N90" i="36"/>
  <c r="C148" i="37"/>
  <c r="H270" i="36"/>
  <c r="H47" i="36"/>
  <c r="H115" i="36"/>
  <c r="F89" i="36"/>
  <c r="M105" i="36"/>
  <c r="L199" i="36"/>
  <c r="B114" i="36"/>
  <c r="H152" i="36"/>
  <c r="H231" i="36"/>
  <c r="N10" i="36"/>
  <c r="I200" i="36"/>
  <c r="L133" i="36"/>
  <c r="E85" i="36"/>
  <c r="B41" i="36"/>
  <c r="J137" i="36"/>
  <c r="K328" i="36"/>
  <c r="B184" i="36"/>
  <c r="J240" i="36"/>
  <c r="G319" i="36"/>
  <c r="N104" i="36"/>
  <c r="E262" i="36"/>
  <c r="G215" i="36"/>
  <c r="G83" i="36"/>
  <c r="I275" i="36"/>
  <c r="D54" i="36"/>
  <c r="I152" i="36"/>
  <c r="L88" i="36"/>
  <c r="K276" i="36"/>
  <c r="K338" i="36"/>
  <c r="B209" i="36"/>
  <c r="E171" i="36"/>
  <c r="G266" i="36"/>
  <c r="G20" i="36"/>
  <c r="E239" i="36"/>
  <c r="E329" i="36"/>
  <c r="K23" i="36"/>
  <c r="N171" i="37"/>
  <c r="I106" i="37"/>
  <c r="M89" i="36"/>
  <c r="D79" i="36"/>
  <c r="K274" i="36"/>
  <c r="M173" i="36"/>
  <c r="N207" i="36"/>
  <c r="N183" i="36"/>
  <c r="D145" i="36"/>
  <c r="O122" i="36"/>
  <c r="D174" i="36"/>
  <c r="B8" i="36"/>
  <c r="N184" i="36"/>
  <c r="L138" i="36"/>
  <c r="J90" i="36"/>
  <c r="F47" i="36"/>
  <c r="N213" i="37"/>
  <c r="M321" i="37"/>
  <c r="N210" i="36"/>
  <c r="I17" i="36"/>
  <c r="E136" i="36"/>
  <c r="C291" i="36"/>
  <c r="C301" i="36"/>
  <c r="J8" i="36"/>
  <c r="G264" i="36"/>
  <c r="B338" i="36"/>
  <c r="D319" i="36"/>
  <c r="G173" i="36"/>
  <c r="F23" i="36"/>
  <c r="H167" i="36"/>
  <c r="E122" i="36"/>
  <c r="D15" i="36"/>
  <c r="L83" i="37"/>
  <c r="B295" i="37"/>
  <c r="D42" i="36"/>
  <c r="H138" i="36"/>
  <c r="O146" i="36"/>
  <c r="H328" i="36"/>
  <c r="O319" i="36"/>
  <c r="G302" i="36"/>
  <c r="J53" i="36"/>
  <c r="N208" i="36"/>
  <c r="C212" i="36"/>
  <c r="N212" i="36"/>
  <c r="C202" i="36"/>
  <c r="C58" i="36"/>
  <c r="E21" i="36"/>
  <c r="C308" i="36"/>
  <c r="K107" i="37"/>
  <c r="H260" i="36"/>
  <c r="F296" i="36"/>
  <c r="K244" i="36"/>
  <c r="O235" i="36"/>
  <c r="C260" i="36"/>
  <c r="I58" i="36"/>
  <c r="G51" i="36"/>
  <c r="B292" i="36"/>
  <c r="C270" i="36"/>
  <c r="J74" i="36"/>
  <c r="M338" i="36"/>
  <c r="J25" i="36"/>
  <c r="J239" i="36"/>
  <c r="I195" i="36"/>
  <c r="B246" i="36"/>
  <c r="L167" i="36"/>
  <c r="I21" i="37"/>
  <c r="L229" i="36"/>
  <c r="J164" i="36"/>
  <c r="H234" i="36"/>
  <c r="N336" i="36"/>
  <c r="I333" i="36"/>
  <c r="C244" i="36"/>
  <c r="D80" i="36"/>
  <c r="K277" i="36"/>
  <c r="N328" i="36"/>
  <c r="G174" i="36"/>
  <c r="D328" i="37"/>
  <c r="H333" i="37"/>
  <c r="E339" i="36"/>
  <c r="G179" i="36"/>
  <c r="E296" i="36"/>
  <c r="D202" i="36"/>
  <c r="C226" i="36"/>
  <c r="F200" i="36"/>
  <c r="O234" i="36"/>
  <c r="E274" i="36"/>
  <c r="L240" i="36"/>
  <c r="F39" i="36"/>
  <c r="L173" i="37"/>
  <c r="I231" i="37"/>
  <c r="L8" i="36"/>
  <c r="G244" i="36"/>
  <c r="F202" i="36"/>
  <c r="F22" i="36"/>
  <c r="F331" i="36"/>
  <c r="G229" i="36"/>
  <c r="F272" i="36"/>
  <c r="K264" i="36"/>
  <c r="I205" i="36"/>
  <c r="D292" i="36"/>
  <c r="I49" i="37"/>
  <c r="C110" i="37"/>
  <c r="E153" i="36"/>
  <c r="G213" i="36"/>
  <c r="D117" i="36"/>
  <c r="L10" i="36"/>
  <c r="E208" i="36"/>
  <c r="N151" i="36"/>
  <c r="D295" i="36"/>
  <c r="L43" i="36"/>
  <c r="K246" i="36"/>
  <c r="G91" i="36"/>
  <c r="G333" i="36"/>
  <c r="K26" i="36"/>
  <c r="G269" i="37"/>
  <c r="E151" i="37"/>
  <c r="F235" i="36"/>
  <c r="J22" i="37"/>
  <c r="I324" i="36"/>
  <c r="L49" i="36"/>
  <c r="I199" i="37"/>
  <c r="I171" i="37"/>
  <c r="E73" i="36"/>
  <c r="H106" i="37"/>
  <c r="H338" i="37"/>
  <c r="G302" i="37"/>
  <c r="O205" i="36"/>
  <c r="D267" i="37"/>
  <c r="K326" i="37"/>
  <c r="L114" i="37"/>
  <c r="K86" i="36"/>
  <c r="O338" i="37"/>
  <c r="C246" i="37"/>
  <c r="I10" i="37"/>
  <c r="K48" i="36"/>
  <c r="O168" i="37"/>
  <c r="E53" i="37"/>
  <c r="D104" i="37"/>
  <c r="H270" i="37"/>
  <c r="O74" i="37"/>
  <c r="F49" i="37"/>
  <c r="K338" i="37"/>
  <c r="D76" i="37"/>
  <c r="G265" i="37"/>
  <c r="N43" i="36"/>
  <c r="N22" i="37"/>
  <c r="B169" i="37"/>
  <c r="F148" i="37"/>
  <c r="K323" i="36"/>
  <c r="M143" i="37"/>
  <c r="D296" i="36"/>
  <c r="D104" i="36"/>
  <c r="M27" i="36"/>
  <c r="J153" i="36"/>
  <c r="L16" i="36"/>
  <c r="M150" i="36"/>
  <c r="G26" i="36"/>
  <c r="K184" i="36"/>
  <c r="F275" i="36"/>
  <c r="K85" i="36"/>
  <c r="N75" i="36"/>
  <c r="C323" i="37"/>
  <c r="B109" i="36"/>
  <c r="O81" i="36"/>
  <c r="N195" i="36"/>
  <c r="G332" i="36"/>
  <c r="G105" i="36"/>
  <c r="C336" i="36"/>
  <c r="K229" i="36"/>
  <c r="J114" i="36"/>
  <c r="O321" i="36"/>
  <c r="B104" i="36"/>
  <c r="D110" i="37"/>
  <c r="H208" i="37"/>
  <c r="I73" i="36"/>
  <c r="C107" i="36"/>
  <c r="D153" i="36"/>
  <c r="D262" i="36"/>
  <c r="J15" i="36"/>
  <c r="D215" i="36"/>
  <c r="F236" i="36"/>
  <c r="E215" i="36"/>
  <c r="E59" i="36"/>
  <c r="M169" i="36"/>
  <c r="B301" i="37"/>
  <c r="B301" i="36"/>
  <c r="D179" i="36"/>
  <c r="J332" i="36"/>
  <c r="C203" i="36"/>
  <c r="I12" i="36"/>
  <c r="F298" i="36"/>
  <c r="M265" i="36"/>
  <c r="B264" i="36"/>
  <c r="O53" i="36"/>
  <c r="F15" i="36"/>
  <c r="L84" i="36"/>
  <c r="E116" i="37"/>
  <c r="E27" i="36"/>
  <c r="K210" i="36"/>
  <c r="F11" i="36"/>
  <c r="D210" i="36"/>
  <c r="H168" i="36"/>
  <c r="I148" i="36"/>
  <c r="B244" i="36"/>
  <c r="I181" i="36"/>
  <c r="K44" i="36"/>
  <c r="B245" i="36"/>
  <c r="K49" i="36"/>
  <c r="N76" i="36"/>
  <c r="N324" i="36"/>
  <c r="B319" i="37"/>
  <c r="J41" i="37"/>
  <c r="K265" i="36"/>
  <c r="D75" i="37"/>
  <c r="G231" i="36"/>
  <c r="I271" i="37"/>
  <c r="I245" i="37"/>
  <c r="N51" i="37"/>
  <c r="F102" i="36"/>
  <c r="D333" i="37"/>
  <c r="D152" i="37"/>
  <c r="N338" i="37"/>
  <c r="G300" i="36"/>
  <c r="O26" i="37"/>
  <c r="L106" i="37"/>
  <c r="F231" i="37"/>
  <c r="K20" i="36"/>
  <c r="G198" i="37"/>
  <c r="F264" i="37"/>
  <c r="H143" i="37"/>
  <c r="B234" i="36"/>
  <c r="N238" i="37"/>
  <c r="K109" i="37"/>
  <c r="F288" i="37"/>
  <c r="H164" i="37"/>
  <c r="B321" i="37"/>
  <c r="L243" i="37"/>
  <c r="L177" i="36"/>
  <c r="J138" i="36"/>
  <c r="B74" i="36"/>
  <c r="N243" i="36"/>
  <c r="L266" i="36"/>
  <c r="J140" i="36"/>
  <c r="D209" i="36"/>
  <c r="I74" i="36"/>
  <c r="N91" i="36"/>
  <c r="B271" i="36"/>
  <c r="M48" i="36"/>
  <c r="C198" i="37"/>
  <c r="F179" i="36"/>
  <c r="E110" i="36"/>
  <c r="E102" i="36"/>
  <c r="F300" i="36"/>
  <c r="D39" i="36"/>
  <c r="C338" i="36"/>
  <c r="C327" i="36"/>
  <c r="H334" i="36"/>
  <c r="C231" i="36"/>
  <c r="B49" i="36"/>
  <c r="I178" i="37"/>
  <c r="K138" i="36"/>
  <c r="G197" i="36"/>
  <c r="I265" i="36"/>
  <c r="N116" i="36"/>
  <c r="I322" i="36"/>
  <c r="D152" i="36"/>
  <c r="M88" i="36"/>
  <c r="G262" i="36"/>
  <c r="G81" i="36"/>
  <c r="G148" i="36"/>
  <c r="F195" i="36"/>
  <c r="D198" i="37"/>
  <c r="M83" i="36"/>
  <c r="M23" i="36"/>
  <c r="L272" i="36"/>
  <c r="F85" i="36"/>
  <c r="N231" i="36"/>
  <c r="C44" i="36"/>
  <c r="C319" i="36"/>
  <c r="G328" i="36"/>
  <c r="O83" i="36"/>
  <c r="L329" i="36"/>
  <c r="D114" i="36"/>
  <c r="J11" i="37"/>
  <c r="M109" i="36"/>
  <c r="B44" i="36"/>
  <c r="K21" i="36"/>
  <c r="K239" i="36"/>
  <c r="G41" i="36"/>
  <c r="M226" i="36"/>
  <c r="B153" i="36"/>
  <c r="I209" i="36"/>
  <c r="J102" i="36"/>
  <c r="L117" i="36"/>
  <c r="L171" i="36"/>
  <c r="D147" i="36"/>
  <c r="O59" i="36"/>
  <c r="F202" i="37"/>
  <c r="E226" i="37"/>
  <c r="O150" i="36"/>
  <c r="C167" i="37"/>
  <c r="L110" i="36"/>
  <c r="H257" i="37"/>
  <c r="O231" i="37"/>
  <c r="J116" i="37"/>
  <c r="D239" i="36"/>
  <c r="C208" i="37"/>
  <c r="F307" i="37"/>
  <c r="D178" i="37"/>
  <c r="C269" i="36"/>
  <c r="L236" i="37"/>
  <c r="B167" i="37"/>
  <c r="O52" i="37"/>
  <c r="I246" i="36"/>
  <c r="B150" i="37"/>
  <c r="B241" i="37"/>
  <c r="N53" i="37"/>
  <c r="E303" i="36"/>
  <c r="M18" i="37"/>
  <c r="M105" i="37"/>
  <c r="I197" i="37"/>
  <c r="N245" i="37"/>
  <c r="D147" i="37"/>
  <c r="J53" i="37"/>
  <c r="G228" i="36"/>
  <c r="D142" i="36"/>
  <c r="G71" i="36"/>
  <c r="G269" i="36"/>
  <c r="L207" i="36"/>
  <c r="I276" i="36"/>
  <c r="L332" i="36"/>
  <c r="B173" i="36"/>
  <c r="M246" i="36"/>
  <c r="H245" i="36"/>
  <c r="K119" i="36"/>
  <c r="J166" i="37"/>
  <c r="J54" i="36"/>
  <c r="M90" i="36"/>
  <c r="D264" i="36"/>
  <c r="D301" i="36"/>
  <c r="K169" i="36"/>
  <c r="F133" i="36"/>
  <c r="I204" i="36"/>
  <c r="D102" i="36"/>
  <c r="L233" i="36"/>
  <c r="F164" i="36"/>
  <c r="K199" i="37"/>
  <c r="M270" i="36"/>
  <c r="G136" i="36"/>
  <c r="J104" i="36"/>
  <c r="B203" i="36"/>
  <c r="K240" i="36"/>
  <c r="F59" i="36"/>
  <c r="M235" i="36"/>
  <c r="K17" i="36"/>
  <c r="G111" i="36"/>
  <c r="J166" i="36"/>
  <c r="J23" i="36"/>
  <c r="L122" i="37"/>
  <c r="D112" i="36"/>
  <c r="E58" i="36"/>
  <c r="E16" i="36"/>
  <c r="M197" i="36"/>
  <c r="J143" i="36"/>
  <c r="L52" i="36"/>
  <c r="N74" i="36"/>
  <c r="D238" i="36"/>
  <c r="D106" i="36"/>
  <c r="B22" i="36"/>
  <c r="H79" i="36"/>
  <c r="O54" i="37"/>
  <c r="L28" i="36"/>
  <c r="G11" i="36"/>
  <c r="K332" i="36"/>
  <c r="N198" i="36"/>
  <c r="I326" i="36"/>
  <c r="O79" i="36"/>
  <c r="L54" i="36"/>
  <c r="I272" i="36"/>
  <c r="E230" i="36"/>
  <c r="L333" i="36"/>
  <c r="K116" i="36"/>
  <c r="F230" i="36"/>
  <c r="B120" i="36"/>
  <c r="K73" i="37"/>
  <c r="I142" i="37"/>
  <c r="J26" i="36"/>
  <c r="F173" i="37"/>
  <c r="N71" i="36"/>
  <c r="B10" i="37"/>
  <c r="E122" i="37"/>
  <c r="G199" i="37"/>
  <c r="D107" i="36"/>
  <c r="C84" i="37"/>
  <c r="E259" i="37"/>
  <c r="K145" i="37"/>
  <c r="B269" i="36"/>
  <c r="G44" i="37"/>
  <c r="N85" i="37"/>
  <c r="E177" i="36"/>
  <c r="B197" i="36"/>
  <c r="J80" i="37"/>
  <c r="M228" i="37"/>
  <c r="O337" i="36"/>
  <c r="C18" i="36"/>
  <c r="C136" i="37"/>
  <c r="C27" i="37"/>
  <c r="K111" i="36"/>
  <c r="F26" i="37"/>
  <c r="L136" i="37"/>
  <c r="O202" i="37"/>
  <c r="N198" i="37"/>
  <c r="D48" i="37"/>
  <c r="E300" i="37"/>
  <c r="D176" i="36"/>
  <c r="J115" i="37"/>
  <c r="J141" i="37"/>
  <c r="I260" i="37"/>
  <c r="F229" i="37"/>
  <c r="C229" i="37"/>
  <c r="O114" i="36"/>
  <c r="J107" i="37"/>
  <c r="H76" i="37"/>
  <c r="L48" i="36"/>
  <c r="M51" i="36"/>
  <c r="C266" i="37"/>
  <c r="M264" i="37"/>
  <c r="M327" i="36"/>
  <c r="C17" i="36"/>
  <c r="D71" i="36"/>
  <c r="D172" i="36"/>
  <c r="C48" i="36"/>
  <c r="G181" i="36"/>
  <c r="M235" i="37"/>
  <c r="K58" i="36"/>
  <c r="I136" i="36"/>
  <c r="H197" i="36"/>
  <c r="E184" i="36"/>
  <c r="D109" i="36"/>
  <c r="K28" i="36"/>
  <c r="H73" i="37"/>
  <c r="D197" i="36"/>
  <c r="F265" i="36"/>
  <c r="N53" i="36"/>
  <c r="C184" i="36"/>
  <c r="C331" i="36"/>
  <c r="M233" i="36"/>
  <c r="G59" i="36"/>
  <c r="D150" i="36"/>
  <c r="E178" i="36"/>
  <c r="F111" i="36"/>
  <c r="I234" i="37"/>
  <c r="B215" i="36"/>
  <c r="L326" i="36"/>
  <c r="D181" i="36"/>
  <c r="C238" i="36"/>
  <c r="I171" i="36"/>
  <c r="D288" i="36"/>
  <c r="N323" i="36"/>
  <c r="O71" i="36"/>
  <c r="M198" i="36"/>
  <c r="H146" i="36"/>
  <c r="O110" i="36"/>
  <c r="C301" i="37"/>
  <c r="O86" i="36"/>
  <c r="J210" i="36"/>
  <c r="O90" i="36"/>
  <c r="F43" i="36"/>
  <c r="B302" i="36"/>
  <c r="K59" i="36"/>
  <c r="F246" i="36"/>
  <c r="K140" i="36"/>
  <c r="L23" i="36"/>
  <c r="N111" i="36"/>
  <c r="L109" i="36"/>
  <c r="C109" i="37"/>
  <c r="F21" i="36"/>
  <c r="G13" i="36"/>
  <c r="O177" i="36"/>
  <c r="O151" i="36"/>
  <c r="B174" i="36"/>
  <c r="M195" i="36"/>
  <c r="D177" i="36"/>
  <c r="G44" i="36"/>
  <c r="F107" i="36"/>
  <c r="N120" i="36"/>
  <c r="G15" i="36"/>
  <c r="B305" i="36"/>
  <c r="B148" i="36"/>
  <c r="N200" i="37"/>
  <c r="B177" i="37"/>
  <c r="C21" i="37"/>
  <c r="E257" i="37"/>
  <c r="C296" i="36"/>
  <c r="M83" i="37"/>
  <c r="N58" i="37"/>
  <c r="G10" i="36"/>
  <c r="C27" i="36"/>
  <c r="M151" i="37"/>
  <c r="L169" i="37"/>
  <c r="M230" i="36"/>
  <c r="J152" i="36"/>
  <c r="I264" i="37"/>
  <c r="C133" i="37"/>
  <c r="E331" i="36"/>
  <c r="D18" i="36"/>
  <c r="M119" i="37"/>
  <c r="K10" i="37"/>
  <c r="I56" i="36"/>
  <c r="B324" i="36"/>
  <c r="H260" i="37"/>
  <c r="L20" i="37"/>
  <c r="E106" i="36"/>
  <c r="D23" i="37"/>
  <c r="J215" i="37"/>
  <c r="D28" i="37"/>
  <c r="F135" i="37"/>
  <c r="M47" i="37"/>
  <c r="E136" i="37"/>
  <c r="L198" i="36"/>
  <c r="C74" i="37"/>
  <c r="H326" i="37"/>
  <c r="H138" i="37"/>
  <c r="L264" i="37"/>
  <c r="L181" i="36"/>
  <c r="N20" i="36"/>
  <c r="J266" i="37"/>
  <c r="G16" i="37"/>
  <c r="D305" i="36"/>
  <c r="B10" i="36"/>
  <c r="F262" i="37"/>
  <c r="J52" i="37"/>
  <c r="M110" i="36"/>
  <c r="K147" i="36"/>
  <c r="B39" i="37"/>
  <c r="F272" i="37"/>
  <c r="B260" i="36"/>
  <c r="E42" i="36"/>
  <c r="C39" i="37"/>
  <c r="E22" i="37"/>
  <c r="C305" i="36"/>
  <c r="L261" i="36"/>
  <c r="K257" i="37"/>
  <c r="I147" i="37"/>
  <c r="F112" i="37"/>
  <c r="C245" i="37"/>
  <c r="K56" i="37"/>
  <c r="I264" i="36"/>
  <c r="C240" i="37"/>
  <c r="M171" i="37"/>
  <c r="I212" i="37"/>
  <c r="B120" i="37"/>
  <c r="M52" i="37"/>
  <c r="K51" i="37"/>
  <c r="F58" i="36"/>
  <c r="L213" i="36"/>
  <c r="E234" i="36"/>
  <c r="F142" i="36"/>
  <c r="G46" i="36"/>
  <c r="G291" i="36"/>
  <c r="L234" i="36"/>
  <c r="N17" i="36"/>
  <c r="K143" i="36"/>
  <c r="M85" i="36"/>
  <c r="O20" i="36"/>
  <c r="C137" i="36"/>
  <c r="F117" i="37"/>
  <c r="G204" i="37"/>
  <c r="C81" i="36"/>
  <c r="J59" i="36"/>
  <c r="H241" i="36"/>
  <c r="N11" i="36"/>
  <c r="G324" i="36"/>
  <c r="G178" i="36"/>
  <c r="F291" i="36"/>
  <c r="I27" i="36"/>
  <c r="N246" i="36"/>
  <c r="E244" i="36"/>
  <c r="H213" i="37"/>
  <c r="E10" i="36"/>
  <c r="J272" i="36"/>
  <c r="J119" i="36"/>
  <c r="C230" i="36"/>
  <c r="G115" i="36"/>
  <c r="E164" i="36"/>
  <c r="J264" i="36"/>
  <c r="E324" i="36"/>
  <c r="E22" i="36"/>
  <c r="G236" i="36"/>
  <c r="B48" i="36"/>
  <c r="G178" i="37"/>
  <c r="M8" i="36"/>
  <c r="K166" i="36"/>
  <c r="M102" i="36"/>
  <c r="H85" i="36"/>
  <c r="C200" i="36"/>
  <c r="O195" i="36"/>
  <c r="F205" i="36"/>
  <c r="G120" i="36"/>
  <c r="L115" i="36"/>
  <c r="H264" i="36"/>
  <c r="C333" i="37"/>
  <c r="B207" i="37"/>
  <c r="L243" i="36"/>
  <c r="I47" i="36"/>
  <c r="M259" i="36"/>
  <c r="H26" i="36"/>
  <c r="I151" i="36"/>
  <c r="C272" i="36"/>
  <c r="N13" i="36"/>
  <c r="E326" i="36"/>
  <c r="F329" i="36"/>
  <c r="L11" i="36"/>
  <c r="M203" i="36"/>
  <c r="B172" i="36"/>
  <c r="C59" i="36"/>
  <c r="O115" i="37"/>
  <c r="L116" i="37"/>
  <c r="D179" i="37"/>
  <c r="N44" i="36"/>
  <c r="M47" i="36"/>
  <c r="G243" i="37"/>
  <c r="D90" i="37"/>
  <c r="M107" i="36"/>
  <c r="O145" i="36"/>
  <c r="F275" i="37"/>
  <c r="B339" i="37"/>
  <c r="E233" i="36"/>
  <c r="M20" i="36"/>
  <c r="I91" i="37"/>
  <c r="D116" i="37"/>
  <c r="M76" i="36"/>
  <c r="E269" i="36"/>
  <c r="B116" i="37"/>
  <c r="E215" i="37"/>
  <c r="N245" i="36"/>
  <c r="E46" i="36"/>
  <c r="M212" i="37"/>
  <c r="F326" i="37"/>
  <c r="K164" i="36"/>
  <c r="F10" i="37"/>
  <c r="F277" i="37"/>
  <c r="G75" i="36"/>
  <c r="E307" i="37"/>
  <c r="I135" i="37"/>
  <c r="C181" i="37"/>
  <c r="D47" i="37"/>
  <c r="G245" i="37"/>
  <c r="H20" i="37"/>
  <c r="J78" i="36"/>
  <c r="N183" i="37"/>
  <c r="B83" i="36"/>
  <c r="N86" i="36"/>
  <c r="I277" i="36"/>
  <c r="B198" i="36"/>
  <c r="M43" i="36"/>
  <c r="B21" i="36"/>
  <c r="J120" i="36"/>
  <c r="F143" i="36"/>
  <c r="J212" i="36"/>
  <c r="F114" i="36"/>
  <c r="L183" i="36"/>
  <c r="F270" i="37"/>
  <c r="I271" i="36"/>
  <c r="G293" i="36"/>
  <c r="B297" i="36"/>
  <c r="F270" i="36"/>
  <c r="M171" i="36"/>
  <c r="N167" i="36"/>
  <c r="L262" i="36"/>
  <c r="H331" i="36"/>
  <c r="D183" i="36"/>
  <c r="B195" i="36"/>
  <c r="I176" i="37"/>
  <c r="M164" i="37"/>
  <c r="L140" i="36"/>
  <c r="M200" i="36"/>
  <c r="G151" i="36"/>
  <c r="M241" i="36"/>
  <c r="K51" i="36"/>
  <c r="K78" i="36"/>
  <c r="L182" i="36"/>
  <c r="K88" i="36"/>
  <c r="M15" i="36"/>
  <c r="L267" i="36"/>
  <c r="H230" i="37"/>
  <c r="M214" i="37"/>
  <c r="N172" i="36"/>
  <c r="K234" i="36"/>
  <c r="K331" i="36"/>
  <c r="G212" i="36"/>
  <c r="K27" i="36"/>
  <c r="O121" i="36"/>
  <c r="E259" i="36"/>
  <c r="E209" i="36"/>
  <c r="C239" i="36"/>
  <c r="B18" i="36"/>
  <c r="K133" i="37"/>
  <c r="N11" i="37"/>
  <c r="K200" i="36"/>
  <c r="E80" i="36"/>
  <c r="N49" i="36"/>
  <c r="B25" i="36"/>
  <c r="M179" i="36"/>
  <c r="F234" i="36"/>
  <c r="H119" i="36"/>
  <c r="N200" i="36"/>
  <c r="J168" i="36"/>
  <c r="C240" i="36"/>
  <c r="B146" i="36"/>
  <c r="N85" i="36"/>
  <c r="L119" i="37"/>
  <c r="C20" i="37"/>
  <c r="B16" i="36"/>
  <c r="J88" i="37"/>
  <c r="F229" i="36"/>
  <c r="O171" i="36"/>
  <c r="J171" i="37"/>
  <c r="O136" i="37"/>
  <c r="J276" i="36"/>
  <c r="F265" i="37"/>
  <c r="E241" i="37"/>
  <c r="I48" i="37"/>
  <c r="L260" i="36"/>
  <c r="L21" i="37"/>
  <c r="F140" i="37"/>
  <c r="J260" i="37"/>
  <c r="N122" i="36"/>
  <c r="I262" i="37"/>
  <c r="M331" i="37"/>
  <c r="L143" i="37"/>
  <c r="J172" i="36"/>
  <c r="I8" i="37"/>
  <c r="N107" i="37"/>
  <c r="E200" i="37"/>
  <c r="G333" i="37"/>
  <c r="I133" i="37"/>
  <c r="F28" i="37"/>
  <c r="M209" i="36"/>
  <c r="E332" i="37"/>
  <c r="G8" i="37"/>
  <c r="N48" i="37"/>
  <c r="G321" i="37"/>
  <c r="H276" i="37"/>
  <c r="C87" i="37"/>
  <c r="O58" i="36"/>
  <c r="F47" i="37"/>
  <c r="K182" i="36"/>
  <c r="O207" i="36"/>
  <c r="E212" i="37"/>
  <c r="G141" i="37"/>
  <c r="J56" i="36"/>
  <c r="D43" i="37"/>
  <c r="G27" i="37"/>
  <c r="B197" i="37"/>
  <c r="O203" i="36"/>
  <c r="N214" i="37"/>
  <c r="N169" i="37"/>
  <c r="N16" i="37"/>
  <c r="H140" i="36"/>
  <c r="C235" i="37"/>
  <c r="O85" i="37"/>
  <c r="L73" i="37"/>
  <c r="I89" i="36"/>
  <c r="J214" i="37"/>
  <c r="J91" i="37"/>
  <c r="E106" i="37"/>
  <c r="C177" i="37"/>
  <c r="I137" i="37"/>
  <c r="F73" i="37"/>
  <c r="L47" i="37"/>
  <c r="L174" i="37"/>
  <c r="H184" i="37"/>
  <c r="N236" i="36"/>
  <c r="E28" i="37"/>
  <c r="B140" i="36"/>
  <c r="G121" i="37"/>
  <c r="N58" i="36"/>
  <c r="D88" i="36"/>
  <c r="C300" i="36"/>
  <c r="C74" i="36"/>
  <c r="O140" i="36"/>
  <c r="M174" i="36"/>
  <c r="M104" i="36"/>
  <c r="I90" i="36"/>
  <c r="B110" i="36"/>
  <c r="C122" i="36"/>
  <c r="J46" i="36"/>
  <c r="H88" i="36"/>
  <c r="G169" i="36"/>
  <c r="K88" i="37"/>
  <c r="M140" i="36"/>
  <c r="J172" i="37"/>
  <c r="H197" i="37"/>
  <c r="D336" i="37"/>
  <c r="H71" i="37"/>
  <c r="G114" i="36"/>
  <c r="H102" i="37"/>
  <c r="E260" i="36"/>
  <c r="B276" i="37"/>
  <c r="E114" i="37"/>
  <c r="O231" i="36"/>
  <c r="N75" i="37"/>
  <c r="E328" i="37"/>
  <c r="E79" i="36"/>
  <c r="O331" i="37"/>
  <c r="N203" i="37"/>
  <c r="B229" i="37"/>
  <c r="K329" i="37"/>
  <c r="J51" i="37"/>
  <c r="G303" i="37"/>
  <c r="C204" i="37"/>
  <c r="C275" i="36"/>
  <c r="F74" i="36"/>
  <c r="H334" i="37"/>
  <c r="B51" i="36"/>
  <c r="H336" i="37"/>
  <c r="F119" i="37"/>
  <c r="G234" i="36"/>
  <c r="C143" i="36"/>
  <c r="L212" i="37"/>
  <c r="E174" i="37"/>
  <c r="K71" i="36"/>
  <c r="N334" i="36"/>
  <c r="K205" i="37"/>
  <c r="B75" i="37"/>
  <c r="K76" i="36"/>
  <c r="J322" i="37"/>
  <c r="H151" i="37"/>
  <c r="C331" i="37"/>
  <c r="L331" i="36"/>
  <c r="J328" i="37"/>
  <c r="I266" i="37"/>
  <c r="N336" i="37"/>
  <c r="F85" i="37"/>
  <c r="D298" i="37"/>
  <c r="E324" i="37"/>
  <c r="B78" i="36"/>
  <c r="I244" i="37"/>
  <c r="N74" i="37"/>
  <c r="I177" i="37"/>
  <c r="D122" i="37"/>
  <c r="B167" i="36"/>
  <c r="H176" i="37"/>
  <c r="F178" i="36"/>
  <c r="I137" i="36"/>
  <c r="N44" i="37"/>
  <c r="D112" i="37"/>
  <c r="K56" i="36"/>
  <c r="K336" i="36"/>
  <c r="C151" i="37"/>
  <c r="E323" i="37"/>
  <c r="K115" i="36"/>
  <c r="L208" i="36"/>
  <c r="O150" i="37"/>
  <c r="I326" i="37"/>
  <c r="K168" i="36"/>
  <c r="I75" i="37"/>
  <c r="K15" i="37"/>
  <c r="I198" i="37"/>
  <c r="J243" i="36"/>
  <c r="N327" i="37"/>
  <c r="F79" i="37"/>
  <c r="I136" i="37"/>
  <c r="K46" i="37"/>
  <c r="I23" i="37"/>
  <c r="O213" i="37"/>
  <c r="E334" i="36"/>
  <c r="J137" i="37"/>
  <c r="O112" i="37"/>
  <c r="H46" i="37"/>
  <c r="D204" i="37"/>
  <c r="C244" i="37"/>
  <c r="M20" i="37"/>
  <c r="B106" i="36"/>
  <c r="G147" i="37"/>
  <c r="C142" i="36"/>
  <c r="C166" i="36"/>
  <c r="J106" i="37"/>
  <c r="F212" i="37"/>
  <c r="M143" i="36"/>
  <c r="O229" i="37"/>
  <c r="E243" i="37"/>
  <c r="O243" i="37"/>
  <c r="D28" i="36"/>
  <c r="L56" i="37"/>
  <c r="J111" i="37"/>
  <c r="D117" i="37"/>
  <c r="D231" i="36"/>
  <c r="C300" i="37"/>
  <c r="M176" i="37"/>
  <c r="M84" i="37"/>
  <c r="B178" i="36"/>
  <c r="I337" i="37"/>
  <c r="D228" i="37"/>
  <c r="F228" i="37"/>
  <c r="I172" i="37"/>
  <c r="F198" i="37"/>
  <c r="B102" i="37"/>
  <c r="L41" i="37"/>
  <c r="M89" i="37"/>
  <c r="H48" i="37"/>
  <c r="J319" i="36"/>
  <c r="K138" i="37"/>
  <c r="H269" i="37"/>
  <c r="L322" i="37"/>
  <c r="K120" i="37"/>
  <c r="I13" i="36"/>
  <c r="N28" i="36"/>
  <c r="K198" i="36"/>
  <c r="L151" i="36"/>
  <c r="M322" i="37"/>
  <c r="I122" i="36"/>
  <c r="L338" i="36"/>
  <c r="H272" i="36"/>
  <c r="I334" i="37"/>
  <c r="I265" i="37"/>
  <c r="C234" i="37"/>
  <c r="M122" i="37"/>
  <c r="N102" i="36"/>
  <c r="L334" i="37"/>
  <c r="O147" i="36"/>
  <c r="E326" i="37"/>
  <c r="L177" i="37"/>
  <c r="B12" i="36"/>
  <c r="D203" i="37"/>
  <c r="I267" i="36"/>
  <c r="C262" i="37"/>
  <c r="J135" i="37"/>
  <c r="C215" i="36"/>
  <c r="J28" i="37"/>
  <c r="G327" i="37"/>
  <c r="F182" i="36"/>
  <c r="K83" i="37"/>
  <c r="B228" i="37"/>
  <c r="O111" i="37"/>
  <c r="E179" i="37"/>
  <c r="N89" i="36"/>
  <c r="O15" i="37"/>
  <c r="H21" i="37"/>
  <c r="F203" i="37"/>
  <c r="G104" i="36"/>
  <c r="B23" i="37"/>
  <c r="L210" i="36"/>
  <c r="D78" i="37"/>
  <c r="M166" i="37"/>
  <c r="F326" i="36"/>
  <c r="B328" i="37"/>
  <c r="N147" i="37"/>
  <c r="H179" i="37"/>
  <c r="D73" i="36"/>
  <c r="F178" i="37"/>
  <c r="J74" i="37"/>
  <c r="N150" i="37"/>
  <c r="G137" i="36"/>
  <c r="E78" i="37"/>
  <c r="I138" i="37"/>
  <c r="C22" i="37"/>
  <c r="L12" i="36"/>
  <c r="D58" i="37"/>
  <c r="H17" i="37"/>
  <c r="J204" i="37"/>
  <c r="B179" i="37"/>
  <c r="N145" i="37"/>
  <c r="N112" i="37"/>
  <c r="M205" i="36"/>
  <c r="J89" i="37"/>
  <c r="I164" i="37"/>
  <c r="L168" i="37"/>
  <c r="B200" i="37"/>
  <c r="C329" i="36"/>
  <c r="F88" i="37"/>
  <c r="K145" i="36"/>
  <c r="H195" i="36"/>
  <c r="J122" i="37"/>
  <c r="F41" i="37"/>
  <c r="C151" i="36"/>
  <c r="B233" i="37"/>
  <c r="L146" i="37"/>
  <c r="H226" i="37"/>
  <c r="F213" i="36"/>
  <c r="H215" i="37"/>
  <c r="I336" i="37"/>
  <c r="M272" i="37"/>
  <c r="H226" i="36"/>
  <c r="N59" i="37"/>
  <c r="G271" i="37"/>
  <c r="I167" i="37"/>
  <c r="H205" i="36"/>
  <c r="D56" i="37"/>
  <c r="D26" i="37"/>
  <c r="I80" i="37"/>
  <c r="J10" i="37"/>
  <c r="E176" i="37"/>
  <c r="B245" i="37"/>
  <c r="K57" i="36"/>
  <c r="F243" i="37"/>
  <c r="C47" i="37"/>
  <c r="B164" i="37"/>
  <c r="I121" i="37"/>
  <c r="M234" i="37"/>
  <c r="G215" i="37"/>
  <c r="D228" i="36"/>
  <c r="K228" i="37"/>
  <c r="M215" i="36"/>
  <c r="E23" i="37"/>
  <c r="K121" i="37"/>
  <c r="D135" i="37"/>
  <c r="L203" i="36"/>
  <c r="B208" i="37"/>
  <c r="O244" i="37"/>
  <c r="L339" i="37"/>
  <c r="L20" i="36"/>
  <c r="C276" i="37"/>
  <c r="N46" i="37"/>
  <c r="G17" i="37"/>
  <c r="H109" i="36"/>
  <c r="G119" i="37"/>
  <c r="L275" i="37"/>
  <c r="N202" i="37"/>
  <c r="C302" i="36"/>
  <c r="H259" i="37"/>
  <c r="N326" i="37"/>
  <c r="E49" i="37"/>
  <c r="L200" i="37"/>
  <c r="H136" i="37"/>
  <c r="I140" i="37"/>
  <c r="G244" i="37"/>
  <c r="F136" i="37"/>
  <c r="M174" i="37"/>
  <c r="M56" i="36"/>
  <c r="F86" i="37"/>
  <c r="I243" i="37"/>
  <c r="F18" i="37"/>
  <c r="D146" i="37"/>
  <c r="B267" i="36"/>
  <c r="D26" i="36"/>
  <c r="J230" i="37"/>
  <c r="O214" i="37"/>
  <c r="N148" i="36"/>
  <c r="F198" i="36"/>
  <c r="G214" i="37"/>
  <c r="C150" i="37"/>
  <c r="H17" i="36"/>
  <c r="K54" i="36"/>
  <c r="N151" i="37"/>
  <c r="O197" i="37"/>
  <c r="J142" i="36"/>
  <c r="F169" i="36"/>
  <c r="N208" i="37"/>
  <c r="O53" i="37"/>
  <c r="B23" i="36"/>
  <c r="I274" i="36"/>
  <c r="I56" i="37"/>
  <c r="H209" i="37"/>
  <c r="F182" i="37"/>
  <c r="C164" i="37"/>
  <c r="B53" i="37"/>
  <c r="D324" i="36"/>
  <c r="D334" i="37"/>
  <c r="G270" i="36"/>
  <c r="D59" i="36"/>
  <c r="I13" i="37"/>
  <c r="F183" i="36"/>
  <c r="I18" i="36"/>
  <c r="N106" i="36"/>
  <c r="J117" i="37"/>
  <c r="K48" i="37"/>
  <c r="N81" i="37"/>
  <c r="D277" i="37"/>
  <c r="K229" i="37"/>
  <c r="C243" i="37"/>
  <c r="B116" i="36"/>
  <c r="C107" i="37"/>
  <c r="B178" i="37"/>
  <c r="H135" i="37"/>
  <c r="J244" i="37"/>
  <c r="I8" i="36"/>
  <c r="J176" i="37"/>
  <c r="G42" i="37"/>
  <c r="H215" i="36"/>
  <c r="E334" i="37"/>
  <c r="J102" i="37"/>
  <c r="F151" i="36"/>
  <c r="L147" i="37"/>
  <c r="K321" i="37"/>
  <c r="B183" i="37"/>
  <c r="L76" i="37"/>
  <c r="L56" i="36"/>
  <c r="K323" i="37"/>
  <c r="G46" i="37"/>
  <c r="K319" i="37"/>
  <c r="B210" i="36"/>
  <c r="E308" i="37"/>
  <c r="H266" i="36"/>
  <c r="C49" i="37"/>
  <c r="F27" i="37"/>
  <c r="D244" i="36"/>
  <c r="F306" i="37"/>
  <c r="H152" i="37"/>
  <c r="D11" i="37"/>
  <c r="I321" i="36"/>
  <c r="O324" i="37"/>
  <c r="F321" i="37"/>
  <c r="B234" i="37"/>
  <c r="L148" i="36"/>
  <c r="B240" i="37"/>
  <c r="K151" i="37"/>
  <c r="J145" i="37"/>
  <c r="D122" i="36"/>
  <c r="B48" i="37"/>
  <c r="F42" i="37"/>
  <c r="O48" i="37"/>
  <c r="E80" i="37"/>
  <c r="L261" i="37"/>
  <c r="M137" i="37"/>
  <c r="I115" i="37"/>
  <c r="E91" i="37"/>
  <c r="E57" i="37"/>
  <c r="E172" i="36"/>
  <c r="H74" i="37"/>
  <c r="N181" i="36"/>
  <c r="J39" i="37"/>
  <c r="O152" i="36"/>
  <c r="J329" i="36"/>
  <c r="L18" i="37"/>
  <c r="K106" i="37"/>
  <c r="K83" i="36"/>
  <c r="M142" i="37"/>
  <c r="H272" i="37"/>
  <c r="K210" i="37"/>
  <c r="B200" i="36"/>
  <c r="L271" i="37"/>
  <c r="G328" i="37"/>
  <c r="M328" i="37"/>
  <c r="F174" i="36"/>
  <c r="H88" i="37"/>
  <c r="N114" i="37"/>
  <c r="B334" i="37"/>
  <c r="E319" i="36"/>
  <c r="J178" i="37"/>
  <c r="E168" i="37"/>
  <c r="M54" i="37"/>
  <c r="M236" i="37"/>
  <c r="K26" i="37"/>
  <c r="N15" i="37"/>
  <c r="N230" i="37"/>
  <c r="C322" i="37"/>
  <c r="B136" i="37"/>
  <c r="J321" i="36"/>
  <c r="G226" i="37"/>
  <c r="E12" i="37"/>
  <c r="D321" i="37"/>
  <c r="N215" i="36"/>
  <c r="H324" i="37"/>
  <c r="F48" i="36"/>
  <c r="H116" i="37"/>
  <c r="C205" i="37"/>
  <c r="L338" i="37"/>
  <c r="L337" i="36"/>
  <c r="N166" i="37"/>
  <c r="B181" i="37"/>
  <c r="B305" i="37"/>
  <c r="I212" i="36"/>
  <c r="F150" i="37"/>
  <c r="D57" i="37"/>
  <c r="M28" i="36"/>
  <c r="K324" i="36"/>
  <c r="H150" i="37"/>
  <c r="L259" i="37"/>
  <c r="D105" i="36"/>
  <c r="F51" i="36"/>
  <c r="O235" i="37"/>
  <c r="G195" i="37"/>
  <c r="M166" i="36"/>
  <c r="M25" i="37"/>
  <c r="B300" i="37"/>
  <c r="K79" i="37"/>
  <c r="G49" i="37"/>
  <c r="M57" i="37"/>
  <c r="B41" i="37"/>
  <c r="H207" i="36"/>
  <c r="H331" i="37"/>
  <c r="K334" i="37"/>
  <c r="E151" i="36"/>
  <c r="E115" i="37"/>
  <c r="O135" i="36"/>
  <c r="M17" i="36"/>
  <c r="I324" i="37"/>
  <c r="F8" i="37"/>
  <c r="F18" i="36"/>
  <c r="G164" i="36"/>
  <c r="G207" i="37"/>
  <c r="B173" i="37"/>
  <c r="I44" i="36"/>
  <c r="K321" i="36"/>
  <c r="N236" i="37"/>
  <c r="G266" i="37"/>
  <c r="H44" i="36"/>
  <c r="O20" i="37"/>
  <c r="K245" i="37"/>
  <c r="G90" i="37"/>
  <c r="J75" i="36"/>
  <c r="K20" i="37"/>
  <c r="I47" i="37"/>
  <c r="G261" i="37"/>
  <c r="C302" i="37"/>
  <c r="C147" i="37"/>
  <c r="O143" i="37"/>
  <c r="C198" i="36"/>
  <c r="E119" i="36"/>
  <c r="J197" i="36"/>
  <c r="F243" i="36"/>
  <c r="K270" i="36"/>
  <c r="F267" i="36"/>
  <c r="M153" i="36"/>
  <c r="N25" i="36"/>
  <c r="C197" i="36"/>
  <c r="L79" i="36"/>
  <c r="E245" i="37"/>
  <c r="G114" i="37"/>
  <c r="O153" i="37"/>
  <c r="B239" i="36"/>
  <c r="E78" i="36"/>
  <c r="H236" i="37"/>
  <c r="K53" i="37"/>
  <c r="N135" i="37"/>
  <c r="D324" i="37"/>
  <c r="F78" i="36"/>
  <c r="B293" i="37"/>
  <c r="F23" i="37"/>
  <c r="J203" i="36"/>
  <c r="F337" i="37"/>
  <c r="B243" i="37"/>
  <c r="L168" i="36"/>
  <c r="K328" i="37"/>
  <c r="D259" i="37"/>
  <c r="N17" i="37"/>
  <c r="E296" i="37"/>
  <c r="G135" i="37"/>
  <c r="K276" i="37"/>
  <c r="H228" i="37"/>
  <c r="E301" i="37"/>
  <c r="G147" i="36"/>
  <c r="E298" i="36"/>
  <c r="G120" i="37"/>
  <c r="G21" i="37"/>
  <c r="N164" i="37"/>
  <c r="O329" i="36"/>
  <c r="F166" i="37"/>
  <c r="F269" i="37"/>
  <c r="D326" i="37"/>
  <c r="F334" i="36"/>
  <c r="F107" i="37"/>
  <c r="D236" i="37"/>
  <c r="O322" i="37"/>
  <c r="H78" i="36"/>
  <c r="B292" i="37"/>
  <c r="J202" i="37"/>
  <c r="B291" i="37"/>
  <c r="H246" i="36"/>
  <c r="K150" i="37"/>
  <c r="H264" i="37"/>
  <c r="B133" i="37"/>
  <c r="N27" i="37"/>
  <c r="O57" i="37"/>
  <c r="B322" i="37"/>
  <c r="C305" i="37"/>
  <c r="L23" i="37"/>
  <c r="M136" i="37"/>
  <c r="F176" i="37"/>
  <c r="D143" i="37"/>
  <c r="H48" i="36"/>
  <c r="I333" i="37"/>
  <c r="B241" i="36"/>
  <c r="G275" i="37"/>
  <c r="N226" i="37"/>
  <c r="E244" i="37"/>
  <c r="C295" i="36"/>
  <c r="L107" i="37"/>
  <c r="L115" i="37"/>
  <c r="E46" i="37"/>
  <c r="I215" i="36"/>
  <c r="F44" i="37"/>
  <c r="G322" i="37"/>
  <c r="E111" i="37"/>
  <c r="D86" i="36"/>
  <c r="G288" i="37"/>
  <c r="H58" i="37"/>
  <c r="H23" i="37"/>
  <c r="D84" i="36"/>
  <c r="I210" i="37"/>
  <c r="L328" i="37"/>
  <c r="L142" i="37"/>
  <c r="B203" i="37"/>
  <c r="J114" i="37"/>
  <c r="M184" i="37"/>
  <c r="C112" i="37"/>
  <c r="D184" i="37"/>
  <c r="M46" i="37"/>
  <c r="F115" i="37"/>
  <c r="D137" i="37"/>
  <c r="J112" i="37"/>
  <c r="I43" i="37"/>
  <c r="I332" i="36"/>
  <c r="K184" i="37"/>
  <c r="L137" i="36"/>
  <c r="E152" i="37"/>
  <c r="O145" i="37"/>
  <c r="I202" i="36"/>
  <c r="G146" i="36"/>
  <c r="K171" i="37"/>
  <c r="E302" i="37"/>
  <c r="E107" i="36"/>
  <c r="C259" i="36"/>
  <c r="C135" i="37"/>
  <c r="G336" i="37"/>
  <c r="O13" i="36"/>
  <c r="G207" i="36"/>
  <c r="J13" i="37"/>
  <c r="E270" i="37"/>
  <c r="M167" i="36"/>
  <c r="O10" i="36"/>
  <c r="C264" i="37"/>
  <c r="J229" i="37"/>
  <c r="B272" i="36"/>
  <c r="H269" i="36"/>
  <c r="H43" i="36"/>
  <c r="I334" i="36"/>
  <c r="I140" i="36"/>
  <c r="J199" i="36"/>
  <c r="J105" i="36"/>
  <c r="D276" i="36"/>
  <c r="I173" i="37"/>
  <c r="C57" i="36"/>
  <c r="B321" i="36"/>
  <c r="L234" i="37"/>
  <c r="M58" i="37"/>
  <c r="B271" i="37"/>
  <c r="O243" i="36"/>
  <c r="O48" i="36"/>
  <c r="F56" i="37"/>
  <c r="H133" i="36"/>
  <c r="B303" i="37"/>
  <c r="G171" i="37"/>
  <c r="M204" i="36"/>
  <c r="E321" i="37"/>
  <c r="B111" i="37"/>
  <c r="M262" i="36"/>
  <c r="E58" i="37"/>
  <c r="O39" i="37"/>
  <c r="I54" i="36"/>
  <c r="K195" i="37"/>
  <c r="F76" i="36"/>
  <c r="E75" i="37"/>
  <c r="H137" i="37"/>
  <c r="C338" i="37"/>
  <c r="G107" i="37"/>
  <c r="O203" i="37"/>
  <c r="O142" i="37"/>
  <c r="H210" i="37"/>
  <c r="M234" i="36"/>
  <c r="H198" i="37"/>
  <c r="E86" i="37"/>
  <c r="F90" i="37"/>
  <c r="D293" i="36"/>
  <c r="M109" i="37"/>
  <c r="L152" i="37"/>
  <c r="C210" i="37"/>
  <c r="L230" i="36"/>
  <c r="F22" i="37"/>
  <c r="L178" i="37"/>
  <c r="L331" i="37"/>
  <c r="B291" i="36"/>
  <c r="O79" i="37"/>
  <c r="M73" i="37"/>
  <c r="M266" i="37"/>
  <c r="I52" i="36"/>
  <c r="J86" i="37"/>
  <c r="H277" i="37"/>
  <c r="F53" i="36"/>
  <c r="G297" i="37"/>
  <c r="M13" i="37"/>
  <c r="L27" i="37"/>
  <c r="I102" i="37"/>
  <c r="M329" i="37"/>
  <c r="D276" i="37"/>
  <c r="D277" i="36"/>
  <c r="L75" i="37"/>
  <c r="N234" i="36"/>
  <c r="L49" i="37"/>
  <c r="I257" i="36"/>
  <c r="K207" i="37"/>
  <c r="H274" i="37"/>
  <c r="J78" i="37"/>
  <c r="L146" i="36"/>
  <c r="E178" i="37"/>
  <c r="O44" i="37"/>
  <c r="H42" i="37"/>
  <c r="H209" i="36"/>
  <c r="C91" i="37"/>
  <c r="L240" i="37"/>
  <c r="F164" i="37"/>
  <c r="G138" i="36"/>
  <c r="O174" i="37"/>
  <c r="I73" i="37"/>
  <c r="N26" i="36"/>
  <c r="M176" i="36"/>
  <c r="E73" i="37"/>
  <c r="J142" i="37"/>
  <c r="F119" i="36"/>
  <c r="C43" i="37"/>
  <c r="F244" i="37"/>
  <c r="C23" i="37"/>
  <c r="H107" i="37"/>
  <c r="C111" i="37"/>
  <c r="G235" i="37"/>
  <c r="F305" i="36"/>
  <c r="K22" i="37"/>
  <c r="H245" i="37"/>
  <c r="C115" i="37"/>
  <c r="M172" i="37"/>
  <c r="M8" i="37"/>
  <c r="B105" i="36"/>
  <c r="D208" i="37"/>
  <c r="C58" i="37"/>
  <c r="F79" i="36"/>
  <c r="C54" i="36"/>
  <c r="E117" i="37"/>
  <c r="K337" i="37"/>
  <c r="E238" i="36"/>
  <c r="K231" i="36"/>
  <c r="G122" i="37"/>
  <c r="G177" i="37"/>
  <c r="B143" i="36"/>
  <c r="K11" i="36"/>
  <c r="E21" i="37"/>
  <c r="F59" i="37"/>
  <c r="G27" i="36"/>
  <c r="K84" i="36"/>
  <c r="N173" i="37"/>
  <c r="I85" i="37"/>
  <c r="B112" i="36"/>
  <c r="M102" i="37"/>
  <c r="G136" i="37"/>
  <c r="M236" i="36"/>
  <c r="G233" i="37"/>
  <c r="K43" i="37"/>
  <c r="L153" i="37"/>
  <c r="E145" i="37"/>
  <c r="D150" i="37"/>
  <c r="F91" i="37"/>
  <c r="J147" i="36"/>
  <c r="E120" i="37"/>
  <c r="C80" i="36"/>
  <c r="K270" i="37"/>
  <c r="B105" i="37"/>
  <c r="H10" i="37"/>
  <c r="B86" i="36"/>
  <c r="E47" i="37"/>
  <c r="G212" i="37"/>
  <c r="N148" i="37"/>
  <c r="L239" i="36"/>
  <c r="F17" i="37"/>
  <c r="B81" i="37"/>
  <c r="H85" i="37"/>
  <c r="E43" i="36"/>
  <c r="J104" i="37"/>
  <c r="E153" i="37"/>
  <c r="N246" i="37"/>
  <c r="I43" i="36"/>
  <c r="B236" i="37"/>
  <c r="I236" i="37"/>
  <c r="G260" i="37"/>
  <c r="G182" i="37"/>
  <c r="O166" i="37"/>
  <c r="D262" i="37"/>
  <c r="D298" i="36"/>
  <c r="L174" i="36"/>
  <c r="H25" i="36"/>
  <c r="C13" i="36"/>
  <c r="M25" i="36"/>
  <c r="I151" i="37"/>
  <c r="M115" i="36"/>
  <c r="C88" i="36"/>
  <c r="I230" i="37"/>
  <c r="N84" i="37"/>
  <c r="N331" i="37"/>
  <c r="E177" i="37"/>
  <c r="N321" i="37"/>
  <c r="M142" i="36"/>
  <c r="D275" i="36"/>
  <c r="H25" i="37"/>
  <c r="G338" i="36"/>
  <c r="G81" i="37"/>
  <c r="G58" i="37"/>
  <c r="N117" i="36"/>
  <c r="K75" i="37"/>
  <c r="D49" i="36"/>
  <c r="E214" i="36"/>
  <c r="B214" i="37"/>
  <c r="N121" i="36"/>
  <c r="D331" i="37"/>
  <c r="I277" i="37"/>
  <c r="O198" i="36"/>
  <c r="K153" i="37"/>
  <c r="F116" i="37"/>
  <c r="D171" i="37"/>
  <c r="N73" i="37"/>
  <c r="L104" i="36"/>
  <c r="H323" i="37"/>
  <c r="E306" i="37"/>
  <c r="D27" i="36"/>
  <c r="O105" i="37"/>
  <c r="G323" i="37"/>
  <c r="J228" i="36"/>
  <c r="J84" i="36"/>
  <c r="D233" i="37"/>
  <c r="E208" i="37"/>
  <c r="C152" i="36"/>
  <c r="C207" i="36"/>
  <c r="I207" i="37"/>
  <c r="F239" i="37"/>
  <c r="I244" i="36"/>
  <c r="C89" i="36"/>
  <c r="F197" i="37"/>
  <c r="B109" i="37"/>
  <c r="M199" i="36"/>
  <c r="N214" i="36"/>
  <c r="B326" i="37"/>
  <c r="K176" i="37"/>
  <c r="F303" i="36"/>
  <c r="K112" i="37"/>
  <c r="M138" i="37"/>
  <c r="G326" i="37"/>
  <c r="K197" i="37"/>
  <c r="B47" i="37"/>
  <c r="I59" i="37"/>
  <c r="C114" i="36"/>
  <c r="L26" i="37"/>
  <c r="J20" i="36"/>
  <c r="M141" i="37"/>
  <c r="N230" i="36"/>
  <c r="H91" i="37"/>
  <c r="O234" i="37"/>
  <c r="G277" i="36"/>
  <c r="K148" i="36"/>
  <c r="C42" i="37"/>
  <c r="J18" i="37"/>
  <c r="C167" i="36"/>
  <c r="D120" i="36"/>
  <c r="K169" i="37"/>
  <c r="D151" i="37"/>
  <c r="G88" i="36"/>
  <c r="G182" i="36"/>
  <c r="J333" i="37"/>
  <c r="N146" i="37"/>
  <c r="C257" i="36"/>
  <c r="I15" i="36"/>
  <c r="O106" i="37"/>
  <c r="E275" i="37"/>
  <c r="J213" i="36"/>
  <c r="N319" i="37"/>
  <c r="M200" i="37"/>
  <c r="F58" i="37"/>
  <c r="D39" i="37"/>
  <c r="O13" i="37"/>
  <c r="M145" i="37"/>
  <c r="F12" i="36"/>
  <c r="J140" i="37"/>
  <c r="O104" i="37"/>
  <c r="F291" i="37"/>
  <c r="G102" i="37"/>
  <c r="M277" i="36"/>
  <c r="K228" i="36"/>
  <c r="D338" i="37"/>
  <c r="N142" i="37"/>
  <c r="J198" i="36"/>
  <c r="D269" i="36"/>
  <c r="L207" i="37"/>
  <c r="J20" i="37"/>
  <c r="I329" i="36"/>
  <c r="H107" i="36"/>
  <c r="G22" i="37"/>
  <c r="C228" i="37"/>
  <c r="L274" i="36"/>
  <c r="C84" i="36"/>
  <c r="G172" i="37"/>
  <c r="H145" i="37"/>
  <c r="D243" i="36"/>
  <c r="I208" i="36"/>
  <c r="K336" i="37"/>
  <c r="B110" i="37"/>
  <c r="E13" i="37"/>
  <c r="N176" i="37"/>
  <c r="B153" i="37"/>
  <c r="N12" i="36"/>
  <c r="C114" i="37"/>
  <c r="E214" i="37"/>
  <c r="C143" i="37"/>
  <c r="J334" i="37"/>
  <c r="F21" i="37"/>
  <c r="J153" i="37"/>
  <c r="K112" i="36"/>
  <c r="I229" i="36"/>
  <c r="N153" i="36"/>
  <c r="N150" i="36"/>
  <c r="K43" i="36"/>
  <c r="G119" i="36"/>
  <c r="K334" i="36"/>
  <c r="B91" i="36"/>
  <c r="K80" i="36"/>
  <c r="C276" i="36"/>
  <c r="C205" i="36"/>
  <c r="L266" i="37"/>
  <c r="J167" i="37"/>
  <c r="J169" i="37"/>
  <c r="E81" i="37"/>
  <c r="E148" i="37"/>
  <c r="G148" i="37"/>
  <c r="D199" i="36"/>
  <c r="C54" i="37"/>
  <c r="K104" i="36"/>
  <c r="K54" i="37"/>
  <c r="B82" i="37"/>
  <c r="O18" i="36"/>
  <c r="M276" i="37"/>
  <c r="K41" i="37"/>
  <c r="E86" i="36"/>
  <c r="B298" i="37"/>
  <c r="D257" i="37"/>
  <c r="I76" i="37"/>
  <c r="F137" i="37"/>
  <c r="E303" i="37"/>
  <c r="E207" i="37"/>
  <c r="O146" i="37"/>
  <c r="M73" i="36"/>
  <c r="L135" i="36"/>
  <c r="E112" i="37"/>
  <c r="J230" i="36"/>
  <c r="B210" i="37"/>
  <c r="H146" i="37"/>
  <c r="F245" i="36"/>
  <c r="L269" i="36"/>
  <c r="M203" i="37"/>
  <c r="F267" i="37"/>
  <c r="K319" i="36"/>
  <c r="K106" i="36"/>
  <c r="H231" i="37"/>
  <c r="M78" i="37"/>
  <c r="L244" i="36"/>
  <c r="C102" i="36"/>
  <c r="N43" i="37"/>
  <c r="E262" i="37"/>
  <c r="L334" i="36"/>
  <c r="N238" i="36"/>
  <c r="K141" i="37"/>
  <c r="B264" i="37"/>
  <c r="L28" i="37"/>
  <c r="O88" i="37"/>
  <c r="I119" i="37"/>
  <c r="B322" i="36"/>
  <c r="D181" i="37"/>
  <c r="K142" i="37"/>
  <c r="G43" i="37"/>
  <c r="L203" i="37"/>
  <c r="J274" i="37"/>
  <c r="O47" i="37"/>
  <c r="C324" i="36"/>
  <c r="C277" i="36"/>
  <c r="O337" i="37"/>
  <c r="F234" i="37"/>
  <c r="I91" i="36"/>
  <c r="K238" i="36"/>
  <c r="K28" i="37"/>
  <c r="K259" i="37"/>
  <c r="O332" i="36"/>
  <c r="N203" i="36"/>
  <c r="L239" i="37"/>
  <c r="E102" i="37"/>
  <c r="B84" i="36"/>
  <c r="H20" i="36"/>
  <c r="K140" i="37"/>
  <c r="M147" i="37"/>
  <c r="B303" i="36"/>
  <c r="N179" i="36"/>
  <c r="G205" i="37"/>
  <c r="C215" i="37"/>
  <c r="F145" i="37"/>
  <c r="O164" i="37"/>
  <c r="I195" i="37"/>
  <c r="E182" i="36"/>
  <c r="D213" i="37"/>
  <c r="O76" i="37"/>
  <c r="K25" i="37"/>
  <c r="B213" i="37"/>
  <c r="D168" i="37"/>
  <c r="D172" i="37"/>
  <c r="B133" i="36"/>
  <c r="C231" i="37"/>
  <c r="K41" i="36"/>
  <c r="L86" i="36"/>
  <c r="E269" i="37"/>
  <c r="I331" i="37"/>
  <c r="E179" i="36"/>
  <c r="B302" i="37"/>
  <c r="F111" i="37"/>
  <c r="L171" i="37"/>
  <c r="D336" i="36"/>
  <c r="L228" i="37"/>
  <c r="J259" i="37"/>
  <c r="L22" i="37"/>
  <c r="E47" i="36"/>
  <c r="L74" i="37"/>
  <c r="D202" i="37"/>
  <c r="J42" i="37"/>
  <c r="E8" i="36"/>
  <c r="M333" i="37"/>
  <c r="I18" i="37"/>
  <c r="J228" i="37"/>
  <c r="B306" i="37"/>
  <c r="N167" i="37"/>
  <c r="H266" i="37"/>
  <c r="C53" i="36"/>
  <c r="B90" i="37"/>
  <c r="O210" i="37"/>
  <c r="F292" i="37"/>
  <c r="D89" i="37"/>
  <c r="N41" i="37"/>
  <c r="M215" i="37"/>
  <c r="M326" i="36"/>
  <c r="B327" i="37"/>
  <c r="M114" i="36"/>
  <c r="M338" i="37"/>
  <c r="D271" i="37"/>
  <c r="M243" i="36"/>
  <c r="L153" i="36"/>
  <c r="H271" i="37"/>
  <c r="O73" i="37"/>
  <c r="H274" i="36"/>
  <c r="F260" i="36"/>
  <c r="K102" i="37"/>
  <c r="F333" i="37"/>
  <c r="I230" i="36"/>
  <c r="E236" i="36"/>
  <c r="K90" i="37"/>
  <c r="K177" i="37"/>
  <c r="M78" i="36"/>
  <c r="K174" i="36"/>
  <c r="J271" i="37"/>
  <c r="G143" i="37"/>
  <c r="G230" i="36"/>
  <c r="D121" i="37"/>
  <c r="C13" i="37"/>
  <c r="M52" i="36"/>
  <c r="L10" i="37"/>
  <c r="B243" i="36"/>
  <c r="J269" i="36"/>
  <c r="N182" i="36"/>
  <c r="M21" i="37"/>
  <c r="C105" i="37"/>
  <c r="B21" i="37"/>
  <c r="D166" i="37"/>
  <c r="E212" i="36"/>
  <c r="M22" i="36"/>
  <c r="C104" i="37"/>
  <c r="F319" i="36"/>
  <c r="I183" i="36"/>
  <c r="E152" i="36"/>
  <c r="K27" i="37"/>
  <c r="J243" i="37"/>
  <c r="O49" i="36"/>
  <c r="E147" i="36"/>
  <c r="K71" i="37"/>
  <c r="O336" i="36"/>
  <c r="G151" i="37"/>
  <c r="J338" i="36"/>
  <c r="L183" i="37"/>
  <c r="M42" i="36"/>
  <c r="F215" i="37"/>
  <c r="E291" i="36"/>
  <c r="N80" i="37"/>
  <c r="O141" i="37"/>
  <c r="J261" i="37"/>
  <c r="D234" i="37"/>
  <c r="L148" i="37"/>
  <c r="E274" i="37"/>
  <c r="I145" i="36"/>
  <c r="G73" i="37"/>
  <c r="D173" i="37"/>
  <c r="M208" i="37"/>
  <c r="K204" i="37"/>
  <c r="G110" i="37"/>
  <c r="O111" i="36"/>
  <c r="C195" i="37"/>
  <c r="M326" i="37"/>
  <c r="H121" i="36"/>
  <c r="E174" i="36"/>
  <c r="O75" i="37"/>
  <c r="C174" i="37"/>
  <c r="F28" i="36"/>
  <c r="E300" i="36"/>
  <c r="D329" i="37"/>
  <c r="H265" i="37"/>
  <c r="L13" i="36"/>
  <c r="I207" i="36"/>
  <c r="B239" i="37"/>
  <c r="D8" i="37"/>
  <c r="L51" i="36"/>
  <c r="E231" i="36"/>
  <c r="J257" i="37"/>
  <c r="D288" i="37"/>
  <c r="I243" i="36"/>
  <c r="E142" i="37"/>
  <c r="G78" i="37"/>
  <c r="G240" i="36"/>
  <c r="D207" i="37"/>
  <c r="M332" i="37"/>
  <c r="J337" i="37"/>
  <c r="D322" i="37"/>
  <c r="B198" i="37"/>
  <c r="N57" i="37"/>
  <c r="B238" i="36"/>
  <c r="L321" i="37"/>
  <c r="C321" i="36"/>
  <c r="B73" i="36"/>
  <c r="G301" i="37"/>
  <c r="L244" i="37"/>
  <c r="J271" i="36"/>
  <c r="O109" i="37"/>
  <c r="D148" i="37"/>
  <c r="D20" i="37"/>
  <c r="D148" i="36"/>
  <c r="C10" i="37"/>
  <c r="L277" i="37"/>
  <c r="B176" i="37"/>
  <c r="M168" i="36"/>
  <c r="H200" i="37"/>
  <c r="H39" i="37"/>
  <c r="M91" i="37"/>
  <c r="K81" i="36"/>
  <c r="I272" i="37"/>
  <c r="I120" i="37"/>
  <c r="I182" i="37"/>
  <c r="C226" i="37"/>
  <c r="L210" i="37"/>
  <c r="O91" i="37"/>
  <c r="F266" i="37"/>
  <c r="E234" i="37"/>
  <c r="G133" i="37"/>
  <c r="G138" i="37"/>
  <c r="N76" i="37"/>
  <c r="C25" i="37"/>
  <c r="M241" i="37"/>
  <c r="B329" i="37"/>
  <c r="O169" i="37"/>
  <c r="G200" i="37"/>
  <c r="J332" i="37"/>
  <c r="L86" i="37"/>
  <c r="C326" i="37"/>
  <c r="F83" i="37"/>
  <c r="G90" i="36"/>
  <c r="J277" i="37"/>
  <c r="F133" i="37"/>
  <c r="G26" i="37"/>
  <c r="F177" i="37"/>
  <c r="H117" i="37"/>
  <c r="C271" i="37"/>
  <c r="B51" i="37"/>
  <c r="J240" i="37"/>
  <c r="B117" i="37"/>
  <c r="L172" i="36"/>
  <c r="J119" i="37"/>
  <c r="M153" i="37"/>
  <c r="D17" i="37"/>
  <c r="L182" i="37"/>
  <c r="O327" i="37"/>
  <c r="G28" i="37"/>
  <c r="M39" i="37"/>
  <c r="J26" i="37"/>
  <c r="E305" i="37"/>
  <c r="F200" i="37"/>
  <c r="H235" i="37"/>
  <c r="I57" i="37"/>
  <c r="N28" i="37"/>
  <c r="H52" i="37"/>
  <c r="H177" i="37"/>
  <c r="F46" i="37"/>
  <c r="I116" i="37"/>
  <c r="D13" i="37"/>
  <c r="H58" i="36"/>
  <c r="O240" i="37"/>
  <c r="B114" i="37"/>
  <c r="L333" i="37"/>
  <c r="H178" i="37"/>
  <c r="C337" i="37"/>
  <c r="F15" i="37"/>
  <c r="E277" i="36"/>
  <c r="K274" i="37"/>
  <c r="E238" i="37"/>
  <c r="H205" i="37"/>
  <c r="I179" i="37"/>
  <c r="I42" i="37"/>
  <c r="L230" i="37"/>
  <c r="F171" i="37"/>
  <c r="O241" i="37"/>
  <c r="G86" i="37"/>
  <c r="M177" i="37"/>
  <c r="G296" i="37"/>
  <c r="K212" i="37"/>
  <c r="H212" i="36"/>
  <c r="F89" i="37"/>
  <c r="K166" i="37"/>
  <c r="J179" i="37"/>
  <c r="L167" i="37"/>
  <c r="L48" i="37"/>
  <c r="M210" i="37"/>
  <c r="C303" i="37"/>
  <c r="B148" i="37"/>
  <c r="F74" i="37"/>
  <c r="J117" i="36"/>
  <c r="N71" i="37"/>
  <c r="I148" i="37"/>
  <c r="O212" i="36"/>
  <c r="D337" i="37"/>
  <c r="E39" i="37"/>
  <c r="L231" i="37"/>
  <c r="B332" i="37"/>
  <c r="O112" i="36"/>
  <c r="M15" i="37"/>
  <c r="N133" i="37"/>
  <c r="C172" i="37"/>
  <c r="F172" i="37"/>
  <c r="J326" i="37"/>
  <c r="J262" i="37"/>
  <c r="K243" i="37"/>
  <c r="F338" i="36"/>
  <c r="J80" i="36"/>
  <c r="O119" i="36"/>
  <c r="I241" i="37"/>
  <c r="G17" i="36"/>
  <c r="L275" i="36"/>
  <c r="J120" i="37"/>
  <c r="M41" i="37"/>
  <c r="C105" i="36"/>
  <c r="C308" i="37"/>
  <c r="G141" i="36"/>
  <c r="D140" i="37"/>
  <c r="N332" i="37"/>
  <c r="L205" i="37"/>
  <c r="C80" i="37"/>
  <c r="F204" i="37"/>
  <c r="G54" i="37"/>
  <c r="M207" i="37"/>
  <c r="K167" i="37"/>
  <c r="F195" i="37"/>
  <c r="F43" i="37"/>
  <c r="B266" i="37"/>
  <c r="L59" i="37"/>
  <c r="M205" i="37"/>
  <c r="O23" i="37"/>
  <c r="J209" i="37"/>
  <c r="B138" i="37"/>
  <c r="N136" i="37"/>
  <c r="B212" i="37"/>
  <c r="M262" i="37"/>
  <c r="L241" i="36"/>
  <c r="N18" i="36"/>
  <c r="E83" i="37"/>
  <c r="I117" i="37"/>
  <c r="N240" i="36"/>
  <c r="D214" i="36"/>
  <c r="E56" i="37"/>
  <c r="O205" i="37"/>
  <c r="O23" i="36"/>
  <c r="J183" i="36"/>
  <c r="L324" i="37"/>
  <c r="G106" i="37"/>
  <c r="O233" i="36"/>
  <c r="O21" i="36"/>
  <c r="G47" i="37"/>
  <c r="B244" i="37"/>
  <c r="K326" i="36"/>
  <c r="K25" i="36"/>
  <c r="G23" i="37"/>
  <c r="N322" i="37"/>
  <c r="J46" i="37"/>
  <c r="N78" i="37"/>
  <c r="H8" i="37"/>
  <c r="K235" i="36"/>
  <c r="N47" i="37"/>
  <c r="G142" i="37"/>
  <c r="G274" i="37"/>
  <c r="G259" i="37"/>
  <c r="C89" i="37"/>
  <c r="I168" i="37"/>
  <c r="E23" i="36"/>
  <c r="H181" i="37"/>
  <c r="J47" i="36"/>
  <c r="F184" i="37"/>
  <c r="I323" i="37"/>
  <c r="D239" i="37"/>
  <c r="C210" i="36"/>
  <c r="F75" i="37"/>
  <c r="C52" i="37"/>
  <c r="M199" i="37"/>
  <c r="O334" i="36"/>
  <c r="H275" i="37"/>
  <c r="G276" i="37"/>
  <c r="H267" i="37"/>
  <c r="E183" i="36"/>
  <c r="D327" i="37"/>
  <c r="L260" i="37"/>
  <c r="N56" i="37"/>
  <c r="D236" i="36"/>
  <c r="L327" i="37"/>
  <c r="N228" i="37"/>
  <c r="L164" i="37"/>
  <c r="C288" i="37"/>
  <c r="H84" i="37"/>
  <c r="G267" i="37"/>
  <c r="I269" i="37"/>
  <c r="K137" i="37"/>
  <c r="F336" i="37"/>
  <c r="J89" i="36"/>
  <c r="J121" i="37"/>
  <c r="M117" i="37"/>
  <c r="K200" i="37"/>
  <c r="F11" i="37"/>
  <c r="O246" i="37"/>
  <c r="C293" i="37"/>
  <c r="L79" i="37"/>
  <c r="K76" i="37"/>
  <c r="K234" i="37"/>
  <c r="J265" i="37"/>
  <c r="O169" i="36"/>
  <c r="F174" i="37"/>
  <c r="H53" i="37"/>
  <c r="I86" i="37"/>
  <c r="C57" i="37"/>
  <c r="I104" i="37"/>
  <c r="F13" i="37"/>
  <c r="B145" i="37"/>
  <c r="D300" i="37"/>
  <c r="N333" i="37"/>
  <c r="G203" i="36"/>
  <c r="I329" i="37"/>
  <c r="B91" i="37"/>
  <c r="D199" i="37"/>
  <c r="B202" i="37"/>
  <c r="K267" i="37"/>
  <c r="F266" i="36"/>
  <c r="E107" i="37"/>
  <c r="L202" i="37"/>
  <c r="N174" i="37"/>
  <c r="F71" i="37"/>
  <c r="G79" i="37"/>
  <c r="I214" i="37"/>
  <c r="D46" i="37"/>
  <c r="G228" i="37"/>
  <c r="G117" i="37"/>
  <c r="I107" i="36"/>
  <c r="D111" i="37"/>
  <c r="F295" i="37"/>
  <c r="M79" i="36"/>
  <c r="C298" i="37"/>
  <c r="D169" i="37"/>
  <c r="N179" i="37"/>
  <c r="O78" i="37"/>
  <c r="F122" i="37"/>
  <c r="D44" i="37"/>
  <c r="F238" i="37"/>
  <c r="G168" i="37"/>
  <c r="N195" i="37"/>
  <c r="K203" i="37"/>
  <c r="G109" i="37"/>
  <c r="F16" i="37"/>
  <c r="C295" i="37"/>
  <c r="C171" i="37"/>
  <c r="K111" i="37"/>
  <c r="M22" i="37"/>
  <c r="B166" i="37"/>
  <c r="B184" i="37"/>
  <c r="B172" i="37"/>
  <c r="G52" i="36"/>
  <c r="C182" i="37"/>
  <c r="B87" i="37"/>
  <c r="G290" i="37"/>
  <c r="E75" i="36"/>
  <c r="O210" i="36"/>
  <c r="M146" i="37"/>
  <c r="L133" i="37"/>
  <c r="G12" i="37"/>
  <c r="L332" i="37"/>
  <c r="J336" i="37"/>
  <c r="O147" i="37"/>
  <c r="N105" i="37"/>
  <c r="I54" i="37"/>
  <c r="N176" i="36"/>
  <c r="E290" i="37"/>
  <c r="B174" i="37"/>
  <c r="J152" i="37"/>
  <c r="D240" i="37"/>
  <c r="M44" i="37"/>
  <c r="M182" i="37"/>
  <c r="I153" i="37"/>
  <c r="G291" i="37"/>
  <c r="K104" i="37"/>
  <c r="H203" i="37"/>
  <c r="K164" i="37"/>
  <c r="N23" i="37"/>
  <c r="I233" i="37"/>
  <c r="G53" i="36"/>
  <c r="J235" i="37"/>
  <c r="E230" i="37"/>
  <c r="L272" i="37"/>
  <c r="M88" i="37"/>
  <c r="B71" i="37"/>
  <c r="H153" i="37"/>
  <c r="L200" i="36"/>
  <c r="F245" i="37"/>
  <c r="D12" i="36"/>
  <c r="L21" i="36"/>
  <c r="B215" i="37"/>
  <c r="H57" i="37"/>
  <c r="F86" i="36"/>
  <c r="H84" i="36"/>
  <c r="B115" i="37"/>
  <c r="D133" i="37"/>
  <c r="H150" i="36"/>
  <c r="I84" i="36"/>
  <c r="C269" i="37"/>
  <c r="O173" i="37"/>
  <c r="L204" i="36"/>
  <c r="I20" i="37"/>
  <c r="E138" i="37"/>
  <c r="B331" i="37"/>
  <c r="H120" i="36"/>
  <c r="L53" i="37"/>
  <c r="C257" i="37"/>
  <c r="C233" i="37"/>
  <c r="M271" i="37"/>
  <c r="M245" i="37"/>
  <c r="C140" i="37"/>
  <c r="G321" i="36"/>
  <c r="L80" i="37"/>
  <c r="E105" i="37"/>
  <c r="O116" i="37"/>
  <c r="M56" i="37"/>
  <c r="N205" i="37"/>
  <c r="E198" i="37"/>
  <c r="N110" i="36"/>
  <c r="J25" i="37"/>
  <c r="L226" i="36"/>
  <c r="F167" i="37"/>
  <c r="O204" i="37"/>
  <c r="J183" i="37"/>
  <c r="G267" i="36"/>
  <c r="J264" i="37"/>
  <c r="L17" i="37"/>
  <c r="G239" i="37"/>
  <c r="E197" i="36"/>
  <c r="O102" i="37"/>
  <c r="E329" i="37"/>
  <c r="M43" i="37"/>
  <c r="G145" i="36"/>
  <c r="B168" i="37"/>
  <c r="H243" i="37"/>
  <c r="L57" i="37"/>
  <c r="C26" i="36"/>
  <c r="C296" i="37"/>
  <c r="G153" i="37"/>
  <c r="F141" i="37"/>
  <c r="G176" i="37"/>
  <c r="M327" i="37"/>
  <c r="O84" i="37"/>
  <c r="H171" i="37"/>
  <c r="M90" i="37"/>
  <c r="M28" i="37"/>
  <c r="E91" i="36"/>
  <c r="L197" i="37"/>
  <c r="C119" i="37"/>
  <c r="F334" i="37"/>
  <c r="I270" i="37"/>
  <c r="K47" i="37"/>
  <c r="N210" i="37"/>
  <c r="O334" i="37"/>
  <c r="C18" i="37"/>
  <c r="D339" i="37"/>
  <c r="O43" i="37"/>
  <c r="F54" i="37"/>
  <c r="G76" i="37"/>
  <c r="C48" i="37"/>
  <c r="N140" i="36"/>
  <c r="F147" i="37"/>
  <c r="I239" i="37"/>
  <c r="O326" i="37"/>
  <c r="D79" i="37"/>
  <c r="L181" i="37"/>
  <c r="G137" i="37"/>
  <c r="J241" i="37"/>
  <c r="F104" i="37"/>
  <c r="M259" i="37"/>
  <c r="E205" i="37"/>
  <c r="F301" i="37"/>
  <c r="H79" i="37"/>
  <c r="L336" i="36"/>
  <c r="J181" i="37"/>
  <c r="K262" i="37"/>
  <c r="H11" i="37"/>
  <c r="B270" i="37"/>
  <c r="M230" i="37"/>
  <c r="F207" i="37"/>
  <c r="G104" i="37"/>
  <c r="N54" i="37"/>
  <c r="B43" i="37"/>
  <c r="E246" i="36"/>
  <c r="H114" i="37"/>
  <c r="N137" i="37"/>
  <c r="D322" i="36"/>
  <c r="H44" i="37"/>
  <c r="G234" i="37"/>
  <c r="F48" i="37"/>
  <c r="H182" i="37"/>
  <c r="G13" i="37"/>
  <c r="H27" i="37"/>
  <c r="F324" i="37"/>
  <c r="N184" i="37"/>
  <c r="J200" i="37"/>
  <c r="N120" i="37"/>
  <c r="E209" i="37"/>
  <c r="M265" i="37"/>
  <c r="L85" i="37"/>
  <c r="J246" i="37"/>
  <c r="E267" i="37"/>
  <c r="H234" i="37"/>
  <c r="E338" i="37"/>
  <c r="L11" i="37"/>
  <c r="J43" i="37"/>
  <c r="F210" i="37"/>
  <c r="K89" i="37"/>
  <c r="E119" i="37"/>
  <c r="B181" i="36"/>
  <c r="I27" i="37"/>
  <c r="B323" i="37"/>
  <c r="E121" i="37"/>
  <c r="K271" i="37"/>
  <c r="G145" i="37"/>
  <c r="E133" i="37"/>
  <c r="H233" i="36"/>
  <c r="K214" i="37"/>
  <c r="D115" i="37"/>
  <c r="M42" i="37"/>
  <c r="F230" i="37"/>
  <c r="H43" i="37"/>
  <c r="I51" i="37"/>
  <c r="O336" i="37"/>
  <c r="C122" i="37"/>
  <c r="C307" i="37"/>
  <c r="D73" i="37"/>
  <c r="E143" i="37"/>
  <c r="L46" i="37"/>
  <c r="E228" i="37"/>
  <c r="O323" i="37"/>
  <c r="I169" i="37"/>
  <c r="G240" i="37"/>
  <c r="J84" i="37"/>
  <c r="E167" i="36"/>
  <c r="N138" i="37"/>
  <c r="B106" i="37"/>
  <c r="J226" i="36"/>
  <c r="M111" i="37"/>
  <c r="J90" i="37"/>
  <c r="C291" i="37"/>
  <c r="F303" i="37"/>
  <c r="I215" i="37"/>
  <c r="M179" i="37"/>
  <c r="K119" i="37"/>
  <c r="H86" i="37"/>
  <c r="M183" i="37"/>
  <c r="M86" i="37"/>
  <c r="G277" i="37"/>
  <c r="L15" i="37"/>
  <c r="G39" i="37"/>
  <c r="G334" i="37"/>
  <c r="D305" i="37"/>
  <c r="F181" i="37"/>
  <c r="D270" i="37"/>
  <c r="M76" i="37"/>
  <c r="F106" i="37"/>
  <c r="K115" i="37"/>
  <c r="G264" i="37"/>
  <c r="D164" i="36"/>
  <c r="J15" i="37"/>
  <c r="O332" i="37"/>
  <c r="K208" i="36"/>
  <c r="F25" i="36"/>
  <c r="I46" i="36"/>
  <c r="G43" i="36"/>
  <c r="L215" i="37"/>
  <c r="H54" i="37"/>
  <c r="O177" i="37"/>
  <c r="E59" i="37"/>
  <c r="F135" i="36"/>
  <c r="F179" i="37"/>
  <c r="F300" i="37"/>
  <c r="O133" i="37"/>
  <c r="C213" i="37"/>
  <c r="F274" i="37"/>
  <c r="L42" i="37"/>
  <c r="J233" i="37"/>
  <c r="G111" i="37"/>
  <c r="G262" i="37"/>
  <c r="F102" i="37"/>
  <c r="F52" i="37"/>
  <c r="I182" i="36"/>
  <c r="N141" i="37"/>
  <c r="K122" i="36"/>
  <c r="D167" i="37"/>
  <c r="C229" i="36"/>
  <c r="O208" i="37"/>
  <c r="C140" i="36"/>
  <c r="K114" i="37"/>
  <c r="N244" i="37"/>
  <c r="D292" i="37"/>
  <c r="M135" i="37"/>
  <c r="I246" i="37"/>
  <c r="G319" i="37"/>
  <c r="B13" i="36"/>
  <c r="J57" i="37"/>
  <c r="H213" i="36"/>
  <c r="J179" i="36"/>
  <c r="H214" i="37"/>
  <c r="C121" i="37"/>
  <c r="N114" i="36"/>
  <c r="D83" i="37"/>
  <c r="J48" i="37"/>
  <c r="F142" i="37"/>
  <c r="L91" i="36"/>
  <c r="J272" i="37"/>
  <c r="I112" i="37"/>
  <c r="L337" i="37"/>
  <c r="E302" i="36"/>
  <c r="G300" i="37"/>
  <c r="B25" i="37"/>
  <c r="E333" i="37"/>
  <c r="L78" i="36"/>
  <c r="I141" i="37"/>
  <c r="H110" i="37"/>
  <c r="J182" i="37"/>
  <c r="C146" i="37"/>
  <c r="B104" i="37"/>
  <c r="B8" i="37"/>
  <c r="G181" i="37"/>
  <c r="H26" i="37"/>
  <c r="O121" i="37"/>
  <c r="I46" i="37"/>
  <c r="M173" i="37"/>
  <c r="H111" i="37"/>
  <c r="I15" i="37"/>
  <c r="J11" i="36"/>
  <c r="B137" i="37"/>
  <c r="L85" i="36"/>
  <c r="B73" i="37"/>
  <c r="B205" i="37"/>
  <c r="D142" i="37"/>
  <c r="K73" i="36"/>
  <c r="F138" i="37"/>
  <c r="N233" i="37"/>
  <c r="B56" i="37"/>
  <c r="H39" i="36"/>
  <c r="B58" i="37"/>
  <c r="L229" i="37"/>
  <c r="L107" i="36"/>
  <c r="J261" i="36"/>
  <c r="D245" i="37"/>
  <c r="N339" i="37"/>
  <c r="N166" i="36"/>
  <c r="L46" i="36"/>
  <c r="O239" i="37"/>
  <c r="G293" i="37"/>
  <c r="M49" i="36"/>
  <c r="K269" i="37"/>
  <c r="G208" i="37"/>
  <c r="B84" i="37"/>
  <c r="L214" i="37"/>
  <c r="M324" i="37"/>
  <c r="C16" i="37"/>
  <c r="G143" i="36"/>
  <c r="K339" i="37"/>
  <c r="B261" i="37"/>
  <c r="N79" i="37"/>
  <c r="C138" i="37"/>
  <c r="D164" i="37"/>
  <c r="E25" i="37"/>
  <c r="K209" i="37"/>
  <c r="M48" i="37"/>
  <c r="E264" i="37"/>
  <c r="J212" i="37"/>
  <c r="F153" i="37"/>
  <c r="H22" i="37"/>
  <c r="O339" i="37"/>
  <c r="G39" i="36"/>
  <c r="C260" i="37"/>
  <c r="B27" i="37"/>
  <c r="O83" i="37"/>
  <c r="I339" i="37"/>
  <c r="J197" i="37"/>
  <c r="O49" i="37"/>
  <c r="I267" i="37"/>
  <c r="E246" i="37"/>
  <c r="G20" i="37"/>
  <c r="I181" i="37"/>
  <c r="L145" i="37"/>
  <c r="K333" i="37"/>
  <c r="M16" i="36"/>
  <c r="G48" i="37"/>
  <c r="H109" i="37"/>
  <c r="K90" i="36"/>
  <c r="I262" i="36"/>
  <c r="M238" i="37"/>
  <c r="K49" i="37"/>
  <c r="F261" i="37"/>
  <c r="C239" i="37"/>
  <c r="D214" i="37"/>
  <c r="G236" i="37"/>
  <c r="K230" i="37"/>
  <c r="L90" i="36"/>
  <c r="H110" i="36"/>
  <c r="E173" i="36"/>
  <c r="C142" i="37"/>
  <c r="B89" i="36"/>
  <c r="N83" i="36"/>
  <c r="H195" i="37"/>
  <c r="J17" i="37"/>
  <c r="E288" i="37"/>
  <c r="D235" i="37"/>
  <c r="M319" i="37"/>
  <c r="G238" i="36"/>
  <c r="J146" i="37"/>
  <c r="I226" i="36"/>
  <c r="L195" i="37"/>
  <c r="B240" i="36"/>
  <c r="B336" i="37"/>
  <c r="G214" i="36"/>
  <c r="D212" i="37"/>
  <c r="F115" i="36"/>
  <c r="G166" i="37"/>
  <c r="D265" i="36"/>
  <c r="H173" i="37"/>
  <c r="C11" i="37"/>
  <c r="M133" i="37"/>
  <c r="H89" i="37"/>
  <c r="F339" i="37"/>
  <c r="I202" i="37"/>
  <c r="H182" i="36"/>
  <c r="H207" i="37"/>
  <c r="L257" i="36"/>
  <c r="N91" i="37"/>
  <c r="J16" i="37"/>
  <c r="M140" i="37"/>
  <c r="E205" i="36"/>
  <c r="I28" i="37"/>
  <c r="F78" i="37"/>
  <c r="M53" i="37"/>
  <c r="E322" i="36"/>
  <c r="D226" i="37"/>
  <c r="I114" i="37"/>
  <c r="J329" i="37"/>
  <c r="B235" i="36"/>
  <c r="E331" i="37"/>
  <c r="K208" i="37"/>
  <c r="H229" i="37"/>
  <c r="E265" i="36"/>
  <c r="E11" i="37"/>
  <c r="N110" i="37"/>
  <c r="E26" i="37"/>
  <c r="K261" i="37"/>
  <c r="L323" i="37"/>
  <c r="E195" i="37"/>
  <c r="O328" i="37"/>
  <c r="O46" i="37"/>
  <c r="B135" i="37"/>
  <c r="G22" i="36"/>
  <c r="E319" i="37"/>
  <c r="F338" i="37"/>
  <c r="L12" i="37"/>
  <c r="M339" i="36"/>
  <c r="K174" i="37"/>
  <c r="C147" i="36"/>
  <c r="G209" i="37"/>
  <c r="I107" i="37"/>
  <c r="J181" i="36"/>
  <c r="F104" i="36"/>
  <c r="O329" i="37"/>
  <c r="M152" i="37"/>
  <c r="G199" i="36"/>
  <c r="F207" i="36"/>
  <c r="I152" i="37"/>
  <c r="C85" i="37"/>
  <c r="N145" i="36"/>
  <c r="E169" i="36"/>
  <c r="O27" i="37"/>
  <c r="N140" i="37"/>
  <c r="J277" i="36"/>
  <c r="B76" i="36"/>
  <c r="G213" i="37"/>
  <c r="E167" i="37"/>
  <c r="D47" i="36"/>
  <c r="F146" i="37"/>
  <c r="M334" i="37"/>
  <c r="C339" i="37"/>
  <c r="K16" i="37"/>
  <c r="I71" i="37"/>
  <c r="O138" i="37"/>
  <c r="J85" i="36"/>
  <c r="I109" i="37"/>
  <c r="J238" i="37"/>
  <c r="O178" i="37"/>
  <c r="M244" i="36"/>
  <c r="L176" i="37"/>
  <c r="J148" i="37"/>
  <c r="K74" i="36"/>
  <c r="N111" i="37"/>
  <c r="E203" i="37"/>
  <c r="O179" i="37"/>
  <c r="N235" i="37"/>
  <c r="J75" i="37"/>
  <c r="D177" i="37"/>
  <c r="B146" i="37"/>
  <c r="I200" i="37"/>
  <c r="K74" i="37"/>
  <c r="H339" i="37"/>
  <c r="L39" i="37"/>
  <c r="L135" i="37"/>
  <c r="D308" i="37"/>
  <c r="K39" i="37"/>
  <c r="K116" i="37"/>
  <c r="M112" i="37"/>
  <c r="J85" i="37"/>
  <c r="D215" i="37"/>
  <c r="O41" i="37"/>
  <c r="D303" i="37"/>
  <c r="F199" i="37"/>
  <c r="J21" i="37"/>
  <c r="G76" i="36"/>
  <c r="O12" i="37"/>
  <c r="D274" i="37"/>
  <c r="E339" i="37"/>
  <c r="D231" i="37"/>
  <c r="C336" i="37"/>
  <c r="N197" i="37"/>
  <c r="F27" i="36"/>
  <c r="D230" i="37"/>
  <c r="C178" i="37"/>
  <c r="L120" i="37"/>
  <c r="N42" i="37"/>
  <c r="K183" i="37"/>
  <c r="J328" i="36"/>
  <c r="H133" i="37"/>
  <c r="B259" i="37"/>
  <c r="H104" i="37"/>
  <c r="L54" i="37"/>
  <c r="G167" i="37"/>
  <c r="L112" i="37"/>
  <c r="M114" i="37"/>
  <c r="O86" i="37"/>
  <c r="I44" i="37"/>
  <c r="K39" i="36"/>
  <c r="B333" i="37"/>
  <c r="D107" i="37"/>
  <c r="H257" i="36"/>
  <c r="F328" i="37"/>
  <c r="N102" i="37"/>
  <c r="L104" i="37"/>
  <c r="E88" i="37"/>
  <c r="G246" i="37"/>
  <c r="K202" i="37"/>
  <c r="D293" i="37"/>
  <c r="E84" i="37"/>
  <c r="N26" i="37"/>
  <c r="B20" i="37"/>
  <c r="B88" i="37"/>
  <c r="G332" i="37"/>
  <c r="C173" i="37"/>
  <c r="G238" i="37"/>
  <c r="I226" i="37"/>
  <c r="D42" i="37"/>
  <c r="F290" i="37"/>
  <c r="N240" i="37"/>
  <c r="M209" i="37"/>
  <c r="D207" i="36"/>
  <c r="I184" i="37"/>
  <c r="K86" i="37"/>
  <c r="G295" i="37"/>
  <c r="N79" i="36"/>
  <c r="L78" i="37"/>
  <c r="B13" i="37"/>
  <c r="D275" i="37"/>
  <c r="K277" i="37"/>
  <c r="G257" i="36"/>
  <c r="D230" i="36"/>
  <c r="G116" i="36"/>
  <c r="I338" i="37"/>
  <c r="K322" i="37"/>
  <c r="N326" i="36"/>
  <c r="M213" i="37"/>
  <c r="J276" i="37"/>
  <c r="B226" i="37"/>
  <c r="E20" i="37"/>
  <c r="L89" i="36"/>
  <c r="J195" i="37"/>
  <c r="K230" i="36"/>
  <c r="C76" i="37"/>
  <c r="F297" i="36"/>
  <c r="N89" i="37"/>
  <c r="O173" i="36"/>
  <c r="H204" i="37"/>
  <c r="D146" i="36"/>
  <c r="L336" i="37"/>
  <c r="M233" i="37"/>
  <c r="D18" i="37"/>
  <c r="J174" i="37"/>
  <c r="C179" i="37"/>
  <c r="B152" i="37"/>
  <c r="H319" i="36"/>
  <c r="D332" i="37"/>
  <c r="D22" i="37"/>
  <c r="B143" i="37"/>
  <c r="G78" i="36"/>
  <c r="F296" i="37"/>
  <c r="D51" i="36"/>
  <c r="H49" i="37"/>
  <c r="G84" i="37"/>
  <c r="B74" i="37"/>
  <c r="H267" i="36"/>
  <c r="H328" i="37"/>
  <c r="M323" i="37"/>
  <c r="C202" i="37"/>
  <c r="D274" i="36"/>
  <c r="B209" i="37"/>
  <c r="O120" i="37"/>
  <c r="B257" i="37"/>
  <c r="D260" i="36"/>
  <c r="K238" i="37"/>
  <c r="D291" i="37"/>
  <c r="G10" i="37"/>
  <c r="H240" i="36"/>
  <c r="C88" i="37"/>
  <c r="F305" i="37"/>
  <c r="L238" i="37"/>
  <c r="J331" i="37"/>
  <c r="B16" i="37"/>
  <c r="O198" i="37"/>
  <c r="B199" i="37"/>
  <c r="J327" i="37"/>
  <c r="N181" i="37"/>
  <c r="H147" i="36"/>
  <c r="D74" i="37"/>
  <c r="L274" i="37"/>
  <c r="O176" i="37"/>
  <c r="O236" i="37"/>
  <c r="B81" i="36"/>
  <c r="O56" i="36"/>
  <c r="H78" i="37"/>
  <c r="I81" i="37"/>
  <c r="H183" i="36"/>
  <c r="H75" i="36"/>
  <c r="L137" i="37"/>
  <c r="I274" i="37"/>
  <c r="I327" i="36"/>
  <c r="J43" i="36"/>
  <c r="H329" i="37"/>
  <c r="C86" i="37"/>
  <c r="L215" i="36"/>
  <c r="N136" i="36"/>
  <c r="N119" i="37"/>
  <c r="L44" i="37"/>
  <c r="L147" i="36"/>
  <c r="O43" i="36"/>
  <c r="I150" i="37"/>
  <c r="O28" i="37"/>
  <c r="O214" i="36"/>
  <c r="L208" i="37"/>
  <c r="C209" i="37"/>
  <c r="M137" i="36"/>
  <c r="L16" i="37"/>
  <c r="I83" i="37"/>
  <c r="D265" i="37"/>
  <c r="L199" i="37"/>
  <c r="N8" i="37"/>
  <c r="F236" i="37"/>
  <c r="D209" i="37"/>
  <c r="C322" i="36"/>
  <c r="G231" i="37"/>
  <c r="D319" i="37"/>
  <c r="F152" i="36"/>
  <c r="F81" i="37"/>
  <c r="I74" i="37"/>
  <c r="O10" i="37"/>
  <c r="G83" i="37"/>
  <c r="G56" i="37"/>
  <c r="O135" i="37"/>
  <c r="C203" i="37"/>
  <c r="D296" i="37"/>
  <c r="B57" i="37"/>
  <c r="B308" i="37"/>
  <c r="B52" i="37"/>
  <c r="B290" i="37"/>
  <c r="K110" i="37"/>
  <c r="E89" i="37"/>
  <c r="O200" i="37"/>
  <c r="C214" i="36"/>
  <c r="E240" i="37"/>
  <c r="D295" i="37"/>
  <c r="D120" i="37"/>
  <c r="G25" i="37"/>
  <c r="J239" i="37"/>
  <c r="M17" i="37"/>
  <c r="E337" i="36"/>
  <c r="G57" i="37"/>
  <c r="B269" i="37"/>
  <c r="F241" i="37"/>
  <c r="H59" i="37"/>
  <c r="E298" i="37"/>
  <c r="D88" i="37"/>
  <c r="B151" i="37"/>
  <c r="F76" i="37"/>
  <c r="G164" i="37"/>
  <c r="C207" i="37"/>
  <c r="I110" i="37"/>
  <c r="D102" i="37"/>
  <c r="B213" i="36"/>
  <c r="L241" i="37"/>
  <c r="F235" i="37"/>
  <c r="D119" i="37"/>
  <c r="I90" i="37"/>
  <c r="N152" i="37"/>
  <c r="G146" i="37"/>
  <c r="B54" i="37"/>
  <c r="C116" i="37"/>
  <c r="J177" i="37"/>
  <c r="M135" i="36"/>
  <c r="J147" i="37"/>
  <c r="G152" i="37"/>
  <c r="C292" i="36"/>
  <c r="M337" i="37"/>
  <c r="N78" i="36"/>
  <c r="N235" i="36"/>
  <c r="L269" i="37"/>
  <c r="M277" i="37"/>
  <c r="J339" i="36"/>
  <c r="M120" i="36"/>
  <c r="E135" i="36"/>
  <c r="D323" i="37"/>
  <c r="F151" i="37"/>
  <c r="G115" i="37"/>
  <c r="K147" i="37"/>
  <c r="B202" i="36"/>
  <c r="J79" i="37"/>
  <c r="B265" i="37"/>
  <c r="B307" i="37"/>
  <c r="F39" i="37"/>
  <c r="H81" i="37"/>
  <c r="D321" i="36"/>
  <c r="H83" i="37"/>
  <c r="E76" i="36"/>
  <c r="G202" i="37"/>
  <c r="L119" i="36"/>
  <c r="G338" i="37"/>
  <c r="B261" i="36"/>
  <c r="I327" i="37"/>
  <c r="E199" i="36"/>
  <c r="F25" i="37"/>
  <c r="O122" i="37"/>
  <c r="C152" i="37"/>
  <c r="C230" i="37"/>
  <c r="N20" i="37"/>
  <c r="K85" i="37"/>
  <c r="B115" i="36"/>
  <c r="O212" i="37"/>
  <c r="E182" i="37"/>
  <c r="C117" i="37"/>
  <c r="K243" i="36"/>
  <c r="N207" i="37"/>
  <c r="D332" i="36"/>
  <c r="J269" i="37"/>
  <c r="L235" i="37"/>
  <c r="K236" i="37"/>
  <c r="N54" i="36"/>
  <c r="J226" i="37"/>
  <c r="L265" i="37"/>
  <c r="E235" i="37"/>
  <c r="N322" i="36"/>
  <c r="O8" i="37"/>
  <c r="I208" i="37"/>
  <c r="C298" i="36"/>
  <c r="O166" i="36"/>
  <c r="I22" i="37"/>
  <c r="G329" i="37"/>
  <c r="M275" i="36"/>
  <c r="B135" i="36"/>
  <c r="G150" i="37"/>
  <c r="D16" i="37"/>
  <c r="D110" i="36"/>
  <c r="I204" i="37"/>
  <c r="L90" i="37"/>
  <c r="O172" i="37"/>
  <c r="J56" i="37"/>
  <c r="D105" i="37"/>
  <c r="B18" i="37"/>
  <c r="M321" i="36"/>
  <c r="J27" i="37"/>
  <c r="M104" i="37"/>
  <c r="E137" i="37"/>
  <c r="M74" i="37"/>
  <c r="J58" i="36"/>
  <c r="F10" i="36"/>
  <c r="K198" i="37"/>
  <c r="D174" i="37"/>
  <c r="B169" i="36"/>
  <c r="H18" i="36"/>
  <c r="D306" i="37"/>
  <c r="G307" i="37"/>
  <c r="F81" i="36"/>
  <c r="N147" i="36"/>
  <c r="K23" i="37"/>
  <c r="E277" i="37"/>
  <c r="E264" i="36"/>
  <c r="O91" i="36"/>
  <c r="L140" i="37"/>
  <c r="E166" i="37"/>
  <c r="J115" i="36"/>
  <c r="O85" i="36"/>
  <c r="K178" i="37"/>
  <c r="E16" i="37"/>
  <c r="L117" i="37"/>
  <c r="H75" i="37"/>
  <c r="E18" i="37"/>
  <c r="B107" i="36"/>
  <c r="O90" i="37"/>
  <c r="N215" i="37"/>
  <c r="M269" i="37"/>
  <c r="J73" i="37"/>
  <c r="J136" i="37"/>
  <c r="O114" i="37"/>
  <c r="H168" i="37"/>
  <c r="M329" i="36"/>
  <c r="B140" i="37"/>
  <c r="E79" i="37"/>
  <c r="K332" i="37"/>
  <c r="F143" i="37"/>
  <c r="M274" i="37"/>
  <c r="C106" i="37"/>
  <c r="F322" i="37"/>
  <c r="J199" i="37"/>
  <c r="E236" i="37"/>
  <c r="C15" i="37"/>
  <c r="J319" i="37"/>
  <c r="M229" i="37"/>
  <c r="B83" i="37"/>
  <c r="B89" i="37"/>
  <c r="E271" i="37"/>
  <c r="O102" i="36"/>
  <c r="M16" i="37"/>
  <c r="H337" i="37"/>
  <c r="F26" i="36"/>
  <c r="E291" i="37"/>
  <c r="F214" i="37"/>
  <c r="D205" i="37"/>
  <c r="C81" i="37"/>
  <c r="L121" i="37"/>
  <c r="E27" i="37"/>
  <c r="E181" i="37"/>
  <c r="C270" i="37"/>
  <c r="D53" i="37"/>
  <c r="K148" i="37"/>
  <c r="B122" i="37"/>
  <c r="M23" i="37"/>
  <c r="D244" i="37"/>
  <c r="J59" i="37"/>
  <c r="B275" i="37"/>
  <c r="C241" i="37"/>
  <c r="L179" i="37"/>
  <c r="L84" i="37"/>
  <c r="L89" i="37"/>
  <c r="H230" i="36"/>
  <c r="M26" i="37"/>
  <c r="J8" i="37"/>
  <c r="F199" i="36"/>
  <c r="B230" i="37"/>
  <c r="E76" i="37"/>
  <c r="F84" i="37"/>
  <c r="G74" i="37"/>
  <c r="D183" i="37"/>
  <c r="F53" i="37"/>
  <c r="C21" i="36"/>
  <c r="K213" i="37"/>
  <c r="E293" i="37"/>
  <c r="E171" i="37"/>
  <c r="E295" i="37"/>
  <c r="F121" i="37"/>
  <c r="L111" i="37"/>
  <c r="F226" i="37"/>
  <c r="F297" i="37"/>
  <c r="M148" i="37"/>
  <c r="C83" i="37"/>
  <c r="F293" i="37"/>
  <c r="B22" i="37"/>
  <c r="N324" i="37"/>
  <c r="D136" i="37"/>
  <c r="H322" i="37"/>
  <c r="M116" i="37"/>
  <c r="M11" i="37"/>
  <c r="I39" i="37"/>
  <c r="I199" i="36"/>
  <c r="H13" i="37"/>
  <c r="K179" i="37"/>
  <c r="J267" i="37"/>
  <c r="B274" i="37"/>
  <c r="N153" i="37"/>
  <c r="C329" i="37"/>
  <c r="E261" i="36"/>
  <c r="B171" i="37"/>
  <c r="M257" i="37"/>
  <c r="M339" i="37"/>
  <c r="E74" i="37"/>
  <c r="H15" i="37"/>
  <c r="I79" i="37"/>
  <c r="O51" i="37"/>
  <c r="B121" i="37"/>
  <c r="E44" i="37"/>
  <c r="C259" i="37"/>
  <c r="C102" i="37"/>
  <c r="G105" i="37"/>
  <c r="G179" i="37"/>
  <c r="C78" i="37"/>
  <c r="H83" i="36"/>
  <c r="N18" i="37"/>
  <c r="O195" i="37"/>
  <c r="B274" i="36"/>
  <c r="B86" i="37"/>
  <c r="O151" i="37"/>
  <c r="N337" i="37"/>
  <c r="J143" i="37"/>
  <c r="M71" i="37"/>
  <c r="G336" i="36"/>
  <c r="E202" i="37"/>
  <c r="O18" i="37"/>
  <c r="O197" i="36"/>
  <c r="N182" i="37"/>
  <c r="G91" i="37"/>
  <c r="G89" i="37"/>
  <c r="D145" i="37"/>
  <c r="I146" i="37"/>
  <c r="D59" i="37"/>
  <c r="D302" i="37"/>
  <c r="F212" i="36"/>
  <c r="I174" i="37"/>
  <c r="E121" i="36"/>
  <c r="H140" i="37"/>
  <c r="F240" i="37"/>
  <c r="O16" i="37"/>
  <c r="O326" i="36"/>
  <c r="B78" i="37"/>
  <c r="M195" i="37"/>
  <c r="H41" i="37"/>
  <c r="L226" i="37"/>
  <c r="L276" i="37"/>
  <c r="K272" i="37"/>
  <c r="G306" i="37"/>
  <c r="B195" i="37"/>
  <c r="C90" i="37"/>
  <c r="C334" i="37"/>
  <c r="O238" i="37"/>
  <c r="F114" i="37"/>
  <c r="I89" i="37"/>
  <c r="D86" i="37"/>
  <c r="E265" i="37"/>
  <c r="B262" i="37"/>
  <c r="F49" i="36"/>
  <c r="E183" i="37"/>
  <c r="K239" i="37"/>
  <c r="C274" i="37"/>
  <c r="N117" i="37"/>
  <c r="K177" i="36"/>
  <c r="F109" i="37"/>
  <c r="H199" i="37"/>
  <c r="F327" i="37"/>
  <c r="C59" i="37"/>
  <c r="K8" i="37"/>
  <c r="G75" i="37"/>
  <c r="B85" i="37"/>
  <c r="B112" i="37"/>
  <c r="M12" i="37"/>
  <c r="H121" i="37"/>
  <c r="O152" i="37"/>
  <c r="H142" i="37"/>
  <c r="L141" i="37"/>
  <c r="K172" i="37"/>
  <c r="G21" i="36"/>
  <c r="M121" i="37"/>
  <c r="F57" i="37"/>
  <c r="D80" i="37"/>
  <c r="N83" i="37"/>
  <c r="M336" i="37"/>
  <c r="B49" i="37"/>
  <c r="C169" i="37"/>
  <c r="H261" i="37"/>
  <c r="I198" i="36"/>
  <c r="K143" i="37"/>
  <c r="G197" i="37"/>
  <c r="H239" i="37"/>
  <c r="G308" i="37"/>
  <c r="C168" i="37"/>
  <c r="M267" i="37"/>
  <c r="N228" i="36"/>
  <c r="N39" i="37"/>
  <c r="N329" i="37"/>
  <c r="H148" i="37"/>
  <c r="J148" i="36"/>
  <c r="E240" i="36"/>
  <c r="E104" i="37"/>
  <c r="F197" i="36"/>
  <c r="I20" i="36"/>
  <c r="B171" i="36"/>
  <c r="L102" i="37"/>
  <c r="L173" i="36"/>
  <c r="F295" i="36"/>
  <c r="L71" i="37"/>
  <c r="N172" i="37"/>
  <c r="N204" i="37"/>
  <c r="M181" i="37"/>
  <c r="C327" i="37"/>
  <c r="I88" i="37"/>
  <c r="C197" i="37"/>
  <c r="K135" i="37"/>
  <c r="M178" i="37"/>
  <c r="I41" i="37"/>
  <c r="M27" i="37"/>
  <c r="F84" i="36"/>
  <c r="H183" i="37"/>
  <c r="M80" i="37"/>
  <c r="F274" i="36"/>
  <c r="L110" i="37"/>
  <c r="C324" i="37"/>
  <c r="K44" i="37"/>
  <c r="M246" i="37"/>
  <c r="K265" i="37"/>
  <c r="K80" i="37"/>
  <c r="O140" i="37"/>
  <c r="J133" i="37"/>
  <c r="E52" i="37"/>
  <c r="O137" i="37"/>
  <c r="O228" i="37"/>
  <c r="C46" i="37"/>
  <c r="G324" i="37"/>
  <c r="C53" i="37"/>
  <c r="N323" i="37"/>
  <c r="B76" i="37"/>
  <c r="M276" i="36"/>
  <c r="D297" i="37"/>
  <c r="E90" i="37"/>
  <c r="I11" i="37"/>
  <c r="L138" i="37"/>
  <c r="B142" i="37"/>
  <c r="L43" i="37"/>
  <c r="C41" i="37"/>
  <c r="B277" i="37"/>
  <c r="L246" i="37"/>
  <c r="M198" i="37"/>
  <c r="C56" i="37"/>
  <c r="K275" i="37"/>
  <c r="K105" i="37"/>
  <c r="D54" i="37"/>
  <c r="I26" i="37"/>
  <c r="F183" i="37"/>
  <c r="I142" i="36"/>
  <c r="C26" i="37"/>
  <c r="J44" i="37"/>
  <c r="G80" i="37"/>
  <c r="B147" i="37"/>
  <c r="E199" i="37"/>
  <c r="E272" i="37"/>
  <c r="J76" i="37"/>
  <c r="G174" i="37"/>
  <c r="G184" i="37"/>
  <c r="N212" i="37"/>
  <c r="L198" i="37"/>
  <c r="F319" i="37"/>
  <c r="E337" i="37"/>
  <c r="C44" i="37"/>
  <c r="H18" i="37"/>
  <c r="M81" i="37"/>
  <c r="K42" i="37"/>
  <c r="D167" i="36"/>
  <c r="K235" i="37"/>
  <c r="O11" i="37"/>
  <c r="D41" i="37"/>
  <c r="K146" i="37"/>
  <c r="E141" i="37"/>
  <c r="C290" i="37"/>
  <c r="D241" i="37"/>
  <c r="I275" i="37"/>
  <c r="H262" i="37"/>
  <c r="N88" i="37"/>
  <c r="E322" i="37"/>
  <c r="E173" i="37"/>
  <c r="D21" i="37"/>
  <c r="N106" i="37"/>
  <c r="B26" i="37"/>
  <c r="H51" i="37"/>
  <c r="I257" i="37"/>
  <c r="C306" i="37"/>
  <c r="D168" i="36"/>
  <c r="K240" i="37"/>
  <c r="M260" i="37"/>
  <c r="G85" i="37"/>
  <c r="C261" i="37"/>
  <c r="D83" i="36"/>
  <c r="M49" i="37"/>
  <c r="B267" i="37"/>
  <c r="K215" i="37"/>
  <c r="B182" i="37"/>
  <c r="M110" i="37"/>
  <c r="B324" i="37"/>
  <c r="H105" i="37"/>
  <c r="H238" i="37"/>
  <c r="I16" i="37"/>
  <c r="N115" i="37"/>
  <c r="C292" i="37"/>
  <c r="E204" i="37"/>
  <c r="L53" i="36"/>
  <c r="I213" i="36"/>
  <c r="O230" i="37"/>
  <c r="C321" i="37"/>
  <c r="N138" i="36"/>
  <c r="N231" i="37"/>
  <c r="H332" i="37"/>
  <c r="N121" i="37"/>
  <c r="I336" i="36"/>
  <c r="O233" i="37"/>
  <c r="B44" i="37"/>
  <c r="B11" i="37"/>
  <c r="G52" i="37"/>
  <c r="N90" i="37"/>
  <c r="G210" i="37"/>
  <c r="E336" i="37"/>
  <c r="K84" i="37"/>
  <c r="G229" i="37"/>
  <c r="J116" i="36"/>
  <c r="M150" i="37"/>
  <c r="H166" i="37"/>
  <c r="K18" i="37"/>
  <c r="C51" i="37"/>
  <c r="I235" i="37"/>
  <c r="J213" i="37"/>
  <c r="E197" i="37"/>
  <c r="I238" i="37"/>
  <c r="C214" i="37"/>
  <c r="E110" i="37"/>
  <c r="H174" i="37"/>
  <c r="D85" i="37"/>
  <c r="L204" i="37"/>
  <c r="F168" i="37"/>
  <c r="L172" i="37"/>
  <c r="D182" i="37"/>
  <c r="E12" i="36"/>
  <c r="N109" i="37"/>
  <c r="H277" i="36"/>
  <c r="J184" i="37"/>
  <c r="B238" i="37"/>
  <c r="I213" i="37"/>
  <c r="C265" i="37"/>
  <c r="D109" i="37"/>
  <c r="C328" i="37"/>
  <c r="D71" i="37"/>
  <c r="O21" i="37"/>
  <c r="I259" i="37"/>
  <c r="F257" i="37"/>
  <c r="H240" i="37"/>
  <c r="K117" i="37"/>
  <c r="J323" i="37"/>
  <c r="B42" i="37"/>
  <c r="L326" i="37"/>
  <c r="D229" i="37"/>
  <c r="I234" i="36"/>
  <c r="N234" i="37"/>
  <c r="J54" i="37"/>
  <c r="C236" i="37"/>
  <c r="C184" i="37"/>
  <c r="I17" i="37"/>
  <c r="B337" i="37"/>
  <c r="C17" i="37"/>
  <c r="K136" i="36"/>
  <c r="M85" i="37"/>
  <c r="E261" i="37"/>
  <c r="K110" i="36"/>
  <c r="G257" i="37"/>
  <c r="O119" i="37"/>
  <c r="G88" i="37"/>
  <c r="O58" i="37"/>
  <c r="J208" i="37"/>
  <c r="I12" i="37"/>
  <c r="H319" i="37"/>
  <c r="L257" i="37"/>
  <c r="I209" i="37"/>
  <c r="H167" i="37"/>
  <c r="F260" i="37"/>
  <c r="I183" i="37"/>
  <c r="M204" i="37"/>
  <c r="N10" i="37"/>
  <c r="F120" i="37"/>
  <c r="M75" i="37"/>
  <c r="G275" i="36"/>
  <c r="H28" i="37"/>
  <c r="D166" i="36"/>
  <c r="G331" i="37"/>
  <c r="M184" i="36"/>
  <c r="D200" i="37"/>
  <c r="N13" i="37"/>
  <c r="N177" i="37"/>
  <c r="K13" i="37"/>
  <c r="O148" i="37"/>
  <c r="I229" i="37"/>
  <c r="D238" i="37"/>
  <c r="C75" i="37"/>
  <c r="O42" i="37"/>
  <c r="H115" i="37"/>
  <c r="M243" i="37"/>
  <c r="M239" i="37"/>
  <c r="D25" i="37"/>
  <c r="O171" i="37"/>
  <c r="C141" i="37"/>
  <c r="J12" i="37"/>
  <c r="C73" i="37"/>
  <c r="N52" i="36"/>
  <c r="E172" i="37"/>
  <c r="K241" i="37"/>
  <c r="C120" i="37"/>
  <c r="B231" i="37"/>
  <c r="D243" i="37"/>
  <c r="H336" i="36"/>
  <c r="F110" i="37"/>
  <c r="N178" i="37"/>
  <c r="O71" i="37"/>
  <c r="J236" i="37"/>
  <c r="B297" i="37"/>
  <c r="O110" i="37"/>
  <c r="K122" i="37"/>
  <c r="L151" i="37"/>
  <c r="E176" i="36"/>
  <c r="O167" i="37"/>
  <c r="D261" i="37"/>
  <c r="I143" i="37"/>
  <c r="E150" i="37"/>
  <c r="D10" i="37"/>
  <c r="H338" i="36"/>
  <c r="B204" i="37"/>
  <c r="B119" i="37"/>
  <c r="K59" i="37"/>
  <c r="J207" i="37"/>
  <c r="B39" i="36"/>
  <c r="H112" i="37"/>
  <c r="D290" i="37"/>
  <c r="D264" i="37"/>
  <c r="I322" i="37"/>
  <c r="M115" i="37"/>
  <c r="G112" i="37"/>
  <c r="D106" i="37"/>
  <c r="G116" i="37"/>
  <c r="I111" i="37"/>
  <c r="I78" i="37"/>
  <c r="O333" i="37"/>
  <c r="E115" i="36"/>
  <c r="I228" i="37"/>
  <c r="F177" i="36"/>
  <c r="E8" i="37"/>
  <c r="O59" i="37"/>
  <c r="L267" i="37"/>
  <c r="M202" i="37"/>
  <c r="C138" i="36"/>
  <c r="L270" i="37"/>
  <c r="F332" i="37"/>
  <c r="K324" i="37"/>
  <c r="N25" i="37"/>
  <c r="J173" i="37"/>
  <c r="G298" i="37"/>
  <c r="N199" i="37"/>
  <c r="D301" i="37"/>
  <c r="E147" i="37"/>
  <c r="E231" i="37"/>
  <c r="L184" i="37"/>
  <c r="L80" i="36"/>
  <c r="E297" i="37"/>
  <c r="I53" i="37"/>
  <c r="O199" i="37"/>
  <c r="H141" i="37"/>
  <c r="J23" i="37"/>
  <c r="C12" i="37"/>
  <c r="M168" i="37"/>
  <c r="F324" i="36"/>
  <c r="C275" i="37"/>
  <c r="O245" i="37"/>
  <c r="J275" i="36"/>
  <c r="K52" i="37"/>
  <c r="L58" i="37"/>
  <c r="B141" i="37"/>
  <c r="D91" i="37"/>
  <c r="D27" i="37"/>
  <c r="F169" i="37"/>
  <c r="F259" i="37"/>
  <c r="I203" i="37"/>
  <c r="B28" i="37"/>
  <c r="J109" i="37"/>
  <c r="J150" i="37"/>
  <c r="F51" i="37"/>
  <c r="M120" i="37"/>
  <c r="I122" i="37"/>
  <c r="L329" i="37"/>
  <c r="J338" i="37"/>
  <c r="I84" i="37"/>
  <c r="H91" i="36"/>
  <c r="I332" i="37"/>
  <c r="E260" i="37"/>
  <c r="E213" i="37"/>
  <c r="K244" i="37"/>
  <c r="E239" i="37"/>
  <c r="G51" i="37"/>
  <c r="M107" i="37"/>
  <c r="L13" i="37"/>
  <c r="K246" i="37"/>
  <c r="I328" i="37"/>
  <c r="H246" i="37"/>
  <c r="K195" i="36"/>
  <c r="O56" i="37"/>
  <c r="F329" i="37"/>
  <c r="D195" i="37"/>
  <c r="F215" i="36"/>
  <c r="E327" i="37"/>
  <c r="C319" i="37"/>
  <c r="M51" i="37"/>
  <c r="F308" i="37"/>
  <c r="L233" i="37"/>
  <c r="N328" i="37"/>
  <c r="D257" i="36"/>
  <c r="B259" i="36"/>
  <c r="N122" i="37"/>
  <c r="K152" i="36"/>
  <c r="L150" i="37"/>
  <c r="F246" i="37"/>
  <c r="C297" i="37"/>
  <c r="E169" i="37"/>
  <c r="H147" i="37"/>
  <c r="B338" i="37"/>
  <c r="C176" i="36"/>
  <c r="L319" i="37"/>
  <c r="H179" i="36"/>
  <c r="B260" i="37"/>
  <c r="K266" i="37"/>
  <c r="J231" i="37"/>
  <c r="D153" i="37"/>
  <c r="I338" i="36"/>
  <c r="O321" i="37"/>
  <c r="E135" i="37"/>
  <c r="F152" i="37"/>
  <c r="E17" i="37"/>
  <c r="N334" i="37"/>
  <c r="M106" i="37"/>
  <c r="D176" i="37"/>
  <c r="I205" i="37"/>
  <c r="E233" i="37"/>
  <c r="K11" i="37"/>
  <c r="M59" i="37"/>
  <c r="G241" i="37"/>
  <c r="K226" i="37"/>
  <c r="E48" i="37"/>
  <c r="G169" i="37"/>
  <c r="G71" i="37"/>
  <c r="H321" i="37"/>
  <c r="E43" i="37"/>
  <c r="G166" i="36"/>
  <c r="L262" i="37"/>
  <c r="G53" i="37"/>
  <c r="L52" i="37"/>
  <c r="L91" i="37"/>
  <c r="O25" i="37"/>
  <c r="G41" i="37"/>
  <c r="F233" i="37"/>
  <c r="E85" i="37"/>
  <c r="I177" i="36"/>
  <c r="N229" i="37"/>
  <c r="J203" i="37"/>
  <c r="D246" i="37"/>
  <c r="K233" i="37"/>
  <c r="E276" i="37"/>
  <c r="C272" i="37"/>
  <c r="G15" i="37"/>
  <c r="M244" i="37"/>
  <c r="C183" i="37"/>
  <c r="K168" i="37"/>
  <c r="H116" i="36"/>
  <c r="M275" i="37"/>
  <c r="N86" i="37"/>
  <c r="B11" i="36"/>
  <c r="D138" i="37"/>
  <c r="B80" i="37"/>
  <c r="D266" i="37"/>
  <c r="C145" i="37"/>
  <c r="L245" i="37"/>
  <c r="K78" i="37"/>
  <c r="E210" i="37"/>
  <c r="F213" i="37"/>
  <c r="J151" i="37"/>
  <c r="L109" i="37"/>
  <c r="N168" i="37"/>
  <c r="F262" i="36"/>
  <c r="H233" i="37"/>
  <c r="G183" i="37"/>
  <c r="O22" i="37"/>
  <c r="O207" i="37"/>
  <c r="B107" i="37"/>
  <c r="N116" i="37"/>
  <c r="E71" i="37"/>
  <c r="C79" i="37"/>
  <c r="H90" i="37"/>
  <c r="C71" i="37"/>
  <c r="D15" i="37"/>
  <c r="K91" i="37"/>
  <c r="K275" i="36"/>
  <c r="F12" i="37"/>
  <c r="J81" i="37"/>
  <c r="J47" i="37"/>
  <c r="L8" i="37"/>
  <c r="K182" i="37"/>
  <c r="K81" i="37"/>
  <c r="O209" i="37"/>
  <c r="J105" i="37"/>
  <c r="E266" i="37"/>
  <c r="K173" i="37"/>
  <c r="D12" i="37"/>
  <c r="H122" i="37"/>
  <c r="F20" i="37"/>
  <c r="H199" i="36"/>
  <c r="J83" i="37"/>
  <c r="E84" i="36"/>
  <c r="C238" i="37"/>
  <c r="F271" i="37"/>
  <c r="B102" i="36"/>
  <c r="C172" i="36"/>
  <c r="L81" i="37"/>
  <c r="K135" i="36"/>
  <c r="N142" i="36"/>
  <c r="L102" i="36"/>
  <c r="J234" i="37"/>
  <c r="K181" i="37"/>
  <c r="I166" i="37"/>
  <c r="D84" i="37"/>
  <c r="C176" i="37"/>
  <c r="J168" i="37"/>
  <c r="G270" i="37"/>
  <c r="I319" i="37"/>
  <c r="C166" i="37"/>
  <c r="M226" i="37"/>
  <c r="D269" i="37"/>
  <c r="I105" i="37"/>
  <c r="J49" i="37"/>
  <c r="N12" i="37"/>
  <c r="C8" i="37"/>
  <c r="C212" i="37"/>
  <c r="M197" i="37"/>
  <c r="N171" i="36"/>
  <c r="I276" i="37"/>
  <c r="O89" i="37"/>
  <c r="K331" i="37"/>
  <c r="B17" i="37"/>
  <c r="F276" i="37"/>
  <c r="J164" i="37"/>
  <c r="J110" i="37"/>
  <c r="E10" i="37"/>
  <c r="M261" i="37"/>
  <c r="J234" i="36"/>
  <c r="K58" i="37"/>
  <c r="H80" i="37"/>
  <c r="I270" i="36"/>
  <c r="N143" i="37"/>
  <c r="O107" i="37"/>
  <c r="L51" i="37"/>
  <c r="H56" i="36"/>
  <c r="O215" i="37"/>
  <c r="I52" i="37"/>
  <c r="D226" i="36"/>
  <c r="N52" i="37"/>
  <c r="E54" i="37"/>
  <c r="D81" i="37"/>
  <c r="B288" i="37"/>
  <c r="K327" i="37"/>
  <c r="I321" i="37"/>
  <c r="B276" i="36"/>
  <c r="H119" i="37"/>
  <c r="M240" i="37"/>
  <c r="G203" i="37"/>
  <c r="E41" i="37"/>
  <c r="D272" i="37"/>
  <c r="M270" i="37"/>
  <c r="K231" i="37"/>
  <c r="H47" i="37"/>
  <c r="G11" i="37"/>
  <c r="F331" i="37"/>
  <c r="H12" i="37"/>
  <c r="F328" i="36"/>
  <c r="H120" i="37"/>
  <c r="I25" i="37"/>
  <c r="J275" i="37"/>
  <c r="E42" i="37"/>
  <c r="H56" i="37"/>
  <c r="D141" i="37"/>
  <c r="B79" i="37"/>
  <c r="O319" i="37"/>
  <c r="H212" i="37"/>
  <c r="G305" i="37"/>
  <c r="E184" i="37"/>
  <c r="G230" i="37"/>
  <c r="N243" i="37"/>
  <c r="F208" i="37"/>
  <c r="L164" i="36"/>
  <c r="L88" i="37"/>
  <c r="J321" i="37"/>
  <c r="F105" i="37"/>
  <c r="F323" i="36"/>
  <c r="G173" i="37"/>
  <c r="G18" i="37"/>
  <c r="G272" i="37"/>
  <c r="K21" i="37"/>
  <c r="D51" i="37"/>
  <c r="J339" i="37"/>
  <c r="M169" i="37"/>
  <c r="O81" i="37"/>
  <c r="C200" i="37"/>
  <c r="K260" i="37"/>
  <c r="L205" i="36"/>
  <c r="B246" i="37"/>
  <c r="M231" i="37"/>
  <c r="D52" i="37"/>
  <c r="B12" i="37"/>
  <c r="N241" i="37"/>
  <c r="C277" i="37"/>
  <c r="L106" i="36"/>
  <c r="L209" i="37"/>
  <c r="H323" i="36"/>
  <c r="I240" i="37"/>
  <c r="C137" i="37"/>
  <c r="F323" i="37"/>
  <c r="D49" i="37"/>
  <c r="F209" i="37"/>
  <c r="J270" i="37"/>
  <c r="B46" i="37"/>
  <c r="K152" i="37"/>
  <c r="K12" i="37"/>
  <c r="C332" i="37"/>
  <c r="O117" i="37"/>
  <c r="E140" i="37"/>
  <c r="B296" i="37"/>
  <c r="I58" i="37"/>
  <c r="L166" i="37"/>
  <c r="E146" i="37"/>
  <c r="G292" i="37"/>
  <c r="L105" i="37"/>
  <c r="J210" i="37"/>
  <c r="O16" i="36"/>
  <c r="H172" i="37"/>
  <c r="J205" i="37"/>
  <c r="H241" i="37"/>
  <c r="E229" i="37"/>
  <c r="M79" i="37"/>
  <c r="B272" i="37"/>
  <c r="L25" i="37"/>
  <c r="B15" i="37"/>
  <c r="J241" i="36"/>
  <c r="L213" i="37"/>
  <c r="C153" i="37"/>
  <c r="B27" i="36"/>
  <c r="G339" i="37"/>
  <c r="E109" i="37"/>
  <c r="M10" i="37"/>
  <c r="N49" i="37"/>
  <c r="N209" i="37"/>
  <c r="J138" i="37"/>
  <c r="E292" i="37"/>
  <c r="N104" i="37"/>
  <c r="M167" i="37"/>
  <c r="F205" i="37"/>
  <c r="O17" i="37"/>
  <c r="N239" i="37"/>
  <c r="B235" i="37"/>
  <c r="D197" i="37"/>
  <c r="O80" i="37"/>
  <c r="F80" i="37"/>
  <c r="C267" i="37"/>
  <c r="I145" i="37"/>
  <c r="K57" i="37"/>
  <c r="H16" i="37"/>
  <c r="K264" i="37"/>
  <c r="F120" i="36"/>
  <c r="H169" i="37"/>
  <c r="H202" i="37"/>
  <c r="H244" i="37"/>
  <c r="E164" i="37"/>
  <c r="C199" i="37"/>
  <c r="K136" i="37"/>
  <c r="P235" i="37" l="1"/>
  <c r="P27" i="36"/>
  <c r="P15" i="37"/>
  <c r="Q272" i="37"/>
  <c r="Q296" i="37"/>
  <c r="P46" i="37"/>
  <c r="Q46" i="37" s="1"/>
  <c r="P12" i="37"/>
  <c r="P246" i="37"/>
  <c r="P79" i="37"/>
  <c r="S276" i="37"/>
  <c r="Q288" i="37"/>
  <c r="P17" i="37"/>
  <c r="P80" i="37"/>
  <c r="P11" i="36"/>
  <c r="Q260" i="37"/>
  <c r="R260" i="37" s="1"/>
  <c r="P338" i="37"/>
  <c r="S259" i="37"/>
  <c r="P28" i="37"/>
  <c r="P141" i="37"/>
  <c r="P39" i="36"/>
  <c r="P204" i="37"/>
  <c r="Q297" i="37"/>
  <c r="R297" i="37" s="1"/>
  <c r="P231" i="37"/>
  <c r="P120" i="37"/>
  <c r="P337" i="37"/>
  <c r="P42" i="37"/>
  <c r="Q42" i="37" s="1"/>
  <c r="P238" i="37"/>
  <c r="P11" i="37"/>
  <c r="P44" i="37"/>
  <c r="P324" i="37"/>
  <c r="P182" i="37"/>
  <c r="Q267" i="37"/>
  <c r="P26" i="37"/>
  <c r="P147" i="37"/>
  <c r="Q277" i="37"/>
  <c r="P142" i="37"/>
  <c r="P76" i="37"/>
  <c r="P171" i="36"/>
  <c r="P49" i="37"/>
  <c r="P85" i="37"/>
  <c r="Q262" i="37"/>
  <c r="P195" i="37"/>
  <c r="P78" i="37"/>
  <c r="P86" i="37"/>
  <c r="S274" i="37"/>
  <c r="P102" i="37"/>
  <c r="P171" i="37"/>
  <c r="Q274" i="37"/>
  <c r="P22" i="37"/>
  <c r="P230" i="37"/>
  <c r="Q275" i="37"/>
  <c r="R275" i="37" s="1"/>
  <c r="P89" i="37"/>
  <c r="P83" i="37"/>
  <c r="P106" i="37"/>
  <c r="P140" i="37"/>
  <c r="P169" i="36"/>
  <c r="P18" i="37"/>
  <c r="P135" i="36"/>
  <c r="P117" i="37"/>
  <c r="S261" i="37"/>
  <c r="Q307" i="37"/>
  <c r="Q265" i="37"/>
  <c r="R265" i="37" s="1"/>
  <c r="P202" i="36"/>
  <c r="P116" i="37"/>
  <c r="P54" i="37"/>
  <c r="P213" i="36"/>
  <c r="P151" i="37"/>
  <c r="Q269" i="37"/>
  <c r="Q290" i="37"/>
  <c r="P52" i="37"/>
  <c r="Q52" i="37" s="1"/>
  <c r="Q308" i="37"/>
  <c r="R308" i="37" s="1"/>
  <c r="P57" i="37"/>
  <c r="P81" i="36"/>
  <c r="P199" i="37"/>
  <c r="P16" i="37"/>
  <c r="Q257" i="37"/>
  <c r="P209" i="37"/>
  <c r="P74" i="37"/>
  <c r="P143" i="37"/>
  <c r="P152" i="37"/>
  <c r="P226" i="37"/>
  <c r="P13" i="37"/>
  <c r="P88" i="37"/>
  <c r="P20" i="37"/>
  <c r="P333" i="37"/>
  <c r="Q259" i="37"/>
  <c r="R259" i="37" s="1"/>
  <c r="P146" i="37"/>
  <c r="P76" i="36"/>
  <c r="P135" i="37"/>
  <c r="P235" i="36"/>
  <c r="P336" i="37"/>
  <c r="P240" i="36"/>
  <c r="P89" i="36"/>
  <c r="P27" i="37"/>
  <c r="Q261" i="37"/>
  <c r="R261" i="37" s="1"/>
  <c r="P84" i="37"/>
  <c r="P58" i="37"/>
  <c r="P56" i="37"/>
  <c r="P205" i="37"/>
  <c r="P73" i="37"/>
  <c r="P137" i="37"/>
  <c r="P8" i="37"/>
  <c r="P25" i="37"/>
  <c r="P121" i="37"/>
  <c r="P13" i="36"/>
  <c r="P122" i="37"/>
  <c r="P323" i="37"/>
  <c r="P181" i="36"/>
  <c r="P43" i="37"/>
  <c r="Q270" i="37"/>
  <c r="P119" i="37"/>
  <c r="P168" i="37"/>
  <c r="P331" i="37"/>
  <c r="P215" i="37"/>
  <c r="P71" i="37"/>
  <c r="P174" i="37"/>
  <c r="P172" i="37"/>
  <c r="P184" i="37"/>
  <c r="P166" i="37"/>
  <c r="P202" i="37"/>
  <c r="P91" i="37"/>
  <c r="P145" i="37"/>
  <c r="P244" i="37"/>
  <c r="P212" i="37"/>
  <c r="P138" i="37"/>
  <c r="Q266" i="37"/>
  <c r="P105" i="36"/>
  <c r="P332" i="37"/>
  <c r="P148" i="37"/>
  <c r="P51" i="37"/>
  <c r="P329" i="37"/>
  <c r="P176" i="37"/>
  <c r="P73" i="36"/>
  <c r="P238" i="36"/>
  <c r="P198" i="37"/>
  <c r="P239" i="37"/>
  <c r="P104" i="37"/>
  <c r="P21" i="37"/>
  <c r="P105" i="37"/>
  <c r="P243" i="36"/>
  <c r="P327" i="37"/>
  <c r="P90" i="37"/>
  <c r="Q306" i="37"/>
  <c r="R306" i="37" s="1"/>
  <c r="Q302" i="37"/>
  <c r="P133" i="36"/>
  <c r="P213" i="37"/>
  <c r="S303" i="37"/>
  <c r="P84" i="36"/>
  <c r="P322" i="36"/>
  <c r="Q264" i="37"/>
  <c r="P102" i="36"/>
  <c r="P210" i="37"/>
  <c r="Q298" i="37"/>
  <c r="R298" i="37" s="1"/>
  <c r="P91" i="36"/>
  <c r="P114" i="37"/>
  <c r="P153" i="37"/>
  <c r="P114" i="36"/>
  <c r="P47" i="37"/>
  <c r="Q47" i="37" s="1"/>
  <c r="P326" i="37"/>
  <c r="P214" i="37"/>
  <c r="P236" i="37"/>
  <c r="P81" i="37"/>
  <c r="P86" i="36"/>
  <c r="P143" i="36"/>
  <c r="P115" i="37"/>
  <c r="P111" i="37"/>
  <c r="S291" i="37"/>
  <c r="Q303" i="37"/>
  <c r="Q271" i="37"/>
  <c r="R271" i="37" s="1"/>
  <c r="P321" i="36"/>
  <c r="S272" i="37"/>
  <c r="P112" i="37"/>
  <c r="P203" i="37"/>
  <c r="P241" i="36"/>
  <c r="P322" i="37"/>
  <c r="P133" i="37"/>
  <c r="Q291" i="37"/>
  <c r="Q292" i="37"/>
  <c r="P243" i="37"/>
  <c r="Q293" i="37"/>
  <c r="P239" i="36"/>
  <c r="P173" i="37"/>
  <c r="P41" i="37"/>
  <c r="Q41" i="37" s="1"/>
  <c r="Q300" i="37"/>
  <c r="Q305" i="37"/>
  <c r="P181" i="37"/>
  <c r="P136" i="37"/>
  <c r="P334" i="37"/>
  <c r="P200" i="36"/>
  <c r="P48" i="37"/>
  <c r="Q48" i="37" s="1"/>
  <c r="P240" i="37"/>
  <c r="P234" i="37"/>
  <c r="P210" i="36"/>
  <c r="P183" i="37"/>
  <c r="P178" i="37"/>
  <c r="P107" i="37"/>
  <c r="P53" i="37"/>
  <c r="P23" i="36"/>
  <c r="S267" i="37"/>
  <c r="P208" i="37"/>
  <c r="P164" i="37"/>
  <c r="P245" i="37"/>
  <c r="P233" i="37"/>
  <c r="P200" i="37"/>
  <c r="P179" i="37"/>
  <c r="P328" i="37"/>
  <c r="P23" i="37"/>
  <c r="P228" i="37"/>
  <c r="P12" i="36"/>
  <c r="P178" i="36"/>
  <c r="P167" i="36"/>
  <c r="P78" i="36"/>
  <c r="P75" i="37"/>
  <c r="P51" i="36"/>
  <c r="P229" i="37"/>
  <c r="Q276" i="37"/>
  <c r="P122" i="36"/>
  <c r="P140" i="36"/>
  <c r="P197" i="37"/>
  <c r="P16" i="36"/>
  <c r="P146" i="36"/>
  <c r="P25" i="36"/>
  <c r="P18" i="36"/>
  <c r="P195" i="36"/>
  <c r="S297" i="37"/>
  <c r="P21" i="36"/>
  <c r="P198" i="36"/>
  <c r="P83" i="36"/>
  <c r="P339" i="37"/>
  <c r="P172" i="36"/>
  <c r="P207" i="37"/>
  <c r="P48" i="36"/>
  <c r="S260" i="37"/>
  <c r="P39" i="37"/>
  <c r="Q39" i="37" s="1"/>
  <c r="P10" i="36"/>
  <c r="P324" i="36"/>
  <c r="P177" i="37"/>
  <c r="P148" i="36"/>
  <c r="S305" i="37"/>
  <c r="P174" i="36"/>
  <c r="P109" i="37"/>
  <c r="S302" i="37"/>
  <c r="P215" i="36"/>
  <c r="P197" i="36"/>
  <c r="S269" i="37"/>
  <c r="P10" i="37"/>
  <c r="P22" i="36"/>
  <c r="P203" i="36"/>
  <c r="P173" i="36"/>
  <c r="P241" i="37"/>
  <c r="P150" i="37"/>
  <c r="P167" i="37"/>
  <c r="P153" i="36"/>
  <c r="P44" i="36"/>
  <c r="P49" i="36"/>
  <c r="S271" i="37"/>
  <c r="P74" i="36"/>
  <c r="P321" i="37"/>
  <c r="P234" i="36"/>
  <c r="P319" i="37"/>
  <c r="P245" i="36"/>
  <c r="P244" i="36"/>
  <c r="S264" i="37"/>
  <c r="S301" i="37"/>
  <c r="Q301" i="37"/>
  <c r="R301" i="37" s="1"/>
  <c r="P107" i="36"/>
  <c r="P169" i="37"/>
  <c r="P110" i="37"/>
  <c r="P246" i="36"/>
  <c r="S292" i="37"/>
  <c r="Q295" i="37"/>
  <c r="R295" i="37" s="1"/>
  <c r="P338" i="36"/>
  <c r="P8" i="36"/>
  <c r="P209" i="36"/>
  <c r="P184" i="36"/>
  <c r="P41" i="36"/>
  <c r="P214" i="36"/>
  <c r="S277" i="37"/>
  <c r="P53" i="36"/>
  <c r="S306" i="37"/>
  <c r="P326" i="36"/>
  <c r="P142" i="36"/>
  <c r="P152" i="36"/>
  <c r="P332" i="36"/>
  <c r="P28" i="36"/>
  <c r="P110" i="36"/>
  <c r="P147" i="36"/>
  <c r="P208" i="36"/>
  <c r="P177" i="36"/>
  <c r="P182" i="36"/>
  <c r="P15" i="36"/>
  <c r="P226" i="36"/>
  <c r="P138" i="36"/>
  <c r="P111" i="36"/>
  <c r="P179" i="36"/>
  <c r="P85" i="36"/>
  <c r="P168" i="36"/>
  <c r="S293" i="37"/>
  <c r="P339" i="36"/>
  <c r="S257" i="37"/>
  <c r="P79" i="36"/>
  <c r="P115" i="36"/>
  <c r="P199" i="36"/>
  <c r="P59" i="37"/>
  <c r="S307" i="37"/>
  <c r="P54" i="36"/>
  <c r="P204" i="36"/>
  <c r="P109" i="36"/>
  <c r="P151" i="36"/>
  <c r="P137" i="36"/>
  <c r="P229" i="36"/>
  <c r="S298" i="37"/>
  <c r="P205" i="36"/>
  <c r="P43" i="36"/>
  <c r="S300" i="37"/>
  <c r="P183" i="36"/>
  <c r="P120" i="36"/>
  <c r="P334" i="36"/>
  <c r="P104" i="36"/>
  <c r="S275" i="37"/>
  <c r="P231" i="36"/>
  <c r="P116" i="36"/>
  <c r="S288" i="37"/>
  <c r="P75" i="36"/>
  <c r="P328" i="36"/>
  <c r="P117" i="36"/>
  <c r="P327" i="36"/>
  <c r="P166" i="36"/>
  <c r="S265" i="37"/>
  <c r="P141" i="36"/>
  <c r="P164" i="36"/>
  <c r="P90" i="36"/>
  <c r="P46" i="36"/>
  <c r="S290" i="37"/>
  <c r="P56" i="36"/>
  <c r="P59" i="36"/>
  <c r="S308" i="37"/>
  <c r="P112" i="36"/>
  <c r="P145" i="36"/>
  <c r="P121" i="36"/>
  <c r="P52" i="36"/>
  <c r="P329" i="36"/>
  <c r="S266" i="37"/>
  <c r="P57" i="36"/>
  <c r="S295" i="37"/>
  <c r="S296" i="37"/>
  <c r="P228" i="36"/>
  <c r="P47" i="36"/>
  <c r="P136" i="36"/>
  <c r="P337" i="36"/>
  <c r="P71" i="36"/>
  <c r="P212" i="36"/>
  <c r="S262" i="37"/>
  <c r="P331" i="36"/>
  <c r="S270" i="37"/>
  <c r="P323" i="36"/>
  <c r="P150" i="36"/>
  <c r="P119" i="36"/>
  <c r="P58" i="36"/>
  <c r="P17" i="36"/>
  <c r="P88" i="36"/>
  <c r="P336" i="36"/>
  <c r="P80" i="36"/>
  <c r="P106" i="36"/>
  <c r="P42" i="36"/>
  <c r="P26" i="36"/>
  <c r="P333" i="36"/>
  <c r="P230" i="36"/>
  <c r="P319" i="36"/>
  <c r="P236" i="36"/>
  <c r="P176" i="36"/>
  <c r="P233" i="36"/>
  <c r="P207" i="36"/>
  <c r="P20" i="36"/>
  <c r="R291" i="37" l="1"/>
  <c r="Q59" i="37"/>
  <c r="R276" i="37"/>
  <c r="R300" i="37"/>
  <c r="R303" i="37"/>
  <c r="R302" i="37"/>
  <c r="Q57" i="37"/>
  <c r="R274" i="37"/>
  <c r="R267" i="37"/>
  <c r="R264" i="37"/>
  <c r="R270" i="37"/>
  <c r="Q49" i="37"/>
  <c r="Q53" i="37"/>
  <c r="Q43" i="37"/>
  <c r="R307" i="37"/>
  <c r="Q44" i="37"/>
  <c r="R296" i="37"/>
  <c r="R266" i="37"/>
  <c r="R290" i="37"/>
  <c r="R293" i="37"/>
  <c r="R257" i="37"/>
  <c r="R269" i="37"/>
  <c r="R272" i="37"/>
  <c r="R277" i="37"/>
  <c r="R288" i="37"/>
  <c r="Q51" i="37"/>
  <c r="Q56" i="37"/>
  <c r="R292" i="37"/>
  <c r="R305" i="37"/>
  <c r="Q58" i="37"/>
  <c r="Q54" i="37"/>
  <c r="R262" i="3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Excel Validator</author>
  </authors>
  <commentList>
    <comment ref="I85" authorId="0" shapeId="0" xr:uid="{F4B4A56B-34BD-4F31-B524-D8C6580E98D3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S85" authorId="0" shapeId="0" xr:uid="{D5A0A610-C95B-4A02-8B8B-1C864BFB38D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85" authorId="0" shapeId="0" xr:uid="{B5F9D564-3F21-4634-9DFF-CED4285BFCD7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S86" authorId="0" shapeId="0" xr:uid="{6447096E-B1D5-4F23-9296-1EF0E01C3A7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S87" authorId="0" shapeId="0" xr:uid="{0524E36F-B39C-424F-80D7-8B9F25EDC06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88" authorId="0" shapeId="0" xr:uid="{5519995E-7CB7-45EC-89A1-89FD7245385A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I88" authorId="0" shapeId="0" xr:uid="{9BB94817-94B7-4203-B797-24457F3FF42D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88" authorId="0" shapeId="0" xr:uid="{D6168FE0-2CDB-4141-8B4E-8EA9453E4D8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I88" authorId="0" shapeId="0" xr:uid="{7ABDF874-E30B-48A6-AAEE-49DA562C1302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S89" authorId="0" shapeId="0" xr:uid="{8DF25B17-DEDA-4A7F-B907-F6DB1FAB9B6A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E89" authorId="0" shapeId="0" xr:uid="{A036338F-FEF6-4054-9517-FE77DAF6A63F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AI89" authorId="0" shapeId="0" xr:uid="{D6527E31-0C8F-4E9F-9C10-442986717CA1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AM89" authorId="0" shapeId="0" xr:uid="{0F46AB1E-D6CC-474B-AAEF-C75AEC0EF9E9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S90" authorId="0" shapeId="0" xr:uid="{A2B8EAA9-E8AF-4A73-B618-96C646B6DC3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91" authorId="0" shapeId="0" xr:uid="{20B0B570-5703-4471-956F-5539393EAEA7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I91" authorId="0" shapeId="0" xr:uid="{7834ABA8-1D9A-4A57-B854-17B2BE1A9F89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K91" authorId="0" shapeId="0" xr:uid="{16CDC77B-5259-4C18-A3D5-8AA0DCEAD67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91" authorId="0" shapeId="0" xr:uid="{496AC683-2C12-4CF3-8FD2-35893116957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91" authorId="0" shapeId="0" xr:uid="{B29F06E6-D89B-465F-95BA-95512DE30D5F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AI91" authorId="0" shapeId="0" xr:uid="{FEE1CA7E-CABB-4082-A148-93B1D11D034C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S92" authorId="0" shapeId="0" xr:uid="{B1A8CC2D-F5CC-4E54-9364-2D847B33BEB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93" authorId="0" shapeId="0" xr:uid="{93D0E502-12C4-4284-A5B7-862529878CC0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93" authorId="0" shapeId="0" xr:uid="{181888EF-FD0F-41EA-B6AF-29D00EAFC57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93" authorId="0" shapeId="0" xr:uid="{7CD9CB42-661F-4AD1-BA0A-44F72A090893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AI93" authorId="0" shapeId="0" xr:uid="{83865E95-C739-4A73-A7BB-7C9B97472ACF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AM93" authorId="0" shapeId="0" xr:uid="{218191CE-FC07-487F-8C09-AC1E288C4E4B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I94" authorId="0" shapeId="0" xr:uid="{026B199F-4DF5-4EC9-90F3-FD68654F536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I95" authorId="0" shapeId="0" xr:uid="{E8524BEA-7D66-4177-B180-B5D16C5A1730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S95" authorId="0" shapeId="0" xr:uid="{AD62A7BD-2A3F-436D-A73A-F947D2144494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95" authorId="0" shapeId="0" xr:uid="{1C553B9E-A28E-4407-A66B-4816CFD3C222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AE95" authorId="0" shapeId="0" xr:uid="{370FD942-DA15-421E-A90E-ACC99D6DD1A4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AI95" authorId="0" shapeId="0" xr:uid="{0352FF9D-5165-4BD2-86FF-C27A4AE74CE6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AQ95" authorId="0" shapeId="0" xr:uid="{1C4E07EF-278D-4290-9DF7-8A763F35603E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S96" authorId="0" shapeId="0" xr:uid="{4757ED74-83B2-4993-8FCD-6E34FDCDB7A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96" authorId="0" shapeId="0" xr:uid="{7E8F5599-2324-4875-9F1C-1EC59467ADCC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AE96" authorId="0" shapeId="0" xr:uid="{187C9478-1C9D-4A32-ADB1-4312FCF6854A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AI96" authorId="0" shapeId="0" xr:uid="{1E343134-8EAA-42AE-BDA5-236B67E08FEB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G97" authorId="0" shapeId="0" xr:uid="{E0014A6E-0ADA-4D10-B6DE-276A99DD449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97" authorId="0" shapeId="0" xr:uid="{C89DFB2B-E7CA-450A-A7BA-FF6783833BC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97" authorId="0" shapeId="0" xr:uid="{8579FB48-DDAD-4F4A-85C3-187D4B635E1B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AE97" authorId="0" shapeId="0" xr:uid="{6902712B-BE20-4332-A87B-AD57FF895947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G98" authorId="0" shapeId="0" xr:uid="{5B1383CB-9935-4E88-94A6-2E0A780A2C8A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98" authorId="0" shapeId="0" xr:uid="{A0F71A4B-6B6A-4B5E-98C1-C4BF66909CDC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S99" authorId="0" shapeId="0" xr:uid="{1B4DFD54-2EE3-4705-A34D-C901E3CF6032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M99" authorId="0" shapeId="0" xr:uid="{0F4F2A7B-4D1B-4DB6-8880-92077F4DF6C6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AQ99" authorId="0" shapeId="0" xr:uid="{501289FB-FE99-4E1F-9DB2-8CE108358F69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S100" authorId="0" shapeId="0" xr:uid="{7A7F432B-1EF1-417F-BD6B-637CC978D42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100" authorId="0" shapeId="0" xr:uid="{B3649699-8610-438A-B6CB-CE3E8C30C872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S101" authorId="0" shapeId="0" xr:uid="{E7D9C3A5-571D-4249-8DD1-3DE5837BC5BD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101" authorId="0" shapeId="0" xr:uid="{29E31BD4-21E6-49C0-BEF1-3D27322B4268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AI101" authorId="0" shapeId="0" xr:uid="{4BF82473-40FE-4611-AC3B-FE7ED4CC56DB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I102" authorId="0" shapeId="0" xr:uid="{9AC8B75B-AFD2-431D-B5AF-07903394120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102" authorId="0" shapeId="0" xr:uid="{60BF0856-6299-4CF5-A257-664B8CEE28A4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103" authorId="0" shapeId="0" xr:uid="{73CF1A4A-53FB-4F0F-80BF-C3500C5C60C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103" authorId="0" shapeId="0" xr:uid="{88ECCCD5-829E-4B10-A94E-2628D1D2485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E103" authorId="0" shapeId="0" xr:uid="{972206DE-8950-429F-ACC6-0CB1AF521282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S104" authorId="0" shapeId="0" xr:uid="{59758C68-5DC9-4FFD-A8D0-92CAC062902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104" authorId="0" shapeId="0" xr:uid="{22A8D08B-E8B6-4302-8679-E67370ADF923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AI104" authorId="0" shapeId="0" xr:uid="{EA96F1AA-3222-4773-BEFF-7B848A2F283E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S105" authorId="0" shapeId="0" xr:uid="{07463E9C-EF63-49D1-BF93-C80981FBD792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I105" authorId="0" shapeId="0" xr:uid="{EE23A508-6B7E-40A4-AB54-171C0F597C1B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AM105" authorId="0" shapeId="0" xr:uid="{AB4A2A2D-59E9-4240-978A-DBEFCB44FE54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AQ105" authorId="0" shapeId="0" xr:uid="{849F3FD9-D27F-421B-A579-12A287F7F180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G106" authorId="0" shapeId="0" xr:uid="{5B4F45EC-84E0-46EB-B906-D9E8B329D482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106" authorId="0" shapeId="0" xr:uid="{5F1C8C26-E869-4B9F-BA5A-F5D568EEEAE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E106" authorId="0" shapeId="0" xr:uid="{05623EE9-564A-4B2B-A8A3-911BF2EF8D7B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S107" authorId="0" shapeId="0" xr:uid="{CA54FF95-DAB8-47FE-B60F-504361A8042E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107" authorId="0" shapeId="0" xr:uid="{6EB0F2D2-2505-4727-8364-F12B43BD4482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AE107" authorId="0" shapeId="0" xr:uid="{F6A3897B-4F36-4AAD-ACCB-3BD0086CA7EE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AM107" authorId="0" shapeId="0" xr:uid="{C123D22D-FA06-46A1-B4F0-B716C3039FB4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G108" authorId="0" shapeId="0" xr:uid="{0821E76C-4C5C-49BC-9A57-71E5DFA9227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108" authorId="0" shapeId="0" xr:uid="{15472D90-9245-46D3-969F-C72F5263E7E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108" authorId="0" shapeId="0" xr:uid="{C47795A7-CA04-4083-961D-3C5E9EF3BE75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AM108" authorId="0" shapeId="0" xr:uid="{F49CB44E-464C-4CCF-9C0A-6279957BF18A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I109" authorId="0" shapeId="0" xr:uid="{B221F265-22D4-4147-8D0F-6E9B8280BDA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109" authorId="0" shapeId="0" xr:uid="{819CF38F-4F78-4EDF-BD27-ECCD0258A8A6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109" authorId="0" shapeId="0" xr:uid="{3DE2C507-69E6-43A0-BF38-2DCC48D58C5B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AM109" authorId="0" shapeId="0" xr:uid="{B6C6D9C1-DBDF-4AF7-B0EF-27A048843A83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AQ109" authorId="0" shapeId="0" xr:uid="{5598556D-F18B-44A8-863E-357A651BCE85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G110" authorId="0" shapeId="0" xr:uid="{32CDE6F3-3767-40A7-A1F0-3B29FAF5AF4B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I110" authorId="0" shapeId="0" xr:uid="{9DB5ECD4-5F56-4F05-84FB-4419330E1262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K110" authorId="0" shapeId="0" xr:uid="{5FCDE239-4A5C-4658-B905-61ED6B73FC02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110" authorId="0" shapeId="0" xr:uid="{FC771C07-3212-460C-895F-454D65F09346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S111" authorId="0" shapeId="0" xr:uid="{4557C6EB-213B-45AC-9C5D-E7EDD32833B6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111" authorId="0" shapeId="0" xr:uid="{18D0CE9C-5CE6-4F60-B22F-576EB5C27900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G112" authorId="0" shapeId="0" xr:uid="{73F899AD-D922-419F-A268-FF4375137AB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112" authorId="0" shapeId="0" xr:uid="{D5085BD3-4C06-4723-ABAC-16FDD0EEAEC4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112" authorId="0" shapeId="0" xr:uid="{2313E6C7-D401-4C83-A1B1-EE605F21C4B7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AE112" authorId="0" shapeId="0" xr:uid="{31F87AD5-A313-4655-86BA-32108ABBEFB5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AI112" authorId="0" shapeId="0" xr:uid="{E1FB65F5-E73E-4B93-94A1-AA1C714837E5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G243" authorId="0" shapeId="0" xr:uid="{F5132946-26F4-4305-8428-0A87206FE4F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44" authorId="0" shapeId="0" xr:uid="{85C0C490-BF73-4DE5-95CC-3845D6BE75B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45" authorId="0" shapeId="0" xr:uid="{1D881B0A-0DED-4709-9A65-DA479676B9B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46" authorId="0" shapeId="0" xr:uid="{630B8C4F-354F-4644-9B6B-6623B097415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247" authorId="0" shapeId="0" xr:uid="{B43B4F49-1C30-4E3F-B953-B077CC32D4ED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48" authorId="0" shapeId="0" xr:uid="{D4AC770A-E869-490F-9B9A-1D386B60F2B3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249" authorId="0" shapeId="0" xr:uid="{F868AC18-6D19-4943-A21D-22FA0765D670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50" authorId="0" shapeId="0" xr:uid="{6A4895E3-118D-4BE4-9906-C1E6AAC2466F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51" authorId="0" shapeId="0" xr:uid="{F246BD20-887D-4F7D-8E8E-8E8547C8FDA2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52" authorId="0" shapeId="0" xr:uid="{3C5AE3F6-569D-443A-89D2-AEF0BC9661D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53" authorId="0" shapeId="0" xr:uid="{442D3DC8-E1F3-4205-B0E9-55CB529019A7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G255" authorId="0" shapeId="0" xr:uid="{D4EBB437-467C-4BE8-995D-33DBCEFA821E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61" authorId="0" shapeId="0" xr:uid="{38BCCFC8-E546-49E5-8789-674A656B4CF4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263" authorId="0" shapeId="0" xr:uid="{5ED3ABFA-8798-4A8B-B052-B51D479C9332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64" authorId="0" shapeId="0" xr:uid="{D6E83857-BF80-4F1D-ADFB-7DA9DF0039D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267" authorId="0" shapeId="0" xr:uid="{8EF054D3-5C90-452D-98B8-3A7858FBB97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268" authorId="0" shapeId="0" xr:uid="{57B4B142-7FB7-455C-A116-E39F023228A6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G269" authorId="0" shapeId="0" xr:uid="{5CDC9872-60AE-47E3-AD6A-1ACA2E8B001F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72" authorId="0" shapeId="0" xr:uid="{DBEEBC1B-4E05-403C-8E6D-A446E2A5E014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K272" authorId="0" shapeId="0" xr:uid="{54D6CA19-8920-41B6-B9BA-990B483DC2B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73" authorId="0" shapeId="0" xr:uid="{3E39CE91-BBC1-4959-844C-88FF9BCEDC3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74" authorId="0" shapeId="0" xr:uid="{191F528E-A536-4D2A-B9D8-CC2C67B7B422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75" authorId="0" shapeId="0" xr:uid="{A6E9931B-F06E-4874-A77C-D914C3E283D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K275" authorId="0" shapeId="0" xr:uid="{015FF78D-E7B5-4DF5-9E54-1A599AFEC4E8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76" authorId="0" shapeId="0" xr:uid="{50D8B08B-468B-49AC-90C2-7B6A5BF2B002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K276" authorId="0" shapeId="0" xr:uid="{2F04D44E-F3EE-45A7-871D-97417E9D054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78" authorId="0" shapeId="0" xr:uid="{B790194A-0073-4D4B-9281-ADF760A2144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82" authorId="0" shapeId="0" xr:uid="{B9411B52-AA81-4105-89F4-E48E114A58EE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83" authorId="0" shapeId="0" xr:uid="{2A5CA3C5-4009-4501-A42B-238BA7BF458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K283" authorId="0" shapeId="0" xr:uid="{166F78EF-884A-4CCB-AE20-F075D20D352D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K284" authorId="0" shapeId="0" xr:uid="{0032FE08-D1D0-44A7-9406-09F19F17BF8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85" authorId="0" shapeId="0" xr:uid="{D15CD616-6FAC-44E0-86D6-085C158708A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K285" authorId="0" shapeId="0" xr:uid="{EF2E895A-006F-4866-8D64-42B4FB57A9B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86" authorId="0" shapeId="0" xr:uid="{16F27877-97E5-4F82-8606-64014EF1973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87" authorId="0" shapeId="0" xr:uid="{E8725FD7-F8DC-4CFE-A427-9092424C5E3E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88" authorId="0" shapeId="0" xr:uid="{AB5CFC2E-456F-49EC-AF5F-779A4B6A9EB8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90" authorId="0" shapeId="0" xr:uid="{0AE93AC4-AB34-4D96-BDC5-B2DC7E65E7E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91" authorId="0" shapeId="0" xr:uid="{0C4F468D-846B-4324-9486-D34A7B1AEBCD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K291" authorId="0" shapeId="0" xr:uid="{132E8164-25EC-4E12-960E-66CED1964426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292" authorId="0" shapeId="0" xr:uid="{4DC67E57-7235-46FF-8395-8979B69E2DF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294" authorId="0" shapeId="0" xr:uid="{3B591231-6D92-48A6-9048-8397AB3690E0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95" authorId="0" shapeId="0" xr:uid="{5DEC1AAA-3CEF-4081-98BF-CB4CACDEC4F8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96" authorId="0" shapeId="0" xr:uid="{1F8C0833-1575-4D66-B67A-3351A0AE4022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298" authorId="0" shapeId="0" xr:uid="{1B3F08BF-0444-48D1-855A-4E8262A3060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433" authorId="0" shapeId="0" xr:uid="{719ABA7E-445B-44E6-A497-139163461924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CM433" authorId="0" shapeId="0" xr:uid="{2AEFF858-7200-4863-97B0-CDAF99EB5AB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CY433" authorId="0" shapeId="0" xr:uid="{9085277E-5393-4DF2-A916-A96592ED2720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C433" authorId="0" shapeId="0" xr:uid="{3C6CF554-77B5-45E1-9496-2E8C2F2783B0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G433" authorId="0" shapeId="0" xr:uid="{23D1BBEC-8CDB-4D93-BD71-2D59C9F994C3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K433" authorId="0" shapeId="0" xr:uid="{03312BD8-CE05-4646-B891-E23E7B783F9D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S433" authorId="0" shapeId="0" xr:uid="{726B23E2-0D20-4A63-B68D-BA38873B478A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EA433" authorId="0" shapeId="0" xr:uid="{F0242EEE-CB84-446F-B39C-8126BFA96E18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S434" authorId="0" shapeId="0" xr:uid="{F953EBFD-85C6-4D77-AE12-1BB73E7A953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U434" authorId="0" shapeId="0" xr:uid="{4B169602-06B3-47E3-9231-E3409B5FACA6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U434" authorId="0" shapeId="0" xr:uid="{6710C38E-5F9A-4462-A7A5-4251C650DE16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O434" authorId="0" shapeId="0" xr:uid="{E75A8402-F072-4E4E-AEFA-0B666040BEC2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S434" authorId="0" shapeId="0" xr:uid="{D9A497F8-8239-4264-816B-CA8B2E03930A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EA434" authorId="0" shapeId="0" xr:uid="{7DD33D6A-9743-43FC-AB9A-3B7FD3ED54E4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EG434" authorId="0" shapeId="0" xr:uid="{4FCACD8E-7A74-4382-8310-B7B6CC484F28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435" authorId="0" shapeId="0" xr:uid="{AE215DC6-80BA-470C-9EC1-9084F824247C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E435" authorId="0" shapeId="0" xr:uid="{630FCB32-79DA-48CC-85B5-9EDF58409A3A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Y435" authorId="0" shapeId="0" xr:uid="{3F1FCAC3-077A-497F-8B94-DAEFF38937DC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Y435" authorId="0" shapeId="0" xr:uid="{F1AA6668-747C-4D98-9A3A-91652948B4C9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C435" authorId="0" shapeId="0" xr:uid="{0C1F92D6-7C4C-49DE-B616-14E39C2C8488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S436" authorId="0" shapeId="0" xr:uid="{E2D5A703-3258-43D1-BA6A-F95A857D62F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U436" authorId="0" shapeId="0" xr:uid="{60C7A642-CC6C-433F-BD39-822A005407F9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K436" authorId="0" shapeId="0" xr:uid="{975E5008-3281-41BE-8FC8-C584BE70CAD3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M436" authorId="0" shapeId="0" xr:uid="{28AD54DA-A0AA-4729-9265-6FD30B304F5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DS436" authorId="0" shapeId="0" xr:uid="{EF6F7CB1-EA83-4A0E-A7B5-86362779CE86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W436" authorId="0" shapeId="0" xr:uid="{DCFE66DF-4F15-4A53-8CA4-C0BF9DCD7671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EA436" authorId="0" shapeId="0" xr:uid="{2E5B886D-AA21-4B64-8D4B-1B2CD6E50041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EE436" authorId="0" shapeId="0" xr:uid="{0D5DCC22-6023-426D-B3FC-B16B0A51FDCC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EG436" authorId="0" shapeId="0" xr:uid="{DD51169B-1EFA-4E13-A9D3-8560065E9584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S437" authorId="0" shapeId="0" xr:uid="{7B9E90B9-D310-46A3-9C6A-16A0C0AB28BC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Y437" authorId="0" shapeId="0" xr:uid="{059080A3-B03E-4F00-9E3F-1D2ADFF9BF8D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C437" authorId="0" shapeId="0" xr:uid="{DC2BE923-00FB-4371-B9D3-D72414D8F7AA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G437" authorId="0" shapeId="0" xr:uid="{AD397ED7-3CD1-4C18-95D6-DB91D2439C53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Y437" authorId="0" shapeId="0" xr:uid="{7E9AEB7E-9C1F-4A70-9406-BC5604F47248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DK437" authorId="0" shapeId="0" xr:uid="{F707B13D-06A6-4DE5-8618-EA8FAD966A00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O437" authorId="0" shapeId="0" xr:uid="{B1AFC16A-D420-433B-8C47-E1A746C9DA38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S437" authorId="0" shapeId="0" xr:uid="{FAB30D11-1731-4031-AB33-75A5FAB09A1F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W437" authorId="0" shapeId="0" xr:uid="{CC9C3E3A-EF8E-45EB-A447-4ACEFD84DEE1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EA437" authorId="0" shapeId="0" xr:uid="{403CCC08-7B0B-4CAA-8EF4-FE55ECAC7731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EE437" authorId="0" shapeId="0" xr:uid="{6B16D07B-2B04-453C-B26C-B94A6C322F44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S438" authorId="0" shapeId="0" xr:uid="{91599AD4-78A1-4A7A-BB9B-F327FC607E26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DG438" authorId="0" shapeId="0" xr:uid="{6D02B7F7-7EED-4CDC-AF80-E864CE69A8B7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K438" authorId="0" shapeId="0" xr:uid="{BB6971F0-77AE-4F78-8A7C-23F02C6C3652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S439" authorId="0" shapeId="0" xr:uid="{484B9AE5-D7BE-44EC-B52F-363327603135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Y439" authorId="0" shapeId="0" xr:uid="{8D091FCD-9331-4357-834E-DBC96009D1F8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C439" authorId="0" shapeId="0" xr:uid="{B43A4A5F-AA8C-4946-8363-D8343ECBEB4E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S439" authorId="0" shapeId="0" xr:uid="{BB3EDDB1-443D-4A06-8413-036C9753B2AE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W439" authorId="0" shapeId="0" xr:uid="{80D28FF8-BA74-4B9F-9166-BE43AC113B70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EA439" authorId="0" shapeId="0" xr:uid="{D75B0784-913C-4CC1-8C58-52CFD9E19C72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S440" authorId="0" shapeId="0" xr:uid="{F623766E-5A28-448C-875C-978B6366D166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E440" authorId="0" shapeId="0" xr:uid="{72414299-9E29-42BF-817F-E9C6713DBB1A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U440" authorId="0" shapeId="0" xr:uid="{D1C859B1-AE2C-41C0-B768-8E870F86C9AF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BY440" authorId="0" shapeId="0" xr:uid="{17577406-00A2-4E7C-BEFA-858B9D58A934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CM440" authorId="0" shapeId="0" xr:uid="{A4F7072B-3D65-46A5-ADEC-DC0DC918E1EE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CY440" authorId="0" shapeId="0" xr:uid="{DEBA1F17-4FC7-4ED0-A086-55724A2EDE43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DC440" authorId="0" shapeId="0" xr:uid="{AF36CA64-5F67-4618-96BA-BC65B09C64A3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G440" authorId="0" shapeId="0" xr:uid="{3832997A-7223-4719-8245-8713619B6CA7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K440" authorId="0" shapeId="0" xr:uid="{54A7BAAB-FB8B-4FFE-B158-611970E055B2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W440" authorId="0" shapeId="0" xr:uid="{25C4DE93-51F5-479D-AFCF-D29DBD0EB0BC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EG440" authorId="0" shapeId="0" xr:uid="{59CE21E7-2E8C-48A4-AD41-E6F7D4922A4A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S441" authorId="0" shapeId="0" xr:uid="{25387F8C-B011-471B-866F-8883A518911E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A441" authorId="0" shapeId="0" xr:uid="{15C4AB06-4CA1-4C61-A659-68898592ADAB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E441" authorId="0" shapeId="0" xr:uid="{0FFA8576-6510-47EF-B7E9-78F1339C1B32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M441" authorId="0" shapeId="0" xr:uid="{61EEB4CC-893E-4D8A-B507-571E02E5CC48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Q441" authorId="0" shapeId="0" xr:uid="{58EBA6FF-998A-4978-8036-B99789B65788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M441" authorId="0" shapeId="0" xr:uid="{C809E0A8-E204-4AEE-B695-4BA9F0CC854D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CU441" authorId="0" shapeId="0" xr:uid="{09A511F7-0C31-4909-898C-831FADF5CA0C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K441" authorId="0" shapeId="0" xr:uid="{A462F27D-8653-42FD-86BE-65F3134B895A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S442" authorId="0" shapeId="0" xr:uid="{CFDD030E-6E4B-4CBA-810E-2D1BCFB80DB9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A442" authorId="0" shapeId="0" xr:uid="{34CB0ABD-BC0E-4E3F-8A27-2EE07F01AD2E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Q442" authorId="0" shapeId="0" xr:uid="{8B73DD4F-7B7F-4569-B4D8-D423B8C77251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U442" authorId="0" shapeId="0" xr:uid="{FDAE3BD8-4CD9-48B8-96F0-CAD6844E9AC6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Y442" authorId="0" shapeId="0" xr:uid="{5E446534-FDA3-4371-9E79-683DCDED00C0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DC442" authorId="0" shapeId="0" xr:uid="{12334B9C-BD3F-487B-AC6B-88C8FF22F54A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K442" authorId="0" shapeId="0" xr:uid="{7FB0C35B-AF7F-4E39-9D67-1D9424CD0202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O442" authorId="0" shapeId="0" xr:uid="{029710B9-4705-4867-89F7-9B81B6B0111E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S442" authorId="0" shapeId="0" xr:uid="{6834F89A-1462-4381-98CB-F2CE70719CCF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EG442" authorId="0" shapeId="0" xr:uid="{E3FB0DC8-D07F-4D1A-87ED-A012FAED6CB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443" authorId="0" shapeId="0" xr:uid="{B8526E95-E7EE-49F1-A3E3-9F792A4A6946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CG443" authorId="0" shapeId="0" xr:uid="{E593B981-1111-478E-A5F8-C380C2E96479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U443" authorId="0" shapeId="0" xr:uid="{48717CA4-52FB-4709-B8D7-6473E5F9A403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CY443" authorId="0" shapeId="0" xr:uid="{ACD1F4FE-F783-43C0-A498-655E29156669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C443" authorId="0" shapeId="0" xr:uid="{F17A26DD-9332-4CED-BA5B-12D67FD80262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G443" authorId="0" shapeId="0" xr:uid="{2C675365-2BF1-487C-AA55-F6F23CE26A3A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K443" authorId="0" shapeId="0" xr:uid="{A7B9E723-5FBE-46FB-83C5-BEECB28567BE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O443" authorId="0" shapeId="0" xr:uid="{C2082EA1-50C2-4A67-B8C8-486AC262902E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DS443" authorId="0" shapeId="0" xr:uid="{D9002DC9-18C6-40ED-8AE7-C2D9228AC889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DW443" authorId="0" shapeId="0" xr:uid="{99558540-F09A-49D8-8307-01129F1541C4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EA443" authorId="0" shapeId="0" xr:uid="{BDBBC2CA-917F-4763-BAE3-CE0A9E507F7C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EE443" authorId="0" shapeId="0" xr:uid="{469BE31E-67DD-4132-A5F3-9CA806165549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EG443" authorId="0" shapeId="0" xr:uid="{2F97FBC8-ED75-4268-837E-A440757A9C14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S444" authorId="0" shapeId="0" xr:uid="{740D5A13-1039-48A2-A17E-5099F222BAA9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CC444" authorId="0" shapeId="0" xr:uid="{F85F46AC-9CB9-4D46-8F4C-D4E6542A884D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CG444" authorId="0" shapeId="0" xr:uid="{8977A3F6-4F8B-4AF2-A74E-11BE48AFC389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T444" authorId="0" shapeId="0" xr:uid="{DE95ACA2-7D4C-4C1C-9C0E-E21042B0D444}">
      <text>
        <r>
          <rPr>
            <sz val="8"/>
            <color rgb="FF000000"/>
            <rFont val="Tahoma"/>
            <family val="2"/>
          </rPr>
          <t>Moderate Warning  DC001:  CIP Code is invalid</t>
        </r>
      </text>
    </comment>
    <comment ref="CX444" authorId="0" shapeId="0" xr:uid="{9BBD39E5-4C47-4209-9078-22B34F52E354}">
      <text>
        <r>
          <rPr>
            <sz val="8"/>
            <color rgb="FF000000"/>
            <rFont val="Tahoma"/>
            <family val="2"/>
          </rPr>
          <t>Moderate Warning  DC001:  CIP Code is invalid</t>
        </r>
      </text>
    </comment>
    <comment ref="S445" authorId="0" shapeId="0" xr:uid="{E4555764-ED6A-4043-BB21-FE08474A3C4C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Y445" authorId="0" shapeId="0" xr:uid="{F3C40C4C-6016-4E6D-83C9-6B662BB85D3A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CC445" authorId="0" shapeId="0" xr:uid="{ED439E27-A22B-4FAF-B45A-066A813DD26D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CK445" authorId="0" shapeId="0" xr:uid="{BF6F6CBB-6838-43AE-8646-1400ADF687C1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U445" authorId="0" shapeId="0" xr:uid="{D09C2FF9-A2B2-4360-99EB-2947C33EC60A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S446" authorId="0" shapeId="0" xr:uid="{B70C4C5B-CC15-454E-8258-3B847DA482B5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E446" authorId="0" shapeId="0" xr:uid="{9C02D10B-214C-4E86-90FB-918B081195DE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I446" authorId="0" shapeId="0" xr:uid="{2DE2C11D-C872-435D-9CA2-C168C86E7769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M446" authorId="0" shapeId="0" xr:uid="{717E4C63-1C61-4487-8D25-79C80E941E06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Q446" authorId="0" shapeId="0" xr:uid="{56C7084D-3022-4966-9F99-24982F8DFCDE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U446" authorId="0" shapeId="0" xr:uid="{750493FC-E740-4F11-8CBB-AB579C48D049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Y446" authorId="0" shapeId="0" xr:uid="{B777C9A9-A366-45B1-9B95-747B6418B53E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G446" authorId="0" shapeId="0" xr:uid="{D5C5F8EC-DBA6-487B-9150-95D8ACBD678B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CM446" authorId="0" shapeId="0" xr:uid="{C0BB7343-204C-4FE7-8720-BFCFD0F7A63D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CT446" authorId="0" shapeId="0" xr:uid="{C26A01EE-F4E7-4486-935F-B22F48560FCA}">
      <text>
        <r>
          <rPr>
            <sz val="8"/>
            <color rgb="FF000000"/>
            <rFont val="Tahoma"/>
            <family val="2"/>
          </rPr>
          <t>Moderate Warning  DC001:  CIP Code is invalid</t>
        </r>
      </text>
    </comment>
    <comment ref="CX446" authorId="0" shapeId="0" xr:uid="{7BCF13A9-2D0E-4B7A-8405-D5251ED6B2DC}">
      <text>
        <r>
          <rPr>
            <sz val="8"/>
            <color rgb="FF000000"/>
            <rFont val="Tahoma"/>
            <family val="2"/>
          </rPr>
          <t>Moderate Warning  DC001:  CIP Code is invalid</t>
        </r>
      </text>
    </comment>
    <comment ref="S447" authorId="0" shapeId="0" xr:uid="{F82540D8-9215-4A7F-A964-4184F077EA3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E447" authorId="0" shapeId="0" xr:uid="{22E700FD-D949-469A-B52F-D8A12278C66A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M447" authorId="0" shapeId="0" xr:uid="{C61FFE41-50A9-4D6E-A10E-43958BB08A76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Q447" authorId="0" shapeId="0" xr:uid="{074EE300-F50D-4A00-AA74-D570A4315A4B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U447" authorId="0" shapeId="0" xr:uid="{112C0E32-B58B-4A41-ABDB-633711D47125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Y447" authorId="0" shapeId="0" xr:uid="{6C46C71E-6E29-4FB0-AAB8-8270CC1E02BC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C447" authorId="0" shapeId="0" xr:uid="{2BD80B3D-1353-40A4-ADB0-C9572EA3E485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G447" authorId="0" shapeId="0" xr:uid="{C73554E0-90DB-4982-8289-00C4EF14DCD2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Y447" authorId="0" shapeId="0" xr:uid="{BCA2F4D0-182F-4C3C-B7EA-4D14AC88B8EF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DC447" authorId="0" shapeId="0" xr:uid="{FDF1FDDD-DFE1-4309-B4E6-5367895F70F1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K447" authorId="0" shapeId="0" xr:uid="{5B8AB27B-E3C8-496E-848F-535A0DBDFDAA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S448" authorId="0" shapeId="0" xr:uid="{6592F769-1191-4321-90AC-C342440FEAC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DC448" authorId="0" shapeId="0" xr:uid="{9155F781-913D-4989-B868-75878C8E8B3B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S449" authorId="0" shapeId="0" xr:uid="{258E40BA-9EDD-4F5A-A84B-8271D70018B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A449" authorId="0" shapeId="0" xr:uid="{A28D8BEE-32A9-4A12-BBD4-3FD4D1AB3523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U449" authorId="0" shapeId="0" xr:uid="{6089439E-E1EA-4D02-9270-6D241773D0C7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CY449" authorId="0" shapeId="0" xr:uid="{46A9F413-F481-4691-8237-5477FE9985E1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S450" authorId="0" shapeId="0" xr:uid="{D2BD5A18-DC48-4508-B4B1-791C14B2AD24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A450" authorId="0" shapeId="0" xr:uid="{AB0C6623-06CF-452B-9783-CE706FEFE403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G450" authorId="0" shapeId="0" xr:uid="{594F41D6-EFD7-4232-BEB8-2B0F3E4C4475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M450" authorId="0" shapeId="0" xr:uid="{7FB504A6-7D9B-4A16-97D2-B43ED2648452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CT450" authorId="0" shapeId="0" xr:uid="{775FC167-E774-4E3F-91FC-98D73B8BFE12}">
      <text>
        <r>
          <rPr>
            <sz val="8"/>
            <color rgb="FF000000"/>
            <rFont val="Tahoma"/>
            <family val="2"/>
          </rPr>
          <t>Moderate Warning  DC001:  CIP Code is invalid</t>
        </r>
      </text>
    </comment>
    <comment ref="CX450" authorId="0" shapeId="0" xr:uid="{F230D456-A06F-4ADB-AB7B-E4B73DDCAEB1}">
      <text>
        <r>
          <rPr>
            <sz val="8"/>
            <color rgb="FF000000"/>
            <rFont val="Tahoma"/>
            <family val="2"/>
          </rPr>
          <t>Moderate Warning  DC001:  CIP Code is invalid</t>
        </r>
      </text>
    </comment>
    <comment ref="S451" authorId="0" shapeId="0" xr:uid="{2A920E9D-D60E-4214-BAFD-0606E5ACA47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I451" authorId="0" shapeId="0" xr:uid="{D53D0B1C-F7EC-4FB6-B45D-9F1585D405E6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Y451" authorId="0" shapeId="0" xr:uid="{E2F29CFC-AFF5-4C74-839A-425049C22E5F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C451" authorId="0" shapeId="0" xr:uid="{E3DF3701-EFD7-4EEC-838D-408D322D58EF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X451" authorId="0" shapeId="0" xr:uid="{5B262101-C0C3-4899-83A3-399B246E08CC}">
      <text>
        <r>
          <rPr>
            <sz val="8"/>
            <color rgb="FF000000"/>
            <rFont val="Tahoma"/>
            <family val="2"/>
          </rPr>
          <t>Moderate Warning  DC001:  CIP Code is invalid</t>
        </r>
      </text>
    </comment>
    <comment ref="S452" authorId="0" shapeId="0" xr:uid="{C7DFE4F3-7576-4F7F-8798-83E2A145D3A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A452" authorId="0" shapeId="0" xr:uid="{0CECC66A-D2D6-40F8-9417-EFFB5A76EFC8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BE452" authorId="0" shapeId="0" xr:uid="{5F205DDA-89DA-4933-B7D8-29F2F1E2563D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M452" authorId="0" shapeId="0" xr:uid="{21BCCAB6-F926-4780-8D52-2CDAC3F08928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U452" authorId="0" shapeId="0" xr:uid="{80B9DD77-CE79-4878-B37E-FAC32EC9849A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Y452" authorId="0" shapeId="0" xr:uid="{9506346F-3AEC-4E55-AC69-D88BFD574DE9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C452" authorId="0" shapeId="0" xr:uid="{F495290F-0194-4DF3-A4A5-41A36BAF1157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U452" authorId="0" shapeId="0" xr:uid="{1C16A0FC-A8F7-4E91-B65F-6F9189C2EB7D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CX452" authorId="0" shapeId="0" xr:uid="{064F5197-A132-4854-AA4A-5AACEFC002C2}">
      <text>
        <r>
          <rPr>
            <sz val="8"/>
            <color rgb="FF000000"/>
            <rFont val="Tahoma"/>
            <family val="2"/>
          </rPr>
          <t>Moderate Warning  DC001:  CIP Code is invalid</t>
        </r>
      </text>
    </comment>
    <comment ref="S453" authorId="0" shapeId="0" xr:uid="{C822BF7F-5B33-4E78-94CF-993373C8819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I453" authorId="0" shapeId="0" xr:uid="{69381B23-F6AA-4990-B116-C11CA301291D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M453" authorId="0" shapeId="0" xr:uid="{84EE128D-7386-4498-9FAE-C879E990D539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U453" authorId="0" shapeId="0" xr:uid="{24585C56-D2CF-436E-870B-4B5189FA4744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Y453" authorId="0" shapeId="0" xr:uid="{C1C11B31-6C15-4494-B7CE-B6C076606AF2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M453" authorId="0" shapeId="0" xr:uid="{890D9CB3-2AA4-4A56-A940-2A7C69E93F2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CY453" authorId="0" shapeId="0" xr:uid="{2A69F9B7-97D3-4940-B682-7B125038CED2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C453" authorId="0" shapeId="0" xr:uid="{A4E7FFA8-B72F-467D-97CB-F8B624C73301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S454" authorId="0" shapeId="0" xr:uid="{A399A44B-2102-422C-B80A-322593EF8D76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A454" authorId="0" shapeId="0" xr:uid="{B3C4D59B-9447-4F07-9CB2-1EEE14C25186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M454" authorId="0" shapeId="0" xr:uid="{EC5BC4B3-E239-485B-B06D-5E64D36308B1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Q454" authorId="0" shapeId="0" xr:uid="{527D8FFB-7A8B-41A9-835B-C28DDD40E25C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U454" authorId="0" shapeId="0" xr:uid="{DA5ADCD5-313D-4A05-9D54-32FD6EC92830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CC454" authorId="0" shapeId="0" xr:uid="{93C0DB4C-1271-4169-902D-18E84495A284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U454" authorId="0" shapeId="0" xr:uid="{0338E71A-8B7C-4015-9DE6-E2095BD8D418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CY454" authorId="0" shapeId="0" xr:uid="{8A9E9522-116B-4F0E-A135-F538EF253FC9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K454" authorId="0" shapeId="0" xr:uid="{BCE9A1C7-7177-46EC-A186-81F1353DB7A0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S455" authorId="0" shapeId="0" xr:uid="{BF1EA784-E3AC-416D-9C21-8A9F2A909F7A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A455" authorId="0" shapeId="0" xr:uid="{ADD9E32E-EE4A-4381-A757-33A8D302FE4A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Q455" authorId="0" shapeId="0" xr:uid="{9F0BEBE5-1898-4621-AB53-25351F4EF026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U455" authorId="0" shapeId="0" xr:uid="{F4B36BF9-7F7B-44E9-B31D-CC20EC98A7E8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G455" authorId="0" shapeId="0" xr:uid="{10D1EE39-A82D-44E1-A9ED-D2EB6FB1DC51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K455" authorId="0" shapeId="0" xr:uid="{5D22D07D-489A-46CA-A61C-6AAF042AC02F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M455" authorId="0" shapeId="0" xr:uid="{4F357E4F-9893-454B-8564-A0C049EA016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CY455" authorId="0" shapeId="0" xr:uid="{F5D9246A-E684-4350-80AF-777A40432B7E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S456" authorId="0" shapeId="0" xr:uid="{3F56467A-4CE7-4E72-A88A-8D746CA59C0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A456" authorId="0" shapeId="0" xr:uid="{89339474-1F04-4CA2-8206-FC27F712DBF2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E456" authorId="0" shapeId="0" xr:uid="{66D77228-A5FC-4AFC-89B8-876C22679045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I456" authorId="0" shapeId="0" xr:uid="{EAEB11B8-AAC1-4A6A-9B65-8AB396CD668D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M456" authorId="0" shapeId="0" xr:uid="{7E4FE16C-09AF-47D6-BB3E-30A913CEB954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Q456" authorId="0" shapeId="0" xr:uid="{828AE010-BBF1-4816-9F7A-029569E6D101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G456" authorId="0" shapeId="0" xr:uid="{16E4E771-F3E7-4E75-8BEF-B66DE69FC909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K456" authorId="0" shapeId="0" xr:uid="{9D199A5C-7B07-41CA-B181-A6CCA7C0A3E0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M456" authorId="0" shapeId="0" xr:uid="{47FE487D-9937-4950-84F6-2A02F164CA2B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CU456" authorId="0" shapeId="0" xr:uid="{75983FA1-F57F-4DD8-B161-D9E41DAEE94F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C456" authorId="0" shapeId="0" xr:uid="{4D37D7A0-553E-4B05-B2C3-FB857B6ADD69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G456" authorId="0" shapeId="0" xr:uid="{075BE65E-5B57-4F21-9D00-8D52FFEFC4CD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K456" authorId="0" shapeId="0" xr:uid="{49E728EA-47CE-493B-AE58-BCF69978F312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EQ456" authorId="0" shapeId="0" xr:uid="{AAFB0FCB-4A62-4C53-8D97-55222F215FF2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EW456" authorId="0" shapeId="0" xr:uid="{B5F6C456-007B-4A37-9B54-6CDE9EF73E4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457" authorId="0" shapeId="0" xr:uid="{4ECA8296-862F-4A09-A384-13A5FFDF50E6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M457" authorId="0" shapeId="0" xr:uid="{2477F62F-B079-47B5-8DC8-928C5A116DA6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Q457" authorId="0" shapeId="0" xr:uid="{C5747CD9-9B8A-459E-9C8D-2B36A2BA55B4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U457" authorId="0" shapeId="0" xr:uid="{F8A363E1-E9D6-434F-AF04-2EEB14B1CC1E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K457" authorId="0" shapeId="0" xr:uid="{D40B6239-2D7E-4B05-8C89-1CC933456AD4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Y457" authorId="0" shapeId="0" xr:uid="{3907B607-F0CC-4643-8E9C-FC217A94CE26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S458" authorId="0" shapeId="0" xr:uid="{28DEA0B4-2700-4562-A522-0BE2E880236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A458" authorId="0" shapeId="0" xr:uid="{61EDFE05-9331-42BB-896E-1A3735DFE3DF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U458" authorId="0" shapeId="0" xr:uid="{ADE98F6F-1DE6-48DA-8A49-3F6A66D0A517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G458" authorId="0" shapeId="0" xr:uid="{682237EB-0465-4CC4-B59E-67F747828DA6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Y458" authorId="0" shapeId="0" xr:uid="{3BF5A69B-61D1-4FD4-9B0E-A3FDCF9CD2BA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EW458" authorId="0" shapeId="0" xr:uid="{35EAD16D-0190-4019-95D1-F66FB215C44A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459" authorId="0" shapeId="0" xr:uid="{BE4D61EB-D92D-4C1F-8EAD-CC974AECF8FD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Q459" authorId="0" shapeId="0" xr:uid="{5A61F4F2-D292-4A32-86F6-507E433995A6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U459" authorId="0" shapeId="0" xr:uid="{0CEC2E06-F38A-47FF-84F5-E620FD048017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CC459" authorId="0" shapeId="0" xr:uid="{5A7029A0-44A3-44F7-97AB-E529216193FA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G459" authorId="0" shapeId="0" xr:uid="{54437DFD-5AD7-4C37-A3B6-78B3A0541E8D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K459" authorId="0" shapeId="0" xr:uid="{2082F03A-FB64-400E-8D7F-20F60CA3A44A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CM459" authorId="0" shapeId="0" xr:uid="{0CB16B84-A204-4779-8E4C-18A5E8144357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CT459" authorId="0" shapeId="0" xr:uid="{85601DEE-01C0-4F45-82B4-AD79BBEBF013}">
      <text>
        <r>
          <rPr>
            <sz val="8"/>
            <color rgb="FF000000"/>
            <rFont val="Tahoma"/>
            <family val="2"/>
          </rPr>
          <t>Moderate Warning  DC001:  CIP Code is invalid</t>
        </r>
      </text>
    </comment>
    <comment ref="S460" authorId="0" shapeId="0" xr:uid="{BC5EC7D4-04E8-4FE0-A1B7-9F336F1B824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I460" authorId="0" shapeId="0" xr:uid="{6AF79EEA-9A39-4197-A390-37990B1296EB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M460" authorId="0" shapeId="0" xr:uid="{41D562FE-E229-4ECC-A656-710910ADF270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M460" authorId="0" shapeId="0" xr:uid="{D5F33B93-1459-41CA-A36C-7046F3B815D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CY460" authorId="0" shapeId="0" xr:uid="{3EB9CA62-36AF-44E2-975E-960266C864D1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DC460" authorId="0" shapeId="0" xr:uid="{1615F46D-4695-47E4-BD42-36603FA1E904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S461" authorId="0" shapeId="0" xr:uid="{778BD748-2429-49F4-B4B6-A2067B39787A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M461" authorId="0" shapeId="0" xr:uid="{97BE780F-0B0D-4C4A-8EF8-37EF8D9A5778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BY461" authorId="0" shapeId="0" xr:uid="{F775866C-9C4E-49ED-BD8D-C7CCB80384C2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G461" authorId="0" shapeId="0" xr:uid="{B0B34605-3DEF-4128-B8C9-8536A5092367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M461" authorId="0" shapeId="0" xr:uid="{C78F4B67-CF0B-4D36-A831-6D71AE8568ED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CU461" authorId="0" shapeId="0" xr:uid="{2050C778-7007-4CF1-BA38-156C8A3C5350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S462" authorId="0" shapeId="0" xr:uid="{2272289F-F3F6-468D-9083-25177F9FF447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A462" authorId="0" shapeId="0" xr:uid="{A366F35A-8F52-4ADF-9152-C711AE0BBBB6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I462" authorId="0" shapeId="0" xr:uid="{D8A0B16C-607B-4E46-8257-1E8934272C71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BM462" authorId="0" shapeId="0" xr:uid="{56823027-A5B0-4129-99FF-51006DC26DFE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U462" authorId="0" shapeId="0" xr:uid="{F0EA8B16-2726-4AFE-88B7-CA2409CA6AE5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BY462" authorId="0" shapeId="0" xr:uid="{E6E2B17D-4A43-4B9C-89D2-451B05179A8B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CC462" authorId="0" shapeId="0" xr:uid="{5EDC468A-2A6C-4576-A459-6F3119868886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CU462" authorId="0" shapeId="0" xr:uid="{988FA9E2-85F5-4888-84A3-699BCDFC0448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S463" authorId="0" shapeId="0" xr:uid="{692012B6-F63E-47C4-8BED-8583358914D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A463" authorId="0" shapeId="0" xr:uid="{A3A07E02-BA0A-403F-AA0A-CAC016C75EEC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M463" authorId="0" shapeId="0" xr:uid="{31FEF7A6-1A74-4EA8-8D4F-B18F36BC0698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Q463" authorId="0" shapeId="0" xr:uid="{328E2053-75FB-4A01-8F62-1094110EBDDD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C463" authorId="0" shapeId="0" xr:uid="{792BDAC7-D530-4CB2-ACBD-5A76D2540C7C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K463" authorId="0" shapeId="0" xr:uid="{2BC5DF88-8CF5-4D9E-A385-5DF6643D8931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S464" authorId="0" shapeId="0" xr:uid="{5CC7E35C-41DD-4AFC-8230-A626830C40B0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I464" authorId="0" shapeId="0" xr:uid="{A2DB3930-8A11-4F62-AC74-B909E3C129FC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M464" authorId="0" shapeId="0" xr:uid="{EAFD59F3-1E34-4A9E-BEEA-90E9C05F5C05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Q464" authorId="0" shapeId="0" xr:uid="{0516B45C-D14B-41D7-B005-87C8613C4558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S465" authorId="0" shapeId="0" xr:uid="{DF8A7125-2539-4509-9CC0-08B5066066C0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A465" authorId="0" shapeId="0" xr:uid="{98848293-405A-4807-B0DA-316A44E40B84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I465" authorId="0" shapeId="0" xr:uid="{542B1F74-1783-44AE-BD5A-8B4D3699F192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P465" authorId="0" shapeId="0" xr:uid="{0FEAD2B1-C110-4622-B272-A7EBE39B616C}">
      <text>
        <r>
          <rPr>
            <sz val="8"/>
            <color rgb="FF000000"/>
            <rFont val="Tahoma"/>
            <family val="2"/>
          </rPr>
          <t>Moderate Warning  DC001:  CIP Code is invalid</t>
        </r>
      </text>
    </comment>
    <comment ref="BQ465" authorId="0" shapeId="0" xr:uid="{3E6F085B-BDE5-4611-B2E3-4C3941367730}">
      <text>
        <r>
          <rPr>
            <sz val="8"/>
            <color rgb="FF000000"/>
            <rFont val="Tahoma"/>
            <family val="2"/>
          </rPr>
          <t>Moderate Warning  AA008, DC002:  Enrollment count is null and corresponding CIP Code is not., Large Metric difference from prior year &gt;= 100%, may be caused by change in CIP ranking</t>
        </r>
      </text>
    </comment>
    <comment ref="BY465" authorId="0" shapeId="0" xr:uid="{DB8E07D1-B219-4A34-82B9-4638B59C0BBC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CC465" authorId="0" shapeId="0" xr:uid="{971EF4C9-580C-479B-8B50-C7C093A3A116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S466" authorId="0" shapeId="0" xr:uid="{2F810306-2A53-40FE-9ED8-5A48959A8913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S467" authorId="0" shapeId="0" xr:uid="{206CCDD8-2128-4D6E-AE00-63E9F0A1621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S468" authorId="0" shapeId="0" xr:uid="{CF23E07A-083F-4510-8EB9-B84F67AC63E3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A468" authorId="0" shapeId="0" xr:uid="{39596965-6881-4449-B979-5DF4B1889E3C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M468" authorId="0" shapeId="0" xr:uid="{E6331B65-4B07-4FCC-B77E-B185123405EB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Q468" authorId="0" shapeId="0" xr:uid="{79A6B71C-AC4A-4BC9-B6AB-8091A9C5EDA5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BU468" authorId="0" shapeId="0" xr:uid="{69A303B7-924F-4B43-B224-7612354BB15B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G469" authorId="0" shapeId="0" xr:uid="{6157851B-EF83-4EE4-A738-F1819D5D207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469" authorId="0" shapeId="0" xr:uid="{2936D14F-EDD9-4FF6-9CE7-55E5B5E40644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469" authorId="0" shapeId="0" xr:uid="{352C55B5-F460-40E0-B249-47A7EF48E5DF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G470" authorId="0" shapeId="0" xr:uid="{67758961-2FF9-45E2-B060-DE3F44B467C5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470" authorId="0" shapeId="0" xr:uid="{4BA0D2F0-CBB6-4FCB-90C1-186BC6C5E7F6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470" authorId="0" shapeId="0" xr:uid="{EFB17DE0-CF69-41A2-B5D6-0959FDC16889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AE470" authorId="0" shapeId="0" xr:uid="{31E0E85C-6C67-4C90-A7A6-BEF63534945D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S471" authorId="0" shapeId="0" xr:uid="{4F96ED6E-E3E9-4A7A-A042-B375687C302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E471" authorId="0" shapeId="0" xr:uid="{1AC3AFA9-2429-46F4-8D1E-C3ECB634964F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AI471" authorId="0" shapeId="0" xr:uid="{A3AD9B3D-8924-4D17-9519-A4C9B98AFE6F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S473" authorId="0" shapeId="0" xr:uid="{4DB28165-5A53-4417-A59F-A2F33A4EA655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473" authorId="0" shapeId="0" xr:uid="{FA945CAD-F9A6-4250-AC1F-A81001AA6D0F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G474" authorId="0" shapeId="0" xr:uid="{C0E0C46A-F1C0-4266-B694-C6398F18EC5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K474" authorId="0" shapeId="0" xr:uid="{7CDF6258-1640-4CB8-814C-8346E4DF13D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K476" authorId="0" shapeId="0" xr:uid="{177058D4-D2D3-46D0-85F4-087C8ED99250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K477" authorId="0" shapeId="0" xr:uid="{87D3CCCE-4A46-4691-8804-FCF2040C12A2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479" authorId="0" shapeId="0" xr:uid="{4CB59A0B-5EA4-49EF-B64D-5EF3F3EE4C2B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480" authorId="0" shapeId="0" xr:uid="{447B6DFE-79D7-4D50-917F-8C8F4A1C4D5B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AA483" authorId="0" shapeId="0" xr:uid="{B5285987-DADD-4ACD-9106-8DD80CB280F9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G488" authorId="0" shapeId="0" xr:uid="{E911E271-77D0-43B4-8192-974E0FF97FB8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493" authorId="0" shapeId="0" xr:uid="{10AAC963-42D8-438E-A551-AC69EB3B13BA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494" authorId="0" shapeId="0" xr:uid="{9B371887-DAD9-444C-AD28-51347F1B7BBA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497" authorId="0" shapeId="0" xr:uid="{67A9D7C7-94C8-4C68-B79C-F4B5BF62937D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498" authorId="0" shapeId="0" xr:uid="{31B4A23F-91E4-422B-BFDC-977E0A862978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K498" authorId="0" shapeId="0" xr:uid="{A2660FCA-F6F8-42AF-BC0F-FBA7D3D88A6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499" authorId="0" shapeId="0" xr:uid="{D6922C55-35A2-4AE4-B3D5-89A9F3DEC59B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AA499" authorId="0" shapeId="0" xr:uid="{18AE1FB0-D04E-492F-A1B5-0286CA146B01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G501" authorId="0" shapeId="0" xr:uid="{C8E99D4E-5843-453E-8337-DE4A680AE495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502" authorId="0" shapeId="0" xr:uid="{2C6B9C32-6CA3-49F8-9CF4-DA046018C8C5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B503" authorId="0" shapeId="0" xr:uid="{5981BA09-B813-4898-A4A7-A079590396B7}">
      <text>
        <r>
          <rPr>
            <sz val="8"/>
            <color rgb="FF000000"/>
            <rFont val="Tahoma"/>
            <family val="2"/>
          </rPr>
          <t>Moderate Warning  AA003:  Institution name is invalid.</t>
        </r>
      </text>
    </comment>
    <comment ref="G503" authorId="0" shapeId="0" xr:uid="{CEE93E48-A465-4F2F-92B2-49F8BECB486F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504" authorId="0" shapeId="0" xr:uid="{9D2BE7B7-4706-443D-ADCD-34CE6F206528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505" authorId="0" shapeId="0" xr:uid="{4E1DA029-555B-4D63-8BE4-E697E0F84E62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B506" authorId="0" shapeId="0" xr:uid="{926480C7-0BC3-431D-B0A7-8D42B79C5F3D}">
      <text>
        <r>
          <rPr>
            <sz val="8"/>
            <color rgb="FF000000"/>
            <rFont val="Tahoma"/>
            <family val="2"/>
          </rPr>
          <t>Moderate Warning  AA003:  Institution name is invalid.</t>
        </r>
      </text>
    </comment>
    <comment ref="G506" authorId="0" shapeId="0" xr:uid="{EC08D8A5-D7B8-496E-906B-4C84D237FED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AA506" authorId="0" shapeId="0" xr:uid="{B0F49722-7F3F-491F-AB7B-279FC0121811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G508" authorId="0" shapeId="0" xr:uid="{89BF72AB-0F5C-4432-B683-633D041F5434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K512" authorId="0" shapeId="0" xr:uid="{5F0545D7-3C05-431C-8F48-07B375E9C69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513" authorId="0" shapeId="0" xr:uid="{BED22D8B-A9A3-4FEA-897F-1409E268D3EA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514" authorId="0" shapeId="0" xr:uid="{F6C2FBBC-ED31-49F0-8C17-83B590553528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519" authorId="0" shapeId="0" xr:uid="{975AAB89-56AD-4D9E-940E-E7528BC33FB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520" authorId="0" shapeId="0" xr:uid="{FB89E22C-FD40-4B6B-9DFC-5AC31BF25080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523" authorId="0" shapeId="0" xr:uid="{01281421-9CF7-4ABF-933F-C0EEB66169D5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524" authorId="0" shapeId="0" xr:uid="{D08865BB-CB9A-491E-875E-5878A6DD84CA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527" authorId="0" shapeId="0" xr:uid="{0BCB211D-FE52-40B1-9A5C-AD25D747A75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K529" authorId="0" shapeId="0" xr:uid="{6FA0AE7B-1CB0-49DE-9194-88FDA0A4D487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K530" authorId="0" shapeId="0" xr:uid="{5EF261D1-48F1-49AA-8E9F-6BDD69E05B3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533" authorId="0" shapeId="0" xr:uid="{E6E8B8FC-C61D-48A5-97EF-AF81DAE4567B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K533" authorId="0" shapeId="0" xr:uid="{AEE0D637-4DBC-447E-A0B1-85A96689F368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G534" authorId="0" shapeId="0" xr:uid="{A429C7AB-A614-4990-AB2C-6FFFCC28CAF4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K534" authorId="0" shapeId="0" xr:uid="{7E53FC25-65C2-43DD-8C4C-118E6B13D8AA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536" authorId="0" shapeId="0" xr:uid="{CA26D39B-4C00-4B81-AEE8-75819364C85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537" authorId="0" shapeId="0" xr:uid="{CFEC4A74-F40B-4DD1-B012-45CA5C59B8D7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538" authorId="0" shapeId="0" xr:uid="{85D195AB-4A21-4027-8C65-48B9C18D0278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539" authorId="0" shapeId="0" xr:uid="{1E25E0C6-F26A-40D4-B84F-533DAD3F4D59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CY539" authorId="0" shapeId="0" xr:uid="{CDEBF258-1B93-4BAD-A3F1-D0EA5C34E2BC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S540" authorId="0" shapeId="0" xr:uid="{B724D7A9-6ECC-4432-A1CA-00A89BAC281C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541" authorId="0" shapeId="0" xr:uid="{027CC9D3-83B4-4579-B3BB-5DE952536E48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S541" authorId="0" shapeId="0" xr:uid="{8BFFD2F4-D9DD-4909-ACE1-14B7A662D14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A541" authorId="0" shapeId="0" xr:uid="{341347E7-7C19-4905-84AE-60E1EC410076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E541" authorId="0" shapeId="0" xr:uid="{DEE53C35-B831-42A9-B275-A339430446B7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S542" authorId="0" shapeId="0" xr:uid="{CA6544CB-6AA1-4949-BC2A-4CB152EC630C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A542" authorId="0" shapeId="0" xr:uid="{2D42BFCF-D40F-4F62-BF95-8E61FC267414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BE542" authorId="0" shapeId="0" xr:uid="{9F817554-A5F4-4FA5-A487-B83B61575643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M542" authorId="0" shapeId="0" xr:uid="{C650F549-6BAF-4FB4-9F08-CC59DDA1F850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Q542" authorId="0" shapeId="0" xr:uid="{A9EEABC9-8078-476F-A04B-C33198B81DE3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EQ542" authorId="0" shapeId="0" xr:uid="{EB079D06-028F-4E7C-A4E1-80ADBF2142B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K544" authorId="0" shapeId="0" xr:uid="{211D58EE-C658-4163-AFC9-2CE4D863CBEA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S544" authorId="0" shapeId="0" xr:uid="{441E5E1B-1841-4C2C-ABE8-B645DBB853CD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E544" authorId="0" shapeId="0" xr:uid="{2E60E5B7-87C1-4F28-AC9E-F9F92E58D111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I544" authorId="0" shapeId="0" xr:uid="{D57C9511-D840-4E1B-8ADF-21861AFF88B5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DC544" authorId="0" shapeId="0" xr:uid="{B0829D60-076F-4DA8-9CE2-C62788CF4624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K544" authorId="0" shapeId="0" xr:uid="{CD0DA20F-8615-474C-BF20-1B8D1B1D3FC2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K545" authorId="0" shapeId="0" xr:uid="{DEE94359-1F31-4A35-A430-DA9B86DA4611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545" authorId="0" shapeId="0" xr:uid="{E5AA4E25-69E9-4403-ACF7-FE629588693D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I545" authorId="0" shapeId="0" xr:uid="{AA5D82D6-CEF3-4A58-9284-14D694B17401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M545" authorId="0" shapeId="0" xr:uid="{489328E7-76DA-44D8-A0C3-36DFE4145565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CU545" authorId="0" shapeId="0" xr:uid="{ECF35F69-1D9F-48A0-9B29-3627A7A330CF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C545" authorId="0" shapeId="0" xr:uid="{77E67417-8CF6-42EF-8A0D-D307887E964A}">
      <text>
        <r>
          <rPr>
            <sz val="8"/>
            <color rgb="FF000000"/>
            <rFont val="Tahoma"/>
            <family val="2"/>
          </rPr>
          <t>Severe Warning  AA009:  Substancial Metric difference from prior year &gt;= 100%, may be caused by change in CIP ranking</t>
        </r>
      </text>
    </comment>
    <comment ref="S546" authorId="0" shapeId="0" xr:uid="{1D3EBA6E-9589-44C9-8184-7E33F184D56C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D546" authorId="0" shapeId="0" xr:uid="{4EC96A42-7853-44FD-B722-995111040B7A}">
      <text>
        <r>
          <rPr>
            <sz val="8"/>
            <color rgb="FF000000"/>
            <rFont val="Tahoma"/>
            <family val="2"/>
          </rPr>
          <t>Moderate Warning  DC001:  CIP Code is invalid</t>
        </r>
      </text>
    </comment>
    <comment ref="G547" authorId="0" shapeId="0" xr:uid="{C147BC1A-0631-443B-A040-436D8035FBCC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S547" authorId="0" shapeId="0" xr:uid="{9FE28D55-F10C-4115-A4F8-5151262B9AB3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BE547" authorId="0" shapeId="0" xr:uid="{4DC9074E-1E09-4A42-BBA9-9347DF03542B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I547" authorId="0" shapeId="0" xr:uid="{207A5736-324D-4742-97BF-8A3250297F9B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BI548" authorId="0" shapeId="0" xr:uid="{D828CC87-D523-40B1-8D2F-ADD663A4CABE}">
      <text>
        <r>
          <rPr>
            <sz val="8"/>
            <color rgb="FF000000"/>
            <rFont val="Tahoma"/>
            <family val="2"/>
          </rPr>
          <t>Moderate Warning  AA008:  Large Metric difference from prior year &gt;= 100%, may be caused by change in CIP ranking</t>
        </r>
      </text>
    </comment>
    <comment ref="CU548" authorId="0" shapeId="0" xr:uid="{64ABE70D-60BB-4DF0-A603-1BB3F4EAD9BC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DG548" authorId="0" shapeId="0" xr:uid="{9F90E996-A5A3-419F-AF8E-86C11CBD67AC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A549" authorId="0" shapeId="0" xr:uid="{04978EC5-95DB-4A40-B0C1-55E8CA54483B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E549" authorId="0" shapeId="0" xr:uid="{4EC6FB5D-9FC0-4A5D-B26C-DD9781B4C4E4}">
      <text>
        <r>
          <rPr>
            <sz val="8"/>
            <color rgb="FF000000"/>
            <rFont val="Tahoma"/>
            <family val="2"/>
          </rPr>
          <t>Low Warning  AA006:  Metric difference from prior year &gt;= 10%, may be caused by change in CIP ranking</t>
        </r>
      </text>
    </comment>
    <comment ref="B550" authorId="0" shapeId="0" xr:uid="{403F59A6-106F-47E1-B705-1F4323955DAF}">
      <text>
        <r>
          <rPr>
            <sz val="8"/>
            <color rgb="FF000000"/>
            <rFont val="Tahoma"/>
            <family val="2"/>
          </rPr>
          <t>Moderate Warning  AA003:  Institution name is invalid.</t>
        </r>
      </text>
    </comment>
    <comment ref="G611" authorId="0" shapeId="0" xr:uid="{6D878C34-F03B-4332-9CDD-AD6ED3C6309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614" authorId="0" shapeId="0" xr:uid="{0729DC9F-0A41-4A0C-87B6-30131B6AD643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616" authorId="0" shapeId="0" xr:uid="{852A4445-7276-4A69-922B-88E0E63EF6B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617" authorId="0" shapeId="0" xr:uid="{5E4218A4-1F0C-40C3-BD57-3DB737A3DA6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619" authorId="0" shapeId="0" xr:uid="{8B98DBDF-E091-478B-9693-8067A9AEDFDA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620" authorId="0" shapeId="0" xr:uid="{3A5B855F-3AB9-448A-8B58-C9E5B43B4E76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622" authorId="0" shapeId="0" xr:uid="{810D4B46-4062-4BC3-8F0E-C071808B5163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623" authorId="0" shapeId="0" xr:uid="{D556DCCC-2C34-466F-B731-55044DA6BBE8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G624" authorId="0" shapeId="0" xr:uid="{F1F9689A-1E9F-4BF3-AD77-23D8D6342013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625" authorId="0" shapeId="0" xr:uid="{6DF321F3-B48A-4AE3-B379-A2B128BE4AC0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627" authorId="0" shapeId="0" xr:uid="{E36260E8-552F-4A12-95F0-EA0F7C7CC07D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628" authorId="0" shapeId="0" xr:uid="{514E7F89-0A8A-4EDE-8917-908D7440968E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629" authorId="0" shapeId="0" xr:uid="{FA8BE101-468E-4F2D-BD16-25F4AF4505E1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630" authorId="0" shapeId="0" xr:uid="{C652EADC-8D86-4F33-B4D2-F5C3CBF64CE9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631" authorId="0" shapeId="0" xr:uid="{E9B107F8-AEB7-42A0-BEBF-A9FDF4602A5F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632" authorId="0" shapeId="0" xr:uid="{EF7FFAEA-46E8-4095-81C3-418826E81925}">
      <text>
        <r>
          <rPr>
            <sz val="8"/>
            <color rgb="FF000000"/>
            <rFont val="Tahoma"/>
            <family val="2"/>
          </rPr>
          <t xml:space="preserve">Severe Warning  AA009:  Substantial Metric difference from prior year &gt;=100% </t>
        </r>
      </text>
    </comment>
    <comment ref="G633" authorId="0" shapeId="0" xr:uid="{FCB7E3A8-02B7-4BB4-8DED-FE9F87A68C3C}">
      <text>
        <r>
          <rPr>
            <sz val="8"/>
            <color rgb="FF000000"/>
            <rFont val="Tahoma"/>
            <family val="2"/>
          </rPr>
          <t>Moderate Warning  AA008:  Large Metric difference from prior year &gt;= 50%</t>
        </r>
      </text>
    </comment>
    <comment ref="G634" authorId="0" shapeId="0" xr:uid="{F1B15F41-8F2D-48AA-8812-0D7C1C848E67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  <comment ref="G635" authorId="0" shapeId="0" xr:uid="{3053FEF5-9B79-405A-B221-AA6FA2B570D8}">
      <text>
        <r>
          <rPr>
            <sz val="8"/>
            <color rgb="FF000000"/>
            <rFont val="Tahoma"/>
            <family val="2"/>
          </rPr>
          <t xml:space="preserve">Low Warning  AA006:  Metric difference from prior year &gt;= 20%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Excel Validator</author>
  </authors>
  <commentList>
    <comment ref="B494" authorId="0" shapeId="0" xr:uid="{FB0453F7-795C-4064-B44F-414A97C9613C}">
      <text>
        <r>
          <rPr>
            <sz val="8"/>
            <color rgb="FF000000"/>
            <rFont val="Tahoma"/>
            <family val="2"/>
          </rPr>
          <t>Moderate Warning  AA003:  Institution name is invalid.</t>
        </r>
      </text>
    </comment>
    <comment ref="B497" authorId="0" shapeId="0" xr:uid="{C1E0E4A2-5FCB-45DB-87B2-79AC51EE6F77}">
      <text>
        <r>
          <rPr>
            <sz val="8"/>
            <color rgb="FF000000"/>
            <rFont val="Tahoma"/>
            <family val="2"/>
          </rPr>
          <t>Moderate Warning  AA003:  Institution name is invalid.</t>
        </r>
      </text>
    </comment>
    <comment ref="B541" authorId="0" shapeId="0" xr:uid="{1A1D0D14-A193-4E01-8CAB-D86DA01F9159}">
      <text>
        <r>
          <rPr>
            <sz val="8"/>
            <color rgb="FF000000"/>
            <rFont val="Tahoma"/>
            <family val="2"/>
          </rPr>
          <t>Moderate Warning  AA003:  Institution name is invalid.</t>
        </r>
      </text>
    </comment>
  </commentList>
</comments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This connection is used by Excel for communication between the workbook and embedded PowerPivot data, and should not be manually edited or deleted." type="5" refreshedVersion="0" background="1">
    <dbPr connection="Provider=MSOLAP.5;Persist Security Info=True;Initial Catalog=Microsoft_SQLServer_AnalysisServices;Data Source=$Embedded$;MDX Compatibility=1;Safety Options=2;ConnectTo=11.0;MDX Missing Member Mode=Error;Optimize Response=3;Cell Error Mode=TextValue" command="Model" commandType="1"/>
    <olapPr sendLocale="1" rowDrillCount="1000" serverFill="0" serverNumberFormat="0" serverFont="0" serverFontColor="0"/>
  </connection>
</connections>
</file>

<file path=xl/sharedStrings.xml><?xml version="1.0" encoding="utf-8"?>
<sst xmlns="http://schemas.openxmlformats.org/spreadsheetml/2006/main" count="6456" uniqueCount="1225">
  <si>
    <t>Table 1</t>
  </si>
  <si>
    <t xml:space="preserve"> </t>
  </si>
  <si>
    <t>Degrees and Other Awards Conferred</t>
  </si>
  <si>
    <t>All Public Institutions, 2018-19</t>
  </si>
  <si>
    <t>Professional Practice</t>
  </si>
  <si>
    <t>Certifi-     cates</t>
  </si>
  <si>
    <t>Asso-ciate's</t>
  </si>
  <si>
    <t>Bach-   elor's</t>
  </si>
  <si>
    <t>Post-Bach-   elor's</t>
  </si>
  <si>
    <t>Master's</t>
  </si>
  <si>
    <t>Doctoral</t>
  </si>
  <si>
    <t>Law</t>
  </si>
  <si>
    <t>Medicine</t>
  </si>
  <si>
    <t>Dentis-try</t>
  </si>
  <si>
    <t>Phar-    macy</t>
  </si>
  <si>
    <t>Optom-etry</t>
  </si>
  <si>
    <t>Osteo-pathic Medicine</t>
  </si>
  <si>
    <t>Veterinary Medicine</t>
  </si>
  <si>
    <t>Other Professional</t>
  </si>
  <si>
    <t>Total</t>
  </si>
  <si>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</si>
  <si>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</si>
  <si>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</si>
  <si>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</si>
  <si>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</si>
  <si>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</si>
  <si>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</si>
  <si>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</si>
  <si>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</si>
  <si>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</si>
  <si>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</si>
  <si>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</si>
  <si>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</si>
  <si>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</si>
  <si>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</si>
  <si>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</si>
  <si>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</si>
  <si>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Notes:  The "Master's" category includes Education Specialist degrees, other post-master's awards and first-professional certificates. The "Certificates" category includes less than two-year and two- but less than four-year certificates.</t>
  </si>
  <si>
    <t>Table 2</t>
  </si>
  <si>
    <t>All Public Four-Year Universities, 2018-19</t>
  </si>
  <si>
    <t>For DE Highlights</t>
  </si>
  <si>
    <t>Change from prior year</t>
  </si>
  <si>
    <t>Table 3</t>
  </si>
  <si>
    <t>Public Four-Year 1 Universities, 2018-19</t>
  </si>
  <si>
    <t>Table 4</t>
  </si>
  <si>
    <t>Public Four-Year 2 Universities, 2018-19</t>
  </si>
  <si>
    <t>Phar-macy</t>
  </si>
  <si>
    <t>Table 5</t>
  </si>
  <si>
    <t>Public Four-Year 3 Universities, 2018-19</t>
  </si>
  <si>
    <t>Table 6</t>
  </si>
  <si>
    <t>Public Four-Year 4 Universities, 2018-19</t>
  </si>
  <si>
    <t>Health Professions Certificates</t>
  </si>
  <si>
    <t>Table 7</t>
  </si>
  <si>
    <t>Public Four-Year 5 Universities, 2018-19</t>
  </si>
  <si>
    <t>Table 8</t>
  </si>
  <si>
    <t>Public Four-Year 6 Universities, 2018-19</t>
  </si>
  <si>
    <t>Table 9</t>
  </si>
  <si>
    <t>Public Two-Year Colleges, 2018-19</t>
  </si>
  <si>
    <t>All Two-Year</t>
  </si>
  <si>
    <t>Two-Year with Bachelor's</t>
  </si>
  <si>
    <t>Two-Year 1</t>
  </si>
  <si>
    <t>Two-Year 2</t>
  </si>
  <si>
    <t>Two-Year 3</t>
  </si>
  <si>
    <t>Asso- ciate's</t>
  </si>
  <si>
    <t>Bach-    elor's*</t>
  </si>
  <si>
    <t>Bach-    elor's</t>
  </si>
  <si>
    <t>New
Total</t>
  </si>
  <si>
    <t>Old
Total</t>
  </si>
  <si>
    <t>*Bachelor's degrees awarded by Two-Year 1-3 colleges that have not yet met the criteria for Two-Year with Bachelor's are included.</t>
  </si>
  <si>
    <t>Notes:   The "Certificates" category includes less than two-year and two- but less than four-year certificates.</t>
  </si>
  <si>
    <t>Table 10</t>
  </si>
  <si>
    <t>Public Technical Institutes or Colleges, 2018-19</t>
  </si>
  <si>
    <t>All Technical Institutes or Colleges</t>
  </si>
  <si>
    <t>Technical Institute or College 1</t>
  </si>
  <si>
    <t>Technical Institute or College 2</t>
  </si>
  <si>
    <t>Table 11</t>
  </si>
  <si>
    <t>Public Specialized Institutions, 2018-19</t>
  </si>
  <si>
    <t>Table 12</t>
  </si>
  <si>
    <t>Teacher Preparation Bachelor's Degrees</t>
  </si>
  <si>
    <t>Identified in State Level Databases</t>
  </si>
  <si>
    <t>Public Colleges and Universities, 2018-19</t>
  </si>
  <si>
    <t>Medi- cine</t>
  </si>
  <si>
    <t>Vet-
erinary Medicine</t>
  </si>
  <si>
    <t>Other Profes-
sional</t>
  </si>
  <si>
    <t>"Total Doctorates" = "Total Research/Scholarship Doctorates"</t>
  </si>
  <si>
    <t>SREB Type2</t>
  </si>
  <si>
    <t>SREB Type</t>
  </si>
  <si>
    <t>Four-Year</t>
  </si>
  <si>
    <t>Four-Year Total</t>
  </si>
  <si>
    <t>Two-Year</t>
  </si>
  <si>
    <t>Two-Year Total</t>
  </si>
  <si>
    <t>Technical</t>
  </si>
  <si>
    <t>Technical Total</t>
  </si>
  <si>
    <t>Specialized</t>
  </si>
  <si>
    <t>Specialized Total</t>
  </si>
  <si>
    <t>(blank)</t>
  </si>
  <si>
    <t>(blank) Total</t>
  </si>
  <si>
    <t>Grand Total</t>
  </si>
  <si>
    <t>State</t>
  </si>
  <si>
    <t>Values</t>
  </si>
  <si>
    <t>AL</t>
  </si>
  <si>
    <t xml:space="preserve"> Old-Less Than 2-Year</t>
  </si>
  <si>
    <t xml:space="preserve"> New-Less Than 2-Year</t>
  </si>
  <si>
    <t xml:space="preserve"> % Change-Less Than 2-Year</t>
  </si>
  <si>
    <t xml:space="preserve"> Old-2 But Less Than 4-Year</t>
  </si>
  <si>
    <t xml:space="preserve"> New-2 But Less Than 4-Year</t>
  </si>
  <si>
    <t xml:space="preserve"> %Change-2 But Less Than 4-Year</t>
  </si>
  <si>
    <t xml:space="preserve"> Old-Associate's</t>
  </si>
  <si>
    <t xml:space="preserve"> New-Associate's</t>
  </si>
  <si>
    <t xml:space="preserve"> %Change-Associate's</t>
  </si>
  <si>
    <t xml:space="preserve"> Old-Bachelor's</t>
  </si>
  <si>
    <t xml:space="preserve"> New-Bachelor's</t>
  </si>
  <si>
    <t xml:space="preserve"> %Change-Bachelor's</t>
  </si>
  <si>
    <t xml:space="preserve"> Old-Post-Bachelor's</t>
  </si>
  <si>
    <t xml:space="preserve"> New-Post-Bachelor's</t>
  </si>
  <si>
    <t xml:space="preserve"> %Change-Post-Bachelor's</t>
  </si>
  <si>
    <t xml:space="preserve"> Old-Total Master's#</t>
  </si>
  <si>
    <t xml:space="preserve"> New-Total Master's#</t>
  </si>
  <si>
    <t xml:space="preserve"> %Change-Master's</t>
  </si>
  <si>
    <t xml:space="preserve"> Old-Total Doctorates#</t>
  </si>
  <si>
    <t xml:space="preserve"> New-Total Doctorates#</t>
  </si>
  <si>
    <t xml:space="preserve"> %Change-Doctorates</t>
  </si>
  <si>
    <t xml:space="preserve"> Old-Law</t>
  </si>
  <si>
    <t xml:space="preserve"> New-Law</t>
  </si>
  <si>
    <t xml:space="preserve"> %Change-Law</t>
  </si>
  <si>
    <t xml:space="preserve"> Old-Medicine</t>
  </si>
  <si>
    <t xml:space="preserve"> New-Medicine</t>
  </si>
  <si>
    <t xml:space="preserve"> %Change-Medicine</t>
  </si>
  <si>
    <t xml:space="preserve"> Old-Dentistry</t>
  </si>
  <si>
    <t xml:space="preserve"> New-Dentistry</t>
  </si>
  <si>
    <t xml:space="preserve"> %Change-Dentistry</t>
  </si>
  <si>
    <t xml:space="preserve"> Old-Pharmacy</t>
  </si>
  <si>
    <t xml:space="preserve"> New-Pharmacy</t>
  </si>
  <si>
    <t xml:space="preserve"> %Change-Pharmacy</t>
  </si>
  <si>
    <t xml:space="preserve"> Old-Chiropractic</t>
  </si>
  <si>
    <t xml:space="preserve"> New-Chiropractic</t>
  </si>
  <si>
    <t xml:space="preserve"> %Change-Chiropractic</t>
  </si>
  <si>
    <t xml:space="preserve"> Old-Optometry</t>
  </si>
  <si>
    <t xml:space="preserve"> New-Optometry</t>
  </si>
  <si>
    <t xml:space="preserve"> %Change-Optometry</t>
  </si>
  <si>
    <t xml:space="preserve"> Old-Osteopathic Medicine</t>
  </si>
  <si>
    <t xml:space="preserve"> New-Osteopathic Medicine</t>
  </si>
  <si>
    <t xml:space="preserve"> %Change-Osteopathic Medicine</t>
  </si>
  <si>
    <t xml:space="preserve"> Old-Veterinary Medicine</t>
  </si>
  <si>
    <t xml:space="preserve"> New-Veterinary Medicine</t>
  </si>
  <si>
    <t xml:space="preserve"> %Change-Veterinary Medicine</t>
  </si>
  <si>
    <t xml:space="preserve"> Old-Podiatry</t>
  </si>
  <si>
    <t xml:space="preserve"> New-Podiatry</t>
  </si>
  <si>
    <t xml:space="preserve"> %Change-Podiatry</t>
  </si>
  <si>
    <t xml:space="preserve"> Old-Oth PP</t>
  </si>
  <si>
    <t xml:space="preserve"> New-Oth PP</t>
  </si>
  <si>
    <t xml:space="preserve"> %Change-Oth PP</t>
  </si>
  <si>
    <t xml:space="preserve"> Old-Oth Doc</t>
  </si>
  <si>
    <t xml:space="preserve"> New-Oth Doc</t>
  </si>
  <si>
    <t>AR</t>
  </si>
  <si>
    <t>DE</t>
  </si>
  <si>
    <t>FL</t>
  </si>
  <si>
    <t>GA</t>
  </si>
  <si>
    <t>KY</t>
  </si>
  <si>
    <t>LA</t>
  </si>
  <si>
    <t>MD</t>
  </si>
  <si>
    <t>MS</t>
  </si>
  <si>
    <t>NC</t>
  </si>
  <si>
    <t>OK</t>
  </si>
  <si>
    <t>SC</t>
  </si>
  <si>
    <t>TN</t>
  </si>
  <si>
    <t>TX</t>
  </si>
  <si>
    <t>VA</t>
  </si>
  <si>
    <t>WV</t>
  </si>
  <si>
    <t>Total  Old-Less Than 2-Year</t>
  </si>
  <si>
    <t>Total  New-Less Than 2-Year</t>
  </si>
  <si>
    <t>Total  % Change-Less Than 2-Year</t>
  </si>
  <si>
    <t>Total  Old-2 But Less Than 4-Year</t>
  </si>
  <si>
    <t>Total  New-2 But Less Than 4-Year</t>
  </si>
  <si>
    <t>Total  %Change-2 But Less Than 4-Year</t>
  </si>
  <si>
    <t>Total  Old-Associate's</t>
  </si>
  <si>
    <t>Total  New-Associate's</t>
  </si>
  <si>
    <t>Total  %Change-Associate's</t>
  </si>
  <si>
    <t>Total  Old-Bachelor's</t>
  </si>
  <si>
    <t>Total  New-Bachelor's</t>
  </si>
  <si>
    <t>Total  %Change-Bachelor's</t>
  </si>
  <si>
    <t>Total  Old-Post-Bachelor's</t>
  </si>
  <si>
    <t>Total  New-Post-Bachelor's</t>
  </si>
  <si>
    <t>Total  %Change-Post-Bachelor's</t>
  </si>
  <si>
    <t>Total  Old-Total Master's#</t>
  </si>
  <si>
    <t>Total  New-Total Master's#</t>
  </si>
  <si>
    <t>Total  %Change-Master's</t>
  </si>
  <si>
    <t>Total  Old-Total Doctorates#</t>
  </si>
  <si>
    <t>Total  New-Total Doctorates#</t>
  </si>
  <si>
    <t>Total  %Change-Doctorates</t>
  </si>
  <si>
    <t>Total  Old-Law</t>
  </si>
  <si>
    <t>Total  New-Law</t>
  </si>
  <si>
    <t>Total  %Change-Law</t>
  </si>
  <si>
    <t>Total  Old-Medicine</t>
  </si>
  <si>
    <t>Total  New-Medicine</t>
  </si>
  <si>
    <t>Total  %Change-Medicine</t>
  </si>
  <si>
    <t>Total  Old-Dentistry</t>
  </si>
  <si>
    <t>Total  New-Dentistry</t>
  </si>
  <si>
    <t>Total  %Change-Dentistry</t>
  </si>
  <si>
    <t>Total  Old-Pharmacy</t>
  </si>
  <si>
    <t>Total  New-Pharmacy</t>
  </si>
  <si>
    <t>Total  %Change-Pharmacy</t>
  </si>
  <si>
    <t>Total  Old-Chiropractic</t>
  </si>
  <si>
    <t>Total  New-Chiropractic</t>
  </si>
  <si>
    <t>Total  %Change-Chiropractic</t>
  </si>
  <si>
    <t>Total  Old-Optometry</t>
  </si>
  <si>
    <t>Total  New-Optometry</t>
  </si>
  <si>
    <t>Total  %Change-Optometry</t>
  </si>
  <si>
    <t>Total  Old-Osteopathic Medicine</t>
  </si>
  <si>
    <t>Total  New-Osteopathic Medicine</t>
  </si>
  <si>
    <t>Total  %Change-Osteopathic Medicine</t>
  </si>
  <si>
    <t>Total  Old-Veterinary Medicine</t>
  </si>
  <si>
    <t>Total  New-Veterinary Medicine</t>
  </si>
  <si>
    <t>Total  %Change-Veterinary Medicine</t>
  </si>
  <si>
    <t>Total  Old-Podiatry</t>
  </si>
  <si>
    <t>Total  New-Podiatry</t>
  </si>
  <si>
    <t>Total  %Change-Podiatry</t>
  </si>
  <si>
    <t>Total  Old-Oth PP</t>
  </si>
  <si>
    <t>Total  New-Oth PP</t>
  </si>
  <si>
    <t>Total  %Change-Oth PP</t>
  </si>
  <si>
    <t>Total  Old-Oth Doc</t>
  </si>
  <si>
    <t>Total  New-Oth Doc</t>
  </si>
  <si>
    <t xml:space="preserve"> Old-Bach-TeachEd by CIP</t>
  </si>
  <si>
    <t xml:space="preserve"> New-Bach-TeachEd by CIP</t>
  </si>
  <si>
    <t xml:space="preserve"> %Change-Bach-TeachEd by CIP</t>
  </si>
  <si>
    <t xml:space="preserve"> Old-Bach-TeachEd by Courses</t>
  </si>
  <si>
    <t xml:space="preserve"> New-Bach-TeachEd by Courses</t>
  </si>
  <si>
    <t xml:space="preserve"> %Change-Bach-TeachEd by Courses</t>
  </si>
  <si>
    <t xml:space="preserve"> Old-Bach-TeachEd-Other</t>
  </si>
  <si>
    <t xml:space="preserve"> New-Bach-TeachEd-Other</t>
  </si>
  <si>
    <t xml:space="preserve"> %Change-Bach-TeachEd-Other</t>
  </si>
  <si>
    <t xml:space="preserve"> Old-Bach-TeachEd-Subtot</t>
  </si>
  <si>
    <t xml:space="preserve"> New-Bach-TeachEd-Subtot</t>
  </si>
  <si>
    <t xml:space="preserve"> %Change-Bach-TeachEd-Subtot</t>
  </si>
  <si>
    <t>Total  Old-Bach-TeachEd by CIP</t>
  </si>
  <si>
    <t>Total  New-Bach-TeachEd by CIP</t>
  </si>
  <si>
    <t>Total  %Change-Bach-TeachEd by CIP</t>
  </si>
  <si>
    <t>Total  Old-Bach-TeachEd by Courses</t>
  </si>
  <si>
    <t>Total  New-Bach-TeachEd by Courses</t>
  </si>
  <si>
    <t>Total  %Change-Bach-TeachEd by Courses</t>
  </si>
  <si>
    <t>Total  Old-Bach-TeachEd-Other</t>
  </si>
  <si>
    <t>Total  New-Bach-TeachEd-Other</t>
  </si>
  <si>
    <t>Total  %Change-Bach-TeachEd-Other</t>
  </si>
  <si>
    <t>Total  Old-Bach-TeachEd-Subtot</t>
  </si>
  <si>
    <t>Total  New-Bach-TeachEd-Subtot</t>
  </si>
  <si>
    <t>Total  %Change-Bach-TeachEd-Subtot</t>
  </si>
  <si>
    <t xml:space="preserve"> Old-Grand Total</t>
  </si>
  <si>
    <t xml:space="preserve"> New-Grand Total</t>
  </si>
  <si>
    <t xml:space="preserve"> %Change-Grand Total</t>
  </si>
  <si>
    <t>Total  Old-Grand Total</t>
  </si>
  <si>
    <t>Total  New-Grand Total</t>
  </si>
  <si>
    <t>Total  %Change-Grand Total</t>
  </si>
  <si>
    <t>Formulas</t>
  </si>
  <si>
    <r>
      <rPr>
        <b/>
        <sz val="14"/>
        <color theme="0"/>
        <rFont val="Arial"/>
        <family val="2"/>
      </rPr>
      <t xml:space="preserve">Section 1:  Degrees </t>
    </r>
    <r>
      <rPr>
        <sz val="14"/>
        <color theme="0"/>
        <rFont val="Arial"/>
        <family val="2"/>
      </rPr>
      <t>(as in "IPEDS-Completions" from July 1 through June 30)</t>
    </r>
  </si>
  <si>
    <t>Less Than 2-Year Awards</t>
  </si>
  <si>
    <t xml:space="preserve">At Least 2-Year, But Less Than 4-Year Awards </t>
  </si>
  <si>
    <t>Associate Degrees</t>
  </si>
  <si>
    <t>Associate Degrees                                 as a Percent of                                   Total Bachelor's</t>
  </si>
  <si>
    <r>
      <rPr>
        <b/>
        <sz val="10"/>
        <color rgb="FF000000"/>
        <rFont val="Arial"/>
        <family val="2"/>
      </rPr>
      <t xml:space="preserve">Bachelor's   </t>
    </r>
    <r>
      <rPr>
        <sz val="8"/>
        <color rgb="FF000000"/>
        <rFont val="Arial"/>
        <family val="2"/>
      </rPr>
      <t>IPEDS Code 5</t>
    </r>
  </si>
  <si>
    <r>
      <rPr>
        <b/>
        <sz val="10"/>
        <color rgb="FF000000"/>
        <rFont val="Arial"/>
        <family val="2"/>
      </rPr>
      <t xml:space="preserve">Bachelor's   </t>
    </r>
    <r>
      <rPr>
        <sz val="8"/>
        <color rgb="FF000000"/>
        <rFont val="Arial"/>
        <family val="2"/>
      </rPr>
      <t>IPEDS Code 5</t>
    </r>
    <r>
      <rPr>
        <b/>
        <sz val="10"/>
        <color rgb="FF000000"/>
        <rFont val="Arial"/>
        <family val="2"/>
      </rPr>
      <t xml:space="preserve"> </t>
    </r>
  </si>
  <si>
    <r>
      <rPr>
        <b/>
        <sz val="10"/>
        <color rgb="FF000000"/>
        <rFont val="Arial"/>
        <family val="2"/>
      </rPr>
      <t xml:space="preserve">Bachelor's Degrees </t>
    </r>
    <r>
      <rPr>
        <b/>
        <sz val="10"/>
        <color rgb="FFFF0000"/>
        <rFont val="Arial"/>
        <family val="2"/>
      </rPr>
      <t xml:space="preserve">(to be completed ONLY for Two-Year with Bachelor's Colleges (Category 7) </t>
    </r>
    <r>
      <rPr>
        <i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IPEDS Code 5</t>
    </r>
  </si>
  <si>
    <t>Post-Bachelor's Certificates</t>
  </si>
  <si>
    <r>
      <rPr>
        <b/>
        <sz val="10"/>
        <color rgb="FF000000"/>
        <rFont val="Arial"/>
        <family val="2"/>
      </rPr>
      <t xml:space="preserve">Master's/Education Specialist/Post Master's Degrees </t>
    </r>
    <r>
      <rPr>
        <sz val="8"/>
        <color rgb="FF000000"/>
        <rFont val="Arial"/>
        <family val="2"/>
      </rPr>
      <t>IPEDS Codes 7 &amp; 8 (Code 8 in new system includes old code 11 - first professional certificate)</t>
    </r>
  </si>
  <si>
    <t>All Other Master's, Education Specialist &amp; Post-Master's</t>
  </si>
  <si>
    <r>
      <rPr>
        <b/>
        <sz val="10"/>
        <color rgb="FF000000"/>
        <rFont val="Arial"/>
        <family val="2"/>
      </rPr>
      <t>Research/Scholarship Doctoral Degrees</t>
    </r>
    <r>
      <rPr>
        <i/>
        <sz val="8"/>
        <color rgb="FF000000"/>
        <rFont val="Arial"/>
        <family val="2"/>
      </rPr>
      <t xml:space="preserve"> </t>
    </r>
    <r>
      <rPr>
        <sz val="8"/>
        <color rgb="FF000000"/>
        <rFont val="Arial"/>
        <family val="2"/>
      </rPr>
      <t>IPEDS Codes 17</t>
    </r>
  </si>
  <si>
    <t>All Other Research/ Scholarship Doctorate's</t>
  </si>
  <si>
    <r>
      <rPr>
        <b/>
        <sz val="10"/>
        <color rgb="FF000000"/>
        <rFont val="Arial"/>
        <family val="2"/>
      </rPr>
      <t xml:space="preserve">Professional Practice Doctoral Degrees / First Professional Degrees </t>
    </r>
    <r>
      <rPr>
        <sz val="8"/>
        <color rgb="FF000000"/>
        <rFont val="Arial"/>
        <family val="2"/>
      </rPr>
      <t>IPEDS Code 18 (10 in old system)</t>
    </r>
  </si>
  <si>
    <t>Other Doctorate's</t>
  </si>
  <si>
    <t>Data Columns:  White = New Data, Peach = Old Data, Purple/Grey = Calculated Data.</t>
  </si>
  <si>
    <t xml:space="preserve">Number in </t>
  </si>
  <si>
    <r>
      <rPr>
        <b/>
        <sz val="10"/>
        <color rgb="FFFF0000"/>
        <rFont val="Arial"/>
        <family val="2"/>
      </rPr>
      <t>(no longer reported)</t>
    </r>
    <r>
      <rPr>
        <b/>
        <sz val="10"/>
        <color rgb="FF000000"/>
        <rFont val="Arial"/>
        <family val="2"/>
      </rPr>
      <t xml:space="preserve"> Number in </t>
    </r>
  </si>
  <si>
    <r>
      <rPr>
        <b/>
        <sz val="10"/>
        <color rgb="FF000000"/>
        <rFont val="Arial"/>
        <family val="2"/>
      </rPr>
      <t xml:space="preserve">Comments: </t>
    </r>
    <r>
      <rPr>
        <sz val="10"/>
        <color rgb="FF000000"/>
        <rFont val="Arial"/>
        <family val="2"/>
      </rPr>
      <t xml:space="preserve"> Please look for comments and answer questions; add comments as needed</t>
    </r>
  </si>
  <si>
    <t>Teacher Preparation</t>
  </si>
  <si>
    <t>Bachelor's</t>
  </si>
  <si>
    <t>Number</t>
  </si>
  <si>
    <t>Ed Spec and</t>
  </si>
  <si>
    <t>as indicated by…</t>
  </si>
  <si>
    <t>Five 2-Digit CIP Designations with the Largest Number of Awards (list in descending order)</t>
  </si>
  <si>
    <t># of</t>
  </si>
  <si>
    <t>as a % of</t>
  </si>
  <si>
    <t>Ten 2-Digit CIP Designations with the Largest Number of Awards (list in descending order)</t>
  </si>
  <si>
    <t xml:space="preserve">Total  </t>
  </si>
  <si>
    <t xml:space="preserve"># of </t>
  </si>
  <si>
    <t>Research/</t>
  </si>
  <si>
    <t>% Biggest</t>
  </si>
  <si>
    <t>Post-Master's &amp;</t>
  </si>
  <si>
    <t>CIP 51.0101</t>
  </si>
  <si>
    <t>CIP 51.1901</t>
  </si>
  <si>
    <t>CIP 51.2401</t>
  </si>
  <si>
    <t>Major</t>
  </si>
  <si>
    <t>Cour-</t>
  </si>
  <si>
    <t>Sub-</t>
  </si>
  <si>
    <t xml:space="preserve">Total </t>
  </si>
  <si>
    <t>IPEDS Codes 7 &amp; 8 (&amp; old 11)</t>
  </si>
  <si>
    <t>Master's +</t>
  </si>
  <si>
    <t>Scholarship</t>
  </si>
  <si>
    <t>R/S Doctorate's</t>
  </si>
  <si>
    <t>CIP 22.0101</t>
  </si>
  <si>
    <t>CIP 51.1201</t>
  </si>
  <si>
    <t>CIP 51.0401</t>
  </si>
  <si>
    <t>CIP 51.2001</t>
  </si>
  <si>
    <t>Chiropractic</t>
  </si>
  <si>
    <t>CIP 51.1701</t>
  </si>
  <si>
    <t>Osteopathic</t>
  </si>
  <si>
    <t>Veterinary</t>
  </si>
  <si>
    <t>CIP 51.2101</t>
  </si>
  <si>
    <t>Additional Professional Practice Doctorate's</t>
  </si>
  <si>
    <t>Professional</t>
  </si>
  <si>
    <t>(not research or professional)</t>
  </si>
  <si>
    <t>Grand</t>
  </si>
  <si>
    <t>IPEDS Codes 1 &amp; 2</t>
  </si>
  <si>
    <t>IPEDS Code 4</t>
  </si>
  <si>
    <t>IPEDS Code 3</t>
  </si>
  <si>
    <t>(CIP)</t>
  </si>
  <si>
    <t>ses</t>
  </si>
  <si>
    <t>Other</t>
  </si>
  <si>
    <t>2017-18</t>
  </si>
  <si>
    <t>2018-19</t>
  </si>
  <si>
    <t>CIPs</t>
  </si>
  <si>
    <t>Degrees</t>
  </si>
  <si>
    <t>IPEDS Code 6</t>
  </si>
  <si>
    <t>IPEDS Codes 17</t>
  </si>
  <si>
    <t>Doctorate's</t>
  </si>
  <si>
    <t>CIP</t>
  </si>
  <si>
    <t>Dentistry</t>
  </si>
  <si>
    <t>Pharmacy</t>
  </si>
  <si>
    <t>Optometry</t>
  </si>
  <si>
    <t>Podiatry</t>
  </si>
  <si>
    <t>Practice</t>
  </si>
  <si>
    <t>Institution</t>
  </si>
  <si>
    <t>Classification Notes</t>
  </si>
  <si>
    <t>IPEDS #</t>
  </si>
  <si>
    <t>Category</t>
  </si>
  <si>
    <t>Note</t>
  </si>
  <si>
    <t>ID</t>
  </si>
  <si>
    <t>Old-Less Than 2-Year</t>
  </si>
  <si>
    <t>New-Less Than 2-Year</t>
  </si>
  <si>
    <t>Old-2 But Less Than 4-Year</t>
  </si>
  <si>
    <t>New-2 But Less Than 4-Year</t>
  </si>
  <si>
    <t>Old-Associate's</t>
  </si>
  <si>
    <t>New-Associate's</t>
  </si>
  <si>
    <t>Old- Asso % of Bachs</t>
  </si>
  <si>
    <t>New- Asso % of Bachs</t>
  </si>
  <si>
    <t>Old-Bachelor's</t>
  </si>
  <si>
    <t>Old-Bach-TeachEd by CIP</t>
  </si>
  <si>
    <t>Old-Bach-TeachEd by Courses</t>
  </si>
  <si>
    <t>Old-Bach-TeachEd-Other</t>
  </si>
  <si>
    <t>Old-Bach-TeachEd-Subtot</t>
  </si>
  <si>
    <t>New-Bachelor's</t>
  </si>
  <si>
    <t>New-Bach-TeachEd by CIP</t>
  </si>
  <si>
    <t>New-Bach-TeachEd by Courses</t>
  </si>
  <si>
    <t>New-Bach-TeachEd-Other</t>
  </si>
  <si>
    <t>New-Bach-TeachEd-Subtot</t>
  </si>
  <si>
    <t>Old-B1 CIP</t>
  </si>
  <si>
    <t>Old-B1 #</t>
  </si>
  <si>
    <t>New-B1 CIP</t>
  </si>
  <si>
    <t>New-B1 #</t>
  </si>
  <si>
    <t>Old-B2 CIP</t>
  </si>
  <si>
    <t>Old-B2 #</t>
  </si>
  <si>
    <t>New-B2 CIP</t>
  </si>
  <si>
    <t>New-B2 #</t>
  </si>
  <si>
    <t>Old-B3 CIP</t>
  </si>
  <si>
    <t>Old-B3 #</t>
  </si>
  <si>
    <t>New-B3 CIP</t>
  </si>
  <si>
    <t>New-B3 #</t>
  </si>
  <si>
    <t>Old-B4 CIP</t>
  </si>
  <si>
    <t>Old-B4 #</t>
  </si>
  <si>
    <t>New-B4 CIP</t>
  </si>
  <si>
    <t>New-B4 #</t>
  </si>
  <si>
    <t>Old-B5 CIP</t>
  </si>
  <si>
    <t>Old-B5 #</t>
  </si>
  <si>
    <t>New-B5 CIP</t>
  </si>
  <si>
    <t>New-B5 #</t>
  </si>
  <si>
    <t>Old-Bachs#CIPs</t>
  </si>
  <si>
    <t>Old-Bachs % of Tot</t>
  </si>
  <si>
    <t>New-Bachs#CIPs</t>
  </si>
  <si>
    <t>New-Bachs % of Tot</t>
  </si>
  <si>
    <t>Old-Post-Bachelor's</t>
  </si>
  <si>
    <t>New-Post-Bachelor's</t>
  </si>
  <si>
    <t>Old-M1 CIP</t>
  </si>
  <si>
    <t>Old-M1 #</t>
  </si>
  <si>
    <t>New-M1 CIP</t>
  </si>
  <si>
    <t>New-M1 #</t>
  </si>
  <si>
    <t>Old-M2 CIP</t>
  </si>
  <si>
    <t>Old-M2 #</t>
  </si>
  <si>
    <t>New-M2 CIP</t>
  </si>
  <si>
    <t>New-M2 #</t>
  </si>
  <si>
    <t>Old-M3 CIP</t>
  </si>
  <si>
    <t>Old-M3 #</t>
  </si>
  <si>
    <t>New-M3 CIP</t>
  </si>
  <si>
    <t>New-M3 #</t>
  </si>
  <si>
    <t>Old-M4 CIP</t>
  </si>
  <si>
    <t>Old-M4 #</t>
  </si>
  <si>
    <t>New-M4 CIP</t>
  </si>
  <si>
    <t>New-M4 #</t>
  </si>
  <si>
    <t>Old-M5 CIP</t>
  </si>
  <si>
    <t>Old-M5 #</t>
  </si>
  <si>
    <t>New-M5 CIP</t>
  </si>
  <si>
    <t>New-M5 #</t>
  </si>
  <si>
    <t>Old-M6 CIP</t>
  </si>
  <si>
    <t>Old-M6 #</t>
  </si>
  <si>
    <t>New-M6 CIP</t>
  </si>
  <si>
    <t>New-M6 #</t>
  </si>
  <si>
    <t>Old-M7 CIP</t>
  </si>
  <si>
    <t>Old-M7 #</t>
  </si>
  <si>
    <t>New-M7 CIP</t>
  </si>
  <si>
    <t>New-M7 #</t>
  </si>
  <si>
    <t>Old-M8 CIP</t>
  </si>
  <si>
    <t>Old-M8 #</t>
  </si>
  <si>
    <t>New-M8 CIP</t>
  </si>
  <si>
    <t>New-M8 #</t>
  </si>
  <si>
    <t>Old-M9 CIP</t>
  </si>
  <si>
    <t>Old-M9 #</t>
  </si>
  <si>
    <t>New-M9 CIP</t>
  </si>
  <si>
    <t>New-M9 #</t>
  </si>
  <si>
    <t>Old-M10 CIP</t>
  </si>
  <si>
    <t>Old-M10 #</t>
  </si>
  <si>
    <t>New-M10 CIP</t>
  </si>
  <si>
    <t>New-M10 #</t>
  </si>
  <si>
    <t>Old-Other Master's</t>
  </si>
  <si>
    <t>New-Other Master's</t>
  </si>
  <si>
    <t>Old-Total Master's#</t>
  </si>
  <si>
    <t>Old-Master'sCIP</t>
  </si>
  <si>
    <t>New-Total Master's#</t>
  </si>
  <si>
    <t>New-Master's CIP</t>
  </si>
  <si>
    <t>Old-D1 CIP</t>
  </si>
  <si>
    <t>Old-D1 #</t>
  </si>
  <si>
    <t>New-D1 CIP</t>
  </si>
  <si>
    <t>New-D1 #</t>
  </si>
  <si>
    <t>Old-D2 CIP</t>
  </si>
  <si>
    <t>Old-D2 #</t>
  </si>
  <si>
    <t>New-D2 CIP</t>
  </si>
  <si>
    <t>New-D2 #</t>
  </si>
  <si>
    <t>Old-D3 CIP</t>
  </si>
  <si>
    <t>Old-D3 #</t>
  </si>
  <si>
    <t>New-D3 CIP</t>
  </si>
  <si>
    <t>New-D3 #</t>
  </si>
  <si>
    <t>Old-D4 CIP</t>
  </si>
  <si>
    <t>Old-D4 #</t>
  </si>
  <si>
    <t>New-D4 CIP</t>
  </si>
  <si>
    <t>New-D4 #</t>
  </si>
  <si>
    <t>Old-D5 CIP</t>
  </si>
  <si>
    <t>Old-D5 #</t>
  </si>
  <si>
    <t>New-D5 CIP</t>
  </si>
  <si>
    <t>New-D5 #</t>
  </si>
  <si>
    <t>Old-D6 CIP</t>
  </si>
  <si>
    <t>Old-D6 #</t>
  </si>
  <si>
    <t>New-D6 CIP</t>
  </si>
  <si>
    <t>New-D6 #</t>
  </si>
  <si>
    <t>Old-D7 CIP</t>
  </si>
  <si>
    <t>Old-D7 #</t>
  </si>
  <si>
    <t>New-D7 CIP</t>
  </si>
  <si>
    <t>New-D7 #</t>
  </si>
  <si>
    <t>Old-D8 CIP</t>
  </si>
  <si>
    <t>Old-D8 #</t>
  </si>
  <si>
    <t>New-D8 CIP</t>
  </si>
  <si>
    <t>New-D8 #</t>
  </si>
  <si>
    <t>Old-D9 CIP</t>
  </si>
  <si>
    <t>Old-D9 #</t>
  </si>
  <si>
    <t>New-D9 CIP</t>
  </si>
  <si>
    <t>New-D9 #</t>
  </si>
  <si>
    <t>Old-D10 CIP</t>
  </si>
  <si>
    <t>Old-D10 #</t>
  </si>
  <si>
    <t>New-D10 CIP</t>
  </si>
  <si>
    <t>New-D10 #</t>
  </si>
  <si>
    <t>Old-Other Doctorates</t>
  </si>
  <si>
    <t>New-Other Doctorates</t>
  </si>
  <si>
    <t>Old-Total Doctorates#</t>
  </si>
  <si>
    <t>Old-Doctoral CIPs</t>
  </si>
  <si>
    <t>Old-%biggestCIP</t>
  </si>
  <si>
    <t>New-Total Doctorates#</t>
  </si>
  <si>
    <t>New-Doctoral CIPs</t>
  </si>
  <si>
    <t>New-%biggestCIP</t>
  </si>
  <si>
    <t>Old-Total Advanced Degrees</t>
  </si>
  <si>
    <t>New-Total Advanced Degrees</t>
  </si>
  <si>
    <t>Old-Law</t>
  </si>
  <si>
    <t>New-Law</t>
  </si>
  <si>
    <t>Old-Medicine</t>
  </si>
  <si>
    <t>New-Medicine</t>
  </si>
  <si>
    <t>Old-Dentistry</t>
  </si>
  <si>
    <t>New-Dentistry</t>
  </si>
  <si>
    <t>Old-Pharmacy</t>
  </si>
  <si>
    <t>New-Pharmacy</t>
  </si>
  <si>
    <t>Old-Chiropractic</t>
  </si>
  <si>
    <t>New-Chiropractic</t>
  </si>
  <si>
    <t>Old-Optometry</t>
  </si>
  <si>
    <t>New-Optometry</t>
  </si>
  <si>
    <t>Old-Osteopathic Medicine</t>
  </si>
  <si>
    <t>New-Osteopathic Medicine</t>
  </si>
  <si>
    <t>Old-Veterinary Medicine</t>
  </si>
  <si>
    <t>New-Veterinary Medicine</t>
  </si>
  <si>
    <t>Old-Podiatry</t>
  </si>
  <si>
    <t>New-Podiatry</t>
  </si>
  <si>
    <t>Old-Oth PP</t>
  </si>
  <si>
    <t>New-Oth PP</t>
  </si>
  <si>
    <t>Old-FP Total</t>
  </si>
  <si>
    <t>New-FP Total</t>
  </si>
  <si>
    <t>Old-Oth Doc</t>
  </si>
  <si>
    <t>New-Oth Doc</t>
  </si>
  <si>
    <t>Old-Grand Total</t>
  </si>
  <si>
    <t>New-Grand Total</t>
  </si>
  <si>
    <t>Auburn University</t>
  </si>
  <si>
    <t xml:space="preserve">University of Alabama </t>
  </si>
  <si>
    <t>University of Alabama at Birmingham</t>
  </si>
  <si>
    <t>University of Alabama in Huntsville</t>
  </si>
  <si>
    <t>Met the criteria for Four-Year 3 in 2018-19 and 2019-20.</t>
  </si>
  <si>
    <t>University of South Alabama</t>
  </si>
  <si>
    <t>Alabama Agricultural &amp; Mechanical University</t>
  </si>
  <si>
    <t xml:space="preserve">Jacksonville State University </t>
  </si>
  <si>
    <t>Troy University</t>
  </si>
  <si>
    <t>University of North Alabama</t>
  </si>
  <si>
    <t xml:space="preserve">Alabama State University </t>
  </si>
  <si>
    <t>Auburn University at Montgomery</t>
  </si>
  <si>
    <t>University of Montevallo</t>
  </si>
  <si>
    <t>University of West Alabama</t>
  </si>
  <si>
    <t>Athens State University</t>
  </si>
  <si>
    <t>Met the criteria for Four-Year 5 in 2019-20.</t>
  </si>
  <si>
    <t>Jefferson State Community College</t>
  </si>
  <si>
    <t xml:space="preserve">John C. Calhoun Community College </t>
  </si>
  <si>
    <t>Bevill State Community College</t>
  </si>
  <si>
    <t>Bishop State Community College</t>
  </si>
  <si>
    <t>Coastal Alabama Community College</t>
  </si>
  <si>
    <t>Gadsden State Community College</t>
  </si>
  <si>
    <t>George C. Wallace Community College-Dothan</t>
  </si>
  <si>
    <t>George C. Wallace State Community College-Hanceville</t>
  </si>
  <si>
    <t xml:space="preserve">Lawson State Community College </t>
  </si>
  <si>
    <t>Northwest-Shoals Community College</t>
  </si>
  <si>
    <t>Shelton State Community College</t>
  </si>
  <si>
    <t>Southern Union State Community College</t>
  </si>
  <si>
    <t>Central Alabama Community College</t>
  </si>
  <si>
    <t>Chattahoochee Valley Community College</t>
  </si>
  <si>
    <t>Enterprise State Community College</t>
  </si>
  <si>
    <t>George Corley Wallace State Community College - Selma</t>
  </si>
  <si>
    <t xml:space="preserve">Lurleen B. Wallace Community College </t>
  </si>
  <si>
    <t>Northeast Alabama Community College</t>
  </si>
  <si>
    <t>Met the criteria for Two-Year 2 in 2018-19 and 2019-20.</t>
  </si>
  <si>
    <t xml:space="preserve">Snead State Community College </t>
  </si>
  <si>
    <t>H. Councill Trenholm State Community College</t>
  </si>
  <si>
    <t>J.F. Drake State Community and Technical College</t>
  </si>
  <si>
    <t xml:space="preserve">J.F. Ingram State Technical College </t>
  </si>
  <si>
    <t xml:space="preserve">Reid State Technical College </t>
  </si>
  <si>
    <t>Marion Military Institute</t>
  </si>
  <si>
    <t>University of Arkansas, Fayetteville</t>
  </si>
  <si>
    <t>University of Arkansas at Little Rock</t>
  </si>
  <si>
    <t>Arkansas State University</t>
  </si>
  <si>
    <t>Arkansas Tech University</t>
  </si>
  <si>
    <t xml:space="preserve">University of Central Arkansas </t>
  </si>
  <si>
    <t>Henderson State University</t>
  </si>
  <si>
    <t>Southern Arkansas University</t>
  </si>
  <si>
    <t>University of Arkansas at Monticello</t>
  </si>
  <si>
    <t>University of Arkansas at Fort Smith</t>
  </si>
  <si>
    <t>University of Arkansas at Pine Bluff</t>
  </si>
  <si>
    <t xml:space="preserve">Northwest Arkansas Community College </t>
  </si>
  <si>
    <t>Arkansas State University-Beebe</t>
  </si>
  <si>
    <t>University of Arkansas - Pulaski Technical College</t>
  </si>
  <si>
    <t>Arkansas Northeastern College</t>
  </si>
  <si>
    <t>Arkansas State University Mid-South</t>
  </si>
  <si>
    <t>Arkansas State University Mountain Home</t>
  </si>
  <si>
    <t>Arkansas State University Three Rivers</t>
  </si>
  <si>
    <t>2019-20: Institution joined one of our university systems</t>
  </si>
  <si>
    <t>Arkansas State University-Newport</t>
  </si>
  <si>
    <t>Black River Technical College</t>
  </si>
  <si>
    <t>Cossatot Community College of the University of Arkansas</t>
  </si>
  <si>
    <t xml:space="preserve">East Arkansas Community College </t>
  </si>
  <si>
    <t>National Park College</t>
  </si>
  <si>
    <t>North Arkansas College</t>
  </si>
  <si>
    <t xml:space="preserve">Ozarka College </t>
  </si>
  <si>
    <t>Phillips Community College of the Univ of Arkansas</t>
  </si>
  <si>
    <t>South Arkansas Community College</t>
  </si>
  <si>
    <t>Southeast Arkansas College</t>
  </si>
  <si>
    <t>Southern Arkansas University Tech</t>
  </si>
  <si>
    <t>University of Arkansas Community College at Batesville</t>
  </si>
  <si>
    <t>University of Arkansas Community College at Hope-Texarkana</t>
  </si>
  <si>
    <t>University of Arkansas Community College at Morrilton</t>
  </si>
  <si>
    <t>University of Arkansas Community College Rich Mountain</t>
  </si>
  <si>
    <t>University of Arkansas for Medical Sciences</t>
  </si>
  <si>
    <t>University of Delaware</t>
  </si>
  <si>
    <t>Delaware State University</t>
  </si>
  <si>
    <t>Delaware Technical and Community College--Terry</t>
  </si>
  <si>
    <t xml:space="preserve">Met the criteria for Two-Year with Bachelor's in 2019-20. </t>
  </si>
  <si>
    <t xml:space="preserve">Broward College </t>
  </si>
  <si>
    <t xml:space="preserve">Chipola College </t>
  </si>
  <si>
    <t>College of Central Florida</t>
  </si>
  <si>
    <t xml:space="preserve">Daytona State College </t>
  </si>
  <si>
    <t>Eastern Florida State College</t>
  </si>
  <si>
    <t>Florida Gateway College</t>
  </si>
  <si>
    <t>Florida SouthWestern State College</t>
  </si>
  <si>
    <t>Florida State College at Jacksonville</t>
  </si>
  <si>
    <t xml:space="preserve">Gulf Coast State College </t>
  </si>
  <si>
    <t xml:space="preserve">Indian River State College </t>
  </si>
  <si>
    <t xml:space="preserve">Lake-Sumter State College </t>
  </si>
  <si>
    <t xml:space="preserve">Miami Dade College </t>
  </si>
  <si>
    <t>Northwest Florida State College</t>
  </si>
  <si>
    <t xml:space="preserve">Palm Beach State College </t>
  </si>
  <si>
    <t xml:space="preserve">Pasco-Hernando State College </t>
  </si>
  <si>
    <t xml:space="preserve">Pensacola State College </t>
  </si>
  <si>
    <t xml:space="preserve">Polk State College </t>
  </si>
  <si>
    <t xml:space="preserve">Santa Fe College </t>
  </si>
  <si>
    <t>Seminole State College of Florida</t>
  </si>
  <si>
    <t xml:space="preserve">South Florida State College </t>
  </si>
  <si>
    <t xml:space="preserve">St. Johns River State College </t>
  </si>
  <si>
    <t xml:space="preserve">St. Petersburg College </t>
  </si>
  <si>
    <t>State College of Florida, Manatee-Sarasota</t>
  </si>
  <si>
    <t xml:space="preserve">Valencia College </t>
  </si>
  <si>
    <t xml:space="preserve">Hillsborough Community College </t>
  </si>
  <si>
    <t xml:space="preserve">Tallahassee Community College </t>
  </si>
  <si>
    <t xml:space="preserve">North Florida College </t>
  </si>
  <si>
    <t>The College of the Florida Keys</t>
  </si>
  <si>
    <t xml:space="preserve">Met the criteria for Two-Year with Bachelor's in 2018-19 and 2019-20. </t>
  </si>
  <si>
    <t xml:space="preserve">Georgia State University </t>
  </si>
  <si>
    <t>52</t>
  </si>
  <si>
    <t>13</t>
  </si>
  <si>
    <t>51</t>
  </si>
  <si>
    <t>11</t>
  </si>
  <si>
    <t>44</t>
  </si>
  <si>
    <t>26</t>
  </si>
  <si>
    <t>45</t>
  </si>
  <si>
    <t>40</t>
  </si>
  <si>
    <t>27</t>
  </si>
  <si>
    <t>42</t>
  </si>
  <si>
    <t>50</t>
  </si>
  <si>
    <t>23</t>
  </si>
  <si>
    <t>09</t>
  </si>
  <si>
    <t>University of Georgia</t>
  </si>
  <si>
    <t>01</t>
  </si>
  <si>
    <t>31</t>
  </si>
  <si>
    <t>03</t>
  </si>
  <si>
    <t>16</t>
  </si>
  <si>
    <t>Georgia Institute of Technology</t>
  </si>
  <si>
    <t>14</t>
  </si>
  <si>
    <t>04</t>
  </si>
  <si>
    <t>54</t>
  </si>
  <si>
    <t>Georgia Southern University</t>
  </si>
  <si>
    <t>Met the criteria for Four-Year 2 in 2019-20.</t>
  </si>
  <si>
    <t>15</t>
  </si>
  <si>
    <t>Kennesaw State University</t>
  </si>
  <si>
    <t>30</t>
  </si>
  <si>
    <t>University of West Georgia</t>
  </si>
  <si>
    <t xml:space="preserve">Valdosta State University </t>
  </si>
  <si>
    <t>25</t>
  </si>
  <si>
    <t xml:space="preserve">Albany State University </t>
  </si>
  <si>
    <t>43</t>
  </si>
  <si>
    <t>Augusta University</t>
  </si>
  <si>
    <t>Clayton State University</t>
  </si>
  <si>
    <t>24</t>
  </si>
  <si>
    <t>Columbus State University</t>
  </si>
  <si>
    <t>Fort Valley State University</t>
  </si>
  <si>
    <t>Georgia College and State University</t>
  </si>
  <si>
    <t>Georgia Southwestern State University</t>
  </si>
  <si>
    <t>University of North Georgia</t>
  </si>
  <si>
    <t>Savannah State University</t>
  </si>
  <si>
    <t xml:space="preserve">College of Coastal Georgia </t>
  </si>
  <si>
    <t xml:space="preserve">Dalton State College </t>
  </si>
  <si>
    <t>Georgia Gwinnett College</t>
  </si>
  <si>
    <t>Middle Georgia State College</t>
  </si>
  <si>
    <t xml:space="preserve">Abraham Baldwin Agricultural College </t>
  </si>
  <si>
    <t>Atlanta Metropolitan State College</t>
  </si>
  <si>
    <t>East Georgia State College</t>
  </si>
  <si>
    <t>Georgia Highlands College</t>
  </si>
  <si>
    <t xml:space="preserve">Gordon State College </t>
  </si>
  <si>
    <t>South Georgia State College</t>
  </si>
  <si>
    <t>Albany Technical College</t>
  </si>
  <si>
    <t>Athens Technical College</t>
  </si>
  <si>
    <t>Atlanta Technical College</t>
  </si>
  <si>
    <t>Augusta Technical College</t>
  </si>
  <si>
    <t>Central Georgia Technical College</t>
  </si>
  <si>
    <t>Chattahoochee Technical College</t>
  </si>
  <si>
    <t>Coastal Pines Technical College</t>
  </si>
  <si>
    <t>Columbus Technical College</t>
  </si>
  <si>
    <t>Georgia Northwestern Technical College</t>
  </si>
  <si>
    <t>Georgia Piedmont Technical College</t>
  </si>
  <si>
    <t>Gwinnett Technical College</t>
  </si>
  <si>
    <t>Lanier Technical College</t>
  </si>
  <si>
    <t>North Georgia Technical College</t>
  </si>
  <si>
    <t>Oconee Fall Line Technical College</t>
  </si>
  <si>
    <t>Ogeechee Technical College</t>
  </si>
  <si>
    <t>Savannah Technical College</t>
  </si>
  <si>
    <t>South Georgia Technical College</t>
  </si>
  <si>
    <t>Southeastern Technical College</t>
  </si>
  <si>
    <t>Southern Crescent Technical College</t>
  </si>
  <si>
    <t>Southern Regional Technical College</t>
  </si>
  <si>
    <t>West Georgia Technical College</t>
  </si>
  <si>
    <t>Wiregrass Georgia Technical College</t>
  </si>
  <si>
    <t>University of Kentucky</t>
  </si>
  <si>
    <t>University of Louisville</t>
  </si>
  <si>
    <t xml:space="preserve">Eastern Kentucky University </t>
  </si>
  <si>
    <t xml:space="preserve">Morehead State University </t>
  </si>
  <si>
    <t xml:space="preserve">Murray State University </t>
  </si>
  <si>
    <t xml:space="preserve">Northern Kentucky University </t>
  </si>
  <si>
    <t xml:space="preserve">Western Kentucky University </t>
  </si>
  <si>
    <t xml:space="preserve">Kentucky State University </t>
  </si>
  <si>
    <t>Bluegrass Community and Technical College</t>
  </si>
  <si>
    <t xml:space="preserve">Jefferson Community and Technical College </t>
  </si>
  <si>
    <t>Ashland Community and Technical College</t>
  </si>
  <si>
    <t xml:space="preserve">Big Sandy Community and Technical College </t>
  </si>
  <si>
    <t xml:space="preserve">Elizabethtown Community and Technical College </t>
  </si>
  <si>
    <t xml:space="preserve">Maysville Community and Technical College </t>
  </si>
  <si>
    <t xml:space="preserve">Owensboro Community and Technical College </t>
  </si>
  <si>
    <t xml:space="preserve">Somerset Community and Technical College </t>
  </si>
  <si>
    <t>West Kentucky Community and Technical College</t>
  </si>
  <si>
    <t>Hazard Community and Technical College</t>
  </si>
  <si>
    <t xml:space="preserve">Henderson Community College </t>
  </si>
  <si>
    <t xml:space="preserve">Hopkinsville Community College </t>
  </si>
  <si>
    <t>Madisonville Community College</t>
  </si>
  <si>
    <t>Southeast Kentucky Community and Technical College</t>
  </si>
  <si>
    <t>Gateway Community and Technical College</t>
  </si>
  <si>
    <t>Southcentral Kentucky Community and Technical College</t>
  </si>
  <si>
    <t>Louisiana State University and A&amp;M College</t>
  </si>
  <si>
    <t xml:space="preserve">Louisiana Tech University </t>
  </si>
  <si>
    <t>University of Louisiana at Lafayette</t>
  </si>
  <si>
    <t>University of New Orleans</t>
  </si>
  <si>
    <t>McNeese State University</t>
  </si>
  <si>
    <t xml:space="preserve">Southeastern Louisiana University </t>
  </si>
  <si>
    <t xml:space="preserve">Southern University and A&amp;M College at Baton Rouge </t>
  </si>
  <si>
    <t>University of Louisiana at Monroe</t>
  </si>
  <si>
    <t>Grambling State University</t>
  </si>
  <si>
    <t>Louisiana State University in Shreveport</t>
  </si>
  <si>
    <t xml:space="preserve">Nicholls State University </t>
  </si>
  <si>
    <t>Northwestern State University</t>
  </si>
  <si>
    <t>Southern University at New Orleans</t>
  </si>
  <si>
    <t>Louisiana State University at Alexandria</t>
  </si>
  <si>
    <t>Baton Rouge Community College</t>
  </si>
  <si>
    <t>Bossier Parish Community College</t>
  </si>
  <si>
    <t xml:space="preserve">Delgado Community College </t>
  </si>
  <si>
    <t>Louisiana Delta Community College</t>
  </si>
  <si>
    <t>South Louisiana Community College</t>
  </si>
  <si>
    <t>Southern University in Shreveport</t>
  </si>
  <si>
    <t>Louisiana State University at Eunice</t>
  </si>
  <si>
    <t>Nunez Community College</t>
  </si>
  <si>
    <t>River Parishes Community College</t>
  </si>
  <si>
    <t>Central LA Technical Community College</t>
  </si>
  <si>
    <t>L.E. Fletcher Technical Community College</t>
  </si>
  <si>
    <t>Northshore Technical College</t>
  </si>
  <si>
    <t>Northwest LA Technical College</t>
  </si>
  <si>
    <t>Sowela Technical Community College</t>
  </si>
  <si>
    <t>Louisiana State University Health Sciences Center - New Orleans</t>
  </si>
  <si>
    <t>Louisiana State University Health Sciences Center - Shreveport</t>
  </si>
  <si>
    <t>Southern University Law Center</t>
  </si>
  <si>
    <t>Mississippi State University</t>
  </si>
  <si>
    <t>University of Mississippi</t>
  </si>
  <si>
    <t>University of Southern Mississippi</t>
  </si>
  <si>
    <t xml:space="preserve">Jackson State University </t>
  </si>
  <si>
    <t>Alcorn State University</t>
  </si>
  <si>
    <t>Delta State University</t>
  </si>
  <si>
    <t>Mississippi Valley State University</t>
  </si>
  <si>
    <t>Mississippi University for Women</t>
  </si>
  <si>
    <t xml:space="preserve">North Carolina State University </t>
  </si>
  <si>
    <t xml:space="preserve">University of North Carolina at Chapel Hill </t>
  </si>
  <si>
    <t>University of North Carolina at Charlotte</t>
  </si>
  <si>
    <t>University of North Carolina at Greensboro</t>
  </si>
  <si>
    <t xml:space="preserve">East Carolina University </t>
  </si>
  <si>
    <t xml:space="preserve">Appalachian State University </t>
  </si>
  <si>
    <t>North Carolina A&amp;T State University</t>
  </si>
  <si>
    <t xml:space="preserve">North Carolina Central University </t>
  </si>
  <si>
    <t>University of North Carolina at Wilmington</t>
  </si>
  <si>
    <t xml:space="preserve">Western Carolina University </t>
  </si>
  <si>
    <t xml:space="preserve">Fayetteville State University </t>
  </si>
  <si>
    <t>University of North Carolina at Pembroke</t>
  </si>
  <si>
    <t xml:space="preserve">Winston-Salem State University </t>
  </si>
  <si>
    <t xml:space="preserve">Elizabeth City State University </t>
  </si>
  <si>
    <t>University of North Carolina at Asheville</t>
  </si>
  <si>
    <t>University of North Carolina School of the Arts</t>
  </si>
  <si>
    <t>Asheville-Buncombe Technical Community College</t>
  </si>
  <si>
    <t>Cape Fear Community College</t>
  </si>
  <si>
    <t xml:space="preserve">Central Piedmont Community College </t>
  </si>
  <si>
    <t>Fayetteville Technical Community College</t>
  </si>
  <si>
    <t>Forsyth Technical Community College</t>
  </si>
  <si>
    <t>Guilford Technical Community College</t>
  </si>
  <si>
    <t>Pitt Community College</t>
  </si>
  <si>
    <t>Rowan-Cabarrus Community College</t>
  </si>
  <si>
    <t>Wake Technical Community College</t>
  </si>
  <si>
    <t>Alamance Community College</t>
  </si>
  <si>
    <t>Caldwell Community College &amp; Technical Institute</t>
  </si>
  <si>
    <t>Catawba Valley Community College</t>
  </si>
  <si>
    <t>Central Carolina Commuity College</t>
  </si>
  <si>
    <t>Cleveland Community College</t>
  </si>
  <si>
    <t xml:space="preserve">Coastal Carolina Community College </t>
  </si>
  <si>
    <t xml:space="preserve">Craven Community College </t>
  </si>
  <si>
    <t>Durham Technical Community College</t>
  </si>
  <si>
    <t xml:space="preserve">Gaston College </t>
  </si>
  <si>
    <t>Johnston Community College</t>
  </si>
  <si>
    <t xml:space="preserve">Lenoir Community College </t>
  </si>
  <si>
    <t xml:space="preserve">Mitchell Community College </t>
  </si>
  <si>
    <t>Nash Community College</t>
  </si>
  <si>
    <t>Randolph Community College</t>
  </si>
  <si>
    <t>Richmond Community College</t>
  </si>
  <si>
    <t xml:space="preserve">Sandhills Community College </t>
  </si>
  <si>
    <t>South Piedmont Community College</t>
  </si>
  <si>
    <t>Stanly Community College</t>
  </si>
  <si>
    <t xml:space="preserve">Surry Community College </t>
  </si>
  <si>
    <t xml:space="preserve">Vance-Granville Community College </t>
  </si>
  <si>
    <t>Wayne Community College</t>
  </si>
  <si>
    <t xml:space="preserve">Wilkes Community College </t>
  </si>
  <si>
    <t xml:space="preserve">Beaufort County Community College </t>
  </si>
  <si>
    <t>Bladen Community College</t>
  </si>
  <si>
    <t>Blue Ridge Community College</t>
  </si>
  <si>
    <t>Brunswick Community College</t>
  </si>
  <si>
    <t>Carteret Community College</t>
  </si>
  <si>
    <t>Met the criteria for Two-Year 2 in 2019-20.</t>
  </si>
  <si>
    <t>Edgecombe Community College</t>
  </si>
  <si>
    <t xml:space="preserve">Halifax Community College </t>
  </si>
  <si>
    <t>Haywood Community College</t>
  </si>
  <si>
    <t xml:space="preserve">Isothermal Community College </t>
  </si>
  <si>
    <t>James Sprunt Community College</t>
  </si>
  <si>
    <t xml:space="preserve">Martin Community College </t>
  </si>
  <si>
    <t>Mayland Community College</t>
  </si>
  <si>
    <t>McDowell Technical Community College</t>
  </si>
  <si>
    <t>Montgomery Community College</t>
  </si>
  <si>
    <t>Pamlico Community College</t>
  </si>
  <si>
    <t>Piedmont Community College</t>
  </si>
  <si>
    <t>Roanoke-Chowan Community College</t>
  </si>
  <si>
    <t>Robeson Community College</t>
  </si>
  <si>
    <t xml:space="preserve">Rockingham Community College </t>
  </si>
  <si>
    <t>Sampson Community College</t>
  </si>
  <si>
    <t xml:space="preserve">Southeastern Community College </t>
  </si>
  <si>
    <t xml:space="preserve">Southwestern Community College </t>
  </si>
  <si>
    <t xml:space="preserve">Tri-County Community College </t>
  </si>
  <si>
    <t xml:space="preserve">Western Piedmont Community College </t>
  </si>
  <si>
    <t>Wilson Community College</t>
  </si>
  <si>
    <t xml:space="preserve">Canadian Valley Technology Center                 </t>
  </si>
  <si>
    <t xml:space="preserve">Francis Tuttle Technology Center                  </t>
  </si>
  <si>
    <t xml:space="preserve">Tulsa Technology Center-Lemley Campus             </t>
  </si>
  <si>
    <t>Met the criteria for Technical Institute or College 2 in 2019-20.</t>
  </si>
  <si>
    <t xml:space="preserve">Autry Technology Center                           </t>
  </si>
  <si>
    <t xml:space="preserve">Caddo Kiowa Technology Center                     </t>
  </si>
  <si>
    <t xml:space="preserve">Central Technology Center                         </t>
  </si>
  <si>
    <t xml:space="preserve">Chisholm Trail Technology Center                  </t>
  </si>
  <si>
    <t xml:space="preserve">Eastern Oklahoma County Technology Center         </t>
  </si>
  <si>
    <t xml:space="preserve">Gordon Cooper Technology Center                   </t>
  </si>
  <si>
    <t xml:space="preserve">Great Plains Technology Center                    </t>
  </si>
  <si>
    <t xml:space="preserve">Green Country Technology Center                   </t>
  </si>
  <si>
    <t xml:space="preserve">High Plains Technology Center                     </t>
  </si>
  <si>
    <t xml:space="preserve">Indian Capital Technology Center-Muskogee         </t>
  </si>
  <si>
    <t xml:space="preserve">Indian Capital Technology Center-Sallisaw         </t>
  </si>
  <si>
    <t xml:space="preserve">Indian Capital Technology Center-Stilwell         </t>
  </si>
  <si>
    <t xml:space="preserve">Indian Capital Technology Center-Tahlequah        </t>
  </si>
  <si>
    <t xml:space="preserve">Kiamichi Technology Center-Atoka                  </t>
  </si>
  <si>
    <t xml:space="preserve">Kiamichi Technology Center-Durant                 </t>
  </si>
  <si>
    <t xml:space="preserve">Kiamichi Technology Center-Hugo                   </t>
  </si>
  <si>
    <t xml:space="preserve">Kiamichi Technology Center-Idabel                 </t>
  </si>
  <si>
    <t xml:space="preserve">Kiamichi Technology Center-McAlester              </t>
  </si>
  <si>
    <t xml:space="preserve">Kiamichi Technology Center-Poteau                 </t>
  </si>
  <si>
    <t xml:space="preserve">Kiamichi Technology Center-Spiro                  </t>
  </si>
  <si>
    <t xml:space="preserve">Kiamichi Technology Center-Stigler                </t>
  </si>
  <si>
    <t xml:space="preserve">Kiamichi Technology Center-Talihina               </t>
  </si>
  <si>
    <t xml:space="preserve">Meridian Technology Center                        </t>
  </si>
  <si>
    <t xml:space="preserve">Metro Technology Centers                          </t>
  </si>
  <si>
    <t xml:space="preserve">Mid-America Technology Center                     </t>
  </si>
  <si>
    <t xml:space="preserve">Mid-Del Technology Center                         </t>
  </si>
  <si>
    <t xml:space="preserve">Moore Norman Technology Center                    </t>
  </si>
  <si>
    <t xml:space="preserve">Northeast Technology Center-Afton                 </t>
  </si>
  <si>
    <t>Northeast Technology Center-Claremore</t>
  </si>
  <si>
    <t xml:space="preserve">Northeast Technology Center-Kansas                </t>
  </si>
  <si>
    <t xml:space="preserve">Northeast Technology Center-Pryor                 </t>
  </si>
  <si>
    <t xml:space="preserve">Northwest Technology Center-Alva                  </t>
  </si>
  <si>
    <t xml:space="preserve">Northwest Technology Center-Fairview              </t>
  </si>
  <si>
    <t xml:space="preserve">Pioneer Technology Center                         </t>
  </si>
  <si>
    <t xml:space="preserve">Pontotoc Technology Center                        </t>
  </si>
  <si>
    <t xml:space="preserve">Red River Technology Center                       </t>
  </si>
  <si>
    <t xml:space="preserve">Southern Oklahoma Technology Center               </t>
  </si>
  <si>
    <t xml:space="preserve">Southwest Technology Center                       </t>
  </si>
  <si>
    <t xml:space="preserve">Tri County Technology Center                      </t>
  </si>
  <si>
    <t xml:space="preserve">Tulsa County Area Voc Tech School Dist 18-Peoria  </t>
  </si>
  <si>
    <t xml:space="preserve">Tulsa Technology Center-Broken Arrow Campus       </t>
  </si>
  <si>
    <t>Tulsa Technology Center-Owasso</t>
  </si>
  <si>
    <t xml:space="preserve">Tulsa Technology Center-Riverside Campus          </t>
  </si>
  <si>
    <t>Tulsa Technology Center-Sand Springs</t>
  </si>
  <si>
    <t xml:space="preserve">Wes Watkins Technology Center                     </t>
  </si>
  <si>
    <t xml:space="preserve">Western Technology Center                         </t>
  </si>
  <si>
    <t>Clemson University</t>
  </si>
  <si>
    <t>University of South Carolina-Columbia</t>
  </si>
  <si>
    <t>College of Charleston</t>
  </si>
  <si>
    <t xml:space="preserve">The Citadel, the Military College of South Carolina </t>
  </si>
  <si>
    <t xml:space="preserve">Winthrop University </t>
  </si>
  <si>
    <t>Coastal Carolina University</t>
  </si>
  <si>
    <t xml:space="preserve">Francis Marion University </t>
  </si>
  <si>
    <t xml:space="preserve">South Carolina State University </t>
  </si>
  <si>
    <t>Lander University</t>
  </si>
  <si>
    <t>University of South Carolina-Aiken</t>
  </si>
  <si>
    <t>University of South Carolina-Beaufort</t>
  </si>
  <si>
    <t>University of South Carolina-Upstate</t>
  </si>
  <si>
    <t xml:space="preserve">Greenville Technical College </t>
  </si>
  <si>
    <t xml:space="preserve">Horry-Georgetown Technical College </t>
  </si>
  <si>
    <t xml:space="preserve">Midlands Technical College </t>
  </si>
  <si>
    <t xml:space="preserve">Trident Technical College </t>
  </si>
  <si>
    <t xml:space="preserve">Central Carolina Technical College </t>
  </si>
  <si>
    <t xml:space="preserve">Florence-Darlington Technical College </t>
  </si>
  <si>
    <t xml:space="preserve">Piedmont Technical College </t>
  </si>
  <si>
    <t xml:space="preserve">Spartanburg Community College </t>
  </si>
  <si>
    <t xml:space="preserve">Tri-County Technical College </t>
  </si>
  <si>
    <t xml:space="preserve">York Technical College </t>
  </si>
  <si>
    <t xml:space="preserve">Aiken Technical College </t>
  </si>
  <si>
    <t xml:space="preserve">Denmark Technical College </t>
  </si>
  <si>
    <t xml:space="preserve">Northeastern Technical College </t>
  </si>
  <si>
    <t xml:space="preserve">Orangeburg-Calhoun Technical College </t>
  </si>
  <si>
    <t>Technical College of the Lowcountry</t>
  </si>
  <si>
    <t>University of South Carolina-Lancaster</t>
  </si>
  <si>
    <t>University of South Carolina-Salkehatchie</t>
  </si>
  <si>
    <t>University of South Carolina-Sumter</t>
  </si>
  <si>
    <t>University of South Carolina-Union</t>
  </si>
  <si>
    <t xml:space="preserve">Williamsburg Technical College </t>
  </si>
  <si>
    <t>Medical University of South Carolina</t>
  </si>
  <si>
    <t>University of Memphis</t>
  </si>
  <si>
    <t>University of Tennessee, Knoxville</t>
  </si>
  <si>
    <t xml:space="preserve">East Tennessee State University </t>
  </si>
  <si>
    <t xml:space="preserve">Middle Tennessee State University </t>
  </si>
  <si>
    <t xml:space="preserve">Tennessee State University </t>
  </si>
  <si>
    <t xml:space="preserve">Austin Peay State University </t>
  </si>
  <si>
    <t xml:space="preserve">Tennessee Technological University </t>
  </si>
  <si>
    <t>University of Tennessee at Chattanooga</t>
  </si>
  <si>
    <t>University of Tennessee at Martin</t>
  </si>
  <si>
    <t>19</t>
  </si>
  <si>
    <t xml:space="preserve">Chattanooga State Technical Community College </t>
  </si>
  <si>
    <t>Nashville State Technical Community College</t>
  </si>
  <si>
    <t>Pellissippi State Technical Community College</t>
  </si>
  <si>
    <t>Southwest Tennessee Community College</t>
  </si>
  <si>
    <t xml:space="preserve">Volunteer State Community College </t>
  </si>
  <si>
    <t xml:space="preserve">Cleveland State Community College </t>
  </si>
  <si>
    <t xml:space="preserve">Columbia State Community College </t>
  </si>
  <si>
    <t xml:space="preserve">Jackson State Community College </t>
  </si>
  <si>
    <t xml:space="preserve">Motlow State Community College </t>
  </si>
  <si>
    <t>Northeast State Technical Community College</t>
  </si>
  <si>
    <t xml:space="preserve">Roane State Community College </t>
  </si>
  <si>
    <t xml:space="preserve">Walters State Community College </t>
  </si>
  <si>
    <t xml:space="preserve">Dyersburg State Community College </t>
  </si>
  <si>
    <t>Tennessee College of Applied Technology at Chattanooga</t>
  </si>
  <si>
    <t>219824B</t>
  </si>
  <si>
    <t>Tennessee College of Applied Technology at Athens</t>
  </si>
  <si>
    <t>Tennessee College of Applied Technology at Covington</t>
  </si>
  <si>
    <t>Tennessee College of Applied Technology at Crossville</t>
  </si>
  <si>
    <t>Tennessee College of Applied Technology at Crump</t>
  </si>
  <si>
    <t>Tennessee College of Applied Technology at Dickson</t>
  </si>
  <si>
    <t>Tennessee College of Applied Technology at Elizabethton</t>
  </si>
  <si>
    <t>Tennessee College of Applied Technology at Harriman</t>
  </si>
  <si>
    <t>Tennessee College of Applied Technology at Hartsville</t>
  </si>
  <si>
    <t>Tennessee College of Applied Technology at Hohenwald</t>
  </si>
  <si>
    <t>Tennessee College of Applied Technology at Jacksboro</t>
  </si>
  <si>
    <t>Tennessee College of Applied Technology at Jackson</t>
  </si>
  <si>
    <t>Tennessee College of Applied Technology at Knoxville</t>
  </si>
  <si>
    <t>Tennessee College of Applied Technology at Livingston</t>
  </si>
  <si>
    <t>Tennessee College of Applied Technology at McKenzie</t>
  </si>
  <si>
    <t>Tennessee College of Applied Technology at McMinnville</t>
  </si>
  <si>
    <t>Tennessee College of Applied Technology at Memphis</t>
  </si>
  <si>
    <t>Tennessee College of Applied Technology at Morristown</t>
  </si>
  <si>
    <t>Tennessee College of Applied Technology at Murfreesboro</t>
  </si>
  <si>
    <t>Tennessee College of Applied Technology at Nashville</t>
  </si>
  <si>
    <t>Tennessee College of Applied Technology at Newbern</t>
  </si>
  <si>
    <t>Tennessee College of Applied Technology at Oneida</t>
  </si>
  <si>
    <t>Tennessee College of Applied Technology at Paris</t>
  </si>
  <si>
    <t>Tennessee College of Applied Technology at Pulaski</t>
  </si>
  <si>
    <t>Tennessee College of Applied Technology at Ripley</t>
  </si>
  <si>
    <t>Tennessee College of Applied Technology at Shelbyville</t>
  </si>
  <si>
    <t>Tennessee College of Applied Technology at Whiteville</t>
  </si>
  <si>
    <t>University of Tennessee Health Science Center</t>
  </si>
  <si>
    <t xml:space="preserve">Texas A&amp;M University </t>
  </si>
  <si>
    <t xml:space="preserve">Texas Tech University </t>
  </si>
  <si>
    <t>University of Houston</t>
  </si>
  <si>
    <t>University of North Texas</t>
  </si>
  <si>
    <t>University of Texas at Arlington</t>
  </si>
  <si>
    <t>University of Texas at Austin</t>
  </si>
  <si>
    <t>University of Texas at Dallas</t>
  </si>
  <si>
    <t>University of Texas at San Antonio</t>
  </si>
  <si>
    <t>Texas State University</t>
  </si>
  <si>
    <t>Texas Woman's University</t>
  </si>
  <si>
    <t>University of Texas at El Paso</t>
  </si>
  <si>
    <t>Angelo State University</t>
  </si>
  <si>
    <t>Lamar University</t>
  </si>
  <si>
    <t>Midwestern State University</t>
  </si>
  <si>
    <t>Prairie View A&amp;M University</t>
  </si>
  <si>
    <t xml:space="preserve">Sam Houston State University </t>
  </si>
  <si>
    <t>Stephen F. Austin State University</t>
  </si>
  <si>
    <t xml:space="preserve">Sul Ross State University </t>
  </si>
  <si>
    <t>Tarleton State University</t>
  </si>
  <si>
    <t>Texas A&amp;M International University</t>
  </si>
  <si>
    <t>Texas A&amp;M University-Commerce</t>
  </si>
  <si>
    <t xml:space="preserve">Texas A&amp;M University-Corpus Christi </t>
  </si>
  <si>
    <t>Texas A&amp;M University-Kingsville</t>
  </si>
  <si>
    <t xml:space="preserve">Texas Southern University </t>
  </si>
  <si>
    <t xml:space="preserve">University of Houston-Clear Lake </t>
  </si>
  <si>
    <t>University of Texas at Tyler</t>
  </si>
  <si>
    <t>University of Texas Permian Basin</t>
  </si>
  <si>
    <t>University of Texas-Rio Grande Valley</t>
  </si>
  <si>
    <t>West Texas A&amp;M University</t>
  </si>
  <si>
    <t>Texas A&amp;M -Texarkana</t>
  </si>
  <si>
    <t>Texas A&amp;M University-Central Texas</t>
  </si>
  <si>
    <t>University of Houston-Victoria</t>
  </si>
  <si>
    <t>Sul Ross State University-Rio Grande College</t>
  </si>
  <si>
    <t>228501B</t>
  </si>
  <si>
    <t>Texas A&amp;M University at Galveston</t>
  </si>
  <si>
    <t>Texas A&amp;M University-San Antonio</t>
  </si>
  <si>
    <t>University of Houston-Downtown</t>
  </si>
  <si>
    <t xml:space="preserve">Brazosport College </t>
  </si>
  <si>
    <t xml:space="preserve">Midland College </t>
  </si>
  <si>
    <t>South Texas College</t>
  </si>
  <si>
    <t xml:space="preserve">Amarillo College </t>
  </si>
  <si>
    <t xml:space="preserve">Austin Community College </t>
  </si>
  <si>
    <t>Met the criteria for Two-Year with Bachelor's in 2019-20.</t>
  </si>
  <si>
    <t>Blinn College</t>
  </si>
  <si>
    <t>Brookhaven College (DCCCD)</t>
  </si>
  <si>
    <t xml:space="preserve">Central Texas College </t>
  </si>
  <si>
    <t>Collin County Community College District</t>
  </si>
  <si>
    <t xml:space="preserve">Del Mar College </t>
  </si>
  <si>
    <t>Eastfield College (DCCCD)</t>
  </si>
  <si>
    <t>El Centro College  (DCCCD)</t>
  </si>
  <si>
    <t>El Paso County Community College District</t>
  </si>
  <si>
    <t>Houston Community College</t>
  </si>
  <si>
    <t xml:space="preserve">Laredo College </t>
  </si>
  <si>
    <t>Lone Star College System District</t>
  </si>
  <si>
    <t xml:space="preserve">McLennan Community College </t>
  </si>
  <si>
    <t>Mountain View College  (DCCCD)</t>
  </si>
  <si>
    <t xml:space="preserve">Navarro College </t>
  </si>
  <si>
    <t>North Central Texas Community College</t>
  </si>
  <si>
    <t>North Lake College (DCCCD)</t>
  </si>
  <si>
    <t>Northwest Vista College (ACCD)</t>
  </si>
  <si>
    <t>Palo Alto College (ACCD)</t>
  </si>
  <si>
    <t>Richland College (DCCCD)</t>
  </si>
  <si>
    <t>San Antonio College (ACCD)</t>
  </si>
  <si>
    <t>San Jacinto College</t>
  </si>
  <si>
    <t xml:space="preserve">South Plains College </t>
  </si>
  <si>
    <t>St. Philip's College (ACCD)</t>
  </si>
  <si>
    <t>Tarrant County College</t>
  </si>
  <si>
    <t>Trinity Valley Community College</t>
  </si>
  <si>
    <t xml:space="preserve">Tyler Junior College </t>
  </si>
  <si>
    <t xml:space="preserve">Alvin Community College </t>
  </si>
  <si>
    <t xml:space="preserve">Angelina College </t>
  </si>
  <si>
    <t>Cedar Valley College (DCCCD)</t>
  </si>
  <si>
    <t xml:space="preserve">Cisco Junior College </t>
  </si>
  <si>
    <t>Coastal Bend College</t>
  </si>
  <si>
    <t>College of the Mainland</t>
  </si>
  <si>
    <t xml:space="preserve">Grayson County College </t>
  </si>
  <si>
    <t>Hill College</t>
  </si>
  <si>
    <t>Howard College (HCJCD)</t>
  </si>
  <si>
    <t xml:space="preserve">Kilgore College </t>
  </si>
  <si>
    <t>Lamar Institute of Technology</t>
  </si>
  <si>
    <t xml:space="preserve">Lee College </t>
  </si>
  <si>
    <t xml:space="preserve">Northeast Texas Community College </t>
  </si>
  <si>
    <t xml:space="preserve">Odessa College </t>
  </si>
  <si>
    <t>Paris Junior College</t>
  </si>
  <si>
    <t xml:space="preserve">Southwest Texas Junior College </t>
  </si>
  <si>
    <t xml:space="preserve">Temple College </t>
  </si>
  <si>
    <t xml:space="preserve">Texarkana College </t>
  </si>
  <si>
    <t xml:space="preserve">Texas Southmost College </t>
  </si>
  <si>
    <t xml:space="preserve">Texas State Technical College-Harlingen </t>
  </si>
  <si>
    <t>Texas State Technical College-Waco</t>
  </si>
  <si>
    <t xml:space="preserve">Vernon College </t>
  </si>
  <si>
    <t xml:space="preserve">Victoria College </t>
  </si>
  <si>
    <t xml:space="preserve">Weatherford College </t>
  </si>
  <si>
    <t xml:space="preserve">Wharton County Junior College </t>
  </si>
  <si>
    <t xml:space="preserve">Clarendon College </t>
  </si>
  <si>
    <t xml:space="preserve">Frank Phillips College </t>
  </si>
  <si>
    <t xml:space="preserve">Galveston College </t>
  </si>
  <si>
    <t>Lamar State College-Orange</t>
  </si>
  <si>
    <t>Lamar State College-Port Arthur</t>
  </si>
  <si>
    <t>Northeast Lakeview College (ACCD)</t>
  </si>
  <si>
    <t>Panola College</t>
  </si>
  <si>
    <t xml:space="preserve">Ranger College </t>
  </si>
  <si>
    <t>Southwest Collegiate Institute for the Deaf (HCJCD)</t>
  </si>
  <si>
    <t>Texas State Technical College-Fort Bend</t>
  </si>
  <si>
    <t>N/A</t>
  </si>
  <si>
    <t>Texas State Technical College-Marshall</t>
  </si>
  <si>
    <t>Texas State Technical College-North Texas</t>
  </si>
  <si>
    <t>Texas State Technical College-West Texas</t>
  </si>
  <si>
    <t xml:space="preserve">Western Texas College </t>
  </si>
  <si>
    <t>Texas A&amp;M Health Science Center</t>
  </si>
  <si>
    <t>Texas Tech University Health Sciences Center</t>
  </si>
  <si>
    <t xml:space="preserve">Texas Tech University Health Sciences Center - El Paso </t>
  </si>
  <si>
    <t>University of North Texas at Dallas</t>
  </si>
  <si>
    <t>University of North Texas Health Science Center at Fort Worth</t>
  </si>
  <si>
    <t>University of Texas Health Science Center at Houston</t>
  </si>
  <si>
    <t>University of Texas Health Science Center at San Antonio</t>
  </si>
  <si>
    <t>University of Texas M.D. Anderson Cancer Center</t>
  </si>
  <si>
    <t>University of Texas Medical Branch at Galveston</t>
  </si>
  <si>
    <t>University of Texas Southwestern Medical Center at Dallas</t>
  </si>
  <si>
    <t>University of Texas Health Science Center at Tyler</t>
  </si>
  <si>
    <t xml:space="preserve">George Mason University </t>
  </si>
  <si>
    <t xml:space="preserve">Old Dominion University </t>
  </si>
  <si>
    <t>University of Virginia</t>
  </si>
  <si>
    <t>Virginia Commonwealth University</t>
  </si>
  <si>
    <t xml:space="preserve">Virginia Tech </t>
  </si>
  <si>
    <t>College of William &amp; Mary</t>
  </si>
  <si>
    <t>James Madison University</t>
  </si>
  <si>
    <t xml:space="preserve">Longwood University </t>
  </si>
  <si>
    <t xml:space="preserve">Norfolk State University </t>
  </si>
  <si>
    <t>Radford University</t>
  </si>
  <si>
    <t xml:space="preserve">University of Mary Washington </t>
  </si>
  <si>
    <t xml:space="preserve">Virginia State University </t>
  </si>
  <si>
    <t>Christopher Newport University</t>
  </si>
  <si>
    <t xml:space="preserve">University of Virginia's College at Wise </t>
  </si>
  <si>
    <t>J.S. Reynolds Community College</t>
  </si>
  <si>
    <t>John Tyler Community College</t>
  </si>
  <si>
    <t xml:space="preserve">Northern Virginia Community College </t>
  </si>
  <si>
    <t xml:space="preserve">Thomas Nelson Community College </t>
  </si>
  <si>
    <t xml:space="preserve">Tidewater Community College </t>
  </si>
  <si>
    <t xml:space="preserve">Blue Ridge Community College </t>
  </si>
  <si>
    <t xml:space="preserve">Central Virginia Community College </t>
  </si>
  <si>
    <t>Germanna Community College</t>
  </si>
  <si>
    <t>Lord Fairfax Community College</t>
  </si>
  <si>
    <t xml:space="preserve">New River Community College </t>
  </si>
  <si>
    <t xml:space="preserve">Piedmont Virginia Community College </t>
  </si>
  <si>
    <t>Southside Virginia Community College</t>
  </si>
  <si>
    <t xml:space="preserve">Virginia Western Community College </t>
  </si>
  <si>
    <t xml:space="preserve">D.S. Lancaster Community College </t>
  </si>
  <si>
    <t xml:space="preserve">Danville Community College </t>
  </si>
  <si>
    <t>Eastern Shore Community College</t>
  </si>
  <si>
    <t>Mountain Empire Community College</t>
  </si>
  <si>
    <t xml:space="preserve">Patrick Henry Community College </t>
  </si>
  <si>
    <t>Paul D. Camp Community College</t>
  </si>
  <si>
    <t>Rappahannock Community College</t>
  </si>
  <si>
    <t xml:space="preserve">Richard Bland College </t>
  </si>
  <si>
    <t xml:space="preserve">Southwest Virginia Community College </t>
  </si>
  <si>
    <t xml:space="preserve">Virginia Highlands Community College </t>
  </si>
  <si>
    <t xml:space="preserve">Wytheville Community College </t>
  </si>
  <si>
    <t>Virginia Military Institute</t>
  </si>
  <si>
    <t>West Virginia University</t>
  </si>
  <si>
    <t xml:space="preserve">Marshall University </t>
  </si>
  <si>
    <t xml:space="preserve">Concord University </t>
  </si>
  <si>
    <t>Fairmont State University</t>
  </si>
  <si>
    <t xml:space="preserve">Shepherd University </t>
  </si>
  <si>
    <t>West Liberty University</t>
  </si>
  <si>
    <t xml:space="preserve">Bluefield State College </t>
  </si>
  <si>
    <t xml:space="preserve">Glenville State College </t>
  </si>
  <si>
    <t xml:space="preserve">West Virginia State University </t>
  </si>
  <si>
    <t>West Virginia University Institute of Technology</t>
  </si>
  <si>
    <t>Potomac State College of West Virginia University</t>
  </si>
  <si>
    <t>West Virginia University at Parkersburg</t>
  </si>
  <si>
    <t>Blue Ridge Community &amp; Technical College</t>
  </si>
  <si>
    <t>BridgeValley Community &amp; Technical College</t>
  </si>
  <si>
    <t>Eastern West Virginia Community &amp; Technical College</t>
  </si>
  <si>
    <t>Mountwest Community &amp; Technical College</t>
  </si>
  <si>
    <t>New River Community &amp; Technical College</t>
  </si>
  <si>
    <t>Pierpont Community &amp; Technical College</t>
  </si>
  <si>
    <t xml:space="preserve">Southern West Virginia Community &amp; Technical College </t>
  </si>
  <si>
    <t>West Virginia Northern Community College</t>
  </si>
  <si>
    <t>West Virginia School of Osteopathic Medicine</t>
  </si>
  <si>
    <t>Academy of Careers and Technology</t>
  </si>
  <si>
    <t>Ben Franklin Career Center</t>
  </si>
  <si>
    <t>Boone Career and Technical Center</t>
  </si>
  <si>
    <t>Cabell County Career Technology Center</t>
  </si>
  <si>
    <t>Carver Career and Technical Education Center</t>
  </si>
  <si>
    <t>Fayette Institute of Technology</t>
  </si>
  <si>
    <t xml:space="preserve">Fred W. Eberle Technical Center </t>
  </si>
  <si>
    <t xml:space="preserve">Garnet Career Center </t>
  </si>
  <si>
    <t>James Rumsey Technical Institute</t>
  </si>
  <si>
    <t>John D. Rockefeller IV Career Center</t>
  </si>
  <si>
    <t>Marion County Technical Center</t>
  </si>
  <si>
    <t>McDowell County Career and Technology Center</t>
  </si>
  <si>
    <t>Mercer County Technical Education Center</t>
  </si>
  <si>
    <t>Mineral County Technical Center</t>
  </si>
  <si>
    <t xml:space="preserve">Monongalia County Technical Education Center </t>
  </si>
  <si>
    <t>Putnam Career and Technical Center</t>
  </si>
  <si>
    <t>Ralph R. Willis Career and Technical Center</t>
  </si>
  <si>
    <t>Roane-Jackson Technical Center</t>
  </si>
  <si>
    <t>South Branch Career &amp; Technical Center</t>
  </si>
  <si>
    <t>United Technical Center</t>
  </si>
  <si>
    <t>Wyoming County Career &amp; Technical Center</t>
  </si>
  <si>
    <t>Greenbrier School of Practical Nursing</t>
  </si>
  <si>
    <t>Mingo Extended Learning Center</t>
  </si>
  <si>
    <t>Randolph Technical Center</t>
  </si>
  <si>
    <t>Summers County School of Practical Nursing</t>
  </si>
  <si>
    <t>Wood County School of Practical Nursing</t>
  </si>
  <si>
    <t>Changed # from 157173 to 156392</t>
  </si>
  <si>
    <t>5,991</t>
  </si>
  <si>
    <t>4,828</t>
  </si>
  <si>
    <t>5,781</t>
  </si>
  <si>
    <t>3,528</t>
  </si>
  <si>
    <t>5,173</t>
  </si>
  <si>
    <t>4,163</t>
  </si>
  <si>
    <t>1,941</t>
  </si>
  <si>
    <t>1,098</t>
  </si>
  <si>
    <t>3,826</t>
  </si>
  <si>
    <t>2,217</t>
  </si>
  <si>
    <t>1,049</t>
  </si>
  <si>
    <t>1,071</t>
  </si>
  <si>
    <t>1,027</t>
  </si>
  <si>
    <t>Davidson-Davie Community College</t>
  </si>
  <si>
    <t>College of The Albemarle</t>
  </si>
  <si>
    <t>Changed IPEDS # from 229072</t>
  </si>
  <si>
    <t> </t>
  </si>
  <si>
    <t xml:space="preserve">  Oct 2022</t>
  </si>
  <si>
    <t xml:space="preserve">   Oct 2022</t>
  </si>
  <si>
    <t>All Public Four-Year Universities, 2019-20</t>
  </si>
  <si>
    <t>Public Four-Year 1 Universities, 2019-20</t>
  </si>
  <si>
    <t>Public Four-Year 2 Universities, 2019-20</t>
  </si>
  <si>
    <t>Public Four-Year 3 Universities, 2019-20</t>
  </si>
  <si>
    <t>Public Four-Year 4 Universities, 2019-20</t>
  </si>
  <si>
    <t>Public Four-Year 5 Universities, 2019-20</t>
  </si>
  <si>
    <t>Public Four-Year 6 Universities, 2019-20</t>
  </si>
  <si>
    <t>Public Two-Year Colleges, 2019-20</t>
  </si>
  <si>
    <t>Public Technical Institutes or Colleges, 2019-20</t>
  </si>
  <si>
    <t>Public Specialized Institutions, 2019-20</t>
  </si>
  <si>
    <t>Public Colleges and Universities, 2019-20</t>
  </si>
  <si>
    <t>All Public Institutions, 2019-20</t>
  </si>
  <si>
    <t>2019-20</t>
  </si>
  <si>
    <t>Reclassifed: Met the criteria for Four-Year 3 in 2018-19 2019-20, and 2020-21</t>
  </si>
  <si>
    <t>Reclassified: Met the criteria for Four-Year 4 in 2018-19 2019-20, and 2020-21</t>
  </si>
  <si>
    <t>Reclassifed: Met the criteria for Four-Year 5 in 2018-19, 2019-20, and 2020-21.</t>
  </si>
  <si>
    <t>Reclassified: Met the criteria for Four-Year 5 in 2018-19, 2019-20, and 2020-21.</t>
  </si>
  <si>
    <t>Reclassified: Met the criteria for Two-Year 2 in 2018-19, 2019-20, and 2020-21.</t>
  </si>
  <si>
    <t>Reclassified: Met the criteria for Four-Year 4 in 2018-19, 2019-20, and 2020-21.</t>
  </si>
  <si>
    <t>Reclassified: Met the criteria for Four-Year 3 in 2018-19 ,2019-20, and 2020-21</t>
  </si>
  <si>
    <t>Reclassified: Met the criteria for Four-Year 4 in 2018-19 and 2019-20, and 2021</t>
  </si>
  <si>
    <t>Reclassifed Met the criteria for Two-Year 2 in 2018-19 and 2019-20 and 2020-21</t>
  </si>
  <si>
    <t>Dallas College</t>
  </si>
  <si>
    <t>Name change ( Dallas County Community College)</t>
  </si>
  <si>
    <t>Met the criteria for Four-Year 5 in 2019-20 and 2020-21.</t>
  </si>
  <si>
    <t>Met the criteria for Two-Year 3 in 2020-21.</t>
  </si>
  <si>
    <t>Met the criteria for Four-Year 4 in 2020-21.</t>
  </si>
  <si>
    <t>Reclassified: Met the criteria for Two-Year 1 in 2018-19, 2019-20, and 2020-21.</t>
  </si>
  <si>
    <t>Met the criteria for Two-Year 2 in 2020-21.</t>
  </si>
  <si>
    <t xml:space="preserve">Met the criteria for Two-Year with Bachelor's in 2019-20 and 2020-21. </t>
  </si>
  <si>
    <t>Met the criteria for Four-Year 6 in 2020-21.</t>
  </si>
  <si>
    <t>Met the criteria for Two-Year 3 in 2019-20 and 2020-21.</t>
  </si>
  <si>
    <t>Met the criteria for Four-Year 2 in 2019-20 and 2020-21.</t>
  </si>
  <si>
    <t xml:space="preserve"> Met the criteria for Technical Institute or College 1 in 2020-21</t>
  </si>
  <si>
    <t>Met the criteria for Technical Institute or College 1 in 2019-20, and 2020-21</t>
  </si>
  <si>
    <t>Met the criteria for Technical Institute or College 1 in 2019-20 and 2020-21.</t>
  </si>
  <si>
    <t>Met the requirments for 4-year 1 in 2020-21</t>
  </si>
  <si>
    <t>Met the requirments for 4 Year 1 in 2020-21</t>
  </si>
  <si>
    <t>Met the criteria Two-Year 2 in 2020-21</t>
  </si>
  <si>
    <t>Met the critera for Two-Year 1 in 2020-21</t>
  </si>
  <si>
    <t>Met the requirments for  Two-year 3 in 2020-21</t>
  </si>
  <si>
    <t>Met the criteria for Two-Year 2 in 2019-20 and 2020-21.</t>
  </si>
  <si>
    <t>Met the criteria for Four-Year 4 in 2019-20 and 2020-21.</t>
  </si>
  <si>
    <t xml:space="preserve">Data for this table is no longer being collected or published </t>
  </si>
  <si>
    <t>(Data for this table is no longer being collected or published)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</si>
</sst>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0_)"/>
    <numFmt numFmtId="165" formatCode="#,##0.0000_);\(#,##0.0000\)"/>
    <numFmt numFmtId="166" formatCode="_(* #,##0_);_(* \(#,##0\);_(* &quot;-&quot;??_);_(@_)"/>
    <numFmt numFmtId="167" formatCode="0.00_)"/>
    <numFmt numFmtId="168" formatCode="0.0%"/>
    <numFmt numFmtId="169" formatCode="0.0000%"/>
    <numFmt numFmtId="170" formatCode="[$-10409]###,###"/>
  </numFmts>
  <fonts count="54">
    <font>
      <sz val="12"/>
      <name val="AGaramond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10"/>
      <color indexed="12"/>
      <name val="Arial"/>
      <family val="2"/>
    </font>
    <font>
      <b/>
      <sz val="10"/>
      <color rgb="FFFF0000"/>
      <name val="Arial"/>
      <family val="2"/>
    </font>
    <font>
      <sz val="12"/>
      <name val="AGaramond"/>
      <family val="1"/>
    </font>
    <font>
      <b/>
      <sz val="10"/>
      <color rgb="FFC0000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b/>
      <i/>
      <sz val="10"/>
      <name val="Arial"/>
      <family val="2"/>
    </font>
    <font>
      <i/>
      <sz val="10"/>
      <color rgb="FF0000FF"/>
      <name val="Arial"/>
      <family val="2"/>
    </font>
    <font>
      <b/>
      <i/>
      <sz val="10"/>
      <color rgb="FF0000FF"/>
      <name val="Arial"/>
      <family val="2"/>
    </font>
    <font>
      <b/>
      <sz val="14"/>
      <color theme="0"/>
      <name val="Arial"/>
      <family val="2"/>
    </font>
    <font>
      <sz val="14"/>
      <color theme="0"/>
      <name val="Arial"/>
      <family val="2"/>
    </font>
    <font>
      <sz val="10"/>
      <color rgb="FFFFFF00"/>
      <name val="Arial"/>
      <family val="2"/>
    </font>
    <font>
      <b/>
      <sz val="8"/>
      <color rgb="FFFFFF00"/>
      <name val="Times New Roman"/>
      <family val="1"/>
    </font>
    <font>
      <i/>
      <sz val="10"/>
      <color rgb="FFFFFF00"/>
      <name val="Arial"/>
      <family val="2"/>
    </font>
    <font>
      <b/>
      <i/>
      <sz val="10"/>
      <color rgb="FFFFFF00"/>
      <name val="Arial"/>
      <family val="2"/>
    </font>
    <font>
      <sz val="12"/>
      <color rgb="FFFFFF00"/>
      <name val="AGaramond"/>
      <family val="1"/>
    </font>
    <font>
      <b/>
      <sz val="10"/>
      <color rgb="FFFFFF00"/>
      <name val="Arial"/>
      <family val="2"/>
    </font>
    <font>
      <sz val="10"/>
      <color rgb="FF0000FF"/>
      <name val="Arial"/>
      <family val="2"/>
    </font>
    <font>
      <sz val="10"/>
      <color indexed="12"/>
      <name val="Arial"/>
      <family val="2"/>
    </font>
    <font>
      <b/>
      <sz val="10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sz val="10"/>
      <color rgb="FF000000"/>
      <name val="Arial"/>
      <family val="2"/>
    </font>
    <font>
      <sz val="8"/>
      <color rgb="FF000000"/>
      <name val="Tahoma"/>
      <family val="2"/>
    </font>
    <font>
      <b/>
      <sz val="11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10"/>
      <color rgb="FF9C0000"/>
      <name val="Arial"/>
      <family val="2"/>
    </font>
    <font>
      <sz val="12"/>
      <name val="AGaramond"/>
    </font>
    <font>
      <sz val="12"/>
      <name val="AGaramond"/>
      <family val="3"/>
    </font>
    <font>
      <sz val="10"/>
      <color rgb="FFC00000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sz val="10"/>
      <color indexed="17"/>
      <name val="Arial"/>
      <family val="2"/>
    </font>
    <font>
      <sz val="10"/>
      <color indexed="10"/>
      <name val="Arial"/>
      <family val="2"/>
    </font>
    <font>
      <b/>
      <sz val="9"/>
      <color indexed="12"/>
      <name val="Arial"/>
      <family val="2"/>
    </font>
    <font>
      <sz val="10"/>
      <color theme="6" tint="-0.499984740745262"/>
      <name val="Arial"/>
      <family val="2"/>
    </font>
    <font>
      <sz val="10"/>
      <color theme="0" tint="-0.14999847407452621"/>
      <name val="Arial"/>
      <family val="2"/>
    </font>
    <font>
      <sz val="10"/>
      <color theme="7" tint="0.39997558519241921"/>
      <name val="Arial"/>
      <family val="2"/>
    </font>
    <font>
      <sz val="10"/>
      <color rgb="FFFFFFFF"/>
      <name val="Arial"/>
      <family val="2"/>
    </font>
    <font>
      <b/>
      <sz val="11"/>
      <color rgb="FFC00000"/>
      <name val="Calibri"/>
      <family val="2"/>
    </font>
    <font>
      <sz val="12"/>
      <color rgb="FF9C0000"/>
      <name val="AGaramond"/>
      <family val="2"/>
    </font>
    <font>
      <sz val="12"/>
      <color rgb="FFFFFFFF"/>
      <name val="AGaramond"/>
      <family val="2"/>
    </font>
    <font>
      <b/>
      <sz val="11"/>
      <color rgb="FF000000"/>
      <name val="Calibri"/>
      <family val="2"/>
    </font>
    <font>
      <sz val="8"/>
      <name val="AGaramond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  <font>
      <b/>
      <i/>
      <sz val="12"/>
      <name val="Arial"/>
      <family val="2"/>
    </font>
  </fonts>
  <fills count="4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5"/>
      </patternFill>
    </fill>
    <fill>
      <patternFill patternType="solid">
        <fgColor rgb="FFFF99CC"/>
        <bgColor indexed="64"/>
      </patternFill>
    </fill>
    <fill>
      <patternFill patternType="solid">
        <fgColor theme="9" tint="0.59999389629810485"/>
        <bgColor theme="9" tint="0.59999389629810485"/>
      </patternFill>
    </fill>
    <fill>
      <patternFill patternType="solid">
        <fgColor theme="0"/>
        <bgColor theme="0"/>
      </patternFill>
    </fill>
    <fill>
      <patternFill patternType="solid">
        <fgColor indexed="47"/>
      </patternFill>
    </fill>
    <fill>
      <patternFill patternType="solid">
        <fgColor rgb="FFFFCC99"/>
        <bgColor rgb="FFFFCC99"/>
      </patternFill>
    </fill>
    <fill>
      <patternFill patternType="solid">
        <fgColor indexed="43"/>
        <bgColor indexed="64"/>
      </patternFill>
    </fill>
    <fill>
      <patternFill patternType="solid">
        <fgColor indexed="42"/>
      </patternFill>
    </fill>
    <fill>
      <patternFill patternType="solid">
        <fgColor indexed="15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indexed="44"/>
      </patternFill>
    </fill>
    <fill>
      <patternFill patternType="solid">
        <fgColor rgb="FF99CCFF"/>
        <bgColor rgb="FF99CCFF"/>
      </patternFill>
    </fill>
    <fill>
      <patternFill patternType="solid">
        <fgColor rgb="FFFF99CC"/>
        <bgColor rgb="FFFF99CC"/>
      </patternFill>
    </fill>
    <fill>
      <patternFill patternType="solid">
        <fgColor indexed="51"/>
      </patternFill>
    </fill>
    <fill>
      <patternFill patternType="solid">
        <fgColor rgb="FFFFCC00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indexed="46"/>
      </patternFill>
    </fill>
    <fill>
      <patternFill patternType="solid">
        <fgColor rgb="FFFFFF99"/>
        <bgColor indexed="64"/>
      </patternFill>
    </fill>
    <fill>
      <patternFill patternType="solid">
        <fgColor rgb="FFCCFFCC"/>
        <bgColor rgb="FFCCFFCC"/>
      </patternFill>
    </fill>
    <fill>
      <patternFill patternType="solid">
        <fgColor indexed="42"/>
        <bgColor indexed="42"/>
      </patternFill>
    </fill>
    <fill>
      <patternFill patternType="solid">
        <fgColor rgb="FFCC99FF"/>
        <bgColor rgb="FFCC99FF"/>
      </patternFill>
    </fill>
    <fill>
      <patternFill patternType="solid">
        <fgColor rgb="FF00FFFF"/>
        <bgColor indexed="64"/>
      </patternFill>
    </fill>
    <fill>
      <patternFill patternType="solid">
        <fgColor rgb="FFFFC8C8"/>
        <bgColor rgb="FFFFC8C8"/>
      </patternFill>
    </fill>
    <fill>
      <patternFill patternType="solid">
        <fgColor rgb="FFFFCC99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99CCFF"/>
      </patternFill>
    </fill>
    <fill>
      <patternFill patternType="solid">
        <fgColor theme="8" tint="0.39997558519241921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CCFFCC"/>
        <bgColor rgb="FFFFC8C8"/>
      </patternFill>
    </fill>
    <fill>
      <patternFill patternType="solid">
        <fgColor rgb="FFFF99CC"/>
        <bgColor rgb="FF000000"/>
      </patternFill>
    </fill>
    <fill>
      <patternFill patternType="solid">
        <fgColor rgb="FFFFCC00"/>
        <bgColor rgb="FFFFCC00"/>
      </patternFill>
    </fill>
    <fill>
      <patternFill patternType="solid">
        <fgColor rgb="FFFF0000"/>
        <bgColor rgb="FFFF0000"/>
      </patternFill>
    </fill>
    <fill>
      <patternFill patternType="solid">
        <fgColor rgb="FFFFFF00"/>
        <bgColor indexed="64"/>
      </patternFill>
    </fill>
    <fill>
      <patternFill patternType="solid">
        <fgColor rgb="FFCC99FF"/>
        <bgColor rgb="FF000000"/>
      </patternFill>
    </fill>
    <fill>
      <patternFill patternType="solid">
        <fgColor rgb="FFFED8D2"/>
        <bgColor indexed="64"/>
      </patternFill>
    </fill>
    <fill>
      <patternFill patternType="solid">
        <fgColor theme="5" tint="0.59999389629810485"/>
        <bgColor indexed="64"/>
      </patternFill>
    </fill>
  </fills>
  <borders count="56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theme="0" tint="-0.34998626667073579"/>
      </bottom>
      <diagonal/>
    </border>
    <border>
      <left style="thin">
        <color auto="1"/>
      </left>
      <right/>
      <top/>
      <bottom style="thin">
        <color theme="0" tint="-0.34998626667073579"/>
      </bottom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 diagonalUp="1" diagonalDown="1">
      <left style="thin">
        <color rgb="FF000000"/>
      </left>
      <right style="thin">
        <color rgb="FF000000"/>
      </right>
      <top/>
      <bottom style="thin">
        <color rgb="FF000000"/>
      </bottom>
      <diagonal style="thin">
        <color rgb="FF000000"/>
      </diagonal>
    </border>
    <border>
      <left style="thin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thin">
        <color rgb="FFC1C1C1"/>
      </left>
      <right style="thin">
        <color rgb="FFC1C1C1"/>
      </right>
      <top style="thin">
        <color rgb="FFC1C1C1"/>
      </top>
      <bottom style="thin">
        <color rgb="FFC1C1C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000000"/>
      </bottom>
      <diagonal/>
    </border>
    <border diagonalUp="1" diagonalDown="1"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 style="thin">
        <color rgb="FF000000"/>
      </diagonal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rgb="FFC00000"/>
      </right>
      <top/>
      <bottom/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/>
      <diagonal/>
    </border>
    <border>
      <left style="medium">
        <color indexed="64"/>
      </left>
      <right style="medium">
        <color rgb="FFC00000"/>
      </right>
      <top style="medium">
        <color indexed="64"/>
      </top>
      <bottom style="medium">
        <color rgb="FFC00000"/>
      </bottom>
      <diagonal/>
    </border>
    <border>
      <left style="medium">
        <color rgb="FFC00000"/>
      </left>
      <right/>
      <top/>
      <bottom/>
      <diagonal/>
    </border>
    <border>
      <left style="medium">
        <color rgb="FFC00000"/>
      </left>
      <right style="thin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 style="thin">
        <color indexed="64"/>
      </left>
      <right style="medium">
        <color rgb="FFC00000"/>
      </right>
      <top/>
      <bottom style="thin">
        <color indexed="64"/>
      </bottom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 style="medium">
        <color rgb="FFC00000"/>
      </left>
      <right style="medium">
        <color rgb="FFC00000"/>
      </right>
      <top/>
      <bottom/>
      <diagonal/>
    </border>
    <border>
      <left style="thin">
        <color indexed="64"/>
      </left>
      <right style="medium">
        <color rgb="FFC00000"/>
      </right>
      <top/>
      <bottom/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thin">
        <color auto="1"/>
      </bottom>
      <diagonal/>
    </border>
    <border>
      <left style="medium">
        <color rgb="FFC00000"/>
      </left>
      <right/>
      <top/>
      <bottom style="thin">
        <color auto="1"/>
      </bottom>
      <diagonal/>
    </border>
  </borders>
  <cellStyleXfs count="10">
    <xf numFmtId="164" fontId="0" fillId="0" borderId="0"/>
    <xf numFmtId="37" fontId="1" fillId="5" borderId="6">
      <protection locked="0"/>
    </xf>
    <xf numFmtId="37" fontId="1" fillId="0" borderId="6">
      <alignment horizontal="center" vertical="top"/>
      <protection locked="0"/>
    </xf>
    <xf numFmtId="9" fontId="21" fillId="6" borderId="6">
      <alignment horizontal="right"/>
    </xf>
    <xf numFmtId="9" fontId="21" fillId="7" borderId="6">
      <alignment horizontal="right"/>
    </xf>
    <xf numFmtId="38" fontId="21" fillId="6" borderId="6">
      <alignment horizontal="right"/>
    </xf>
    <xf numFmtId="38" fontId="21" fillId="7" borderId="6">
      <alignment horizontal="right"/>
    </xf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696">
    <xf numFmtId="164" fontId="0" fillId="0" borderId="0" xfId="0"/>
    <xf numFmtId="49" fontId="1" fillId="27" borderId="0" xfId="0" applyNumberFormat="1" applyFont="1" applyFill="1" applyAlignment="1" applyProtection="1">
      <alignment horizontal="left"/>
      <protection locked="0"/>
    </xf>
    <xf numFmtId="1" fontId="1" fillId="28" borderId="0" xfId="0" applyNumberFormat="1" applyFont="1" applyFill="1" applyAlignment="1" applyProtection="1">
      <alignment horizontal="center"/>
      <protection locked="0"/>
    </xf>
    <xf numFmtId="1" fontId="7" fillId="16" borderId="0" xfId="0" applyNumberFormat="1" applyFont="1" applyFill="1" applyAlignment="1" applyProtection="1">
      <alignment horizontal="center"/>
      <protection locked="0"/>
    </xf>
    <xf numFmtId="164" fontId="29" fillId="24" borderId="0" xfId="0" applyFont="1" applyFill="1" applyAlignment="1" applyProtection="1">
      <alignment horizontal="left"/>
      <protection locked="0"/>
    </xf>
    <xf numFmtId="164" fontId="29" fillId="26" borderId="0" xfId="0" applyFont="1" applyFill="1" applyAlignment="1" applyProtection="1">
      <alignment horizontal="left"/>
      <protection locked="0"/>
    </xf>
    <xf numFmtId="164" fontId="28" fillId="26" borderId="0" xfId="0" applyFont="1" applyFill="1" applyAlignment="1" applyProtection="1">
      <alignment horizontal="left"/>
      <protection locked="0"/>
    </xf>
    <xf numFmtId="164" fontId="28" fillId="23" borderId="0" xfId="0" applyFont="1" applyFill="1" applyAlignment="1" applyProtection="1">
      <alignment horizontal="left"/>
      <protection locked="0"/>
    </xf>
    <xf numFmtId="0" fontId="1" fillId="13" borderId="0" xfId="0" applyNumberFormat="1" applyFont="1" applyFill="1" applyAlignment="1" applyProtection="1">
      <alignment horizontal="center"/>
      <protection locked="0"/>
    </xf>
    <xf numFmtId="164" fontId="1" fillId="13" borderId="0" xfId="0" applyFont="1" applyFill="1" applyAlignment="1" applyProtection="1">
      <alignment horizontal="left"/>
      <protection locked="0"/>
    </xf>
    <xf numFmtId="49" fontId="7" fillId="9" borderId="0" xfId="0" applyNumberFormat="1" applyFont="1" applyFill="1" applyAlignment="1" applyProtection="1">
      <alignment horizontal="left"/>
      <protection locked="0"/>
    </xf>
    <xf numFmtId="49" fontId="7" fillId="25" borderId="0" xfId="0" applyNumberFormat="1" applyFont="1" applyFill="1" applyAlignment="1" applyProtection="1">
      <alignment horizontal="left"/>
      <protection locked="0"/>
    </xf>
    <xf numFmtId="1" fontId="1" fillId="25" borderId="0" xfId="0" applyNumberFormat="1" applyFont="1" applyFill="1" applyAlignment="1" applyProtection="1">
      <alignment horizontal="center"/>
      <protection locked="0"/>
    </xf>
    <xf numFmtId="49" fontId="2" fillId="25" borderId="0" xfId="0" applyNumberFormat="1" applyFont="1" applyFill="1" applyAlignment="1" applyProtection="1">
      <alignment horizontal="left"/>
      <protection locked="0"/>
    </xf>
    <xf numFmtId="49" fontId="1" fillId="25" borderId="0" xfId="0" applyNumberFormat="1" applyFont="1" applyFill="1" applyAlignment="1" applyProtection="1">
      <alignment horizontal="left"/>
      <protection locked="0"/>
    </xf>
    <xf numFmtId="164" fontId="28" fillId="24" borderId="0" xfId="0" applyFont="1" applyFill="1" applyAlignment="1" applyProtection="1">
      <alignment horizontal="left"/>
      <protection locked="0"/>
    </xf>
    <xf numFmtId="49" fontId="2" fillId="16" borderId="0" xfId="0" applyNumberFormat="1" applyFont="1" applyFill="1" applyAlignment="1" applyProtection="1">
      <alignment horizontal="left"/>
      <protection locked="0"/>
    </xf>
    <xf numFmtId="49" fontId="1" fillId="16" borderId="0" xfId="0" applyNumberFormat="1" applyFont="1" applyFill="1" applyAlignment="1" applyProtection="1">
      <alignment horizontal="center"/>
      <protection locked="0"/>
    </xf>
    <xf numFmtId="49" fontId="2" fillId="23" borderId="0" xfId="0" applyNumberFormat="1" applyFont="1" applyFill="1" applyAlignment="1" applyProtection="1">
      <alignment horizontal="left"/>
      <protection locked="0"/>
    </xf>
    <xf numFmtId="49" fontId="1" fillId="23" borderId="0" xfId="0" applyNumberFormat="1" applyFont="1" applyFill="1" applyAlignment="1" applyProtection="1">
      <alignment horizontal="left"/>
      <protection locked="0"/>
    </xf>
    <xf numFmtId="1" fontId="1" fillId="23" borderId="0" xfId="0" applyNumberFormat="1" applyFont="1" applyFill="1" applyAlignment="1" applyProtection="1">
      <alignment horizontal="center"/>
      <protection locked="0"/>
    </xf>
    <xf numFmtId="3" fontId="2" fillId="22" borderId="0" xfId="0" applyNumberFormat="1" applyFont="1" applyFill="1" applyAlignment="1" applyProtection="1">
      <alignment horizontal="left"/>
      <protection locked="0"/>
    </xf>
    <xf numFmtId="3" fontId="1" fillId="22" borderId="0" xfId="0" applyNumberFormat="1" applyFont="1" applyFill="1" applyAlignment="1" applyProtection="1">
      <alignment horizontal="left"/>
      <protection locked="0"/>
    </xf>
    <xf numFmtId="49" fontId="7" fillId="22" borderId="0" xfId="0" applyNumberFormat="1" applyFont="1" applyFill="1" applyAlignment="1" applyProtection="1">
      <alignment horizontal="left"/>
      <protection locked="0"/>
    </xf>
    <xf numFmtId="49" fontId="1" fillId="22" borderId="0" xfId="0" applyNumberFormat="1" applyFont="1" applyFill="1" applyAlignment="1" applyProtection="1">
      <alignment horizontal="center"/>
      <protection locked="0"/>
    </xf>
    <xf numFmtId="1" fontId="1" fillId="22" borderId="0" xfId="0" applyNumberFormat="1" applyFont="1" applyFill="1" applyAlignment="1" applyProtection="1">
      <alignment horizontal="center"/>
      <protection locked="0"/>
    </xf>
    <xf numFmtId="49" fontId="2" fillId="22" borderId="0" xfId="0" applyNumberFormat="1" applyFont="1" applyFill="1" applyAlignment="1" applyProtection="1">
      <alignment horizontal="left"/>
      <protection locked="0"/>
    </xf>
    <xf numFmtId="49" fontId="1" fillId="22" borderId="0" xfId="0" applyNumberFormat="1" applyFont="1" applyFill="1" applyAlignment="1" applyProtection="1">
      <alignment horizontal="left"/>
      <protection locked="0"/>
    </xf>
    <xf numFmtId="1" fontId="1" fillId="21" borderId="0" xfId="0" applyNumberFormat="1" applyFont="1" applyFill="1" applyAlignment="1" applyProtection="1">
      <alignment horizontal="center"/>
      <protection locked="0"/>
    </xf>
    <xf numFmtId="49" fontId="1" fillId="21" borderId="0" xfId="0" applyNumberFormat="1" applyFont="1" applyFill="1" applyAlignment="1" applyProtection="1">
      <alignment horizontal="left"/>
      <protection locked="0"/>
    </xf>
    <xf numFmtId="49" fontId="1" fillId="10" borderId="0" xfId="0" applyNumberFormat="1" applyFont="1" applyFill="1" applyAlignment="1" applyProtection="1">
      <alignment horizontal="left"/>
      <protection locked="0"/>
    </xf>
    <xf numFmtId="3" fontId="1" fillId="19" borderId="0" xfId="0" applyNumberFormat="1" applyFont="1" applyFill="1" applyAlignment="1" applyProtection="1">
      <alignment horizontal="left"/>
      <protection locked="0"/>
    </xf>
    <xf numFmtId="49" fontId="1" fillId="20" borderId="0" xfId="0" applyNumberFormat="1" applyFont="1" applyFill="1" applyAlignment="1" applyProtection="1">
      <alignment horizontal="left"/>
      <protection locked="0"/>
    </xf>
    <xf numFmtId="49" fontId="7" fillId="19" borderId="0" xfId="0" applyNumberFormat="1" applyFont="1" applyFill="1" applyAlignment="1" applyProtection="1">
      <alignment horizontal="left"/>
      <protection locked="0"/>
    </xf>
    <xf numFmtId="1" fontId="1" fillId="19" borderId="0" xfId="0" applyNumberFormat="1" applyFont="1" applyFill="1" applyAlignment="1" applyProtection="1">
      <alignment horizontal="center"/>
      <protection locked="0"/>
    </xf>
    <xf numFmtId="49" fontId="2" fillId="19" borderId="0" xfId="0" applyNumberFormat="1" applyFont="1" applyFill="1" applyAlignment="1" applyProtection="1">
      <alignment horizontal="left"/>
      <protection locked="0"/>
    </xf>
    <xf numFmtId="49" fontId="1" fillId="19" borderId="0" xfId="0" applyNumberFormat="1" applyFont="1" applyFill="1" applyAlignment="1" applyProtection="1">
      <alignment horizontal="left"/>
      <protection locked="0"/>
    </xf>
    <xf numFmtId="49" fontId="5" fillId="17" borderId="0" xfId="0" applyNumberFormat="1" applyFont="1" applyFill="1" applyAlignment="1" applyProtection="1">
      <alignment horizontal="left"/>
      <protection locked="0"/>
    </xf>
    <xf numFmtId="49" fontId="7" fillId="17" borderId="0" xfId="0" applyNumberFormat="1" applyFont="1" applyFill="1" applyAlignment="1" applyProtection="1">
      <alignment horizontal="left"/>
      <protection locked="0"/>
    </xf>
    <xf numFmtId="3" fontId="7" fillId="17" borderId="0" xfId="0" applyNumberFormat="1" applyFont="1" applyFill="1" applyAlignment="1" applyProtection="1">
      <alignment horizontal="left"/>
      <protection locked="0"/>
    </xf>
    <xf numFmtId="1" fontId="1" fillId="17" borderId="0" xfId="0" applyNumberFormat="1" applyFont="1" applyFill="1" applyAlignment="1" applyProtection="1">
      <alignment horizontal="center"/>
      <protection locked="0"/>
    </xf>
    <xf numFmtId="49" fontId="2" fillId="17" borderId="0" xfId="0" applyNumberFormat="1" applyFont="1" applyFill="1" applyAlignment="1" applyProtection="1">
      <alignment horizontal="left"/>
      <protection locked="0"/>
    </xf>
    <xf numFmtId="49" fontId="1" fillId="17" borderId="0" xfId="0" applyNumberFormat="1" applyFont="1" applyFill="1" applyAlignment="1" applyProtection="1">
      <alignment horizontal="left"/>
      <protection locked="0"/>
    </xf>
    <xf numFmtId="49" fontId="1" fillId="17" borderId="0" xfId="0" applyNumberFormat="1" applyFont="1" applyFill="1" applyAlignment="1" applyProtection="1">
      <alignment horizontal="center"/>
      <protection locked="0"/>
    </xf>
    <xf numFmtId="1" fontId="1" fillId="16" borderId="0" xfId="0" applyNumberFormat="1" applyFont="1" applyFill="1" applyAlignment="1" applyProtection="1">
      <alignment horizontal="center"/>
      <protection locked="0"/>
    </xf>
    <xf numFmtId="49" fontId="7" fillId="16" borderId="0" xfId="0" applyNumberFormat="1" applyFont="1" applyFill="1" applyAlignment="1" applyProtection="1">
      <alignment horizontal="left"/>
      <protection locked="0"/>
    </xf>
    <xf numFmtId="49" fontId="1" fillId="16" borderId="0" xfId="0" applyNumberFormat="1" applyFont="1" applyFill="1" applyAlignment="1" applyProtection="1">
      <alignment horizontal="left"/>
      <protection locked="0"/>
    </xf>
    <xf numFmtId="49" fontId="7" fillId="15" borderId="0" xfId="0" applyNumberFormat="1" applyFont="1" applyFill="1" applyAlignment="1" applyProtection="1">
      <alignment horizontal="left"/>
      <protection locked="0"/>
    </xf>
    <xf numFmtId="1" fontId="1" fillId="15" borderId="0" xfId="0" applyNumberFormat="1" applyFont="1" applyFill="1" applyAlignment="1" applyProtection="1">
      <alignment horizontal="center"/>
      <protection locked="0"/>
    </xf>
    <xf numFmtId="49" fontId="2" fillId="15" borderId="0" xfId="0" applyNumberFormat="1" applyFont="1" applyFill="1" applyAlignment="1" applyProtection="1">
      <alignment horizontal="left"/>
      <protection locked="0"/>
    </xf>
    <xf numFmtId="49" fontId="1" fillId="15" borderId="0" xfId="0" applyNumberFormat="1" applyFont="1" applyFill="1" applyAlignment="1" applyProtection="1">
      <alignment horizontal="left"/>
      <protection locked="0"/>
    </xf>
    <xf numFmtId="49" fontId="1" fillId="13" borderId="0" xfId="0" applyNumberFormat="1" applyFont="1" applyFill="1" applyAlignment="1" applyProtection="1">
      <alignment horizontal="center"/>
      <protection locked="0"/>
    </xf>
    <xf numFmtId="49" fontId="1" fillId="14" borderId="0" xfId="0" applyNumberFormat="1" applyFont="1" applyFill="1" applyAlignment="1" applyProtection="1">
      <alignment horizontal="left"/>
      <protection locked="0"/>
    </xf>
    <xf numFmtId="164" fontId="1" fillId="14" borderId="0" xfId="0" applyFont="1" applyFill="1" applyAlignment="1" applyProtection="1">
      <alignment horizontal="left"/>
      <protection locked="0"/>
    </xf>
    <xf numFmtId="49" fontId="7" fillId="13" borderId="0" xfId="0" applyNumberFormat="1" applyFont="1" applyFill="1" applyAlignment="1" applyProtection="1">
      <alignment horizontal="left"/>
      <protection locked="0"/>
    </xf>
    <xf numFmtId="1" fontId="1" fillId="13" borderId="0" xfId="0" applyNumberFormat="1" applyFont="1" applyFill="1" applyAlignment="1" applyProtection="1">
      <alignment horizontal="center"/>
      <protection locked="0"/>
    </xf>
    <xf numFmtId="49" fontId="2" fillId="13" borderId="0" xfId="0" applyNumberFormat="1" applyFont="1" applyFill="1" applyAlignment="1" applyProtection="1">
      <alignment horizontal="left"/>
      <protection locked="0"/>
    </xf>
    <xf numFmtId="49" fontId="1" fillId="13" borderId="0" xfId="0" applyNumberFormat="1" applyFont="1" applyFill="1" applyAlignment="1" applyProtection="1">
      <alignment horizontal="left"/>
      <protection locked="0"/>
    </xf>
    <xf numFmtId="164" fontId="2" fillId="0" borderId="2" xfId="0" applyFont="1" applyBorder="1"/>
    <xf numFmtId="37" fontId="9" fillId="0" borderId="2" xfId="0" applyNumberFormat="1" applyFont="1" applyBorder="1" applyAlignment="1">
      <alignment horizontal="center" vertical="center"/>
    </xf>
    <xf numFmtId="165" fontId="2" fillId="0" borderId="7" xfId="0" applyNumberFormat="1" applyFont="1" applyBorder="1" applyAlignment="1">
      <alignment horizontal="center"/>
    </xf>
    <xf numFmtId="37" fontId="2" fillId="0" borderId="10" xfId="0" applyNumberFormat="1" applyFont="1" applyBorder="1" applyAlignment="1">
      <alignment horizontal="center"/>
    </xf>
    <xf numFmtId="37" fontId="2" fillId="0" borderId="2" xfId="0" applyNumberFormat="1" applyFont="1" applyBorder="1" applyAlignment="1">
      <alignment horizontal="center" wrapText="1"/>
    </xf>
    <xf numFmtId="164" fontId="0" fillId="0" borderId="2" xfId="0" applyBorder="1"/>
    <xf numFmtId="164" fontId="2" fillId="0" borderId="7" xfId="0" applyFont="1" applyBorder="1"/>
    <xf numFmtId="164" fontId="1" fillId="0" borderId="0" xfId="0" applyFont="1"/>
    <xf numFmtId="37" fontId="9" fillId="0" borderId="0" xfId="0" applyNumberFormat="1" applyFont="1"/>
    <xf numFmtId="49" fontId="15" fillId="8" borderId="0" xfId="0" applyNumberFormat="1" applyFont="1" applyFill="1" applyAlignment="1">
      <alignment horizontal="center"/>
    </xf>
    <xf numFmtId="49" fontId="15" fillId="8" borderId="0" xfId="0" applyNumberFormat="1" applyFont="1" applyFill="1" applyAlignment="1">
      <alignment horizontal="left"/>
    </xf>
    <xf numFmtId="49" fontId="16" fillId="8" borderId="0" xfId="0" applyNumberFormat="1" applyFont="1" applyFill="1" applyAlignment="1">
      <alignment horizontal="left"/>
    </xf>
    <xf numFmtId="1" fontId="15" fillId="8" borderId="0" xfId="0" applyNumberFormat="1" applyFont="1" applyFill="1" applyAlignment="1">
      <alignment horizontal="center"/>
    </xf>
    <xf numFmtId="37" fontId="17" fillId="8" borderId="7" xfId="0" applyNumberFormat="1" applyFont="1" applyFill="1" applyBorder="1" applyAlignment="1">
      <alignment horizontal="center"/>
    </xf>
    <xf numFmtId="37" fontId="18" fillId="8" borderId="0" xfId="0" applyNumberFormat="1" applyFont="1" applyFill="1" applyAlignment="1">
      <alignment horizontal="center" vertical="top"/>
    </xf>
    <xf numFmtId="0" fontId="19" fillId="8" borderId="7" xfId="0" applyNumberFormat="1" applyFont="1" applyFill="1" applyBorder="1" applyAlignment="1">
      <alignment horizontal="center" vertical="top"/>
    </xf>
    <xf numFmtId="37" fontId="20" fillId="8" borderId="0" xfId="0" applyNumberFormat="1" applyFont="1" applyFill="1"/>
    <xf numFmtId="37" fontId="20" fillId="8" borderId="0" xfId="0" applyNumberFormat="1" applyFont="1" applyFill="1" applyAlignment="1">
      <alignment vertical="top"/>
    </xf>
    <xf numFmtId="37" fontId="20" fillId="8" borderId="0" xfId="0" applyNumberFormat="1" applyFont="1" applyFill="1" applyAlignment="1">
      <alignment horizontal="center"/>
    </xf>
    <xf numFmtId="37" fontId="20" fillId="8" borderId="7" xfId="0" applyNumberFormat="1" applyFont="1" applyFill="1" applyBorder="1" applyAlignment="1">
      <alignment vertical="top"/>
    </xf>
    <xf numFmtId="37" fontId="2" fillId="5" borderId="0" xfId="0" applyNumberFormat="1" applyFont="1" applyFill="1" applyAlignment="1">
      <alignment horizontal="centerContinuous"/>
    </xf>
    <xf numFmtId="37" fontId="2" fillId="5" borderId="7" xfId="0" applyNumberFormat="1" applyFont="1" applyFill="1" applyBorder="1" applyAlignment="1">
      <alignment horizontal="centerContinuous"/>
    </xf>
    <xf numFmtId="37" fontId="2" fillId="4" borderId="10" xfId="0" applyNumberFormat="1" applyFont="1" applyFill="1" applyBorder="1" applyAlignment="1">
      <alignment horizontal="centerContinuous"/>
    </xf>
    <xf numFmtId="37" fontId="2" fillId="4" borderId="0" xfId="0" applyNumberFormat="1" applyFont="1" applyFill="1"/>
    <xf numFmtId="37" fontId="2" fillId="4" borderId="0" xfId="0" applyNumberFormat="1" applyFont="1" applyFill="1" applyAlignment="1">
      <alignment horizontal="centerContinuous"/>
    </xf>
    <xf numFmtId="37" fontId="2" fillId="4" borderId="0" xfId="0" applyNumberFormat="1" applyFont="1" applyFill="1" applyAlignment="1">
      <alignment horizontal="center"/>
    </xf>
    <xf numFmtId="165" fontId="2" fillId="0" borderId="0" xfId="0" applyNumberFormat="1" applyFont="1" applyAlignment="1">
      <alignment horizontal="center"/>
    </xf>
    <xf numFmtId="37" fontId="2" fillId="5" borderId="2" xfId="0" applyNumberFormat="1" applyFont="1" applyFill="1" applyBorder="1" applyAlignment="1">
      <alignment horizontal="centerContinuous"/>
    </xf>
    <xf numFmtId="37" fontId="2" fillId="4" borderId="2" xfId="0" applyNumberFormat="1" applyFont="1" applyFill="1" applyBorder="1" applyAlignment="1">
      <alignment horizontal="centerContinuous"/>
    </xf>
    <xf numFmtId="37" fontId="2" fillId="4" borderId="8" xfId="0" applyNumberFormat="1" applyFont="1" applyFill="1" applyBorder="1" applyAlignment="1">
      <alignment horizontal="left"/>
    </xf>
    <xf numFmtId="37" fontId="2" fillId="4" borderId="2" xfId="0" applyNumberFormat="1" applyFont="1" applyFill="1" applyBorder="1"/>
    <xf numFmtId="37" fontId="9" fillId="0" borderId="0" xfId="0" applyNumberFormat="1" applyFont="1" applyAlignment="1">
      <alignment horizontal="center"/>
    </xf>
    <xf numFmtId="37" fontId="2" fillId="5" borderId="10" xfId="0" applyNumberFormat="1" applyFont="1" applyFill="1" applyBorder="1" applyAlignment="1">
      <alignment horizontal="centerContinuous"/>
    </xf>
    <xf numFmtId="37" fontId="2" fillId="5" borderId="2" xfId="0" applyNumberFormat="1" applyFont="1" applyFill="1" applyBorder="1" applyAlignment="1">
      <alignment horizontal="centerContinuous" vertical="center"/>
    </xf>
    <xf numFmtId="0" fontId="8" fillId="3" borderId="2" xfId="0" applyNumberFormat="1" applyFont="1" applyFill="1" applyBorder="1" applyAlignment="1">
      <alignment horizontal="left" wrapText="1"/>
    </xf>
    <xf numFmtId="1" fontId="8" fillId="3" borderId="2" xfId="0" applyNumberFormat="1" applyFont="1" applyFill="1" applyBorder="1" applyAlignment="1">
      <alignment horizontal="center"/>
    </xf>
    <xf numFmtId="1" fontId="2" fillId="3" borderId="2" xfId="0" applyNumberFormat="1" applyFont="1" applyFill="1" applyBorder="1" applyAlignment="1">
      <alignment horizontal="center"/>
    </xf>
    <xf numFmtId="37" fontId="2" fillId="4" borderId="2" xfId="0" applyNumberFormat="1" applyFont="1" applyFill="1" applyBorder="1" applyAlignment="1">
      <alignment horizontal="centerContinuous" vertical="center" wrapText="1" shrinkToFit="1"/>
    </xf>
    <xf numFmtId="49" fontId="1" fillId="2" borderId="0" xfId="0" applyNumberFormat="1" applyFont="1" applyFill="1" applyAlignment="1">
      <alignment horizontal="center"/>
    </xf>
    <xf numFmtId="49" fontId="1" fillId="2" borderId="0" xfId="0" applyNumberFormat="1" applyFont="1" applyFill="1" applyAlignment="1">
      <alignment horizontal="left"/>
    </xf>
    <xf numFmtId="49" fontId="1" fillId="9" borderId="0" xfId="0" applyNumberFormat="1" applyFont="1" applyFill="1" applyAlignment="1" applyProtection="1">
      <alignment horizontal="center"/>
      <protection locked="0"/>
    </xf>
    <xf numFmtId="49" fontId="1" fillId="9" borderId="0" xfId="0" applyNumberFormat="1" applyFont="1" applyFill="1" applyAlignment="1" applyProtection="1">
      <alignment horizontal="left"/>
      <protection locked="0"/>
    </xf>
    <xf numFmtId="49" fontId="2" fillId="9" borderId="0" xfId="0" applyNumberFormat="1" applyFont="1" applyFill="1" applyAlignment="1" applyProtection="1">
      <alignment horizontal="left"/>
      <protection locked="0"/>
    </xf>
    <xf numFmtId="1" fontId="1" fillId="9" borderId="0" xfId="0" applyNumberFormat="1" applyFont="1" applyFill="1" applyAlignment="1" applyProtection="1">
      <alignment horizontal="center"/>
      <protection locked="0"/>
    </xf>
    <xf numFmtId="49" fontId="2" fillId="10" borderId="0" xfId="0" applyNumberFormat="1" applyFont="1" applyFill="1" applyAlignment="1" applyProtection="1">
      <alignment horizontal="left"/>
      <protection locked="0"/>
    </xf>
    <xf numFmtId="49" fontId="7" fillId="10" borderId="0" xfId="0" applyNumberFormat="1" applyFont="1" applyFill="1" applyAlignment="1" applyProtection="1">
      <alignment horizontal="left"/>
      <protection locked="0"/>
    </xf>
    <xf numFmtId="3" fontId="1" fillId="9" borderId="0" xfId="0" applyNumberFormat="1" applyFont="1" applyFill="1" applyAlignment="1" applyProtection="1">
      <alignment horizontal="left"/>
      <protection locked="0"/>
    </xf>
    <xf numFmtId="3" fontId="2" fillId="9" borderId="0" xfId="0" applyNumberFormat="1" applyFont="1" applyFill="1" applyAlignment="1" applyProtection="1">
      <alignment horizontal="left"/>
      <protection locked="0"/>
    </xf>
    <xf numFmtId="164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49" fontId="1" fillId="0" borderId="0" xfId="0" applyNumberFormat="1" applyFont="1" applyAlignment="1">
      <alignment horizontal="left"/>
    </xf>
    <xf numFmtId="164" fontId="4" fillId="0" borderId="0" xfId="0" applyFont="1" applyAlignment="1">
      <alignment horizontal="center"/>
    </xf>
    <xf numFmtId="164" fontId="4" fillId="0" borderId="0" xfId="0" applyFont="1"/>
    <xf numFmtId="49" fontId="4" fillId="0" borderId="0" xfId="0" applyNumberFormat="1" applyFont="1" applyAlignment="1">
      <alignment horizontal="center"/>
    </xf>
    <xf numFmtId="164" fontId="2" fillId="0" borderId="0" xfId="0" applyFont="1"/>
    <xf numFmtId="164" fontId="28" fillId="30" borderId="0" xfId="0" applyFont="1" applyFill="1" applyAlignment="1" applyProtection="1">
      <alignment horizontal="left"/>
      <protection locked="0"/>
    </xf>
    <xf numFmtId="164" fontId="1" fillId="17" borderId="0" xfId="0" applyFont="1" applyFill="1" applyAlignment="1" applyProtection="1">
      <alignment horizontal="left"/>
      <protection locked="0"/>
    </xf>
    <xf numFmtId="164" fontId="7" fillId="13" borderId="0" xfId="0" applyFont="1" applyFill="1" applyAlignment="1" applyProtection="1">
      <alignment horizontal="left"/>
      <protection locked="0"/>
    </xf>
    <xf numFmtId="1" fontId="1" fillId="32" borderId="0" xfId="0" applyNumberFormat="1" applyFont="1" applyFill="1" applyAlignment="1" applyProtection="1">
      <alignment horizontal="center"/>
      <protection locked="0"/>
    </xf>
    <xf numFmtId="1" fontId="7" fillId="30" borderId="0" xfId="0" applyNumberFormat="1" applyFont="1" applyFill="1" applyAlignment="1" applyProtection="1">
      <alignment horizontal="center"/>
      <protection locked="0"/>
    </xf>
    <xf numFmtId="1" fontId="1" fillId="30" borderId="0" xfId="0" applyNumberFormat="1" applyFont="1" applyFill="1" applyAlignment="1" applyProtection="1">
      <alignment horizontal="center"/>
      <protection locked="0"/>
    </xf>
    <xf numFmtId="1" fontId="1" fillId="33" borderId="0" xfId="0" applyNumberFormat="1" applyFont="1" applyFill="1" applyAlignment="1" applyProtection="1">
      <alignment horizontal="center"/>
      <protection locked="0"/>
    </xf>
    <xf numFmtId="1" fontId="1" fillId="26" borderId="0" xfId="0" applyNumberFormat="1" applyFont="1" applyFill="1" applyAlignment="1" applyProtection="1">
      <alignment horizontal="center"/>
      <protection locked="0"/>
    </xf>
    <xf numFmtId="49" fontId="2" fillId="34" borderId="0" xfId="0" applyNumberFormat="1" applyFont="1" applyFill="1" applyAlignment="1" applyProtection="1">
      <alignment horizontal="left"/>
      <protection locked="0"/>
    </xf>
    <xf numFmtId="3" fontId="2" fillId="34" borderId="0" xfId="0" applyNumberFormat="1" applyFont="1" applyFill="1" applyAlignment="1" applyProtection="1">
      <alignment horizontal="left"/>
      <protection locked="0"/>
    </xf>
    <xf numFmtId="49" fontId="7" fillId="34" borderId="0" xfId="0" applyNumberFormat="1" applyFont="1" applyFill="1" applyAlignment="1" applyProtection="1">
      <alignment horizontal="left"/>
      <protection locked="0"/>
    </xf>
    <xf numFmtId="1" fontId="1" fillId="34" borderId="0" xfId="0" applyNumberFormat="1" applyFont="1" applyFill="1" applyAlignment="1" applyProtection="1">
      <alignment horizontal="center"/>
      <protection locked="0"/>
    </xf>
    <xf numFmtId="1" fontId="1" fillId="24" borderId="0" xfId="0" applyNumberFormat="1" applyFont="1" applyFill="1" applyAlignment="1" applyProtection="1">
      <alignment horizontal="center"/>
      <protection locked="0"/>
    </xf>
    <xf numFmtId="1" fontId="2" fillId="16" borderId="0" xfId="0" applyNumberFormat="1" applyFont="1" applyFill="1" applyAlignment="1" applyProtection="1">
      <alignment horizontal="left"/>
      <protection locked="0"/>
    </xf>
    <xf numFmtId="164" fontId="29" fillId="30" borderId="0" xfId="0" applyFont="1" applyFill="1" applyAlignment="1" applyProtection="1">
      <alignment horizontal="left"/>
      <protection locked="0"/>
    </xf>
    <xf numFmtId="0" fontId="1" fillId="0" borderId="0" xfId="0" applyNumberFormat="1" applyFont="1" applyAlignment="1">
      <alignment horizontal="left"/>
    </xf>
    <xf numFmtId="164" fontId="7" fillId="0" borderId="0" xfId="0" applyFont="1"/>
    <xf numFmtId="9" fontId="1" fillId="0" borderId="0" xfId="8" applyFont="1"/>
    <xf numFmtId="164" fontId="1" fillId="0" borderId="0" xfId="0" applyFont="1" applyAlignment="1">
      <alignment wrapText="1"/>
    </xf>
    <xf numFmtId="0" fontId="1" fillId="0" borderId="9" xfId="0" applyNumberFormat="1" applyFont="1" applyBorder="1" applyAlignment="1">
      <alignment horizontal="left"/>
    </xf>
    <xf numFmtId="164" fontId="1" fillId="0" borderId="9" xfId="0" applyFont="1" applyBorder="1"/>
    <xf numFmtId="166" fontId="1" fillId="0" borderId="9" xfId="0" applyNumberFormat="1" applyFont="1" applyBorder="1"/>
    <xf numFmtId="166" fontId="1" fillId="0" borderId="10" xfId="0" applyNumberFormat="1" applyFont="1" applyBorder="1"/>
    <xf numFmtId="166" fontId="1" fillId="0" borderId="11" xfId="0" applyNumberFormat="1" applyFont="1" applyBorder="1"/>
    <xf numFmtId="166" fontId="1" fillId="0" borderId="12" xfId="0" applyNumberFormat="1" applyFont="1" applyBorder="1"/>
    <xf numFmtId="0" fontId="1" fillId="0" borderId="4" xfId="0" applyNumberFormat="1" applyFont="1" applyBorder="1" applyAlignment="1">
      <alignment horizontal="left"/>
    </xf>
    <xf numFmtId="164" fontId="1" fillId="0" borderId="4" xfId="0" applyFont="1" applyBorder="1"/>
    <xf numFmtId="166" fontId="1" fillId="0" borderId="4" xfId="0" applyNumberFormat="1" applyFont="1" applyBorder="1"/>
    <xf numFmtId="166" fontId="1" fillId="0" borderId="0" xfId="0" applyNumberFormat="1" applyFont="1"/>
    <xf numFmtId="166" fontId="1" fillId="0" borderId="7" xfId="0" applyNumberFormat="1" applyFont="1" applyBorder="1"/>
    <xf numFmtId="166" fontId="1" fillId="0" borderId="5" xfId="0" applyNumberFormat="1" applyFont="1" applyBorder="1"/>
    <xf numFmtId="164" fontId="2" fillId="0" borderId="3" xfId="0" applyFont="1" applyBorder="1" applyAlignment="1">
      <alignment horizontal="right"/>
    </xf>
    <xf numFmtId="9" fontId="2" fillId="0" borderId="3" xfId="0" applyNumberFormat="1" applyFont="1" applyBorder="1"/>
    <xf numFmtId="9" fontId="2" fillId="0" borderId="2" xfId="0" applyNumberFormat="1" applyFont="1" applyBorder="1"/>
    <xf numFmtId="9" fontId="7" fillId="0" borderId="2" xfId="0" applyNumberFormat="1" applyFont="1" applyBorder="1"/>
    <xf numFmtId="9" fontId="2" fillId="0" borderId="6" xfId="0" applyNumberFormat="1" applyFont="1" applyBorder="1"/>
    <xf numFmtId="9" fontId="2" fillId="0" borderId="0" xfId="8" applyFont="1"/>
    <xf numFmtId="9" fontId="7" fillId="0" borderId="4" xfId="0" applyNumberFormat="1" applyFont="1" applyBorder="1"/>
    <xf numFmtId="9" fontId="2" fillId="0" borderId="0" xfId="0" applyNumberFormat="1" applyFont="1"/>
    <xf numFmtId="9" fontId="7" fillId="0" borderId="3" xfId="0" applyNumberFormat="1" applyFont="1" applyBorder="1"/>
    <xf numFmtId="0" fontId="1" fillId="0" borderId="3" xfId="0" applyNumberFormat="1" applyFont="1" applyBorder="1" applyAlignment="1">
      <alignment horizontal="left"/>
    </xf>
    <xf numFmtId="9" fontId="7" fillId="0" borderId="0" xfId="0" applyNumberFormat="1" applyFont="1"/>
    <xf numFmtId="166" fontId="33" fillId="0" borderId="4" xfId="0" applyNumberFormat="1" applyFont="1" applyBorder="1"/>
    <xf numFmtId="9" fontId="2" fillId="0" borderId="4" xfId="0" applyNumberFormat="1" applyFont="1" applyBorder="1"/>
    <xf numFmtId="166" fontId="33" fillId="0" borderId="0" xfId="0" applyNumberFormat="1" applyFont="1"/>
    <xf numFmtId="9" fontId="7" fillId="0" borderId="6" xfId="0" applyNumberFormat="1" applyFont="1" applyBorder="1"/>
    <xf numFmtId="166" fontId="33" fillId="0" borderId="10" xfId="0" applyNumberFormat="1" applyFont="1" applyBorder="1"/>
    <xf numFmtId="164" fontId="2" fillId="0" borderId="3" xfId="0" applyFont="1" applyBorder="1" applyAlignment="1">
      <alignment horizontal="left"/>
    </xf>
    <xf numFmtId="164" fontId="1" fillId="0" borderId="0" xfId="0" applyFont="1" applyAlignment="1">
      <alignment horizontal="left"/>
    </xf>
    <xf numFmtId="164" fontId="2" fillId="0" borderId="0" xfId="0" applyFont="1" applyAlignment="1">
      <alignment wrapText="1"/>
    </xf>
    <xf numFmtId="164" fontId="1" fillId="0" borderId="9" xfId="0" applyFont="1" applyBorder="1" applyAlignment="1">
      <alignment horizontal="left"/>
    </xf>
    <xf numFmtId="164" fontId="1" fillId="0" borderId="12" xfId="0" applyFont="1" applyBorder="1" applyAlignment="1">
      <alignment wrapText="1"/>
    </xf>
    <xf numFmtId="166" fontId="1" fillId="0" borderId="9" xfId="0" applyNumberFormat="1" applyFont="1" applyBorder="1" applyAlignment="1">
      <alignment wrapText="1"/>
    </xf>
    <xf numFmtId="166" fontId="1" fillId="0" borderId="10" xfId="0" applyNumberFormat="1" applyFont="1" applyBorder="1" applyAlignment="1">
      <alignment wrapText="1"/>
    </xf>
    <xf numFmtId="166" fontId="1" fillId="0" borderId="11" xfId="0" applyNumberFormat="1" applyFont="1" applyBorder="1" applyAlignment="1">
      <alignment wrapText="1"/>
    </xf>
    <xf numFmtId="164" fontId="1" fillId="0" borderId="5" xfId="0" applyFont="1" applyBorder="1" applyAlignment="1">
      <alignment horizontal="left"/>
    </xf>
    <xf numFmtId="164" fontId="1" fillId="0" borderId="6" xfId="0" applyFont="1" applyBorder="1" applyAlignment="1">
      <alignment wrapText="1"/>
    </xf>
    <xf numFmtId="166" fontId="1" fillId="0" borderId="3" xfId="0" applyNumberFormat="1" applyFont="1" applyBorder="1" applyAlignment="1">
      <alignment wrapText="1"/>
    </xf>
    <xf numFmtId="166" fontId="1" fillId="0" borderId="2" xfId="0" applyNumberFormat="1" applyFont="1" applyBorder="1" applyAlignment="1">
      <alignment wrapText="1"/>
    </xf>
    <xf numFmtId="166" fontId="1" fillId="0" borderId="0" xfId="0" applyNumberFormat="1" applyFont="1" applyAlignment="1">
      <alignment wrapText="1"/>
    </xf>
    <xf numFmtId="164" fontId="1" fillId="35" borderId="6" xfId="0" applyFont="1" applyFill="1" applyBorder="1" applyAlignment="1">
      <alignment horizontal="left"/>
    </xf>
    <xf numFmtId="9" fontId="2" fillId="35" borderId="6" xfId="0" applyNumberFormat="1" applyFont="1" applyFill="1" applyBorder="1"/>
    <xf numFmtId="9" fontId="2" fillId="35" borderId="3" xfId="0" applyNumberFormat="1" applyFont="1" applyFill="1" applyBorder="1"/>
    <xf numFmtId="9" fontId="2" fillId="35" borderId="2" xfId="0" applyNumberFormat="1" applyFont="1" applyFill="1" applyBorder="1"/>
    <xf numFmtId="166" fontId="1" fillId="0" borderId="4" xfId="0" applyNumberFormat="1" applyFont="1" applyBorder="1" applyAlignment="1">
      <alignment wrapText="1"/>
    </xf>
    <xf numFmtId="164" fontId="1" fillId="0" borderId="6" xfId="0" applyFont="1" applyBorder="1" applyAlignment="1">
      <alignment horizontal="left"/>
    </xf>
    <xf numFmtId="164" fontId="1" fillId="0" borderId="4" xfId="0" applyFont="1" applyBorder="1" applyAlignment="1">
      <alignment horizontal="left"/>
    </xf>
    <xf numFmtId="164" fontId="1" fillId="0" borderId="3" xfId="0" applyFont="1" applyBorder="1" applyAlignment="1">
      <alignment horizontal="left"/>
    </xf>
    <xf numFmtId="9" fontId="2" fillId="0" borderId="2" xfId="0" applyNumberFormat="1" applyFont="1" applyBorder="1" applyAlignment="1">
      <alignment horizontal="right"/>
    </xf>
    <xf numFmtId="9" fontId="7" fillId="0" borderId="15" xfId="0" applyNumberFormat="1" applyFont="1" applyBorder="1"/>
    <xf numFmtId="164" fontId="1" fillId="0" borderId="2" xfId="0" applyFont="1" applyBorder="1" applyAlignment="1">
      <alignment horizontal="left"/>
    </xf>
    <xf numFmtId="9" fontId="1" fillId="0" borderId="0" xfId="0" applyNumberFormat="1" applyFont="1" applyAlignment="1">
      <alignment wrapText="1"/>
    </xf>
    <xf numFmtId="164" fontId="34" fillId="0" borderId="0" xfId="0" applyFont="1"/>
    <xf numFmtId="164" fontId="35" fillId="0" borderId="0" xfId="0" applyFont="1" applyAlignment="1">
      <alignment horizontal="centerContinuous"/>
    </xf>
    <xf numFmtId="164" fontId="36" fillId="0" borderId="0" xfId="0" applyFont="1" applyAlignment="1">
      <alignment horizontal="centerContinuous"/>
    </xf>
    <xf numFmtId="164" fontId="1" fillId="0" borderId="0" xfId="0" applyFont="1" applyAlignment="1">
      <alignment horizontal="centerContinuous"/>
    </xf>
    <xf numFmtId="164" fontId="36" fillId="0" borderId="0" xfId="0" applyFont="1" applyAlignment="1">
      <alignment horizontal="center"/>
    </xf>
    <xf numFmtId="164" fontId="36" fillId="0" borderId="10" xfId="0" applyFont="1" applyBorder="1" applyAlignment="1">
      <alignment horizontal="center"/>
    </xf>
    <xf numFmtId="164" fontId="36" fillId="0" borderId="1" xfId="0" applyFont="1" applyBorder="1" applyAlignment="1">
      <alignment horizontal="centerContinuous"/>
    </xf>
    <xf numFmtId="164" fontId="36" fillId="0" borderId="10" xfId="0" applyFont="1" applyBorder="1" applyAlignment="1">
      <alignment horizontal="centerContinuous"/>
    </xf>
    <xf numFmtId="164" fontId="2" fillId="0" borderId="2" xfId="0" applyFont="1" applyBorder="1" applyAlignment="1">
      <alignment horizontal="center"/>
    </xf>
    <xf numFmtId="164" fontId="37" fillId="0" borderId="2" xfId="0" applyFont="1" applyBorder="1" applyAlignment="1">
      <alignment horizontal="center" wrapText="1"/>
    </xf>
    <xf numFmtId="164" fontId="37" fillId="0" borderId="3" xfId="0" applyFont="1" applyBorder="1" applyAlignment="1">
      <alignment horizontal="center" wrapText="1"/>
    </xf>
    <xf numFmtId="3" fontId="1" fillId="0" borderId="0" xfId="0" applyNumberFormat="1" applyFont="1" applyAlignment="1">
      <alignment horizontal="left"/>
    </xf>
    <xf numFmtId="3" fontId="1" fillId="0" borderId="0" xfId="0" applyNumberFormat="1" applyFont="1" applyAlignment="1">
      <alignment horizontal="center"/>
    </xf>
    <xf numFmtId="3" fontId="1" fillId="0" borderId="7" xfId="0" applyNumberFormat="1" applyFont="1" applyBorder="1" applyAlignment="1">
      <alignment horizontal="center"/>
    </xf>
    <xf numFmtId="3" fontId="1" fillId="0" borderId="0" xfId="0" applyNumberFormat="1" applyFont="1" applyAlignment="1">
      <alignment horizontal="right"/>
    </xf>
    <xf numFmtId="3" fontId="1" fillId="0" borderId="2" xfId="0" applyNumberFormat="1" applyFont="1" applyBorder="1" applyAlignment="1">
      <alignment horizontal="left"/>
    </xf>
    <xf numFmtId="3" fontId="1" fillId="0" borderId="2" xfId="0" applyNumberFormat="1" applyFont="1" applyBorder="1" applyAlignment="1">
      <alignment horizontal="center"/>
    </xf>
    <xf numFmtId="3" fontId="1" fillId="0" borderId="3" xfId="0" applyNumberFormat="1" applyFont="1" applyBorder="1" applyAlignment="1">
      <alignment horizontal="center"/>
    </xf>
    <xf numFmtId="3" fontId="1" fillId="0" borderId="2" xfId="0" applyNumberFormat="1" applyFont="1" applyBorder="1" applyAlignment="1">
      <alignment horizontal="right"/>
    </xf>
    <xf numFmtId="49" fontId="3" fillId="0" borderId="0" xfId="0" applyNumberFormat="1" applyFont="1" applyAlignment="1">
      <alignment horizontal="right"/>
    </xf>
    <xf numFmtId="164" fontId="1" fillId="0" borderId="2" xfId="0" applyFont="1" applyBorder="1"/>
    <xf numFmtId="164" fontId="1" fillId="0" borderId="10" xfId="0" applyFont="1" applyBorder="1"/>
    <xf numFmtId="164" fontId="2" fillId="0" borderId="1" xfId="0" applyFont="1" applyBorder="1" applyAlignment="1">
      <alignment horizontal="centerContinuous"/>
    </xf>
    <xf numFmtId="3" fontId="1" fillId="0" borderId="9" xfId="0" applyNumberFormat="1" applyFont="1" applyBorder="1" applyAlignment="1">
      <alignment horizontal="center"/>
    </xf>
    <xf numFmtId="3" fontId="1" fillId="0" borderId="10" xfId="0" applyNumberFormat="1" applyFont="1" applyBorder="1" applyAlignment="1">
      <alignment horizontal="center"/>
    </xf>
    <xf numFmtId="3" fontId="1" fillId="0" borderId="11" xfId="0" applyNumberFormat="1" applyFont="1" applyBorder="1" applyAlignment="1">
      <alignment horizontal="center"/>
    </xf>
    <xf numFmtId="3" fontId="1" fillId="0" borderId="0" xfId="0" applyNumberFormat="1" applyFont="1"/>
    <xf numFmtId="164" fontId="34" fillId="0" borderId="0" xfId="0" applyFont="1" applyAlignment="1">
      <alignment vertical="top" wrapText="1"/>
    </xf>
    <xf numFmtId="164" fontId="37" fillId="0" borderId="1" xfId="0" applyFont="1" applyBorder="1" applyAlignment="1">
      <alignment horizontal="centerContinuous" wrapText="1"/>
    </xf>
    <xf numFmtId="0" fontId="1" fillId="0" borderId="0" xfId="0" applyNumberFormat="1" applyFont="1"/>
    <xf numFmtId="3" fontId="1" fillId="0" borderId="10" xfId="0" applyNumberFormat="1" applyFont="1" applyBorder="1" applyAlignment="1">
      <alignment horizontal="left"/>
    </xf>
    <xf numFmtId="3" fontId="1" fillId="0" borderId="10" xfId="9" applyNumberFormat="1" applyFont="1" applyBorder="1" applyAlignment="1">
      <alignment horizontal="center"/>
    </xf>
    <xf numFmtId="3" fontId="1" fillId="0" borderId="10" xfId="9" applyNumberFormat="1" applyFont="1" applyBorder="1"/>
    <xf numFmtId="166" fontId="22" fillId="36" borderId="0" xfId="9" applyNumberFormat="1" applyFont="1" applyFill="1"/>
    <xf numFmtId="49" fontId="3" fillId="0" borderId="0" xfId="0" quotePrefix="1" applyNumberFormat="1" applyFont="1" applyAlignment="1">
      <alignment horizontal="right"/>
    </xf>
    <xf numFmtId="167" fontId="1" fillId="0" borderId="0" xfId="0" applyNumberFormat="1" applyFont="1" applyAlignment="1">
      <alignment horizontal="centerContinuous"/>
    </xf>
    <xf numFmtId="164" fontId="35" fillId="0" borderId="0" xfId="0" applyFont="1" applyAlignment="1">
      <alignment horizontal="center"/>
    </xf>
    <xf numFmtId="3" fontId="1" fillId="0" borderId="0" xfId="9" applyNumberFormat="1" applyFont="1"/>
    <xf numFmtId="3" fontId="3" fillId="0" borderId="0" xfId="0" applyNumberFormat="1" applyFont="1" applyAlignment="1">
      <alignment horizontal="left"/>
    </xf>
    <xf numFmtId="164" fontId="3" fillId="0" borderId="0" xfId="0" applyFont="1" applyAlignment="1">
      <alignment vertical="top" wrapText="1"/>
    </xf>
    <xf numFmtId="164" fontId="37" fillId="0" borderId="17" xfId="0" applyFont="1" applyBorder="1" applyAlignment="1">
      <alignment horizontal="centerContinuous"/>
    </xf>
    <xf numFmtId="164" fontId="36" fillId="0" borderId="18" xfId="0" applyFont="1" applyBorder="1" applyAlignment="1">
      <alignment horizontal="centerContinuous"/>
    </xf>
    <xf numFmtId="164" fontId="33" fillId="0" borderId="0" xfId="0" applyFont="1" applyAlignment="1">
      <alignment horizontal="right"/>
    </xf>
    <xf numFmtId="164" fontId="37" fillId="0" borderId="18" xfId="0" applyFont="1" applyBorder="1" applyAlignment="1">
      <alignment horizontal="center" wrapText="1"/>
    </xf>
    <xf numFmtId="164" fontId="38" fillId="0" borderId="0" xfId="0" applyFont="1" applyAlignment="1">
      <alignment horizontal="center"/>
    </xf>
    <xf numFmtId="3" fontId="1" fillId="0" borderId="16" xfId="0" applyNumberFormat="1" applyFont="1" applyBorder="1" applyAlignment="1">
      <alignment horizontal="center"/>
    </xf>
    <xf numFmtId="164" fontId="38" fillId="0" borderId="0" xfId="0" applyFont="1"/>
    <xf numFmtId="164" fontId="33" fillId="0" borderId="0" xfId="0" applyFont="1"/>
    <xf numFmtId="166" fontId="22" fillId="0" borderId="0" xfId="9" applyNumberFormat="1" applyFont="1"/>
    <xf numFmtId="164" fontId="1" fillId="36" borderId="0" xfId="0" applyFont="1" applyFill="1"/>
    <xf numFmtId="164" fontId="2" fillId="36" borderId="0" xfId="0" applyFont="1" applyFill="1"/>
    <xf numFmtId="164" fontId="37" fillId="36" borderId="0" xfId="0" applyFont="1" applyFill="1" applyAlignment="1">
      <alignment horizontal="center" wrapText="1"/>
    </xf>
    <xf numFmtId="168" fontId="1" fillId="0" borderId="0" xfId="8" applyNumberFormat="1" applyFont="1"/>
    <xf numFmtId="168" fontId="36" fillId="0" borderId="0" xfId="7" applyNumberFormat="1" applyFont="1" applyAlignment="1">
      <alignment horizontal="centerContinuous"/>
    </xf>
    <xf numFmtId="169" fontId="36" fillId="0" borderId="0" xfId="7" applyNumberFormat="1" applyFont="1" applyAlignment="1">
      <alignment horizontal="centerContinuous"/>
    </xf>
    <xf numFmtId="166" fontId="3" fillId="0" borderId="0" xfId="9" applyNumberFormat="1" applyFont="1" applyAlignment="1">
      <alignment horizontal="centerContinuous"/>
    </xf>
    <xf numFmtId="166" fontId="1" fillId="36" borderId="0" xfId="9" applyNumberFormat="1" applyFont="1" applyFill="1"/>
    <xf numFmtId="168" fontId="1" fillId="36" borderId="0" xfId="8" applyNumberFormat="1" applyFont="1" applyFill="1"/>
    <xf numFmtId="166" fontId="1" fillId="0" borderId="0" xfId="9" applyNumberFormat="1" applyFont="1"/>
    <xf numFmtId="164" fontId="36" fillId="0" borderId="0" xfId="0" applyFont="1" applyAlignment="1">
      <alignment horizontal="right"/>
    </xf>
    <xf numFmtId="164" fontId="37" fillId="0" borderId="0" xfId="0" applyFont="1" applyAlignment="1">
      <alignment horizontal="center" wrapText="1"/>
    </xf>
    <xf numFmtId="164" fontId="2" fillId="0" borderId="18" xfId="0" applyFont="1" applyBorder="1" applyAlignment="1">
      <alignment horizontal="centerContinuous"/>
    </xf>
    <xf numFmtId="164" fontId="2" fillId="0" borderId="17" xfId="0" applyFont="1" applyBorder="1" applyAlignment="1">
      <alignment horizontal="centerContinuous"/>
    </xf>
    <xf numFmtId="164" fontId="39" fillId="0" borderId="0" xfId="0" applyFont="1" applyAlignment="1">
      <alignment horizontal="right"/>
    </xf>
    <xf numFmtId="164" fontId="40" fillId="0" borderId="0" xfId="0" applyFont="1" applyAlignment="1">
      <alignment horizontal="center" wrapText="1"/>
    </xf>
    <xf numFmtId="164" fontId="22" fillId="0" borderId="0" xfId="0" applyFont="1"/>
    <xf numFmtId="164" fontId="1" fillId="0" borderId="0" xfId="0" applyFont="1" applyAlignment="1">
      <alignment horizontal="right"/>
    </xf>
    <xf numFmtId="168" fontId="41" fillId="0" borderId="0" xfId="8" applyNumberFormat="1" applyFont="1"/>
    <xf numFmtId="166" fontId="1" fillId="0" borderId="0" xfId="9" applyNumberFormat="1" applyFont="1" applyAlignment="1">
      <alignment horizontal="right"/>
    </xf>
    <xf numFmtId="164" fontId="39" fillId="0" borderId="0" xfId="0" applyFont="1"/>
    <xf numFmtId="164" fontId="37" fillId="0" borderId="19" xfId="0" applyFont="1" applyBorder="1" applyAlignment="1">
      <alignment horizontal="centerContinuous" wrapText="1"/>
    </xf>
    <xf numFmtId="164" fontId="36" fillId="0" borderId="20" xfId="0" applyFont="1" applyBorder="1" applyAlignment="1">
      <alignment horizontal="centerContinuous"/>
    </xf>
    <xf numFmtId="37" fontId="1" fillId="9" borderId="0" xfId="0" applyNumberFormat="1" applyFont="1" applyFill="1" applyAlignment="1" applyProtection="1">
      <alignment horizontal="left"/>
      <protection locked="0"/>
    </xf>
    <xf numFmtId="3" fontId="1" fillId="10" borderId="0" xfId="0" applyNumberFormat="1" applyFont="1" applyFill="1" applyAlignment="1" applyProtection="1">
      <alignment horizontal="left"/>
      <protection locked="0"/>
    </xf>
    <xf numFmtId="49" fontId="2" fillId="33" borderId="0" xfId="0" applyNumberFormat="1" applyFont="1" applyFill="1" applyAlignment="1" applyProtection="1">
      <alignment horizontal="left"/>
      <protection locked="0"/>
    </xf>
    <xf numFmtId="164" fontId="29" fillId="23" borderId="0" xfId="0" applyFont="1" applyFill="1" applyAlignment="1" applyProtection="1">
      <alignment horizontal="left"/>
      <protection locked="0"/>
    </xf>
    <xf numFmtId="49" fontId="1" fillId="24" borderId="0" xfId="0" applyNumberFormat="1" applyFont="1" applyFill="1" applyAlignment="1" applyProtection="1">
      <alignment horizontal="left"/>
      <protection locked="0"/>
    </xf>
    <xf numFmtId="49" fontId="1" fillId="37" borderId="0" xfId="0" applyNumberFormat="1" applyFont="1" applyFill="1" applyAlignment="1" applyProtection="1">
      <alignment horizontal="left"/>
      <protection locked="0"/>
    </xf>
    <xf numFmtId="164" fontId="3" fillId="0" borderId="0" xfId="0" applyFont="1" applyAlignment="1">
      <alignment horizontal="left" vertical="top" wrapText="1"/>
    </xf>
    <xf numFmtId="164" fontId="0" fillId="0" borderId="0" xfId="0" applyAlignment="1">
      <alignment horizontal="left" vertical="top" wrapText="1"/>
    </xf>
    <xf numFmtId="49" fontId="2" fillId="4" borderId="0" xfId="0" applyNumberFormat="1" applyFont="1" applyFill="1" applyAlignment="1">
      <alignment horizontal="left"/>
    </xf>
    <xf numFmtId="37" fontId="2" fillId="4" borderId="2" xfId="0" applyNumberFormat="1" applyFont="1" applyFill="1" applyBorder="1" applyAlignment="1">
      <alignment horizontal="center"/>
    </xf>
    <xf numFmtId="37" fontId="2" fillId="4" borderId="2" xfId="0" applyNumberFormat="1" applyFont="1" applyFill="1" applyBorder="1" applyAlignment="1">
      <alignment horizontal="left"/>
    </xf>
    <xf numFmtId="37" fontId="2" fillId="0" borderId="7" xfId="0" applyNumberFormat="1" applyFont="1" applyBorder="1" applyAlignment="1">
      <alignment horizontal="center"/>
    </xf>
    <xf numFmtId="37" fontId="2" fillId="4" borderId="0" xfId="0" applyNumberFormat="1" applyFont="1" applyFill="1" applyAlignment="1">
      <alignment horizontal="left"/>
    </xf>
    <xf numFmtId="37" fontId="2" fillId="4" borderId="7" xfId="0" applyNumberFormat="1" applyFont="1" applyFill="1" applyBorder="1" applyAlignment="1">
      <alignment horizontal="left"/>
    </xf>
    <xf numFmtId="164" fontId="0" fillId="0" borderId="7" xfId="0" applyBorder="1"/>
    <xf numFmtId="0" fontId="0" fillId="0" borderId="0" xfId="0" applyNumberFormat="1"/>
    <xf numFmtId="37" fontId="2" fillId="5" borderId="3" xfId="0" applyNumberFormat="1" applyFont="1" applyFill="1" applyBorder="1" applyAlignment="1">
      <alignment horizontal="centerContinuous"/>
    </xf>
    <xf numFmtId="37" fontId="2" fillId="5" borderId="24" xfId="0" applyNumberFormat="1" applyFont="1" applyFill="1" applyBorder="1" applyAlignment="1">
      <alignment horizontal="centerContinuous"/>
    </xf>
    <xf numFmtId="37" fontId="2" fillId="4" borderId="3" xfId="0" applyNumberFormat="1" applyFont="1" applyFill="1" applyBorder="1" applyAlignment="1">
      <alignment horizontal="centerContinuous"/>
    </xf>
    <xf numFmtId="37" fontId="2" fillId="4" borderId="24" xfId="0" applyNumberFormat="1" applyFont="1" applyFill="1" applyBorder="1" applyAlignment="1">
      <alignment horizontal="left"/>
    </xf>
    <xf numFmtId="37" fontId="2" fillId="5" borderId="6" xfId="0" applyNumberFormat="1" applyFont="1" applyFill="1" applyBorder="1" applyAlignment="1">
      <alignment horizontal="center"/>
    </xf>
    <xf numFmtId="37" fontId="2" fillId="5" borderId="3" xfId="0" applyNumberFormat="1" applyFont="1" applyFill="1" applyBorder="1" applyAlignment="1">
      <alignment horizontal="center"/>
    </xf>
    <xf numFmtId="37" fontId="9" fillId="6" borderId="6" xfId="0" applyNumberFormat="1" applyFont="1" applyFill="1" applyBorder="1" applyAlignment="1">
      <alignment horizontal="center"/>
    </xf>
    <xf numFmtId="37" fontId="2" fillId="4" borderId="3" xfId="0" applyNumberFormat="1" applyFont="1" applyFill="1" applyBorder="1" applyAlignment="1">
      <alignment horizontal="center"/>
    </xf>
    <xf numFmtId="37" fontId="9" fillId="7" borderId="3" xfId="0" applyNumberFormat="1" applyFont="1" applyFill="1" applyBorder="1" applyAlignment="1">
      <alignment horizontal="center"/>
    </xf>
    <xf numFmtId="37" fontId="2" fillId="5" borderId="3" xfId="0" applyNumberFormat="1" applyFont="1" applyFill="1" applyBorder="1" applyAlignment="1">
      <alignment horizontal="centerContinuous" vertical="center"/>
    </xf>
    <xf numFmtId="37" fontId="2" fillId="4" borderId="3" xfId="0" applyNumberFormat="1" applyFont="1" applyFill="1" applyBorder="1" applyAlignment="1">
      <alignment horizontal="centerContinuous" vertical="center"/>
    </xf>
    <xf numFmtId="37" fontId="2" fillId="4" borderId="24" xfId="0" applyNumberFormat="1" applyFont="1" applyFill="1" applyBorder="1" applyAlignment="1">
      <alignment horizontal="centerContinuous" vertical="center" wrapText="1"/>
    </xf>
    <xf numFmtId="49" fontId="8" fillId="3" borderId="3" xfId="0" applyNumberFormat="1" applyFont="1" applyFill="1" applyBorder="1" applyAlignment="1">
      <alignment horizontal="center"/>
    </xf>
    <xf numFmtId="37" fontId="2" fillId="5" borderId="24" xfId="0" applyNumberFormat="1" applyFont="1" applyFill="1" applyBorder="1" applyAlignment="1">
      <alignment horizontal="centerContinuous" vertical="center" wrapText="1"/>
    </xf>
    <xf numFmtId="9" fontId="9" fillId="6" borderId="6" xfId="0" applyNumberFormat="1" applyFont="1" applyFill="1" applyBorder="1" applyAlignment="1">
      <alignment horizontal="center" vertical="center"/>
    </xf>
    <xf numFmtId="9" fontId="9" fillId="7" borderId="3" xfId="0" applyNumberFormat="1" applyFont="1" applyFill="1" applyBorder="1" applyAlignment="1">
      <alignment horizontal="center" vertical="center"/>
    </xf>
    <xf numFmtId="37" fontId="2" fillId="5" borderId="6" xfId="0" applyNumberFormat="1" applyFont="1" applyFill="1" applyBorder="1" applyAlignment="1">
      <alignment horizontal="centerContinuous" vertical="center" wrapText="1"/>
    </xf>
    <xf numFmtId="37" fontId="9" fillId="6" borderId="6" xfId="0" applyNumberFormat="1" applyFont="1" applyFill="1" applyBorder="1" applyAlignment="1">
      <alignment horizontal="center" vertical="center"/>
    </xf>
    <xf numFmtId="37" fontId="9" fillId="7" borderId="6" xfId="0" applyNumberFormat="1" applyFont="1" applyFill="1" applyBorder="1" applyAlignment="1">
      <alignment horizontal="center" vertical="center"/>
    </xf>
    <xf numFmtId="37" fontId="2" fillId="5" borderId="3" xfId="0" applyNumberFormat="1" applyFont="1" applyFill="1" applyBorder="1" applyAlignment="1">
      <alignment horizontal="center" vertical="center"/>
    </xf>
    <xf numFmtId="37" fontId="2" fillId="4" borderId="6" xfId="0" applyNumberFormat="1" applyFont="1" applyFill="1" applyBorder="1" applyAlignment="1">
      <alignment horizontal="center" vertical="center"/>
    </xf>
    <xf numFmtId="37" fontId="9" fillId="6" borderId="3" xfId="0" applyNumberFormat="1" applyFont="1" applyFill="1" applyBorder="1" applyAlignment="1">
      <alignment horizontal="center" vertical="center"/>
    </xf>
    <xf numFmtId="37" fontId="9" fillId="7" borderId="3" xfId="0" applyNumberFormat="1" applyFont="1" applyFill="1" applyBorder="1" applyAlignment="1">
      <alignment horizontal="center" vertical="center"/>
    </xf>
    <xf numFmtId="37" fontId="2" fillId="5" borderId="6" xfId="0" applyNumberFormat="1" applyFont="1" applyFill="1" applyBorder="1" applyAlignment="1">
      <alignment horizontal="center" vertical="center"/>
    </xf>
    <xf numFmtId="37" fontId="2" fillId="4" borderId="3" xfId="0" applyNumberFormat="1" applyFont="1" applyFill="1" applyBorder="1" applyAlignment="1">
      <alignment horizontal="center" vertical="center" wrapText="1" shrinkToFit="1"/>
    </xf>
    <xf numFmtId="37" fontId="2" fillId="4" borderId="6" xfId="0" applyNumberFormat="1" applyFont="1" applyFill="1" applyBorder="1" applyAlignment="1">
      <alignment horizontal="center" vertical="center" wrapText="1" shrinkToFit="1"/>
    </xf>
    <xf numFmtId="37" fontId="1" fillId="11" borderId="6" xfId="0" applyNumberFormat="1" applyFont="1" applyFill="1" applyBorder="1" applyProtection="1">
      <protection locked="0"/>
    </xf>
    <xf numFmtId="37" fontId="1" fillId="12" borderId="6" xfId="0" applyNumberFormat="1" applyFont="1" applyFill="1" applyBorder="1" applyAlignment="1" applyProtection="1">
      <alignment horizontal="center" vertical="top"/>
      <protection locked="0"/>
    </xf>
    <xf numFmtId="38" fontId="42" fillId="7" borderId="25" xfId="0" applyNumberFormat="1" applyFont="1" applyFill="1" applyBorder="1" applyAlignment="1">
      <alignment horizontal="right"/>
    </xf>
    <xf numFmtId="37" fontId="1" fillId="18" borderId="6" xfId="0" applyNumberFormat="1" applyFont="1" applyFill="1" applyBorder="1" applyAlignment="1" applyProtection="1">
      <alignment horizontal="center" vertical="top"/>
      <protection locked="0"/>
    </xf>
    <xf numFmtId="164" fontId="2" fillId="38" borderId="0" xfId="0" applyFont="1" applyFill="1" applyAlignment="1">
      <alignment horizontal="left"/>
    </xf>
    <xf numFmtId="37" fontId="1" fillId="11" borderId="24" xfId="0" applyNumberFormat="1" applyFont="1" applyFill="1" applyBorder="1" applyProtection="1">
      <protection locked="0"/>
    </xf>
    <xf numFmtId="49" fontId="1" fillId="19" borderId="0" xfId="0" applyNumberFormat="1" applyFont="1" applyFill="1" applyAlignment="1" applyProtection="1">
      <alignment horizontal="center"/>
      <protection locked="0"/>
    </xf>
    <xf numFmtId="49" fontId="1" fillId="33" borderId="0" xfId="0" applyNumberFormat="1" applyFont="1" applyFill="1" applyAlignment="1" applyProtection="1">
      <alignment horizontal="center"/>
      <protection locked="0"/>
    </xf>
    <xf numFmtId="49" fontId="1" fillId="39" borderId="0" xfId="0" applyNumberFormat="1" applyFont="1" applyFill="1" applyAlignment="1" applyProtection="1">
      <alignment horizontal="left"/>
      <protection locked="0"/>
    </xf>
    <xf numFmtId="1" fontId="1" fillId="39" borderId="0" xfId="0" applyNumberFormat="1" applyFont="1" applyFill="1" applyAlignment="1" applyProtection="1">
      <alignment horizontal="center"/>
      <protection locked="0"/>
    </xf>
    <xf numFmtId="38" fontId="43" fillId="6" borderId="25" xfId="0" applyNumberFormat="1" applyFont="1" applyFill="1" applyBorder="1" applyAlignment="1">
      <alignment horizontal="right"/>
    </xf>
    <xf numFmtId="164" fontId="0" fillId="18" borderId="0" xfId="0" applyFill="1" applyAlignment="1" applyProtection="1">
      <alignment horizontal="center"/>
      <protection locked="0"/>
    </xf>
    <xf numFmtId="164" fontId="0" fillId="12" borderId="0" xfId="0" applyFill="1" applyAlignment="1" applyProtection="1">
      <alignment horizontal="center"/>
      <protection locked="0"/>
    </xf>
    <xf numFmtId="49" fontId="1" fillId="13" borderId="26" xfId="0" applyNumberFormat="1" applyFont="1" applyFill="1" applyBorder="1" applyAlignment="1" applyProtection="1">
      <alignment horizontal="center"/>
      <protection locked="0"/>
    </xf>
    <xf numFmtId="49" fontId="1" fillId="13" borderId="27" xfId="0" applyNumberFormat="1" applyFont="1" applyFill="1" applyBorder="1" applyAlignment="1" applyProtection="1">
      <alignment horizontal="left"/>
      <protection locked="0"/>
    </xf>
    <xf numFmtId="49" fontId="2" fillId="13" borderId="27" xfId="0" applyNumberFormat="1" applyFont="1" applyFill="1" applyBorder="1" applyAlignment="1" applyProtection="1">
      <alignment horizontal="left"/>
      <protection locked="0"/>
    </xf>
    <xf numFmtId="1" fontId="1" fillId="13" borderId="27" xfId="0" applyNumberFormat="1" applyFont="1" applyFill="1" applyBorder="1" applyAlignment="1" applyProtection="1">
      <alignment horizontal="center"/>
      <protection locked="0"/>
    </xf>
    <xf numFmtId="1" fontId="1" fillId="27" borderId="0" xfId="0" applyNumberFormat="1" applyFont="1" applyFill="1" applyAlignment="1" applyProtection="1">
      <alignment horizontal="center"/>
      <protection locked="0"/>
    </xf>
    <xf numFmtId="164" fontId="37" fillId="0" borderId="21" xfId="0" applyFont="1" applyBorder="1" applyAlignment="1">
      <alignment horizontal="center" wrapText="1"/>
    </xf>
    <xf numFmtId="3" fontId="1" fillId="0" borderId="21" xfId="0" applyNumberFormat="1" applyFont="1" applyBorder="1" applyAlignment="1">
      <alignment horizontal="center"/>
    </xf>
    <xf numFmtId="3" fontId="1" fillId="0" borderId="24" xfId="0" applyNumberFormat="1" applyFont="1" applyBorder="1" applyAlignment="1">
      <alignment horizontal="center"/>
    </xf>
    <xf numFmtId="164" fontId="2" fillId="0" borderId="20" xfId="0" applyFont="1" applyBorder="1" applyAlignment="1">
      <alignment horizontal="centerContinuous"/>
    </xf>
    <xf numFmtId="164" fontId="37" fillId="0" borderId="24" xfId="0" applyFont="1" applyBorder="1" applyAlignment="1">
      <alignment horizontal="center" wrapText="1"/>
    </xf>
    <xf numFmtId="3" fontId="1" fillId="0" borderId="22" xfId="0" applyNumberFormat="1" applyFont="1" applyBorder="1" applyAlignment="1">
      <alignment horizontal="center"/>
    </xf>
    <xf numFmtId="3" fontId="1" fillId="0" borderId="23" xfId="0" applyNumberFormat="1" applyFont="1" applyBorder="1" applyAlignment="1">
      <alignment horizontal="center"/>
    </xf>
    <xf numFmtId="164" fontId="37" fillId="0" borderId="20" xfId="0" applyFont="1" applyBorder="1" applyAlignment="1">
      <alignment horizontal="centerContinuous" wrapText="1"/>
    </xf>
    <xf numFmtId="164" fontId="40" fillId="0" borderId="20" xfId="0" applyFont="1" applyBorder="1" applyAlignment="1">
      <alignment horizontal="center" wrapText="1"/>
    </xf>
    <xf numFmtId="164" fontId="37" fillId="0" borderId="29" xfId="0" applyFont="1" applyBorder="1" applyAlignment="1">
      <alignment horizontal="centerContinuous"/>
    </xf>
    <xf numFmtId="164" fontId="36" fillId="0" borderId="30" xfId="0" applyFont="1" applyBorder="1" applyAlignment="1">
      <alignment horizontal="centerContinuous"/>
    </xf>
    <xf numFmtId="164" fontId="37" fillId="0" borderId="30" xfId="0" applyFont="1" applyBorder="1" applyAlignment="1">
      <alignment horizontal="center" wrapText="1"/>
    </xf>
    <xf numFmtId="164" fontId="2" fillId="0" borderId="30" xfId="0" applyFont="1" applyBorder="1" applyAlignment="1">
      <alignment horizontal="centerContinuous"/>
    </xf>
    <xf numFmtId="164" fontId="2" fillId="0" borderId="29" xfId="0" applyFont="1" applyBorder="1" applyAlignment="1">
      <alignment horizontal="centerContinuous"/>
    </xf>
    <xf numFmtId="164" fontId="37" fillId="0" borderId="31" xfId="0" applyFont="1" applyBorder="1" applyAlignment="1">
      <alignment horizontal="centerContinuous" wrapText="1"/>
    </xf>
    <xf numFmtId="9" fontId="2" fillId="0" borderId="24" xfId="0" applyNumberFormat="1" applyFont="1" applyBorder="1"/>
    <xf numFmtId="9" fontId="7" fillId="0" borderId="24" xfId="0" applyNumberFormat="1" applyFont="1" applyBorder="1"/>
    <xf numFmtId="166" fontId="1" fillId="0" borderId="24" xfId="0" applyNumberFormat="1" applyFont="1" applyBorder="1" applyAlignment="1">
      <alignment wrapText="1"/>
    </xf>
    <xf numFmtId="9" fontId="2" fillId="35" borderId="24" xfId="0" applyNumberFormat="1" applyFont="1" applyFill="1" applyBorder="1"/>
    <xf numFmtId="37" fontId="15" fillId="8" borderId="5" xfId="0" applyNumberFormat="1" applyFont="1" applyFill="1" applyBorder="1"/>
    <xf numFmtId="9" fontId="15" fillId="8" borderId="5" xfId="0" applyNumberFormat="1" applyFont="1" applyFill="1" applyBorder="1" applyAlignment="1">
      <alignment horizontal="right"/>
    </xf>
    <xf numFmtId="9" fontId="20" fillId="8" borderId="4" xfId="0" applyNumberFormat="1" applyFont="1" applyFill="1" applyBorder="1" applyAlignment="1">
      <alignment horizontal="right"/>
    </xf>
    <xf numFmtId="37" fontId="15" fillId="8" borderId="4" xfId="0" applyNumberFormat="1" applyFont="1" applyFill="1" applyBorder="1"/>
    <xf numFmtId="37" fontId="20" fillId="8" borderId="5" xfId="0" applyNumberFormat="1" applyFont="1" applyFill="1" applyBorder="1" applyAlignment="1">
      <alignment vertical="top"/>
    </xf>
    <xf numFmtId="37" fontId="20" fillId="8" borderId="5" xfId="0" applyNumberFormat="1" applyFont="1" applyFill="1" applyBorder="1" applyAlignment="1">
      <alignment horizontal="right"/>
    </xf>
    <xf numFmtId="37" fontId="15" fillId="8" borderId="4" xfId="0" applyNumberFormat="1" applyFont="1" applyFill="1" applyBorder="1" applyAlignment="1">
      <alignment horizontal="center"/>
    </xf>
    <xf numFmtId="37" fontId="20" fillId="8" borderId="4" xfId="0" applyNumberFormat="1" applyFont="1" applyFill="1" applyBorder="1" applyAlignment="1">
      <alignment horizontal="center"/>
    </xf>
    <xf numFmtId="37" fontId="15" fillId="8" borderId="5" xfId="0" applyNumberFormat="1" applyFont="1" applyFill="1" applyBorder="1" applyAlignment="1">
      <alignment horizontal="center"/>
    </xf>
    <xf numFmtId="37" fontId="20" fillId="8" borderId="5" xfId="0" applyNumberFormat="1" applyFont="1" applyFill="1" applyBorder="1"/>
    <xf numFmtId="9" fontId="15" fillId="8" borderId="5" xfId="0" applyNumberFormat="1" applyFont="1" applyFill="1" applyBorder="1"/>
    <xf numFmtId="9" fontId="20" fillId="8" borderId="4" xfId="0" applyNumberFormat="1" applyFont="1" applyFill="1" applyBorder="1"/>
    <xf numFmtId="37" fontId="18" fillId="8" borderId="12" xfId="0" applyNumberFormat="1" applyFont="1" applyFill="1" applyBorder="1" applyAlignment="1">
      <alignment horizontal="center" vertical="top"/>
    </xf>
    <xf numFmtId="37" fontId="20" fillId="8" borderId="4" xfId="0" applyNumberFormat="1" applyFont="1" applyFill="1" applyBorder="1" applyAlignment="1">
      <alignment horizontal="right"/>
    </xf>
    <xf numFmtId="37" fontId="15" fillId="8" borderId="5" xfId="0" applyNumberFormat="1" applyFont="1" applyFill="1" applyBorder="1" applyAlignment="1">
      <alignment horizontal="right"/>
    </xf>
    <xf numFmtId="37" fontId="18" fillId="8" borderId="5" xfId="0" applyNumberFormat="1" applyFont="1" applyFill="1" applyBorder="1" applyAlignment="1">
      <alignment horizontal="center" vertical="top"/>
    </xf>
    <xf numFmtId="37" fontId="18" fillId="8" borderId="4" xfId="0" applyNumberFormat="1" applyFont="1" applyFill="1" applyBorder="1" applyAlignment="1">
      <alignment horizontal="center" vertical="top"/>
    </xf>
    <xf numFmtId="37" fontId="15" fillId="8" borderId="4" xfId="0" applyNumberFormat="1" applyFont="1" applyFill="1" applyBorder="1" applyAlignment="1">
      <alignment horizontal="right"/>
    </xf>
    <xf numFmtId="37" fontId="9" fillId="6" borderId="12" xfId="0" applyNumberFormat="1" applyFont="1" applyFill="1" applyBorder="1" applyAlignment="1">
      <alignment horizontal="left"/>
    </xf>
    <xf numFmtId="9" fontId="9" fillId="6" borderId="12" xfId="0" applyNumberFormat="1" applyFont="1" applyFill="1" applyBorder="1" applyAlignment="1">
      <alignment horizontal="left"/>
    </xf>
    <xf numFmtId="37" fontId="9" fillId="7" borderId="12" xfId="0" applyNumberFormat="1" applyFont="1" applyFill="1" applyBorder="1" applyAlignment="1">
      <alignment horizontal="left"/>
    </xf>
    <xf numFmtId="9" fontId="9" fillId="7" borderId="9" xfId="0" applyNumberFormat="1" applyFont="1" applyFill="1" applyBorder="1" applyAlignment="1">
      <alignment horizontal="left"/>
    </xf>
    <xf numFmtId="37" fontId="9" fillId="6" borderId="4" xfId="0" applyNumberFormat="1" applyFont="1" applyFill="1" applyBorder="1"/>
    <xf numFmtId="37" fontId="9" fillId="7" borderId="4" xfId="0" applyNumberFormat="1" applyFont="1" applyFill="1" applyBorder="1"/>
    <xf numFmtId="37" fontId="9" fillId="6" borderId="12" xfId="0" applyNumberFormat="1" applyFont="1" applyFill="1" applyBorder="1"/>
    <xf numFmtId="37" fontId="9" fillId="6" borderId="12" xfId="0" applyNumberFormat="1" applyFont="1" applyFill="1" applyBorder="1" applyAlignment="1">
      <alignment horizontal="right"/>
    </xf>
    <xf numFmtId="9" fontId="9" fillId="6" borderId="12" xfId="0" applyNumberFormat="1" applyFont="1" applyFill="1" applyBorder="1" applyAlignment="1">
      <alignment horizontal="right"/>
    </xf>
    <xf numFmtId="37" fontId="9" fillId="7" borderId="12" xfId="0" applyNumberFormat="1" applyFont="1" applyFill="1" applyBorder="1" applyAlignment="1">
      <alignment horizontal="center"/>
    </xf>
    <xf numFmtId="9" fontId="9" fillId="7" borderId="9" xfId="0" applyNumberFormat="1" applyFont="1" applyFill="1" applyBorder="1" applyAlignment="1">
      <alignment horizontal="right"/>
    </xf>
    <xf numFmtId="37" fontId="9" fillId="6" borderId="12" xfId="0" applyNumberFormat="1" applyFont="1" applyFill="1" applyBorder="1" applyAlignment="1">
      <alignment horizontal="center"/>
    </xf>
    <xf numFmtId="37" fontId="9" fillId="7" borderId="9" xfId="0" applyNumberFormat="1" applyFont="1" applyFill="1" applyBorder="1" applyAlignment="1">
      <alignment horizontal="center"/>
    </xf>
    <xf numFmtId="37" fontId="9" fillId="7" borderId="9" xfId="0" applyNumberFormat="1" applyFont="1" applyFill="1" applyBorder="1"/>
    <xf numFmtId="49" fontId="2" fillId="4" borderId="4" xfId="0" applyNumberFormat="1" applyFont="1" applyFill="1" applyBorder="1" applyAlignment="1">
      <alignment horizontal="left"/>
    </xf>
    <xf numFmtId="37" fontId="2" fillId="5" borderId="12" xfId="0" applyNumberFormat="1" applyFont="1" applyFill="1" applyBorder="1"/>
    <xf numFmtId="37" fontId="2" fillId="5" borderId="4" xfId="0" applyNumberFormat="1" applyFont="1" applyFill="1" applyBorder="1" applyAlignment="1">
      <alignment horizontal="centerContinuous"/>
    </xf>
    <xf numFmtId="37" fontId="2" fillId="4" borderId="12" xfId="0" applyNumberFormat="1" applyFont="1" applyFill="1" applyBorder="1"/>
    <xf numFmtId="37" fontId="2" fillId="4" borderId="9" xfId="0" applyNumberFormat="1" applyFont="1" applyFill="1" applyBorder="1" applyAlignment="1">
      <alignment horizontal="centerContinuous"/>
    </xf>
    <xf numFmtId="164" fontId="2" fillId="4" borderId="4" xfId="0" applyFont="1" applyFill="1" applyBorder="1"/>
    <xf numFmtId="37" fontId="9" fillId="6" borderId="5" xfId="0" applyNumberFormat="1" applyFont="1" applyFill="1" applyBorder="1"/>
    <xf numFmtId="9" fontId="9" fillId="6" borderId="5" xfId="0" applyNumberFormat="1" applyFont="1" applyFill="1" applyBorder="1"/>
    <xf numFmtId="37" fontId="9" fillId="7" borderId="5" xfId="0" applyNumberFormat="1" applyFont="1" applyFill="1" applyBorder="1"/>
    <xf numFmtId="9" fontId="9" fillId="7" borderId="4" xfId="0" applyNumberFormat="1" applyFont="1" applyFill="1" applyBorder="1"/>
    <xf numFmtId="37" fontId="9" fillId="6" borderId="5" xfId="0" applyNumberFormat="1" applyFont="1" applyFill="1" applyBorder="1" applyAlignment="1">
      <alignment horizontal="center"/>
    </xf>
    <xf numFmtId="37" fontId="9" fillId="6" borderId="5" xfId="0" applyNumberFormat="1" applyFont="1" applyFill="1" applyBorder="1" applyAlignment="1">
      <alignment horizontal="right"/>
    </xf>
    <xf numFmtId="9" fontId="9" fillId="6" borderId="5" xfId="0" applyNumberFormat="1" applyFont="1" applyFill="1" applyBorder="1" applyAlignment="1">
      <alignment horizontal="right"/>
    </xf>
    <xf numFmtId="37" fontId="9" fillId="7" borderId="5" xfId="0" applyNumberFormat="1" applyFont="1" applyFill="1" applyBorder="1" applyAlignment="1">
      <alignment horizontal="center"/>
    </xf>
    <xf numFmtId="9" fontId="9" fillId="7" borderId="4" xfId="0" applyNumberFormat="1" applyFont="1" applyFill="1" applyBorder="1" applyAlignment="1">
      <alignment horizontal="right"/>
    </xf>
    <xf numFmtId="37" fontId="9" fillId="7" borderId="4" xfId="0" applyNumberFormat="1" applyFont="1" applyFill="1" applyBorder="1" applyAlignment="1">
      <alignment horizontal="center"/>
    </xf>
    <xf numFmtId="37" fontId="2" fillId="0" borderId="9" xfId="0" applyNumberFormat="1" applyFont="1" applyBorder="1" applyAlignment="1">
      <alignment horizontal="center"/>
    </xf>
    <xf numFmtId="37" fontId="2" fillId="0" borderId="11" xfId="0" applyNumberFormat="1" applyFont="1" applyBorder="1" applyAlignment="1">
      <alignment horizontal="center"/>
    </xf>
    <xf numFmtId="164" fontId="0" fillId="0" borderId="4" xfId="0" applyBorder="1"/>
    <xf numFmtId="37" fontId="2" fillId="5" borderId="5" xfId="0" applyNumberFormat="1" applyFont="1" applyFill="1" applyBorder="1"/>
    <xf numFmtId="37" fontId="2" fillId="4" borderId="5" xfId="0" applyNumberFormat="1" applyFont="1" applyFill="1" applyBorder="1" applyAlignment="1">
      <alignment horizontal="centerContinuous"/>
    </xf>
    <xf numFmtId="37" fontId="2" fillId="4" borderId="4" xfId="0" applyNumberFormat="1" applyFont="1" applyFill="1" applyBorder="1" applyAlignment="1">
      <alignment horizontal="centerContinuous"/>
    </xf>
    <xf numFmtId="37" fontId="2" fillId="4" borderId="4" xfId="0" applyNumberFormat="1" applyFont="1" applyFill="1" applyBorder="1" applyAlignment="1">
      <alignment horizontal="left"/>
    </xf>
    <xf numFmtId="9" fontId="9" fillId="6" borderId="5" xfId="0" applyNumberFormat="1" applyFont="1" applyFill="1" applyBorder="1" applyAlignment="1">
      <alignment horizontal="center"/>
    </xf>
    <xf numFmtId="9" fontId="9" fillId="7" borderId="4" xfId="0" applyNumberFormat="1" applyFont="1" applyFill="1" applyBorder="1" applyAlignment="1">
      <alignment horizontal="center"/>
    </xf>
    <xf numFmtId="165" fontId="2" fillId="0" borderId="4" xfId="0" applyNumberFormat="1" applyFont="1" applyBorder="1" applyAlignment="1">
      <alignment horizontal="center"/>
    </xf>
    <xf numFmtId="37" fontId="2" fillId="5" borderId="5" xfId="0" applyNumberFormat="1" applyFont="1" applyFill="1" applyBorder="1" applyAlignment="1">
      <alignment horizontal="center"/>
    </xf>
    <xf numFmtId="37" fontId="9" fillId="6" borderId="4" xfId="0" applyNumberFormat="1" applyFont="1" applyFill="1" applyBorder="1" applyAlignment="1">
      <alignment horizontal="center"/>
    </xf>
    <xf numFmtId="37" fontId="2" fillId="0" borderId="4" xfId="0" applyNumberFormat="1" applyFont="1" applyBorder="1" applyAlignment="1">
      <alignment horizontal="center"/>
    </xf>
    <xf numFmtId="37" fontId="2" fillId="5" borderId="9" xfId="0" applyNumberFormat="1" applyFont="1" applyFill="1" applyBorder="1" applyAlignment="1">
      <alignment horizontal="centerContinuous"/>
    </xf>
    <xf numFmtId="37" fontId="9" fillId="6" borderId="12" xfId="0" applyNumberFormat="1" applyFont="1" applyFill="1" applyBorder="1" applyAlignment="1">
      <alignment horizontal="centerContinuous"/>
    </xf>
    <xf numFmtId="37" fontId="2" fillId="4" borderId="9" xfId="0" applyNumberFormat="1" applyFont="1" applyFill="1" applyBorder="1" applyAlignment="1">
      <alignment horizontal="left"/>
    </xf>
    <xf numFmtId="37" fontId="9" fillId="7" borderId="9" xfId="0" applyNumberFormat="1" applyFont="1" applyFill="1" applyBorder="1" applyAlignment="1">
      <alignment horizontal="centerContinuous"/>
    </xf>
    <xf numFmtId="0" fontId="2" fillId="5" borderId="9" xfId="0" applyNumberFormat="1" applyFont="1" applyFill="1" applyBorder="1" applyAlignment="1">
      <alignment horizontal="centerContinuous"/>
    </xf>
    <xf numFmtId="37" fontId="2" fillId="5" borderId="11" xfId="0" applyNumberFormat="1" applyFont="1" applyFill="1" applyBorder="1" applyAlignment="1">
      <alignment horizontal="centerContinuous"/>
    </xf>
    <xf numFmtId="0" fontId="2" fillId="4" borderId="9" xfId="0" applyNumberFormat="1" applyFont="1" applyFill="1" applyBorder="1" applyAlignment="1">
      <alignment horizontal="centerContinuous"/>
    </xf>
    <xf numFmtId="37" fontId="2" fillId="4" borderId="11" xfId="0" applyNumberFormat="1" applyFont="1" applyFill="1" applyBorder="1" applyAlignment="1">
      <alignment horizontal="centerContinuous"/>
    </xf>
    <xf numFmtId="37" fontId="2" fillId="5" borderId="33" xfId="0" applyNumberFormat="1" applyFont="1" applyFill="1" applyBorder="1" applyAlignment="1">
      <alignment horizontal="centerContinuous" vertical="center" wrapText="1"/>
    </xf>
    <xf numFmtId="37" fontId="10" fillId="5" borderId="34" xfId="0" applyNumberFormat="1" applyFont="1" applyFill="1" applyBorder="1" applyAlignment="1">
      <alignment horizontal="centerContinuous" vertical="center"/>
    </xf>
    <xf numFmtId="37" fontId="11" fillId="6" borderId="33" xfId="0" applyNumberFormat="1" applyFont="1" applyFill="1" applyBorder="1" applyAlignment="1">
      <alignment horizontal="centerContinuous" vertical="center"/>
    </xf>
    <xf numFmtId="37" fontId="2" fillId="4" borderId="33" xfId="0" applyNumberFormat="1" applyFont="1" applyFill="1" applyBorder="1" applyAlignment="1">
      <alignment horizontal="centerContinuous" vertical="center" wrapText="1" shrinkToFit="1"/>
    </xf>
    <xf numFmtId="37" fontId="10" fillId="4" borderId="33" xfId="0" applyNumberFormat="1" applyFont="1" applyFill="1" applyBorder="1" applyAlignment="1">
      <alignment horizontal="centerContinuous" vertical="center"/>
    </xf>
    <xf numFmtId="37" fontId="12" fillId="7" borderId="1" xfId="0" applyNumberFormat="1" applyFont="1" applyFill="1" applyBorder="1" applyAlignment="1">
      <alignment horizontal="centerContinuous" vertical="center"/>
    </xf>
    <xf numFmtId="37" fontId="2" fillId="5" borderId="33" xfId="0" applyNumberFormat="1" applyFont="1" applyFill="1" applyBorder="1" applyAlignment="1">
      <alignment horizontal="centerContinuous"/>
    </xf>
    <xf numFmtId="37" fontId="2" fillId="4" borderId="33" xfId="0" applyNumberFormat="1" applyFont="1" applyFill="1" applyBorder="1" applyAlignment="1">
      <alignment horizontal="centerContinuous" wrapText="1"/>
    </xf>
    <xf numFmtId="37" fontId="2" fillId="4" borderId="34" xfId="0" applyNumberFormat="1" applyFont="1" applyFill="1" applyBorder="1" applyAlignment="1">
      <alignment horizontal="centerContinuous" wrapText="1"/>
    </xf>
    <xf numFmtId="37" fontId="2" fillId="5" borderId="33" xfId="0" applyNumberFormat="1" applyFont="1" applyFill="1" applyBorder="1" applyAlignment="1">
      <alignment horizontal="center" vertical="center"/>
    </xf>
    <xf numFmtId="164" fontId="1" fillId="2" borderId="12" xfId="0" applyFont="1" applyFill="1" applyBorder="1" applyAlignment="1">
      <alignment horizontal="center" wrapText="1"/>
    </xf>
    <xf numFmtId="49" fontId="1" fillId="2" borderId="12" xfId="0" applyNumberFormat="1" applyFont="1" applyFill="1" applyBorder="1" applyAlignment="1">
      <alignment horizontal="center" wrapText="1"/>
    </xf>
    <xf numFmtId="49" fontId="22" fillId="2" borderId="9" xfId="0" applyNumberFormat="1" applyFont="1" applyFill="1" applyBorder="1" applyAlignment="1">
      <alignment horizontal="center" wrapText="1"/>
    </xf>
    <xf numFmtId="49" fontId="1" fillId="9" borderId="16" xfId="0" applyNumberFormat="1" applyFont="1" applyFill="1" applyBorder="1" applyAlignment="1" applyProtection="1">
      <alignment horizontal="center"/>
      <protection locked="0"/>
    </xf>
    <xf numFmtId="37" fontId="1" fillId="11" borderId="35" xfId="0" applyNumberFormat="1" applyFont="1" applyFill="1" applyBorder="1" applyProtection="1">
      <protection locked="0"/>
    </xf>
    <xf numFmtId="37" fontId="1" fillId="18" borderId="35" xfId="0" applyNumberFormat="1" applyFont="1" applyFill="1" applyBorder="1" applyAlignment="1" applyProtection="1">
      <alignment horizontal="center" vertical="top"/>
      <protection locked="0"/>
    </xf>
    <xf numFmtId="37" fontId="1" fillId="12" borderId="35" xfId="0" applyNumberFormat="1" applyFont="1" applyFill="1" applyBorder="1" applyAlignment="1" applyProtection="1">
      <alignment horizontal="center" vertical="top"/>
      <protection locked="0"/>
    </xf>
    <xf numFmtId="9" fontId="21" fillId="6" borderId="35" xfId="0" applyNumberFormat="1" applyFont="1" applyFill="1" applyBorder="1" applyAlignment="1">
      <alignment horizontal="right"/>
    </xf>
    <xf numFmtId="9" fontId="21" fillId="7" borderId="35" xfId="0" applyNumberFormat="1" applyFont="1" applyFill="1" applyBorder="1" applyAlignment="1">
      <alignment horizontal="right"/>
    </xf>
    <xf numFmtId="38" fontId="21" fillId="6" borderId="35" xfId="0" applyNumberFormat="1" applyFont="1" applyFill="1" applyBorder="1" applyAlignment="1">
      <alignment horizontal="right"/>
    </xf>
    <xf numFmtId="38" fontId="21" fillId="7" borderId="35" xfId="0" applyNumberFormat="1" applyFont="1" applyFill="1" applyBorder="1" applyAlignment="1">
      <alignment horizontal="right"/>
    </xf>
    <xf numFmtId="164" fontId="1" fillId="9" borderId="0" xfId="0" applyFont="1" applyFill="1" applyAlignment="1" applyProtection="1">
      <alignment horizontal="center"/>
      <protection locked="0"/>
    </xf>
    <xf numFmtId="49" fontId="1" fillId="13" borderId="16" xfId="0" applyNumberFormat="1" applyFont="1" applyFill="1" applyBorder="1" applyAlignment="1" applyProtection="1">
      <alignment horizontal="center"/>
      <protection locked="0"/>
    </xf>
    <xf numFmtId="49" fontId="1" fillId="15" borderId="16" xfId="0" applyNumberFormat="1" applyFont="1" applyFill="1" applyBorder="1" applyAlignment="1" applyProtection="1">
      <alignment horizontal="center"/>
      <protection locked="0"/>
    </xf>
    <xf numFmtId="164" fontId="1" fillId="15" borderId="0" xfId="0" applyFont="1" applyFill="1" applyAlignment="1" applyProtection="1">
      <alignment horizontal="left"/>
      <protection locked="0"/>
    </xf>
    <xf numFmtId="164" fontId="2" fillId="15" borderId="0" xfId="0" applyFont="1" applyFill="1" applyAlignment="1" applyProtection="1">
      <alignment horizontal="left"/>
      <protection locked="0"/>
    </xf>
    <xf numFmtId="3" fontId="1" fillId="12" borderId="33" xfId="0" applyNumberFormat="1" applyFont="1" applyFill="1" applyBorder="1" applyAlignment="1" applyProtection="1">
      <alignment horizontal="right"/>
      <protection locked="0"/>
    </xf>
    <xf numFmtId="0" fontId="30" fillId="31" borderId="33" xfId="0" applyNumberFormat="1" applyFont="1" applyFill="1" applyBorder="1" applyAlignment="1" applyProtection="1">
      <alignment horizontal="center"/>
      <protection locked="0"/>
    </xf>
    <xf numFmtId="3" fontId="1" fillId="12" borderId="33" xfId="0" applyNumberFormat="1" applyFont="1" applyFill="1" applyBorder="1" applyAlignment="1" applyProtection="1">
      <alignment horizontal="center"/>
      <protection locked="0"/>
    </xf>
    <xf numFmtId="37" fontId="30" fillId="31" borderId="35" xfId="0" applyNumberFormat="1" applyFont="1" applyFill="1" applyBorder="1" applyAlignment="1" applyProtection="1">
      <alignment horizontal="center" vertical="top"/>
      <protection locked="0"/>
    </xf>
    <xf numFmtId="37" fontId="1" fillId="12" borderId="25" xfId="0" applyNumberFormat="1" applyFont="1" applyFill="1" applyBorder="1" applyAlignment="1" applyProtection="1">
      <alignment horizontal="center" vertical="top"/>
      <protection locked="0"/>
    </xf>
    <xf numFmtId="37" fontId="1" fillId="12" borderId="35" xfId="0" applyNumberFormat="1" applyFont="1" applyFill="1" applyBorder="1" applyAlignment="1" applyProtection="1">
      <alignment horizontal="center"/>
      <protection locked="0"/>
    </xf>
    <xf numFmtId="37" fontId="1" fillId="18" borderId="35" xfId="0" applyNumberFormat="1" applyFont="1" applyFill="1" applyBorder="1" applyAlignment="1" applyProtection="1">
      <alignment horizontal="center"/>
      <protection locked="0"/>
    </xf>
    <xf numFmtId="0" fontId="1" fillId="12" borderId="33" xfId="0" applyNumberFormat="1" applyFont="1" applyFill="1" applyBorder="1" applyAlignment="1" applyProtection="1">
      <alignment horizontal="center"/>
      <protection locked="0"/>
    </xf>
    <xf numFmtId="0" fontId="1" fillId="12" borderId="33" xfId="0" applyNumberFormat="1" applyFont="1" applyFill="1" applyBorder="1" applyAlignment="1" applyProtection="1">
      <alignment horizontal="right"/>
      <protection locked="0"/>
    </xf>
    <xf numFmtId="0" fontId="1" fillId="18" borderId="33" xfId="0" applyNumberFormat="1" applyFont="1" applyFill="1" applyBorder="1" applyAlignment="1" applyProtection="1">
      <alignment horizontal="right"/>
      <protection locked="0"/>
    </xf>
    <xf numFmtId="0" fontId="1" fillId="18" borderId="33" xfId="0" applyNumberFormat="1" applyFont="1" applyFill="1" applyBorder="1" applyAlignment="1" applyProtection="1">
      <alignment horizontal="center"/>
      <protection locked="0"/>
    </xf>
    <xf numFmtId="37" fontId="44" fillId="40" borderId="35" xfId="0" applyNumberFormat="1" applyFont="1" applyFill="1" applyBorder="1" applyAlignment="1" applyProtection="1">
      <alignment horizontal="center"/>
      <protection locked="0"/>
    </xf>
    <xf numFmtId="37" fontId="30" fillId="31" borderId="35" xfId="0" applyNumberFormat="1" applyFont="1" applyFill="1" applyBorder="1" applyAlignment="1" applyProtection="1">
      <alignment horizontal="center"/>
      <protection locked="0"/>
    </xf>
    <xf numFmtId="3" fontId="1" fillId="18" borderId="33" xfId="0" applyNumberFormat="1" applyFont="1" applyFill="1" applyBorder="1" applyAlignment="1" applyProtection="1">
      <alignment horizontal="right"/>
      <protection locked="0"/>
    </xf>
    <xf numFmtId="3" fontId="1" fillId="18" borderId="33" xfId="0" applyNumberFormat="1" applyFont="1" applyFill="1" applyBorder="1" applyAlignment="1" applyProtection="1">
      <alignment horizontal="center"/>
      <protection locked="0"/>
    </xf>
    <xf numFmtId="164" fontId="1" fillId="20" borderId="0" xfId="0" applyFont="1" applyFill="1" applyAlignment="1" applyProtection="1">
      <alignment horizontal="center"/>
      <protection locked="0"/>
    </xf>
    <xf numFmtId="49" fontId="1" fillId="11" borderId="35" xfId="0" applyNumberFormat="1" applyFont="1" applyFill="1" applyBorder="1" applyAlignment="1" applyProtection="1">
      <alignment horizontal="center"/>
      <protection locked="0"/>
    </xf>
    <xf numFmtId="49" fontId="1" fillId="12" borderId="35" xfId="0" applyNumberFormat="1" applyFont="1" applyFill="1" applyBorder="1" applyAlignment="1" applyProtection="1">
      <alignment horizontal="center" vertical="top"/>
      <protection locked="0"/>
    </xf>
    <xf numFmtId="164" fontId="3" fillId="18" borderId="36" xfId="0" applyFont="1" applyFill="1" applyBorder="1" applyAlignment="1" applyProtection="1">
      <alignment horizontal="right" wrapText="1" readingOrder="1"/>
      <protection locked="0"/>
    </xf>
    <xf numFmtId="170" fontId="3" fillId="18" borderId="36" xfId="0" applyNumberFormat="1" applyFont="1" applyFill="1" applyBorder="1" applyAlignment="1" applyProtection="1">
      <alignment horizontal="right" wrapText="1" readingOrder="1"/>
      <protection locked="0"/>
    </xf>
    <xf numFmtId="164" fontId="3" fillId="12" borderId="37" xfId="0" applyFont="1" applyFill="1" applyBorder="1" applyAlignment="1" applyProtection="1">
      <alignment horizontal="right" wrapText="1" readingOrder="1"/>
      <protection locked="0"/>
    </xf>
    <xf numFmtId="170" fontId="3" fillId="12" borderId="36" xfId="0" applyNumberFormat="1" applyFont="1" applyFill="1" applyBorder="1" applyAlignment="1" applyProtection="1">
      <alignment horizontal="right" wrapText="1" readingOrder="1"/>
      <protection locked="0"/>
    </xf>
    <xf numFmtId="49" fontId="1" fillId="14" borderId="16" xfId="0" applyNumberFormat="1" applyFont="1" applyFill="1" applyBorder="1" applyAlignment="1" applyProtection="1">
      <alignment horizontal="center"/>
      <protection locked="0"/>
    </xf>
    <xf numFmtId="1" fontId="1" fillId="41" borderId="0" xfId="0" applyNumberFormat="1" applyFont="1" applyFill="1" applyAlignment="1" applyProtection="1">
      <alignment horizontal="center"/>
      <protection locked="0"/>
    </xf>
    <xf numFmtId="164" fontId="3" fillId="12" borderId="36" xfId="0" applyFont="1" applyFill="1" applyBorder="1" applyAlignment="1" applyProtection="1">
      <alignment horizontal="right" wrapText="1" readingOrder="1"/>
      <protection locked="0"/>
    </xf>
    <xf numFmtId="49" fontId="1" fillId="22" borderId="16" xfId="0" applyNumberFormat="1" applyFont="1" applyFill="1" applyBorder="1" applyAlignment="1" applyProtection="1">
      <alignment horizontal="center"/>
      <protection locked="0"/>
    </xf>
    <xf numFmtId="49" fontId="1" fillId="16" borderId="16" xfId="0" applyNumberFormat="1" applyFont="1" applyFill="1" applyBorder="1" applyAlignment="1" applyProtection="1">
      <alignment horizontal="center"/>
      <protection locked="0"/>
    </xf>
    <xf numFmtId="49" fontId="1" fillId="25" borderId="16" xfId="0" applyNumberFormat="1" applyFont="1" applyFill="1" applyBorder="1" applyAlignment="1" applyProtection="1">
      <alignment horizontal="center"/>
      <protection locked="0"/>
    </xf>
    <xf numFmtId="3" fontId="1" fillId="11" borderId="35" xfId="0" applyNumberFormat="1" applyFont="1" applyFill="1" applyBorder="1" applyProtection="1">
      <protection locked="0"/>
    </xf>
    <xf numFmtId="49" fontId="1" fillId="19" borderId="16" xfId="0" applyNumberFormat="1" applyFont="1" applyFill="1" applyBorder="1" applyAlignment="1" applyProtection="1">
      <alignment horizontal="center"/>
      <protection locked="0"/>
    </xf>
    <xf numFmtId="164" fontId="46" fillId="31" borderId="0" xfId="0" applyFont="1" applyFill="1" applyAlignment="1" applyProtection="1">
      <alignment horizontal="center"/>
      <protection locked="0"/>
    </xf>
    <xf numFmtId="164" fontId="47" fillId="40" borderId="0" xfId="0" applyFont="1" applyFill="1" applyAlignment="1" applyProtection="1">
      <alignment horizontal="center"/>
      <protection locked="0"/>
    </xf>
    <xf numFmtId="49" fontId="2" fillId="12" borderId="0" xfId="0" applyNumberFormat="1" applyFont="1" applyFill="1" applyAlignment="1" applyProtection="1">
      <alignment horizontal="center"/>
      <protection locked="0"/>
    </xf>
    <xf numFmtId="164" fontId="2" fillId="12" borderId="0" xfId="0" applyFont="1" applyFill="1" applyProtection="1">
      <protection locked="0"/>
    </xf>
    <xf numFmtId="37" fontId="44" fillId="40" borderId="35" xfId="0" applyNumberFormat="1" applyFont="1" applyFill="1" applyBorder="1" applyAlignment="1" applyProtection="1">
      <alignment horizontal="center" vertical="top"/>
      <protection locked="0"/>
    </xf>
    <xf numFmtId="49" fontId="30" fillId="31" borderId="0" xfId="0" applyNumberFormat="1" applyFont="1" applyFill="1" applyAlignment="1" applyProtection="1">
      <alignment horizontal="left"/>
      <protection locked="0"/>
    </xf>
    <xf numFmtId="1" fontId="5" fillId="16" borderId="0" xfId="0" applyNumberFormat="1" applyFont="1" applyFill="1" applyAlignment="1" applyProtection="1">
      <alignment horizontal="center"/>
      <protection locked="0"/>
    </xf>
    <xf numFmtId="164" fontId="1" fillId="42" borderId="16" xfId="0" applyFont="1" applyFill="1" applyBorder="1" applyAlignment="1">
      <alignment horizontal="center"/>
    </xf>
    <xf numFmtId="164" fontId="1" fillId="42" borderId="0" xfId="0" applyFont="1" applyFill="1" applyAlignment="1">
      <alignment horizontal="left"/>
    </xf>
    <xf numFmtId="164" fontId="2" fillId="42" borderId="0" xfId="0" applyFont="1" applyFill="1" applyAlignment="1">
      <alignment horizontal="left"/>
    </xf>
    <xf numFmtId="1" fontId="1" fillId="42" borderId="0" xfId="0" applyNumberFormat="1" applyFont="1" applyFill="1" applyAlignment="1">
      <alignment horizontal="center"/>
    </xf>
    <xf numFmtId="1" fontId="1" fillId="42" borderId="0" xfId="0" applyNumberFormat="1" applyFont="1" applyFill="1" applyAlignment="1" applyProtection="1">
      <alignment horizontal="center"/>
      <protection locked="0"/>
    </xf>
    <xf numFmtId="164" fontId="45" fillId="42" borderId="0" xfId="0" applyFont="1" applyFill="1" applyAlignment="1">
      <alignment horizontal="left"/>
    </xf>
    <xf numFmtId="164" fontId="48" fillId="42" borderId="0" xfId="0" applyFont="1" applyFill="1" applyAlignment="1">
      <alignment horizontal="left"/>
    </xf>
    <xf numFmtId="164" fontId="7" fillId="42" borderId="0" xfId="0" applyFont="1" applyFill="1" applyAlignment="1">
      <alignment horizontal="left"/>
    </xf>
    <xf numFmtId="164" fontId="1" fillId="29" borderId="0" xfId="0" applyFont="1" applyFill="1" applyAlignment="1">
      <alignment horizontal="left"/>
    </xf>
    <xf numFmtId="1" fontId="1" fillId="29" borderId="0" xfId="0" applyNumberFormat="1" applyFont="1" applyFill="1" applyAlignment="1">
      <alignment horizontal="center"/>
    </xf>
    <xf numFmtId="164" fontId="1" fillId="42" borderId="0" xfId="0" applyFont="1" applyFill="1" applyAlignment="1">
      <alignment horizontal="center"/>
    </xf>
    <xf numFmtId="164" fontId="1" fillId="33" borderId="0" xfId="0" applyFont="1" applyFill="1" applyAlignment="1" applyProtection="1">
      <alignment horizontal="left"/>
      <protection locked="0"/>
    </xf>
    <xf numFmtId="164" fontId="1" fillId="33" borderId="0" xfId="0" applyFont="1" applyFill="1" applyAlignment="1" applyProtection="1">
      <alignment horizontal="center"/>
      <protection locked="0"/>
    </xf>
    <xf numFmtId="164" fontId="7" fillId="33" borderId="0" xfId="0" applyFont="1" applyFill="1" applyAlignment="1" applyProtection="1">
      <alignment horizontal="center"/>
      <protection locked="0"/>
    </xf>
    <xf numFmtId="49" fontId="5" fillId="10" borderId="0" xfId="0" applyNumberFormat="1" applyFont="1" applyFill="1" applyAlignment="1" applyProtection="1">
      <alignment horizontal="left"/>
      <protection locked="0"/>
    </xf>
    <xf numFmtId="1" fontId="5" fillId="9" borderId="0" xfId="0" applyNumberFormat="1" applyFont="1" applyFill="1" applyAlignment="1" applyProtection="1">
      <alignment horizontal="center"/>
      <protection locked="0"/>
    </xf>
    <xf numFmtId="49" fontId="7" fillId="33" borderId="0" xfId="0" applyNumberFormat="1" applyFont="1" applyFill="1" applyAlignment="1" applyProtection="1">
      <alignment horizontal="left"/>
      <protection locked="0"/>
    </xf>
    <xf numFmtId="1" fontId="5" fillId="19" borderId="0" xfId="0" applyNumberFormat="1" applyFont="1" applyFill="1" applyAlignment="1" applyProtection="1">
      <alignment horizontal="center"/>
      <protection locked="0"/>
    </xf>
    <xf numFmtId="1" fontId="5" fillId="23" borderId="0" xfId="0" applyNumberFormat="1" applyFont="1" applyFill="1" applyAlignment="1" applyProtection="1">
      <alignment horizontal="center"/>
      <protection locked="0"/>
    </xf>
    <xf numFmtId="49" fontId="1" fillId="17" borderId="16" xfId="0" applyNumberFormat="1" applyFont="1" applyFill="1" applyBorder="1" applyAlignment="1" applyProtection="1">
      <alignment horizontal="center"/>
      <protection locked="0"/>
    </xf>
    <xf numFmtId="1" fontId="5" fillId="26" borderId="0" xfId="0" applyNumberFormat="1" applyFont="1" applyFill="1" applyAlignment="1" applyProtection="1">
      <alignment horizontal="center"/>
      <protection locked="0"/>
    </xf>
    <xf numFmtId="164" fontId="50" fillId="26" borderId="0" xfId="0" applyFont="1" applyFill="1" applyAlignment="1" applyProtection="1">
      <alignment horizontal="left"/>
      <protection locked="0"/>
    </xf>
    <xf numFmtId="164" fontId="51" fillId="24" borderId="0" xfId="0" applyFont="1" applyFill="1" applyAlignment="1" applyProtection="1">
      <alignment horizontal="left"/>
      <protection locked="0"/>
    </xf>
    <xf numFmtId="164" fontId="50" fillId="24" borderId="0" xfId="0" applyFont="1" applyFill="1" applyAlignment="1" applyProtection="1">
      <alignment horizontal="left"/>
      <protection locked="0"/>
    </xf>
    <xf numFmtId="1" fontId="5" fillId="24" borderId="0" xfId="0" applyNumberFormat="1" applyFont="1" applyFill="1" applyAlignment="1" applyProtection="1">
      <alignment horizontal="center"/>
      <protection locked="0"/>
    </xf>
    <xf numFmtId="164" fontId="51" fillId="30" borderId="0" xfId="0" applyFont="1" applyFill="1" applyAlignment="1" applyProtection="1">
      <alignment horizontal="left"/>
      <protection locked="0"/>
    </xf>
    <xf numFmtId="1" fontId="5" fillId="17" borderId="0" xfId="0" applyNumberFormat="1" applyFont="1" applyFill="1" applyAlignment="1" applyProtection="1">
      <alignment horizontal="center"/>
      <protection locked="0"/>
    </xf>
    <xf numFmtId="166" fontId="1" fillId="0" borderId="23" xfId="0" applyNumberFormat="1" applyFont="1" applyBorder="1"/>
    <xf numFmtId="166" fontId="2" fillId="0" borderId="0" xfId="0" applyNumberFormat="1" applyFont="1"/>
    <xf numFmtId="9" fontId="2" fillId="44" borderId="24" xfId="0" applyNumberFormat="1" applyFont="1" applyFill="1" applyBorder="1"/>
    <xf numFmtId="166" fontId="2" fillId="44" borderId="54" xfId="0" applyNumberFormat="1" applyFont="1" applyFill="1" applyBorder="1" applyAlignment="1">
      <alignment wrapText="1"/>
    </xf>
    <xf numFmtId="1" fontId="52" fillId="9" borderId="0" xfId="0" applyNumberFormat="1" applyFont="1" applyFill="1" applyAlignment="1" applyProtection="1">
      <alignment horizontal="center"/>
      <protection locked="0"/>
    </xf>
    <xf numFmtId="164" fontId="1" fillId="0" borderId="0" xfId="0" pivotButton="1" applyFont="1"/>
    <xf numFmtId="164" fontId="1" fillId="0" borderId="0" xfId="0" pivotButton="1" applyFont="1" applyAlignment="1">
      <alignment horizontal="left"/>
    </xf>
    <xf numFmtId="164" fontId="1" fillId="0" borderId="22" xfId="0" applyFont="1" applyBorder="1" applyAlignment="1">
      <alignment horizontal="left"/>
    </xf>
    <xf numFmtId="164" fontId="1" fillId="0" borderId="16" xfId="0" applyFont="1" applyBorder="1" applyAlignment="1">
      <alignment horizontal="left"/>
    </xf>
    <xf numFmtId="164" fontId="1" fillId="0" borderId="0" xfId="0" applyFont="1" applyAlignment="1">
      <alignment horizontal="left" wrapText="1"/>
    </xf>
    <xf numFmtId="0" fontId="1" fillId="0" borderId="0" xfId="0" pivotButton="1" applyNumberFormat="1" applyFont="1" applyAlignment="1">
      <alignment horizontal="left"/>
    </xf>
    <xf numFmtId="0" fontId="1" fillId="0" borderId="22" xfId="0" applyNumberFormat="1" applyFont="1" applyBorder="1" applyAlignment="1">
      <alignment horizontal="left"/>
    </xf>
    <xf numFmtId="0" fontId="1" fillId="0" borderId="16" xfId="0" applyNumberFormat="1" applyFont="1" applyBorder="1" applyAlignment="1">
      <alignment horizontal="left"/>
    </xf>
    <xf numFmtId="164" fontId="1" fillId="0" borderId="16" xfId="0" applyFont="1" applyBorder="1" applyAlignment="1">
      <alignment horizontal="right"/>
    </xf>
    <xf numFmtId="164" fontId="1" fillId="0" borderId="32" xfId="0" applyFont="1" applyBorder="1" applyAlignment="1">
      <alignment horizontal="left"/>
    </xf>
    <xf numFmtId="166" fontId="33" fillId="44" borderId="46" xfId="0" applyNumberFormat="1" applyFont="1" applyFill="1" applyBorder="1" applyAlignment="1">
      <alignment wrapText="1"/>
    </xf>
    <xf numFmtId="164" fontId="1" fillId="0" borderId="39" xfId="0" applyFont="1" applyBorder="1" applyAlignment="1">
      <alignment wrapText="1"/>
    </xf>
    <xf numFmtId="166" fontId="1" fillId="0" borderId="22" xfId="0" applyNumberFormat="1" applyFont="1" applyBorder="1" applyAlignment="1">
      <alignment wrapText="1"/>
    </xf>
    <xf numFmtId="166" fontId="1" fillId="0" borderId="23" xfId="0" applyNumberFormat="1" applyFont="1" applyBorder="1" applyAlignment="1">
      <alignment wrapText="1"/>
    </xf>
    <xf numFmtId="164" fontId="1" fillId="0" borderId="35" xfId="0" applyFont="1" applyBorder="1" applyAlignment="1">
      <alignment wrapText="1"/>
    </xf>
    <xf numFmtId="3" fontId="1" fillId="0" borderId="0" xfId="0" applyNumberFormat="1" applyFont="1" applyAlignment="1">
      <alignment wrapText="1"/>
    </xf>
    <xf numFmtId="9" fontId="2" fillId="0" borderId="35" xfId="0" applyNumberFormat="1" applyFont="1" applyBorder="1"/>
    <xf numFmtId="3" fontId="33" fillId="0" borderId="0" xfId="0" applyNumberFormat="1" applyFont="1"/>
    <xf numFmtId="3" fontId="33" fillId="0" borderId="15" xfId="0" applyNumberFormat="1" applyFont="1" applyBorder="1"/>
    <xf numFmtId="3" fontId="1" fillId="35" borderId="0" xfId="0" applyNumberFormat="1" applyFont="1" applyFill="1" applyAlignment="1">
      <alignment wrapText="1"/>
    </xf>
    <xf numFmtId="164" fontId="1" fillId="35" borderId="0" xfId="0" applyFont="1" applyFill="1" applyAlignment="1">
      <alignment wrapText="1"/>
    </xf>
    <xf numFmtId="164" fontId="1" fillId="35" borderId="0" xfId="0" applyFont="1" applyFill="1" applyAlignment="1">
      <alignment horizontal="left"/>
    </xf>
    <xf numFmtId="3" fontId="1" fillId="41" borderId="0" xfId="0" applyNumberFormat="1" applyFont="1" applyFill="1"/>
    <xf numFmtId="164" fontId="1" fillId="0" borderId="0" xfId="0" applyFont="1" applyAlignment="1">
      <alignment horizontal="right" wrapText="1"/>
    </xf>
    <xf numFmtId="9" fontId="2" fillId="0" borderId="55" xfId="0" applyNumberFormat="1" applyFont="1" applyBorder="1"/>
    <xf numFmtId="37" fontId="43" fillId="6" borderId="25" xfId="0" applyNumberFormat="1" applyFont="1" applyFill="1" applyBorder="1" applyAlignment="1">
      <alignment horizontal="right"/>
    </xf>
    <xf numFmtId="37" fontId="42" fillId="7" borderId="25" xfId="0" applyNumberFormat="1" applyFont="1" applyFill="1" applyBorder="1" applyAlignment="1">
      <alignment horizontal="right"/>
    </xf>
    <xf numFmtId="37" fontId="0" fillId="12" borderId="28" xfId="0" applyNumberFormat="1" applyFill="1" applyBorder="1" applyAlignment="1" applyProtection="1">
      <alignment horizontal="right"/>
      <protection locked="0"/>
    </xf>
    <xf numFmtId="37" fontId="0" fillId="18" borderId="28" xfId="0" applyNumberFormat="1" applyFill="1" applyBorder="1" applyAlignment="1" applyProtection="1">
      <alignment horizontal="right"/>
      <protection locked="0"/>
    </xf>
    <xf numFmtId="37" fontId="46" fillId="31" borderId="28" xfId="0" applyNumberFormat="1" applyFont="1" applyFill="1" applyBorder="1" applyAlignment="1" applyProtection="1">
      <alignment horizontal="right"/>
      <protection locked="0"/>
    </xf>
    <xf numFmtId="37" fontId="47" fillId="40" borderId="28" xfId="0" applyNumberFormat="1" applyFont="1" applyFill="1" applyBorder="1" applyAlignment="1" applyProtection="1">
      <alignment horizontal="right"/>
      <protection locked="0"/>
    </xf>
    <xf numFmtId="37" fontId="0" fillId="18" borderId="0" xfId="0" applyNumberFormat="1" applyFill="1" applyAlignment="1" applyProtection="1">
      <alignment horizontal="center"/>
      <protection locked="0"/>
    </xf>
    <xf numFmtId="37" fontId="0" fillId="12" borderId="0" xfId="0" applyNumberFormat="1" applyFill="1" applyAlignment="1" applyProtection="1">
      <alignment horizontal="center"/>
      <protection locked="0"/>
    </xf>
    <xf numFmtId="37" fontId="46" fillId="31" borderId="0" xfId="0" applyNumberFormat="1" applyFont="1" applyFill="1" applyAlignment="1" applyProtection="1">
      <alignment horizontal="center"/>
      <protection locked="0"/>
    </xf>
    <xf numFmtId="37" fontId="43" fillId="6" borderId="38" xfId="0" applyNumberFormat="1" applyFont="1" applyFill="1" applyBorder="1" applyAlignment="1">
      <alignment horizontal="right"/>
    </xf>
    <xf numFmtId="37" fontId="47" fillId="40" borderId="0" xfId="0" applyNumberFormat="1" applyFont="1" applyFill="1" applyAlignment="1" applyProtection="1">
      <alignment horizontal="center"/>
      <protection locked="0"/>
    </xf>
    <xf numFmtId="37" fontId="0" fillId="11" borderId="28" xfId="0" applyNumberFormat="1" applyFill="1" applyBorder="1" applyAlignment="1" applyProtection="1">
      <alignment horizontal="right"/>
      <protection locked="0"/>
    </xf>
    <xf numFmtId="9" fontId="2" fillId="0" borderId="21" xfId="0" applyNumberFormat="1" applyFont="1" applyBorder="1"/>
    <xf numFmtId="166" fontId="1" fillId="0" borderId="21" xfId="0" applyNumberFormat="1" applyFont="1" applyBorder="1" applyAlignment="1">
      <alignment wrapText="1"/>
    </xf>
    <xf numFmtId="164" fontId="1" fillId="0" borderId="21" xfId="0" applyFont="1" applyBorder="1" applyAlignment="1">
      <alignment horizontal="left"/>
    </xf>
    <xf numFmtId="0" fontId="1" fillId="0" borderId="21" xfId="0" applyNumberFormat="1" applyFont="1" applyBorder="1" applyAlignment="1">
      <alignment horizontal="left"/>
    </xf>
    <xf numFmtId="164" fontId="2" fillId="0" borderId="21" xfId="0" applyFont="1" applyBorder="1" applyAlignment="1">
      <alignment horizontal="right"/>
    </xf>
    <xf numFmtId="164" fontId="1" fillId="35" borderId="21" xfId="0" applyFont="1" applyFill="1" applyBorder="1" applyAlignment="1">
      <alignment horizontal="left"/>
    </xf>
    <xf numFmtId="164" fontId="53" fillId="0" borderId="0" xfId="0" applyFont="1" applyAlignment="1">
      <alignment horizontal="center" wrapText="1"/>
    </xf>
    <xf numFmtId="164" fontId="36" fillId="0" borderId="0" xfId="0" applyFont="1" applyAlignment="1">
      <alignment horizontal="center" wrapText="1"/>
    </xf>
    <xf numFmtId="164" fontId="3" fillId="0" borderId="0" xfId="0" applyFont="1" applyAlignment="1">
      <alignment horizontal="left" vertical="top" wrapText="1"/>
    </xf>
    <xf numFmtId="164" fontId="0" fillId="0" borderId="0" xfId="0" applyAlignment="1">
      <alignment horizontal="left" vertical="top" wrapText="1"/>
    </xf>
    <xf numFmtId="37" fontId="3" fillId="0" borderId="3" xfId="0" applyNumberFormat="1" applyFont="1" applyBorder="1" applyAlignment="1">
      <alignment horizontal="center"/>
    </xf>
    <xf numFmtId="37" fontId="3" fillId="0" borderId="2" xfId="0" applyNumberFormat="1" applyFont="1" applyBorder="1" applyAlignment="1">
      <alignment horizontal="center"/>
    </xf>
    <xf numFmtId="37" fontId="2" fillId="4" borderId="4" xfId="0" applyNumberFormat="1" applyFont="1" applyFill="1" applyBorder="1" applyAlignment="1">
      <alignment horizontal="center" wrapText="1"/>
    </xf>
    <xf numFmtId="37" fontId="2" fillId="4" borderId="7" xfId="0" applyNumberFormat="1" applyFont="1" applyFill="1" applyBorder="1" applyAlignment="1">
      <alignment horizontal="center" wrapText="1"/>
    </xf>
    <xf numFmtId="37" fontId="2" fillId="4" borderId="14" xfId="0" applyNumberFormat="1" applyFont="1" applyFill="1" applyBorder="1" applyAlignment="1">
      <alignment horizontal="center" wrapText="1"/>
    </xf>
    <xf numFmtId="37" fontId="2" fillId="4" borderId="13" xfId="0" applyNumberFormat="1" applyFont="1" applyFill="1" applyBorder="1" applyAlignment="1">
      <alignment horizontal="center" wrapText="1"/>
    </xf>
    <xf numFmtId="9" fontId="9" fillId="0" borderId="4" xfId="0" applyNumberFormat="1" applyFont="1" applyBorder="1" applyAlignment="1">
      <alignment horizontal="center" wrapText="1"/>
    </xf>
    <xf numFmtId="9" fontId="9" fillId="0" borderId="0" xfId="0" applyNumberFormat="1" applyFont="1" applyAlignment="1">
      <alignment horizontal="center" wrapText="1"/>
    </xf>
    <xf numFmtId="9" fontId="9" fillId="0" borderId="3" xfId="0" applyNumberFormat="1" applyFont="1" applyBorder="1" applyAlignment="1">
      <alignment horizontal="center" wrapText="1"/>
    </xf>
    <xf numFmtId="9" fontId="9" fillId="0" borderId="2" xfId="0" applyNumberFormat="1" applyFont="1" applyBorder="1" applyAlignment="1">
      <alignment horizontal="center" wrapText="1"/>
    </xf>
    <xf numFmtId="37" fontId="2" fillId="5" borderId="3" xfId="0" applyNumberFormat="1" applyFont="1" applyFill="1" applyBorder="1" applyAlignment="1">
      <alignment horizontal="center"/>
    </xf>
    <xf numFmtId="37" fontId="2" fillId="5" borderId="2" xfId="0" applyNumberFormat="1" applyFont="1" applyFill="1" applyBorder="1" applyAlignment="1">
      <alignment horizontal="center"/>
    </xf>
    <xf numFmtId="37" fontId="2" fillId="5" borderId="24" xfId="0" applyNumberFormat="1" applyFont="1" applyFill="1" applyBorder="1" applyAlignment="1">
      <alignment horizontal="center"/>
    </xf>
    <xf numFmtId="37" fontId="3" fillId="0" borderId="24" xfId="0" applyNumberFormat="1" applyFont="1" applyBorder="1" applyAlignment="1">
      <alignment horizontal="center"/>
    </xf>
    <xf numFmtId="37" fontId="2" fillId="0" borderId="4" xfId="0" applyNumberFormat="1" applyFont="1" applyBorder="1" applyAlignment="1">
      <alignment horizontal="center" wrapText="1"/>
    </xf>
    <xf numFmtId="164" fontId="0" fillId="0" borderId="0" xfId="0"/>
    <xf numFmtId="164" fontId="0" fillId="0" borderId="4" xfId="0" applyBorder="1"/>
    <xf numFmtId="49" fontId="2" fillId="4" borderId="4" xfId="0" applyNumberFormat="1" applyFont="1" applyFill="1" applyBorder="1" applyAlignment="1">
      <alignment horizontal="left"/>
    </xf>
    <xf numFmtId="49" fontId="2" fillId="4" borderId="0" xfId="0" applyNumberFormat="1" applyFont="1" applyFill="1" applyAlignment="1">
      <alignment horizontal="left"/>
    </xf>
    <xf numFmtId="37" fontId="2" fillId="4" borderId="3" xfId="0" applyNumberFormat="1" applyFont="1" applyFill="1" applyBorder="1" applyAlignment="1">
      <alignment horizontal="left"/>
    </xf>
    <xf numFmtId="37" fontId="2" fillId="4" borderId="2" xfId="0" applyNumberFormat="1" applyFont="1" applyFill="1" applyBorder="1" applyAlignment="1">
      <alignment horizontal="left"/>
    </xf>
    <xf numFmtId="37" fontId="2" fillId="0" borderId="4" xfId="0" applyNumberFormat="1" applyFont="1" applyBorder="1" applyAlignment="1">
      <alignment horizontal="center"/>
    </xf>
    <xf numFmtId="37" fontId="2" fillId="0" borderId="7" xfId="0" applyNumberFormat="1" applyFont="1" applyBorder="1" applyAlignment="1">
      <alignment horizontal="center"/>
    </xf>
    <xf numFmtId="37" fontId="2" fillId="0" borderId="0" xfId="0" applyNumberFormat="1" applyFont="1" applyAlignment="1">
      <alignment horizontal="center"/>
    </xf>
    <xf numFmtId="37" fontId="2" fillId="4" borderId="3" xfId="0" applyNumberFormat="1" applyFont="1" applyFill="1" applyBorder="1" applyAlignment="1">
      <alignment horizontal="center"/>
    </xf>
    <xf numFmtId="37" fontId="2" fillId="4" borderId="2" xfId="0" applyNumberFormat="1" applyFont="1" applyFill="1" applyBorder="1" applyAlignment="1">
      <alignment horizontal="center"/>
    </xf>
    <xf numFmtId="37" fontId="2" fillId="0" borderId="0" xfId="0" applyNumberFormat="1" applyFont="1" applyAlignment="1">
      <alignment horizontal="center" wrapText="1"/>
    </xf>
    <xf numFmtId="37" fontId="2" fillId="4" borderId="4" xfId="0" applyNumberFormat="1" applyFont="1" applyFill="1" applyBorder="1" applyAlignment="1">
      <alignment horizontal="left"/>
    </xf>
    <xf numFmtId="37" fontId="2" fillId="4" borderId="0" xfId="0" applyNumberFormat="1" applyFont="1" applyFill="1" applyAlignment="1">
      <alignment horizontal="left"/>
    </xf>
    <xf numFmtId="37" fontId="2" fillId="4" borderId="7" xfId="0" applyNumberFormat="1" applyFont="1" applyFill="1" applyBorder="1" applyAlignment="1">
      <alignment horizontal="left"/>
    </xf>
    <xf numFmtId="37" fontId="2" fillId="0" borderId="7" xfId="0" applyNumberFormat="1" applyFont="1" applyBorder="1" applyAlignment="1">
      <alignment horizontal="center" wrapText="1"/>
    </xf>
    <xf numFmtId="37" fontId="3" fillId="0" borderId="4" xfId="0" applyNumberFormat="1" applyFont="1" applyBorder="1" applyAlignment="1">
      <alignment horizontal="center" wrapText="1"/>
    </xf>
    <xf numFmtId="37" fontId="3" fillId="0" borderId="7" xfId="0" applyNumberFormat="1" applyFont="1" applyBorder="1" applyAlignment="1">
      <alignment horizontal="center" wrapText="1"/>
    </xf>
    <xf numFmtId="37" fontId="3" fillId="0" borderId="3" xfId="0" applyNumberFormat="1" applyFont="1" applyBorder="1" applyAlignment="1">
      <alignment horizontal="center" wrapText="1"/>
    </xf>
    <xf numFmtId="37" fontId="3" fillId="0" borderId="24" xfId="0" applyNumberFormat="1" applyFont="1" applyBorder="1" applyAlignment="1">
      <alignment horizontal="center" wrapText="1"/>
    </xf>
    <xf numFmtId="49" fontId="13" fillId="3" borderId="4" xfId="0" applyNumberFormat="1" applyFont="1" applyFill="1" applyBorder="1" applyAlignment="1">
      <alignment horizontal="left"/>
    </xf>
    <xf numFmtId="49" fontId="13" fillId="3" borderId="0" xfId="0" applyNumberFormat="1" applyFont="1" applyFill="1" applyAlignment="1">
      <alignment horizontal="left"/>
    </xf>
    <xf numFmtId="164" fontId="0" fillId="0" borderId="7" xfId="0" applyBorder="1"/>
    <xf numFmtId="164" fontId="0" fillId="0" borderId="3" xfId="0" applyBorder="1"/>
    <xf numFmtId="164" fontId="0" fillId="0" borderId="24" xfId="0" applyBorder="1"/>
    <xf numFmtId="165" fontId="2" fillId="4" borderId="4" xfId="0" applyNumberFormat="1" applyFont="1" applyFill="1" applyBorder="1" applyAlignment="1">
      <alignment horizontal="center"/>
    </xf>
    <xf numFmtId="165" fontId="2" fillId="4" borderId="7" xfId="0" applyNumberFormat="1" applyFont="1" applyFill="1" applyBorder="1" applyAlignment="1">
      <alignment horizontal="center"/>
    </xf>
    <xf numFmtId="37" fontId="2" fillId="4" borderId="9" xfId="0" applyNumberFormat="1" applyFont="1" applyFill="1" applyBorder="1" applyAlignment="1">
      <alignment horizontal="left"/>
    </xf>
    <xf numFmtId="37" fontId="2" fillId="4" borderId="10" xfId="0" applyNumberFormat="1" applyFont="1" applyFill="1" applyBorder="1" applyAlignment="1">
      <alignment horizontal="left"/>
    </xf>
    <xf numFmtId="37" fontId="2" fillId="4" borderId="1" xfId="0" applyNumberFormat="1" applyFont="1" applyFill="1" applyBorder="1" applyAlignment="1">
      <alignment horizontal="left"/>
    </xf>
    <xf numFmtId="37" fontId="1" fillId="0" borderId="4" xfId="0" applyNumberFormat="1" applyFont="1" applyBorder="1" applyAlignment="1">
      <alignment horizontal="center" wrapText="1"/>
    </xf>
    <xf numFmtId="164" fontId="6" fillId="0" borderId="0" xfId="0" applyFont="1"/>
    <xf numFmtId="164" fontId="6" fillId="0" borderId="3" xfId="0" applyFont="1" applyBorder="1"/>
    <xf numFmtId="164" fontId="6" fillId="0" borderId="2" xfId="0" applyFont="1" applyBorder="1"/>
    <xf numFmtId="37" fontId="2" fillId="0" borderId="3" xfId="0" applyNumberFormat="1" applyFont="1" applyBorder="1" applyAlignment="1">
      <alignment horizontal="center"/>
    </xf>
    <xf numFmtId="37" fontId="2" fillId="0" borderId="24" xfId="0" applyNumberFormat="1" applyFont="1" applyBorder="1" applyAlignment="1">
      <alignment horizontal="center"/>
    </xf>
    <xf numFmtId="37" fontId="2" fillId="0" borderId="2" xfId="0" applyNumberFormat="1" applyFont="1" applyBorder="1" applyAlignment="1">
      <alignment horizontal="center"/>
    </xf>
    <xf numFmtId="166" fontId="1" fillId="0" borderId="0" xfId="0" applyNumberFormat="1" applyFont="1" applyBorder="1"/>
    <xf numFmtId="166" fontId="1" fillId="0" borderId="0" xfId="0" applyNumberFormat="1" applyFont="1" applyBorder="1" applyAlignment="1">
      <alignment wrapText="1"/>
    </xf>
    <xf numFmtId="164" fontId="1" fillId="0" borderId="0" xfId="0" applyNumberFormat="1" applyFont="1"/>
    <xf numFmtId="164" fontId="1" fillId="0" borderId="0" xfId="0" pivotButton="1" applyFont="1" applyAlignment="1"/>
    <xf numFmtId="164" fontId="1" fillId="0" borderId="22" xfId="0" applyFont="1" applyBorder="1" applyAlignment="1"/>
    <xf numFmtId="164" fontId="1" fillId="0" borderId="16" xfId="0" applyFont="1" applyBorder="1" applyAlignment="1"/>
    <xf numFmtId="164" fontId="1" fillId="0" borderId="21" xfId="0" applyFont="1" applyBorder="1" applyAlignment="1"/>
    <xf numFmtId="164" fontId="1" fillId="0" borderId="0" xfId="0" applyFont="1" applyAlignment="1"/>
    <xf numFmtId="164" fontId="1" fillId="0" borderId="32" xfId="0" applyNumberFormat="1" applyFont="1" applyBorder="1"/>
    <xf numFmtId="164" fontId="1" fillId="0" borderId="0" xfId="0" applyNumberFormat="1" applyFont="1" applyBorder="1"/>
    <xf numFmtId="164" fontId="1" fillId="0" borderId="0" xfId="0" applyFont="1" applyBorder="1" applyAlignment="1"/>
    <xf numFmtId="166" fontId="1" fillId="0" borderId="7" xfId="0" applyNumberFormat="1" applyFont="1" applyFill="1" applyBorder="1"/>
    <xf numFmtId="166" fontId="1" fillId="0" borderId="22" xfId="0" applyNumberFormat="1" applyFont="1" applyFill="1" applyBorder="1"/>
    <xf numFmtId="166" fontId="1" fillId="0" borderId="10" xfId="0" applyNumberFormat="1" applyFont="1" applyFill="1" applyBorder="1"/>
    <xf numFmtId="166" fontId="1" fillId="0" borderId="23" xfId="0" applyNumberFormat="1" applyFont="1" applyFill="1" applyBorder="1"/>
    <xf numFmtId="166" fontId="1" fillId="0" borderId="16" xfId="0" applyNumberFormat="1" applyFont="1" applyFill="1" applyBorder="1"/>
    <xf numFmtId="166" fontId="1" fillId="0" borderId="0" xfId="0" applyNumberFormat="1" applyFont="1" applyFill="1" applyBorder="1"/>
    <xf numFmtId="9" fontId="2" fillId="0" borderId="21" xfId="0" applyNumberFormat="1" applyFont="1" applyFill="1" applyBorder="1"/>
    <xf numFmtId="9" fontId="2" fillId="0" borderId="2" xfId="0" applyNumberFormat="1" applyFont="1" applyFill="1" applyBorder="1"/>
    <xf numFmtId="9" fontId="2" fillId="0" borderId="24" xfId="0" applyNumberFormat="1" applyFont="1" applyFill="1" applyBorder="1"/>
    <xf numFmtId="166" fontId="1" fillId="0" borderId="16" xfId="0" applyNumberFormat="1" applyFont="1" applyFill="1" applyBorder="1" applyAlignment="1">
      <alignment wrapText="1"/>
    </xf>
    <xf numFmtId="166" fontId="1" fillId="0" borderId="0" xfId="0" applyNumberFormat="1" applyFont="1" applyFill="1" applyBorder="1" applyAlignment="1">
      <alignment wrapText="1"/>
    </xf>
    <xf numFmtId="166" fontId="33" fillId="0" borderId="0" xfId="0" applyNumberFormat="1" applyFont="1" applyFill="1" applyBorder="1" applyAlignment="1">
      <alignment wrapText="1"/>
    </xf>
    <xf numFmtId="166" fontId="1" fillId="0" borderId="21" xfId="0" applyNumberFormat="1" applyFont="1" applyFill="1" applyBorder="1" applyAlignment="1">
      <alignment wrapText="1"/>
    </xf>
    <xf numFmtId="166" fontId="1" fillId="0" borderId="2" xfId="0" applyNumberFormat="1" applyFont="1" applyFill="1" applyBorder="1" applyAlignment="1">
      <alignment wrapText="1"/>
    </xf>
    <xf numFmtId="164" fontId="1" fillId="0" borderId="0" xfId="0" applyNumberFormat="1" applyFont="1" applyFill="1" applyBorder="1"/>
    <xf numFmtId="164" fontId="1" fillId="0" borderId="32" xfId="0" applyNumberFormat="1" applyFont="1" applyFill="1" applyBorder="1"/>
    <xf numFmtId="164" fontId="1" fillId="0" borderId="0" xfId="0" applyNumberFormat="1" applyFont="1" applyFill="1"/>
    <xf numFmtId="166" fontId="1" fillId="0" borderId="0" xfId="0" applyNumberFormat="1" applyFont="1" applyFill="1"/>
    <xf numFmtId="166" fontId="2" fillId="0" borderId="0" xfId="0" applyNumberFormat="1" applyFont="1" applyFill="1"/>
    <xf numFmtId="164" fontId="1" fillId="0" borderId="0" xfId="0" applyFont="1" applyFill="1"/>
    <xf numFmtId="166" fontId="1" fillId="0" borderId="40" xfId="0" applyNumberFormat="1" applyFont="1" applyFill="1" applyBorder="1" applyAlignment="1">
      <alignment wrapText="1"/>
    </xf>
    <xf numFmtId="164" fontId="1" fillId="0" borderId="0" xfId="0" applyFont="1" applyFill="1" applyAlignment="1">
      <alignment wrapText="1"/>
    </xf>
    <xf numFmtId="164" fontId="2" fillId="0" borderId="0" xfId="0" applyNumberFormat="1" applyFont="1" applyAlignment="1">
      <alignment horizontal="left"/>
    </xf>
    <xf numFmtId="164" fontId="1" fillId="0" borderId="0" xfId="0" applyNumberFormat="1" applyFont="1" applyAlignment="1">
      <alignment horizontal="left"/>
    </xf>
    <xf numFmtId="166" fontId="33" fillId="44" borderId="0" xfId="0" applyNumberFormat="1" applyFont="1" applyFill="1" applyBorder="1" applyAlignment="1">
      <alignment wrapText="1"/>
    </xf>
    <xf numFmtId="166" fontId="1" fillId="44" borderId="0" xfId="0" applyNumberFormat="1" applyFont="1" applyFill="1" applyBorder="1" applyAlignment="1">
      <alignment wrapText="1"/>
    </xf>
    <xf numFmtId="166" fontId="2" fillId="0" borderId="0" xfId="0" applyNumberFormat="1" applyFont="1" applyFill="1" applyBorder="1"/>
    <xf numFmtId="164" fontId="1" fillId="0" borderId="0" xfId="0" applyFont="1" applyFill="1" applyBorder="1"/>
    <xf numFmtId="164" fontId="1" fillId="0" borderId="16" xfId="0" applyNumberFormat="1" applyFont="1" applyFill="1" applyBorder="1"/>
    <xf numFmtId="164" fontId="1" fillId="0" borderId="34" xfId="0" applyNumberFormat="1" applyFont="1" applyFill="1" applyBorder="1"/>
    <xf numFmtId="166" fontId="2" fillId="0" borderId="16" xfId="0" applyNumberFormat="1" applyFont="1" applyFill="1" applyBorder="1"/>
    <xf numFmtId="166" fontId="1" fillId="0" borderId="41" xfId="0" applyNumberFormat="1" applyFont="1" applyFill="1" applyBorder="1" applyAlignment="1">
      <alignment wrapText="1"/>
    </xf>
    <xf numFmtId="9" fontId="7" fillId="0" borderId="15" xfId="0" applyNumberFormat="1" applyFont="1" applyFill="1" applyBorder="1"/>
    <xf numFmtId="166" fontId="1" fillId="0" borderId="42" xfId="0" applyNumberFormat="1" applyFont="1" applyFill="1" applyBorder="1" applyAlignment="1">
      <alignment wrapText="1"/>
    </xf>
    <xf numFmtId="9" fontId="7" fillId="0" borderId="2" xfId="0" applyNumberFormat="1" applyFont="1" applyFill="1" applyBorder="1"/>
    <xf numFmtId="166" fontId="1" fillId="0" borderId="43" xfId="0" applyNumberFormat="1" applyFont="1" applyFill="1" applyBorder="1"/>
    <xf numFmtId="9" fontId="7" fillId="0" borderId="45" xfId="0" applyNumberFormat="1" applyFont="1" applyFill="1" applyBorder="1"/>
    <xf numFmtId="166" fontId="33" fillId="0" borderId="15" xfId="0" applyNumberFormat="1" applyFont="1" applyFill="1" applyBorder="1" applyAlignment="1">
      <alignment wrapText="1"/>
    </xf>
    <xf numFmtId="164" fontId="33" fillId="0" borderId="0" xfId="0" applyNumberFormat="1" applyFont="1" applyFill="1"/>
    <xf numFmtId="164" fontId="33" fillId="0" borderId="0" xfId="0" applyNumberFormat="1" applyFont="1" applyFill="1" applyBorder="1"/>
    <xf numFmtId="166" fontId="33" fillId="0" borderId="46" xfId="0" applyNumberFormat="1" applyFont="1" applyFill="1" applyBorder="1" applyAlignment="1">
      <alignment wrapText="1"/>
    </xf>
    <xf numFmtId="164" fontId="33" fillId="0" borderId="46" xfId="0" applyNumberFormat="1" applyFont="1" applyFill="1" applyBorder="1"/>
    <xf numFmtId="164" fontId="33" fillId="0" borderId="16" xfId="0" applyNumberFormat="1" applyFont="1" applyFill="1" applyBorder="1"/>
    <xf numFmtId="9" fontId="7" fillId="0" borderId="21" xfId="0" applyNumberFormat="1" applyFont="1" applyFill="1" applyBorder="1"/>
    <xf numFmtId="164" fontId="1" fillId="0" borderId="45" xfId="0" applyNumberFormat="1" applyFont="1" applyFill="1" applyBorder="1"/>
    <xf numFmtId="164" fontId="1" fillId="0" borderId="44" xfId="0" applyNumberFormat="1" applyFont="1" applyFill="1" applyBorder="1"/>
    <xf numFmtId="164" fontId="1" fillId="0" borderId="43" xfId="0" applyNumberFormat="1" applyFont="1" applyFill="1" applyBorder="1"/>
    <xf numFmtId="164" fontId="1" fillId="0" borderId="15" xfId="0" applyNumberFormat="1" applyFont="1" applyFill="1" applyBorder="1"/>
    <xf numFmtId="164" fontId="1" fillId="0" borderId="48" xfId="0" applyNumberFormat="1" applyFont="1" applyFill="1" applyBorder="1"/>
    <xf numFmtId="9" fontId="2" fillId="0" borderId="49" xfId="0" applyNumberFormat="1" applyFont="1" applyFill="1" applyBorder="1"/>
    <xf numFmtId="9" fontId="2" fillId="0" borderId="47" xfId="0" applyNumberFormat="1" applyFont="1" applyFill="1" applyBorder="1"/>
    <xf numFmtId="164" fontId="1" fillId="0" borderId="52" xfId="0" applyNumberFormat="1" applyFont="1" applyFill="1" applyBorder="1"/>
    <xf numFmtId="164" fontId="33" fillId="0" borderId="15" xfId="0" applyNumberFormat="1" applyFont="1" applyFill="1" applyBorder="1"/>
    <xf numFmtId="164" fontId="1" fillId="0" borderId="42" xfId="0" applyNumberFormat="1" applyFont="1" applyFill="1" applyBorder="1"/>
    <xf numFmtId="164" fontId="33" fillId="0" borderId="48" xfId="0" applyNumberFormat="1" applyFont="1" applyFill="1" applyBorder="1"/>
    <xf numFmtId="164" fontId="1" fillId="0" borderId="44" xfId="0" applyNumberFormat="1" applyFont="1" applyBorder="1"/>
    <xf numFmtId="164" fontId="33" fillId="0" borderId="45" xfId="0" applyNumberFormat="1" applyFont="1" applyFill="1" applyBorder="1"/>
    <xf numFmtId="164" fontId="1" fillId="0" borderId="53" xfId="0" applyNumberFormat="1" applyFont="1" applyFill="1" applyBorder="1"/>
    <xf numFmtId="164" fontId="33" fillId="0" borderId="44" xfId="0" applyNumberFormat="1" applyFont="1" applyFill="1" applyBorder="1"/>
    <xf numFmtId="164" fontId="2" fillId="0" borderId="15" xfId="0" applyNumberFormat="1" applyFont="1" applyFill="1" applyBorder="1"/>
    <xf numFmtId="164" fontId="1" fillId="0" borderId="0" xfId="0" applyFont="1" applyBorder="1"/>
    <xf numFmtId="164" fontId="1" fillId="0" borderId="10" xfId="0" applyNumberFormat="1" applyFont="1" applyFill="1" applyBorder="1"/>
    <xf numFmtId="166" fontId="1" fillId="0" borderId="54" xfId="0" applyNumberFormat="1" applyFont="1" applyFill="1" applyBorder="1" applyAlignment="1">
      <alignment wrapText="1"/>
    </xf>
    <xf numFmtId="164" fontId="1" fillId="0" borderId="50" xfId="0" applyNumberFormat="1" applyFont="1" applyFill="1" applyBorder="1"/>
    <xf numFmtId="164" fontId="1" fillId="0" borderId="55" xfId="0" applyNumberFormat="1" applyFont="1" applyFill="1" applyBorder="1"/>
    <xf numFmtId="9" fontId="2" fillId="0" borderId="33" xfId="0" applyNumberFormat="1" applyFont="1" applyFill="1" applyBorder="1"/>
    <xf numFmtId="166" fontId="1" fillId="0" borderId="46" xfId="0" applyNumberFormat="1" applyFont="1" applyFill="1" applyBorder="1" applyAlignment="1">
      <alignment wrapText="1"/>
    </xf>
    <xf numFmtId="164" fontId="1" fillId="0" borderId="51" xfId="0" applyNumberFormat="1" applyFont="1" applyFill="1" applyBorder="1"/>
    <xf numFmtId="164" fontId="1" fillId="41" borderId="16" xfId="0" applyNumberFormat="1" applyFont="1" applyFill="1" applyBorder="1"/>
    <xf numFmtId="164" fontId="2" fillId="0" borderId="0" xfId="0" applyNumberFormat="1" applyFont="1" applyFill="1"/>
    <xf numFmtId="166" fontId="2" fillId="0" borderId="43" xfId="0" applyNumberFormat="1" applyFont="1" applyFill="1" applyBorder="1"/>
    <xf numFmtId="164" fontId="33" fillId="0" borderId="0" xfId="0" applyNumberFormat="1" applyFont="1"/>
    <xf numFmtId="166" fontId="33" fillId="0" borderId="16" xfId="0" applyNumberFormat="1" applyFont="1" applyFill="1" applyBorder="1" applyAlignment="1">
      <alignment wrapText="1"/>
    </xf>
    <xf numFmtId="164" fontId="1" fillId="0" borderId="0" xfId="0" applyNumberFormat="1" applyFont="1" applyAlignment="1">
      <alignment wrapText="1"/>
    </xf>
    <xf numFmtId="164" fontId="33" fillId="0" borderId="15" xfId="0" applyNumberFormat="1" applyFont="1" applyBorder="1" applyAlignment="1">
      <alignment wrapText="1"/>
    </xf>
    <xf numFmtId="164" fontId="33" fillId="43" borderId="48" xfId="0" applyNumberFormat="1" applyFont="1" applyFill="1" applyBorder="1" applyAlignment="1">
      <alignment wrapText="1"/>
    </xf>
    <xf numFmtId="164" fontId="1" fillId="0" borderId="15" xfId="0" applyNumberFormat="1" applyFont="1" applyBorder="1"/>
    <xf numFmtId="164" fontId="33" fillId="0" borderId="15" xfId="0" applyNumberFormat="1" applyFont="1" applyBorder="1"/>
    <xf numFmtId="164" fontId="1" fillId="0" borderId="42" xfId="0" applyNumberFormat="1" applyFont="1" applyBorder="1"/>
    <xf numFmtId="164" fontId="33" fillId="0" borderId="42" xfId="0" applyNumberFormat="1" applyFont="1" applyBorder="1"/>
    <xf numFmtId="164" fontId="33" fillId="0" borderId="48" xfId="0" applyNumberFormat="1" applyFont="1" applyBorder="1"/>
    <xf numFmtId="164" fontId="1" fillId="41" borderId="0" xfId="0" applyNumberFormat="1" applyFont="1" applyFill="1" applyAlignment="1">
      <alignment wrapText="1"/>
    </xf>
    <xf numFmtId="164" fontId="1" fillId="41" borderId="0" xfId="0" applyNumberFormat="1" applyFont="1" applyFill="1"/>
    <xf numFmtId="164" fontId="1" fillId="0" borderId="43" xfId="0" applyNumberFormat="1" applyFont="1" applyBorder="1"/>
    <xf numFmtId="164" fontId="1" fillId="0" borderId="46" xfId="0" applyNumberFormat="1" applyFont="1" applyBorder="1"/>
    <xf numFmtId="164" fontId="1" fillId="0" borderId="45" xfId="0" applyNumberFormat="1" applyFont="1" applyBorder="1"/>
  </cellXfs>
  <cellStyles count="10">
    <cellStyle name="CalcNumNew" xfId="6" xr:uid="{00000000-0005-0000-0000-000000000000}"/>
    <cellStyle name="CalcNumOld" xfId="5" xr:uid="{00000000-0005-0000-0000-000001000000}"/>
    <cellStyle name="CalcPctNew" xfId="4" xr:uid="{00000000-0005-0000-0000-000002000000}"/>
    <cellStyle name="CalcPctOld" xfId="3" xr:uid="{00000000-0005-0000-0000-000003000000}"/>
    <cellStyle name="Comma 2 3" xfId="9" xr:uid="{1648248C-FF8C-4979-B7F9-C2011E62AF1B}"/>
    <cellStyle name="DataNew" xfId="2" xr:uid="{00000000-0005-0000-0000-000004000000}"/>
    <cellStyle name="DataOld" xfId="1" xr:uid="{00000000-0005-0000-0000-000005000000}"/>
    <cellStyle name="Normal" xfId="0" builtinId="0"/>
    <cellStyle name="Percent" xfId="7" builtinId="5"/>
    <cellStyle name="Percent 2" xfId="8" xr:uid="{5AD2A5B2-AAB4-41EC-A577-5E023C7AC2AD}"/>
  </cellStyles>
  <dxfs count="1740"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font>
        <b val="0"/>
      </font>
    </dxf>
    <dxf>
      <numFmt numFmtId="166" formatCode="_(* #,##0_);_(* \(#,##0\);_(* &quot;-&quot;??_);_(@_)"/>
    </dxf>
    <dxf>
      <numFmt numFmtId="13" formatCode="0%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general" vertical="bottom" textRotation="0" wrapText="0" relativeIndent="0" justifyLastLine="0" shrinkToFit="0" readingOrder="0"/>
    </dxf>
    <dxf>
      <alignment horizontal="right" readingOrder="0"/>
    </dxf>
    <dxf>
      <alignment horizontal="right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numFmt numFmtId="166" formatCode="_(* #,##0_);_(* \(#,##0\);_(* &quot;-&quot;??_);_(@_)"/>
    </dxf>
    <dxf>
      <font>
        <sz val="10"/>
      </font>
    </dxf>
    <dxf>
      <font>
        <name val="Arial"/>
        <scheme val="none"/>
      </font>
    </dxf>
    <dxf>
      <alignment wrapText="1" readingOrder="0"/>
    </dxf>
    <dxf>
      <alignment wrapText="1" readingOrder="0"/>
    </dxf>
    <dxf>
      <alignment wrapText="1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fgColor indexed="64"/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ill>
        <patternFill patternType="solid">
          <bgColor theme="8" tint="0.39997558519241921"/>
        </patternFill>
      </fill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numFmt numFmtId="166" formatCode="_(* #,##0_);_(* \(#,##0\);_(* &quot;-&quot;??_);_(@_)"/>
      <alignment wrapText="1" readingOrder="0"/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ill>
        <patternFill patternType="solid">
          <bgColor rgb="FFFED8D2"/>
        </patternFill>
      </fill>
    </dxf>
    <dxf>
      <border>
        <bottom style="thin">
          <color indexed="64"/>
        </bottom>
      </border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border>
        <bottom/>
      </border>
    </dxf>
    <dxf>
      <numFmt numFmtId="13" formatCode="0%"/>
    </dxf>
    <dxf>
      <numFmt numFmtId="13" formatCode="0%"/>
    </dxf>
    <dxf>
      <font>
        <b/>
      </font>
    </dxf>
    <dxf>
      <font>
        <b/>
      </font>
    </dxf>
    <dxf>
      <font>
        <sz val="10"/>
      </font>
    </dxf>
    <dxf>
      <font>
        <name val="Arial"/>
        <scheme val="none"/>
      </font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1" readingOrder="0"/>
    </dxf>
    <dxf>
      <alignment wrapText="1" readingOrder="0"/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rgb="FFC00000"/>
        <family val="2"/>
      </font>
    </dxf>
    <dxf>
      <font>
        <color rgb="FFFF0000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auto="1"/>
        <family val="2"/>
      </font>
    </dxf>
    <dxf>
      <font>
        <color rgb="FFC00000"/>
        <family val="2"/>
      </font>
    </dxf>
    <dxf>
      <font>
        <color auto="1"/>
        <family val="2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border>
        <bottom style="thin">
          <color auto="1"/>
        </bottom>
      </border>
    </dxf>
    <dxf>
      <font>
        <color auto="1"/>
      </font>
    </dxf>
    <dxf>
      <border>
        <bottom style="thin">
          <color auto="1"/>
        </bottom>
      </border>
    </dxf>
    <dxf>
      <font>
        <b/>
      </font>
    </dxf>
    <dxf>
      <font>
        <color auto="1"/>
      </font>
    </dxf>
    <dxf>
      <border>
        <bottom style="thin">
          <color auto="1"/>
        </bottom>
      </border>
    </dxf>
    <dxf>
      <border>
        <left/>
        <right/>
        <top/>
        <bottom style="thin">
          <color auto="1"/>
        </bottom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bottom/>
      </border>
    </dxf>
    <dxf>
      <border>
        <bottom/>
      </border>
    </dxf>
    <dxf>
      <border>
        <bottom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right/>
      </border>
    </dxf>
    <dxf>
      <border>
        <bottom/>
      </border>
    </dxf>
    <dxf>
      <border>
        <right/>
      </border>
    </dxf>
    <dxf>
      <border>
        <right/>
      </border>
    </dxf>
    <dxf>
      <border>
        <bottom/>
      </border>
    </dxf>
    <dxf>
      <font>
        <color auto="1"/>
      </font>
    </dxf>
    <dxf>
      <font>
        <b val="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b/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border>
        <right style="medium">
          <color rgb="FFC00000"/>
        </right>
      </border>
    </dxf>
    <dxf>
      <font>
        <color auto="1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b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border>
        <right style="medium">
          <color rgb="FFC00000"/>
        </right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b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right style="medium">
          <color rgb="FFC00000"/>
        </righ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</font>
    </dxf>
    <dxf>
      <font>
        <color rgb="FFC00000"/>
      </font>
    </dxf>
    <dxf>
      <border>
        <bottom style="medium">
          <color rgb="FFC00000"/>
        </bottom>
      </border>
    </dxf>
    <dxf>
      <border>
        <bottom style="medium">
          <color rgb="FFC00000"/>
        </bottom>
      </border>
    </dxf>
    <dxf>
      <font>
        <color auto="1"/>
      </font>
    </dxf>
    <dxf>
      <font>
        <color auto="1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font>
        <color rgb="FFC00000"/>
      </font>
    </dxf>
    <dxf>
      <font>
        <color auto="1"/>
      </font>
    </dxf>
    <dxf>
      <font>
        <color rgb="FFC00000"/>
      </font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numFmt numFmtId="166" formatCode="_(* #,##0_);_(* \(#,##0\);_(* &quot;-&quot;??_);_(@_)"/>
    </dxf>
    <dxf>
      <fill>
        <patternFill patternType="solid">
          <bgColor rgb="FFFFFF00"/>
        </patternFill>
      </fill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b/>
        <color rgb="FFC00000"/>
      </font>
      <numFmt numFmtId="13" formatCode="0%"/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border>
        <left style="medium">
          <color rgb="FFC00000"/>
        </left>
      </border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font>
        <color rgb="FFC00000"/>
      </font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right style="medium">
          <color rgb="FFC00000"/>
        </right>
      </border>
    </dxf>
    <dxf>
      <border>
        <bottom style="medium">
          <color rgb="FFC00000"/>
        </bottom>
      </border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rgb="FFC00000"/>
      </font>
    </dxf>
    <dxf>
      <border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left style="medium">
          <color rgb="FFC00000"/>
        </left>
        <right style="medium">
          <color rgb="FFC00000"/>
        </right>
        <top style="medium">
          <color rgb="FFC00000"/>
        </top>
        <bottom style="medium">
          <color rgb="FFC00000"/>
        </bottom>
      </border>
    </dxf>
    <dxf>
      <border>
        <right style="thin">
          <color rgb="FFC00000"/>
        </right>
      </border>
    </dxf>
    <dxf>
      <font>
        <color rgb="FFC00000"/>
      </font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font>
        <color auto="1"/>
      </font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fill>
        <patternFill patternType="solid">
          <bgColor theme="5" tint="0.59999389629810485"/>
        </patternFill>
      </fill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numFmt numFmtId="164" formatCode="0_)"/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border>
        <bottom/>
      </border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fill>
        <patternFill patternType="solid">
          <fgColor indexed="64"/>
          <bgColor rgb="FFFED8D2"/>
        </patternFill>
      </fill>
    </dxf>
    <dxf>
      <border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solid">
          <bgColor rgb="FFFED8D2"/>
        </patternFill>
      </fill>
    </dxf>
    <dxf>
      <border>
        <bottom style="thin">
          <color indexed="64"/>
        </bottom>
      </border>
    </dxf>
    <dxf>
      <fill>
        <patternFill patternType="none">
          <fgColor indexed="64"/>
          <bgColor indexed="65"/>
        </patternFill>
      </fill>
    </dxf>
    <dxf>
      <fill>
        <patternFill patternType="none">
          <bgColor auto="1"/>
        </patternFill>
      </fill>
    </dxf>
    <dxf>
      <border>
        <bottom/>
      </border>
    </dxf>
    <dxf>
      <border>
        <bottom/>
      </border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font>
        <color rgb="FFC00000"/>
      </font>
      <fill>
        <patternFill patternType="solid">
          <fgColor indexed="64"/>
          <bgColor rgb="FFFED8D2"/>
        </patternFill>
      </fill>
    </dxf>
    <dxf>
      <border>
        <top style="thin">
          <color indexed="64"/>
        </top>
        <bottom style="thin">
          <color indexed="64"/>
        </bottom>
      </border>
    </dxf>
    <dxf>
      <border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</border>
    </dxf>
    <dxf>
      <fill>
        <patternFill patternType="solid">
          <bgColor rgb="FFFFFF00"/>
        </patternFill>
      </fill>
    </dxf>
    <dxf>
      <font>
        <color rgb="FFFF0000"/>
      </font>
    </dxf>
    <dxf>
      <alignment wrapText="1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horizontal="right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numFmt numFmtId="0" formatCode="General"/>
      <alignment wrapText="0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166" formatCode="_(* #,##0_);_(* \(#,##0\);_(* &quot;-&quot;??_);_(@_)"/>
    </dxf>
    <dxf>
      <alignment horizontal="left" readingOrder="0"/>
    </dxf>
    <dxf>
      <font>
        <b val="0"/>
      </font>
    </dxf>
    <dxf>
      <alignment wrapText="1" readingOrder="0"/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font>
        <sz val="10"/>
      </font>
    </dxf>
    <dxf>
      <font>
        <name val="Arial"/>
        <scheme val="none"/>
      </font>
    </dxf>
    <dxf>
      <numFmt numFmtId="166" formatCode="_(* #,##0_);_(* \(#,##0\);_(* &quot;-&quot;??_);_(@_)"/>
    </dxf>
    <dxf>
      <numFmt numFmtId="166" formatCode="_(* #,##0_);_(* \(#,##0\);_(* &quot;-&quot;??_);_(@_)"/>
    </dxf>
    <dxf>
      <numFmt numFmtId="166" formatCode="_(* #,##0_);_(* \(#,##0\);_(* &quot;-&quot;??_);_(@_)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alignment horizontal="left" readingOrder="0"/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font>
        <b val="0"/>
      </font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alignment wrapText="0" readingOrder="0"/>
    </dxf>
    <dxf>
      <font>
        <b/>
      </font>
    </dxf>
    <dxf>
      <font>
        <b/>
      </font>
    </dxf>
    <dxf>
      <alignment wrapText="1" readingOrder="0"/>
    </dxf>
    <dxf>
      <alignment wrapText="1" readingOrder="0"/>
    </dxf>
    <dxf>
      <border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3" formatCode="0%"/>
    </dxf>
    <dxf>
      <font>
        <b/>
      </font>
    </dxf>
    <dxf>
      <alignment horizontal="right" readingOrder="0"/>
    </dxf>
    <dxf>
      <numFmt numFmtId="167" formatCode="0.00_)"/>
    </dxf>
    <dxf>
      <numFmt numFmtId="168" formatCode="0.0%"/>
    </dxf>
    <dxf>
      <alignment wrapText="1" readingOrder="0"/>
    </dxf>
  </dxfs>
  <tableStyles count="0" defaultTableStyle="TableStyleMedium9" defaultPivotStyle="PivotStyleLight16"/>
  <colors>
    <mruColors>
      <color rgb="FF000080"/>
      <color rgb="FFFED8D2"/>
      <color rgb="FFFFFFCC"/>
      <color rgb="FFCCFFCC"/>
      <color rgb="FFFFFF99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theme" Target="theme/theme1.xml"/><Relationship Id="rId18" Type="http://schemas.openxmlformats.org/officeDocument/2006/relationships/customXml" Target="../customXml/item1.xml"/><Relationship Id="rId26" Type="http://schemas.openxmlformats.org/officeDocument/2006/relationships/customXml" Target="../customXml/item9.xml"/><Relationship Id="rId21" Type="http://schemas.openxmlformats.org/officeDocument/2006/relationships/customXml" Target="../customXml/item4.xml"/><Relationship Id="rId34" Type="http://schemas.openxmlformats.org/officeDocument/2006/relationships/customXml" Target="../customXml/item17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1.xml"/><Relationship Id="rId17" Type="http://schemas.openxmlformats.org/officeDocument/2006/relationships/calcChain" Target="calcChain.xml"/><Relationship Id="rId25" Type="http://schemas.openxmlformats.org/officeDocument/2006/relationships/customXml" Target="../customXml/item8.xml"/><Relationship Id="rId33" Type="http://schemas.openxmlformats.org/officeDocument/2006/relationships/customXml" Target="../customXml/item16.xml"/><Relationship Id="rId38" Type="http://schemas.openxmlformats.org/officeDocument/2006/relationships/customXml" Target="../customXml/item21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openxmlformats.org/officeDocument/2006/relationships/customXml" Target="../customXml/item3.xml"/><Relationship Id="rId29" Type="http://schemas.openxmlformats.org/officeDocument/2006/relationships/customXml" Target="../customXml/item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customXml" Target="../customXml/item7.xml"/><Relationship Id="rId32" Type="http://schemas.openxmlformats.org/officeDocument/2006/relationships/customXml" Target="../customXml/item15.xml"/><Relationship Id="rId37" Type="http://schemas.openxmlformats.org/officeDocument/2006/relationships/customXml" Target="../customXml/item20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6.xml"/><Relationship Id="rId28" Type="http://schemas.openxmlformats.org/officeDocument/2006/relationships/customXml" Target="../customXml/item11.xml"/><Relationship Id="rId36" Type="http://schemas.openxmlformats.org/officeDocument/2006/relationships/customXml" Target="../customXml/item19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2.xml"/><Relationship Id="rId31" Type="http://schemas.openxmlformats.org/officeDocument/2006/relationships/customXml" Target="../customXml/item1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onnections" Target="connections.xml"/><Relationship Id="rId22" Type="http://schemas.openxmlformats.org/officeDocument/2006/relationships/customXml" Target="../customXml/item5.xml"/><Relationship Id="rId27" Type="http://schemas.openxmlformats.org/officeDocument/2006/relationships/customXml" Target="../customXml/item10.xml"/><Relationship Id="rId30" Type="http://schemas.openxmlformats.org/officeDocument/2006/relationships/customXml" Target="../customXml/item13.xml"/><Relationship Id="rId35" Type="http://schemas.openxmlformats.org/officeDocument/2006/relationships/customXml" Target="../customXml/item18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Exchange/DE2015-16/Summary%20Data/01Degrees16_WVchang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Tables 1-12"/>
      <sheetName val="Old 1-12"/>
      <sheetName val="Pivot Table for 1-11"/>
      <sheetName val="Pivot Table for 12"/>
      <sheetName val="Pivot Table for Trends"/>
      <sheetName val="Degree data"/>
      <sheetName val="Formats 1-11 pivot"/>
      <sheetName val="Formats 12 pivot"/>
      <sheetName val="Formats trends pivo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Robert Aycock" refreshedDate="44986.421508217594" createdVersion="8" refreshedVersion="8" minRefreshableVersion="3" recordCount="627" xr:uid="{589173B1-038D-4F6C-B2DF-41B6E4AE4449}">
  <cacheSource type="worksheet">
    <worksheetSource ref="A9:FO636" sheet="01Degrees"/>
  </cacheSource>
  <cacheFields count="195">
    <cacheField name="State" numFmtId="0">
      <sharedItems containsBlank="1" count="17">
        <s v="AL"/>
        <s v="AR"/>
        <s v="DE"/>
        <s v="FL"/>
        <s v="GA"/>
        <s v="KY"/>
        <s v="LA"/>
        <s v="MD"/>
        <s v="MS"/>
        <s v="NC"/>
        <s v="OK"/>
        <s v="SC"/>
        <s v="TN"/>
        <s v="TX"/>
        <s v="VA"/>
        <s v="WV"/>
        <m u="1"/>
      </sharedItems>
    </cacheField>
    <cacheField name="Institution" numFmtId="0">
      <sharedItems containsBlank="1"/>
    </cacheField>
    <cacheField name="Note" numFmtId="0">
      <sharedItems containsBlank="1"/>
    </cacheField>
    <cacheField name="ID" numFmtId="0">
      <sharedItems containsBlank="1" containsMixedTypes="1" containsNumber="1" containsInteger="1" minValue="100654" maxValue="870501"/>
    </cacheField>
    <cacheField name="SREB Type" numFmtId="1">
      <sharedItems containsString="0" containsBlank="1" containsNumber="1" containsInteger="1" minValue="1" maxValue="99" count="16">
        <n v="1"/>
        <n v="2"/>
        <n v="3"/>
        <n v="4"/>
        <n v="5"/>
        <n v="6"/>
        <n v="8"/>
        <n v="9"/>
        <n v="10"/>
        <n v="12"/>
        <n v="13"/>
        <n v="15"/>
        <m/>
        <n v="7"/>
        <n v="14"/>
        <n v="99" u="1"/>
      </sharedItems>
      <fieldGroup par="185"/>
    </cacheField>
    <cacheField name="Old-Less Than 2-Year" numFmtId="0">
      <sharedItems containsString="0" containsBlank="1" containsNumber="1" containsInteger="1" minValue="0" maxValue="6484"/>
    </cacheField>
    <cacheField name="New-Less Than 2-Year" numFmtId="0">
      <sharedItems containsString="0" containsBlank="1" containsNumber="1" containsInteger="1" minValue="0" maxValue="9145"/>
    </cacheField>
    <cacheField name="Old-2 But Less Than 4-Year" numFmtId="0">
      <sharedItems containsString="0" containsBlank="1" containsNumber="1" containsInteger="1" minValue="0" maxValue="136"/>
    </cacheField>
    <cacheField name="New-2 But Less Than 4-Year" numFmtId="0">
      <sharedItems containsString="0" containsBlank="1" containsNumber="1" containsInteger="1" minValue="0" maxValue="138"/>
    </cacheField>
    <cacheField name="Old-Associate's" numFmtId="0">
      <sharedItems containsString="0" containsBlank="1" containsNumber="1" containsInteger="1" minValue="0" maxValue="10672"/>
    </cacheField>
    <cacheField name="New-Associate's" numFmtId="0">
      <sharedItems containsString="0" containsBlank="1" containsNumber="1" containsInteger="1" minValue="0" maxValue="10700"/>
    </cacheField>
    <cacheField name="Old- Asso % of Bachs" numFmtId="9">
      <sharedItems containsSemiMixedTypes="0" containsString="0" containsNumber="1" minValue="0" maxValue="243.85714285714286"/>
    </cacheField>
    <cacheField name="New- Asso % of Bachs" numFmtId="9">
      <sharedItems containsSemiMixedTypes="0" containsString="0" containsNumber="1" minValue="0" maxValue="31.294117647058822"/>
    </cacheField>
    <cacheField name="Old-Bachelor's" numFmtId="0">
      <sharedItems containsString="0" containsBlank="1" containsNumber="1" containsInteger="1" minValue="0" maxValue="12072"/>
    </cacheField>
    <cacheField name="Old-Bach-TeachEd by CIP" numFmtId="0">
      <sharedItems containsString="0" containsBlank="1" containsNumber="1" containsInteger="1" minValue="0" maxValue="0"/>
    </cacheField>
    <cacheField name="Old-Bach-TeachEd by Courses" numFmtId="0">
      <sharedItems containsString="0" containsBlank="1" containsNumber="1" containsInteger="1" minValue="0" maxValue="0"/>
    </cacheField>
    <cacheField name="Old-Bach-TeachEd-Other" numFmtId="0">
      <sharedItems containsString="0" containsBlank="1" containsNumber="1" containsInteger="1" minValue="0" maxValue="0"/>
    </cacheField>
    <cacheField name="Old-Bach-TeachEd-Subtot" numFmtId="38">
      <sharedItems containsSemiMixedTypes="0" containsString="0" containsNumber="1" containsInteger="1" minValue="0" maxValue="0"/>
    </cacheField>
    <cacheField name="New-Bachelor's" numFmtId="0">
      <sharedItems containsBlank="1" containsMixedTypes="1" containsNumber="1" containsInteger="1" minValue="0" maxValue="8529"/>
    </cacheField>
    <cacheField name="New-Bach-TeachEd by CIP" numFmtId="0">
      <sharedItems containsString="0" containsBlank="1" containsNumber="1" containsInteger="1" minValue="0" maxValue="0"/>
    </cacheField>
    <cacheField name="New-Bach-TeachEd by Courses" numFmtId="0">
      <sharedItems containsString="0" containsBlank="1" containsNumber="1" containsInteger="1" minValue="0" maxValue="0"/>
    </cacheField>
    <cacheField name="New-Bach-TeachEd-Other" numFmtId="0">
      <sharedItems containsString="0" containsBlank="1" containsNumber="1" containsInteger="1" minValue="0" maxValue="0"/>
    </cacheField>
    <cacheField name="New-Bach-TeachEd-Subtot" numFmtId="38">
      <sharedItems containsSemiMixedTypes="0" containsString="0" containsNumber="1" containsInteger="1" minValue="0" maxValue="0"/>
    </cacheField>
    <cacheField name="Old-B1 CIP" numFmtId="0">
      <sharedItems containsBlank="1" containsMixedTypes="1" containsNumber="1" containsInteger="1" minValue="15" maxValue="52"/>
    </cacheField>
    <cacheField name="Old-B1 #" numFmtId="0">
      <sharedItems containsString="0" containsBlank="1" containsNumber="1" containsInteger="1" minValue="7" maxValue="455"/>
    </cacheField>
    <cacheField name="New-B1 CIP" numFmtId="0">
      <sharedItems containsBlank="1" containsMixedTypes="1" containsNumber="1" containsInteger="1" minValue="24" maxValue="52"/>
    </cacheField>
    <cacheField name="New-B1 #" numFmtId="0">
      <sharedItems containsString="0" containsBlank="1" containsNumber="1" containsInteger="1" minValue="8" maxValue="428"/>
    </cacheField>
    <cacheField name="Old-B2 CIP" numFmtId="0">
      <sharedItems containsBlank="1" containsMixedTypes="1" containsNumber="1" containsInteger="1" minValue="11" maxValue="52"/>
    </cacheField>
    <cacheField name="Old-B2 #" numFmtId="0">
      <sharedItems containsString="0" containsBlank="1" containsNumber="1" containsInteger="1" minValue="3" maxValue="277"/>
    </cacheField>
    <cacheField name="New-B2 CIP" numFmtId="0">
      <sharedItems containsBlank="1" containsMixedTypes="1" containsNumber="1" containsInteger="1" minValue="11" maxValue="52"/>
    </cacheField>
    <cacheField name="New-B2 #" numFmtId="0">
      <sharedItems containsString="0" containsBlank="1" containsNumber="1" containsInteger="1" minValue="6" maxValue="329"/>
    </cacheField>
    <cacheField name="Old-B3 CIP" numFmtId="0">
      <sharedItems containsBlank="1" containsMixedTypes="1" containsNumber="1" containsInteger="1" minValue="3" maxValue="52"/>
    </cacheField>
    <cacheField name="Old-B3 #" numFmtId="0">
      <sharedItems containsString="0" containsBlank="1" containsNumber="1" containsInteger="1" minValue="2" maxValue="142"/>
    </cacheField>
    <cacheField name="New-B3 CIP" numFmtId="0">
      <sharedItems containsBlank="1" containsMixedTypes="1" containsNumber="1" containsInteger="1" minValue="3" maxValue="52"/>
    </cacheField>
    <cacheField name="New-B3 #" numFmtId="0">
      <sharedItems containsString="0" containsBlank="1" containsNumber="1" containsInteger="1" minValue="1" maxValue="144"/>
    </cacheField>
    <cacheField name="Old-B4 CIP" numFmtId="0">
      <sharedItems containsBlank="1" containsMixedTypes="1" containsNumber="1" containsInteger="1" minValue="10" maxValue="52"/>
    </cacheField>
    <cacheField name="Old-B4 #" numFmtId="0">
      <sharedItems containsString="0" containsBlank="1" containsNumber="1" containsInteger="1" minValue="6" maxValue="86"/>
    </cacheField>
    <cacheField name="New-B4 CIP" numFmtId="0">
      <sharedItems containsBlank="1" containsMixedTypes="1" containsNumber="1" containsInteger="1" minValue="10" maxValue="43"/>
    </cacheField>
    <cacheField name="New-B4 #" numFmtId="0">
      <sharedItems containsString="0" containsBlank="1" containsNumber="1" containsInteger="1" minValue="5" maxValue="128"/>
    </cacheField>
    <cacheField name="Old-B5 CIP" numFmtId="0">
      <sharedItems containsBlank="1" containsMixedTypes="1" containsNumber="1" containsInteger="1" minValue="3" maxValue="52"/>
    </cacheField>
    <cacheField name="Old-B5 #" numFmtId="0">
      <sharedItems containsString="0" containsBlank="1" containsNumber="1" containsInteger="1" minValue="2" maxValue="66"/>
    </cacheField>
    <cacheField name="New-B5 CIP" numFmtId="0">
      <sharedItems containsBlank="1" containsMixedTypes="1" containsNumber="1" containsInteger="1" minValue="3" maxValue="52"/>
    </cacheField>
    <cacheField name="New-B5 #" numFmtId="0">
      <sharedItems containsString="0" containsBlank="1" containsNumber="1" containsInteger="1" minValue="3" maxValue="105"/>
    </cacheField>
    <cacheField name="Old-Bachs#CIPs" numFmtId="38">
      <sharedItems containsSemiMixedTypes="0" containsString="0" containsNumber="1" containsInteger="1" minValue="0" maxValue="5"/>
    </cacheField>
    <cacheField name="Old-Bachs % of Tot" numFmtId="9">
      <sharedItems containsSemiMixedTypes="0" containsString="0" containsNumber="1" minValue="0" maxValue="1"/>
    </cacheField>
    <cacheField name="New-Bachs#CIPs" numFmtId="38">
      <sharedItems containsSemiMixedTypes="0" containsString="0" containsNumber="1" containsInteger="1" minValue="0" maxValue="5"/>
    </cacheField>
    <cacheField name="New-Bachs % of Tot" numFmtId="9">
      <sharedItems containsSemiMixedTypes="0" containsString="0" containsNumber="1" minValue="0" maxValue="1"/>
    </cacheField>
    <cacheField name="Old-Post-Bachelor's" numFmtId="0">
      <sharedItems containsString="0" containsBlank="1" containsNumber="1" containsInteger="1" minValue="0" maxValue="691"/>
    </cacheField>
    <cacheField name="New-Post-Bachelor's" numFmtId="0">
      <sharedItems containsString="0" containsBlank="1" containsNumber="1" containsInteger="1" minValue="0" maxValue="749"/>
    </cacheField>
    <cacheField name="Old-M1 CIP" numFmtId="0">
      <sharedItems containsBlank="1" containsMixedTypes="1" containsNumber="1" containsInteger="1" minValue="3" maxValue="52"/>
    </cacheField>
    <cacheField name="Old-M1 #" numFmtId="0">
      <sharedItems containsString="0" containsBlank="1" containsNumber="1" containsInteger="1" minValue="5" maxValue="1726"/>
    </cacheField>
    <cacheField name="New-M1 CIP" numFmtId="0">
      <sharedItems containsBlank="1" containsMixedTypes="1" containsNumber="1" containsInteger="1" minValue="11" maxValue="52"/>
    </cacheField>
    <cacheField name="New-M1 #" numFmtId="0">
      <sharedItems containsString="0" containsBlank="1" containsNumber="1" containsInteger="1" minValue="4" maxValue="1829"/>
    </cacheField>
    <cacheField name="Old-M2 CIP" numFmtId="0">
      <sharedItems containsBlank="1" containsMixedTypes="1" containsNumber="1" containsInteger="1" minValue="1" maxValue="52"/>
    </cacheField>
    <cacheField name="Old-M2 #" numFmtId="0">
      <sharedItems containsString="0" containsBlank="1" containsNumber="1" containsInteger="1" minValue="3" maxValue="1043"/>
    </cacheField>
    <cacheField name="New-M2 CIP" numFmtId="0">
      <sharedItems containsBlank="1" containsMixedTypes="1" containsNumber="1" containsInteger="1" minValue="0" maxValue="52"/>
    </cacheField>
    <cacheField name="New-M2 #" numFmtId="0">
      <sharedItems containsString="0" containsBlank="1" containsNumber="1" containsInteger="1" minValue="0" maxValue="1123"/>
    </cacheField>
    <cacheField name="Old-M3 CIP" numFmtId="0">
      <sharedItems containsBlank="1" containsMixedTypes="1" containsNumber="1" containsInteger="1" minValue="3" maxValue="52"/>
    </cacheField>
    <cacheField name="Old-M3 #" numFmtId="0">
      <sharedItems containsString="0" containsBlank="1" containsNumber="1" containsInteger="1" minValue="1" maxValue="706"/>
    </cacheField>
    <cacheField name="New-M3 CIP" numFmtId="0">
      <sharedItems containsBlank="1" containsMixedTypes="1" containsNumber="1" containsInteger="1" minValue="1" maxValue="52"/>
    </cacheField>
    <cacheField name="New-M3 #" numFmtId="0">
      <sharedItems containsString="0" containsBlank="1" containsNumber="1" containsInteger="1" minValue="1" maxValue="722"/>
    </cacheField>
    <cacheField name="Old-M4 CIP" numFmtId="0">
      <sharedItems containsBlank="1" containsMixedTypes="1" containsNumber="1" containsInteger="1" minValue="1" maxValue="52"/>
    </cacheField>
    <cacheField name="Old-M4 #" numFmtId="0">
      <sharedItems containsString="0" containsBlank="1" containsNumber="1" containsInteger="1" minValue="1" maxValue="613"/>
    </cacheField>
    <cacheField name="New-M4 CIP" numFmtId="0">
      <sharedItems containsBlank="1" containsMixedTypes="1" containsNumber="1" containsInteger="1" minValue="1" maxValue="54"/>
    </cacheField>
    <cacheField name="New-M4 #" numFmtId="0">
      <sharedItems containsString="0" containsBlank="1" containsNumber="1" containsInteger="1" minValue="0" maxValue="681"/>
    </cacheField>
    <cacheField name="Old-M5 CIP" numFmtId="0">
      <sharedItems containsBlank="1" containsMixedTypes="1" containsNumber="1" containsInteger="1" minValue="1" maxValue="52"/>
    </cacheField>
    <cacheField name="Old-M5 #" numFmtId="0">
      <sharedItems containsString="0" containsBlank="1" containsNumber="1" containsInteger="1" minValue="1" maxValue="527"/>
    </cacheField>
    <cacheField name="New-M5 CIP" numFmtId="0">
      <sharedItems containsBlank="1" containsMixedTypes="1" containsNumber="1" containsInteger="1" minValue="1" maxValue="52"/>
    </cacheField>
    <cacheField name="New-M5 #" numFmtId="0">
      <sharedItems containsString="0" containsBlank="1" containsNumber="1" containsInteger="1" minValue="0" maxValue="551"/>
    </cacheField>
    <cacheField name="Old-M6 CIP" numFmtId="0">
      <sharedItems containsBlank="1" containsMixedTypes="1" containsNumber="1" containsInteger="1" minValue="1" maxValue="54"/>
    </cacheField>
    <cacheField name="Old-M6 #" numFmtId="0">
      <sharedItems containsString="0" containsBlank="1" containsNumber="1" containsInteger="1" minValue="2" maxValue="374"/>
    </cacheField>
    <cacheField name="New-M6 CIP" numFmtId="0">
      <sharedItems containsBlank="1" containsMixedTypes="1" containsNumber="1" containsInteger="1" minValue="1" maxValue="51"/>
    </cacheField>
    <cacheField name="New-M6 #" numFmtId="0">
      <sharedItems containsString="0" containsBlank="1" containsNumber="1" containsInteger="1" minValue="0" maxValue="417"/>
    </cacheField>
    <cacheField name="Old-M7 CIP" numFmtId="0">
      <sharedItems containsBlank="1" containsMixedTypes="1" containsNumber="1" containsInteger="1" minValue="1" maxValue="54"/>
    </cacheField>
    <cacheField name="Old-M7 #" numFmtId="0">
      <sharedItems containsString="0" containsBlank="1" containsNumber="1" containsInteger="1" minValue="2" maxValue="154"/>
    </cacheField>
    <cacheField name="New-M7 CIP" numFmtId="0">
      <sharedItems containsBlank="1" containsMixedTypes="1" containsNumber="1" containsInteger="1" minValue="1" maxValue="51"/>
    </cacheField>
    <cacheField name="New-M7 #" numFmtId="0">
      <sharedItems containsString="0" containsBlank="1" containsNumber="1" containsInteger="1" minValue="0" maxValue="158"/>
    </cacheField>
    <cacheField name="Old-M8 CIP" numFmtId="0">
      <sharedItems containsBlank="1" containsMixedTypes="1" containsNumber="1" containsInteger="1" minValue="1" maxValue="54"/>
    </cacheField>
    <cacheField name="Old-M8 #" numFmtId="0">
      <sharedItems containsString="0" containsBlank="1" containsNumber="1" containsInteger="1" minValue="1" maxValue="135"/>
    </cacheField>
    <cacheField name="New-M8 CIP" numFmtId="0">
      <sharedItems containsBlank="1" containsMixedTypes="1" containsNumber="1" containsInteger="1" minValue="1" maxValue="54"/>
    </cacheField>
    <cacheField name="New-M8 #" numFmtId="0">
      <sharedItems containsString="0" containsBlank="1" containsNumber="1" containsInteger="1" minValue="0" maxValue="139"/>
    </cacheField>
    <cacheField name="Old-M9 CIP" numFmtId="0">
      <sharedItems containsBlank="1" containsMixedTypes="1" containsNumber="1" containsInteger="1" minValue="1" maxValue="54"/>
    </cacheField>
    <cacheField name="Old-M9 #" numFmtId="0">
      <sharedItems containsString="0" containsBlank="1" containsNumber="1" containsInteger="1" minValue="1" maxValue="100"/>
    </cacheField>
    <cacheField name="New-M9 CIP" numFmtId="0">
      <sharedItems containsBlank="1" containsMixedTypes="1" containsNumber="1" containsInteger="1" minValue="1" maxValue="54"/>
    </cacheField>
    <cacheField name="New-M9 #" numFmtId="0">
      <sharedItems containsString="0" containsBlank="1" containsNumber="1" containsInteger="1" minValue="0" maxValue="97"/>
    </cacheField>
    <cacheField name="Old-M10 CIP" numFmtId="0">
      <sharedItems containsBlank="1" containsMixedTypes="1" containsNumber="1" containsInteger="1" minValue="1" maxValue="54"/>
    </cacheField>
    <cacheField name="Old-M10 #" numFmtId="0">
      <sharedItems containsString="0" containsBlank="1" containsNumber="1" containsInteger="1" minValue="1" maxValue="97"/>
    </cacheField>
    <cacheField name="New-M10 CIP" numFmtId="0">
      <sharedItems containsBlank="1" containsMixedTypes="1" containsNumber="1" containsInteger="1" minValue="3" maxValue="54"/>
    </cacheField>
    <cacheField name="New-M10 #" numFmtId="0">
      <sharedItems containsString="0" containsBlank="1" containsNumber="1" containsInteger="1" minValue="0" maxValue="95"/>
    </cacheField>
    <cacheField name="Old-Other Master's" numFmtId="0">
      <sharedItems containsString="0" containsBlank="1" containsNumber="1" containsInteger="1" minValue="0" maxValue="404"/>
    </cacheField>
    <cacheField name="New-Other Master's" numFmtId="0">
      <sharedItems containsString="0" containsBlank="1" containsNumber="1" containsInteger="1" minValue="0" maxValue="424"/>
    </cacheField>
    <cacheField name="Old-Total Master's#" numFmtId="38">
      <sharedItems containsSemiMixedTypes="0" containsString="0" containsNumber="1" containsInteger="1" minValue="0" maxValue="4614"/>
    </cacheField>
    <cacheField name="Old-Master'sCIP" numFmtId="38">
      <sharedItems containsSemiMixedTypes="0" containsString="0" containsNumber="1" containsInteger="1" minValue="0" maxValue="10"/>
    </cacheField>
    <cacheField name="New-Total Master's#" numFmtId="38">
      <sharedItems containsSemiMixedTypes="0" containsString="0" containsNumber="1" containsInteger="1" minValue="0" maxValue="4971"/>
    </cacheField>
    <cacheField name="New-Master's CIP" numFmtId="38">
      <sharedItems containsSemiMixedTypes="0" containsString="0" containsNumber="1" containsInteger="1" minValue="0" maxValue="10"/>
    </cacheField>
    <cacheField name="Old-D1 CIP" numFmtId="0">
      <sharedItems containsBlank="1" containsMixedTypes="1" containsNumber="1" containsInteger="1" minValue="1" maxValue="52"/>
    </cacheField>
    <cacheField name="Old-D1 #" numFmtId="0">
      <sharedItems containsString="0" containsBlank="1" containsNumber="1" containsInteger="1" minValue="0" maxValue="320"/>
    </cacheField>
    <cacheField name="New-D1 CIP" numFmtId="0">
      <sharedItems containsBlank="1" containsMixedTypes="1" containsNumber="1" containsInteger="1" minValue="0" maxValue="52"/>
    </cacheField>
    <cacheField name="New-D1 #" numFmtId="0">
      <sharedItems containsString="0" containsBlank="1" containsNumber="1" containsInteger="1" minValue="0" maxValue="336"/>
    </cacheField>
    <cacheField name="Old-D2 CIP" numFmtId="0">
      <sharedItems containsBlank="1" containsMixedTypes="1" containsNumber="1" containsInteger="1" minValue="3" maxValue="52"/>
    </cacheField>
    <cacheField name="Old-D2 #" numFmtId="0">
      <sharedItems containsString="0" containsBlank="1" containsNumber="1" containsInteger="1" minValue="0" maxValue="89"/>
    </cacheField>
    <cacheField name="New-D2 CIP" numFmtId="0">
      <sharedItems containsBlank="1" containsMixedTypes="1" containsNumber="1" containsInteger="1" minValue="0" maxValue="52"/>
    </cacheField>
    <cacheField name="New-D2 #" numFmtId="0">
      <sharedItems containsString="0" containsBlank="1" containsNumber="1" containsInteger="1" minValue="0" maxValue="98"/>
    </cacheField>
    <cacheField name="Old-D3 CIP" numFmtId="0">
      <sharedItems containsBlank="1" containsMixedTypes="1" containsNumber="1" containsInteger="1" minValue="1" maxValue="51"/>
    </cacheField>
    <cacheField name="Old-D3 #" numFmtId="0">
      <sharedItems containsString="0" containsBlank="1" containsNumber="1" containsInteger="1" minValue="0" maxValue="72"/>
    </cacheField>
    <cacheField name="New-D3 CIP" numFmtId="0">
      <sharedItems containsBlank="1" containsMixedTypes="1" containsNumber="1" containsInteger="1" minValue="3" maxValue="51"/>
    </cacheField>
    <cacheField name="New-D3 #" numFmtId="0">
      <sharedItems containsString="0" containsBlank="1" containsNumber="1" containsInteger="1" minValue="0" maxValue="91"/>
    </cacheField>
    <cacheField name="Old-D4 CIP" numFmtId="0">
      <sharedItems containsBlank="1" containsMixedTypes="1" containsNumber="1" containsInteger="1" minValue="1" maxValue="52"/>
    </cacheField>
    <cacheField name="Old-D4 #" numFmtId="0">
      <sharedItems containsString="0" containsBlank="1" containsNumber="1" containsInteger="1" minValue="1" maxValue="64"/>
    </cacheField>
    <cacheField name="New-D4 CIP" numFmtId="0">
      <sharedItems containsBlank="1" containsMixedTypes="1" containsNumber="1" containsInteger="1" minValue="1" maxValue="52"/>
    </cacheField>
    <cacheField name="New-D4 #" numFmtId="0">
      <sharedItems containsString="0" containsBlank="1" containsNumber="1" containsInteger="1" minValue="1" maxValue="79"/>
    </cacheField>
    <cacheField name="Old-D5 CIP" numFmtId="0">
      <sharedItems containsBlank="1" containsMixedTypes="1" containsNumber="1" containsInteger="1" minValue="1" maxValue="52"/>
    </cacheField>
    <cacheField name="Old-D5 #" numFmtId="0">
      <sharedItems containsString="0" containsBlank="1" containsNumber="1" containsInteger="1" minValue="0" maxValue="64"/>
    </cacheField>
    <cacheField name="New-D5 CIP" numFmtId="0">
      <sharedItems containsBlank="1" containsMixedTypes="1" containsNumber="1" containsInteger="1" minValue="1" maxValue="52"/>
    </cacheField>
    <cacheField name="New-D5 #" numFmtId="0">
      <sharedItems containsString="0" containsBlank="1" containsNumber="1" containsInteger="1" minValue="0" maxValue="46"/>
    </cacheField>
    <cacheField name="Old-D6 CIP" numFmtId="0">
      <sharedItems containsBlank="1" containsMixedTypes="1" containsNumber="1" containsInteger="1" minValue="1" maxValue="54"/>
    </cacheField>
    <cacheField name="Old-D6 #" numFmtId="0">
      <sharedItems containsString="0" containsBlank="1" containsNumber="1" containsInteger="1" minValue="1" maxValue="47"/>
    </cacheField>
    <cacheField name="New-D6 CIP" numFmtId="0">
      <sharedItems containsBlank="1" containsMixedTypes="1" containsNumber="1" containsInteger="1" minValue="1" maxValue="54"/>
    </cacheField>
    <cacheField name="New-D6 #" numFmtId="0">
      <sharedItems containsString="0" containsBlank="1" containsNumber="1" containsInteger="1" minValue="0" maxValue="43"/>
    </cacheField>
    <cacheField name="Old-D7 CIP" numFmtId="0">
      <sharedItems containsBlank="1" containsMixedTypes="1" containsNumber="1" containsInteger="1" minValue="1" maxValue="52"/>
    </cacheField>
    <cacheField name="Old-D7 #" numFmtId="0">
      <sharedItems containsString="0" containsBlank="1" containsNumber="1" containsInteger="1" minValue="1" maxValue="44"/>
    </cacheField>
    <cacheField name="New-D7 CIP" numFmtId="0">
      <sharedItems containsBlank="1" containsMixedTypes="1" containsNumber="1" containsInteger="1" minValue="1" maxValue="52"/>
    </cacheField>
    <cacheField name="New-D7 #" numFmtId="0">
      <sharedItems containsString="0" containsBlank="1" containsNumber="1" containsInteger="1" minValue="0" maxValue="41"/>
    </cacheField>
    <cacheField name="Old-D8 CIP" numFmtId="0">
      <sharedItems containsBlank="1" containsMixedTypes="1" containsNumber="1" containsInteger="1" minValue="1" maxValue="54"/>
    </cacheField>
    <cacheField name="Old-D8 #" numFmtId="0">
      <sharedItems containsString="0" containsBlank="1" containsNumber="1" containsInteger="1" minValue="2" maxValue="41"/>
    </cacheField>
    <cacheField name="New-D8 CIP" numFmtId="0">
      <sharedItems containsBlank="1" containsMixedTypes="1" containsNumber="1" containsInteger="1" minValue="3" maxValue="54"/>
    </cacheField>
    <cacheField name="New-D8 #" numFmtId="0">
      <sharedItems containsString="0" containsBlank="1" containsNumber="1" containsInteger="1" minValue="0" maxValue="40"/>
    </cacheField>
    <cacheField name="Old-D9 CIP" numFmtId="0">
      <sharedItems containsBlank="1" containsMixedTypes="1" containsNumber="1" containsInteger="1" minValue="3" maxValue="52"/>
    </cacheField>
    <cacheField name="Old-D9 #" numFmtId="0">
      <sharedItems containsString="0" containsBlank="1" containsNumber="1" containsInteger="1" minValue="2" maxValue="39"/>
    </cacheField>
    <cacheField name="New-D9 CIP" numFmtId="0">
      <sharedItems containsBlank="1" containsMixedTypes="1" containsNumber="1" containsInteger="1" minValue="1" maxValue="54"/>
    </cacheField>
    <cacheField name="New-D9 #" numFmtId="0">
      <sharedItems containsString="0" containsBlank="1" containsNumber="1" containsInteger="1" minValue="0" maxValue="33"/>
    </cacheField>
    <cacheField name="Old-D10 CIP" numFmtId="0">
      <sharedItems containsBlank="1" containsMixedTypes="1" containsNumber="1" containsInteger="1" minValue="3" maxValue="54"/>
    </cacheField>
    <cacheField name="Old-D10 #" numFmtId="0">
      <sharedItems containsString="0" containsBlank="1" containsNumber="1" containsInteger="1" minValue="2" maxValue="26"/>
    </cacheField>
    <cacheField name="New-D10 CIP" numFmtId="0">
      <sharedItems containsBlank="1" containsMixedTypes="1" containsNumber="1" containsInteger="1" minValue="3" maxValue="54"/>
    </cacheField>
    <cacheField name="New-D10 #" numFmtId="0">
      <sharedItems containsString="0" containsBlank="1" containsNumber="1" containsInteger="1" minValue="0" maxValue="31"/>
    </cacheField>
    <cacheField name="Old-Other Doctorates" numFmtId="0">
      <sharedItems containsString="0" containsBlank="1" containsNumber="1" containsInteger="1" minValue="1" maxValue="154"/>
    </cacheField>
    <cacheField name="New-Other Doctorates" numFmtId="0">
      <sharedItems containsString="0" containsBlank="1" containsNumber="1" containsInteger="1" minValue="0" maxValue="173"/>
    </cacheField>
    <cacheField name="Old-Total Doctorates#" numFmtId="38">
      <sharedItems containsSemiMixedTypes="0" containsString="0" containsNumber="1" containsInteger="1" minValue="0" maxValue="855"/>
    </cacheField>
    <cacheField name="Old-Doctoral CIPs" numFmtId="38">
      <sharedItems containsSemiMixedTypes="0" containsString="0" containsNumber="1" containsInteger="1" minValue="0" maxValue="10"/>
    </cacheField>
    <cacheField name="Old-%biggestCIP" numFmtId="9">
      <sharedItems containsSemiMixedTypes="0" containsString="0" containsNumber="1" minValue="0" maxValue="1"/>
    </cacheField>
    <cacheField name="New-Total Doctorates#" numFmtId="38">
      <sharedItems containsSemiMixedTypes="0" containsString="0" containsNumber="1" containsInteger="1" minValue="0" maxValue="813"/>
    </cacheField>
    <cacheField name="New-Doctoral CIPs" numFmtId="38">
      <sharedItems containsSemiMixedTypes="0" containsString="0" containsNumber="1" containsInteger="1" minValue="0" maxValue="10"/>
    </cacheField>
    <cacheField name="New-%biggestCIP" numFmtId="9">
      <sharedItems containsSemiMixedTypes="0" containsString="0" containsNumber="1" minValue="0" maxValue="1"/>
    </cacheField>
    <cacheField name="Old-Total Advanced Degrees" numFmtId="38">
      <sharedItems containsSemiMixedTypes="0" containsString="0" containsNumber="1" containsInteger="1" minValue="0" maxValue="4839"/>
    </cacheField>
    <cacheField name="New-Total Advanced Degrees" numFmtId="38">
      <sharedItems containsSemiMixedTypes="0" containsString="0" containsNumber="1" containsInteger="1" minValue="0" maxValue="5251"/>
    </cacheField>
    <cacheField name="Old-Law" numFmtId="0">
      <sharedItems containsString="0" containsBlank="1" containsNumber="1" containsInteger="1" minValue="86" maxValue="297"/>
    </cacheField>
    <cacheField name="New-Law" numFmtId="0">
      <sharedItems containsString="0" containsBlank="1" containsNumber="1" containsInteger="1" minValue="88" maxValue="322"/>
    </cacheField>
    <cacheField name="Old-Medicine" numFmtId="0">
      <sharedItems containsString="0" containsBlank="1" containsNumber="1" containsInteger="1" minValue="37" maxValue="246"/>
    </cacheField>
    <cacheField name="New-Medicine" numFmtId="0">
      <sharedItems containsString="0" containsBlank="1" containsNumber="1" containsInteger="1" minValue="66" maxValue="242"/>
    </cacheField>
    <cacheField name="Old-Dentistry" numFmtId="0">
      <sharedItems containsString="0" containsBlank="1" containsNumber="1" containsInteger="1" minValue="30" maxValue="115"/>
    </cacheField>
    <cacheField name="New-Dentistry" numFmtId="0">
      <sharedItems containsString="0" containsBlank="1" containsNumber="1" containsInteger="1" minValue="44" maxValue="110"/>
    </cacheField>
    <cacheField name="Old-Pharmacy" numFmtId="0">
      <sharedItems containsString="0" containsBlank="1" containsNumber="1" containsInteger="1" minValue="64" maxValue="187"/>
    </cacheField>
    <cacheField name="New-Pharmacy" numFmtId="0">
      <sharedItems containsString="0" containsBlank="1" containsNumber="1" containsInteger="1" minValue="68" maxValue="155"/>
    </cacheField>
    <cacheField name="Old-Chiropractic" numFmtId="0">
      <sharedItems containsNonDate="0" containsString="0" containsBlank="1"/>
    </cacheField>
    <cacheField name="New-Chiropractic" numFmtId="0">
      <sharedItems containsNonDate="0" containsString="0" containsBlank="1"/>
    </cacheField>
    <cacheField name="Old-Optometry" numFmtId="0">
      <sharedItems containsString="0" containsBlank="1" containsNumber="1" containsInteger="1" minValue="47" maxValue="102"/>
    </cacheField>
    <cacheField name="New-Optometry" numFmtId="0">
      <sharedItems containsString="0" containsBlank="1" containsNumber="1" containsInteger="1" minValue="41" maxValue="92"/>
    </cacheField>
    <cacheField name="Old-Osteopathic Medicine" numFmtId="0">
      <sharedItems containsString="0" containsBlank="1" containsNumber="1" containsInteger="1" minValue="209" maxValue="226"/>
    </cacheField>
    <cacheField name="New-Osteopathic Medicine" numFmtId="0">
      <sharedItems containsString="0" containsBlank="1" containsNumber="1" containsInteger="1" minValue="194" maxValue="206"/>
    </cacheField>
    <cacheField name="Old-Veterinary Medicine" numFmtId="0">
      <sharedItems containsString="0" containsBlank="1" containsNumber="1" containsInteger="1" minValue="83" maxValue="131"/>
    </cacheField>
    <cacheField name="New-Veterinary Medicine" numFmtId="0">
      <sharedItems containsString="0" containsBlank="1" containsNumber="1" containsInteger="1" minValue="79" maxValue="133"/>
    </cacheField>
    <cacheField name="Old-Podiatry" numFmtId="0">
      <sharedItems containsNonDate="0" containsString="0" containsBlank="1"/>
    </cacheField>
    <cacheField name="New-Podiatry" numFmtId="0">
      <sharedItems containsNonDate="0" containsString="0" containsBlank="1"/>
    </cacheField>
    <cacheField name="Old-Oth PP" numFmtId="0">
      <sharedItems containsString="0" containsBlank="1" containsNumber="1" containsInteger="1" minValue="2" maxValue="209"/>
    </cacheField>
    <cacheField name="New-Oth PP" numFmtId="0">
      <sharedItems containsString="0" containsBlank="1" containsNumber="1" containsInteger="1" minValue="2" maxValue="213"/>
    </cacheField>
    <cacheField name="Old-FP Total" numFmtId="38">
      <sharedItems containsSemiMixedTypes="0" containsString="0" containsNumber="1" containsInteger="1" minValue="0" maxValue="665"/>
    </cacheField>
    <cacheField name="New-FP Total" numFmtId="38">
      <sharedItems containsSemiMixedTypes="0" containsString="0" containsNumber="1" containsInteger="1" minValue="0" maxValue="660"/>
    </cacheField>
    <cacheField name="Old-Oth Doc" numFmtId="0">
      <sharedItems containsString="0" containsBlank="1" containsNumber="1" containsInteger="1" minValue="3" maxValue="21"/>
    </cacheField>
    <cacheField name="New-Oth Doc" numFmtId="0">
      <sharedItems containsString="0" containsBlank="1" containsNumber="1" containsInteger="1" minValue="0" maxValue="20"/>
    </cacheField>
    <cacheField name="Old-Grand Total" numFmtId="38">
      <sharedItems containsSemiMixedTypes="0" containsString="0" containsNumber="1" containsInteger="1" minValue="0" maxValue="16698"/>
    </cacheField>
    <cacheField name="New-Grand Total" numFmtId="38">
      <sharedItems containsSemiMixedTypes="0" containsString="0" containsNumber="1" containsInteger="1" minValue="0" maxValue="17727"/>
    </cacheField>
    <cacheField name="%Change-Bachelor's" numFmtId="0" formula=" IF('Old-Bachelor''s'&gt;0,((('New-Bachelor''s'-'Old-Bachelor''s')/'Old-Bachelor''s')),)" databaseField="0"/>
    <cacheField name="%Change-Post-Bachelor's" numFmtId="0" formula=" IF('Old-Post-Bachelor''s'&gt;0,((('New-Post-Bachelor''s'-'Old-Post-Bachelor''s')/'Old-Post-Bachelor''s')),)" databaseField="0"/>
    <cacheField name="%Change-Master's" numFmtId="0" formula=" IF('Old-Total Master''s#'&gt;0,((('New-Total Master''s#'-'Old-Total Master''s#')/'Old-Total Master''s#')),)" databaseField="0"/>
    <cacheField name="%Change-Doctorates" numFmtId="0" formula=" IF('Old-Total Doctorates#'&gt;0,((('New-Total Doctorates#'-'Old-Total Doctorates#')/'Old-Total Doctorates#')),)" databaseField="0"/>
    <cacheField name="%Change-Law" numFmtId="0" formula=" IF('Old-Law'&gt;0,((('New-Law'-'Old-Law')/'Old-Law')),)" databaseField="0"/>
    <cacheField name="%Change-Medicine" numFmtId="0" formula=" IF('Old-Medicine'&gt;0,((('New-Medicine'-'Old-Medicine')/'Old-Medicine')),)" databaseField="0"/>
    <cacheField name="%Change-Dentistry" numFmtId="0" formula=" IF('Old-Dentistry'&gt;0,((('New-Dentistry'-'Old-Dentistry')/'Old-Dentistry')),)" databaseField="0"/>
    <cacheField name="%Change-Pharmacy" numFmtId="0" formula=" IF('Old-Pharmacy'&gt;0,((('New-Pharmacy'-'Old-Pharmacy')/'Old-Pharmacy')),)" databaseField="0"/>
    <cacheField name="%Change-Chiropractic" numFmtId="0" formula=" IF('Old-Chiropractic'&gt;0,((('New-Chiropractic'-'Old-Chiropractic')/'Old-Chiropractic')),)" databaseField="0"/>
    <cacheField name="%Change-Optometry" numFmtId="0" formula=" IF('Old-Optometry'&gt;0,((('New-Optometry'-'Old-Optometry')/'Old-Optometry')),)" databaseField="0"/>
    <cacheField name="%Change-Osteopathic Medicine" numFmtId="0" formula=" IF('Old-Osteopathic Medicine'&gt;0,((('New-Osteopathic Medicine'-'Old-Osteopathic Medicine')/'Old-Osteopathic Medicine')),)" databaseField="0"/>
    <cacheField name="%Change-Veterinary Medicine" numFmtId="0" formula=" IF('Old-Veterinary Medicine'&gt;0,((('New-Veterinary Medicine'-'Old-Veterinary Medicine')/'Old-Veterinary Medicine')),)" databaseField="0"/>
    <cacheField name="%Change-Podiatry" numFmtId="0" formula=" IF('Old-Podiatry'&gt;0,((('New-Podiatry'-'Old-Podiatry')/'Old-Podiatry')),)" databaseField="0"/>
    <cacheField name="%Change-Health" numFmtId="0" formula=" IF(#NAME?&gt;0,(((#NAME?-#NAME?)/#NAME?)),)" databaseField="0"/>
    <cacheField name="SREB Type2" numFmtId="0" databaseField="0">
      <fieldGroup base="4">
        <discretePr count="16">
          <x v="1"/>
          <x v="1"/>
          <x v="1"/>
          <x v="1"/>
          <x v="1"/>
          <x v="1"/>
          <x v="2"/>
          <x v="2"/>
          <x v="2"/>
          <x v="3"/>
          <x v="3"/>
          <x v="0"/>
          <x v="5"/>
          <x v="2"/>
          <x v="3"/>
          <x v="4"/>
        </discretePr>
        <groupItems count="6">
          <n v="15"/>
          <s v="Group1"/>
          <s v="Group2"/>
          <s v="Group3"/>
          <n v="99"/>
          <m/>
        </groupItems>
      </fieldGroup>
    </cacheField>
    <cacheField name="%Change-Associate's" numFmtId="0" formula=" IF('Old-Associate''s'&gt;0,((('New-Associate''s'-'Old-Associate''s')/'Old-Associate''s')),)" databaseField="0"/>
    <cacheField name="%Change-2 But Less Than 4-Year" numFmtId="0" formula=" IF('Old-2 But Less Than 4-Year'&gt;0,((('New-2 But Less Than 4-Year'-'Old-2 But Less Than 4-Year')/'Old-2 But Less Than 4-Year')),)" databaseField="0"/>
    <cacheField name="%Change-Less Than 2-Year" numFmtId="0" formula=" IF('Old-Less Than 2-Year'&gt;0,((('New-Less Than 2-Year'-'Old-Less Than 2-Year')/'Old-Less Than 2-Year')),)" databaseField="0"/>
    <cacheField name="%Change-Bach-TeachEd by CIP" numFmtId="0" formula=" IF('Old-Bach-TeachEd by CIP'&gt;0,((('New-Bach-TeachEd by CIP'-'Old-Bach-TeachEd by CIP')/'Old-Bach-TeachEd by CIP')),)" databaseField="0"/>
    <cacheField name="%Change-Bach-TeachEd by Courses" numFmtId="0" formula=" IF('Old-Bach-TeachEd by Courses'&gt;0,((('New-Bach-TeachEd by Courses'-'Old-Bach-TeachEd by Courses')/'Old-Bach-TeachEd by Courses')),)" databaseField="0"/>
    <cacheField name="%Change-Bach-TeachEd-Other" numFmtId="0" formula=" IF('Old-Bach-TeachEd-Other'&gt;0,((('New-Bach-TeachEd-Other'-'Old-Bach-TeachEd-Other')/'Old-Bach-TeachEd-Other')),)" databaseField="0"/>
    <cacheField name="%Change-Bach-TeachEd-Subtot" numFmtId="0" formula=" IF('Old-Bach-TeachEd-Subtot'&gt;0,((('New-Bach-TeachEd-Subtot'-'Old-Bach-TeachEd-Subtot')/'Old-Bach-TeachEd-Subtot')),)" databaseField="0"/>
    <cacheField name="%Change-Grand Total" numFmtId="0" formula=" IF('Old-Grand Total'&gt;0,((('New-Grand Total'-'Old-Grand Total')/'Old-Grand Total')),)" databaseField="0"/>
    <cacheField name="%Change-Oth PP" numFmtId="0" formula=" IF('Old-Oth PP'&gt;0,((('New-Oth PP'-'Old-Oth PP')/'Old-Oth PP')),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27">
  <r>
    <x v="0"/>
    <s v="Auburn University"/>
    <m/>
    <n v="100858"/>
    <x v="0"/>
    <n v="2"/>
    <n v="3"/>
    <m/>
    <m/>
    <m/>
    <m/>
    <n v="0"/>
    <n v="0"/>
    <n v="5246"/>
    <n v="0"/>
    <n v="0"/>
    <n v="0"/>
    <n v="0"/>
    <n v="5549"/>
    <n v="0"/>
    <n v="0"/>
    <n v="0"/>
    <n v="0"/>
    <m/>
    <m/>
    <m/>
    <m/>
    <m/>
    <m/>
    <m/>
    <m/>
    <m/>
    <m/>
    <m/>
    <m/>
    <m/>
    <m/>
    <m/>
    <m/>
    <m/>
    <m/>
    <m/>
    <m/>
    <n v="0"/>
    <n v="0.70920643504123293"/>
    <n v="0"/>
    <n v="0.72412893122797861"/>
    <n v="218"/>
    <n v="220"/>
    <n v="52"/>
    <n v="335"/>
    <n v="52"/>
    <n v="309"/>
    <n v="13"/>
    <n v="272"/>
    <n v="13"/>
    <n v="262"/>
    <n v="14"/>
    <n v="255"/>
    <n v="14"/>
    <n v="260"/>
    <n v="51"/>
    <n v="107"/>
    <n v="51"/>
    <n v="78"/>
    <n v="26"/>
    <n v="95"/>
    <n v="1"/>
    <n v="73"/>
    <n v="44"/>
    <n v="70"/>
    <n v="26"/>
    <n v="66"/>
    <n v="1"/>
    <n v="69"/>
    <n v="4"/>
    <n v="48"/>
    <n v="4"/>
    <n v="42"/>
    <n v="44"/>
    <n v="43"/>
    <n v="27"/>
    <n v="23"/>
    <n v="42"/>
    <n v="28"/>
    <n v="40"/>
    <n v="22"/>
    <n v="40"/>
    <n v="26"/>
    <n v="120"/>
    <n v="160"/>
    <n v="1410"/>
    <n v="10"/>
    <n v="1353"/>
    <n v="10"/>
    <n v="14"/>
    <n v="70"/>
    <n v="14"/>
    <n v="71"/>
    <n v="13"/>
    <n v="40"/>
    <n v="13"/>
    <n v="46"/>
    <n v="1"/>
    <n v="23"/>
    <n v="26"/>
    <n v="33"/>
    <n v="42"/>
    <n v="21"/>
    <n v="40"/>
    <n v="18"/>
    <n v="26"/>
    <n v="20"/>
    <n v="42"/>
    <n v="18"/>
    <n v="40"/>
    <n v="18"/>
    <n v="1"/>
    <n v="18"/>
    <n v="52"/>
    <n v="12"/>
    <n v="27"/>
    <n v="14"/>
    <n v="27"/>
    <n v="10"/>
    <n v="51"/>
    <n v="13"/>
    <n v="51"/>
    <n v="9"/>
    <n v="52"/>
    <n v="13"/>
    <n v="54"/>
    <n v="7"/>
    <n v="44"/>
    <n v="8"/>
    <n v="14"/>
    <n v="17"/>
    <n v="244"/>
    <n v="10"/>
    <n v="0.28688524590163933"/>
    <n v="269"/>
    <n v="10"/>
    <n v="0.26394052044609667"/>
    <n v="1654"/>
    <n v="1622"/>
    <m/>
    <m/>
    <m/>
    <m/>
    <m/>
    <m/>
    <n v="145"/>
    <n v="138"/>
    <m/>
    <m/>
    <m/>
    <m/>
    <m/>
    <m/>
    <n v="123"/>
    <n v="116"/>
    <m/>
    <m/>
    <n v="9"/>
    <n v="15"/>
    <n v="277"/>
    <n v="269"/>
    <m/>
    <n v="0"/>
    <n v="7397"/>
    <n v="7663"/>
  </r>
  <r>
    <x v="0"/>
    <s v="University of Alabama "/>
    <m/>
    <n v="100751"/>
    <x v="0"/>
    <m/>
    <m/>
    <m/>
    <m/>
    <m/>
    <m/>
    <n v="0"/>
    <n v="0"/>
    <n v="6912"/>
    <n v="0"/>
    <n v="0"/>
    <n v="0"/>
    <n v="0"/>
    <n v="7429"/>
    <n v="0"/>
    <n v="0"/>
    <n v="0"/>
    <n v="0"/>
    <m/>
    <m/>
    <m/>
    <m/>
    <m/>
    <m/>
    <m/>
    <m/>
    <m/>
    <m/>
    <m/>
    <m/>
    <m/>
    <m/>
    <m/>
    <m/>
    <m/>
    <m/>
    <m/>
    <m/>
    <n v="0"/>
    <n v="0.75972741261815779"/>
    <n v="0"/>
    <n v="0.76841125362019036"/>
    <m/>
    <m/>
    <n v="52"/>
    <n v="428"/>
    <n v="52"/>
    <n v="433"/>
    <n v="44"/>
    <n v="260"/>
    <n v="44"/>
    <n v="260"/>
    <n v="19"/>
    <n v="228"/>
    <n v="19"/>
    <n v="212"/>
    <n v="51"/>
    <n v="191"/>
    <n v="13"/>
    <n v="182"/>
    <n v="13"/>
    <n v="136"/>
    <n v="51"/>
    <n v="172"/>
    <n v="25"/>
    <n v="107"/>
    <n v="14"/>
    <n v="109"/>
    <n v="14"/>
    <n v="72"/>
    <n v="25"/>
    <n v="92"/>
    <n v="9"/>
    <n v="48"/>
    <n v="9"/>
    <n v="84"/>
    <n v="22"/>
    <n v="46"/>
    <n v="42"/>
    <n v="51"/>
    <n v="42"/>
    <n v="40"/>
    <n v="22"/>
    <n v="43"/>
    <n v="214"/>
    <n v="218"/>
    <n v="1770"/>
    <n v="10"/>
    <n v="1856"/>
    <n v="10"/>
    <n v="13"/>
    <n v="74"/>
    <n v="13"/>
    <n v="40"/>
    <n v="14"/>
    <n v="31"/>
    <n v="40"/>
    <n v="28"/>
    <n v="42"/>
    <n v="26"/>
    <n v="14"/>
    <n v="23"/>
    <n v="50"/>
    <n v="18"/>
    <n v="52"/>
    <n v="18"/>
    <n v="40"/>
    <n v="17"/>
    <n v="42"/>
    <n v="17"/>
    <n v="52"/>
    <n v="13"/>
    <n v="23"/>
    <n v="11"/>
    <n v="9"/>
    <n v="8"/>
    <n v="50"/>
    <n v="9"/>
    <n v="27"/>
    <n v="8"/>
    <n v="9"/>
    <n v="8"/>
    <n v="31"/>
    <n v="8"/>
    <n v="31"/>
    <n v="7"/>
    <n v="26"/>
    <n v="6"/>
    <n v="16"/>
    <n v="6"/>
    <n v="20"/>
    <n v="26"/>
    <n v="229"/>
    <n v="10"/>
    <n v="0.32314410480349343"/>
    <n v="193"/>
    <n v="10"/>
    <n v="0.20725388601036268"/>
    <n v="1999"/>
    <n v="2049"/>
    <n v="134"/>
    <n v="126"/>
    <m/>
    <m/>
    <m/>
    <m/>
    <m/>
    <m/>
    <m/>
    <m/>
    <m/>
    <m/>
    <m/>
    <m/>
    <m/>
    <m/>
    <m/>
    <m/>
    <n v="53"/>
    <n v="64"/>
    <n v="187"/>
    <n v="190"/>
    <m/>
    <m/>
    <n v="9098"/>
    <n v="9668"/>
  </r>
  <r>
    <x v="0"/>
    <s v="University of Alabama at Birmingham"/>
    <m/>
    <n v="100663"/>
    <x v="0"/>
    <n v="76"/>
    <n v="74"/>
    <m/>
    <m/>
    <m/>
    <m/>
    <n v="0"/>
    <n v="0"/>
    <n v="2553"/>
    <n v="0"/>
    <n v="0"/>
    <n v="0"/>
    <n v="0"/>
    <n v="2680"/>
    <n v="0"/>
    <n v="0"/>
    <n v="0"/>
    <n v="0"/>
    <m/>
    <m/>
    <m/>
    <m/>
    <m/>
    <m/>
    <m/>
    <m/>
    <m/>
    <m/>
    <m/>
    <m/>
    <m/>
    <m/>
    <m/>
    <m/>
    <m/>
    <m/>
    <m/>
    <m/>
    <n v="0"/>
    <n v="0.45621872766261617"/>
    <n v="0"/>
    <n v="0.45339198105227541"/>
    <n v="165"/>
    <n v="178"/>
    <n v="51"/>
    <n v="1133"/>
    <n v="51"/>
    <n v="1193"/>
    <n v="52"/>
    <n v="332"/>
    <n v="52"/>
    <n v="402"/>
    <n v="13"/>
    <n v="245"/>
    <n v="13"/>
    <n v="253"/>
    <n v="14"/>
    <n v="204"/>
    <n v="14"/>
    <n v="202"/>
    <n v="26"/>
    <n v="103"/>
    <n v="26"/>
    <n v="106"/>
    <n v="11"/>
    <n v="60"/>
    <n v="11"/>
    <n v="40"/>
    <n v="44"/>
    <n v="45"/>
    <n v="44"/>
    <n v="36"/>
    <n v="45"/>
    <n v="26"/>
    <n v="45"/>
    <n v="28"/>
    <n v="9"/>
    <n v="22"/>
    <n v="9"/>
    <n v="22"/>
    <n v="30"/>
    <n v="21"/>
    <n v="43"/>
    <n v="20"/>
    <n v="46"/>
    <n v="59"/>
    <n v="2237"/>
    <n v="10"/>
    <n v="2361"/>
    <n v="10"/>
    <n v="26"/>
    <n v="70"/>
    <n v="26"/>
    <n v="58"/>
    <n v="14"/>
    <n v="19"/>
    <n v="14"/>
    <n v="22"/>
    <n v="42"/>
    <n v="15"/>
    <n v="51"/>
    <n v="19"/>
    <n v="51"/>
    <n v="12"/>
    <n v="42"/>
    <n v="12"/>
    <n v="31"/>
    <n v="8"/>
    <n v="40"/>
    <n v="11"/>
    <n v="40"/>
    <n v="8"/>
    <n v="31"/>
    <n v="11"/>
    <n v="30"/>
    <n v="4"/>
    <n v="30"/>
    <n v="6"/>
    <n v="45"/>
    <n v="4"/>
    <n v="13"/>
    <n v="5"/>
    <n v="11"/>
    <n v="2"/>
    <n v="11"/>
    <n v="3"/>
    <n v="13"/>
    <n v="2"/>
    <n v="27"/>
    <n v="2"/>
    <n v="2"/>
    <n v="2"/>
    <n v="146"/>
    <n v="10"/>
    <n v="0.47945205479452052"/>
    <n v="151"/>
    <n v="10"/>
    <n v="0.38410596026490068"/>
    <n v="2383"/>
    <n v="2512"/>
    <m/>
    <m/>
    <n v="182"/>
    <n v="186"/>
    <n v="64"/>
    <n v="75"/>
    <m/>
    <m/>
    <m/>
    <m/>
    <n v="47"/>
    <n v="41"/>
    <m/>
    <m/>
    <m/>
    <m/>
    <m/>
    <m/>
    <n v="119"/>
    <n v="159"/>
    <n v="412"/>
    <n v="461"/>
    <n v="7"/>
    <n v="6"/>
    <n v="5596"/>
    <n v="5911"/>
  </r>
  <r>
    <x v="0"/>
    <s v="University of Alabama in Huntsville"/>
    <s v="Met the criteria for Four-Year 3 in 2018-19 and 2019-20."/>
    <n v="100706"/>
    <x v="1"/>
    <n v="12"/>
    <n v="15"/>
    <m/>
    <m/>
    <m/>
    <m/>
    <n v="0"/>
    <n v="0"/>
    <n v="1320"/>
    <n v="0"/>
    <n v="0"/>
    <n v="0"/>
    <n v="0"/>
    <n v="1470"/>
    <n v="0"/>
    <n v="0"/>
    <n v="0"/>
    <n v="0"/>
    <m/>
    <m/>
    <m/>
    <m/>
    <m/>
    <m/>
    <m/>
    <m/>
    <m/>
    <m/>
    <m/>
    <m/>
    <m/>
    <m/>
    <m/>
    <m/>
    <m/>
    <m/>
    <m/>
    <m/>
    <n v="0"/>
    <n v="0.66937119675456391"/>
    <n v="0"/>
    <n v="0.64757709251101325"/>
    <n v="26"/>
    <n v="33"/>
    <n v="51"/>
    <n v="131"/>
    <n v="51"/>
    <n v="176"/>
    <n v="52"/>
    <n v="127"/>
    <n v="52"/>
    <n v="163"/>
    <n v="14"/>
    <n v="115"/>
    <n v="14"/>
    <n v="129"/>
    <n v="11"/>
    <n v="66"/>
    <n v="11"/>
    <n v="69"/>
    <n v="13"/>
    <n v="31"/>
    <n v="40"/>
    <n v="30"/>
    <n v="40"/>
    <n v="22"/>
    <n v="13"/>
    <n v="28"/>
    <n v="23"/>
    <n v="11"/>
    <n v="9"/>
    <n v="14"/>
    <n v="9"/>
    <n v="10"/>
    <n v="42"/>
    <n v="11"/>
    <n v="42"/>
    <n v="7"/>
    <n v="26"/>
    <n v="10"/>
    <n v="27"/>
    <n v="6"/>
    <n v="54"/>
    <n v="8"/>
    <n v="16"/>
    <n v="23"/>
    <n v="542"/>
    <n v="10"/>
    <n v="661"/>
    <n v="10"/>
    <n v="14"/>
    <n v="22"/>
    <n v="14"/>
    <n v="30"/>
    <n v="40"/>
    <n v="8"/>
    <n v="11"/>
    <n v="8"/>
    <n v="26"/>
    <n v="5"/>
    <n v="40"/>
    <n v="8"/>
    <n v="27"/>
    <n v="3"/>
    <n v="26"/>
    <n v="4"/>
    <m/>
    <m/>
    <n v="27"/>
    <n v="0"/>
    <m/>
    <m/>
    <m/>
    <m/>
    <m/>
    <m/>
    <m/>
    <m/>
    <m/>
    <m/>
    <m/>
    <m/>
    <m/>
    <m/>
    <m/>
    <m/>
    <m/>
    <m/>
    <m/>
    <m/>
    <m/>
    <m/>
    <n v="38"/>
    <n v="4"/>
    <n v="0.57894736842105265"/>
    <n v="50"/>
    <n v="5"/>
    <n v="0.6"/>
    <n v="580"/>
    <n v="711"/>
    <m/>
    <m/>
    <m/>
    <m/>
    <m/>
    <m/>
    <m/>
    <m/>
    <m/>
    <m/>
    <m/>
    <m/>
    <m/>
    <m/>
    <m/>
    <m/>
    <m/>
    <m/>
    <n v="34"/>
    <n v="41"/>
    <n v="34"/>
    <n v="41"/>
    <m/>
    <m/>
    <n v="1972"/>
    <n v="2270"/>
  </r>
  <r>
    <x v="0"/>
    <s v="University of South Alabama"/>
    <m/>
    <n v="102094"/>
    <x v="1"/>
    <n v="112"/>
    <n v="89"/>
    <m/>
    <m/>
    <m/>
    <m/>
    <n v="0"/>
    <n v="0"/>
    <n v="1902"/>
    <n v="0"/>
    <n v="0"/>
    <n v="0"/>
    <n v="0"/>
    <n v="2109"/>
    <n v="0"/>
    <n v="0"/>
    <n v="0"/>
    <n v="0"/>
    <m/>
    <m/>
    <m/>
    <m/>
    <m/>
    <m/>
    <m/>
    <m/>
    <m/>
    <m/>
    <m/>
    <m/>
    <m/>
    <m/>
    <m/>
    <m/>
    <m/>
    <m/>
    <m/>
    <m/>
    <n v="0"/>
    <n v="0.53232577665827041"/>
    <n v="0"/>
    <n v="0.56785137318255252"/>
    <m/>
    <n v="0"/>
    <n v="51"/>
    <n v="930"/>
    <n v="51"/>
    <n v="903"/>
    <n v="13"/>
    <n v="131"/>
    <n v="13"/>
    <n v="146"/>
    <n v="52"/>
    <n v="33"/>
    <n v="11"/>
    <n v="27"/>
    <n v="11"/>
    <n v="29"/>
    <n v="52"/>
    <n v="26"/>
    <n v="14"/>
    <n v="24"/>
    <n v="31"/>
    <n v="20"/>
    <n v="44"/>
    <n v="12"/>
    <n v="14"/>
    <n v="12"/>
    <n v="31"/>
    <n v="10"/>
    <n v="26"/>
    <n v="12"/>
    <n v="9"/>
    <n v="9"/>
    <n v="44"/>
    <n v="10"/>
    <n v="23"/>
    <n v="7"/>
    <n v="42"/>
    <n v="8"/>
    <n v="26"/>
    <n v="7"/>
    <n v="50"/>
    <n v="6"/>
    <n v="29"/>
    <n v="24"/>
    <n v="1221"/>
    <n v="10"/>
    <n v="1194"/>
    <n v="10"/>
    <n v="13"/>
    <n v="18"/>
    <n v="52"/>
    <n v="12"/>
    <n v="26"/>
    <n v="9"/>
    <n v="13"/>
    <n v="9"/>
    <n v="42"/>
    <n v="7"/>
    <n v="42"/>
    <n v="7"/>
    <n v="14"/>
    <n v="4"/>
    <n v="11"/>
    <n v="7"/>
    <n v="52"/>
    <n v="4"/>
    <n v="26"/>
    <n v="5"/>
    <n v="30"/>
    <n v="3"/>
    <n v="30"/>
    <n v="2"/>
    <n v="11"/>
    <n v="2"/>
    <n v="14"/>
    <n v="1"/>
    <n v="51"/>
    <n v="2"/>
    <n v="51"/>
    <n v="0"/>
    <m/>
    <m/>
    <m/>
    <m/>
    <m/>
    <m/>
    <m/>
    <m/>
    <m/>
    <m/>
    <n v="49"/>
    <n v="8"/>
    <n v="0.36734693877551022"/>
    <n v="43"/>
    <n v="8"/>
    <n v="0.27906976744186046"/>
    <n v="1270"/>
    <n v="1237"/>
    <m/>
    <m/>
    <n v="80"/>
    <n v="66"/>
    <m/>
    <m/>
    <m/>
    <m/>
    <m/>
    <m/>
    <m/>
    <m/>
    <m/>
    <m/>
    <m/>
    <m/>
    <m/>
    <m/>
    <n v="209"/>
    <n v="213"/>
    <n v="289"/>
    <n v="279"/>
    <m/>
    <m/>
    <n v="3573"/>
    <n v="3714"/>
  </r>
  <r>
    <x v="0"/>
    <s v="Alabama Agricultural &amp; Mechanical University"/>
    <m/>
    <n v="100654"/>
    <x v="2"/>
    <m/>
    <m/>
    <m/>
    <m/>
    <m/>
    <m/>
    <n v="0"/>
    <n v="0"/>
    <n v="560"/>
    <n v="0"/>
    <n v="0"/>
    <n v="0"/>
    <n v="0"/>
    <n v="585"/>
    <n v="0"/>
    <n v="0"/>
    <n v="0"/>
    <n v="0"/>
    <m/>
    <m/>
    <m/>
    <m/>
    <m/>
    <m/>
    <m/>
    <m/>
    <m/>
    <m/>
    <m/>
    <m/>
    <m/>
    <m/>
    <m/>
    <m/>
    <m/>
    <m/>
    <m/>
    <m/>
    <n v="0"/>
    <n v="0.69135802469135799"/>
    <n v="0"/>
    <n v="0.6529017857142857"/>
    <m/>
    <m/>
    <n v="44"/>
    <n v="60"/>
    <n v="44"/>
    <n v="80"/>
    <n v="42"/>
    <n v="35"/>
    <n v="52"/>
    <n v="47"/>
    <n v="13"/>
    <n v="32"/>
    <n v="14"/>
    <n v="30"/>
    <n v="52"/>
    <n v="24"/>
    <n v="42"/>
    <n v="27"/>
    <n v="26"/>
    <n v="18"/>
    <n v="51"/>
    <n v="21"/>
    <n v="51"/>
    <n v="17"/>
    <n v="31"/>
    <n v="20"/>
    <n v="31"/>
    <n v="16"/>
    <n v="26"/>
    <n v="17"/>
    <n v="1"/>
    <n v="10"/>
    <n v="13"/>
    <n v="15"/>
    <n v="14"/>
    <n v="9"/>
    <n v="9"/>
    <n v="11"/>
    <n v="11"/>
    <n v="8"/>
    <n v="11"/>
    <n v="9"/>
    <n v="15"/>
    <n v="23"/>
    <n v="244"/>
    <n v="10"/>
    <n v="300"/>
    <n v="10"/>
    <n v="1"/>
    <n v="4"/>
    <n v="1"/>
    <n v="5"/>
    <n v="13"/>
    <n v="2"/>
    <n v="40"/>
    <n v="3"/>
    <m/>
    <m/>
    <n v="1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2"/>
    <n v="0.66666666666666663"/>
    <n v="11"/>
    <n v="3"/>
    <n v="0.45454545454545453"/>
    <n v="250"/>
    <n v="311"/>
    <m/>
    <m/>
    <m/>
    <m/>
    <m/>
    <m/>
    <m/>
    <m/>
    <m/>
    <m/>
    <m/>
    <m/>
    <m/>
    <m/>
    <m/>
    <m/>
    <m/>
    <m/>
    <m/>
    <m/>
    <n v="0"/>
    <n v="0"/>
    <m/>
    <m/>
    <n v="810"/>
    <n v="896"/>
  </r>
  <r>
    <x v="0"/>
    <s v="Jacksonville State University "/>
    <m/>
    <n v="101480"/>
    <x v="2"/>
    <m/>
    <m/>
    <m/>
    <m/>
    <m/>
    <m/>
    <n v="0"/>
    <n v="0"/>
    <n v="1308"/>
    <n v="0"/>
    <n v="0"/>
    <n v="0"/>
    <n v="0"/>
    <n v="1454"/>
    <n v="0"/>
    <n v="0"/>
    <n v="0"/>
    <n v="0"/>
    <m/>
    <m/>
    <m/>
    <m/>
    <m/>
    <m/>
    <m/>
    <m/>
    <m/>
    <m/>
    <m/>
    <m/>
    <m/>
    <m/>
    <m/>
    <m/>
    <m/>
    <m/>
    <m/>
    <m/>
    <n v="0"/>
    <n v="0.76357267950963226"/>
    <n v="0"/>
    <n v="0.76205450733752622"/>
    <n v="13"/>
    <n v="4"/>
    <n v="13"/>
    <n v="196"/>
    <n v="13"/>
    <n v="200"/>
    <n v="44"/>
    <n v="64"/>
    <n v="51"/>
    <n v="56"/>
    <n v="31"/>
    <n v="25"/>
    <n v="43"/>
    <n v="48"/>
    <n v="51"/>
    <n v="23"/>
    <n v="44"/>
    <n v="37"/>
    <n v="52"/>
    <n v="23"/>
    <n v="52"/>
    <n v="27"/>
    <n v="26"/>
    <n v="16"/>
    <n v="31"/>
    <n v="15"/>
    <n v="23"/>
    <n v="10"/>
    <n v="26"/>
    <n v="12"/>
    <n v="11"/>
    <n v="6"/>
    <n v="23"/>
    <n v="7"/>
    <n v="42"/>
    <n v="6"/>
    <n v="54"/>
    <n v="7"/>
    <n v="43"/>
    <n v="5"/>
    <n v="24"/>
    <n v="7"/>
    <n v="15"/>
    <n v="18"/>
    <n v="389"/>
    <n v="10"/>
    <n v="43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89"/>
    <n v="434"/>
    <m/>
    <m/>
    <m/>
    <m/>
    <m/>
    <m/>
    <m/>
    <m/>
    <m/>
    <m/>
    <m/>
    <m/>
    <m/>
    <m/>
    <m/>
    <m/>
    <m/>
    <m/>
    <m/>
    <n v="16"/>
    <n v="0"/>
    <n v="16"/>
    <n v="3"/>
    <n v="0"/>
    <n v="1713"/>
    <n v="1908"/>
  </r>
  <r>
    <x v="0"/>
    <s v="Troy University"/>
    <m/>
    <n v="102368"/>
    <x v="2"/>
    <n v="2"/>
    <n v="1"/>
    <m/>
    <m/>
    <n v="295"/>
    <n v="319"/>
    <n v="0.12526539278131635"/>
    <n v="0.14127546501328608"/>
    <n v="2355"/>
    <n v="0"/>
    <n v="0"/>
    <n v="0"/>
    <n v="0"/>
    <n v="2258"/>
    <n v="0"/>
    <n v="0"/>
    <n v="0"/>
    <n v="0"/>
    <m/>
    <m/>
    <m/>
    <m/>
    <m/>
    <m/>
    <m/>
    <m/>
    <m/>
    <m/>
    <m/>
    <m/>
    <m/>
    <m/>
    <m/>
    <m/>
    <m/>
    <m/>
    <m/>
    <m/>
    <n v="0"/>
    <n v="0.63734776725304465"/>
    <n v="0"/>
    <n v="0.62410171365395251"/>
    <n v="5"/>
    <n v="14"/>
    <n v="52"/>
    <n v="281"/>
    <n v="52"/>
    <n v="291"/>
    <n v="44"/>
    <n v="175"/>
    <n v="44"/>
    <n v="188"/>
    <n v="13"/>
    <n v="126"/>
    <n v="13"/>
    <n v="138"/>
    <n v="42"/>
    <n v="86"/>
    <n v="45"/>
    <n v="85"/>
    <n v="51"/>
    <n v="84"/>
    <n v="43"/>
    <n v="75"/>
    <n v="45"/>
    <n v="83"/>
    <n v="51"/>
    <n v="67"/>
    <n v="9"/>
    <n v="61"/>
    <n v="42"/>
    <n v="63"/>
    <n v="43"/>
    <n v="46"/>
    <n v="9"/>
    <n v="38"/>
    <n v="31"/>
    <n v="33"/>
    <n v="31"/>
    <n v="36"/>
    <n v="11"/>
    <n v="21"/>
    <n v="11"/>
    <n v="15"/>
    <n v="17"/>
    <n v="14"/>
    <n v="1013"/>
    <n v="10"/>
    <n v="1010"/>
    <n v="10"/>
    <n v="31"/>
    <n v="5"/>
    <n v="3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n v="1"/>
    <n v="1"/>
    <n v="1"/>
    <n v="1"/>
    <n v="1018"/>
    <n v="1011"/>
    <m/>
    <m/>
    <m/>
    <m/>
    <m/>
    <m/>
    <m/>
    <m/>
    <m/>
    <m/>
    <m/>
    <m/>
    <m/>
    <m/>
    <m/>
    <m/>
    <m/>
    <m/>
    <n v="20"/>
    <n v="15"/>
    <n v="20"/>
    <n v="15"/>
    <m/>
    <m/>
    <n v="3695"/>
    <n v="3618"/>
  </r>
  <r>
    <x v="0"/>
    <s v="University of North Alabama"/>
    <m/>
    <n v="101879"/>
    <x v="2"/>
    <m/>
    <m/>
    <m/>
    <m/>
    <m/>
    <m/>
    <n v="0"/>
    <n v="0"/>
    <n v="1134"/>
    <n v="0"/>
    <n v="0"/>
    <n v="0"/>
    <n v="0"/>
    <n v="1164"/>
    <n v="0"/>
    <n v="0"/>
    <n v="0"/>
    <n v="0"/>
    <m/>
    <m/>
    <m/>
    <m/>
    <m/>
    <m/>
    <m/>
    <m/>
    <m/>
    <m/>
    <m/>
    <m/>
    <m/>
    <m/>
    <m/>
    <m/>
    <m/>
    <m/>
    <m/>
    <m/>
    <n v="0"/>
    <n v="0.6969883220651506"/>
    <n v="0"/>
    <n v="0.70460048426150124"/>
    <n v="35"/>
    <n v="27"/>
    <n v="52"/>
    <n v="222"/>
    <n v="52"/>
    <n v="216"/>
    <n v="13"/>
    <n v="107"/>
    <n v="13"/>
    <n v="129"/>
    <n v="51"/>
    <n v="48"/>
    <n v="51"/>
    <n v="37"/>
    <n v="30"/>
    <n v="23"/>
    <n v="31"/>
    <n v="20"/>
    <n v="31"/>
    <n v="16"/>
    <n v="30"/>
    <n v="17"/>
    <n v="42"/>
    <n v="9"/>
    <n v="42"/>
    <n v="11"/>
    <n v="43"/>
    <n v="8"/>
    <n v="43"/>
    <n v="11"/>
    <n v="45"/>
    <n v="8"/>
    <n v="23"/>
    <n v="10"/>
    <n v="19"/>
    <n v="7"/>
    <n v="19"/>
    <n v="5"/>
    <n v="54"/>
    <n v="6"/>
    <n v="54"/>
    <n v="3"/>
    <n v="4"/>
    <n v="2"/>
    <n v="458"/>
    <n v="10"/>
    <n v="46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58"/>
    <n v="461"/>
    <m/>
    <m/>
    <m/>
    <m/>
    <m/>
    <m/>
    <m/>
    <m/>
    <m/>
    <m/>
    <m/>
    <m/>
    <m/>
    <m/>
    <m/>
    <m/>
    <m/>
    <m/>
    <m/>
    <m/>
    <n v="0"/>
    <n v="0"/>
    <m/>
    <m/>
    <n v="1627"/>
    <n v="1652"/>
  </r>
  <r>
    <x v="0"/>
    <s v="Alabama State University "/>
    <m/>
    <n v="100724"/>
    <x v="3"/>
    <m/>
    <m/>
    <m/>
    <m/>
    <m/>
    <m/>
    <n v="0"/>
    <n v="0"/>
    <n v="510"/>
    <n v="0"/>
    <n v="0"/>
    <n v="0"/>
    <n v="0"/>
    <n v="561"/>
    <n v="0"/>
    <n v="0"/>
    <n v="0"/>
    <n v="0"/>
    <m/>
    <m/>
    <m/>
    <m/>
    <m/>
    <m/>
    <m/>
    <m/>
    <m/>
    <m/>
    <m/>
    <m/>
    <m/>
    <m/>
    <m/>
    <m/>
    <m/>
    <m/>
    <m/>
    <m/>
    <n v="0"/>
    <n v="0.76923076923076927"/>
    <n v="0"/>
    <n v="0.7879213483146067"/>
    <m/>
    <n v="0"/>
    <n v="13"/>
    <n v="47"/>
    <n v="51"/>
    <n v="40"/>
    <n v="51"/>
    <n v="33"/>
    <n v="13"/>
    <n v="28"/>
    <n v="44"/>
    <n v="17"/>
    <n v="52"/>
    <n v="13"/>
    <n v="52"/>
    <n v="15"/>
    <n v="44"/>
    <n v="11"/>
    <n v="11"/>
    <n v="6"/>
    <n v="11"/>
    <n v="11"/>
    <n v="43"/>
    <n v="4"/>
    <n v="43"/>
    <n v="5"/>
    <n v="26"/>
    <n v="3"/>
    <n v="26"/>
    <n v="2"/>
    <n v="27"/>
    <n v="1"/>
    <n v="27"/>
    <n v="1"/>
    <m/>
    <m/>
    <n v="54"/>
    <n v="0"/>
    <m/>
    <m/>
    <m/>
    <m/>
    <m/>
    <m/>
    <n v="126"/>
    <n v="8"/>
    <n v="111"/>
    <n v="9"/>
    <n v="13"/>
    <n v="3"/>
    <n v="13"/>
    <n v="7"/>
    <n v="26"/>
    <n v="1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"/>
    <n v="2"/>
    <n v="0.75"/>
    <n v="9"/>
    <n v="2"/>
    <n v="0.77777777777777779"/>
    <n v="130"/>
    <n v="120"/>
    <m/>
    <m/>
    <m/>
    <m/>
    <m/>
    <m/>
    <m/>
    <m/>
    <m/>
    <m/>
    <m/>
    <m/>
    <m/>
    <m/>
    <m/>
    <m/>
    <m/>
    <m/>
    <n v="23"/>
    <n v="31"/>
    <n v="23"/>
    <n v="31"/>
    <m/>
    <m/>
    <n v="663"/>
    <n v="712"/>
  </r>
  <r>
    <x v="0"/>
    <s v="Auburn University at Montgomery"/>
    <s v="Reclassifed: Met the criteria for Four-Year 3 in 2018-19 2019-20, and 2020-21"/>
    <n v="100830"/>
    <x v="2"/>
    <n v="5"/>
    <n v="1"/>
    <m/>
    <m/>
    <m/>
    <m/>
    <n v="0"/>
    <n v="0"/>
    <n v="662"/>
    <n v="0"/>
    <n v="0"/>
    <n v="0"/>
    <n v="0"/>
    <n v="724"/>
    <n v="0"/>
    <n v="0"/>
    <n v="0"/>
    <n v="0"/>
    <m/>
    <m/>
    <m/>
    <m/>
    <m/>
    <m/>
    <m/>
    <m/>
    <m/>
    <m/>
    <m/>
    <m/>
    <m/>
    <m/>
    <m/>
    <m/>
    <m/>
    <m/>
    <m/>
    <m/>
    <n v="0"/>
    <n v="0.75398633257403191"/>
    <n v="0"/>
    <n v="0.75338189386056187"/>
    <n v="6"/>
    <n v="7"/>
    <n v="13"/>
    <n v="69"/>
    <n v="13"/>
    <n v="84"/>
    <n v="52"/>
    <n v="35"/>
    <n v="52"/>
    <n v="49"/>
    <n v="24"/>
    <n v="26"/>
    <n v="11"/>
    <n v="29"/>
    <n v="43"/>
    <n v="17"/>
    <n v="24"/>
    <n v="18"/>
    <n v="45"/>
    <n v="17"/>
    <n v="44"/>
    <n v="13"/>
    <n v="44"/>
    <n v="13"/>
    <n v="31"/>
    <n v="10"/>
    <n v="11"/>
    <n v="12"/>
    <n v="43"/>
    <n v="9"/>
    <n v="31"/>
    <n v="11"/>
    <n v="45"/>
    <n v="8"/>
    <n v="42"/>
    <n v="3"/>
    <n v="42"/>
    <n v="8"/>
    <n v="23"/>
    <n v="2"/>
    <n v="23"/>
    <n v="1"/>
    <m/>
    <n v="0"/>
    <n v="205"/>
    <n v="10"/>
    <n v="229"/>
    <n v="10"/>
    <m/>
    <m/>
    <n v="4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1"/>
    <n v="0"/>
    <n v="205"/>
    <n v="229"/>
    <m/>
    <m/>
    <m/>
    <m/>
    <m/>
    <m/>
    <m/>
    <m/>
    <m/>
    <m/>
    <m/>
    <m/>
    <m/>
    <m/>
    <m/>
    <m/>
    <m/>
    <m/>
    <m/>
    <m/>
    <n v="0"/>
    <n v="0"/>
    <m/>
    <m/>
    <n v="878"/>
    <n v="961"/>
  </r>
  <r>
    <x v="0"/>
    <s v="University of Montevallo"/>
    <m/>
    <n v="101709"/>
    <x v="4"/>
    <m/>
    <m/>
    <m/>
    <m/>
    <m/>
    <m/>
    <n v="0"/>
    <n v="0"/>
    <n v="452"/>
    <n v="0"/>
    <n v="0"/>
    <n v="0"/>
    <n v="0"/>
    <n v="451"/>
    <n v="0"/>
    <n v="0"/>
    <n v="0"/>
    <n v="0"/>
    <m/>
    <m/>
    <m/>
    <m/>
    <m/>
    <m/>
    <m/>
    <m/>
    <m/>
    <m/>
    <m/>
    <m/>
    <m/>
    <m/>
    <m/>
    <m/>
    <m/>
    <m/>
    <m/>
    <m/>
    <n v="0"/>
    <n v="0.77397260273972601"/>
    <n v="0"/>
    <n v="0.77892918825561308"/>
    <m/>
    <m/>
    <n v="13"/>
    <n v="83"/>
    <n v="13"/>
    <n v="83"/>
    <n v="51"/>
    <n v="23"/>
    <n v="51"/>
    <n v="26"/>
    <n v="52"/>
    <n v="23"/>
    <n v="52"/>
    <n v="17"/>
    <n v="23"/>
    <n v="3"/>
    <n v="23"/>
    <n v="2"/>
    <m/>
    <m/>
    <m/>
    <m/>
    <m/>
    <m/>
    <m/>
    <m/>
    <m/>
    <m/>
    <m/>
    <m/>
    <m/>
    <m/>
    <m/>
    <m/>
    <m/>
    <m/>
    <m/>
    <m/>
    <m/>
    <m/>
    <m/>
    <m/>
    <m/>
    <m/>
    <n v="132"/>
    <n v="4"/>
    <n v="128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2"/>
    <n v="128"/>
    <m/>
    <m/>
    <m/>
    <m/>
    <m/>
    <m/>
    <m/>
    <m/>
    <m/>
    <m/>
    <m/>
    <m/>
    <m/>
    <m/>
    <m/>
    <m/>
    <m/>
    <m/>
    <m/>
    <m/>
    <n v="0"/>
    <n v="0"/>
    <m/>
    <m/>
    <n v="584"/>
    <n v="579"/>
  </r>
  <r>
    <x v="0"/>
    <s v="University of West Alabama"/>
    <s v="Reclassified: Met the criteria for Four-Year 4 in 2018-19 2019-20, and 2020-21"/>
    <n v="101587"/>
    <x v="3"/>
    <m/>
    <m/>
    <m/>
    <m/>
    <n v="57"/>
    <n v="29"/>
    <n v="0.17868338557993729"/>
    <n v="9.2948717948717952E-2"/>
    <n v="319"/>
    <n v="0"/>
    <n v="0"/>
    <n v="0"/>
    <n v="0"/>
    <n v="312"/>
    <n v="0"/>
    <n v="0"/>
    <n v="0"/>
    <n v="0"/>
    <m/>
    <m/>
    <m/>
    <m/>
    <m/>
    <m/>
    <m/>
    <m/>
    <m/>
    <m/>
    <m/>
    <m/>
    <m/>
    <m/>
    <m/>
    <m/>
    <m/>
    <m/>
    <m/>
    <m/>
    <n v="0"/>
    <n v="0.23387096774193547"/>
    <n v="0"/>
    <n v="0.22397702799712849"/>
    <m/>
    <m/>
    <n v="13"/>
    <n v="942"/>
    <n v="13"/>
    <n v="987"/>
    <n v="52"/>
    <n v="24"/>
    <n v="52"/>
    <n v="35"/>
    <n v="26"/>
    <n v="13"/>
    <n v="51"/>
    <n v="15"/>
    <n v="51"/>
    <n v="7"/>
    <n v="26"/>
    <n v="6"/>
    <n v="42"/>
    <n v="2"/>
    <n v="9"/>
    <n v="5"/>
    <m/>
    <m/>
    <n v="42"/>
    <n v="4"/>
    <m/>
    <m/>
    <m/>
    <m/>
    <m/>
    <m/>
    <m/>
    <m/>
    <m/>
    <m/>
    <m/>
    <m/>
    <m/>
    <m/>
    <m/>
    <m/>
    <m/>
    <m/>
    <n v="988"/>
    <n v="5"/>
    <n v="1052"/>
    <n v="6"/>
    <m/>
    <m/>
    <n v="1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1"/>
    <n v="0"/>
    <n v="988"/>
    <n v="1052"/>
    <m/>
    <m/>
    <m/>
    <m/>
    <m/>
    <m/>
    <m/>
    <m/>
    <m/>
    <m/>
    <m/>
    <m/>
    <m/>
    <m/>
    <m/>
    <m/>
    <m/>
    <m/>
    <m/>
    <m/>
    <n v="0"/>
    <n v="0"/>
    <m/>
    <m/>
    <n v="1364"/>
    <n v="1393"/>
  </r>
  <r>
    <x v="0"/>
    <s v="Athens State University"/>
    <s v="Met the criteria for Four-Year 5 in 2019-20 and 2020-21."/>
    <n v="100812"/>
    <x v="5"/>
    <m/>
    <n v="30"/>
    <m/>
    <m/>
    <m/>
    <m/>
    <n v="0"/>
    <n v="0"/>
    <n v="678"/>
    <n v="0"/>
    <n v="0"/>
    <n v="0"/>
    <n v="0"/>
    <n v="684"/>
    <n v="0"/>
    <n v="0"/>
    <n v="0"/>
    <n v="0"/>
    <m/>
    <m/>
    <m/>
    <m/>
    <m/>
    <m/>
    <m/>
    <m/>
    <m/>
    <m/>
    <m/>
    <m/>
    <m/>
    <m/>
    <m/>
    <m/>
    <m/>
    <m/>
    <m/>
    <m/>
    <n v="0"/>
    <n v="0.91497975708502022"/>
    <n v="0"/>
    <n v="0.89763779527559051"/>
    <m/>
    <m/>
    <n v="13"/>
    <n v="35"/>
    <n v="13"/>
    <n v="30"/>
    <n v="52"/>
    <n v="24"/>
    <n v="52"/>
    <n v="12"/>
    <n v="38"/>
    <n v="4"/>
    <n v="38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3"/>
    <n v="3"/>
    <n v="48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63"/>
    <n v="48"/>
    <m/>
    <m/>
    <m/>
    <m/>
    <m/>
    <m/>
    <m/>
    <m/>
    <m/>
    <m/>
    <m/>
    <m/>
    <m/>
    <m/>
    <m/>
    <m/>
    <m/>
    <m/>
    <m/>
    <m/>
    <n v="0"/>
    <n v="0"/>
    <m/>
    <m/>
    <n v="741"/>
    <n v="762"/>
  </r>
  <r>
    <x v="0"/>
    <s v="Jefferson State Community College"/>
    <m/>
    <n v="101505"/>
    <x v="6"/>
    <n v="472"/>
    <n v="449"/>
    <m/>
    <m/>
    <n v="870"/>
    <n v="83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42"/>
    <n v="1284"/>
  </r>
  <r>
    <x v="0"/>
    <s v="John C. Calhoun Community College "/>
    <m/>
    <n v="101514"/>
    <x v="6"/>
    <n v="1118"/>
    <n v="1442"/>
    <m/>
    <m/>
    <n v="1081"/>
    <n v="120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99"/>
    <n v="2644"/>
  </r>
  <r>
    <x v="0"/>
    <s v="Bevill State Community College"/>
    <s v="Met the criteria for Two-Year 3 in 2020-21."/>
    <n v="102429"/>
    <x v="7"/>
    <n v="651"/>
    <n v="660"/>
    <m/>
    <m/>
    <n v="474"/>
    <n v="58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25"/>
    <n v="1244"/>
  </r>
  <r>
    <x v="0"/>
    <s v="Bishop State Community College"/>
    <m/>
    <n v="102030"/>
    <x v="7"/>
    <n v="438"/>
    <n v="376"/>
    <m/>
    <m/>
    <n v="378"/>
    <n v="34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6"/>
    <n v="718"/>
  </r>
  <r>
    <x v="0"/>
    <s v="Coastal Alabama Community College"/>
    <s v="Reclassified: Met the criteria for Two-Year 1 in 2018-19, 2019-20, and 2020-21."/>
    <n v="101161"/>
    <x v="6"/>
    <n v="469"/>
    <n v="301"/>
    <m/>
    <m/>
    <n v="754"/>
    <n v="79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23"/>
    <n v="1099"/>
  </r>
  <r>
    <x v="0"/>
    <s v="Gadsden State Community College"/>
    <m/>
    <n v="101240"/>
    <x v="7"/>
    <n v="476"/>
    <n v="470"/>
    <m/>
    <m/>
    <n v="740"/>
    <n v="70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16"/>
    <n v="1172"/>
  </r>
  <r>
    <x v="0"/>
    <s v="George C. Wallace Community College-Dothan"/>
    <m/>
    <n v="101286"/>
    <x v="7"/>
    <n v="766"/>
    <n v="765"/>
    <m/>
    <m/>
    <n v="610"/>
    <n v="55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76"/>
    <n v="1319"/>
  </r>
  <r>
    <x v="0"/>
    <s v="George C. Wallace State Community College-Hanceville"/>
    <m/>
    <n v="101295"/>
    <x v="7"/>
    <n v="1554"/>
    <n v="1343"/>
    <m/>
    <m/>
    <n v="985"/>
    <n v="97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39"/>
    <n v="2322"/>
  </r>
  <r>
    <x v="0"/>
    <s v="Lawson State Community College "/>
    <m/>
    <n v="101569"/>
    <x v="7"/>
    <n v="368"/>
    <n v="341"/>
    <m/>
    <m/>
    <n v="338"/>
    <n v="41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6"/>
    <n v="759"/>
  </r>
  <r>
    <x v="0"/>
    <s v="Northwest-Shoals Community College"/>
    <m/>
    <n v="101736"/>
    <x v="7"/>
    <n v="519"/>
    <n v="496"/>
    <m/>
    <m/>
    <n v="425"/>
    <n v="38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4"/>
    <n v="883"/>
  </r>
  <r>
    <x v="0"/>
    <s v="Shelton State Community College"/>
    <m/>
    <n v="102067"/>
    <x v="7"/>
    <n v="267"/>
    <n v="253"/>
    <m/>
    <m/>
    <n v="585"/>
    <n v="49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52"/>
    <n v="747"/>
  </r>
  <r>
    <x v="0"/>
    <s v="Southern Union State Community College"/>
    <m/>
    <n v="251260"/>
    <x v="7"/>
    <n v="1395"/>
    <n v="958"/>
    <m/>
    <m/>
    <n v="575"/>
    <n v="64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70"/>
    <n v="1607"/>
  </r>
  <r>
    <x v="0"/>
    <s v="Central Alabama Community College"/>
    <m/>
    <n v="100760"/>
    <x v="8"/>
    <n v="189"/>
    <n v="586"/>
    <m/>
    <m/>
    <n v="215"/>
    <n v="19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4"/>
    <n v="781"/>
  </r>
  <r>
    <x v="0"/>
    <s v="Chattahoochee Valley Community College"/>
    <m/>
    <n v="101028"/>
    <x v="8"/>
    <n v="243"/>
    <n v="149"/>
    <m/>
    <m/>
    <n v="265"/>
    <n v="24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8"/>
    <n v="391"/>
  </r>
  <r>
    <x v="0"/>
    <s v="Enterprise State Community College"/>
    <m/>
    <n v="101143"/>
    <x v="8"/>
    <n v="335"/>
    <n v="167"/>
    <m/>
    <m/>
    <n v="194"/>
    <n v="18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9"/>
    <n v="348"/>
  </r>
  <r>
    <x v="0"/>
    <s v="George Corley Wallace State Community College - Selma"/>
    <m/>
    <n v="101301"/>
    <x v="8"/>
    <n v="168"/>
    <n v="117"/>
    <m/>
    <m/>
    <n v="293"/>
    <n v="27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1"/>
    <n v="391"/>
  </r>
  <r>
    <x v="0"/>
    <s v="Lurleen B. Wallace Community College "/>
    <m/>
    <n v="101602"/>
    <x v="8"/>
    <n v="263"/>
    <n v="235"/>
    <m/>
    <m/>
    <n v="300"/>
    <n v="29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3"/>
    <n v="526"/>
  </r>
  <r>
    <x v="0"/>
    <s v="Northeast Alabama Community College"/>
    <s v="Met the criteria for Two-Year 2 in 2018-19 and 2019-20."/>
    <n v="101897"/>
    <x v="8"/>
    <n v="986"/>
    <n v="741"/>
    <m/>
    <m/>
    <n v="483"/>
    <n v="59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69"/>
    <n v="1335"/>
  </r>
  <r>
    <x v="0"/>
    <s v="Snead State Community College "/>
    <s v="Met the criteria for Two-Year 2 in 2018-19 and 2019-20."/>
    <n v="102076"/>
    <x v="8"/>
    <n v="125"/>
    <n v="147"/>
    <m/>
    <m/>
    <n v="423"/>
    <n v="41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8"/>
    <n v="561"/>
  </r>
  <r>
    <x v="0"/>
    <s v="H. Councill Trenholm State Community College"/>
    <m/>
    <n v="102313"/>
    <x v="9"/>
    <n v="206"/>
    <n v="170"/>
    <m/>
    <m/>
    <n v="183"/>
    <n v="20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9"/>
    <n v="373"/>
  </r>
  <r>
    <x v="0"/>
    <s v="J.F. Drake State Community and Technical College"/>
    <m/>
    <n v="101462"/>
    <x v="10"/>
    <n v="100"/>
    <n v="78"/>
    <m/>
    <m/>
    <n v="84"/>
    <n v="6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4"/>
    <n v="143"/>
  </r>
  <r>
    <x v="0"/>
    <s v="J.F. Ingram State Technical College "/>
    <m/>
    <n v="101471"/>
    <x v="10"/>
    <n v="797"/>
    <n v="681"/>
    <m/>
    <m/>
    <m/>
    <n v="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7"/>
    <n v="681"/>
  </r>
  <r>
    <x v="0"/>
    <s v="Reid State Technical College "/>
    <m/>
    <n v="101994"/>
    <x v="10"/>
    <n v="74"/>
    <n v="109"/>
    <m/>
    <m/>
    <n v="28"/>
    <n v="3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2"/>
    <n v="145"/>
  </r>
  <r>
    <x v="0"/>
    <s v="Marion Military Institute"/>
    <m/>
    <n v="101648"/>
    <x v="11"/>
    <m/>
    <m/>
    <m/>
    <m/>
    <n v="124"/>
    <n v="9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4"/>
    <n v="92"/>
  </r>
  <r>
    <x v="1"/>
    <s v="Arkansas State University"/>
    <m/>
    <n v="106458"/>
    <x v="2"/>
    <n v="9"/>
    <n v="33"/>
    <n v="0"/>
    <n v="0"/>
    <n v="540"/>
    <n v="545"/>
    <n v="0.2967032967032967"/>
    <n v="0.31834112149532712"/>
    <n v="1820"/>
    <n v="0"/>
    <n v="0"/>
    <n v="0"/>
    <n v="0"/>
    <n v="1712"/>
    <n v="0"/>
    <n v="0"/>
    <n v="0"/>
    <n v="0"/>
    <m/>
    <m/>
    <m/>
    <m/>
    <m/>
    <m/>
    <m/>
    <m/>
    <m/>
    <m/>
    <m/>
    <m/>
    <m/>
    <m/>
    <m/>
    <m/>
    <m/>
    <m/>
    <m/>
    <m/>
    <n v="0"/>
    <n v="0.36553524804177545"/>
    <n v="0"/>
    <n v="0.36042105263157892"/>
    <n v="116"/>
    <n v="85"/>
    <n v="13"/>
    <n v="1726"/>
    <n v="13"/>
    <n v="1522"/>
    <n v="44"/>
    <n v="177"/>
    <n v="31"/>
    <n v="167"/>
    <n v="31"/>
    <n v="149"/>
    <n v="44"/>
    <n v="154"/>
    <n v="51"/>
    <n v="93"/>
    <n v="51"/>
    <n v="130"/>
    <n v="52"/>
    <n v="66"/>
    <n v="52"/>
    <n v="93"/>
    <n v="19"/>
    <n v="48"/>
    <n v="19"/>
    <n v="42"/>
    <n v="9"/>
    <n v="34"/>
    <n v="9"/>
    <n v="39"/>
    <n v="11"/>
    <n v="27"/>
    <n v="11"/>
    <n v="35"/>
    <n v="43"/>
    <n v="22"/>
    <n v="15"/>
    <n v="20"/>
    <n v="15"/>
    <n v="18"/>
    <n v="43"/>
    <n v="20"/>
    <n v="69"/>
    <n v="62"/>
    <n v="2429"/>
    <n v="10"/>
    <n v="2284"/>
    <n v="10"/>
    <n v="13"/>
    <n v="11"/>
    <n v="13"/>
    <n v="16"/>
    <n v="26"/>
    <n v="3"/>
    <n v="5"/>
    <n v="5"/>
    <m/>
    <m/>
    <n v="3"/>
    <n v="2"/>
    <m/>
    <m/>
    <n v="26"/>
    <n v="2"/>
    <m/>
    <m/>
    <m/>
    <m/>
    <m/>
    <m/>
    <m/>
    <m/>
    <m/>
    <m/>
    <m/>
    <m/>
    <m/>
    <m/>
    <m/>
    <m/>
    <m/>
    <m/>
    <m/>
    <m/>
    <m/>
    <m/>
    <m/>
    <m/>
    <m/>
    <m/>
    <n v="14"/>
    <n v="2"/>
    <n v="0.7857142857142857"/>
    <n v="25"/>
    <n v="4"/>
    <n v="0.64"/>
    <n v="2443"/>
    <n v="2309"/>
    <m/>
    <m/>
    <m/>
    <m/>
    <m/>
    <m/>
    <m/>
    <m/>
    <m/>
    <m/>
    <m/>
    <m/>
    <m/>
    <m/>
    <m/>
    <m/>
    <m/>
    <m/>
    <n v="51"/>
    <n v="66"/>
    <n v="51"/>
    <n v="66"/>
    <m/>
    <m/>
    <n v="4979"/>
    <n v="4750"/>
  </r>
  <r>
    <x v="1"/>
    <s v="Arkansas Tech University"/>
    <m/>
    <n v="106467"/>
    <x v="2"/>
    <n v="1261"/>
    <n v="944"/>
    <n v="0"/>
    <n v="0"/>
    <n v="1054"/>
    <n v="1238"/>
    <n v="0.77500000000000002"/>
    <n v="0.90629575402635432"/>
    <n v="1360"/>
    <n v="0"/>
    <n v="0"/>
    <n v="0"/>
    <n v="0"/>
    <n v="1366"/>
    <n v="0"/>
    <n v="0"/>
    <n v="0"/>
    <n v="0"/>
    <m/>
    <m/>
    <m/>
    <m/>
    <m/>
    <m/>
    <m/>
    <m/>
    <m/>
    <m/>
    <m/>
    <m/>
    <m/>
    <m/>
    <m/>
    <m/>
    <m/>
    <m/>
    <m/>
    <m/>
    <n v="0"/>
    <n v="0.33663366336633666"/>
    <n v="0"/>
    <n v="0.34918200408997957"/>
    <n v="33"/>
    <n v="19"/>
    <n v="13"/>
    <n v="235"/>
    <n v="13"/>
    <n v="216"/>
    <n v="51"/>
    <n v="12"/>
    <n v="52"/>
    <n v="26"/>
    <n v="31"/>
    <n v="10"/>
    <n v="43"/>
    <n v="22"/>
    <n v="43"/>
    <n v="10"/>
    <n v="51"/>
    <n v="13"/>
    <n v="14"/>
    <n v="9"/>
    <n v="11"/>
    <n v="11"/>
    <n v="11"/>
    <n v="7"/>
    <n v="23"/>
    <n v="10"/>
    <n v="23"/>
    <n v="7"/>
    <n v="31"/>
    <n v="7"/>
    <n v="9"/>
    <n v="5"/>
    <n v="42"/>
    <n v="5"/>
    <n v="24"/>
    <n v="4"/>
    <n v="54"/>
    <n v="4"/>
    <n v="54"/>
    <n v="4"/>
    <n v="14"/>
    <n v="4"/>
    <n v="8"/>
    <n v="13"/>
    <n v="311"/>
    <n v="10"/>
    <n v="331"/>
    <n v="10"/>
    <n v="13"/>
    <n v="21"/>
    <n v="13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1"/>
    <n v="1"/>
    <n v="1"/>
    <n v="14"/>
    <n v="1"/>
    <n v="1"/>
    <n v="332"/>
    <n v="345"/>
    <m/>
    <m/>
    <m/>
    <m/>
    <m/>
    <m/>
    <m/>
    <m/>
    <m/>
    <m/>
    <m/>
    <m/>
    <m/>
    <m/>
    <m/>
    <m/>
    <m/>
    <m/>
    <m/>
    <m/>
    <n v="0"/>
    <n v="0"/>
    <m/>
    <m/>
    <n v="4040"/>
    <n v="3912"/>
  </r>
  <r>
    <x v="1"/>
    <s v="Henderson State University"/>
    <m/>
    <n v="107071"/>
    <x v="3"/>
    <n v="9"/>
    <n v="34"/>
    <n v="0"/>
    <n v="0"/>
    <n v="8"/>
    <n v="15"/>
    <n v="1.4981273408239701E-2"/>
    <n v="3.0864197530864196E-2"/>
    <n v="534"/>
    <n v="0"/>
    <n v="0"/>
    <n v="0"/>
    <n v="0"/>
    <n v="486"/>
    <n v="0"/>
    <n v="0"/>
    <n v="0"/>
    <n v="0"/>
    <m/>
    <m/>
    <m/>
    <m/>
    <m/>
    <m/>
    <m/>
    <m/>
    <m/>
    <m/>
    <m/>
    <m/>
    <m/>
    <m/>
    <m/>
    <m/>
    <m/>
    <m/>
    <m/>
    <m/>
    <n v="0"/>
    <n v="0.72851296043656211"/>
    <n v="0"/>
    <n v="0.61832061068702293"/>
    <n v="34"/>
    <n v="74"/>
    <n v="13"/>
    <n v="89"/>
    <n v="13"/>
    <n v="94"/>
    <n v="52"/>
    <n v="19"/>
    <n v="51"/>
    <n v="34"/>
    <n v="42"/>
    <n v="14"/>
    <n v="52"/>
    <n v="19"/>
    <n v="51"/>
    <n v="12"/>
    <n v="31"/>
    <n v="18"/>
    <n v="31"/>
    <n v="9"/>
    <n v="42"/>
    <n v="11"/>
    <n v="24"/>
    <n v="5"/>
    <n v="24"/>
    <n v="1"/>
    <m/>
    <m/>
    <m/>
    <m/>
    <m/>
    <m/>
    <m/>
    <m/>
    <m/>
    <m/>
    <m/>
    <m/>
    <m/>
    <m/>
    <m/>
    <m/>
    <m/>
    <m/>
    <n v="148"/>
    <n v="6"/>
    <n v="177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8"/>
    <n v="177"/>
    <m/>
    <m/>
    <m/>
    <m/>
    <m/>
    <m/>
    <m/>
    <m/>
    <m/>
    <m/>
    <m/>
    <m/>
    <m/>
    <m/>
    <m/>
    <m/>
    <m/>
    <m/>
    <m/>
    <m/>
    <n v="0"/>
    <n v="0"/>
    <m/>
    <m/>
    <n v="733"/>
    <n v="786"/>
  </r>
  <r>
    <x v="1"/>
    <s v="Southern Arkansas University"/>
    <m/>
    <n v="107983"/>
    <x v="3"/>
    <n v="0"/>
    <n v="0"/>
    <n v="0"/>
    <n v="0"/>
    <n v="375"/>
    <n v="379"/>
    <n v="0.77639751552795033"/>
    <n v="0.70708955223880599"/>
    <n v="483"/>
    <n v="0"/>
    <n v="0"/>
    <n v="0"/>
    <n v="0"/>
    <n v="536"/>
    <n v="0"/>
    <n v="0"/>
    <n v="0"/>
    <n v="0"/>
    <m/>
    <m/>
    <m/>
    <m/>
    <m/>
    <m/>
    <m/>
    <m/>
    <m/>
    <m/>
    <m/>
    <m/>
    <m/>
    <m/>
    <m/>
    <m/>
    <m/>
    <m/>
    <m/>
    <m/>
    <n v="0"/>
    <n v="0.38951612903225807"/>
    <n v="0"/>
    <n v="0.40791476407914762"/>
    <n v="9"/>
    <n v="12"/>
    <n v="11"/>
    <n v="172"/>
    <n v="13"/>
    <n v="191"/>
    <n v="13"/>
    <n v="137"/>
    <n v="11"/>
    <n v="126"/>
    <n v="52"/>
    <n v="33"/>
    <n v="52"/>
    <n v="47"/>
    <n v="31"/>
    <n v="16"/>
    <n v="31"/>
    <n v="12"/>
    <n v="44"/>
    <n v="9"/>
    <n v="44"/>
    <n v="9"/>
    <n v="1"/>
    <n v="6"/>
    <n v="1"/>
    <n v="2"/>
    <m/>
    <m/>
    <m/>
    <m/>
    <m/>
    <m/>
    <m/>
    <m/>
    <m/>
    <m/>
    <m/>
    <m/>
    <m/>
    <m/>
    <m/>
    <m/>
    <m/>
    <m/>
    <n v="373"/>
    <n v="6"/>
    <n v="387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73"/>
    <n v="387"/>
    <m/>
    <m/>
    <m/>
    <m/>
    <m/>
    <m/>
    <m/>
    <m/>
    <m/>
    <m/>
    <m/>
    <m/>
    <m/>
    <m/>
    <m/>
    <m/>
    <m/>
    <m/>
    <m/>
    <m/>
    <n v="0"/>
    <n v="0"/>
    <m/>
    <m/>
    <n v="1240"/>
    <n v="1314"/>
  </r>
  <r>
    <x v="1"/>
    <s v="University of Arkansas, Fayetteville"/>
    <m/>
    <n v="106397"/>
    <x v="0"/>
    <n v="5"/>
    <n v="8"/>
    <n v="0"/>
    <n v="0"/>
    <n v="0"/>
    <n v="0"/>
    <n v="0"/>
    <n v="0"/>
    <n v="4903"/>
    <n v="0"/>
    <n v="0"/>
    <n v="0"/>
    <n v="0"/>
    <n v="5183"/>
    <n v="0"/>
    <n v="0"/>
    <n v="0"/>
    <n v="0"/>
    <m/>
    <m/>
    <m/>
    <m/>
    <m/>
    <m/>
    <m/>
    <m/>
    <m/>
    <m/>
    <m/>
    <m/>
    <m/>
    <m/>
    <m/>
    <m/>
    <m/>
    <m/>
    <m/>
    <m/>
    <n v="0"/>
    <n v="0.74969418960244649"/>
    <n v="0"/>
    <n v="0.75181317087322308"/>
    <n v="185"/>
    <n v="233"/>
    <n v="13"/>
    <n v="255"/>
    <n v="13"/>
    <n v="290"/>
    <n v="15"/>
    <n v="156"/>
    <n v="15"/>
    <n v="164"/>
    <n v="52"/>
    <n v="155"/>
    <n v="52"/>
    <n v="150"/>
    <n v="14"/>
    <n v="107"/>
    <n v="14"/>
    <n v="117"/>
    <n v="51"/>
    <n v="64"/>
    <n v="51"/>
    <n v="64"/>
    <n v="1"/>
    <n v="63"/>
    <n v="1"/>
    <n v="62"/>
    <n v="44"/>
    <n v="42"/>
    <n v="44"/>
    <n v="48"/>
    <n v="50"/>
    <n v="35"/>
    <n v="31"/>
    <n v="39"/>
    <n v="31"/>
    <n v="34"/>
    <n v="45"/>
    <n v="26"/>
    <n v="23"/>
    <n v="27"/>
    <n v="40"/>
    <n v="21"/>
    <n v="178"/>
    <n v="155"/>
    <n v="1116"/>
    <n v="10"/>
    <n v="1136"/>
    <n v="10"/>
    <n v="13"/>
    <n v="50"/>
    <n v="14"/>
    <n v="40"/>
    <n v="14"/>
    <n v="33"/>
    <n v="13"/>
    <n v="34"/>
    <n v="26"/>
    <n v="23"/>
    <n v="40"/>
    <n v="22"/>
    <n v="40"/>
    <n v="21"/>
    <n v="1"/>
    <n v="20"/>
    <n v="1"/>
    <n v="19"/>
    <n v="26"/>
    <n v="17"/>
    <n v="52"/>
    <n v="13"/>
    <n v="52"/>
    <n v="14"/>
    <n v="31"/>
    <n v="7"/>
    <n v="42"/>
    <n v="11"/>
    <n v="54"/>
    <n v="7"/>
    <n v="23"/>
    <n v="8"/>
    <n v="27"/>
    <n v="6"/>
    <n v="45"/>
    <n v="7"/>
    <n v="45"/>
    <n v="6"/>
    <n v="51"/>
    <n v="7"/>
    <n v="24"/>
    <n v="24"/>
    <n v="209"/>
    <n v="10"/>
    <n v="0.23923444976076555"/>
    <n v="204"/>
    <n v="10"/>
    <n v="0.19607843137254902"/>
    <n v="1325"/>
    <n v="1340"/>
    <n v="104"/>
    <n v="112"/>
    <m/>
    <m/>
    <m/>
    <m/>
    <m/>
    <m/>
    <m/>
    <m/>
    <m/>
    <m/>
    <m/>
    <m/>
    <m/>
    <m/>
    <m/>
    <m/>
    <n v="18"/>
    <n v="18"/>
    <n v="122"/>
    <n v="130"/>
    <m/>
    <m/>
    <n v="6540"/>
    <n v="6894"/>
  </r>
  <r>
    <x v="1"/>
    <s v="University of Arkansas at Fort Smith"/>
    <m/>
    <n v="108092"/>
    <x v="5"/>
    <n v="498"/>
    <n v="382"/>
    <n v="0"/>
    <n v="0"/>
    <n v="281"/>
    <n v="229"/>
    <n v="0.34019370460048426"/>
    <n v="0.27657004830917875"/>
    <n v="826"/>
    <n v="0"/>
    <n v="0"/>
    <n v="0"/>
    <n v="0"/>
    <n v="828"/>
    <n v="0"/>
    <n v="0"/>
    <n v="0"/>
    <n v="0"/>
    <m/>
    <m/>
    <m/>
    <m/>
    <m/>
    <m/>
    <m/>
    <m/>
    <m/>
    <m/>
    <m/>
    <m/>
    <m/>
    <m/>
    <m/>
    <m/>
    <m/>
    <m/>
    <m/>
    <m/>
    <n v="0"/>
    <n v="0.5130434782608696"/>
    <n v="0"/>
    <n v="0.57182320441988954"/>
    <n v="0"/>
    <n v="0"/>
    <n v="51"/>
    <n v="5"/>
    <n v="51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n v="9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"/>
    <n v="9"/>
    <m/>
    <m/>
    <m/>
    <m/>
    <m/>
    <m/>
    <m/>
    <m/>
    <m/>
    <m/>
    <m/>
    <m/>
    <m/>
    <m/>
    <m/>
    <m/>
    <m/>
    <m/>
    <m/>
    <m/>
    <n v="0"/>
    <n v="0"/>
    <m/>
    <m/>
    <n v="1610"/>
    <n v="1448"/>
  </r>
  <r>
    <x v="1"/>
    <s v="University of Arkansas at Little Rock"/>
    <m/>
    <n v="106245"/>
    <x v="1"/>
    <n v="30"/>
    <n v="33"/>
    <n v="0"/>
    <n v="0"/>
    <n v="401"/>
    <n v="333"/>
    <n v="0.30471124620060791"/>
    <n v="0.26015624999999998"/>
    <n v="1316"/>
    <n v="0"/>
    <n v="0"/>
    <n v="0"/>
    <n v="0"/>
    <n v="1280"/>
    <n v="0"/>
    <n v="0"/>
    <n v="0"/>
    <n v="0"/>
    <m/>
    <m/>
    <m/>
    <m/>
    <m/>
    <m/>
    <m/>
    <m/>
    <m/>
    <m/>
    <m/>
    <m/>
    <m/>
    <m/>
    <m/>
    <m/>
    <m/>
    <m/>
    <m/>
    <m/>
    <n v="0"/>
    <n v="0.51246105919003115"/>
    <n v="0"/>
    <n v="0.53400083437630375"/>
    <n v="129"/>
    <n v="116"/>
    <n v="44"/>
    <n v="145"/>
    <n v="44"/>
    <n v="136"/>
    <n v="13"/>
    <n v="125"/>
    <n v="13"/>
    <n v="117"/>
    <n v="52"/>
    <n v="90"/>
    <n v="52"/>
    <n v="74"/>
    <n v="51"/>
    <n v="39"/>
    <n v="11"/>
    <n v="33"/>
    <n v="11"/>
    <n v="27"/>
    <n v="51"/>
    <n v="25"/>
    <n v="40"/>
    <n v="20"/>
    <n v="9"/>
    <n v="23"/>
    <n v="9"/>
    <n v="17"/>
    <n v="23"/>
    <n v="17"/>
    <n v="23"/>
    <n v="17"/>
    <n v="40"/>
    <n v="11"/>
    <n v="15"/>
    <n v="12"/>
    <n v="31"/>
    <n v="10"/>
    <n v="31"/>
    <n v="10"/>
    <n v="43"/>
    <n v="9"/>
    <n v="30"/>
    <n v="35"/>
    <n v="532"/>
    <n v="10"/>
    <n v="490"/>
    <n v="10"/>
    <n v="13"/>
    <n v="8"/>
    <n v="40"/>
    <n v="11"/>
    <n v="11"/>
    <n v="7"/>
    <n v="11"/>
    <n v="10"/>
    <n v="14"/>
    <n v="7"/>
    <n v="14"/>
    <n v="8"/>
    <n v="40"/>
    <n v="7"/>
    <n v="13"/>
    <n v="8"/>
    <n v="26"/>
    <n v="4"/>
    <n v="26"/>
    <n v="1"/>
    <n v="43"/>
    <n v="3"/>
    <n v="43"/>
    <n v="1"/>
    <m/>
    <m/>
    <m/>
    <m/>
    <m/>
    <m/>
    <m/>
    <m/>
    <m/>
    <m/>
    <m/>
    <m/>
    <m/>
    <m/>
    <m/>
    <m/>
    <m/>
    <m/>
    <n v="36"/>
    <n v="6"/>
    <n v="0.22222222222222221"/>
    <n v="39"/>
    <n v="6"/>
    <n v="0.28205128205128205"/>
    <n v="568"/>
    <n v="529"/>
    <n v="124"/>
    <n v="106"/>
    <m/>
    <m/>
    <m/>
    <m/>
    <m/>
    <m/>
    <m/>
    <m/>
    <m/>
    <m/>
    <m/>
    <m/>
    <m/>
    <m/>
    <m/>
    <m/>
    <m/>
    <m/>
    <n v="124"/>
    <n v="106"/>
    <m/>
    <m/>
    <n v="2568"/>
    <n v="2397"/>
  </r>
  <r>
    <x v="1"/>
    <s v="University of Arkansas at Monticello"/>
    <m/>
    <n v="106485"/>
    <x v="3"/>
    <n v="448"/>
    <n v="335"/>
    <n v="38"/>
    <n v="35"/>
    <n v="336"/>
    <n v="409"/>
    <n v="0.92054794520547945"/>
    <n v="1.111413043478261"/>
    <n v="365"/>
    <n v="0"/>
    <n v="0"/>
    <n v="0"/>
    <n v="0"/>
    <n v="368"/>
    <n v="0"/>
    <n v="0"/>
    <n v="0"/>
    <n v="0"/>
    <m/>
    <m/>
    <m/>
    <m/>
    <m/>
    <m/>
    <m/>
    <m/>
    <m/>
    <m/>
    <m/>
    <m/>
    <m/>
    <m/>
    <m/>
    <m/>
    <m/>
    <m/>
    <m/>
    <m/>
    <n v="0"/>
    <n v="0.2760968229954614"/>
    <n v="0"/>
    <n v="0.28527131782945736"/>
    <n v="0"/>
    <n v="0"/>
    <n v="13"/>
    <n v="105"/>
    <n v="13"/>
    <n v="114"/>
    <n v="31"/>
    <n v="10"/>
    <n v="31"/>
    <n v="15"/>
    <n v="50"/>
    <n v="9"/>
    <n v="50"/>
    <n v="9"/>
    <n v="3"/>
    <n v="6"/>
    <n v="3"/>
    <n v="3"/>
    <n v="23"/>
    <n v="5"/>
    <n v="23"/>
    <n v="2"/>
    <m/>
    <m/>
    <m/>
    <m/>
    <m/>
    <m/>
    <m/>
    <m/>
    <m/>
    <m/>
    <m/>
    <m/>
    <m/>
    <m/>
    <m/>
    <m/>
    <m/>
    <m/>
    <m/>
    <m/>
    <m/>
    <m/>
    <n v="135"/>
    <n v="5"/>
    <n v="14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35"/>
    <n v="143"/>
    <m/>
    <m/>
    <m/>
    <m/>
    <m/>
    <m/>
    <m/>
    <m/>
    <m/>
    <m/>
    <m/>
    <m/>
    <m/>
    <m/>
    <m/>
    <m/>
    <m/>
    <m/>
    <m/>
    <m/>
    <n v="0"/>
    <n v="0"/>
    <m/>
    <m/>
    <n v="1322"/>
    <n v="1290"/>
  </r>
  <r>
    <x v="1"/>
    <s v="University of Arkansas for Medical Sciences"/>
    <m/>
    <n v="106263"/>
    <x v="11"/>
    <n v="1"/>
    <n v="0"/>
    <n v="0"/>
    <n v="0"/>
    <n v="56"/>
    <n v="9"/>
    <n v="0.22857142857142856"/>
    <n v="3.6585365853658534E-2"/>
    <n v="245"/>
    <n v="0"/>
    <n v="0"/>
    <n v="0"/>
    <n v="0"/>
    <n v="246"/>
    <n v="0"/>
    <n v="0"/>
    <n v="0"/>
    <n v="0"/>
    <m/>
    <m/>
    <m/>
    <m/>
    <m/>
    <m/>
    <m/>
    <m/>
    <m/>
    <m/>
    <m/>
    <m/>
    <m/>
    <m/>
    <m/>
    <m/>
    <m/>
    <m/>
    <m/>
    <m/>
    <n v="0"/>
    <n v="0.27497194163860833"/>
    <n v="0"/>
    <n v="0.28114285714285714"/>
    <n v="38"/>
    <n v="32"/>
    <n v="51"/>
    <n v="210"/>
    <n v="51"/>
    <n v="200"/>
    <n v="26"/>
    <n v="8"/>
    <n v="44"/>
    <n v="12"/>
    <n v="30"/>
    <n v="6"/>
    <n v="30"/>
    <n v="9"/>
    <m/>
    <m/>
    <n v="26"/>
    <n v="7"/>
    <m/>
    <m/>
    <m/>
    <m/>
    <m/>
    <m/>
    <m/>
    <m/>
    <m/>
    <m/>
    <m/>
    <m/>
    <m/>
    <m/>
    <m/>
    <m/>
    <m/>
    <m/>
    <m/>
    <m/>
    <m/>
    <m/>
    <m/>
    <m/>
    <m/>
    <m/>
    <n v="224"/>
    <n v="3"/>
    <n v="228"/>
    <n v="4"/>
    <n v="51"/>
    <n v="22"/>
    <n v="51"/>
    <n v="24"/>
    <n v="26"/>
    <n v="4"/>
    <n v="26"/>
    <n v="8"/>
    <n v="30"/>
    <n v="1"/>
    <n v="30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7"/>
    <n v="3"/>
    <n v="0.81481481481481477"/>
    <n v="40"/>
    <n v="3"/>
    <n v="0.6"/>
    <n v="251"/>
    <n v="268"/>
    <m/>
    <m/>
    <n v="163"/>
    <n v="164"/>
    <m/>
    <m/>
    <n v="111"/>
    <n v="112"/>
    <m/>
    <m/>
    <m/>
    <m/>
    <m/>
    <m/>
    <m/>
    <m/>
    <m/>
    <m/>
    <n v="26"/>
    <n v="44"/>
    <n v="300"/>
    <n v="320"/>
    <m/>
    <m/>
    <n v="891"/>
    <n v="875"/>
  </r>
  <r>
    <x v="1"/>
    <s v="University of Arkansas at Pine Bluff"/>
    <s v="Met the criteria for Four-Year 4 in 2020-21."/>
    <n v="106412"/>
    <x v="5"/>
    <n v="0"/>
    <n v="0"/>
    <n v="0"/>
    <n v="0"/>
    <n v="3"/>
    <n v="4"/>
    <n v="6.9284064665127024E-3"/>
    <n v="8.7912087912087912E-3"/>
    <n v="433"/>
    <n v="0"/>
    <n v="0"/>
    <n v="0"/>
    <n v="0"/>
    <n v="455"/>
    <n v="0"/>
    <n v="0"/>
    <n v="0"/>
    <n v="0"/>
    <m/>
    <m/>
    <m/>
    <m/>
    <m/>
    <m/>
    <m/>
    <m/>
    <m/>
    <m/>
    <m/>
    <m/>
    <m/>
    <m/>
    <m/>
    <m/>
    <m/>
    <m/>
    <m/>
    <m/>
    <n v="0"/>
    <n v="0.93722943722943719"/>
    <n v="0"/>
    <n v="0.89920948616600793"/>
    <n v="0"/>
    <n v="0"/>
    <n v="11"/>
    <n v="10"/>
    <n v="13"/>
    <n v="22"/>
    <n v="51"/>
    <n v="7"/>
    <n v="11"/>
    <n v="8"/>
    <n v="3"/>
    <n v="4"/>
    <n v="1"/>
    <n v="8"/>
    <n v="13"/>
    <n v="3"/>
    <n v="3"/>
    <n v="6"/>
    <n v="1"/>
    <n v="1"/>
    <n v="51"/>
    <n v="3"/>
    <m/>
    <m/>
    <m/>
    <m/>
    <m/>
    <m/>
    <m/>
    <m/>
    <m/>
    <m/>
    <m/>
    <m/>
    <m/>
    <m/>
    <m/>
    <m/>
    <m/>
    <m/>
    <m/>
    <m/>
    <m/>
    <m/>
    <n v="25"/>
    <n v="5"/>
    <n v="47"/>
    <n v="5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0"/>
    <n v="0"/>
    <n v="0"/>
    <n v="26"/>
    <n v="47"/>
    <m/>
    <m/>
    <m/>
    <m/>
    <m/>
    <m/>
    <m/>
    <m/>
    <m/>
    <m/>
    <m/>
    <m/>
    <m/>
    <m/>
    <m/>
    <m/>
    <m/>
    <m/>
    <m/>
    <m/>
    <n v="0"/>
    <n v="0"/>
    <m/>
    <m/>
    <n v="462"/>
    <n v="506"/>
  </r>
  <r>
    <x v="1"/>
    <s v="University of Central Arkansas "/>
    <m/>
    <n v="106704"/>
    <x v="2"/>
    <n v="0"/>
    <n v="0"/>
    <n v="0"/>
    <n v="0"/>
    <n v="71"/>
    <n v="28"/>
    <n v="4.0641099026903264E-2"/>
    <n v="1.6073478760045924E-2"/>
    <n v="1747"/>
    <n v="0"/>
    <n v="0"/>
    <n v="0"/>
    <n v="0"/>
    <n v="1742"/>
    <n v="0"/>
    <n v="0"/>
    <n v="0"/>
    <n v="0"/>
    <m/>
    <m/>
    <m/>
    <m/>
    <m/>
    <m/>
    <m/>
    <m/>
    <m/>
    <m/>
    <m/>
    <m/>
    <m/>
    <m/>
    <m/>
    <m/>
    <m/>
    <m/>
    <m/>
    <m/>
    <n v="0"/>
    <n v="0.70843471208434716"/>
    <n v="0"/>
    <n v="0.71835051546391748"/>
    <n v="19"/>
    <n v="26"/>
    <n v="13"/>
    <n v="193"/>
    <n v="13"/>
    <n v="210"/>
    <n v="51"/>
    <n v="153"/>
    <n v="51"/>
    <n v="124"/>
    <n v="52"/>
    <n v="69"/>
    <n v="52"/>
    <n v="93"/>
    <n v="25"/>
    <n v="38"/>
    <n v="19"/>
    <n v="21"/>
    <n v="19"/>
    <n v="28"/>
    <n v="31"/>
    <n v="18"/>
    <n v="50"/>
    <n v="17"/>
    <n v="50"/>
    <n v="17"/>
    <n v="11"/>
    <n v="10"/>
    <n v="25"/>
    <n v="15"/>
    <n v="23"/>
    <n v="10"/>
    <n v="26"/>
    <n v="9"/>
    <n v="26"/>
    <n v="10"/>
    <n v="26"/>
    <n v="9"/>
    <n v="27"/>
    <n v="10"/>
    <n v="42"/>
    <n v="9"/>
    <n v="25"/>
    <n v="29"/>
    <n v="563"/>
    <n v="10"/>
    <n v="554"/>
    <n v="10"/>
    <n v="30"/>
    <n v="4"/>
    <n v="42"/>
    <n v="6"/>
    <n v="42"/>
    <n v="3"/>
    <n v="30"/>
    <n v="3"/>
    <n v="51"/>
    <n v="2"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3"/>
    <n v="0.44444444444444442"/>
    <n v="11"/>
    <n v="3"/>
    <n v="0.54545454545454541"/>
    <n v="572"/>
    <n v="565"/>
    <m/>
    <m/>
    <m/>
    <m/>
    <m/>
    <m/>
    <m/>
    <m/>
    <m/>
    <m/>
    <m/>
    <m/>
    <m/>
    <m/>
    <m/>
    <m/>
    <m/>
    <m/>
    <n v="57"/>
    <n v="64"/>
    <n v="57"/>
    <n v="64"/>
    <m/>
    <m/>
    <n v="2466"/>
    <n v="2425"/>
  </r>
  <r>
    <x v="1"/>
    <s v="Arkansas Northeastern College"/>
    <m/>
    <n v="107327"/>
    <x v="8"/>
    <n v="292"/>
    <n v="263"/>
    <n v="0"/>
    <n v="0"/>
    <n v="164"/>
    <n v="15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6"/>
    <n v="417"/>
  </r>
  <r>
    <x v="1"/>
    <s v="Arkansas State University-Beebe"/>
    <m/>
    <n v="106449"/>
    <x v="7"/>
    <n v="851"/>
    <n v="689"/>
    <n v="0"/>
    <n v="0"/>
    <n v="767"/>
    <n v="797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8"/>
    <n v="1486"/>
  </r>
  <r>
    <x v="1"/>
    <s v="Arkansas State University Mountain Home"/>
    <m/>
    <n v="420538"/>
    <x v="8"/>
    <n v="336"/>
    <n v="198"/>
    <n v="0"/>
    <n v="0"/>
    <n v="185"/>
    <n v="219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1"/>
    <n v="417"/>
  </r>
  <r>
    <x v="1"/>
    <s v="Arkansas State University Mid-South"/>
    <m/>
    <n v="107318"/>
    <x v="8"/>
    <n v="439"/>
    <n v="328"/>
    <n v="0"/>
    <n v="0"/>
    <n v="128"/>
    <n v="95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7"/>
    <n v="423"/>
  </r>
  <r>
    <x v="1"/>
    <s v="Arkansas State University-Newport"/>
    <m/>
    <n v="440402"/>
    <x v="8"/>
    <n v="874"/>
    <n v="461"/>
    <n v="0"/>
    <n v="0"/>
    <n v="242"/>
    <n v="28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16"/>
    <n v="741"/>
  </r>
  <r>
    <x v="1"/>
    <s v="Arkansas State University Three Rivers"/>
    <s v="2019-20: Institution joined one of our university systems"/>
    <n v="107521"/>
    <x v="8"/>
    <n v="529"/>
    <n v="524"/>
    <n v="0"/>
    <n v="0"/>
    <n v="114"/>
    <n v="12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3"/>
    <n v="648"/>
  </r>
  <r>
    <x v="1"/>
    <s v="Black River Technical College"/>
    <m/>
    <n v="106625"/>
    <x v="8"/>
    <n v="339"/>
    <n v="295"/>
    <n v="0"/>
    <n v="0"/>
    <n v="204"/>
    <n v="399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3"/>
    <n v="694"/>
  </r>
  <r>
    <x v="1"/>
    <s v="Cossatot Community College of the University of Arkansas"/>
    <m/>
    <n v="106795"/>
    <x v="8"/>
    <n v="544"/>
    <n v="567"/>
    <n v="0"/>
    <n v="0"/>
    <n v="164"/>
    <n v="206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8"/>
    <n v="773"/>
  </r>
  <r>
    <x v="1"/>
    <s v="East Arkansas Community College "/>
    <m/>
    <n v="106883"/>
    <x v="8"/>
    <n v="376"/>
    <n v="311"/>
    <n v="0"/>
    <n v="0"/>
    <n v="124"/>
    <n v="147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0"/>
    <n v="458"/>
  </r>
  <r>
    <x v="1"/>
    <s v="North Arkansas College"/>
    <m/>
    <n v="107460"/>
    <x v="8"/>
    <n v="391"/>
    <n v="320"/>
    <n v="0"/>
    <n v="0"/>
    <n v="310"/>
    <n v="269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1"/>
    <n v="589"/>
  </r>
  <r>
    <x v="1"/>
    <s v="National Park College"/>
    <m/>
    <n v="106980"/>
    <x v="8"/>
    <n v="482"/>
    <n v="472"/>
    <n v="0"/>
    <n v="0"/>
    <n v="299"/>
    <n v="29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1"/>
    <n v="762"/>
  </r>
  <r>
    <x v="1"/>
    <s v="Northwest Arkansas Community College "/>
    <s v="Met the criteria for Two-Year 2 in 2020-21."/>
    <n v="367459"/>
    <x v="6"/>
    <n v="605"/>
    <n v="748"/>
    <n v="0"/>
    <n v="0"/>
    <n v="995"/>
    <n v="1001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00"/>
    <n v="1749"/>
  </r>
  <r>
    <x v="1"/>
    <s v="Ozarka College "/>
    <m/>
    <n v="107549"/>
    <x v="8"/>
    <n v="458"/>
    <n v="331"/>
    <n v="0"/>
    <n v="0"/>
    <n v="183"/>
    <n v="223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1"/>
    <n v="554"/>
  </r>
  <r>
    <x v="1"/>
    <s v="Phillips Community College of the Univ of Arkansas"/>
    <m/>
    <n v="107619"/>
    <x v="8"/>
    <n v="363"/>
    <n v="353"/>
    <n v="0"/>
    <n v="0"/>
    <n v="133"/>
    <n v="122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6"/>
    <n v="475"/>
  </r>
  <r>
    <x v="1"/>
    <s v="South Arkansas Community College"/>
    <m/>
    <n v="107974"/>
    <x v="8"/>
    <n v="620"/>
    <n v="439"/>
    <n v="0"/>
    <n v="0"/>
    <n v="163"/>
    <n v="161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3"/>
    <n v="600"/>
  </r>
  <r>
    <x v="1"/>
    <s v="Southern Arkansas University Tech"/>
    <m/>
    <n v="107992"/>
    <x v="8"/>
    <n v="730"/>
    <n v="633"/>
    <n v="0"/>
    <n v="0"/>
    <n v="140"/>
    <n v="136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70"/>
    <n v="769"/>
  </r>
  <r>
    <x v="1"/>
    <s v="Southeast Arkansas College"/>
    <m/>
    <n v="107637"/>
    <x v="8"/>
    <n v="224"/>
    <n v="247"/>
    <n v="0"/>
    <n v="0"/>
    <n v="175"/>
    <n v="18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9"/>
    <n v="427"/>
  </r>
  <r>
    <x v="1"/>
    <s v="University of Arkansas Community College at Batesville"/>
    <m/>
    <n v="106999"/>
    <x v="8"/>
    <n v="418"/>
    <n v="293"/>
    <n v="0"/>
    <n v="0"/>
    <n v="209"/>
    <n v="251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7"/>
    <n v="544"/>
  </r>
  <r>
    <x v="1"/>
    <s v="University of Arkansas Community College at Hope-Texarkana"/>
    <m/>
    <n v="107725"/>
    <x v="8"/>
    <n v="618"/>
    <n v="482"/>
    <n v="0"/>
    <n v="0"/>
    <n v="233"/>
    <n v="177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51"/>
    <n v="659"/>
  </r>
  <r>
    <x v="1"/>
    <s v="University of Arkansas Community College at Morrilton"/>
    <m/>
    <n v="107585"/>
    <x v="8"/>
    <n v="543"/>
    <n v="537"/>
    <n v="0"/>
    <n v="0"/>
    <n v="499"/>
    <n v="41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42"/>
    <n v="947"/>
  </r>
  <r>
    <x v="1"/>
    <s v="University of Arkansas Community College Rich Mountain"/>
    <m/>
    <n v="107743"/>
    <x v="8"/>
    <n v="181"/>
    <n v="151"/>
    <n v="0"/>
    <n v="0"/>
    <n v="133"/>
    <n v="121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4"/>
    <n v="272"/>
  </r>
  <r>
    <x v="1"/>
    <s v="University of Arkansas - Pulaski Technical College"/>
    <m/>
    <n v="107664"/>
    <x v="7"/>
    <n v="812"/>
    <n v="840"/>
    <n v="0"/>
    <n v="0"/>
    <n v="754"/>
    <n v="676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66"/>
    <n v="1516"/>
  </r>
  <r>
    <x v="2"/>
    <s v="University of Delaware"/>
    <m/>
    <n v="130943"/>
    <x v="0"/>
    <m/>
    <m/>
    <m/>
    <m/>
    <n v="271"/>
    <n v="261"/>
    <n v="6.2731481481481485E-2"/>
    <n v="6.151308036766439E-2"/>
    <n v="4320"/>
    <n v="0"/>
    <n v="0"/>
    <n v="0"/>
    <n v="0"/>
    <n v="4243"/>
    <n v="0"/>
    <n v="0"/>
    <n v="0"/>
    <n v="0"/>
    <m/>
    <m/>
    <m/>
    <m/>
    <m/>
    <m/>
    <m/>
    <m/>
    <m/>
    <m/>
    <m/>
    <m/>
    <m/>
    <m/>
    <m/>
    <m/>
    <m/>
    <m/>
    <m/>
    <m/>
    <n v="0"/>
    <n v="0.72764022233451242"/>
    <n v="0"/>
    <n v="0.73230928546772522"/>
    <m/>
    <m/>
    <n v="52"/>
    <n v="267"/>
    <n v="52"/>
    <n v="276"/>
    <n v="14"/>
    <n v="101"/>
    <n v="26"/>
    <n v="108"/>
    <n v="26"/>
    <n v="99"/>
    <n v="13"/>
    <n v="104"/>
    <n v="13"/>
    <n v="88"/>
    <n v="14"/>
    <n v="96"/>
    <n v="11"/>
    <n v="76"/>
    <n v="11"/>
    <n v="59"/>
    <n v="51"/>
    <n v="73"/>
    <n v="51"/>
    <n v="58"/>
    <n v="45"/>
    <n v="60"/>
    <n v="27"/>
    <n v="45"/>
    <n v="50"/>
    <n v="48"/>
    <n v="44"/>
    <n v="37"/>
    <n v="44"/>
    <n v="43"/>
    <n v="50"/>
    <n v="32"/>
    <n v="27"/>
    <n v="38"/>
    <n v="40"/>
    <n v="31"/>
    <n v="136"/>
    <n v="149"/>
    <n v="1029"/>
    <n v="10"/>
    <n v="995"/>
    <n v="10"/>
    <n v="14"/>
    <n v="68"/>
    <n v="14"/>
    <n v="49"/>
    <n v="40"/>
    <n v="51"/>
    <n v="40"/>
    <n v="39"/>
    <n v="13"/>
    <n v="38"/>
    <n v="45"/>
    <n v="29"/>
    <n v="45"/>
    <n v="26"/>
    <n v="26"/>
    <n v="28"/>
    <n v="26"/>
    <n v="20"/>
    <n v="13"/>
    <n v="24"/>
    <n v="11"/>
    <n v="11"/>
    <n v="11"/>
    <n v="9"/>
    <n v="1"/>
    <n v="9"/>
    <n v="27"/>
    <n v="9"/>
    <n v="42"/>
    <n v="9"/>
    <n v="42"/>
    <n v="9"/>
    <n v="15"/>
    <n v="7"/>
    <n v="1"/>
    <n v="6"/>
    <n v="52"/>
    <n v="5"/>
    <n v="50"/>
    <n v="6"/>
    <n v="19"/>
    <n v="22"/>
    <n v="263"/>
    <n v="10"/>
    <n v="0.2585551330798479"/>
    <n v="230"/>
    <n v="10"/>
    <n v="0.21304347826086956"/>
    <n v="1292"/>
    <n v="1225"/>
    <m/>
    <m/>
    <m/>
    <m/>
    <m/>
    <m/>
    <m/>
    <m/>
    <m/>
    <m/>
    <m/>
    <m/>
    <m/>
    <m/>
    <m/>
    <m/>
    <m/>
    <m/>
    <n v="54"/>
    <n v="65"/>
    <n v="54"/>
    <n v="65"/>
    <m/>
    <m/>
    <n v="5937"/>
    <n v="5794"/>
  </r>
  <r>
    <x v="2"/>
    <s v="Delaware State University"/>
    <m/>
    <n v="130934"/>
    <x v="2"/>
    <m/>
    <n v="16"/>
    <m/>
    <m/>
    <m/>
    <m/>
    <n v="0"/>
    <n v="0"/>
    <n v="658"/>
    <n v="0"/>
    <n v="0"/>
    <n v="0"/>
    <n v="0"/>
    <n v="637"/>
    <n v="0"/>
    <n v="0"/>
    <n v="0"/>
    <n v="0"/>
    <m/>
    <m/>
    <m/>
    <m/>
    <m/>
    <m/>
    <m/>
    <m/>
    <m/>
    <m/>
    <m/>
    <m/>
    <m/>
    <m/>
    <m/>
    <m/>
    <m/>
    <m/>
    <m/>
    <m/>
    <n v="0"/>
    <n v="0.8646517739816032"/>
    <n v="0"/>
    <n v="0.81876606683804631"/>
    <m/>
    <m/>
    <n v="44"/>
    <n v="40"/>
    <n v="44"/>
    <n v="65"/>
    <n v="52"/>
    <n v="16"/>
    <n v="52"/>
    <n v="16"/>
    <n v="3"/>
    <n v="8"/>
    <n v="31"/>
    <n v="11"/>
    <n v="13"/>
    <n v="7"/>
    <n v="26"/>
    <n v="4"/>
    <n v="31"/>
    <n v="5"/>
    <n v="13"/>
    <n v="4"/>
    <n v="27"/>
    <n v="4"/>
    <n v="11"/>
    <n v="3"/>
    <n v="26"/>
    <n v="3"/>
    <n v="40"/>
    <n v="2"/>
    <n v="40"/>
    <n v="3"/>
    <n v="1"/>
    <n v="2"/>
    <n v="1"/>
    <n v="2"/>
    <n v="19"/>
    <n v="2"/>
    <n v="11"/>
    <n v="1"/>
    <n v="3"/>
    <n v="1"/>
    <n v="0"/>
    <n v="1"/>
    <n v="89"/>
    <n v="10"/>
    <n v="111"/>
    <n v="10"/>
    <n v="13"/>
    <n v="8"/>
    <n v="13"/>
    <n v="7"/>
    <n v="27"/>
    <n v="4"/>
    <n v="40"/>
    <n v="4"/>
    <n v="40"/>
    <n v="2"/>
    <n v="27"/>
    <n v="2"/>
    <m/>
    <m/>
    <n v="26"/>
    <n v="1"/>
    <m/>
    <m/>
    <m/>
    <m/>
    <m/>
    <m/>
    <m/>
    <m/>
    <m/>
    <m/>
    <m/>
    <m/>
    <m/>
    <m/>
    <m/>
    <m/>
    <m/>
    <m/>
    <m/>
    <m/>
    <m/>
    <m/>
    <m/>
    <m/>
    <m/>
    <m/>
    <n v="14"/>
    <n v="3"/>
    <n v="0.5714285714285714"/>
    <n v="14"/>
    <n v="4"/>
    <n v="0.5"/>
    <n v="103"/>
    <n v="125"/>
    <m/>
    <m/>
    <m/>
    <m/>
    <m/>
    <m/>
    <m/>
    <m/>
    <m/>
    <m/>
    <m/>
    <m/>
    <m/>
    <m/>
    <m/>
    <m/>
    <m/>
    <m/>
    <m/>
    <m/>
    <n v="0"/>
    <n v="0"/>
    <m/>
    <m/>
    <n v="761"/>
    <n v="778"/>
  </r>
  <r>
    <x v="2"/>
    <s v="Delaware Technical and Community College--Terry"/>
    <s v="Met the criteria for Two-Year with Bachelor's in 2019-20 and 2020-21. "/>
    <n v="130907"/>
    <x v="7"/>
    <n v="187"/>
    <n v="173"/>
    <m/>
    <m/>
    <n v="1674"/>
    <n v="1596"/>
    <n v="38.930232558139537"/>
    <n v="31.294117647058822"/>
    <n v="43"/>
    <n v="0"/>
    <n v="0"/>
    <n v="0"/>
    <n v="0"/>
    <n v="51"/>
    <n v="0"/>
    <n v="0"/>
    <n v="0"/>
    <n v="0"/>
    <n v="51"/>
    <n v="43"/>
    <n v="51"/>
    <n v="51"/>
    <m/>
    <m/>
    <m/>
    <m/>
    <m/>
    <m/>
    <m/>
    <m/>
    <m/>
    <m/>
    <m/>
    <m/>
    <m/>
    <m/>
    <m/>
    <m/>
    <n v="1"/>
    <n v="2.2584033613445378E-2"/>
    <n v="1"/>
    <n v="2.8021978021978023E-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04"/>
    <n v="1820"/>
  </r>
  <r>
    <x v="3"/>
    <m/>
    <m/>
    <m/>
    <x v="12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0"/>
  </r>
  <r>
    <x v="3"/>
    <s v="Eastern Florida State College"/>
    <m/>
    <n v="132693"/>
    <x v="13"/>
    <n v="1845"/>
    <n v="1544"/>
    <n v="3"/>
    <n v="0"/>
    <n v="2848"/>
    <n v="2830"/>
    <n v="7.0845771144278604"/>
    <n v="0"/>
    <n v="402"/>
    <n v="0"/>
    <n v="0"/>
    <n v="0"/>
    <n v="0"/>
    <m/>
    <m/>
    <m/>
    <m/>
    <n v="0"/>
    <n v="52"/>
    <n v="290"/>
    <n v="52"/>
    <n v="357"/>
    <n v="51"/>
    <n v="59"/>
    <n v="51"/>
    <n v="62"/>
    <n v="11"/>
    <n v="53"/>
    <n v="11"/>
    <n v="59"/>
    <m/>
    <m/>
    <m/>
    <m/>
    <m/>
    <m/>
    <m/>
    <m/>
    <n v="3"/>
    <n v="7.8854452726559429E-2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98"/>
    <n v="4374"/>
  </r>
  <r>
    <x v="3"/>
    <s v="Broward College "/>
    <m/>
    <n v="132709"/>
    <x v="13"/>
    <n v="6178"/>
    <n v="5808"/>
    <n v="0"/>
    <n v="0"/>
    <n v="6436"/>
    <n v="6447"/>
    <n v="9.7811550151975677"/>
    <n v="0"/>
    <n v="658"/>
    <n v="0"/>
    <n v="0"/>
    <n v="0"/>
    <n v="0"/>
    <m/>
    <m/>
    <m/>
    <m/>
    <n v="0"/>
    <n v="52"/>
    <n v="296"/>
    <n v="52"/>
    <n v="343"/>
    <n v="51"/>
    <n v="108"/>
    <n v="11"/>
    <n v="121"/>
    <n v="11"/>
    <n v="103"/>
    <n v="51"/>
    <n v="102"/>
    <n v="13"/>
    <n v="51"/>
    <n v="13"/>
    <n v="52"/>
    <n v="3"/>
    <n v="24"/>
    <n v="3"/>
    <n v="22"/>
    <n v="5"/>
    <n v="4.9578059071729956E-2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272"/>
    <n v="12255"/>
  </r>
  <r>
    <x v="3"/>
    <s v="College of Central Florida"/>
    <m/>
    <n v="132851"/>
    <x v="13"/>
    <n v="1107"/>
    <n v="984"/>
    <n v="0"/>
    <n v="0"/>
    <n v="1208"/>
    <n v="1200"/>
    <n v="5.3928571428571432"/>
    <n v="0"/>
    <n v="224"/>
    <n v="0"/>
    <n v="0"/>
    <n v="0"/>
    <n v="0"/>
    <m/>
    <m/>
    <m/>
    <m/>
    <n v="0"/>
    <n v="52"/>
    <n v="156"/>
    <n v="52"/>
    <n v="156"/>
    <n v="51"/>
    <n v="52"/>
    <n v="51"/>
    <n v="56"/>
    <n v="13"/>
    <n v="16"/>
    <n v="13"/>
    <n v="14"/>
    <m/>
    <m/>
    <m/>
    <m/>
    <m/>
    <m/>
    <m/>
    <m/>
    <n v="3"/>
    <n v="8.8223710122095317E-2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39"/>
    <n v="2184"/>
  </r>
  <r>
    <x v="3"/>
    <s v="Chipola College "/>
    <m/>
    <n v="133021"/>
    <x v="13"/>
    <n v="184"/>
    <n v="128"/>
    <n v="11"/>
    <n v="7"/>
    <n v="343"/>
    <n v="329"/>
    <n v="4.9710144927536231"/>
    <n v="0"/>
    <n v="69"/>
    <n v="0"/>
    <n v="0"/>
    <n v="0"/>
    <n v="0"/>
    <m/>
    <m/>
    <m/>
    <m/>
    <n v="0"/>
    <n v="51"/>
    <n v="28"/>
    <n v="52"/>
    <n v="28"/>
    <n v="52"/>
    <n v="25"/>
    <n v="51"/>
    <n v="27"/>
    <n v="13"/>
    <n v="9"/>
    <n v="13"/>
    <n v="20"/>
    <m/>
    <m/>
    <m/>
    <m/>
    <m/>
    <m/>
    <m/>
    <m/>
    <n v="3"/>
    <n v="0.11367380560131796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07"/>
    <n v="464"/>
  </r>
  <r>
    <x v="3"/>
    <s v="Daytona State College "/>
    <m/>
    <n v="133386"/>
    <x v="13"/>
    <n v="962"/>
    <n v="873"/>
    <n v="30"/>
    <n v="34"/>
    <n v="2365"/>
    <n v="2410"/>
    <n v="4.8762886597938149"/>
    <n v="0"/>
    <n v="485"/>
    <n v="0"/>
    <n v="0"/>
    <n v="0"/>
    <n v="0"/>
    <m/>
    <m/>
    <m/>
    <m/>
    <n v="0"/>
    <n v="52"/>
    <n v="272"/>
    <n v="52"/>
    <n v="267"/>
    <n v="51"/>
    <n v="102"/>
    <n v="51"/>
    <n v="129"/>
    <n v="13"/>
    <n v="38"/>
    <n v="13"/>
    <n v="66"/>
    <n v="15"/>
    <n v="33"/>
    <n v="11"/>
    <n v="45"/>
    <n v="11"/>
    <n v="29"/>
    <n v="15"/>
    <n v="34"/>
    <n v="5"/>
    <n v="0.12623633524206143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42"/>
    <n v="3317"/>
  </r>
  <r>
    <x v="3"/>
    <s v="Florida SouthWestern State College"/>
    <m/>
    <n v="133508"/>
    <x v="13"/>
    <n v="236"/>
    <n v="204"/>
    <n v="0"/>
    <n v="0"/>
    <n v="2465"/>
    <n v="2662"/>
    <n v="7.2928994082840237"/>
    <n v="0"/>
    <n v="338"/>
    <n v="0"/>
    <n v="0"/>
    <n v="0"/>
    <n v="0"/>
    <m/>
    <m/>
    <m/>
    <m/>
    <n v="0"/>
    <n v="52"/>
    <n v="128"/>
    <n v="52"/>
    <n v="138"/>
    <n v="51"/>
    <n v="108"/>
    <n v="51"/>
    <n v="105"/>
    <n v="13"/>
    <n v="70"/>
    <n v="13"/>
    <n v="63"/>
    <n v="43"/>
    <n v="25"/>
    <n v="43"/>
    <n v="22"/>
    <m/>
    <m/>
    <m/>
    <m/>
    <n v="4"/>
    <n v="0.11122079631457717"/>
    <n v="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39"/>
    <n v="2866"/>
  </r>
  <r>
    <x v="3"/>
    <s v="Florida State College at Jacksonville"/>
    <m/>
    <n v="133702"/>
    <x v="13"/>
    <n v="3092"/>
    <n v="2222"/>
    <n v="1"/>
    <n v="0"/>
    <n v="3625"/>
    <n v="2194"/>
    <n v="4.3361244019138754"/>
    <n v="0"/>
    <n v="836"/>
    <n v="0"/>
    <n v="0"/>
    <n v="0"/>
    <n v="0"/>
    <m/>
    <m/>
    <m/>
    <m/>
    <n v="0"/>
    <n v="52"/>
    <n v="194"/>
    <n v="52"/>
    <n v="240"/>
    <n v="51"/>
    <n v="115"/>
    <n v="51"/>
    <n v="99"/>
    <n v="11"/>
    <n v="48"/>
    <n v="44"/>
    <n v="83"/>
    <n v="44"/>
    <n v="67"/>
    <n v="11"/>
    <n v="56"/>
    <n v="26"/>
    <n v="28"/>
    <n v="26"/>
    <n v="30"/>
    <n v="5"/>
    <n v="0.11066984379136881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54"/>
    <n v="4416"/>
  </r>
  <r>
    <x v="3"/>
    <s v="The College of the Florida Keys"/>
    <s v="Met the criteria for Two-Year with Bachelor's in 2018-19 and 2019-20. "/>
    <n v="133960"/>
    <x v="8"/>
    <n v="168"/>
    <n v="189"/>
    <n v="0"/>
    <n v="0"/>
    <n v="160"/>
    <n v="151"/>
    <n v="22.857142857142858"/>
    <n v="0"/>
    <n v="7"/>
    <n v="0"/>
    <n v="0"/>
    <n v="0"/>
    <n v="0"/>
    <m/>
    <m/>
    <m/>
    <m/>
    <n v="0"/>
    <n v="52"/>
    <n v="7"/>
    <n v="52"/>
    <n v="8"/>
    <m/>
    <m/>
    <m/>
    <m/>
    <m/>
    <m/>
    <m/>
    <m/>
    <m/>
    <m/>
    <m/>
    <m/>
    <m/>
    <m/>
    <m/>
    <m/>
    <n v="1"/>
    <n v="2.0895522388059702E-2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5"/>
    <n v="340"/>
  </r>
  <r>
    <x v="3"/>
    <s v="Gulf Coast State College "/>
    <m/>
    <n v="134343"/>
    <x v="13"/>
    <n v="350"/>
    <n v="250"/>
    <n v="0"/>
    <n v="0"/>
    <n v="787"/>
    <n v="761"/>
    <n v="9.3690476190476186"/>
    <n v="0"/>
    <n v="84"/>
    <n v="0"/>
    <n v="0"/>
    <n v="0"/>
    <n v="0"/>
    <m/>
    <m/>
    <m/>
    <m/>
    <n v="0"/>
    <n v="51"/>
    <n v="37"/>
    <n v="51"/>
    <n v="27"/>
    <n v="52"/>
    <n v="24"/>
    <n v="52"/>
    <n v="27"/>
    <n v="11"/>
    <n v="16"/>
    <n v="11"/>
    <n v="10"/>
    <n v="10"/>
    <n v="7"/>
    <n v="10"/>
    <n v="9"/>
    <m/>
    <m/>
    <m/>
    <m/>
    <n v="4"/>
    <n v="6.8796068796068796E-2"/>
    <n v="4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21"/>
    <n v="1011"/>
  </r>
  <r>
    <x v="3"/>
    <s v="Hillsborough Community College "/>
    <m/>
    <n v="134495"/>
    <x v="6"/>
    <n v="1658"/>
    <n v="1731"/>
    <n v="127"/>
    <n v="48"/>
    <n v="3933"/>
    <n v="4060"/>
    <n v="0"/>
    <n v="0"/>
    <n v="0"/>
    <n v="0"/>
    <n v="0"/>
    <n v="0"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18"/>
    <n v="5839"/>
  </r>
  <r>
    <x v="3"/>
    <s v="Indian River State College "/>
    <m/>
    <n v="134608"/>
    <x v="13"/>
    <n v="1366"/>
    <n v="1126"/>
    <n v="1"/>
    <n v="2"/>
    <n v="2728"/>
    <n v="2576"/>
    <n v="3.6132450331125829"/>
    <n v="0"/>
    <n v="755"/>
    <n v="0"/>
    <n v="0"/>
    <n v="0"/>
    <n v="0"/>
    <m/>
    <m/>
    <m/>
    <m/>
    <n v="0"/>
    <n v="44"/>
    <n v="115"/>
    <n v="52"/>
    <n v="265"/>
    <n v="51"/>
    <n v="106"/>
    <n v="51"/>
    <n v="151"/>
    <n v="52"/>
    <n v="98"/>
    <n v="44"/>
    <n v="144"/>
    <n v="43"/>
    <n v="80"/>
    <n v="43"/>
    <n v="71"/>
    <n v="11"/>
    <n v="45"/>
    <n v="11"/>
    <n v="57"/>
    <n v="5"/>
    <n v="0.15567010309278351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50"/>
    <n v="3704"/>
  </r>
  <r>
    <x v="3"/>
    <s v="Florida Gateway College"/>
    <m/>
    <n v="135160"/>
    <x v="13"/>
    <n v="401"/>
    <n v="433"/>
    <n v="0"/>
    <n v="0"/>
    <n v="586"/>
    <n v="549"/>
    <n v="12.208333333333334"/>
    <n v="0"/>
    <n v="48"/>
    <n v="0"/>
    <n v="0"/>
    <n v="0"/>
    <n v="0"/>
    <m/>
    <m/>
    <m/>
    <m/>
    <n v="0"/>
    <n v="51"/>
    <n v="37"/>
    <n v="51"/>
    <n v="51"/>
    <n v="13"/>
    <n v="9"/>
    <n v="13"/>
    <n v="11"/>
    <n v="3"/>
    <n v="2"/>
    <n v="3"/>
    <n v="4"/>
    <m/>
    <m/>
    <m/>
    <m/>
    <m/>
    <m/>
    <m/>
    <m/>
    <n v="3"/>
    <n v="4.6376811594202899E-2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35"/>
    <n v="982"/>
  </r>
  <r>
    <x v="3"/>
    <s v="Lake-Sumter State College "/>
    <m/>
    <n v="135188"/>
    <x v="13"/>
    <n v="148"/>
    <n v="180"/>
    <n v="0"/>
    <n v="0"/>
    <n v="910"/>
    <n v="896"/>
    <n v="33.703703703703702"/>
    <n v="0"/>
    <n v="27"/>
    <n v="0"/>
    <n v="0"/>
    <n v="0"/>
    <n v="0"/>
    <m/>
    <m/>
    <m/>
    <m/>
    <n v="0"/>
    <n v="52"/>
    <n v="27"/>
    <n v="52"/>
    <n v="33"/>
    <m/>
    <m/>
    <n v="51"/>
    <n v="16"/>
    <m/>
    <m/>
    <m/>
    <m/>
    <m/>
    <m/>
    <m/>
    <m/>
    <m/>
    <m/>
    <m/>
    <m/>
    <n v="1"/>
    <n v="2.488479262672811E-2"/>
    <n v="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85"/>
    <n v="1076"/>
  </r>
  <r>
    <x v="3"/>
    <s v="State College of Florida, Manatee-Sarasota"/>
    <m/>
    <n v="135391"/>
    <x v="13"/>
    <n v="99"/>
    <n v="72"/>
    <n v="0"/>
    <n v="0"/>
    <n v="1465"/>
    <n v="1520"/>
    <n v="5.1045296167247383"/>
    <n v="0"/>
    <n v="287"/>
    <n v="0"/>
    <n v="0"/>
    <n v="0"/>
    <n v="0"/>
    <m/>
    <m/>
    <m/>
    <m/>
    <n v="0"/>
    <n v="51"/>
    <n v="186"/>
    <n v="51"/>
    <n v="179"/>
    <n v="11"/>
    <n v="22"/>
    <n v="11"/>
    <n v="20"/>
    <n v="13"/>
    <n v="21"/>
    <n v="43"/>
    <n v="19"/>
    <n v="43"/>
    <n v="16"/>
    <n v="13"/>
    <n v="17"/>
    <n v="52"/>
    <n v="10"/>
    <n v="52"/>
    <n v="9"/>
    <n v="5"/>
    <n v="0.15505132360886006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51"/>
    <n v="1592"/>
  </r>
  <r>
    <x v="3"/>
    <s v="Miami Dade College "/>
    <m/>
    <n v="135717"/>
    <x v="13"/>
    <n v="4808"/>
    <n v="4750"/>
    <n v="0"/>
    <n v="0"/>
    <n v="10672"/>
    <n v="10700"/>
    <n v="8.7619047619047628"/>
    <n v="0"/>
    <n v="1218"/>
    <n v="0"/>
    <n v="0"/>
    <n v="0"/>
    <n v="0"/>
    <m/>
    <m/>
    <m/>
    <m/>
    <n v="0"/>
    <n v="52"/>
    <n v="455"/>
    <n v="52"/>
    <n v="428"/>
    <n v="51"/>
    <n v="277"/>
    <n v="51"/>
    <n v="286"/>
    <n v="43"/>
    <n v="142"/>
    <n v="11"/>
    <n v="137"/>
    <n v="11"/>
    <n v="83"/>
    <n v="43"/>
    <n v="128"/>
    <n v="50"/>
    <n v="57"/>
    <n v="13"/>
    <n v="105"/>
    <n v="5"/>
    <n v="7.294286740927057E-2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698"/>
    <n v="15450"/>
  </r>
  <r>
    <x v="3"/>
    <s v="North Florida College "/>
    <s v="Met the criteria for Two-Year with Bachelor's in 2019-20. "/>
    <n v="136145"/>
    <x v="8"/>
    <n v="170"/>
    <n v="137"/>
    <n v="0"/>
    <n v="0"/>
    <n v="255"/>
    <n v="232"/>
    <n v="28.333333333333332"/>
    <n v="0"/>
    <n v="9"/>
    <n v="0"/>
    <n v="0"/>
    <n v="0"/>
    <n v="0"/>
    <m/>
    <m/>
    <m/>
    <m/>
    <n v="0"/>
    <n v="51"/>
    <n v="9"/>
    <n v="51"/>
    <n v="17"/>
    <m/>
    <m/>
    <m/>
    <m/>
    <m/>
    <m/>
    <m/>
    <m/>
    <m/>
    <m/>
    <m/>
    <m/>
    <m/>
    <m/>
    <m/>
    <m/>
    <n v="1"/>
    <n v="2.0737327188940093E-2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4"/>
    <n v="369"/>
  </r>
  <r>
    <x v="3"/>
    <s v="Northwest Florida State College"/>
    <m/>
    <n v="136233"/>
    <x v="13"/>
    <n v="275"/>
    <n v="292"/>
    <n v="0"/>
    <n v="0"/>
    <n v="923"/>
    <n v="976"/>
    <n v="5.5939393939393938"/>
    <n v="0"/>
    <n v="165"/>
    <n v="0"/>
    <n v="0"/>
    <n v="0"/>
    <n v="0"/>
    <m/>
    <m/>
    <m/>
    <m/>
    <n v="0"/>
    <n v="51"/>
    <n v="50"/>
    <n v="52"/>
    <n v="61"/>
    <n v="52"/>
    <n v="43"/>
    <n v="51"/>
    <n v="45"/>
    <n v="13"/>
    <n v="20"/>
    <n v="13"/>
    <n v="34"/>
    <m/>
    <m/>
    <m/>
    <m/>
    <m/>
    <m/>
    <m/>
    <m/>
    <n v="3"/>
    <n v="0.1210564930300807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63"/>
    <n v="1268"/>
  </r>
  <r>
    <x v="3"/>
    <s v="Palm Beach State College "/>
    <m/>
    <n v="136358"/>
    <x v="13"/>
    <n v="2010"/>
    <n v="1646"/>
    <n v="55"/>
    <n v="43"/>
    <n v="4904"/>
    <n v="4671"/>
    <n v="11.704057279236277"/>
    <n v="0"/>
    <n v="419"/>
    <n v="0"/>
    <n v="0"/>
    <n v="0"/>
    <n v="0"/>
    <m/>
    <m/>
    <m/>
    <m/>
    <n v="0"/>
    <n v="52"/>
    <n v="281"/>
    <n v="52"/>
    <n v="322"/>
    <n v="51"/>
    <n v="81"/>
    <n v="51"/>
    <n v="94"/>
    <n v="11"/>
    <n v="57"/>
    <n v="11"/>
    <n v="60"/>
    <m/>
    <m/>
    <m/>
    <m/>
    <m/>
    <m/>
    <m/>
    <m/>
    <n v="3"/>
    <n v="5.6713589604764483E-2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88"/>
    <n v="6360"/>
  </r>
  <r>
    <x v="3"/>
    <s v="Pasco-Hernando State College "/>
    <m/>
    <n v="136400"/>
    <x v="13"/>
    <n v="616"/>
    <n v="463"/>
    <n v="0"/>
    <n v="0"/>
    <n v="1691"/>
    <n v="1739"/>
    <n v="7.9018691588785046"/>
    <n v="0"/>
    <n v="214"/>
    <n v="0"/>
    <n v="0"/>
    <n v="0"/>
    <n v="0"/>
    <m/>
    <m/>
    <m/>
    <m/>
    <n v="0"/>
    <n v="52"/>
    <n v="167"/>
    <n v="52"/>
    <n v="135"/>
    <n v="51"/>
    <n v="47"/>
    <n v="51"/>
    <n v="90"/>
    <m/>
    <m/>
    <m/>
    <m/>
    <m/>
    <m/>
    <m/>
    <m/>
    <m/>
    <m/>
    <m/>
    <m/>
    <n v="2"/>
    <n v="8.4886949623165411E-2"/>
    <n v="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21"/>
    <n v="2202"/>
  </r>
  <r>
    <x v="3"/>
    <s v="Pensacola State College "/>
    <m/>
    <n v="136473"/>
    <x v="13"/>
    <n v="597"/>
    <n v="626"/>
    <n v="0"/>
    <n v="0"/>
    <n v="1608"/>
    <n v="1839"/>
    <n v="9.0337078651685392"/>
    <n v="0"/>
    <n v="178"/>
    <n v="0"/>
    <n v="0"/>
    <n v="0"/>
    <n v="0"/>
    <m/>
    <m/>
    <m/>
    <m/>
    <n v="0"/>
    <n v="52"/>
    <n v="131"/>
    <n v="52"/>
    <n v="164"/>
    <n v="51"/>
    <n v="43"/>
    <n v="51"/>
    <n v="45"/>
    <n v="11"/>
    <n v="4"/>
    <n v="11"/>
    <n v="32"/>
    <m/>
    <m/>
    <m/>
    <m/>
    <m/>
    <m/>
    <m/>
    <m/>
    <n v="3"/>
    <n v="7.4695761644985315E-2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83"/>
    <n v="2465"/>
  </r>
  <r>
    <x v="3"/>
    <s v="Polk State College "/>
    <m/>
    <n v="136516"/>
    <x v="13"/>
    <n v="503"/>
    <n v="427"/>
    <n v="0"/>
    <n v="0"/>
    <n v="1676"/>
    <n v="1684"/>
    <n v="3.8090909090909091"/>
    <n v="0"/>
    <n v="440"/>
    <n v="0"/>
    <n v="0"/>
    <n v="0"/>
    <n v="0"/>
    <m/>
    <m/>
    <m/>
    <m/>
    <n v="0"/>
    <n v="52"/>
    <n v="259"/>
    <n v="52"/>
    <n v="238"/>
    <n v="51"/>
    <n v="92"/>
    <n v="51"/>
    <n v="87"/>
    <n v="43"/>
    <n v="60"/>
    <n v="43"/>
    <n v="45"/>
    <n v="13"/>
    <n v="16"/>
    <n v="13"/>
    <n v="38"/>
    <n v="49"/>
    <n v="7"/>
    <n v="49"/>
    <n v="20"/>
    <n v="5"/>
    <n v="0.16800305460099274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19"/>
    <n v="2111"/>
  </r>
  <r>
    <x v="3"/>
    <s v="St. Johns River State College "/>
    <m/>
    <n v="137281"/>
    <x v="13"/>
    <n v="255"/>
    <n v="373"/>
    <n v="0"/>
    <n v="0"/>
    <n v="903"/>
    <n v="908"/>
    <n v="8.766990291262136"/>
    <n v="0"/>
    <n v="103"/>
    <n v="0"/>
    <n v="0"/>
    <n v="0"/>
    <n v="0"/>
    <m/>
    <m/>
    <m/>
    <m/>
    <n v="0"/>
    <n v="52"/>
    <n v="47"/>
    <n v="51"/>
    <n v="55"/>
    <n v="51"/>
    <n v="37"/>
    <n v="52"/>
    <n v="49"/>
    <n v="13"/>
    <n v="19"/>
    <n v="13"/>
    <n v="19"/>
    <m/>
    <m/>
    <m/>
    <m/>
    <m/>
    <m/>
    <m/>
    <m/>
    <n v="3"/>
    <n v="8.16812053925456E-2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61"/>
    <n v="1281"/>
  </r>
  <r>
    <x v="3"/>
    <s v="St. Petersburg College "/>
    <m/>
    <n v="137078"/>
    <x v="13"/>
    <n v="1372"/>
    <n v="1452"/>
    <n v="0"/>
    <n v="0"/>
    <n v="4013"/>
    <n v="4004"/>
    <n v="3.3083264633140974"/>
    <n v="0"/>
    <n v="1213"/>
    <n v="0"/>
    <n v="0"/>
    <n v="0"/>
    <n v="0"/>
    <m/>
    <m/>
    <m/>
    <m/>
    <n v="0"/>
    <n v="51"/>
    <n v="234"/>
    <n v="51"/>
    <n v="371"/>
    <n v="52"/>
    <n v="172"/>
    <n v="52"/>
    <n v="329"/>
    <n v="11"/>
    <n v="124"/>
    <n v="13"/>
    <n v="142"/>
    <n v="43"/>
    <n v="86"/>
    <n v="11"/>
    <n v="109"/>
    <n v="13"/>
    <n v="66"/>
    <n v="43"/>
    <n v="63"/>
    <n v="5"/>
    <n v="0.18384358896635344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98"/>
    <n v="5456"/>
  </r>
  <r>
    <x v="3"/>
    <s v="Santa Fe College "/>
    <m/>
    <n v="137096"/>
    <x v="13"/>
    <n v="590"/>
    <n v="406"/>
    <n v="45"/>
    <n v="37"/>
    <n v="2775"/>
    <n v="2633"/>
    <n v="10.632183908045977"/>
    <n v="0"/>
    <n v="261"/>
    <n v="0"/>
    <n v="0"/>
    <n v="0"/>
    <n v="0"/>
    <m/>
    <m/>
    <m/>
    <m/>
    <n v="0"/>
    <n v="52"/>
    <n v="80"/>
    <n v="51"/>
    <n v="151"/>
    <n v="51"/>
    <n v="76"/>
    <n v="52"/>
    <n v="84"/>
    <n v="11"/>
    <n v="21"/>
    <n v="13"/>
    <n v="24"/>
    <n v="50"/>
    <n v="9"/>
    <n v="11"/>
    <n v="20"/>
    <n v="13"/>
    <n v="9"/>
    <n v="50"/>
    <n v="9"/>
    <n v="5"/>
    <n v="7.1097793516752925E-2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71"/>
    <n v="3076"/>
  </r>
  <r>
    <x v="3"/>
    <s v="Seminole State College of Florida"/>
    <m/>
    <n v="137209"/>
    <x v="13"/>
    <n v="3393"/>
    <n v="2988"/>
    <n v="34"/>
    <n v="25"/>
    <n v="3075"/>
    <n v="2706"/>
    <n v="6.5705128205128203"/>
    <n v="0"/>
    <n v="468"/>
    <n v="0"/>
    <n v="0"/>
    <n v="0"/>
    <n v="0"/>
    <m/>
    <m/>
    <m/>
    <m/>
    <n v="0"/>
    <n v="52"/>
    <n v="135"/>
    <n v="51"/>
    <n v="177"/>
    <n v="11"/>
    <n v="128"/>
    <n v="52"/>
    <n v="145"/>
    <n v="51"/>
    <n v="126"/>
    <n v="11"/>
    <n v="136"/>
    <n v="50"/>
    <n v="27"/>
    <n v="15"/>
    <n v="52"/>
    <n v="15"/>
    <n v="24"/>
    <n v="50"/>
    <n v="34"/>
    <n v="5"/>
    <n v="6.7144906743185073E-2"/>
    <n v="5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70"/>
    <n v="5719"/>
  </r>
  <r>
    <x v="3"/>
    <s v="South Florida State College "/>
    <m/>
    <n v="137315"/>
    <x v="13"/>
    <n v="419"/>
    <n v="224"/>
    <n v="17"/>
    <n v="9"/>
    <n v="423"/>
    <n v="316"/>
    <n v="6.609375"/>
    <n v="0"/>
    <n v="64"/>
    <n v="0"/>
    <n v="0"/>
    <n v="0"/>
    <n v="0"/>
    <m/>
    <m/>
    <m/>
    <m/>
    <n v="0"/>
    <n v="52"/>
    <n v="36"/>
    <n v="52"/>
    <n v="32"/>
    <n v="51"/>
    <n v="15"/>
    <n v="13"/>
    <n v="15"/>
    <n v="13"/>
    <n v="13"/>
    <n v="51"/>
    <n v="15"/>
    <m/>
    <m/>
    <m/>
    <m/>
    <m/>
    <m/>
    <m/>
    <m/>
    <n v="3"/>
    <n v="6.9339111592632716E-2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3"/>
    <n v="549"/>
  </r>
  <r>
    <x v="3"/>
    <s v="Tallahassee Community College "/>
    <s v="Met the criteria for Two-Year with Bachelor's in 2019-20. "/>
    <n v="137759"/>
    <x v="6"/>
    <n v="650"/>
    <n v="770"/>
    <n v="0"/>
    <n v="0"/>
    <n v="2483"/>
    <n v="2847"/>
    <n v="206.91666666666666"/>
    <n v="0"/>
    <n v="12"/>
    <n v="0"/>
    <n v="0"/>
    <n v="0"/>
    <n v="0"/>
    <m/>
    <m/>
    <m/>
    <m/>
    <n v="0"/>
    <n v="51"/>
    <n v="12"/>
    <n v="51"/>
    <n v="19"/>
    <m/>
    <m/>
    <m/>
    <m/>
    <m/>
    <m/>
    <m/>
    <m/>
    <m/>
    <m/>
    <m/>
    <m/>
    <m/>
    <m/>
    <m/>
    <m/>
    <n v="1"/>
    <n v="3.8155802861685214E-3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45"/>
    <n v="3617"/>
  </r>
  <r>
    <x v="3"/>
    <s v="Valencia College "/>
    <m/>
    <n v="138187"/>
    <x v="13"/>
    <n v="6484"/>
    <n v="9145"/>
    <n v="0"/>
    <n v="0"/>
    <n v="8516"/>
    <n v="8582"/>
    <n v="106.45"/>
    <n v="0"/>
    <n v="80"/>
    <n v="0"/>
    <n v="0"/>
    <n v="0"/>
    <n v="0"/>
    <m/>
    <m/>
    <m/>
    <m/>
    <n v="0"/>
    <n v="15"/>
    <n v="26"/>
    <n v="52"/>
    <n v="208"/>
    <n v="51"/>
    <n v="24"/>
    <n v="51"/>
    <n v="103"/>
    <n v="52"/>
    <n v="8"/>
    <n v="15"/>
    <n v="26"/>
    <m/>
    <m/>
    <m/>
    <m/>
    <m/>
    <m/>
    <m/>
    <m/>
    <n v="3"/>
    <n v="5.3050397877984082E-3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080"/>
    <n v="17727"/>
  </r>
  <r>
    <x v="4"/>
    <s v="Georgia State University "/>
    <m/>
    <n v="139940"/>
    <x v="0"/>
    <n v="105"/>
    <n v="98"/>
    <m/>
    <m/>
    <n v="2240"/>
    <n v="2417"/>
    <n v="0.43110084680523481"/>
    <n v="0.45270649934444651"/>
    <n v="5196"/>
    <n v="0"/>
    <n v="0"/>
    <n v="0"/>
    <n v="0"/>
    <n v="5339"/>
    <n v="0"/>
    <n v="0"/>
    <n v="0"/>
    <n v="0"/>
    <m/>
    <m/>
    <m/>
    <m/>
    <m/>
    <m/>
    <m/>
    <m/>
    <m/>
    <m/>
    <m/>
    <m/>
    <m/>
    <m/>
    <m/>
    <m/>
    <m/>
    <m/>
    <m/>
    <m/>
    <n v="0"/>
    <n v="0.51465927099841524"/>
    <n v="0"/>
    <n v="0.50949518083786616"/>
    <n v="85"/>
    <n v="127"/>
    <s v="13"/>
    <n v="393"/>
    <s v="52"/>
    <n v="430"/>
    <s v="52"/>
    <n v="378"/>
    <s v="13"/>
    <n v="420"/>
    <s v="51"/>
    <n v="278"/>
    <s v="51"/>
    <n v="284"/>
    <s v="11"/>
    <n v="172"/>
    <s v="11"/>
    <n v="173"/>
    <s v="44"/>
    <n v="109"/>
    <s v="44"/>
    <n v="106"/>
    <s v="45"/>
    <n v="106"/>
    <s v="45"/>
    <n v="104"/>
    <s v="26"/>
    <n v="92"/>
    <s v="26"/>
    <n v="78"/>
    <s v="40"/>
    <n v="69"/>
    <s v="27"/>
    <n v="68"/>
    <s v="42"/>
    <n v="68"/>
    <s v="42"/>
    <n v="50"/>
    <s v="27"/>
    <n v="67"/>
    <s v="50"/>
    <n v="45"/>
    <n v="215"/>
    <n v="258"/>
    <n v="1947"/>
    <n v="10"/>
    <n v="2016"/>
    <n v="10"/>
    <s v="51"/>
    <n v="71"/>
    <s v="51"/>
    <n v="67"/>
    <s v="13"/>
    <n v="61"/>
    <s v="13"/>
    <n v="42"/>
    <s v="40"/>
    <n v="31"/>
    <s v="52"/>
    <n v="31"/>
    <s v="52"/>
    <n v="27"/>
    <s v="40"/>
    <n v="28"/>
    <s v="23"/>
    <n v="23"/>
    <s v="26"/>
    <n v="26"/>
    <s v="45"/>
    <n v="22"/>
    <s v="42"/>
    <n v="24"/>
    <s v="26"/>
    <n v="22"/>
    <s v="45"/>
    <n v="18"/>
    <s v="11"/>
    <n v="18"/>
    <s v="23"/>
    <n v="14"/>
    <s v="42"/>
    <n v="16"/>
    <s v="11"/>
    <n v="10"/>
    <s v="09"/>
    <n v="11"/>
    <s v="09"/>
    <n v="8"/>
    <n v="21"/>
    <n v="23"/>
    <n v="323"/>
    <n v="10"/>
    <n v="0.21981424148606812"/>
    <n v="291"/>
    <n v="10"/>
    <n v="0.23024054982817868"/>
    <n v="2270"/>
    <n v="2307"/>
    <n v="200"/>
    <n v="191"/>
    <m/>
    <m/>
    <m/>
    <m/>
    <m/>
    <m/>
    <m/>
    <m/>
    <m/>
    <m/>
    <m/>
    <m/>
    <m/>
    <m/>
    <m/>
    <m/>
    <m/>
    <m/>
    <n v="200"/>
    <n v="191"/>
    <m/>
    <m/>
    <n v="10096"/>
    <n v="10479"/>
  </r>
  <r>
    <x v="4"/>
    <s v="University of Georgia"/>
    <m/>
    <n v="139959"/>
    <x v="0"/>
    <n v="1005"/>
    <n v="989"/>
    <m/>
    <m/>
    <n v="0"/>
    <n v="0"/>
    <n v="0"/>
    <n v="0"/>
    <n v="7978"/>
    <n v="0"/>
    <n v="0"/>
    <n v="0"/>
    <n v="0"/>
    <n v="8529"/>
    <n v="0"/>
    <n v="0"/>
    <n v="0"/>
    <n v="0"/>
    <m/>
    <m/>
    <m/>
    <m/>
    <m/>
    <m/>
    <m/>
    <m/>
    <m/>
    <m/>
    <m/>
    <m/>
    <m/>
    <m/>
    <m/>
    <m/>
    <m/>
    <m/>
    <m/>
    <m/>
    <n v="0"/>
    <n v="0.66103239705029415"/>
    <n v="0"/>
    <n v="0.66585994222812084"/>
    <n v="222"/>
    <n v="273"/>
    <s v="52"/>
    <n v="470"/>
    <s v="52"/>
    <n v="479"/>
    <s v="13"/>
    <n v="341"/>
    <s v="13"/>
    <n v="388"/>
    <s v="44"/>
    <n v="255"/>
    <s v="44"/>
    <n v="243"/>
    <s v="51"/>
    <n v="126"/>
    <s v="01"/>
    <n v="154"/>
    <s v="01"/>
    <n v="109"/>
    <s v="51"/>
    <n v="107"/>
    <s v="11"/>
    <n v="91"/>
    <s v="42"/>
    <n v="83"/>
    <s v="09"/>
    <n v="71"/>
    <s v="11"/>
    <n v="83"/>
    <s v="42"/>
    <n v="69"/>
    <s v="09"/>
    <n v="70"/>
    <s v="50"/>
    <n v="54"/>
    <s v="03"/>
    <n v="53"/>
    <s v="31"/>
    <n v="50"/>
    <s v="26"/>
    <n v="49"/>
    <n v="311"/>
    <n v="350"/>
    <n v="1947"/>
    <n v="10"/>
    <n v="2059"/>
    <n v="10"/>
    <s v="13"/>
    <n v="104"/>
    <s v="13"/>
    <n v="120"/>
    <s v="26"/>
    <n v="73"/>
    <s v="26"/>
    <n v="80"/>
    <s v="01"/>
    <n v="34"/>
    <s v="01"/>
    <n v="50"/>
    <s v="40"/>
    <n v="33"/>
    <s v="42"/>
    <n v="42"/>
    <s v="42"/>
    <n v="30"/>
    <s v="40"/>
    <n v="36"/>
    <s v="51"/>
    <n v="28"/>
    <s v="45"/>
    <n v="22"/>
    <s v="50"/>
    <n v="24"/>
    <s v="51"/>
    <n v="19"/>
    <s v="45"/>
    <n v="21"/>
    <s v="16"/>
    <n v="19"/>
    <s v="16"/>
    <n v="15"/>
    <s v="50"/>
    <n v="18"/>
    <s v="03"/>
    <n v="14"/>
    <s v="14"/>
    <n v="17"/>
    <n v="112"/>
    <n v="105"/>
    <n v="488"/>
    <n v="10"/>
    <n v="0.21311475409836064"/>
    <n v="528"/>
    <n v="10"/>
    <n v="0.22727272727272727"/>
    <n v="2435"/>
    <n v="2587"/>
    <n v="180"/>
    <n v="183"/>
    <m/>
    <m/>
    <m/>
    <m/>
    <n v="133"/>
    <n v="134"/>
    <m/>
    <m/>
    <m/>
    <m/>
    <m/>
    <m/>
    <n v="116"/>
    <n v="114"/>
    <m/>
    <m/>
    <m/>
    <m/>
    <n v="429"/>
    <n v="431"/>
    <m/>
    <m/>
    <n v="12069"/>
    <n v="12809"/>
  </r>
  <r>
    <x v="4"/>
    <s v="Georgia Institute of Technology"/>
    <m/>
    <n v="139755"/>
    <x v="1"/>
    <n v="0"/>
    <n v="1"/>
    <m/>
    <m/>
    <n v="0"/>
    <n v="0"/>
    <n v="0"/>
    <n v="0"/>
    <n v="3714"/>
    <n v="0"/>
    <n v="0"/>
    <n v="0"/>
    <n v="0"/>
    <n v="3934"/>
    <n v="0"/>
    <n v="0"/>
    <n v="0"/>
    <n v="0"/>
    <m/>
    <m/>
    <m/>
    <m/>
    <m/>
    <m/>
    <m/>
    <m/>
    <m/>
    <m/>
    <m/>
    <m/>
    <m/>
    <m/>
    <m/>
    <m/>
    <m/>
    <m/>
    <m/>
    <m/>
    <n v="0"/>
    <n v="0.49705567451820126"/>
    <n v="0"/>
    <n v="0.46103363412633308"/>
    <n v="0"/>
    <n v="0"/>
    <s v="11"/>
    <n v="1297"/>
    <s v="11"/>
    <n v="1829"/>
    <s v="14"/>
    <n v="1043"/>
    <s v="14"/>
    <n v="1123"/>
    <s v="52"/>
    <n v="432"/>
    <s v="52"/>
    <n v="641"/>
    <s v="04"/>
    <n v="158"/>
    <s v="04"/>
    <n v="146"/>
    <s v="27"/>
    <n v="112"/>
    <s v="27"/>
    <n v="109"/>
    <s v="26"/>
    <n v="48"/>
    <s v="26"/>
    <n v="50"/>
    <s v="45"/>
    <n v="48"/>
    <s v="45"/>
    <n v="49"/>
    <s v="40"/>
    <n v="27"/>
    <s v="50"/>
    <n v="22"/>
    <s v="50"/>
    <n v="20"/>
    <s v="40"/>
    <n v="20"/>
    <s v="51"/>
    <n v="20"/>
    <s v="15"/>
    <n v="20"/>
    <n v="27"/>
    <n v="62"/>
    <n v="3232"/>
    <n v="10"/>
    <n v="4071"/>
    <n v="10"/>
    <s v="14"/>
    <n v="320"/>
    <s v="14"/>
    <n v="336"/>
    <s v="40"/>
    <n v="71"/>
    <s v="11"/>
    <n v="54"/>
    <s v="11"/>
    <n v="55"/>
    <s v="40"/>
    <n v="39"/>
    <s v="26"/>
    <n v="20"/>
    <s v="26"/>
    <n v="18"/>
    <s v="04"/>
    <n v="16"/>
    <s v="27"/>
    <n v="18"/>
    <s v="27"/>
    <n v="13"/>
    <s v="52"/>
    <n v="14"/>
    <s v="42"/>
    <n v="10"/>
    <s v="04"/>
    <n v="13"/>
    <s v="52"/>
    <n v="9"/>
    <s v="42"/>
    <n v="12"/>
    <s v="45"/>
    <n v="4"/>
    <s v="30"/>
    <n v="11"/>
    <s v="09"/>
    <n v="3"/>
    <s v="44"/>
    <n v="6"/>
    <n v="5"/>
    <n v="6"/>
    <n v="526"/>
    <n v="10"/>
    <n v="0.60836501901140683"/>
    <n v="527"/>
    <n v="10"/>
    <n v="0.63757115749525617"/>
    <n v="3758"/>
    <n v="4598"/>
    <m/>
    <m/>
    <m/>
    <m/>
    <m/>
    <m/>
    <m/>
    <m/>
    <m/>
    <m/>
    <m/>
    <m/>
    <m/>
    <m/>
    <m/>
    <m/>
    <m/>
    <m/>
    <m/>
    <m/>
    <n v="0"/>
    <n v="0"/>
    <m/>
    <m/>
    <n v="7472"/>
    <n v="8533"/>
  </r>
  <r>
    <x v="4"/>
    <s v="Georgia Southern University"/>
    <s v="Met the criteria for Four-Year 2 in 2019-20."/>
    <n v="139931"/>
    <x v="2"/>
    <n v="21"/>
    <n v="17"/>
    <m/>
    <m/>
    <n v="46"/>
    <n v="29"/>
    <n v="1.0440308669995461E-2"/>
    <n v="6.5864183511242331E-3"/>
    <n v="4406"/>
    <n v="0"/>
    <n v="0"/>
    <n v="0"/>
    <n v="0"/>
    <n v="4403"/>
    <n v="0"/>
    <n v="0"/>
    <n v="0"/>
    <n v="0"/>
    <m/>
    <m/>
    <m/>
    <m/>
    <m/>
    <m/>
    <m/>
    <m/>
    <m/>
    <m/>
    <m/>
    <m/>
    <m/>
    <m/>
    <m/>
    <m/>
    <m/>
    <m/>
    <m/>
    <m/>
    <n v="0"/>
    <n v="0.76493055555555556"/>
    <n v="0"/>
    <n v="0.76653899721448471"/>
    <n v="21"/>
    <n v="19"/>
    <s v="13"/>
    <n v="497"/>
    <s v="13"/>
    <n v="557"/>
    <s v="51"/>
    <n v="190"/>
    <s v="51"/>
    <n v="134"/>
    <s v="52"/>
    <n v="177"/>
    <s v="52"/>
    <n v="113"/>
    <s v="31"/>
    <n v="80"/>
    <s v="31"/>
    <n v="98"/>
    <s v="42"/>
    <n v="49"/>
    <s v="42"/>
    <n v="58"/>
    <s v="15"/>
    <n v="35"/>
    <s v="14"/>
    <n v="44"/>
    <s v="27"/>
    <n v="23"/>
    <s v="45"/>
    <n v="34"/>
    <s v="09"/>
    <n v="22"/>
    <s v="09"/>
    <n v="28"/>
    <s v="45"/>
    <n v="21"/>
    <s v="44"/>
    <n v="19"/>
    <s v="44"/>
    <n v="16"/>
    <s v="50"/>
    <n v="18"/>
    <n v="72"/>
    <n v="72"/>
    <n v="1182"/>
    <n v="10"/>
    <n v="1175"/>
    <n v="10"/>
    <s v="51"/>
    <n v="53"/>
    <s v="51"/>
    <n v="68"/>
    <s v="13"/>
    <n v="24"/>
    <s v="13"/>
    <n v="25"/>
    <s v="42"/>
    <n v="6"/>
    <s v="42"/>
    <n v="7"/>
    <s v="52"/>
    <n v="1"/>
    <s v="52"/>
    <n v="1"/>
    <s v="31"/>
    <n v="0"/>
    <m/>
    <m/>
    <m/>
    <m/>
    <m/>
    <m/>
    <m/>
    <m/>
    <m/>
    <m/>
    <m/>
    <m/>
    <m/>
    <m/>
    <m/>
    <m/>
    <m/>
    <m/>
    <m/>
    <m/>
    <m/>
    <m/>
    <m/>
    <m/>
    <n v="84"/>
    <n v="5"/>
    <n v="0.63095238095238093"/>
    <n v="101"/>
    <n v="4"/>
    <n v="0.67326732673267331"/>
    <n v="1266"/>
    <n v="1276"/>
    <m/>
    <m/>
    <m/>
    <m/>
    <m/>
    <m/>
    <m/>
    <m/>
    <m/>
    <m/>
    <m/>
    <m/>
    <m/>
    <m/>
    <m/>
    <m/>
    <m/>
    <m/>
    <m/>
    <m/>
    <n v="0"/>
    <n v="0"/>
    <m/>
    <m/>
    <n v="5760"/>
    <n v="5744"/>
  </r>
  <r>
    <x v="4"/>
    <s v="Kennesaw State University"/>
    <s v="Met the criteria for Four-Year 2 in 2019-20."/>
    <n v="486840"/>
    <x v="2"/>
    <n v="78"/>
    <n v="55"/>
    <m/>
    <m/>
    <n v="0"/>
    <n v="0"/>
    <n v="0"/>
    <n v="0"/>
    <n v="5359"/>
    <n v="0"/>
    <n v="0"/>
    <n v="0"/>
    <n v="0"/>
    <n v="5773"/>
    <n v="0"/>
    <n v="0"/>
    <n v="0"/>
    <n v="0"/>
    <m/>
    <m/>
    <m/>
    <m/>
    <m/>
    <m/>
    <m/>
    <m/>
    <m/>
    <m/>
    <m/>
    <m/>
    <m/>
    <m/>
    <m/>
    <m/>
    <m/>
    <m/>
    <m/>
    <m/>
    <n v="0"/>
    <n v="0.77824571594539649"/>
    <n v="0"/>
    <n v="0.79353951890034369"/>
    <n v="167"/>
    <n v="165"/>
    <s v="13"/>
    <n v="467"/>
    <s v="13"/>
    <n v="464"/>
    <s v="52"/>
    <n v="307"/>
    <s v="52"/>
    <n v="221"/>
    <s v="11"/>
    <n v="149"/>
    <s v="11"/>
    <n v="161"/>
    <s v="44"/>
    <n v="76"/>
    <s v="51"/>
    <n v="71"/>
    <s v="14"/>
    <n v="51"/>
    <s v="44"/>
    <n v="70"/>
    <s v="51"/>
    <n v="43"/>
    <s v="14"/>
    <n v="68"/>
    <s v="15"/>
    <n v="22"/>
    <s v="15"/>
    <n v="26"/>
    <s v="31"/>
    <n v="19"/>
    <s v="27"/>
    <n v="25"/>
    <s v="23"/>
    <n v="17"/>
    <s v="30"/>
    <n v="24"/>
    <s v="30"/>
    <n v="15"/>
    <s v="31"/>
    <n v="20"/>
    <n v="61"/>
    <n v="78"/>
    <n v="1227"/>
    <n v="10"/>
    <n v="1228"/>
    <n v="10"/>
    <s v="13"/>
    <n v="32"/>
    <s v="13"/>
    <n v="25"/>
    <s v="52"/>
    <n v="12"/>
    <s v="30"/>
    <n v="16"/>
    <s v="30"/>
    <n v="8"/>
    <s v="52"/>
    <n v="11"/>
    <s v="51"/>
    <n v="2"/>
    <s v="51"/>
    <n v="2"/>
    <s v="27"/>
    <n v="1"/>
    <m/>
    <m/>
    <m/>
    <m/>
    <m/>
    <m/>
    <m/>
    <m/>
    <m/>
    <m/>
    <m/>
    <m/>
    <m/>
    <m/>
    <m/>
    <m/>
    <m/>
    <m/>
    <m/>
    <m/>
    <m/>
    <m/>
    <m/>
    <m/>
    <n v="55"/>
    <n v="5"/>
    <n v="0.58181818181818179"/>
    <n v="54"/>
    <n v="4"/>
    <n v="0.46296296296296297"/>
    <n v="1282"/>
    <n v="1282"/>
    <m/>
    <m/>
    <m/>
    <m/>
    <m/>
    <m/>
    <m/>
    <m/>
    <m/>
    <m/>
    <m/>
    <m/>
    <m/>
    <m/>
    <m/>
    <m/>
    <m/>
    <m/>
    <m/>
    <m/>
    <n v="0"/>
    <n v="0"/>
    <m/>
    <m/>
    <n v="6886"/>
    <n v="7275"/>
  </r>
  <r>
    <x v="4"/>
    <s v="University of West Georgia"/>
    <m/>
    <n v="141334"/>
    <x v="2"/>
    <n v="0"/>
    <n v="0"/>
    <m/>
    <m/>
    <n v="0"/>
    <n v="0"/>
    <n v="0"/>
    <n v="0"/>
    <n v="1896"/>
    <n v="0"/>
    <n v="0"/>
    <n v="0"/>
    <n v="0"/>
    <n v="1968"/>
    <n v="0"/>
    <n v="0"/>
    <n v="0"/>
    <n v="0"/>
    <m/>
    <m/>
    <m/>
    <m/>
    <m/>
    <m/>
    <m/>
    <m/>
    <m/>
    <m/>
    <m/>
    <m/>
    <m/>
    <m/>
    <m/>
    <m/>
    <m/>
    <m/>
    <m/>
    <m/>
    <n v="0"/>
    <n v="0.68103448275862066"/>
    <n v="0"/>
    <n v="0.64440078585461691"/>
    <n v="22"/>
    <n v="20"/>
    <s v="13"/>
    <n v="565"/>
    <s v="13"/>
    <n v="765"/>
    <s v="52"/>
    <n v="105"/>
    <s v="52"/>
    <n v="89"/>
    <s v="51"/>
    <n v="60"/>
    <s v="51"/>
    <n v="69"/>
    <s v="44"/>
    <n v="19"/>
    <s v="45"/>
    <n v="21"/>
    <s v="54"/>
    <n v="17"/>
    <s v="44"/>
    <n v="20"/>
    <s v="42"/>
    <n v="15"/>
    <s v="42"/>
    <n v="18"/>
    <s v="45"/>
    <n v="13"/>
    <s v="11"/>
    <n v="14"/>
    <s v="11"/>
    <n v="12"/>
    <s v="50"/>
    <n v="13"/>
    <s v="50"/>
    <n v="11"/>
    <s v="54"/>
    <n v="12"/>
    <s v="23"/>
    <n v="7"/>
    <s v="26"/>
    <n v="6"/>
    <n v="9"/>
    <n v="7"/>
    <n v="833"/>
    <n v="10"/>
    <n v="1034"/>
    <n v="10"/>
    <s v="13"/>
    <n v="21"/>
    <s v="13"/>
    <n v="21"/>
    <s v="51"/>
    <n v="8"/>
    <s v="42"/>
    <n v="7"/>
    <s v="42"/>
    <n v="4"/>
    <s v="5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3"/>
    <n v="3"/>
    <n v="0.63636363636363635"/>
    <n v="32"/>
    <n v="3"/>
    <n v="0.65625"/>
    <n v="866"/>
    <n v="1066"/>
    <m/>
    <m/>
    <m/>
    <m/>
    <m/>
    <m/>
    <m/>
    <m/>
    <m/>
    <m/>
    <m/>
    <m/>
    <m/>
    <m/>
    <m/>
    <m/>
    <m/>
    <m/>
    <m/>
    <m/>
    <n v="0"/>
    <n v="0"/>
    <m/>
    <m/>
    <n v="2784"/>
    <n v="3054"/>
  </r>
  <r>
    <x v="4"/>
    <s v="Valdosta State University "/>
    <m/>
    <n v="141264"/>
    <x v="2"/>
    <n v="0"/>
    <n v="0"/>
    <m/>
    <m/>
    <n v="19"/>
    <n v="28"/>
    <n v="1.2675116744496331E-2"/>
    <n v="1.7960230917254651E-2"/>
    <n v="1499"/>
    <n v="0"/>
    <n v="0"/>
    <n v="0"/>
    <n v="0"/>
    <n v="1559"/>
    <n v="0"/>
    <n v="0"/>
    <n v="0"/>
    <n v="0"/>
    <m/>
    <m/>
    <m/>
    <m/>
    <m/>
    <m/>
    <m/>
    <m/>
    <m/>
    <m/>
    <m/>
    <m/>
    <m/>
    <m/>
    <m/>
    <m/>
    <m/>
    <m/>
    <m/>
    <m/>
    <n v="0"/>
    <n v="0.61459614596145962"/>
    <n v="0"/>
    <n v="0.61209265802905377"/>
    <n v="0"/>
    <n v="0"/>
    <s v="13"/>
    <n v="497"/>
    <s v="13"/>
    <n v="515"/>
    <s v="51"/>
    <n v="113"/>
    <s v="51"/>
    <n v="107"/>
    <s v="25"/>
    <n v="90"/>
    <s v="44"/>
    <n v="97"/>
    <s v="44"/>
    <n v="73"/>
    <s v="25"/>
    <n v="87"/>
    <s v="52"/>
    <n v="42"/>
    <s v="52"/>
    <n v="46"/>
    <s v="42"/>
    <n v="13"/>
    <s v="23"/>
    <n v="13"/>
    <s v="23"/>
    <n v="9"/>
    <s v="42"/>
    <n v="12"/>
    <s v="45"/>
    <n v="9"/>
    <s v="26"/>
    <n v="12"/>
    <s v="09"/>
    <n v="7"/>
    <s v="50"/>
    <n v="10"/>
    <s v="26"/>
    <n v="7"/>
    <s v="09"/>
    <n v="8"/>
    <n v="11"/>
    <n v="12"/>
    <n v="871"/>
    <n v="10"/>
    <n v="919"/>
    <n v="10"/>
    <s v="13"/>
    <n v="36"/>
    <s v="13"/>
    <n v="28"/>
    <s v="44"/>
    <n v="11"/>
    <s v="44"/>
    <n v="12"/>
    <s v="51"/>
    <n v="3"/>
    <s v="5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0"/>
    <n v="3"/>
    <n v="0.72"/>
    <n v="41"/>
    <n v="3"/>
    <n v="0.68292682926829273"/>
    <n v="921"/>
    <n v="960"/>
    <m/>
    <m/>
    <m/>
    <m/>
    <m/>
    <m/>
    <m/>
    <m/>
    <m/>
    <m/>
    <m/>
    <m/>
    <m/>
    <m/>
    <m/>
    <m/>
    <m/>
    <m/>
    <m/>
    <m/>
    <n v="0"/>
    <n v="0"/>
    <m/>
    <m/>
    <n v="2439"/>
    <n v="2547"/>
  </r>
  <r>
    <x v="4"/>
    <s v="Albany State University "/>
    <m/>
    <n v="138716"/>
    <x v="3"/>
    <n v="11"/>
    <n v="20"/>
    <m/>
    <m/>
    <n v="553"/>
    <n v="551"/>
    <n v="1.2316258351893097"/>
    <n v="1.1108870967741935"/>
    <n v="449"/>
    <n v="0"/>
    <n v="0"/>
    <n v="0"/>
    <n v="0"/>
    <n v="496"/>
    <n v="0"/>
    <n v="0"/>
    <n v="0"/>
    <n v="0"/>
    <m/>
    <m/>
    <m/>
    <m/>
    <m/>
    <m/>
    <m/>
    <m/>
    <m/>
    <m/>
    <m/>
    <m/>
    <m/>
    <m/>
    <m/>
    <m/>
    <m/>
    <m/>
    <m/>
    <m/>
    <n v="0"/>
    <n v="0.39559471365638765"/>
    <n v="0"/>
    <n v="0.42393162393162392"/>
    <n v="0"/>
    <n v="0"/>
    <s v="13"/>
    <n v="42"/>
    <s v="13"/>
    <n v="29"/>
    <s v="44"/>
    <n v="34"/>
    <s v="52"/>
    <n v="23"/>
    <s v="52"/>
    <n v="26"/>
    <s v="44"/>
    <n v="22"/>
    <s v="43"/>
    <n v="10"/>
    <s v="51"/>
    <n v="17"/>
    <s v="51"/>
    <n v="10"/>
    <s v="43"/>
    <n v="12"/>
    <m/>
    <m/>
    <m/>
    <m/>
    <m/>
    <m/>
    <m/>
    <m/>
    <m/>
    <m/>
    <m/>
    <m/>
    <m/>
    <m/>
    <m/>
    <m/>
    <m/>
    <m/>
    <m/>
    <m/>
    <m/>
    <m/>
    <n v="122"/>
    <n v="5"/>
    <n v="103"/>
    <n v="5"/>
    <s v="13"/>
    <n v="0"/>
    <m/>
    <m/>
    <s v="44"/>
    <n v="0"/>
    <m/>
    <m/>
    <s v="5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3"/>
    <n v="0"/>
    <n v="0"/>
    <n v="0"/>
    <n v="0"/>
    <n v="122"/>
    <n v="103"/>
    <m/>
    <m/>
    <m/>
    <m/>
    <m/>
    <m/>
    <m/>
    <m/>
    <m/>
    <m/>
    <m/>
    <m/>
    <m/>
    <m/>
    <m/>
    <m/>
    <m/>
    <m/>
    <m/>
    <m/>
    <n v="0"/>
    <n v="0"/>
    <m/>
    <m/>
    <n v="1135"/>
    <n v="1170"/>
  </r>
  <r>
    <x v="4"/>
    <s v="Augusta University"/>
    <m/>
    <n v="482149"/>
    <x v="3"/>
    <n v="90"/>
    <n v="91"/>
    <m/>
    <m/>
    <n v="0"/>
    <n v="1"/>
    <n v="0"/>
    <n v="1E-3"/>
    <n v="1060"/>
    <n v="0"/>
    <n v="0"/>
    <n v="0"/>
    <n v="0"/>
    <n v="1000"/>
    <n v="0"/>
    <n v="0"/>
    <n v="0"/>
    <n v="0"/>
    <m/>
    <m/>
    <m/>
    <m/>
    <m/>
    <m/>
    <m/>
    <m/>
    <m/>
    <m/>
    <m/>
    <m/>
    <m/>
    <m/>
    <m/>
    <m/>
    <m/>
    <m/>
    <m/>
    <m/>
    <n v="0"/>
    <n v="0.46348928727590732"/>
    <n v="0"/>
    <n v="0.44742729306487694"/>
    <n v="174"/>
    <n v="143"/>
    <s v="51"/>
    <n v="312"/>
    <s v="51"/>
    <n v="307"/>
    <s v="13"/>
    <n v="97"/>
    <s v="13"/>
    <n v="133"/>
    <s v="44"/>
    <n v="28"/>
    <s v="52"/>
    <n v="41"/>
    <s v="52"/>
    <n v="28"/>
    <s v="44"/>
    <n v="39"/>
    <s v="11"/>
    <n v="17"/>
    <s v="11"/>
    <n v="23"/>
    <s v="42"/>
    <n v="9"/>
    <s v="42"/>
    <n v="13"/>
    <s v="31"/>
    <n v="8"/>
    <s v="45"/>
    <n v="7"/>
    <s v="26"/>
    <n v="7"/>
    <s v="31"/>
    <n v="5"/>
    <m/>
    <m/>
    <s v="26"/>
    <n v="1"/>
    <m/>
    <m/>
    <m/>
    <m/>
    <m/>
    <m/>
    <n v="506"/>
    <n v="8"/>
    <n v="569"/>
    <n v="9"/>
    <s v="51"/>
    <n v="86"/>
    <s v="51"/>
    <n v="85"/>
    <s v="26"/>
    <n v="20"/>
    <s v="26"/>
    <n v="27"/>
    <s v="13"/>
    <n v="9"/>
    <s v="13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15"/>
    <n v="3"/>
    <n v="0.74782608695652175"/>
    <n v="123"/>
    <n v="3"/>
    <n v="0.69105691056910568"/>
    <n v="621"/>
    <n v="692"/>
    <m/>
    <m/>
    <n v="246"/>
    <n v="221"/>
    <n v="96"/>
    <n v="87"/>
    <m/>
    <m/>
    <m/>
    <m/>
    <m/>
    <m/>
    <m/>
    <m/>
    <m/>
    <m/>
    <m/>
    <m/>
    <m/>
    <m/>
    <n v="342"/>
    <n v="308"/>
    <m/>
    <m/>
    <n v="2287"/>
    <n v="2235"/>
  </r>
  <r>
    <x v="4"/>
    <s v="Clayton State University"/>
    <m/>
    <n v="139311"/>
    <x v="3"/>
    <n v="23"/>
    <n v="25"/>
    <m/>
    <m/>
    <n v="109"/>
    <n v="98"/>
    <n v="0.1162046908315565"/>
    <n v="0.10283315844700944"/>
    <n v="938"/>
    <n v="0"/>
    <n v="0"/>
    <n v="0"/>
    <n v="0"/>
    <n v="953"/>
    <n v="0"/>
    <n v="0"/>
    <n v="0"/>
    <n v="0"/>
    <m/>
    <m/>
    <m/>
    <m/>
    <m/>
    <m/>
    <m/>
    <m/>
    <m/>
    <m/>
    <m/>
    <m/>
    <m/>
    <m/>
    <m/>
    <m/>
    <m/>
    <m/>
    <m/>
    <m/>
    <n v="0"/>
    <n v="0.77777777777777779"/>
    <n v="0"/>
    <n v="0.77859477124183007"/>
    <n v="0"/>
    <n v="1"/>
    <s v="52"/>
    <n v="64"/>
    <s v="52"/>
    <n v="77"/>
    <s v="51"/>
    <n v="35"/>
    <s v="51"/>
    <n v="45"/>
    <s v="24"/>
    <n v="12"/>
    <s v="24"/>
    <n v="9"/>
    <s v="30"/>
    <n v="9"/>
    <s v="42"/>
    <n v="8"/>
    <s v="13"/>
    <n v="8"/>
    <s v="13"/>
    <n v="4"/>
    <s v="42"/>
    <n v="4"/>
    <s v="30"/>
    <n v="3"/>
    <s v="43"/>
    <n v="4"/>
    <s v="44"/>
    <n v="1"/>
    <m/>
    <m/>
    <m/>
    <m/>
    <m/>
    <m/>
    <m/>
    <m/>
    <m/>
    <m/>
    <m/>
    <m/>
    <m/>
    <m/>
    <n v="136"/>
    <n v="7"/>
    <n v="147"/>
    <n v="7"/>
    <s v="5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"/>
    <n v="0"/>
    <n v="0"/>
    <n v="0"/>
    <n v="0"/>
    <n v="136"/>
    <n v="147"/>
    <m/>
    <m/>
    <m/>
    <m/>
    <m/>
    <m/>
    <m/>
    <m/>
    <m/>
    <m/>
    <m/>
    <m/>
    <m/>
    <m/>
    <m/>
    <m/>
    <m/>
    <m/>
    <m/>
    <m/>
    <n v="0"/>
    <n v="0"/>
    <m/>
    <m/>
    <n v="1206"/>
    <n v="1224"/>
  </r>
  <r>
    <x v="4"/>
    <s v="Columbus State University"/>
    <s v="Met the criteria for Four-Year 3 in 2018-19 and 2019-20."/>
    <n v="139366"/>
    <x v="3"/>
    <n v="106"/>
    <n v="137"/>
    <m/>
    <m/>
    <n v="35"/>
    <n v="40"/>
    <n v="3.3333333333333333E-2"/>
    <n v="3.3783783783783786E-2"/>
    <n v="1050"/>
    <n v="0"/>
    <n v="0"/>
    <n v="0"/>
    <n v="0"/>
    <n v="1184"/>
    <n v="0"/>
    <n v="0"/>
    <n v="0"/>
    <n v="0"/>
    <m/>
    <m/>
    <m/>
    <m/>
    <m/>
    <m/>
    <m/>
    <m/>
    <m/>
    <m/>
    <m/>
    <m/>
    <m/>
    <m/>
    <m/>
    <m/>
    <m/>
    <m/>
    <m/>
    <m/>
    <n v="0"/>
    <n v="0.58463251670378624"/>
    <n v="0"/>
    <n v="0.61474558670820356"/>
    <n v="12"/>
    <n v="18"/>
    <s v="13"/>
    <n v="268"/>
    <s v="13"/>
    <n v="205"/>
    <s v="52"/>
    <n v="82"/>
    <s v="51"/>
    <n v="112"/>
    <s v="43"/>
    <n v="73"/>
    <s v="52"/>
    <n v="69"/>
    <s v="51"/>
    <n v="68"/>
    <s v="43"/>
    <n v="58"/>
    <s v="11"/>
    <n v="35"/>
    <s v="11"/>
    <n v="35"/>
    <s v="45"/>
    <n v="30"/>
    <s v="45"/>
    <n v="22"/>
    <s v="50"/>
    <n v="9"/>
    <s v="50"/>
    <n v="17"/>
    <s v="03"/>
    <n v="7"/>
    <s v="03"/>
    <n v="9"/>
    <s v="31"/>
    <n v="3"/>
    <s v="31"/>
    <n v="7"/>
    <s v="54"/>
    <n v="1"/>
    <m/>
    <m/>
    <m/>
    <m/>
    <n v="576"/>
    <n v="10"/>
    <n v="534"/>
    <n v="9"/>
    <s v="13"/>
    <n v="17"/>
    <s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1"/>
    <n v="1"/>
    <n v="13"/>
    <n v="1"/>
    <n v="1"/>
    <n v="593"/>
    <n v="547"/>
    <m/>
    <m/>
    <m/>
    <m/>
    <m/>
    <m/>
    <m/>
    <m/>
    <m/>
    <m/>
    <m/>
    <m/>
    <m/>
    <m/>
    <m/>
    <m/>
    <m/>
    <m/>
    <m/>
    <m/>
    <n v="0"/>
    <n v="0"/>
    <m/>
    <m/>
    <n v="1796"/>
    <n v="1926"/>
  </r>
  <r>
    <x v="4"/>
    <s v="Fort Valley State University"/>
    <s v="Reclassifed: Met the criteria for Four-Year 5 in 2018-19, 2019-20, and 2020-21."/>
    <n v="139719"/>
    <x v="4"/>
    <n v="0"/>
    <n v="0"/>
    <m/>
    <m/>
    <n v="0"/>
    <n v="0"/>
    <n v="0"/>
    <n v="0"/>
    <n v="331"/>
    <n v="0"/>
    <n v="0"/>
    <n v="0"/>
    <n v="0"/>
    <n v="362"/>
    <n v="0"/>
    <n v="0"/>
    <n v="0"/>
    <n v="0"/>
    <m/>
    <m/>
    <m/>
    <m/>
    <m/>
    <m/>
    <m/>
    <m/>
    <m/>
    <m/>
    <m/>
    <m/>
    <m/>
    <m/>
    <m/>
    <m/>
    <m/>
    <m/>
    <m/>
    <m/>
    <n v="0"/>
    <n v="0.75570776255707761"/>
    <n v="0"/>
    <n v="0.79735682819383258"/>
    <n v="0"/>
    <n v="0"/>
    <s v="51"/>
    <n v="73"/>
    <s v="51"/>
    <n v="68"/>
    <s v="13"/>
    <n v="18"/>
    <s v="13"/>
    <n v="21"/>
    <s v="26"/>
    <n v="11"/>
    <s v="01"/>
    <n v="2"/>
    <s v="01"/>
    <n v="5"/>
    <s v="26"/>
    <n v="1"/>
    <m/>
    <m/>
    <m/>
    <m/>
    <m/>
    <m/>
    <m/>
    <m/>
    <m/>
    <m/>
    <m/>
    <m/>
    <m/>
    <m/>
    <m/>
    <m/>
    <m/>
    <m/>
    <m/>
    <m/>
    <m/>
    <m/>
    <m/>
    <m/>
    <m/>
    <m/>
    <n v="107"/>
    <n v="4"/>
    <n v="92"/>
    <n v="4"/>
    <s v="5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"/>
    <n v="0"/>
    <n v="0"/>
    <n v="0"/>
    <n v="0"/>
    <n v="107"/>
    <n v="92"/>
    <m/>
    <m/>
    <m/>
    <m/>
    <m/>
    <m/>
    <m/>
    <m/>
    <m/>
    <m/>
    <m/>
    <m/>
    <m/>
    <m/>
    <m/>
    <m/>
    <m/>
    <m/>
    <m/>
    <m/>
    <n v="0"/>
    <n v="0"/>
    <m/>
    <m/>
    <n v="438"/>
    <n v="454"/>
  </r>
  <r>
    <x v="4"/>
    <s v="Georgia College and State University"/>
    <m/>
    <n v="139861"/>
    <x v="3"/>
    <n v="10"/>
    <n v="13"/>
    <m/>
    <m/>
    <n v="0"/>
    <n v="0"/>
    <n v="0"/>
    <n v="0"/>
    <n v="1304"/>
    <n v="0"/>
    <n v="0"/>
    <n v="0"/>
    <n v="0"/>
    <n v="1315"/>
    <n v="0"/>
    <n v="0"/>
    <n v="0"/>
    <n v="0"/>
    <m/>
    <m/>
    <m/>
    <m/>
    <m/>
    <m/>
    <m/>
    <m/>
    <m/>
    <m/>
    <m/>
    <m/>
    <m/>
    <m/>
    <m/>
    <m/>
    <m/>
    <m/>
    <m/>
    <m/>
    <n v="0"/>
    <n v="0.72646239554317549"/>
    <n v="0"/>
    <n v="0.69503171247357298"/>
    <n v="10"/>
    <n v="12"/>
    <s v="13"/>
    <n v="242"/>
    <s v="13"/>
    <n v="287"/>
    <s v="52"/>
    <n v="121"/>
    <s v="52"/>
    <n v="114"/>
    <s v="51"/>
    <n v="53"/>
    <s v="51"/>
    <n v="74"/>
    <s v="44"/>
    <n v="19"/>
    <s v="44"/>
    <n v="30"/>
    <s v="23"/>
    <n v="13"/>
    <s v="23"/>
    <n v="14"/>
    <s v="26"/>
    <n v="7"/>
    <s v="26"/>
    <n v="13"/>
    <s v="43"/>
    <n v="6"/>
    <s v="43"/>
    <n v="6"/>
    <s v="54"/>
    <n v="2"/>
    <m/>
    <m/>
    <m/>
    <m/>
    <m/>
    <m/>
    <m/>
    <m/>
    <m/>
    <m/>
    <m/>
    <m/>
    <n v="463"/>
    <n v="8"/>
    <n v="538"/>
    <n v="7"/>
    <s v="51"/>
    <n v="8"/>
    <s v="51"/>
    <n v="1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1"/>
    <n v="14"/>
    <n v="1"/>
    <n v="1"/>
    <n v="471"/>
    <n v="552"/>
    <m/>
    <m/>
    <m/>
    <m/>
    <m/>
    <m/>
    <m/>
    <m/>
    <m/>
    <m/>
    <m/>
    <m/>
    <m/>
    <m/>
    <m/>
    <m/>
    <m/>
    <m/>
    <m/>
    <m/>
    <n v="0"/>
    <n v="0"/>
    <m/>
    <m/>
    <n v="1795"/>
    <n v="1892"/>
  </r>
  <r>
    <x v="4"/>
    <s v="Georgia Southwestern State University"/>
    <s v="Met the criteria for Four-Year 5 in 2019-20."/>
    <n v="139764"/>
    <x v="3"/>
    <n v="9"/>
    <n v="3"/>
    <m/>
    <m/>
    <n v="0"/>
    <n v="0"/>
    <n v="0"/>
    <n v="0"/>
    <n v="431"/>
    <n v="0"/>
    <n v="0"/>
    <n v="0"/>
    <n v="0"/>
    <n v="404"/>
    <n v="0"/>
    <n v="0"/>
    <n v="0"/>
    <n v="0"/>
    <m/>
    <m/>
    <m/>
    <m/>
    <m/>
    <m/>
    <m/>
    <m/>
    <m/>
    <m/>
    <m/>
    <m/>
    <m/>
    <m/>
    <m/>
    <m/>
    <m/>
    <m/>
    <m/>
    <m/>
    <n v="0"/>
    <n v="0.58799454297407916"/>
    <n v="0"/>
    <n v="0.57714285714285718"/>
    <n v="0"/>
    <n v="1"/>
    <s v="13"/>
    <n v="206"/>
    <s v="13"/>
    <n v="223"/>
    <s v="51"/>
    <n v="53"/>
    <s v="51"/>
    <n v="41"/>
    <s v="52"/>
    <n v="30"/>
    <s v="52"/>
    <n v="22"/>
    <s v="11"/>
    <n v="4"/>
    <s v="11"/>
    <n v="5"/>
    <m/>
    <m/>
    <s v="24"/>
    <n v="1"/>
    <m/>
    <m/>
    <m/>
    <m/>
    <m/>
    <m/>
    <m/>
    <m/>
    <m/>
    <m/>
    <m/>
    <m/>
    <m/>
    <m/>
    <m/>
    <m/>
    <m/>
    <m/>
    <m/>
    <m/>
    <m/>
    <m/>
    <n v="293"/>
    <n v="4"/>
    <n v="292"/>
    <n v="5"/>
    <s v="1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1"/>
    <n v="0"/>
    <n v="0"/>
    <n v="0"/>
    <n v="0"/>
    <n v="293"/>
    <n v="292"/>
    <m/>
    <m/>
    <m/>
    <m/>
    <m/>
    <m/>
    <m/>
    <m/>
    <m/>
    <m/>
    <m/>
    <m/>
    <m/>
    <m/>
    <m/>
    <m/>
    <m/>
    <m/>
    <m/>
    <m/>
    <n v="0"/>
    <n v="0"/>
    <m/>
    <m/>
    <n v="733"/>
    <n v="700"/>
  </r>
  <r>
    <x v="4"/>
    <s v="University of North Georgia"/>
    <m/>
    <n v="482680"/>
    <x v="3"/>
    <n v="78"/>
    <n v="73"/>
    <m/>
    <m/>
    <n v="928"/>
    <n v="810"/>
    <n v="0.47250509164969451"/>
    <n v="0.3916827852998066"/>
    <n v="1964"/>
    <n v="0"/>
    <n v="0"/>
    <n v="0"/>
    <n v="0"/>
    <n v="2068"/>
    <n v="0"/>
    <n v="0"/>
    <n v="0"/>
    <n v="0"/>
    <m/>
    <m/>
    <m/>
    <m/>
    <m/>
    <m/>
    <m/>
    <m/>
    <m/>
    <m/>
    <m/>
    <m/>
    <m/>
    <m/>
    <m/>
    <m/>
    <m/>
    <m/>
    <m/>
    <m/>
    <n v="0"/>
    <n v="0.61126672891378775"/>
    <n v="0"/>
    <n v="0.6497015394282124"/>
    <n v="9"/>
    <n v="5"/>
    <s v="13"/>
    <n v="46"/>
    <s v="52"/>
    <n v="40"/>
    <s v="52"/>
    <n v="44"/>
    <s v="51"/>
    <n v="36"/>
    <s v="31"/>
    <n v="41"/>
    <s v="31"/>
    <n v="36"/>
    <s v="51"/>
    <n v="23"/>
    <s v="13"/>
    <n v="35"/>
    <s v="42"/>
    <n v="19"/>
    <s v="44"/>
    <n v="14"/>
    <s v="45"/>
    <n v="12"/>
    <s v="42"/>
    <n v="13"/>
    <s v="43"/>
    <n v="9"/>
    <s v="45"/>
    <n v="8"/>
    <s v="44"/>
    <n v="7"/>
    <s v="43"/>
    <n v="7"/>
    <s v="54"/>
    <n v="3"/>
    <s v="54"/>
    <n v="3"/>
    <m/>
    <m/>
    <m/>
    <m/>
    <m/>
    <m/>
    <n v="204"/>
    <n v="9"/>
    <n v="192"/>
    <n v="9"/>
    <s v="51"/>
    <n v="30"/>
    <s v="51"/>
    <n v="34"/>
    <m/>
    <m/>
    <s v="13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1"/>
    <n v="1"/>
    <n v="35"/>
    <n v="2"/>
    <n v="0.97142857142857142"/>
    <n v="234"/>
    <n v="227"/>
    <m/>
    <m/>
    <m/>
    <m/>
    <m/>
    <m/>
    <m/>
    <m/>
    <m/>
    <m/>
    <m/>
    <m/>
    <m/>
    <m/>
    <m/>
    <m/>
    <m/>
    <m/>
    <m/>
    <m/>
    <n v="0"/>
    <n v="0"/>
    <m/>
    <m/>
    <n v="3213"/>
    <n v="3183"/>
  </r>
  <r>
    <x v="4"/>
    <s v="Savannah State University"/>
    <s v="Met the criteria for Four-Year 4 in 2020-21."/>
    <n v="140960"/>
    <x v="4"/>
    <n v="0"/>
    <n v="0"/>
    <m/>
    <m/>
    <n v="55"/>
    <n v="68"/>
    <n v="9.499136442141623E-2"/>
    <n v="0.12318840579710146"/>
    <n v="579"/>
    <n v="0"/>
    <n v="0"/>
    <n v="0"/>
    <n v="0"/>
    <n v="552"/>
    <n v="0"/>
    <n v="0"/>
    <n v="0"/>
    <n v="0"/>
    <m/>
    <m/>
    <m/>
    <m/>
    <m/>
    <m/>
    <m/>
    <m/>
    <m/>
    <m/>
    <m/>
    <m/>
    <m/>
    <m/>
    <m/>
    <m/>
    <m/>
    <m/>
    <m/>
    <m/>
    <n v="0"/>
    <n v="0.80865921787709494"/>
    <n v="0"/>
    <n v="0.79653679653679654"/>
    <n v="5"/>
    <n v="9"/>
    <s v="44"/>
    <n v="43"/>
    <s v="44"/>
    <n v="35"/>
    <s v="52"/>
    <n v="23"/>
    <s v="52"/>
    <n v="21"/>
    <s v="26"/>
    <n v="5"/>
    <s v="26"/>
    <n v="5"/>
    <s v="27"/>
    <n v="4"/>
    <s v="45"/>
    <n v="2"/>
    <s v="45"/>
    <n v="2"/>
    <s v="27"/>
    <n v="1"/>
    <m/>
    <m/>
    <m/>
    <m/>
    <m/>
    <m/>
    <m/>
    <m/>
    <m/>
    <m/>
    <m/>
    <m/>
    <m/>
    <m/>
    <m/>
    <m/>
    <m/>
    <m/>
    <m/>
    <m/>
    <m/>
    <m/>
    <n v="77"/>
    <n v="5"/>
    <n v="6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7"/>
    <n v="64"/>
    <m/>
    <m/>
    <m/>
    <m/>
    <m/>
    <m/>
    <m/>
    <m/>
    <m/>
    <m/>
    <m/>
    <m/>
    <m/>
    <m/>
    <m/>
    <m/>
    <m/>
    <m/>
    <m/>
    <m/>
    <n v="0"/>
    <n v="0"/>
    <m/>
    <m/>
    <n v="716"/>
    <n v="693"/>
  </r>
  <r>
    <x v="4"/>
    <s v="Abraham Baldwin Agricultural College "/>
    <m/>
    <n v="138558"/>
    <x v="5"/>
    <n v="20"/>
    <n v="0"/>
    <m/>
    <m/>
    <n v="398"/>
    <n v="381"/>
    <n v="1.202416918429003"/>
    <n v="1.1407185628742516"/>
    <n v="331"/>
    <n v="0"/>
    <n v="0"/>
    <n v="0"/>
    <n v="0"/>
    <n v="334"/>
    <n v="0"/>
    <n v="0"/>
    <n v="0"/>
    <n v="0"/>
    <s v="01"/>
    <n v="135"/>
    <m/>
    <m/>
    <s v="52"/>
    <n v="56"/>
    <m/>
    <m/>
    <s v="26"/>
    <n v="46"/>
    <m/>
    <m/>
    <s v="03"/>
    <n v="33"/>
    <m/>
    <m/>
    <s v="51"/>
    <n v="23"/>
    <m/>
    <m/>
    <n v="5"/>
    <n v="0.44192256341789055"/>
    <n v="0"/>
    <n v="0.4671328671328671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9"/>
    <n v="715"/>
  </r>
  <r>
    <x v="4"/>
    <s v="College of Coastal Georgia "/>
    <m/>
    <n v="139250"/>
    <x v="5"/>
    <n v="0"/>
    <n v="0"/>
    <m/>
    <m/>
    <n v="296"/>
    <n v="236"/>
    <n v="1.0571428571428572"/>
    <n v="0.73750000000000004"/>
    <n v="280"/>
    <n v="0"/>
    <n v="0"/>
    <n v="0"/>
    <n v="0"/>
    <n v="320"/>
    <n v="0"/>
    <n v="0"/>
    <n v="0"/>
    <n v="0"/>
    <m/>
    <m/>
    <m/>
    <m/>
    <m/>
    <m/>
    <m/>
    <m/>
    <m/>
    <m/>
    <m/>
    <m/>
    <m/>
    <m/>
    <m/>
    <m/>
    <m/>
    <m/>
    <m/>
    <m/>
    <n v="0"/>
    <n v="0.4861111111111111"/>
    <n v="0"/>
    <n v="0.57553956834532372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6"/>
    <n v="556"/>
  </r>
  <r>
    <x v="4"/>
    <s v="Dalton State College "/>
    <m/>
    <n v="139463"/>
    <x v="5"/>
    <n v="34"/>
    <n v="28"/>
    <m/>
    <m/>
    <n v="255"/>
    <n v="299"/>
    <n v="0.48295454545454547"/>
    <n v="0.5828460038986355"/>
    <n v="528"/>
    <n v="0"/>
    <n v="0"/>
    <n v="0"/>
    <n v="0"/>
    <n v="513"/>
    <n v="0"/>
    <n v="0"/>
    <n v="0"/>
    <n v="0"/>
    <m/>
    <m/>
    <m/>
    <m/>
    <m/>
    <m/>
    <m/>
    <m/>
    <m/>
    <m/>
    <m/>
    <m/>
    <m/>
    <m/>
    <m/>
    <m/>
    <m/>
    <m/>
    <m/>
    <m/>
    <n v="0"/>
    <n v="0.6462668298653611"/>
    <n v="0"/>
    <n v="0.61071428571428577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7"/>
    <n v="840"/>
  </r>
  <r>
    <x v="4"/>
    <s v="Georgia Gwinnett College"/>
    <m/>
    <n v="447689"/>
    <x v="5"/>
    <n v="0"/>
    <n v="0"/>
    <m/>
    <m/>
    <n v="0"/>
    <n v="0"/>
    <n v="0"/>
    <n v="0"/>
    <n v="1182"/>
    <n v="0"/>
    <n v="0"/>
    <n v="0"/>
    <n v="0"/>
    <n v="1127"/>
    <n v="0"/>
    <n v="0"/>
    <n v="0"/>
    <n v="0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82"/>
    <n v="1127"/>
  </r>
  <r>
    <x v="4"/>
    <s v="Gordon State College "/>
    <m/>
    <n v="139968"/>
    <x v="5"/>
    <n v="0"/>
    <n v="0"/>
    <m/>
    <m/>
    <n v="355"/>
    <n v="322"/>
    <n v="1.5919282511210762"/>
    <n v="1.511737089201878"/>
    <n v="223"/>
    <n v="0"/>
    <n v="0"/>
    <n v="0"/>
    <n v="0"/>
    <n v="213"/>
    <n v="0"/>
    <n v="0"/>
    <n v="0"/>
    <n v="0"/>
    <s v="51"/>
    <n v="51"/>
    <m/>
    <m/>
    <s v="44"/>
    <n v="48"/>
    <m/>
    <m/>
    <s v="52"/>
    <n v="41"/>
    <m/>
    <m/>
    <s v="26"/>
    <n v="34"/>
    <m/>
    <m/>
    <s v="13"/>
    <n v="29"/>
    <m/>
    <m/>
    <n v="5"/>
    <n v="0.38581314878892736"/>
    <n v="0"/>
    <n v="0.39813084112149533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8"/>
    <n v="535"/>
  </r>
  <r>
    <x v="4"/>
    <s v="Middle Georgia State College"/>
    <s v="Reclassified: Met the criteria for Four-Year 5 in 2018-19, 2019-20, and 2020-21."/>
    <n v="482158"/>
    <x v="4"/>
    <n v="47"/>
    <n v="39"/>
    <m/>
    <m/>
    <n v="421"/>
    <n v="255"/>
    <n v="0.54322580645161289"/>
    <n v="0.28052805280528054"/>
    <n v="775"/>
    <n v="0"/>
    <n v="0"/>
    <n v="0"/>
    <n v="0"/>
    <n v="909"/>
    <n v="0"/>
    <n v="0"/>
    <n v="0"/>
    <n v="0"/>
    <m/>
    <m/>
    <m/>
    <m/>
    <m/>
    <m/>
    <m/>
    <m/>
    <m/>
    <m/>
    <m/>
    <m/>
    <m/>
    <m/>
    <m/>
    <m/>
    <m/>
    <m/>
    <m/>
    <m/>
    <n v="0"/>
    <n v="0.58139534883720934"/>
    <n v="0"/>
    <n v="0.68397291196388266"/>
    <n v="2"/>
    <n v="3"/>
    <s v="11"/>
    <n v="54"/>
    <s v="11"/>
    <n v="87"/>
    <s v="51"/>
    <n v="15"/>
    <s v="51"/>
    <n v="22"/>
    <s v="13"/>
    <n v="12"/>
    <s v="52"/>
    <n v="7"/>
    <s v="52"/>
    <n v="7"/>
    <s v="13"/>
    <n v="7"/>
    <m/>
    <m/>
    <m/>
    <m/>
    <m/>
    <m/>
    <m/>
    <m/>
    <m/>
    <m/>
    <m/>
    <m/>
    <m/>
    <m/>
    <m/>
    <m/>
    <m/>
    <m/>
    <m/>
    <m/>
    <m/>
    <m/>
    <m/>
    <m/>
    <m/>
    <m/>
    <n v="88"/>
    <n v="4"/>
    <n v="12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8"/>
    <n v="123"/>
    <m/>
    <m/>
    <m/>
    <m/>
    <m/>
    <m/>
    <m/>
    <m/>
    <m/>
    <m/>
    <m/>
    <m/>
    <m/>
    <m/>
    <m/>
    <m/>
    <m/>
    <m/>
    <m/>
    <m/>
    <n v="0"/>
    <n v="0"/>
    <m/>
    <m/>
    <n v="1333"/>
    <n v="1329"/>
  </r>
  <r>
    <x v="4"/>
    <s v="Atlanta Metropolitan State College"/>
    <m/>
    <n v="138901"/>
    <x v="13"/>
    <n v="0"/>
    <n v="0"/>
    <m/>
    <m/>
    <n v="220"/>
    <n v="154"/>
    <n v="3.6065573770491803"/>
    <n v="2.6101694915254239"/>
    <n v="61"/>
    <n v="0"/>
    <n v="0"/>
    <n v="0"/>
    <n v="0"/>
    <n v="59"/>
    <n v="0"/>
    <n v="0"/>
    <n v="0"/>
    <n v="0"/>
    <s v="52"/>
    <n v="27"/>
    <s v="52"/>
    <n v="31"/>
    <s v="43"/>
    <n v="19"/>
    <s v="43"/>
    <n v="12"/>
    <s v="26"/>
    <n v="7"/>
    <s v="26"/>
    <n v="8"/>
    <s v="27"/>
    <n v="6"/>
    <s v="50"/>
    <n v="5"/>
    <s v="50"/>
    <n v="2"/>
    <s v="27"/>
    <n v="3"/>
    <n v="5"/>
    <n v="0.21708185053380782"/>
    <n v="5"/>
    <n v="0.27699530516431925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1"/>
    <n v="213"/>
  </r>
  <r>
    <x v="4"/>
    <s v="East Georgia State College"/>
    <m/>
    <n v="139621"/>
    <x v="13"/>
    <n v="0"/>
    <n v="0"/>
    <m/>
    <m/>
    <n v="295"/>
    <n v="284"/>
    <n v="10.925925925925926"/>
    <n v="14.2"/>
    <n v="27"/>
    <n v="0"/>
    <n v="0"/>
    <n v="0"/>
    <n v="0"/>
    <n v="20"/>
    <n v="0"/>
    <n v="0"/>
    <n v="0"/>
    <n v="0"/>
    <s v="51"/>
    <n v="22"/>
    <s v="51"/>
    <n v="11"/>
    <s v="43"/>
    <n v="3"/>
    <s v="43"/>
    <n v="6"/>
    <s v="26"/>
    <n v="2"/>
    <s v="26"/>
    <n v="3"/>
    <m/>
    <m/>
    <m/>
    <m/>
    <m/>
    <m/>
    <m/>
    <m/>
    <n v="3"/>
    <n v="8.3850931677018639E-2"/>
    <n v="3"/>
    <n v="6.5789473684210523E-2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2"/>
    <n v="304"/>
  </r>
  <r>
    <x v="4"/>
    <s v="Georgia Highlands College"/>
    <m/>
    <n v="139700"/>
    <x v="13"/>
    <n v="0"/>
    <n v="0"/>
    <m/>
    <m/>
    <n v="742"/>
    <n v="810"/>
    <n v="9.8933333333333326"/>
    <n v="6.8067226890756301"/>
    <n v="75"/>
    <n v="0"/>
    <n v="0"/>
    <n v="0"/>
    <n v="0"/>
    <n v="119"/>
    <n v="0"/>
    <n v="0"/>
    <n v="0"/>
    <n v="0"/>
    <s v="51"/>
    <n v="67"/>
    <s v="51"/>
    <n v="98"/>
    <s v="52"/>
    <n v="8"/>
    <s v="52"/>
    <n v="20"/>
    <m/>
    <m/>
    <s v="43"/>
    <n v="1"/>
    <m/>
    <m/>
    <m/>
    <m/>
    <m/>
    <m/>
    <m/>
    <m/>
    <n v="2"/>
    <n v="9.1799265605875147E-2"/>
    <n v="3"/>
    <n v="0.12809472551130247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7"/>
    <n v="929"/>
  </r>
  <r>
    <x v="4"/>
    <s v="South Georgia State College"/>
    <m/>
    <n v="482699"/>
    <x v="13"/>
    <n v="0"/>
    <n v="0"/>
    <m/>
    <m/>
    <n v="309"/>
    <n v="344"/>
    <n v="4.7538461538461538"/>
    <n v="4.9855072463768115"/>
    <n v="65"/>
    <n v="0"/>
    <n v="0"/>
    <n v="0"/>
    <n v="0"/>
    <n v="69"/>
    <n v="0"/>
    <n v="0"/>
    <n v="0"/>
    <n v="0"/>
    <s v="51"/>
    <n v="31"/>
    <s v="52"/>
    <n v="27"/>
    <s v="52"/>
    <n v="22"/>
    <s v="51"/>
    <n v="26"/>
    <s v="26"/>
    <n v="12"/>
    <s v="26"/>
    <n v="16"/>
    <m/>
    <m/>
    <m/>
    <m/>
    <m/>
    <m/>
    <m/>
    <m/>
    <n v="3"/>
    <n v="0.17379679144385027"/>
    <n v="3"/>
    <n v="0.16707021791767554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4"/>
    <n v="413"/>
  </r>
  <r>
    <x v="4"/>
    <s v="Albany Technical College"/>
    <m/>
    <n v="138682"/>
    <x v="9"/>
    <n v="1607"/>
    <n v="1535"/>
    <n v="73"/>
    <n v="52"/>
    <n v="282"/>
    <n v="32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62"/>
    <n v="1916"/>
  </r>
  <r>
    <x v="4"/>
    <s v="Athens Technical College"/>
    <m/>
    <n v="246813"/>
    <x v="9"/>
    <n v="1512"/>
    <n v="1606"/>
    <n v="42"/>
    <n v="51"/>
    <n v="372"/>
    <n v="51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26"/>
    <n v="2168"/>
  </r>
  <r>
    <x v="4"/>
    <s v="Atlanta Technical College"/>
    <m/>
    <n v="138840"/>
    <x v="9"/>
    <n v="2099"/>
    <n v="1837"/>
    <n v="55"/>
    <n v="50"/>
    <n v="224"/>
    <n v="26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78"/>
    <n v="2151"/>
  </r>
  <r>
    <x v="4"/>
    <s v="Augusta Technical College"/>
    <m/>
    <n v="138956"/>
    <x v="9"/>
    <n v="1563"/>
    <n v="1509"/>
    <n v="69"/>
    <n v="52"/>
    <n v="421"/>
    <n v="42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53"/>
    <n v="1983"/>
  </r>
  <r>
    <x v="4"/>
    <s v="Central Georgia Technical College"/>
    <m/>
    <n v="483045"/>
    <x v="9"/>
    <n v="4676"/>
    <n v="4177"/>
    <n v="85"/>
    <n v="84"/>
    <n v="754"/>
    <n v="81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515"/>
    <n v="5075"/>
  </r>
  <r>
    <x v="4"/>
    <s v="Chattahoochee Technical College"/>
    <m/>
    <n v="140331"/>
    <x v="9"/>
    <n v="4528"/>
    <n v="3548"/>
    <n v="79"/>
    <n v="79"/>
    <n v="675"/>
    <n v="67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82"/>
    <n v="4301"/>
  </r>
  <r>
    <x v="4"/>
    <s v="Coastal Pines Technical College"/>
    <m/>
    <n v="485458"/>
    <x v="9"/>
    <n v="1623"/>
    <n v="2059"/>
    <n v="28"/>
    <n v="19"/>
    <n v="81"/>
    <n v="8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32"/>
    <n v="2164"/>
  </r>
  <r>
    <x v="4"/>
    <s v="Columbus Technical College"/>
    <m/>
    <n v="139357"/>
    <x v="9"/>
    <n v="963"/>
    <n v="1123"/>
    <n v="66"/>
    <n v="66"/>
    <n v="488"/>
    <n v="51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17"/>
    <n v="1703"/>
  </r>
  <r>
    <x v="4"/>
    <s v="Georgia Northwestern Technical College"/>
    <m/>
    <n v="139384"/>
    <x v="9"/>
    <n v="2445"/>
    <n v="2321"/>
    <n v="136"/>
    <n v="118"/>
    <n v="433"/>
    <n v="46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14"/>
    <n v="2902"/>
  </r>
  <r>
    <x v="4"/>
    <s v="Georgia Piedmont Technical College"/>
    <m/>
    <n v="244446"/>
    <x v="9"/>
    <n v="482"/>
    <n v="1482"/>
    <n v="48"/>
    <n v="75"/>
    <n v="202"/>
    <n v="26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2"/>
    <n v="1825"/>
  </r>
  <r>
    <x v="4"/>
    <s v="Gwinnett Technical College"/>
    <m/>
    <n v="140012"/>
    <x v="9"/>
    <n v="2343"/>
    <n v="2567"/>
    <n v="123"/>
    <n v="138"/>
    <n v="705"/>
    <n v="75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71"/>
    <n v="3455"/>
  </r>
  <r>
    <x v="4"/>
    <s v="Lanier Technical College"/>
    <m/>
    <n v="140243"/>
    <x v="9"/>
    <n v="1619"/>
    <n v="1653"/>
    <n v="44"/>
    <n v="39"/>
    <n v="309"/>
    <n v="32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72"/>
    <n v="2018"/>
  </r>
  <r>
    <x v="4"/>
    <s v="North Georgia Technical College"/>
    <m/>
    <n v="140678"/>
    <x v="9"/>
    <n v="818"/>
    <n v="686"/>
    <n v="30"/>
    <n v="18"/>
    <n v="216"/>
    <n v="23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64"/>
    <n v="941"/>
  </r>
  <r>
    <x v="4"/>
    <s v="Oconee Fall Line Technical College"/>
    <m/>
    <n v="420431"/>
    <x v="9"/>
    <n v="917"/>
    <n v="1056"/>
    <n v="17"/>
    <n v="24"/>
    <n v="63"/>
    <n v="11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97"/>
    <n v="1195"/>
  </r>
  <r>
    <x v="4"/>
    <s v="Ogeechee Technical College"/>
    <m/>
    <n v="366465"/>
    <x v="9"/>
    <n v="1211"/>
    <n v="1198"/>
    <n v="24"/>
    <n v="19"/>
    <n v="168"/>
    <n v="22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03"/>
    <n v="1441"/>
  </r>
  <r>
    <x v="4"/>
    <s v="Savannah Technical College"/>
    <m/>
    <n v="140942"/>
    <x v="9"/>
    <n v="2176"/>
    <n v="2354"/>
    <n v="65"/>
    <n v="41"/>
    <n v="325"/>
    <n v="38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66"/>
    <n v="2776"/>
  </r>
  <r>
    <x v="4"/>
    <s v="South Georgia Technical College"/>
    <m/>
    <n v="141006"/>
    <x v="9"/>
    <n v="1499"/>
    <n v="1407"/>
    <n v="93"/>
    <n v="108"/>
    <n v="166"/>
    <n v="21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58"/>
    <n v="1726"/>
  </r>
  <r>
    <x v="4"/>
    <s v="Southeastern Technical College"/>
    <m/>
    <n v="368911"/>
    <x v="9"/>
    <n v="659"/>
    <n v="633"/>
    <n v="8"/>
    <n v="12"/>
    <n v="113"/>
    <n v="13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0"/>
    <n v="776"/>
  </r>
  <r>
    <x v="4"/>
    <s v="Southern Crescent Technical College"/>
    <m/>
    <n v="139986"/>
    <x v="9"/>
    <n v="2954"/>
    <n v="2893"/>
    <n v="63"/>
    <n v="52"/>
    <n v="369"/>
    <n v="38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86"/>
    <n v="3334"/>
  </r>
  <r>
    <x v="4"/>
    <s v="Southern Regional Technical College"/>
    <m/>
    <n v="487162"/>
    <x v="9"/>
    <n v="1652"/>
    <n v="1394"/>
    <n v="35"/>
    <n v="28"/>
    <n v="299"/>
    <n v="32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86"/>
    <n v="1751"/>
  </r>
  <r>
    <x v="4"/>
    <s v="West Georgia Technical College"/>
    <m/>
    <n v="139278"/>
    <x v="9"/>
    <n v="2070"/>
    <n v="1911"/>
    <n v="36"/>
    <n v="35"/>
    <n v="361"/>
    <n v="36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67"/>
    <n v="2306"/>
  </r>
  <r>
    <x v="4"/>
    <s v="Wiregrass Georgia Technical College"/>
    <m/>
    <n v="141255"/>
    <x v="9"/>
    <n v="1882"/>
    <n v="1747"/>
    <n v="61"/>
    <n v="73"/>
    <n v="224"/>
    <n v="21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67"/>
    <n v="2031"/>
  </r>
  <r>
    <x v="5"/>
    <s v="University of Kentucky"/>
    <m/>
    <n v="157085"/>
    <x v="0"/>
    <n v="204"/>
    <n v="233"/>
    <m/>
    <m/>
    <m/>
    <m/>
    <n v="0"/>
    <n v="0"/>
    <n v="5105"/>
    <n v="0"/>
    <n v="0"/>
    <n v="0"/>
    <n v="0"/>
    <n v="5202"/>
    <n v="0"/>
    <n v="0"/>
    <n v="0"/>
    <n v="0"/>
    <m/>
    <m/>
    <m/>
    <m/>
    <m/>
    <m/>
    <m/>
    <m/>
    <m/>
    <m/>
    <m/>
    <m/>
    <m/>
    <m/>
    <m/>
    <m/>
    <m/>
    <m/>
    <m/>
    <m/>
    <n v="0"/>
    <n v="0.66341780376868098"/>
    <n v="0"/>
    <n v="0.65425732612250032"/>
    <n v="151"/>
    <n v="272"/>
    <n v="51"/>
    <n v="246"/>
    <n v="51"/>
    <n v="216"/>
    <n v="52"/>
    <n v="195"/>
    <n v="52"/>
    <n v="162"/>
    <n v="44"/>
    <n v="136"/>
    <n v="44"/>
    <n v="154"/>
    <n v="13"/>
    <n v="114"/>
    <n v="13"/>
    <n v="100"/>
    <n v="25"/>
    <n v="75"/>
    <n v="27"/>
    <n v="93"/>
    <n v="14"/>
    <n v="72"/>
    <n v="25"/>
    <n v="73"/>
    <n v="27"/>
    <n v="61"/>
    <n v="14"/>
    <n v="70"/>
    <n v="45"/>
    <n v="47"/>
    <n v="45"/>
    <n v="63"/>
    <n v="50"/>
    <n v="46"/>
    <n v="40"/>
    <n v="52"/>
    <n v="42"/>
    <n v="45"/>
    <n v="26"/>
    <n v="46"/>
    <n v="239"/>
    <n v="295"/>
    <n v="1276"/>
    <n v="10"/>
    <n v="1324"/>
    <n v="10"/>
    <n v="14"/>
    <n v="51"/>
    <n v="14"/>
    <n v="45"/>
    <n v="26"/>
    <n v="33"/>
    <n v="51"/>
    <n v="36"/>
    <n v="13"/>
    <n v="31"/>
    <n v="13"/>
    <n v="31"/>
    <n v="45"/>
    <n v="29"/>
    <n v="26"/>
    <n v="29"/>
    <n v="40"/>
    <n v="28"/>
    <n v="1"/>
    <n v="26"/>
    <n v="51"/>
    <n v="27"/>
    <n v="45"/>
    <n v="21"/>
    <n v="42"/>
    <n v="26"/>
    <n v="27"/>
    <n v="20"/>
    <n v="1"/>
    <n v="19"/>
    <n v="40"/>
    <n v="18"/>
    <n v="27"/>
    <n v="15"/>
    <n v="42"/>
    <n v="18"/>
    <n v="50"/>
    <n v="14"/>
    <n v="50"/>
    <n v="17"/>
    <n v="64"/>
    <n v="73"/>
    <n v="337"/>
    <n v="10"/>
    <n v="0.1513353115727003"/>
    <n v="334"/>
    <n v="10"/>
    <n v="0.1347305389221557"/>
    <n v="1613"/>
    <n v="1658"/>
    <n v="162"/>
    <n v="108"/>
    <n v="132"/>
    <n v="136"/>
    <n v="56"/>
    <n v="72"/>
    <n v="141"/>
    <n v="136"/>
    <m/>
    <m/>
    <m/>
    <m/>
    <m/>
    <m/>
    <m/>
    <m/>
    <m/>
    <m/>
    <n v="131"/>
    <n v="134"/>
    <n v="622"/>
    <n v="586"/>
    <m/>
    <m/>
    <n v="7695"/>
    <n v="7951"/>
  </r>
  <r>
    <x v="5"/>
    <s v="University of Louisville"/>
    <m/>
    <n v="157289"/>
    <x v="0"/>
    <n v="51"/>
    <n v="45"/>
    <m/>
    <m/>
    <n v="10"/>
    <n v="5"/>
    <n v="3.2797638570022957E-3"/>
    <n v="1.6066838046272494E-3"/>
    <n v="3049"/>
    <n v="0"/>
    <n v="0"/>
    <n v="0"/>
    <n v="0"/>
    <n v="3112"/>
    <n v="0"/>
    <n v="0"/>
    <n v="0"/>
    <n v="0"/>
    <m/>
    <m/>
    <m/>
    <m/>
    <m/>
    <m/>
    <m/>
    <m/>
    <m/>
    <m/>
    <m/>
    <m/>
    <m/>
    <m/>
    <m/>
    <m/>
    <m/>
    <m/>
    <m/>
    <m/>
    <n v="0"/>
    <n v="0.58398774181191337"/>
    <n v="0"/>
    <n v="0.58984078847611832"/>
    <n v="119"/>
    <n v="169"/>
    <n v="13"/>
    <n v="349"/>
    <n v="13"/>
    <n v="366"/>
    <n v="44"/>
    <n v="248"/>
    <n v="44"/>
    <n v="217"/>
    <n v="14"/>
    <n v="186"/>
    <n v="52"/>
    <n v="184"/>
    <n v="52"/>
    <n v="181"/>
    <n v="14"/>
    <n v="161"/>
    <n v="51"/>
    <n v="108"/>
    <n v="51"/>
    <n v="95"/>
    <n v="26"/>
    <n v="81"/>
    <n v="26"/>
    <n v="67"/>
    <n v="15"/>
    <n v="73"/>
    <n v="15"/>
    <n v="57"/>
    <n v="31"/>
    <n v="46"/>
    <n v="50"/>
    <n v="37"/>
    <n v="50"/>
    <n v="36"/>
    <n v="31"/>
    <n v="29"/>
    <n v="43"/>
    <n v="29"/>
    <n v="43"/>
    <n v="27"/>
    <n v="106"/>
    <n v="119"/>
    <n v="1443"/>
    <n v="10"/>
    <n v="1359"/>
    <n v="10"/>
    <n v="26"/>
    <n v="42"/>
    <n v="26"/>
    <n v="43"/>
    <n v="13"/>
    <n v="37"/>
    <n v="13"/>
    <n v="22"/>
    <n v="14"/>
    <n v="25"/>
    <n v="14"/>
    <n v="20"/>
    <n v="42"/>
    <n v="14"/>
    <n v="40"/>
    <n v="10"/>
    <n v="40"/>
    <n v="11"/>
    <n v="42"/>
    <n v="10"/>
    <n v="24"/>
    <n v="6"/>
    <n v="44"/>
    <n v="7"/>
    <n v="45"/>
    <n v="5"/>
    <n v="45"/>
    <n v="6"/>
    <n v="52"/>
    <n v="5"/>
    <n v="23"/>
    <n v="5"/>
    <n v="23"/>
    <n v="5"/>
    <n v="27"/>
    <n v="4"/>
    <n v="30"/>
    <n v="4"/>
    <n v="24"/>
    <n v="4"/>
    <n v="12"/>
    <n v="12"/>
    <n v="166"/>
    <n v="10"/>
    <n v="0.25301204819277107"/>
    <n v="143"/>
    <n v="10"/>
    <n v="0.30069930069930068"/>
    <n v="1609"/>
    <n v="1502"/>
    <n v="108"/>
    <n v="127"/>
    <n v="147"/>
    <n v="157"/>
    <n v="115"/>
    <n v="110"/>
    <m/>
    <m/>
    <m/>
    <m/>
    <m/>
    <m/>
    <m/>
    <m/>
    <m/>
    <m/>
    <m/>
    <m/>
    <n v="13"/>
    <n v="49"/>
    <n v="383"/>
    <n v="443"/>
    <m/>
    <m/>
    <n v="5221"/>
    <n v="5276"/>
  </r>
  <r>
    <x v="5"/>
    <s v="Eastern Kentucky University "/>
    <m/>
    <n v="156620"/>
    <x v="2"/>
    <n v="112"/>
    <n v="106"/>
    <m/>
    <m/>
    <n v="202"/>
    <n v="198"/>
    <n v="7.5092936802973978E-2"/>
    <n v="7.5170842824601361E-2"/>
    <n v="2690"/>
    <n v="0"/>
    <n v="0"/>
    <n v="0"/>
    <n v="0"/>
    <n v="2634"/>
    <n v="0"/>
    <n v="0"/>
    <n v="0"/>
    <n v="0"/>
    <m/>
    <m/>
    <m/>
    <m/>
    <m/>
    <m/>
    <m/>
    <m/>
    <m/>
    <m/>
    <m/>
    <m/>
    <m/>
    <m/>
    <m/>
    <m/>
    <m/>
    <m/>
    <m/>
    <m/>
    <n v="0"/>
    <n v="0.68015170670037928"/>
    <n v="0"/>
    <n v="0.69115717659406983"/>
    <n v="20"/>
    <n v="11"/>
    <n v="13"/>
    <n v="280"/>
    <n v="13"/>
    <n v="247"/>
    <n v="51"/>
    <n v="241"/>
    <n v="51"/>
    <n v="231"/>
    <n v="43"/>
    <n v="188"/>
    <n v="43"/>
    <n v="150"/>
    <n v="42"/>
    <n v="35"/>
    <n v="42"/>
    <n v="44"/>
    <n v="31"/>
    <n v="33"/>
    <n v="31"/>
    <n v="35"/>
    <n v="44"/>
    <n v="27"/>
    <n v="44"/>
    <n v="29"/>
    <n v="15"/>
    <n v="20"/>
    <n v="23"/>
    <n v="21"/>
    <n v="50"/>
    <n v="16"/>
    <n v="15"/>
    <n v="12"/>
    <n v="23"/>
    <n v="11"/>
    <n v="50"/>
    <n v="12"/>
    <n v="27"/>
    <n v="11"/>
    <n v="27"/>
    <n v="8"/>
    <n v="35"/>
    <n v="28"/>
    <n v="897"/>
    <n v="10"/>
    <n v="81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97"/>
    <n v="817"/>
    <m/>
    <m/>
    <m/>
    <m/>
    <m/>
    <m/>
    <m/>
    <m/>
    <m/>
    <m/>
    <m/>
    <m/>
    <m/>
    <m/>
    <m/>
    <m/>
    <m/>
    <m/>
    <n v="24"/>
    <n v="34"/>
    <n v="24"/>
    <n v="34"/>
    <n v="10"/>
    <n v="11"/>
    <n v="3955"/>
    <n v="3811"/>
  </r>
  <r>
    <x v="5"/>
    <s v="Morehead State University "/>
    <m/>
    <n v="157386"/>
    <x v="2"/>
    <m/>
    <m/>
    <m/>
    <m/>
    <n v="158"/>
    <n v="153"/>
    <n v="0.1253968253968254"/>
    <n v="0.13432835820895522"/>
    <n v="1260"/>
    <n v="0"/>
    <n v="0"/>
    <n v="0"/>
    <n v="0"/>
    <n v="1139"/>
    <n v="0"/>
    <n v="0"/>
    <n v="0"/>
    <n v="0"/>
    <m/>
    <m/>
    <m/>
    <m/>
    <m/>
    <m/>
    <m/>
    <m/>
    <m/>
    <m/>
    <m/>
    <m/>
    <m/>
    <m/>
    <m/>
    <m/>
    <m/>
    <m/>
    <m/>
    <m/>
    <n v="0"/>
    <n v="0.72832369942196529"/>
    <n v="0"/>
    <n v="0.71861198738170351"/>
    <m/>
    <m/>
    <n v="13"/>
    <n v="175"/>
    <n v="13"/>
    <n v="131"/>
    <n v="52"/>
    <n v="45"/>
    <n v="52"/>
    <n v="54"/>
    <n v="23"/>
    <n v="19"/>
    <n v="23"/>
    <n v="20"/>
    <n v="15"/>
    <n v="11"/>
    <n v="15"/>
    <n v="17"/>
    <n v="42"/>
    <n v="11"/>
    <n v="51"/>
    <n v="14"/>
    <n v="50"/>
    <n v="9"/>
    <n v="45"/>
    <n v="8"/>
    <n v="9"/>
    <n v="9"/>
    <n v="9"/>
    <n v="7"/>
    <n v="45"/>
    <n v="7"/>
    <n v="31"/>
    <n v="7"/>
    <n v="31"/>
    <n v="6"/>
    <n v="50"/>
    <n v="7"/>
    <n v="14"/>
    <n v="5"/>
    <n v="42"/>
    <n v="5"/>
    <n v="2"/>
    <n v="11"/>
    <n v="299"/>
    <n v="10"/>
    <n v="28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99"/>
    <n v="281"/>
    <m/>
    <m/>
    <m/>
    <m/>
    <m/>
    <m/>
    <m/>
    <m/>
    <m/>
    <m/>
    <m/>
    <m/>
    <m/>
    <m/>
    <m/>
    <m/>
    <m/>
    <m/>
    <m/>
    <m/>
    <n v="0"/>
    <n v="0"/>
    <n v="13"/>
    <n v="12"/>
    <n v="1730"/>
    <n v="1585"/>
  </r>
  <r>
    <x v="5"/>
    <s v="Murray State University "/>
    <m/>
    <n v="157401"/>
    <x v="2"/>
    <n v="12"/>
    <n v="13"/>
    <m/>
    <m/>
    <n v="14"/>
    <n v="22"/>
    <n v="8.8776157260621429E-3"/>
    <n v="1.3261000602772756E-2"/>
    <n v="1577"/>
    <n v="0"/>
    <n v="0"/>
    <n v="0"/>
    <n v="0"/>
    <n v="1659"/>
    <n v="0"/>
    <n v="0"/>
    <n v="0"/>
    <n v="0"/>
    <m/>
    <m/>
    <m/>
    <m/>
    <m/>
    <m/>
    <m/>
    <m/>
    <m/>
    <m/>
    <m/>
    <m/>
    <m/>
    <m/>
    <m/>
    <m/>
    <m/>
    <m/>
    <m/>
    <m/>
    <n v="0"/>
    <n v="0.75563009103976997"/>
    <n v="0"/>
    <n v="0.74864620938628157"/>
    <n v="14"/>
    <n v="22"/>
    <n v="13"/>
    <n v="138"/>
    <n v="13"/>
    <n v="128"/>
    <n v="52"/>
    <n v="63"/>
    <n v="52"/>
    <n v="61"/>
    <n v="44"/>
    <n v="48"/>
    <n v="1"/>
    <n v="61"/>
    <n v="1"/>
    <n v="37"/>
    <n v="51"/>
    <n v="58"/>
    <n v="51"/>
    <n v="33"/>
    <n v="44"/>
    <n v="50"/>
    <n v="15"/>
    <n v="29"/>
    <n v="15"/>
    <n v="24"/>
    <n v="9"/>
    <n v="26"/>
    <n v="9"/>
    <n v="22"/>
    <n v="11"/>
    <n v="10"/>
    <n v="11"/>
    <n v="17"/>
    <n v="23"/>
    <n v="9"/>
    <n v="23"/>
    <n v="11"/>
    <n v="42"/>
    <n v="7"/>
    <n v="42"/>
    <n v="10"/>
    <n v="22"/>
    <n v="10"/>
    <n v="422"/>
    <n v="10"/>
    <n v="452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22"/>
    <n v="452"/>
    <m/>
    <m/>
    <m/>
    <m/>
    <m/>
    <m/>
    <m/>
    <m/>
    <m/>
    <m/>
    <m/>
    <m/>
    <m/>
    <m/>
    <m/>
    <m/>
    <m/>
    <m/>
    <n v="27"/>
    <n v="28"/>
    <n v="27"/>
    <n v="28"/>
    <n v="21"/>
    <n v="20"/>
    <n v="2087"/>
    <n v="2216"/>
  </r>
  <r>
    <x v="5"/>
    <s v="Northern Kentucky University "/>
    <m/>
    <n v="157447"/>
    <x v="2"/>
    <n v="32"/>
    <n v="31"/>
    <m/>
    <m/>
    <n v="58"/>
    <n v="35"/>
    <n v="2.7179006560449859E-2"/>
    <n v="1.5751575157515751E-2"/>
    <n v="2134"/>
    <n v="0"/>
    <n v="0"/>
    <n v="0"/>
    <n v="0"/>
    <n v="2222"/>
    <n v="0"/>
    <n v="0"/>
    <n v="0"/>
    <n v="0"/>
    <m/>
    <m/>
    <m/>
    <m/>
    <m/>
    <m/>
    <m/>
    <m/>
    <m/>
    <m/>
    <m/>
    <m/>
    <m/>
    <m/>
    <m/>
    <m/>
    <m/>
    <m/>
    <m/>
    <m/>
    <n v="0"/>
    <n v="0.73611590203518451"/>
    <n v="0"/>
    <n v="0.72448646886208024"/>
    <n v="58"/>
    <n v="62"/>
    <n v="51"/>
    <n v="141"/>
    <n v="51"/>
    <n v="145"/>
    <n v="44"/>
    <n v="92"/>
    <n v="52"/>
    <n v="133"/>
    <n v="13"/>
    <n v="71"/>
    <n v="44"/>
    <n v="96"/>
    <n v="52"/>
    <n v="57"/>
    <n v="13"/>
    <n v="70"/>
    <n v="11"/>
    <n v="46"/>
    <n v="11"/>
    <n v="28"/>
    <n v="42"/>
    <n v="19"/>
    <n v="23"/>
    <n v="11"/>
    <n v="23"/>
    <n v="18"/>
    <n v="24"/>
    <n v="11"/>
    <n v="22"/>
    <n v="9"/>
    <n v="42"/>
    <n v="11"/>
    <n v="54"/>
    <n v="9"/>
    <n v="54"/>
    <n v="9"/>
    <n v="24"/>
    <n v="6"/>
    <n v="22"/>
    <n v="6"/>
    <n v="4"/>
    <n v="4"/>
    <n v="472"/>
    <n v="10"/>
    <n v="52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72"/>
    <n v="524"/>
    <n v="119"/>
    <n v="115"/>
    <m/>
    <m/>
    <m/>
    <m/>
    <m/>
    <m/>
    <m/>
    <m/>
    <m/>
    <m/>
    <m/>
    <m/>
    <m/>
    <m/>
    <m/>
    <m/>
    <n v="8"/>
    <n v="66"/>
    <n v="127"/>
    <n v="181"/>
    <n v="18"/>
    <n v="12"/>
    <n v="2899"/>
    <n v="3067"/>
  </r>
  <r>
    <x v="5"/>
    <s v="Western Kentucky University "/>
    <m/>
    <n v="157951"/>
    <x v="2"/>
    <n v="329"/>
    <n v="350"/>
    <m/>
    <m/>
    <n v="208"/>
    <n v="164"/>
    <n v="6.9705093833780166E-2"/>
    <n v="5.391190006574622E-2"/>
    <n v="2984"/>
    <n v="0"/>
    <n v="0"/>
    <n v="0"/>
    <n v="0"/>
    <n v="3042"/>
    <n v="0"/>
    <n v="0"/>
    <n v="0"/>
    <n v="0"/>
    <m/>
    <m/>
    <m/>
    <m/>
    <m/>
    <m/>
    <m/>
    <m/>
    <m/>
    <m/>
    <m/>
    <m/>
    <m/>
    <m/>
    <m/>
    <m/>
    <m/>
    <m/>
    <m/>
    <m/>
    <n v="0"/>
    <n v="0.66193433895297249"/>
    <n v="0"/>
    <n v="0.66491803278688522"/>
    <n v="141"/>
    <n v="151"/>
    <n v="52"/>
    <n v="180"/>
    <n v="52"/>
    <n v="190"/>
    <n v="51"/>
    <n v="129"/>
    <n v="51"/>
    <n v="144"/>
    <n v="13"/>
    <n v="120"/>
    <n v="13"/>
    <n v="120"/>
    <n v="44"/>
    <n v="67"/>
    <n v="44"/>
    <n v="70"/>
    <n v="31"/>
    <n v="66"/>
    <n v="31"/>
    <n v="66"/>
    <n v="42"/>
    <n v="45"/>
    <n v="42"/>
    <n v="52"/>
    <n v="25"/>
    <n v="24"/>
    <n v="45"/>
    <n v="31"/>
    <n v="45"/>
    <n v="23"/>
    <n v="25"/>
    <n v="29"/>
    <n v="1"/>
    <n v="20"/>
    <n v="26"/>
    <n v="22"/>
    <n v="23"/>
    <n v="16"/>
    <n v="27"/>
    <n v="11"/>
    <n v="84"/>
    <n v="69"/>
    <n v="774"/>
    <n v="10"/>
    <n v="80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74"/>
    <n v="804"/>
    <m/>
    <m/>
    <m/>
    <m/>
    <m/>
    <m/>
    <m/>
    <m/>
    <m/>
    <m/>
    <m/>
    <m/>
    <m/>
    <m/>
    <m/>
    <m/>
    <m/>
    <m/>
    <n v="60"/>
    <n v="49"/>
    <n v="60"/>
    <n v="49"/>
    <n v="12"/>
    <n v="15"/>
    <n v="4508"/>
    <n v="4575"/>
  </r>
  <r>
    <x v="5"/>
    <s v="Kentucky State University "/>
    <s v="Met the criteria for Four-Year 6 in 2020-21."/>
    <n v="157058"/>
    <x v="3"/>
    <n v="5"/>
    <n v="6"/>
    <m/>
    <m/>
    <n v="32"/>
    <n v="32"/>
    <n v="0.15094339622641509"/>
    <n v="0.23357664233576642"/>
    <n v="212"/>
    <n v="0"/>
    <n v="0"/>
    <n v="0"/>
    <n v="0"/>
    <n v="137"/>
    <n v="0"/>
    <n v="0"/>
    <n v="0"/>
    <n v="0"/>
    <m/>
    <m/>
    <m/>
    <m/>
    <m/>
    <m/>
    <m/>
    <m/>
    <m/>
    <m/>
    <m/>
    <m/>
    <m/>
    <m/>
    <m/>
    <m/>
    <m/>
    <m/>
    <m/>
    <m/>
    <n v="0"/>
    <n v="0.70666666666666667"/>
    <n v="0"/>
    <n v="0.66829268292682931"/>
    <m/>
    <m/>
    <n v="3"/>
    <n v="14"/>
    <n v="11"/>
    <n v="7"/>
    <n v="1"/>
    <n v="11"/>
    <n v="3"/>
    <n v="6"/>
    <n v="44"/>
    <n v="10"/>
    <n v="1"/>
    <n v="4"/>
    <n v="11"/>
    <n v="6"/>
    <n v="44"/>
    <n v="4"/>
    <n v="52"/>
    <n v="6"/>
    <n v="52"/>
    <n v="4"/>
    <n v="13"/>
    <n v="2"/>
    <n v="13"/>
    <n v="2"/>
    <m/>
    <m/>
    <n v="42"/>
    <n v="1"/>
    <m/>
    <m/>
    <m/>
    <m/>
    <m/>
    <m/>
    <m/>
    <m/>
    <m/>
    <m/>
    <m/>
    <m/>
    <m/>
    <m/>
    <n v="49"/>
    <n v="6"/>
    <n v="28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9"/>
    <n v="28"/>
    <m/>
    <m/>
    <m/>
    <m/>
    <m/>
    <m/>
    <m/>
    <m/>
    <m/>
    <m/>
    <m/>
    <m/>
    <m/>
    <m/>
    <m/>
    <m/>
    <m/>
    <m/>
    <n v="2"/>
    <n v="2"/>
    <n v="2"/>
    <n v="2"/>
    <m/>
    <m/>
    <n v="300"/>
    <n v="205"/>
  </r>
  <r>
    <x v="5"/>
    <s v="Bluegrass Community and Technical College"/>
    <s v="Changed # from 157173 to 156392"/>
    <n v="156392"/>
    <x v="6"/>
    <n v="2881"/>
    <n v="3239"/>
    <m/>
    <m/>
    <n v="1298"/>
    <n v="124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79"/>
    <n v="4484"/>
  </r>
  <r>
    <x v="5"/>
    <s v="Jefferson Community and Technical College "/>
    <m/>
    <n v="156921"/>
    <x v="6"/>
    <n v="2975"/>
    <n v="3362"/>
    <m/>
    <m/>
    <n v="1429"/>
    <n v="136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04"/>
    <n v="4731"/>
  </r>
  <r>
    <x v="5"/>
    <s v="Big Sandy Community and Technical College "/>
    <s v="Met the criteria for Two-Year 3 in 2019-20 and 2020-21."/>
    <n v="157553"/>
    <x v="7"/>
    <n v="915"/>
    <n v="944"/>
    <m/>
    <m/>
    <n v="454"/>
    <n v="43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69"/>
    <n v="1380"/>
  </r>
  <r>
    <x v="5"/>
    <s v="Elizabethtown Community and Technical College "/>
    <m/>
    <n v="156648"/>
    <x v="7"/>
    <n v="2164"/>
    <n v="2695"/>
    <m/>
    <m/>
    <n v="688"/>
    <n v="87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52"/>
    <n v="3569"/>
  </r>
  <r>
    <x v="5"/>
    <s v="Maysville Community and Technical College "/>
    <m/>
    <n v="157331"/>
    <x v="7"/>
    <n v="1682"/>
    <n v="1604"/>
    <m/>
    <m/>
    <n v="451"/>
    <n v="42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33"/>
    <n v="2028"/>
  </r>
  <r>
    <x v="5"/>
    <s v="Owensboro Community and Technical College "/>
    <m/>
    <n v="247940"/>
    <x v="7"/>
    <n v="1463"/>
    <n v="1540"/>
    <m/>
    <m/>
    <n v="698"/>
    <n v="74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61"/>
    <n v="2283"/>
  </r>
  <r>
    <x v="5"/>
    <s v="Somerset Community and Technical College "/>
    <m/>
    <n v="157711"/>
    <x v="7"/>
    <n v="2186"/>
    <n v="2360"/>
    <m/>
    <m/>
    <n v="697"/>
    <n v="78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83"/>
    <n v="3147"/>
  </r>
  <r>
    <x v="5"/>
    <s v="West Kentucky Community and Technical College"/>
    <m/>
    <n v="157483"/>
    <x v="7"/>
    <n v="2606"/>
    <n v="2266"/>
    <m/>
    <m/>
    <n v="717"/>
    <n v="60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23"/>
    <n v="2872"/>
  </r>
  <r>
    <x v="5"/>
    <s v="Ashland Community and Technical College"/>
    <m/>
    <n v="156231"/>
    <x v="8"/>
    <n v="1398"/>
    <n v="2062"/>
    <m/>
    <m/>
    <n v="401"/>
    <n v="46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99"/>
    <n v="2530"/>
  </r>
  <r>
    <x v="5"/>
    <s v="Hazard Community and Technical College"/>
    <m/>
    <n v="156790"/>
    <x v="8"/>
    <n v="1250"/>
    <n v="1698"/>
    <m/>
    <m/>
    <n v="412"/>
    <n v="39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62"/>
    <n v="2096"/>
  </r>
  <r>
    <x v="5"/>
    <s v="Henderson Community College "/>
    <m/>
    <n v="156851"/>
    <x v="8"/>
    <n v="271"/>
    <n v="361"/>
    <m/>
    <m/>
    <n v="197"/>
    <n v="20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8"/>
    <n v="565"/>
  </r>
  <r>
    <x v="5"/>
    <s v="Hopkinsville Community College "/>
    <m/>
    <n v="156860"/>
    <x v="8"/>
    <n v="973"/>
    <n v="750"/>
    <m/>
    <m/>
    <n v="418"/>
    <n v="40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91"/>
    <n v="1159"/>
  </r>
  <r>
    <x v="5"/>
    <s v="Madisonville Community College"/>
    <m/>
    <n v="157304"/>
    <x v="8"/>
    <n v="1137"/>
    <n v="1100"/>
    <m/>
    <m/>
    <n v="403"/>
    <n v="39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40"/>
    <n v="1498"/>
  </r>
  <r>
    <x v="5"/>
    <s v="Southeast Kentucky Community and Technical College"/>
    <m/>
    <n v="157739"/>
    <x v="8"/>
    <n v="648"/>
    <n v="633"/>
    <m/>
    <m/>
    <n v="399"/>
    <n v="37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47"/>
    <n v="1005"/>
  </r>
  <r>
    <x v="5"/>
    <s v="Gateway Community and Technical College"/>
    <m/>
    <n v="157438"/>
    <x v="9"/>
    <n v="3044"/>
    <n v="2385"/>
    <m/>
    <m/>
    <n v="500"/>
    <n v="50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44"/>
    <n v="2893"/>
  </r>
  <r>
    <x v="5"/>
    <s v="Southcentral Kentucky Community and Technical College"/>
    <m/>
    <n v="156338"/>
    <x v="9"/>
    <n v="1670"/>
    <n v="2326"/>
    <m/>
    <m/>
    <n v="703"/>
    <n v="72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73"/>
    <n v="3051"/>
  </r>
  <r>
    <x v="6"/>
    <s v="Louisiana State University and A&amp;M College"/>
    <m/>
    <n v="159391"/>
    <x v="0"/>
    <m/>
    <m/>
    <m/>
    <m/>
    <m/>
    <m/>
    <n v="0"/>
    <n v="0"/>
    <n v="5097"/>
    <n v="0"/>
    <n v="0"/>
    <n v="0"/>
    <n v="0"/>
    <n v="4971"/>
    <n v="0"/>
    <n v="0"/>
    <n v="0"/>
    <n v="0"/>
    <m/>
    <m/>
    <m/>
    <m/>
    <m/>
    <m/>
    <m/>
    <m/>
    <m/>
    <m/>
    <m/>
    <m/>
    <m/>
    <m/>
    <m/>
    <m/>
    <m/>
    <m/>
    <m/>
    <m/>
    <n v="0"/>
    <n v="0.70929585304759257"/>
    <n v="0"/>
    <n v="0.70211864406779656"/>
    <n v="97"/>
    <n v="81"/>
    <n v="52"/>
    <n v="332"/>
    <n v="52"/>
    <n v="387"/>
    <n v="13"/>
    <n v="282"/>
    <n v="44"/>
    <n v="338"/>
    <n v="44"/>
    <n v="229"/>
    <n v="13"/>
    <n v="191"/>
    <n v="25"/>
    <n v="106"/>
    <n v="25"/>
    <n v="66"/>
    <n v="14"/>
    <n v="72"/>
    <n v="50"/>
    <n v="61"/>
    <n v="50"/>
    <n v="53"/>
    <n v="51"/>
    <n v="54"/>
    <n v="45"/>
    <n v="53"/>
    <n v="14"/>
    <n v="52"/>
    <n v="51"/>
    <n v="43"/>
    <n v="45"/>
    <n v="35"/>
    <n v="40"/>
    <n v="33"/>
    <n v="9"/>
    <n v="29"/>
    <n v="9"/>
    <n v="30"/>
    <n v="11"/>
    <n v="25"/>
    <n v="177"/>
    <n v="189"/>
    <n v="1410"/>
    <n v="10"/>
    <n v="1427"/>
    <n v="10"/>
    <n v="14"/>
    <n v="52"/>
    <n v="14"/>
    <n v="56"/>
    <n v="40"/>
    <n v="40"/>
    <n v="40"/>
    <n v="55"/>
    <n v="50"/>
    <n v="34"/>
    <n v="50"/>
    <n v="32"/>
    <n v="1"/>
    <n v="27"/>
    <n v="13"/>
    <n v="30"/>
    <n v="26"/>
    <n v="26"/>
    <n v="45"/>
    <n v="30"/>
    <n v="13"/>
    <n v="25"/>
    <n v="26"/>
    <n v="23"/>
    <n v="45"/>
    <n v="21"/>
    <n v="1"/>
    <n v="23"/>
    <n v="23"/>
    <n v="13"/>
    <n v="42"/>
    <n v="20"/>
    <n v="3"/>
    <n v="13"/>
    <n v="51"/>
    <n v="13"/>
    <n v="52"/>
    <n v="12"/>
    <n v="23"/>
    <n v="11"/>
    <n v="62"/>
    <n v="54"/>
    <n v="325"/>
    <n v="10"/>
    <n v="0.16"/>
    <n v="347"/>
    <n v="10"/>
    <n v="0.16138328530259366"/>
    <n v="1735"/>
    <n v="1774"/>
    <n v="174"/>
    <n v="166"/>
    <m/>
    <m/>
    <m/>
    <m/>
    <m/>
    <m/>
    <m/>
    <m/>
    <m/>
    <m/>
    <m/>
    <m/>
    <n v="83"/>
    <n v="88"/>
    <m/>
    <m/>
    <m/>
    <m/>
    <n v="257"/>
    <n v="254"/>
    <m/>
    <m/>
    <n v="7186"/>
    <n v="7080"/>
  </r>
  <r>
    <x v="6"/>
    <s v="Louisiana Tech University "/>
    <m/>
    <n v="159647"/>
    <x v="1"/>
    <m/>
    <n v="1"/>
    <m/>
    <m/>
    <n v="61"/>
    <n v="62"/>
    <n v="4.0802675585284283E-2"/>
    <n v="4.044357469015003E-2"/>
    <n v="1495"/>
    <n v="0"/>
    <n v="0"/>
    <n v="0"/>
    <n v="0"/>
    <n v="1533"/>
    <n v="0"/>
    <n v="0"/>
    <n v="0"/>
    <n v="0"/>
    <m/>
    <m/>
    <m/>
    <m/>
    <m/>
    <m/>
    <m/>
    <m/>
    <m/>
    <m/>
    <m/>
    <m/>
    <m/>
    <m/>
    <m/>
    <m/>
    <m/>
    <m/>
    <m/>
    <m/>
    <n v="0"/>
    <n v="0.66950291088222125"/>
    <n v="0"/>
    <n v="0.72550875532418357"/>
    <m/>
    <m/>
    <n v="13"/>
    <n v="196"/>
    <n v="52"/>
    <n v="135"/>
    <n v="52"/>
    <n v="184"/>
    <n v="13"/>
    <n v="90"/>
    <n v="51"/>
    <n v="61"/>
    <n v="51"/>
    <n v="46"/>
    <n v="14"/>
    <n v="49"/>
    <n v="14"/>
    <n v="46"/>
    <n v="15"/>
    <n v="33"/>
    <n v="15"/>
    <n v="43"/>
    <n v="42"/>
    <n v="25"/>
    <n v="42"/>
    <n v="19"/>
    <n v="26"/>
    <n v="13"/>
    <n v="4"/>
    <n v="19"/>
    <n v="4"/>
    <n v="12"/>
    <n v="23"/>
    <n v="17"/>
    <n v="27"/>
    <n v="10"/>
    <n v="11"/>
    <n v="14"/>
    <n v="23"/>
    <n v="9"/>
    <n v="26"/>
    <n v="7"/>
    <n v="35"/>
    <n v="30"/>
    <n v="627"/>
    <n v="10"/>
    <n v="466"/>
    <n v="10"/>
    <n v="14"/>
    <n v="20"/>
    <n v="14"/>
    <n v="10"/>
    <n v="13"/>
    <n v="11"/>
    <n v="30"/>
    <n v="9"/>
    <n v="42"/>
    <n v="7"/>
    <n v="13"/>
    <n v="8"/>
    <n v="52"/>
    <n v="5"/>
    <n v="11"/>
    <n v="7"/>
    <n v="11"/>
    <n v="3"/>
    <n v="42"/>
    <n v="7"/>
    <n v="30"/>
    <n v="1"/>
    <n v="52"/>
    <n v="6"/>
    <m/>
    <m/>
    <m/>
    <m/>
    <m/>
    <m/>
    <m/>
    <m/>
    <m/>
    <m/>
    <m/>
    <m/>
    <m/>
    <m/>
    <m/>
    <m/>
    <m/>
    <m/>
    <n v="47"/>
    <n v="6"/>
    <n v="0.42553191489361702"/>
    <n v="47"/>
    <n v="6"/>
    <n v="0.21276595744680851"/>
    <n v="674"/>
    <n v="513"/>
    <m/>
    <m/>
    <m/>
    <m/>
    <m/>
    <m/>
    <m/>
    <m/>
    <m/>
    <m/>
    <m/>
    <m/>
    <m/>
    <m/>
    <m/>
    <m/>
    <m/>
    <m/>
    <n v="3"/>
    <n v="4"/>
    <n v="3"/>
    <n v="4"/>
    <m/>
    <m/>
    <n v="2233"/>
    <n v="2113"/>
  </r>
  <r>
    <x v="6"/>
    <s v="University of Louisiana at Lafayette"/>
    <m/>
    <n v="160658"/>
    <x v="1"/>
    <m/>
    <m/>
    <m/>
    <m/>
    <m/>
    <m/>
    <n v="0"/>
    <n v="0"/>
    <n v="2888"/>
    <n v="0"/>
    <n v="0"/>
    <n v="0"/>
    <n v="0"/>
    <n v="2906"/>
    <n v="0"/>
    <n v="0"/>
    <n v="0"/>
    <n v="0"/>
    <m/>
    <m/>
    <m/>
    <m/>
    <m/>
    <m/>
    <m/>
    <m/>
    <m/>
    <m/>
    <m/>
    <m/>
    <m/>
    <m/>
    <m/>
    <m/>
    <m/>
    <m/>
    <m/>
    <m/>
    <n v="0"/>
    <n v="0.84124672298281389"/>
    <n v="0"/>
    <n v="0.80099228224917307"/>
    <n v="27"/>
    <n v="20"/>
    <n v="52"/>
    <n v="115"/>
    <n v="52"/>
    <n v="283"/>
    <n v="51"/>
    <n v="81"/>
    <n v="51"/>
    <n v="98"/>
    <n v="13"/>
    <n v="65"/>
    <n v="13"/>
    <n v="84"/>
    <n v="14"/>
    <n v="35"/>
    <n v="11"/>
    <n v="35"/>
    <n v="11"/>
    <n v="34"/>
    <n v="40"/>
    <n v="32"/>
    <n v="40"/>
    <n v="33"/>
    <n v="14"/>
    <n v="30"/>
    <n v="4"/>
    <n v="21"/>
    <n v="23"/>
    <n v="12"/>
    <n v="42"/>
    <n v="11"/>
    <n v="27"/>
    <n v="11"/>
    <n v="50"/>
    <n v="10"/>
    <n v="4"/>
    <n v="10"/>
    <n v="23"/>
    <n v="9"/>
    <n v="9"/>
    <n v="9"/>
    <n v="40"/>
    <n v="38"/>
    <n v="454"/>
    <n v="10"/>
    <n v="642"/>
    <n v="10"/>
    <n v="13"/>
    <n v="17"/>
    <n v="13"/>
    <n v="14"/>
    <n v="23"/>
    <n v="12"/>
    <n v="23"/>
    <n v="12"/>
    <n v="14"/>
    <n v="10"/>
    <n v="14"/>
    <n v="11"/>
    <n v="26"/>
    <n v="7"/>
    <n v="51"/>
    <n v="5"/>
    <n v="11"/>
    <n v="5"/>
    <n v="11"/>
    <n v="5"/>
    <n v="27"/>
    <n v="4"/>
    <n v="27"/>
    <n v="5"/>
    <n v="51"/>
    <n v="4"/>
    <n v="26"/>
    <n v="3"/>
    <n v="5"/>
    <n v="3"/>
    <n v="5"/>
    <n v="1"/>
    <m/>
    <m/>
    <m/>
    <m/>
    <m/>
    <m/>
    <m/>
    <m/>
    <m/>
    <m/>
    <n v="62"/>
    <n v="8"/>
    <n v="0.27419354838709675"/>
    <n v="56"/>
    <n v="8"/>
    <n v="0.25"/>
    <n v="516"/>
    <n v="698"/>
    <m/>
    <m/>
    <m/>
    <m/>
    <m/>
    <m/>
    <m/>
    <m/>
    <m/>
    <m/>
    <m/>
    <m/>
    <m/>
    <m/>
    <m/>
    <m/>
    <m/>
    <m/>
    <n v="2"/>
    <n v="4"/>
    <n v="2"/>
    <n v="4"/>
    <m/>
    <m/>
    <n v="3433"/>
    <n v="3628"/>
  </r>
  <r>
    <x v="6"/>
    <s v="University of New Orleans"/>
    <m/>
    <n v="159939"/>
    <x v="1"/>
    <m/>
    <m/>
    <m/>
    <m/>
    <m/>
    <m/>
    <n v="0"/>
    <n v="0"/>
    <n v="1087"/>
    <n v="0"/>
    <n v="0"/>
    <n v="0"/>
    <n v="0"/>
    <n v="1101"/>
    <n v="0"/>
    <n v="0"/>
    <n v="0"/>
    <n v="0"/>
    <m/>
    <m/>
    <m/>
    <m/>
    <m/>
    <m/>
    <m/>
    <m/>
    <m/>
    <m/>
    <m/>
    <m/>
    <m/>
    <m/>
    <m/>
    <m/>
    <m/>
    <m/>
    <m/>
    <m/>
    <n v="0"/>
    <n v="0.68022528160200246"/>
    <n v="0"/>
    <n v="0.70038167938931295"/>
    <m/>
    <m/>
    <n v="52"/>
    <n v="111"/>
    <n v="52"/>
    <n v="122"/>
    <n v="13"/>
    <n v="67"/>
    <n v="13"/>
    <n v="54"/>
    <n v="23"/>
    <n v="42"/>
    <n v="23"/>
    <n v="48"/>
    <n v="50"/>
    <n v="41"/>
    <n v="16"/>
    <n v="26"/>
    <n v="40"/>
    <n v="32"/>
    <n v="14"/>
    <n v="24"/>
    <n v="14"/>
    <n v="31"/>
    <n v="50"/>
    <n v="21"/>
    <n v="16"/>
    <n v="21"/>
    <n v="40"/>
    <n v="20"/>
    <n v="51"/>
    <n v="21"/>
    <n v="51"/>
    <n v="17"/>
    <n v="11"/>
    <n v="20"/>
    <n v="54"/>
    <n v="16"/>
    <n v="54"/>
    <n v="18"/>
    <n v="4"/>
    <n v="16"/>
    <n v="67"/>
    <n v="70"/>
    <n v="471"/>
    <n v="10"/>
    <n v="434"/>
    <n v="10"/>
    <n v="13"/>
    <n v="14"/>
    <n v="14"/>
    <n v="10"/>
    <n v="52"/>
    <n v="8"/>
    <n v="52"/>
    <n v="10"/>
    <n v="14"/>
    <n v="8"/>
    <n v="13"/>
    <n v="7"/>
    <n v="45"/>
    <n v="6"/>
    <n v="42"/>
    <n v="4"/>
    <n v="40"/>
    <n v="2"/>
    <n v="45"/>
    <n v="2"/>
    <n v="42"/>
    <n v="1"/>
    <n v="26"/>
    <n v="2"/>
    <n v="26"/>
    <n v="1"/>
    <n v="40"/>
    <n v="2"/>
    <m/>
    <m/>
    <m/>
    <m/>
    <m/>
    <m/>
    <m/>
    <m/>
    <m/>
    <m/>
    <m/>
    <m/>
    <m/>
    <m/>
    <n v="40"/>
    <n v="7"/>
    <n v="0.35"/>
    <n v="37"/>
    <n v="7"/>
    <n v="0.27027027027027029"/>
    <n v="511"/>
    <n v="471"/>
    <m/>
    <m/>
    <m/>
    <m/>
    <m/>
    <m/>
    <m/>
    <m/>
    <m/>
    <m/>
    <m/>
    <m/>
    <m/>
    <m/>
    <m/>
    <m/>
    <m/>
    <m/>
    <m/>
    <m/>
    <n v="0"/>
    <n v="0"/>
    <m/>
    <m/>
    <n v="1598"/>
    <n v="1572"/>
  </r>
  <r>
    <x v="6"/>
    <s v="McNeese State University"/>
    <m/>
    <n v="159717"/>
    <x v="2"/>
    <m/>
    <m/>
    <m/>
    <m/>
    <n v="97"/>
    <n v="146"/>
    <n v="9.3448940269749523E-2"/>
    <n v="0.14092664092664092"/>
    <n v="1038"/>
    <n v="0"/>
    <n v="0"/>
    <n v="0"/>
    <n v="0"/>
    <n v="1036"/>
    <n v="0"/>
    <n v="0"/>
    <n v="0"/>
    <n v="0"/>
    <m/>
    <m/>
    <m/>
    <m/>
    <m/>
    <m/>
    <m/>
    <m/>
    <m/>
    <m/>
    <m/>
    <m/>
    <m/>
    <m/>
    <m/>
    <m/>
    <m/>
    <m/>
    <m/>
    <m/>
    <n v="0"/>
    <n v="0.75162925416364956"/>
    <n v="0"/>
    <n v="0.72957746478873242"/>
    <n v="22"/>
    <n v="21"/>
    <n v="51"/>
    <n v="50"/>
    <n v="51"/>
    <n v="54"/>
    <n v="13"/>
    <n v="36"/>
    <n v="42"/>
    <n v="29"/>
    <n v="31"/>
    <n v="28"/>
    <n v="43"/>
    <n v="26"/>
    <n v="52"/>
    <n v="27"/>
    <n v="52"/>
    <n v="25"/>
    <n v="42"/>
    <n v="22"/>
    <n v="13"/>
    <n v="24"/>
    <n v="23"/>
    <n v="21"/>
    <n v="31"/>
    <n v="24"/>
    <n v="43"/>
    <n v="16"/>
    <n v="23"/>
    <n v="14"/>
    <n v="40"/>
    <n v="11"/>
    <n v="40"/>
    <n v="11"/>
    <n v="14"/>
    <n v="8"/>
    <n v="14"/>
    <n v="5"/>
    <n v="27"/>
    <n v="5"/>
    <n v="27"/>
    <n v="5"/>
    <m/>
    <m/>
    <n v="224"/>
    <n v="10"/>
    <n v="217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24"/>
    <n v="217"/>
    <m/>
    <m/>
    <m/>
    <m/>
    <m/>
    <m/>
    <m/>
    <m/>
    <m/>
    <m/>
    <m/>
    <m/>
    <m/>
    <m/>
    <m/>
    <m/>
    <m/>
    <m/>
    <m/>
    <m/>
    <n v="0"/>
    <n v="0"/>
    <m/>
    <m/>
    <n v="1381"/>
    <n v="1420"/>
  </r>
  <r>
    <x v="6"/>
    <s v="Southeastern Louisiana University "/>
    <m/>
    <n v="160612"/>
    <x v="2"/>
    <m/>
    <m/>
    <m/>
    <m/>
    <n v="10"/>
    <n v="12"/>
    <n v="5.6882821387940841E-3"/>
    <n v="6.7720090293453723E-3"/>
    <n v="1758"/>
    <n v="0"/>
    <n v="0"/>
    <n v="0"/>
    <n v="0"/>
    <n v="1772"/>
    <n v="0"/>
    <n v="0"/>
    <n v="0"/>
    <n v="0"/>
    <m/>
    <m/>
    <m/>
    <m/>
    <m/>
    <m/>
    <m/>
    <m/>
    <m/>
    <m/>
    <m/>
    <m/>
    <m/>
    <m/>
    <m/>
    <m/>
    <m/>
    <m/>
    <m/>
    <m/>
    <n v="0"/>
    <n v="0.84559884559884557"/>
    <n v="0"/>
    <n v="0.82958801498127344"/>
    <n v="2"/>
    <m/>
    <n v="13"/>
    <n v="77"/>
    <n v="13"/>
    <n v="105"/>
    <n v="51"/>
    <n v="76"/>
    <n v="51"/>
    <n v="73"/>
    <n v="52"/>
    <n v="71"/>
    <n v="52"/>
    <n v="59"/>
    <n v="31"/>
    <n v="15"/>
    <n v="31"/>
    <n v="26"/>
    <n v="26"/>
    <n v="11"/>
    <n v="23"/>
    <n v="13"/>
    <n v="54"/>
    <n v="10"/>
    <n v="26"/>
    <n v="10"/>
    <n v="23"/>
    <n v="10"/>
    <n v="9"/>
    <n v="9"/>
    <n v="42"/>
    <n v="9"/>
    <n v="50"/>
    <n v="8"/>
    <n v="50"/>
    <n v="5"/>
    <n v="54"/>
    <n v="8"/>
    <n v="9"/>
    <n v="3"/>
    <n v="30"/>
    <n v="8"/>
    <n v="6"/>
    <n v="14"/>
    <n v="293"/>
    <n v="10"/>
    <n v="333"/>
    <n v="10"/>
    <n v="13"/>
    <n v="7"/>
    <n v="1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"/>
    <n v="1"/>
    <n v="1"/>
    <n v="9"/>
    <n v="1"/>
    <n v="1"/>
    <n v="300"/>
    <n v="342"/>
    <m/>
    <m/>
    <m/>
    <m/>
    <m/>
    <m/>
    <m/>
    <m/>
    <m/>
    <m/>
    <m/>
    <m/>
    <m/>
    <m/>
    <m/>
    <m/>
    <m/>
    <m/>
    <n v="9"/>
    <n v="10"/>
    <n v="9"/>
    <n v="10"/>
    <m/>
    <m/>
    <n v="2079"/>
    <n v="2136"/>
  </r>
  <r>
    <x v="6"/>
    <s v="Southern University and A&amp;M College at Baton Rouge "/>
    <m/>
    <n v="160621"/>
    <x v="2"/>
    <m/>
    <m/>
    <m/>
    <m/>
    <m/>
    <m/>
    <n v="0"/>
    <n v="0"/>
    <n v="730"/>
    <n v="0"/>
    <n v="0"/>
    <n v="0"/>
    <n v="0"/>
    <n v="726"/>
    <n v="0"/>
    <n v="0"/>
    <n v="0"/>
    <n v="0"/>
    <m/>
    <m/>
    <m/>
    <m/>
    <m/>
    <m/>
    <m/>
    <m/>
    <m/>
    <m/>
    <m/>
    <m/>
    <m/>
    <m/>
    <m/>
    <m/>
    <m/>
    <m/>
    <m/>
    <m/>
    <n v="0"/>
    <n v="0.72205736894164196"/>
    <n v="0"/>
    <n v="0.75233160621761663"/>
    <m/>
    <m/>
    <n v="51"/>
    <n v="64"/>
    <n v="51"/>
    <n v="51"/>
    <n v="44"/>
    <n v="36"/>
    <n v="43"/>
    <n v="32"/>
    <n v="43"/>
    <n v="35"/>
    <n v="44"/>
    <n v="32"/>
    <n v="13"/>
    <n v="26"/>
    <n v="52"/>
    <n v="30"/>
    <n v="11"/>
    <n v="23"/>
    <n v="11"/>
    <n v="21"/>
    <n v="52"/>
    <n v="21"/>
    <n v="42"/>
    <n v="12"/>
    <n v="42"/>
    <n v="14"/>
    <n v="14"/>
    <n v="10"/>
    <n v="26"/>
    <n v="12"/>
    <n v="13"/>
    <n v="9"/>
    <n v="45"/>
    <n v="7"/>
    <n v="45"/>
    <n v="6"/>
    <n v="3"/>
    <n v="6"/>
    <n v="26"/>
    <n v="4"/>
    <n v="9"/>
    <n v="5"/>
    <n v="253"/>
    <n v="10"/>
    <n v="212"/>
    <n v="10"/>
    <n v="44"/>
    <n v="9"/>
    <n v="3"/>
    <n v="5"/>
    <n v="3"/>
    <n v="5"/>
    <n v="13"/>
    <n v="5"/>
    <n v="13"/>
    <n v="4"/>
    <n v="44"/>
    <n v="5"/>
    <n v="26"/>
    <n v="3"/>
    <n v="26"/>
    <n v="5"/>
    <n v="51"/>
    <n v="2"/>
    <n v="51"/>
    <n v="2"/>
    <m/>
    <m/>
    <m/>
    <m/>
    <m/>
    <m/>
    <m/>
    <m/>
    <m/>
    <m/>
    <m/>
    <m/>
    <m/>
    <m/>
    <m/>
    <m/>
    <m/>
    <m/>
    <m/>
    <m/>
    <m/>
    <m/>
    <n v="23"/>
    <n v="5"/>
    <n v="0.39130434782608697"/>
    <n v="22"/>
    <n v="5"/>
    <n v="0.22727272727272727"/>
    <n v="276"/>
    <n v="234"/>
    <m/>
    <m/>
    <m/>
    <m/>
    <m/>
    <m/>
    <m/>
    <m/>
    <m/>
    <m/>
    <m/>
    <m/>
    <m/>
    <m/>
    <m/>
    <m/>
    <m/>
    <m/>
    <n v="5"/>
    <n v="5"/>
    <n v="5"/>
    <n v="5"/>
    <m/>
    <m/>
    <n v="1011"/>
    <n v="965"/>
  </r>
  <r>
    <x v="6"/>
    <s v="University of Louisiana at Monroe"/>
    <m/>
    <n v="159993"/>
    <x v="2"/>
    <m/>
    <m/>
    <m/>
    <m/>
    <n v="49"/>
    <n v="46"/>
    <n v="3.9676113360323888E-2"/>
    <n v="3.7037037037037035E-2"/>
    <n v="1235"/>
    <n v="0"/>
    <n v="0"/>
    <n v="0"/>
    <n v="0"/>
    <n v="1242"/>
    <n v="0"/>
    <n v="0"/>
    <n v="0"/>
    <n v="0"/>
    <m/>
    <m/>
    <m/>
    <m/>
    <m/>
    <m/>
    <m/>
    <m/>
    <m/>
    <m/>
    <m/>
    <m/>
    <m/>
    <m/>
    <m/>
    <m/>
    <m/>
    <m/>
    <m/>
    <m/>
    <n v="0"/>
    <n v="0.73819485953377162"/>
    <n v="0"/>
    <n v="0.68505239933811357"/>
    <n v="2"/>
    <n v="18"/>
    <n v="51"/>
    <n v="71"/>
    <n v="51"/>
    <n v="126"/>
    <n v="13"/>
    <n v="68"/>
    <n v="13"/>
    <n v="102"/>
    <n v="52"/>
    <n v="28"/>
    <n v="44"/>
    <n v="39"/>
    <n v="44"/>
    <n v="22"/>
    <n v="52"/>
    <n v="32"/>
    <n v="31"/>
    <n v="22"/>
    <n v="42"/>
    <n v="26"/>
    <n v="42"/>
    <n v="20"/>
    <n v="31"/>
    <n v="25"/>
    <n v="43"/>
    <n v="13"/>
    <n v="26"/>
    <n v="14"/>
    <n v="26"/>
    <n v="10"/>
    <n v="43"/>
    <n v="12"/>
    <n v="9"/>
    <n v="7"/>
    <n v="54"/>
    <n v="7"/>
    <n v="23"/>
    <n v="7"/>
    <n v="30"/>
    <n v="5"/>
    <n v="6"/>
    <n v="5"/>
    <n v="274"/>
    <n v="10"/>
    <n v="393"/>
    <n v="10"/>
    <n v="51"/>
    <n v="13"/>
    <n v="51"/>
    <n v="16"/>
    <n v="13"/>
    <n v="7"/>
    <n v="13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2"/>
    <n v="0.65"/>
    <n v="27"/>
    <n v="2"/>
    <n v="0.59259259259259256"/>
    <n v="294"/>
    <n v="420"/>
    <m/>
    <m/>
    <m/>
    <m/>
    <m/>
    <m/>
    <n v="93"/>
    <n v="87"/>
    <m/>
    <m/>
    <m/>
    <m/>
    <m/>
    <m/>
    <m/>
    <m/>
    <m/>
    <m/>
    <m/>
    <m/>
    <n v="93"/>
    <n v="87"/>
    <m/>
    <m/>
    <n v="1673"/>
    <n v="1813"/>
  </r>
  <r>
    <x v="6"/>
    <s v="Grambling State University"/>
    <m/>
    <n v="159009"/>
    <x v="3"/>
    <m/>
    <m/>
    <m/>
    <m/>
    <m/>
    <m/>
    <n v="0"/>
    <n v="0"/>
    <n v="569"/>
    <n v="0"/>
    <n v="0"/>
    <n v="0"/>
    <n v="0"/>
    <n v="528"/>
    <n v="0"/>
    <n v="0"/>
    <n v="0"/>
    <n v="0"/>
    <m/>
    <m/>
    <m/>
    <m/>
    <m/>
    <m/>
    <m/>
    <m/>
    <m/>
    <m/>
    <m/>
    <m/>
    <m/>
    <m/>
    <m/>
    <m/>
    <m/>
    <m/>
    <m/>
    <m/>
    <n v="0"/>
    <n v="0.66394399066511089"/>
    <n v="0"/>
    <n v="0.6875"/>
    <m/>
    <m/>
    <n v="43"/>
    <n v="136"/>
    <n v="43"/>
    <n v="99"/>
    <n v="44"/>
    <n v="47"/>
    <n v="31"/>
    <n v="44"/>
    <n v="31"/>
    <n v="31"/>
    <n v="44"/>
    <n v="40"/>
    <n v="45"/>
    <n v="30"/>
    <n v="45"/>
    <n v="30"/>
    <n v="51"/>
    <n v="16"/>
    <n v="13"/>
    <n v="12"/>
    <n v="9"/>
    <n v="12"/>
    <n v="51"/>
    <n v="10"/>
    <n v="13"/>
    <n v="7"/>
    <m/>
    <m/>
    <m/>
    <m/>
    <m/>
    <m/>
    <m/>
    <m/>
    <m/>
    <m/>
    <m/>
    <m/>
    <m/>
    <m/>
    <m/>
    <m/>
    <n v="279"/>
    <n v="7"/>
    <n v="235"/>
    <n v="6"/>
    <n v="13"/>
    <n v="9"/>
    <n v="13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5"/>
    <n v="1"/>
    <n v="1"/>
    <n v="288"/>
    <n v="240"/>
    <m/>
    <m/>
    <m/>
    <m/>
    <m/>
    <m/>
    <m/>
    <m/>
    <m/>
    <m/>
    <m/>
    <m/>
    <m/>
    <m/>
    <m/>
    <m/>
    <m/>
    <m/>
    <m/>
    <m/>
    <n v="0"/>
    <n v="0"/>
    <m/>
    <m/>
    <n v="857"/>
    <n v="768"/>
  </r>
  <r>
    <x v="6"/>
    <s v="Louisiana State University in Shreveport"/>
    <m/>
    <n v="159416"/>
    <x v="3"/>
    <m/>
    <m/>
    <m/>
    <m/>
    <m/>
    <m/>
    <n v="0"/>
    <n v="0"/>
    <n v="425"/>
    <n v="0"/>
    <n v="0"/>
    <n v="0"/>
    <n v="0"/>
    <n v="400"/>
    <n v="0"/>
    <n v="0"/>
    <n v="0"/>
    <n v="0"/>
    <m/>
    <m/>
    <m/>
    <m/>
    <m/>
    <m/>
    <m/>
    <m/>
    <m/>
    <m/>
    <m/>
    <m/>
    <m/>
    <m/>
    <m/>
    <m/>
    <m/>
    <m/>
    <m/>
    <m/>
    <n v="0"/>
    <n v="0.19832011199253383"/>
    <n v="0"/>
    <n v="0.14925373134328357"/>
    <m/>
    <m/>
    <n v="52"/>
    <n v="1126"/>
    <n v="52"/>
    <n v="1577"/>
    <n v="51"/>
    <n v="322"/>
    <n v="51"/>
    <n v="324"/>
    <n v="13"/>
    <n v="151"/>
    <n v="13"/>
    <n v="214"/>
    <n v="44"/>
    <n v="70"/>
    <n v="44"/>
    <n v="100"/>
    <n v="42"/>
    <n v="16"/>
    <n v="42"/>
    <n v="22"/>
    <n v="26"/>
    <n v="16"/>
    <n v="26"/>
    <n v="17"/>
    <n v="11"/>
    <n v="14"/>
    <n v="11"/>
    <n v="12"/>
    <n v="24"/>
    <n v="1"/>
    <n v="24"/>
    <n v="3"/>
    <m/>
    <m/>
    <m/>
    <m/>
    <m/>
    <m/>
    <m/>
    <m/>
    <m/>
    <m/>
    <n v="1716"/>
    <n v="8"/>
    <n v="2269"/>
    <n v="8"/>
    <n v="52"/>
    <n v="2"/>
    <n v="52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11"/>
    <n v="1"/>
    <n v="1"/>
    <n v="1718"/>
    <n v="2280"/>
    <m/>
    <m/>
    <m/>
    <m/>
    <m/>
    <m/>
    <m/>
    <m/>
    <m/>
    <m/>
    <m/>
    <m/>
    <m/>
    <m/>
    <m/>
    <m/>
    <m/>
    <m/>
    <m/>
    <m/>
    <n v="0"/>
    <n v="0"/>
    <m/>
    <m/>
    <n v="2143"/>
    <n v="2680"/>
  </r>
  <r>
    <x v="6"/>
    <s v="Nicholls State University "/>
    <m/>
    <n v="159966"/>
    <x v="3"/>
    <m/>
    <m/>
    <m/>
    <m/>
    <n v="196"/>
    <n v="171"/>
    <n v="0.20020429009193055"/>
    <n v="0.18308351177730192"/>
    <n v="979"/>
    <n v="0"/>
    <n v="0"/>
    <n v="0"/>
    <n v="0"/>
    <n v="934"/>
    <n v="0"/>
    <n v="0"/>
    <n v="0"/>
    <n v="0"/>
    <m/>
    <m/>
    <m/>
    <m/>
    <m/>
    <m/>
    <m/>
    <m/>
    <m/>
    <m/>
    <m/>
    <m/>
    <m/>
    <m/>
    <m/>
    <m/>
    <m/>
    <m/>
    <m/>
    <m/>
    <n v="0"/>
    <n v="0.71251819505094616"/>
    <n v="0"/>
    <n v="0.72291021671826627"/>
    <n v="1"/>
    <m/>
    <n v="13"/>
    <n v="91"/>
    <n v="13"/>
    <n v="83"/>
    <n v="51"/>
    <n v="41"/>
    <n v="51"/>
    <n v="43"/>
    <n v="52"/>
    <n v="33"/>
    <n v="52"/>
    <n v="24"/>
    <n v="42"/>
    <n v="24"/>
    <n v="42"/>
    <n v="19"/>
    <n v="26"/>
    <n v="5"/>
    <n v="27"/>
    <n v="11"/>
    <n v="27"/>
    <n v="4"/>
    <n v="26"/>
    <n v="7"/>
    <m/>
    <m/>
    <m/>
    <m/>
    <m/>
    <m/>
    <m/>
    <m/>
    <m/>
    <m/>
    <m/>
    <m/>
    <m/>
    <m/>
    <m/>
    <m/>
    <m/>
    <m/>
    <n v="198"/>
    <n v="6"/>
    <n v="187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98"/>
    <n v="187"/>
    <m/>
    <m/>
    <m/>
    <m/>
    <m/>
    <m/>
    <m/>
    <m/>
    <m/>
    <m/>
    <m/>
    <m/>
    <m/>
    <m/>
    <m/>
    <m/>
    <m/>
    <m/>
    <m/>
    <m/>
    <n v="0"/>
    <n v="0"/>
    <m/>
    <m/>
    <n v="1374"/>
    <n v="1292"/>
  </r>
  <r>
    <x v="6"/>
    <s v="Northwestern State University"/>
    <m/>
    <n v="160038"/>
    <x v="3"/>
    <m/>
    <m/>
    <m/>
    <m/>
    <n v="368"/>
    <n v="360"/>
    <n v="0.30363036303630364"/>
    <n v="0.26548672566371684"/>
    <n v="1212"/>
    <n v="0"/>
    <n v="0"/>
    <n v="0"/>
    <n v="0"/>
    <n v="1356"/>
    <n v="0"/>
    <n v="0"/>
    <n v="0"/>
    <n v="0"/>
    <m/>
    <m/>
    <m/>
    <m/>
    <m/>
    <m/>
    <m/>
    <m/>
    <m/>
    <m/>
    <m/>
    <m/>
    <m/>
    <m/>
    <m/>
    <m/>
    <m/>
    <m/>
    <m/>
    <m/>
    <n v="0"/>
    <n v="0.62377766340710239"/>
    <n v="0"/>
    <n v="0.6598540145985401"/>
    <n v="59"/>
    <n v="46"/>
    <n v="13"/>
    <n v="148"/>
    <n v="13"/>
    <n v="136"/>
    <n v="51"/>
    <n v="92"/>
    <n v="51"/>
    <n v="90"/>
    <n v="31"/>
    <n v="22"/>
    <n v="31"/>
    <n v="16"/>
    <n v="50"/>
    <n v="12"/>
    <n v="42"/>
    <n v="13"/>
    <n v="43"/>
    <n v="12"/>
    <n v="50"/>
    <n v="12"/>
    <n v="23"/>
    <n v="8"/>
    <n v="23"/>
    <n v="8"/>
    <n v="42"/>
    <n v="3"/>
    <n v="43"/>
    <n v="7"/>
    <m/>
    <m/>
    <m/>
    <m/>
    <m/>
    <m/>
    <m/>
    <m/>
    <m/>
    <m/>
    <m/>
    <m/>
    <m/>
    <m/>
    <n v="297"/>
    <n v="7"/>
    <n v="282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97"/>
    <n v="282"/>
    <m/>
    <m/>
    <m/>
    <m/>
    <m/>
    <m/>
    <m/>
    <m/>
    <m/>
    <m/>
    <m/>
    <m/>
    <m/>
    <m/>
    <m/>
    <m/>
    <m/>
    <m/>
    <n v="7"/>
    <n v="11"/>
    <n v="7"/>
    <n v="11"/>
    <m/>
    <m/>
    <n v="1943"/>
    <n v="2055"/>
  </r>
  <r>
    <x v="6"/>
    <s v="Southern University at New Orleans"/>
    <m/>
    <n v="160630"/>
    <x v="4"/>
    <m/>
    <m/>
    <m/>
    <m/>
    <n v="12"/>
    <n v="15"/>
    <n v="4.1666666666666664E-2"/>
    <n v="5.7034220532319393E-2"/>
    <n v="288"/>
    <n v="0"/>
    <n v="0"/>
    <n v="0"/>
    <n v="0"/>
    <n v="263"/>
    <n v="0"/>
    <n v="0"/>
    <n v="0"/>
    <n v="0"/>
    <m/>
    <m/>
    <m/>
    <m/>
    <m/>
    <m/>
    <m/>
    <m/>
    <m/>
    <m/>
    <m/>
    <m/>
    <m/>
    <m/>
    <m/>
    <m/>
    <m/>
    <m/>
    <m/>
    <m/>
    <n v="0"/>
    <n v="0.61276595744680851"/>
    <n v="0"/>
    <n v="0.62174940898345155"/>
    <m/>
    <m/>
    <n v="44"/>
    <n v="118"/>
    <n v="44"/>
    <n v="76"/>
    <n v="43"/>
    <n v="33"/>
    <n v="43"/>
    <n v="41"/>
    <n v="11"/>
    <n v="15"/>
    <n v="11"/>
    <n v="18"/>
    <n v="30"/>
    <n v="4"/>
    <n v="30"/>
    <n v="10"/>
    <m/>
    <m/>
    <m/>
    <m/>
    <m/>
    <m/>
    <m/>
    <m/>
    <m/>
    <m/>
    <m/>
    <m/>
    <m/>
    <m/>
    <m/>
    <m/>
    <m/>
    <m/>
    <m/>
    <m/>
    <m/>
    <m/>
    <m/>
    <m/>
    <m/>
    <m/>
    <n v="170"/>
    <n v="4"/>
    <n v="145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70"/>
    <n v="145"/>
    <m/>
    <m/>
    <m/>
    <m/>
    <m/>
    <m/>
    <m/>
    <m/>
    <m/>
    <m/>
    <m/>
    <m/>
    <m/>
    <m/>
    <m/>
    <m/>
    <m/>
    <m/>
    <m/>
    <m/>
    <n v="0"/>
    <n v="0"/>
    <m/>
    <m/>
    <n v="470"/>
    <n v="423"/>
  </r>
  <r>
    <x v="6"/>
    <s v="Louisiana State University at Alexandria"/>
    <m/>
    <n v="159382"/>
    <x v="5"/>
    <n v="7"/>
    <n v="4"/>
    <m/>
    <m/>
    <n v="125"/>
    <n v="125"/>
    <n v="0.32051282051282054"/>
    <n v="0.28216704288939054"/>
    <n v="390"/>
    <n v="0"/>
    <n v="0"/>
    <n v="0"/>
    <n v="0"/>
    <n v="443"/>
    <n v="0"/>
    <n v="0"/>
    <n v="0"/>
    <n v="0"/>
    <m/>
    <m/>
    <m/>
    <m/>
    <m/>
    <m/>
    <m/>
    <m/>
    <m/>
    <m/>
    <m/>
    <m/>
    <m/>
    <m/>
    <m/>
    <m/>
    <m/>
    <m/>
    <m/>
    <m/>
    <n v="0"/>
    <n v="0.72222222222222221"/>
    <n v="0"/>
    <n v="0.74831081081081086"/>
    <n v="18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0"/>
    <n v="592"/>
  </r>
  <r>
    <x v="6"/>
    <s v="Baton Rouge Community College"/>
    <m/>
    <n v="437103"/>
    <x v="6"/>
    <n v="1492"/>
    <n v="1989"/>
    <m/>
    <m/>
    <n v="533"/>
    <n v="50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25"/>
    <n v="2491"/>
  </r>
  <r>
    <x v="6"/>
    <s v="Delgado Community College "/>
    <m/>
    <n v="158662"/>
    <x v="6"/>
    <n v="1868"/>
    <n v="1578"/>
    <m/>
    <m/>
    <n v="1168"/>
    <n v="120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36"/>
    <n v="2779"/>
  </r>
  <r>
    <x v="6"/>
    <s v="Bossier Parish Community College"/>
    <m/>
    <n v="158431"/>
    <x v="7"/>
    <n v="948"/>
    <n v="1423"/>
    <m/>
    <m/>
    <n v="632"/>
    <n v="62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80"/>
    <n v="2047"/>
  </r>
  <r>
    <x v="6"/>
    <s v="Louisiana Delta Community College"/>
    <m/>
    <n v="483212"/>
    <x v="7"/>
    <n v="458"/>
    <n v="658"/>
    <m/>
    <m/>
    <n v="176"/>
    <n v="22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4"/>
    <n v="884"/>
  </r>
  <r>
    <x v="6"/>
    <s v="South Louisiana Community College"/>
    <m/>
    <n v="434061"/>
    <x v="7"/>
    <n v="1296"/>
    <n v="1679"/>
    <m/>
    <m/>
    <n v="614"/>
    <n v="63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10"/>
    <n v="2310"/>
  </r>
  <r>
    <x v="6"/>
    <s v="Southern University in Shreveport"/>
    <m/>
    <n v="160649"/>
    <x v="7"/>
    <n v="81"/>
    <n v="55"/>
    <m/>
    <m/>
    <n v="222"/>
    <n v="20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3"/>
    <n v="255"/>
  </r>
  <r>
    <x v="6"/>
    <s v="Louisiana State University at Eunice"/>
    <s v="Reclassified: Met the criteria for Two-Year 2 in 2018-19, 2019-20, and 2020-21."/>
    <n v="159407"/>
    <x v="7"/>
    <n v="44"/>
    <n v="47"/>
    <m/>
    <m/>
    <n v="302"/>
    <n v="34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6"/>
    <n v="389"/>
  </r>
  <r>
    <x v="6"/>
    <s v="Nunez Community College"/>
    <m/>
    <n v="158884"/>
    <x v="8"/>
    <n v="286"/>
    <n v="453"/>
    <m/>
    <m/>
    <n v="238"/>
    <n v="19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4"/>
    <n v="647"/>
  </r>
  <r>
    <x v="6"/>
    <s v="River Parishes Community College"/>
    <s v="Met the criteria for Two-Year 2 in 2018-19 and 2019-20."/>
    <n v="436304"/>
    <x v="8"/>
    <n v="892"/>
    <n v="882"/>
    <m/>
    <m/>
    <n v="375"/>
    <n v="32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67"/>
    <n v="1207"/>
  </r>
  <r>
    <x v="6"/>
    <s v="Central LA Technical Community College"/>
    <m/>
    <n v="158088"/>
    <x v="9"/>
    <n v="1217"/>
    <n v="1492"/>
    <m/>
    <m/>
    <n v="27"/>
    <n v="2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44"/>
    <n v="1514"/>
  </r>
  <r>
    <x v="6"/>
    <s v="L.E. Fletcher Technical Community College"/>
    <m/>
    <n v="160481"/>
    <x v="9"/>
    <n v="455"/>
    <n v="736"/>
    <m/>
    <m/>
    <n v="210"/>
    <n v="18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5"/>
    <n v="922"/>
  </r>
  <r>
    <x v="6"/>
    <s v="Northshore Technical College"/>
    <m/>
    <n v="160667"/>
    <x v="9"/>
    <n v="1126"/>
    <n v="1788"/>
    <m/>
    <m/>
    <n v="124"/>
    <n v="11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50"/>
    <n v="1907"/>
  </r>
  <r>
    <x v="6"/>
    <s v="Sowela Technical Community College"/>
    <m/>
    <n v="160579"/>
    <x v="9"/>
    <n v="1131"/>
    <n v="1625"/>
    <m/>
    <m/>
    <n v="425"/>
    <n v="44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6"/>
    <n v="2067"/>
  </r>
  <r>
    <x v="6"/>
    <s v="Northwest LA Technical College"/>
    <m/>
    <n v="160010"/>
    <x v="10"/>
    <n v="575"/>
    <n v="860"/>
    <m/>
    <m/>
    <n v="18"/>
    <n v="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93"/>
    <n v="869"/>
  </r>
  <r>
    <x v="6"/>
    <s v="Louisiana State University Health Sciences Center - New Orleans"/>
    <m/>
    <n v="159373"/>
    <x v="11"/>
    <m/>
    <m/>
    <m/>
    <m/>
    <n v="2"/>
    <n v="5"/>
    <n v="6.1919504643962852E-3"/>
    <n v="1.5105740181268883E-2"/>
    <n v="323"/>
    <n v="0"/>
    <n v="0"/>
    <n v="0"/>
    <n v="0"/>
    <n v="331"/>
    <n v="0"/>
    <n v="0"/>
    <n v="0"/>
    <n v="0"/>
    <m/>
    <m/>
    <m/>
    <m/>
    <m/>
    <m/>
    <m/>
    <m/>
    <m/>
    <m/>
    <m/>
    <m/>
    <m/>
    <m/>
    <m/>
    <m/>
    <m/>
    <m/>
    <m/>
    <m/>
    <n v="0"/>
    <n v="0.38270142180094785"/>
    <n v="0"/>
    <n v="0.3813364055299539"/>
    <m/>
    <m/>
    <n v="51"/>
    <n v="125"/>
    <n v="51"/>
    <n v="155"/>
    <n v="26"/>
    <n v="5"/>
    <n v="2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30"/>
    <n v="2"/>
    <n v="159"/>
    <n v="2"/>
    <n v="26"/>
    <n v="20"/>
    <n v="26"/>
    <n v="15"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2"/>
    <n v="0.90909090909090906"/>
    <n v="15"/>
    <n v="1"/>
    <n v="1"/>
    <n v="152"/>
    <n v="174"/>
    <m/>
    <m/>
    <n v="189"/>
    <n v="192"/>
    <n v="59"/>
    <n v="66"/>
    <m/>
    <m/>
    <m/>
    <m/>
    <m/>
    <m/>
    <m/>
    <m/>
    <m/>
    <m/>
    <m/>
    <m/>
    <n v="119"/>
    <n v="100"/>
    <n v="367"/>
    <n v="358"/>
    <m/>
    <m/>
    <n v="844"/>
    <n v="868"/>
  </r>
  <r>
    <x v="6"/>
    <s v="Louisiana State University Health Sciences Center - Shreveport"/>
    <m/>
    <n v="435000"/>
    <x v="11"/>
    <m/>
    <m/>
    <m/>
    <m/>
    <m/>
    <m/>
    <n v="0"/>
    <n v="0"/>
    <n v="18"/>
    <n v="0"/>
    <n v="0"/>
    <n v="0"/>
    <n v="0"/>
    <n v="15"/>
    <n v="0"/>
    <n v="0"/>
    <n v="0"/>
    <n v="0"/>
    <m/>
    <m/>
    <m/>
    <m/>
    <m/>
    <m/>
    <m/>
    <m/>
    <m/>
    <m/>
    <m/>
    <m/>
    <m/>
    <m/>
    <m/>
    <m/>
    <m/>
    <m/>
    <m/>
    <m/>
    <n v="0"/>
    <n v="6.9767441860465115E-2"/>
    <n v="0"/>
    <n v="5.9288537549407112E-2"/>
    <m/>
    <m/>
    <n v="51"/>
    <n v="72"/>
    <n v="51"/>
    <n v="70"/>
    <m/>
    <m/>
    <n v="26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2"/>
    <n v="1"/>
    <n v="71"/>
    <n v="2"/>
    <n v="26"/>
    <n v="15"/>
    <n v="2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"/>
    <n v="1"/>
    <n v="1"/>
    <n v="7"/>
    <n v="1"/>
    <n v="1"/>
    <n v="87"/>
    <n v="78"/>
    <m/>
    <m/>
    <n v="119"/>
    <n v="124"/>
    <m/>
    <m/>
    <m/>
    <m/>
    <m/>
    <m/>
    <m/>
    <m/>
    <m/>
    <m/>
    <m/>
    <m/>
    <m/>
    <m/>
    <n v="34"/>
    <n v="36"/>
    <n v="153"/>
    <n v="160"/>
    <m/>
    <m/>
    <n v="258"/>
    <n v="253"/>
  </r>
  <r>
    <x v="6"/>
    <s v="Southern University Law Center"/>
    <m/>
    <n v="440916"/>
    <x v="11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n v="159"/>
    <n v="157"/>
    <m/>
    <m/>
    <m/>
    <m/>
    <m/>
    <m/>
    <m/>
    <m/>
    <m/>
    <m/>
    <m/>
    <m/>
    <m/>
    <m/>
    <m/>
    <m/>
    <m/>
    <m/>
    <n v="159"/>
    <n v="157"/>
    <m/>
    <m/>
    <n v="159"/>
    <n v="157"/>
  </r>
  <r>
    <x v="7"/>
    <m/>
    <m/>
    <m/>
    <x v="12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0"/>
  </r>
  <r>
    <x v="8"/>
    <s v="Mississippi State University"/>
    <m/>
    <n v="176080"/>
    <x v="0"/>
    <m/>
    <m/>
    <m/>
    <m/>
    <m/>
    <m/>
    <n v="0"/>
    <n v="0"/>
    <n v="3923"/>
    <n v="0"/>
    <n v="0"/>
    <n v="0"/>
    <n v="0"/>
    <n v="4110"/>
    <n v="0"/>
    <n v="0"/>
    <n v="0"/>
    <n v="0"/>
    <m/>
    <m/>
    <m/>
    <m/>
    <m/>
    <m/>
    <m/>
    <m/>
    <m/>
    <m/>
    <m/>
    <m/>
    <m/>
    <m/>
    <m/>
    <m/>
    <m/>
    <m/>
    <m/>
    <m/>
    <n v="0"/>
    <n v="0.78901850362027348"/>
    <n v="0"/>
    <n v="0.79589465530596437"/>
    <m/>
    <m/>
    <n v="13"/>
    <n v="172"/>
    <n v="13"/>
    <n v="194"/>
    <n v="52"/>
    <n v="166"/>
    <n v="52"/>
    <n v="172"/>
    <n v="14"/>
    <n v="109"/>
    <n v="14"/>
    <n v="109"/>
    <n v="40"/>
    <n v="85"/>
    <n v="40"/>
    <n v="88"/>
    <n v="26"/>
    <n v="45"/>
    <n v="26"/>
    <n v="38"/>
    <n v="3"/>
    <n v="36"/>
    <n v="30"/>
    <n v="32"/>
    <n v="30"/>
    <n v="22"/>
    <n v="31"/>
    <n v="26"/>
    <n v="31"/>
    <n v="22"/>
    <n v="3"/>
    <n v="23"/>
    <n v="1"/>
    <n v="16"/>
    <n v="11"/>
    <n v="23"/>
    <n v="11"/>
    <n v="16"/>
    <n v="45"/>
    <n v="15"/>
    <n v="90"/>
    <n v="87"/>
    <n v="779"/>
    <n v="10"/>
    <n v="807"/>
    <n v="10"/>
    <n v="14"/>
    <n v="42"/>
    <n v="14"/>
    <n v="43"/>
    <n v="26"/>
    <n v="28"/>
    <n v="13"/>
    <n v="26"/>
    <n v="13"/>
    <n v="23"/>
    <n v="26"/>
    <n v="21"/>
    <n v="3"/>
    <n v="19"/>
    <n v="40"/>
    <n v="18"/>
    <n v="42"/>
    <n v="12"/>
    <n v="3"/>
    <n v="10"/>
    <n v="40"/>
    <n v="11"/>
    <n v="1"/>
    <n v="10"/>
    <n v="1"/>
    <n v="10"/>
    <n v="42"/>
    <n v="6"/>
    <n v="51"/>
    <n v="6"/>
    <n v="51"/>
    <n v="5"/>
    <n v="45"/>
    <n v="6"/>
    <n v="52"/>
    <n v="4"/>
    <n v="52"/>
    <n v="6"/>
    <n v="54"/>
    <n v="4"/>
    <n v="16"/>
    <n v="13"/>
    <n v="179"/>
    <n v="10"/>
    <n v="0.23463687150837989"/>
    <n v="160"/>
    <n v="10"/>
    <n v="0.26874999999999999"/>
    <n v="958"/>
    <n v="967"/>
    <m/>
    <m/>
    <m/>
    <m/>
    <m/>
    <m/>
    <m/>
    <m/>
    <m/>
    <m/>
    <m/>
    <m/>
    <m/>
    <m/>
    <n v="91"/>
    <n v="87"/>
    <m/>
    <m/>
    <m/>
    <m/>
    <n v="91"/>
    <n v="87"/>
    <m/>
    <m/>
    <n v="4972"/>
    <n v="5164"/>
  </r>
  <r>
    <x v="8"/>
    <s v="University of Mississippi"/>
    <m/>
    <n v="176017"/>
    <x v="0"/>
    <m/>
    <m/>
    <m/>
    <m/>
    <m/>
    <m/>
    <n v="0"/>
    <n v="0"/>
    <n v="4610"/>
    <n v="0"/>
    <n v="0"/>
    <n v="0"/>
    <n v="0"/>
    <n v="4588"/>
    <n v="0"/>
    <n v="0"/>
    <n v="0"/>
    <n v="0"/>
    <m/>
    <m/>
    <m/>
    <m/>
    <m/>
    <m/>
    <m/>
    <m/>
    <m/>
    <m/>
    <m/>
    <m/>
    <m/>
    <m/>
    <m/>
    <m/>
    <m/>
    <m/>
    <m/>
    <m/>
    <n v="0"/>
    <n v="0.74486993052189365"/>
    <n v="0"/>
    <n v="0.7404777275661717"/>
    <m/>
    <m/>
    <n v="51"/>
    <n v="223"/>
    <n v="52"/>
    <n v="263"/>
    <n v="13"/>
    <n v="217"/>
    <n v="51"/>
    <n v="241"/>
    <n v="52"/>
    <n v="214"/>
    <n v="13"/>
    <n v="214"/>
    <n v="26"/>
    <n v="82"/>
    <n v="26"/>
    <n v="113"/>
    <n v="14"/>
    <n v="37"/>
    <n v="14"/>
    <n v="33"/>
    <n v="45"/>
    <n v="20"/>
    <n v="9"/>
    <n v="27"/>
    <n v="9"/>
    <n v="18"/>
    <n v="43"/>
    <n v="19"/>
    <n v="16"/>
    <n v="17"/>
    <n v="16"/>
    <n v="15"/>
    <n v="50"/>
    <n v="16"/>
    <n v="45"/>
    <n v="12"/>
    <n v="40"/>
    <n v="14"/>
    <n v="31"/>
    <n v="11"/>
    <n v="79"/>
    <n v="67"/>
    <n v="937"/>
    <n v="10"/>
    <n v="1015"/>
    <n v="10"/>
    <n v="13"/>
    <n v="57"/>
    <n v="13"/>
    <n v="36"/>
    <n v="51"/>
    <n v="38"/>
    <n v="51"/>
    <n v="33"/>
    <n v="14"/>
    <n v="18"/>
    <n v="26"/>
    <n v="20"/>
    <n v="26"/>
    <n v="18"/>
    <n v="40"/>
    <n v="13"/>
    <n v="40"/>
    <n v="17"/>
    <n v="42"/>
    <n v="11"/>
    <n v="52"/>
    <n v="13"/>
    <n v="52"/>
    <n v="7"/>
    <n v="42"/>
    <n v="10"/>
    <n v="14"/>
    <n v="6"/>
    <n v="23"/>
    <n v="6"/>
    <n v="23"/>
    <n v="4"/>
    <n v="31"/>
    <n v="5"/>
    <n v="45"/>
    <n v="4"/>
    <n v="54"/>
    <n v="5"/>
    <n v="50"/>
    <n v="4"/>
    <n v="9"/>
    <n v="6"/>
    <n v="196"/>
    <n v="10"/>
    <n v="0.29081632653061223"/>
    <n v="144"/>
    <n v="10"/>
    <n v="0.25"/>
    <n v="1133"/>
    <n v="1159"/>
    <n v="108"/>
    <n v="112"/>
    <n v="147"/>
    <n v="146"/>
    <n v="30"/>
    <n v="44"/>
    <n v="115"/>
    <n v="100"/>
    <m/>
    <m/>
    <m/>
    <m/>
    <m/>
    <m/>
    <m/>
    <m/>
    <m/>
    <m/>
    <n v="46"/>
    <n v="47"/>
    <n v="446"/>
    <n v="449"/>
    <m/>
    <m/>
    <n v="6189"/>
    <n v="6196"/>
  </r>
  <r>
    <x v="8"/>
    <s v="University of Southern Mississippi"/>
    <m/>
    <n v="176372"/>
    <x v="0"/>
    <m/>
    <m/>
    <m/>
    <m/>
    <m/>
    <m/>
    <n v="0"/>
    <n v="0"/>
    <n v="2448"/>
    <n v="0"/>
    <n v="0"/>
    <n v="0"/>
    <n v="0"/>
    <n v="2474"/>
    <n v="0"/>
    <n v="0"/>
    <n v="0"/>
    <n v="0"/>
    <m/>
    <m/>
    <m/>
    <m/>
    <m/>
    <m/>
    <m/>
    <m/>
    <m/>
    <m/>
    <m/>
    <m/>
    <m/>
    <m/>
    <m/>
    <m/>
    <m/>
    <m/>
    <m/>
    <m/>
    <n v="0"/>
    <n v="0.7384615384615385"/>
    <n v="0"/>
    <n v="0.75403840292593727"/>
    <m/>
    <m/>
    <n v="13"/>
    <n v="140"/>
    <n v="13"/>
    <n v="140"/>
    <n v="51"/>
    <n v="130"/>
    <n v="51"/>
    <n v="116"/>
    <n v="52"/>
    <n v="116"/>
    <n v="52"/>
    <n v="87"/>
    <n v="25"/>
    <n v="54"/>
    <n v="25"/>
    <n v="49"/>
    <n v="44"/>
    <n v="52"/>
    <n v="44"/>
    <n v="46"/>
    <n v="19"/>
    <n v="37"/>
    <n v="31"/>
    <n v="41"/>
    <n v="42"/>
    <n v="30"/>
    <n v="19"/>
    <n v="32"/>
    <n v="50"/>
    <n v="23"/>
    <n v="50"/>
    <n v="25"/>
    <n v="31"/>
    <n v="22"/>
    <n v="42"/>
    <n v="23"/>
    <n v="11"/>
    <n v="21"/>
    <n v="40"/>
    <n v="20"/>
    <n v="72"/>
    <n v="67"/>
    <n v="697"/>
    <n v="10"/>
    <n v="646"/>
    <n v="10"/>
    <n v="13"/>
    <n v="40"/>
    <n v="51"/>
    <n v="35"/>
    <n v="51"/>
    <n v="39"/>
    <n v="13"/>
    <n v="31"/>
    <n v="42"/>
    <n v="20"/>
    <n v="42"/>
    <n v="17"/>
    <n v="14"/>
    <n v="14"/>
    <n v="23"/>
    <n v="13"/>
    <n v="23"/>
    <n v="12"/>
    <n v="14"/>
    <n v="11"/>
    <n v="50"/>
    <n v="9"/>
    <n v="52"/>
    <n v="11"/>
    <n v="52"/>
    <n v="8"/>
    <n v="45"/>
    <n v="10"/>
    <n v="45"/>
    <n v="7"/>
    <n v="50"/>
    <n v="10"/>
    <n v="9"/>
    <n v="7"/>
    <n v="9"/>
    <n v="7"/>
    <n v="40"/>
    <n v="6"/>
    <n v="26"/>
    <n v="5"/>
    <n v="8"/>
    <n v="11"/>
    <n v="170"/>
    <n v="10"/>
    <n v="0.23529411764705882"/>
    <n v="161"/>
    <n v="10"/>
    <n v="0.21739130434782608"/>
    <n v="867"/>
    <n v="807"/>
    <m/>
    <m/>
    <m/>
    <m/>
    <m/>
    <m/>
    <m/>
    <m/>
    <m/>
    <m/>
    <m/>
    <m/>
    <m/>
    <m/>
    <m/>
    <m/>
    <m/>
    <m/>
    <m/>
    <m/>
    <n v="0"/>
    <n v="0"/>
    <m/>
    <m/>
    <n v="3315"/>
    <n v="3281"/>
  </r>
  <r>
    <x v="8"/>
    <s v="Jackson State University "/>
    <m/>
    <n v="175856"/>
    <x v="1"/>
    <m/>
    <m/>
    <m/>
    <m/>
    <m/>
    <m/>
    <n v="0"/>
    <n v="0"/>
    <n v="1155"/>
    <n v="0"/>
    <n v="0"/>
    <n v="0"/>
    <n v="0"/>
    <n v="1082"/>
    <n v="0"/>
    <n v="0"/>
    <n v="0"/>
    <n v="0"/>
    <m/>
    <m/>
    <m/>
    <m/>
    <m/>
    <m/>
    <m/>
    <m/>
    <m/>
    <m/>
    <m/>
    <m/>
    <m/>
    <m/>
    <m/>
    <m/>
    <m/>
    <m/>
    <m/>
    <m/>
    <n v="0"/>
    <n v="0.67622950819672134"/>
    <n v="0"/>
    <n v="0.67752035065748273"/>
    <m/>
    <m/>
    <n v="13"/>
    <n v="199"/>
    <n v="13"/>
    <n v="198"/>
    <n v="44"/>
    <n v="81"/>
    <n v="44"/>
    <n v="59"/>
    <n v="51"/>
    <n v="46"/>
    <n v="51"/>
    <n v="56"/>
    <n v="52"/>
    <n v="39"/>
    <n v="52"/>
    <n v="34"/>
    <n v="31"/>
    <n v="15"/>
    <n v="31"/>
    <n v="22"/>
    <n v="14"/>
    <n v="13"/>
    <n v="11"/>
    <n v="12"/>
    <n v="4"/>
    <n v="9"/>
    <n v="14"/>
    <n v="8"/>
    <n v="15"/>
    <n v="9"/>
    <n v="15"/>
    <n v="7"/>
    <n v="11"/>
    <n v="8"/>
    <n v="23"/>
    <n v="5"/>
    <n v="40"/>
    <n v="8"/>
    <n v="4"/>
    <n v="5"/>
    <n v="28"/>
    <n v="19"/>
    <n v="455"/>
    <n v="10"/>
    <n v="425"/>
    <n v="10"/>
    <n v="13"/>
    <n v="49"/>
    <n v="13"/>
    <n v="43"/>
    <n v="44"/>
    <n v="10"/>
    <n v="51"/>
    <n v="10"/>
    <n v="51"/>
    <n v="9"/>
    <n v="40"/>
    <n v="7"/>
    <n v="4"/>
    <n v="9"/>
    <n v="44"/>
    <n v="7"/>
    <n v="40"/>
    <n v="5"/>
    <n v="42"/>
    <n v="6"/>
    <n v="3"/>
    <n v="5"/>
    <n v="11"/>
    <n v="4"/>
    <n v="14"/>
    <n v="4"/>
    <n v="4"/>
    <n v="4"/>
    <n v="42"/>
    <n v="3"/>
    <n v="3"/>
    <n v="3"/>
    <n v="11"/>
    <n v="2"/>
    <n v="52"/>
    <n v="3"/>
    <n v="52"/>
    <n v="2"/>
    <n v="14"/>
    <n v="3"/>
    <m/>
    <m/>
    <n v="98"/>
    <n v="10"/>
    <n v="0.5"/>
    <n v="90"/>
    <n v="10"/>
    <n v="0.4777777777777778"/>
    <n v="553"/>
    <n v="515"/>
    <m/>
    <m/>
    <m/>
    <m/>
    <m/>
    <m/>
    <m/>
    <m/>
    <m/>
    <m/>
    <m/>
    <m/>
    <m/>
    <m/>
    <m/>
    <m/>
    <m/>
    <m/>
    <m/>
    <m/>
    <n v="0"/>
    <n v="0"/>
    <m/>
    <m/>
    <n v="1708"/>
    <n v="1597"/>
  </r>
  <r>
    <x v="8"/>
    <s v="Alcorn State University"/>
    <m/>
    <n v="175342"/>
    <x v="3"/>
    <m/>
    <m/>
    <m/>
    <m/>
    <n v="10"/>
    <n v="18"/>
    <n v="1.9880715705765408E-2"/>
    <n v="3.4615384615384617E-2"/>
    <n v="503"/>
    <n v="0"/>
    <n v="0"/>
    <n v="0"/>
    <n v="0"/>
    <n v="520"/>
    <n v="0"/>
    <n v="0"/>
    <n v="0"/>
    <n v="0"/>
    <m/>
    <m/>
    <m/>
    <m/>
    <m/>
    <m/>
    <m/>
    <m/>
    <m/>
    <m/>
    <m/>
    <m/>
    <m/>
    <m/>
    <m/>
    <m/>
    <m/>
    <m/>
    <m/>
    <m/>
    <n v="0"/>
    <n v="0.78348909657320875"/>
    <n v="0"/>
    <n v="0.82148499210110582"/>
    <m/>
    <m/>
    <n v="13"/>
    <n v="65"/>
    <n v="13"/>
    <n v="46"/>
    <n v="52"/>
    <n v="19"/>
    <n v="52"/>
    <n v="18"/>
    <n v="26"/>
    <n v="14"/>
    <n v="11"/>
    <n v="10"/>
    <n v="29"/>
    <n v="12"/>
    <n v="51"/>
    <n v="7"/>
    <n v="11"/>
    <n v="11"/>
    <n v="26"/>
    <n v="6"/>
    <n v="51"/>
    <n v="5"/>
    <n v="24"/>
    <n v="3"/>
    <n v="1"/>
    <n v="2"/>
    <n v="1"/>
    <n v="3"/>
    <n v="24"/>
    <n v="1"/>
    <n v="29"/>
    <n v="2"/>
    <m/>
    <m/>
    <m/>
    <m/>
    <m/>
    <m/>
    <m/>
    <m/>
    <m/>
    <m/>
    <n v="129"/>
    <n v="8"/>
    <n v="95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9"/>
    <n v="95"/>
    <m/>
    <m/>
    <m/>
    <m/>
    <m/>
    <m/>
    <m/>
    <m/>
    <m/>
    <m/>
    <m/>
    <m/>
    <m/>
    <m/>
    <m/>
    <m/>
    <m/>
    <m/>
    <m/>
    <m/>
    <n v="0"/>
    <n v="0"/>
    <m/>
    <m/>
    <n v="642"/>
    <n v="633"/>
  </r>
  <r>
    <x v="8"/>
    <s v="Delta State University"/>
    <m/>
    <n v="175616"/>
    <x v="3"/>
    <m/>
    <m/>
    <m/>
    <m/>
    <m/>
    <m/>
    <n v="0"/>
    <n v="0"/>
    <n v="592"/>
    <n v="0"/>
    <n v="0"/>
    <n v="0"/>
    <n v="0"/>
    <n v="599"/>
    <n v="0"/>
    <n v="0"/>
    <n v="0"/>
    <n v="0"/>
    <m/>
    <m/>
    <m/>
    <m/>
    <m/>
    <m/>
    <m/>
    <m/>
    <m/>
    <m/>
    <m/>
    <m/>
    <m/>
    <m/>
    <m/>
    <m/>
    <m/>
    <m/>
    <m/>
    <m/>
    <n v="0"/>
    <n v="0.65850945494994439"/>
    <n v="0"/>
    <n v="0.6440860215053763"/>
    <m/>
    <m/>
    <n v="13"/>
    <n v="156"/>
    <n v="13"/>
    <n v="167"/>
    <n v="52"/>
    <n v="85"/>
    <n v="52"/>
    <n v="91"/>
    <n v="49"/>
    <n v="20"/>
    <n v="49"/>
    <n v="26"/>
    <n v="51"/>
    <n v="7"/>
    <n v="44"/>
    <n v="10"/>
    <n v="41"/>
    <n v="6"/>
    <n v="51"/>
    <n v="6"/>
    <n v="43"/>
    <n v="6"/>
    <n v="30"/>
    <n v="6"/>
    <n v="24"/>
    <n v="4"/>
    <n v="43"/>
    <n v="5"/>
    <n v="30"/>
    <n v="4"/>
    <n v="41"/>
    <n v="5"/>
    <n v="44"/>
    <n v="3"/>
    <m/>
    <m/>
    <m/>
    <m/>
    <m/>
    <m/>
    <m/>
    <m/>
    <n v="291"/>
    <n v="9"/>
    <n v="316"/>
    <n v="8"/>
    <n v="13"/>
    <n v="12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2"/>
    <n v="1"/>
    <n v="1"/>
    <n v="13"/>
    <n v="1"/>
    <n v="1"/>
    <n v="303"/>
    <n v="329"/>
    <m/>
    <m/>
    <m/>
    <m/>
    <m/>
    <m/>
    <m/>
    <m/>
    <m/>
    <m/>
    <m/>
    <m/>
    <m/>
    <m/>
    <m/>
    <m/>
    <m/>
    <m/>
    <n v="4"/>
    <n v="2"/>
    <n v="4"/>
    <n v="2"/>
    <m/>
    <m/>
    <n v="899"/>
    <n v="930"/>
  </r>
  <r>
    <x v="8"/>
    <s v="Mississippi University for Women"/>
    <m/>
    <n v="176035"/>
    <x v="3"/>
    <m/>
    <m/>
    <m/>
    <m/>
    <n v="55"/>
    <n v="47"/>
    <n v="7.2751322751322747E-2"/>
    <n v="6.0645161290322581E-2"/>
    <n v="756"/>
    <n v="0"/>
    <n v="0"/>
    <n v="0"/>
    <n v="0"/>
    <n v="775"/>
    <n v="0"/>
    <n v="0"/>
    <n v="0"/>
    <n v="0"/>
    <m/>
    <m/>
    <m/>
    <m/>
    <m/>
    <m/>
    <m/>
    <m/>
    <m/>
    <m/>
    <m/>
    <m/>
    <m/>
    <m/>
    <m/>
    <m/>
    <m/>
    <m/>
    <m/>
    <m/>
    <n v="0"/>
    <n v="0.82985729967069155"/>
    <n v="0"/>
    <n v="0.84514721919302072"/>
    <m/>
    <m/>
    <n v="51"/>
    <n v="62"/>
    <n v="51"/>
    <n v="60"/>
    <n v="13"/>
    <n v="12"/>
    <n v="23"/>
    <n v="8"/>
    <n v="23"/>
    <n v="8"/>
    <n v="13"/>
    <n v="7"/>
    <n v="52"/>
    <n v="8"/>
    <n v="52"/>
    <n v="6"/>
    <n v="50"/>
    <n v="7"/>
    <n v="5"/>
    <n v="5"/>
    <m/>
    <m/>
    <n v="50"/>
    <n v="2"/>
    <m/>
    <m/>
    <m/>
    <m/>
    <m/>
    <m/>
    <m/>
    <m/>
    <m/>
    <m/>
    <m/>
    <m/>
    <m/>
    <m/>
    <m/>
    <m/>
    <m/>
    <m/>
    <n v="97"/>
    <n v="5"/>
    <n v="88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97"/>
    <n v="88"/>
    <m/>
    <m/>
    <m/>
    <m/>
    <m/>
    <m/>
    <m/>
    <m/>
    <m/>
    <m/>
    <m/>
    <m/>
    <m/>
    <m/>
    <m/>
    <m/>
    <m/>
    <m/>
    <n v="3"/>
    <n v="7"/>
    <n v="3"/>
    <n v="7"/>
    <m/>
    <m/>
    <n v="911"/>
    <n v="917"/>
  </r>
  <r>
    <x v="8"/>
    <s v="Mississippi Valley State University"/>
    <m/>
    <n v="176044"/>
    <x v="3"/>
    <m/>
    <m/>
    <m/>
    <m/>
    <m/>
    <m/>
    <n v="0"/>
    <n v="0"/>
    <n v="287"/>
    <n v="0"/>
    <n v="0"/>
    <n v="0"/>
    <n v="0"/>
    <n v="246"/>
    <n v="0"/>
    <n v="0"/>
    <n v="0"/>
    <n v="0"/>
    <m/>
    <m/>
    <m/>
    <m/>
    <m/>
    <m/>
    <m/>
    <m/>
    <m/>
    <m/>
    <m/>
    <m/>
    <m/>
    <m/>
    <m/>
    <m/>
    <m/>
    <m/>
    <m/>
    <m/>
    <n v="0"/>
    <n v="0.73589743589743595"/>
    <n v="0"/>
    <n v="0.75229357798165142"/>
    <m/>
    <m/>
    <n v="31"/>
    <n v="28"/>
    <n v="31"/>
    <n v="24"/>
    <n v="44"/>
    <n v="27"/>
    <n v="52"/>
    <n v="22"/>
    <n v="52"/>
    <n v="20"/>
    <n v="44"/>
    <n v="13"/>
    <n v="13"/>
    <n v="12"/>
    <n v="13"/>
    <n v="9"/>
    <n v="43"/>
    <n v="10"/>
    <n v="9"/>
    <n v="5"/>
    <n v="9"/>
    <n v="2"/>
    <n v="43"/>
    <n v="3"/>
    <n v="26"/>
    <n v="2"/>
    <n v="51"/>
    <n v="3"/>
    <n v="51"/>
    <n v="2"/>
    <n v="26"/>
    <n v="2"/>
    <m/>
    <m/>
    <m/>
    <m/>
    <m/>
    <m/>
    <m/>
    <m/>
    <m/>
    <m/>
    <n v="103"/>
    <n v="8"/>
    <n v="81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3"/>
    <n v="81"/>
    <m/>
    <m/>
    <m/>
    <m/>
    <m/>
    <m/>
    <m/>
    <m/>
    <m/>
    <m/>
    <m/>
    <m/>
    <m/>
    <m/>
    <m/>
    <m/>
    <m/>
    <m/>
    <m/>
    <m/>
    <n v="0"/>
    <n v="0"/>
    <m/>
    <m/>
    <n v="390"/>
    <n v="327"/>
  </r>
  <r>
    <x v="8"/>
    <m/>
    <m/>
    <m/>
    <x v="12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0"/>
  </r>
  <r>
    <x v="9"/>
    <s v="North Carolina State University "/>
    <m/>
    <n v="199193"/>
    <x v="0"/>
    <m/>
    <n v="106"/>
    <m/>
    <m/>
    <n v="143"/>
    <n v="165"/>
    <n v="2.4025537634408602E-2"/>
    <n v="2.7541311967951929E-2"/>
    <n v="5952"/>
    <n v="0"/>
    <n v="0"/>
    <n v="0"/>
    <n v="0"/>
    <s v="5,991"/>
    <n v="0"/>
    <n v="0"/>
    <n v="0"/>
    <n v="0"/>
    <m/>
    <m/>
    <m/>
    <m/>
    <m/>
    <m/>
    <m/>
    <m/>
    <m/>
    <m/>
    <m/>
    <m/>
    <m/>
    <m/>
    <m/>
    <m/>
    <m/>
    <m/>
    <m/>
    <m/>
    <n v="0"/>
    <n v="0.62527576426095177"/>
    <n v="0"/>
    <n v="0.59428628112290449"/>
    <m/>
    <n v="425"/>
    <n v="14"/>
    <n v="772"/>
    <n v="14"/>
    <n v="717"/>
    <n v="11"/>
    <n v="411"/>
    <n v="11"/>
    <n v="456"/>
    <n v="52"/>
    <n v="363"/>
    <n v="52"/>
    <n v="361"/>
    <n v="13"/>
    <n v="285"/>
    <n v="13"/>
    <n v="302"/>
    <n v="26"/>
    <n v="172"/>
    <n v="26"/>
    <n v="149"/>
    <n v="44"/>
    <n v="134"/>
    <n v="27"/>
    <n v="120"/>
    <n v="27"/>
    <n v="132"/>
    <n v="44"/>
    <n v="111"/>
    <n v="1"/>
    <n v="79"/>
    <n v="1"/>
    <n v="78"/>
    <n v="45"/>
    <n v="57"/>
    <n v="45"/>
    <n v="62"/>
    <n v="4"/>
    <n v="54"/>
    <n v="30"/>
    <n v="52"/>
    <n v="302"/>
    <n v="324"/>
    <n v="2761"/>
    <n v="10"/>
    <n v="2732"/>
    <n v="10"/>
    <n v="14"/>
    <n v="195"/>
    <n v="14"/>
    <n v="222"/>
    <n v="13"/>
    <n v="76"/>
    <n v="13"/>
    <n v="67"/>
    <n v="26"/>
    <n v="49"/>
    <n v="27"/>
    <n v="48"/>
    <n v="40"/>
    <n v="48"/>
    <n v="26"/>
    <n v="41"/>
    <n v="27"/>
    <n v="42"/>
    <n v="1"/>
    <n v="37"/>
    <n v="11"/>
    <n v="30"/>
    <n v="40"/>
    <n v="32"/>
    <n v="1"/>
    <n v="30"/>
    <n v="11"/>
    <n v="28"/>
    <n v="45"/>
    <n v="26"/>
    <n v="42"/>
    <n v="22"/>
    <n v="3"/>
    <n v="19"/>
    <n v="45"/>
    <n v="20"/>
    <n v="42"/>
    <n v="13"/>
    <n v="3"/>
    <n v="16"/>
    <n v="36"/>
    <n v="29"/>
    <n v="564"/>
    <n v="10"/>
    <n v="0.34574468085106386"/>
    <n v="562"/>
    <n v="10"/>
    <n v="0.39501779359430605"/>
    <n v="3325"/>
    <n v="3294"/>
    <m/>
    <m/>
    <m/>
    <m/>
    <m/>
    <m/>
    <m/>
    <m/>
    <m/>
    <m/>
    <m/>
    <m/>
    <m/>
    <m/>
    <n v="99"/>
    <n v="100"/>
    <m/>
    <m/>
    <m/>
    <m/>
    <n v="99"/>
    <n v="100"/>
    <m/>
    <m/>
    <n v="9519"/>
    <n v="10081"/>
  </r>
  <r>
    <x v="9"/>
    <s v="University of North Carolina at Chapel Hill "/>
    <m/>
    <n v="199120"/>
    <x v="0"/>
    <n v="1"/>
    <n v="4"/>
    <m/>
    <m/>
    <m/>
    <m/>
    <n v="0"/>
    <n v="0"/>
    <n v="4662"/>
    <n v="0"/>
    <n v="0"/>
    <n v="0"/>
    <n v="0"/>
    <s v="4,828"/>
    <n v="0"/>
    <n v="0"/>
    <n v="0"/>
    <n v="0"/>
    <m/>
    <m/>
    <m/>
    <m/>
    <m/>
    <m/>
    <m/>
    <m/>
    <m/>
    <m/>
    <m/>
    <m/>
    <m/>
    <m/>
    <m/>
    <m/>
    <m/>
    <m/>
    <m/>
    <m/>
    <n v="0"/>
    <n v="0.56536502546689305"/>
    <n v="0"/>
    <n v="0.56673318464608524"/>
    <m/>
    <m/>
    <n v="52"/>
    <n v="1148"/>
    <n v="52"/>
    <n v="1036"/>
    <n v="51"/>
    <n v="478"/>
    <n v="51"/>
    <n v="538"/>
    <n v="44"/>
    <n v="212"/>
    <n v="44"/>
    <n v="222"/>
    <n v="13"/>
    <n v="81"/>
    <n v="13"/>
    <n v="108"/>
    <n v="11"/>
    <n v="74"/>
    <n v="11"/>
    <n v="76"/>
    <n v="25"/>
    <n v="53"/>
    <n v="25"/>
    <n v="56"/>
    <n v="30"/>
    <n v="46"/>
    <n v="45"/>
    <n v="51"/>
    <n v="45"/>
    <n v="42"/>
    <n v="30"/>
    <n v="44"/>
    <n v="26"/>
    <n v="39"/>
    <n v="26"/>
    <n v="43"/>
    <n v="9"/>
    <n v="35"/>
    <n v="9"/>
    <n v="40"/>
    <n v="196"/>
    <n v="231"/>
    <n v="2404"/>
    <n v="10"/>
    <n v="2445"/>
    <n v="10"/>
    <n v="26"/>
    <n v="109"/>
    <n v="26"/>
    <n v="135"/>
    <n v="51"/>
    <n v="72"/>
    <n v="51"/>
    <n v="86"/>
    <n v="40"/>
    <n v="72"/>
    <n v="40"/>
    <n v="69"/>
    <n v="45"/>
    <n v="47"/>
    <n v="45"/>
    <n v="38"/>
    <n v="13"/>
    <n v="31"/>
    <n v="11"/>
    <n v="31"/>
    <n v="42"/>
    <n v="24"/>
    <n v="42"/>
    <n v="27"/>
    <n v="11"/>
    <n v="24"/>
    <n v="13"/>
    <n v="24"/>
    <n v="27"/>
    <n v="22"/>
    <n v="23"/>
    <n v="19"/>
    <n v="23"/>
    <n v="18"/>
    <n v="54"/>
    <n v="18"/>
    <n v="16"/>
    <n v="16"/>
    <n v="52"/>
    <n v="17"/>
    <n v="79"/>
    <n v="118"/>
    <n v="514"/>
    <n v="10"/>
    <n v="0.21206225680933852"/>
    <n v="582"/>
    <n v="10"/>
    <n v="0.23195876288659795"/>
    <n v="2918"/>
    <n v="3027"/>
    <n v="206"/>
    <n v="199"/>
    <n v="171"/>
    <n v="170"/>
    <n v="84"/>
    <n v="83"/>
    <n v="137"/>
    <n v="148"/>
    <m/>
    <m/>
    <m/>
    <m/>
    <m/>
    <m/>
    <m/>
    <m/>
    <m/>
    <m/>
    <n v="67"/>
    <n v="60"/>
    <n v="665"/>
    <n v="660"/>
    <m/>
    <m/>
    <n v="8246"/>
    <n v="8519"/>
  </r>
  <r>
    <x v="9"/>
    <s v="University of North Carolina at Charlotte"/>
    <m/>
    <n v="199139"/>
    <x v="0"/>
    <m/>
    <m/>
    <m/>
    <m/>
    <m/>
    <m/>
    <n v="0"/>
    <n v="0"/>
    <n v="5792"/>
    <n v="0"/>
    <n v="0"/>
    <n v="0"/>
    <n v="0"/>
    <s v="5,781"/>
    <n v="0"/>
    <n v="0"/>
    <n v="0"/>
    <n v="0"/>
    <m/>
    <m/>
    <m/>
    <m/>
    <m/>
    <m/>
    <m/>
    <m/>
    <m/>
    <m/>
    <m/>
    <m/>
    <m/>
    <m/>
    <m/>
    <m/>
    <m/>
    <m/>
    <m/>
    <m/>
    <n v="0"/>
    <n v="0.73755252769642177"/>
    <n v="0"/>
    <n v="0.75077922077922077"/>
    <n v="192"/>
    <n v="177"/>
    <n v="52"/>
    <n v="282"/>
    <n v="11"/>
    <n v="422"/>
    <n v="11"/>
    <n v="280"/>
    <n v="13"/>
    <n v="279"/>
    <n v="13"/>
    <n v="266"/>
    <n v="52"/>
    <n v="254"/>
    <n v="51"/>
    <n v="189"/>
    <n v="51"/>
    <n v="175"/>
    <n v="14"/>
    <n v="132"/>
    <n v="44"/>
    <n v="109"/>
    <n v="44"/>
    <n v="107"/>
    <n v="14"/>
    <n v="107"/>
    <n v="27"/>
    <n v="80"/>
    <n v="27"/>
    <n v="49"/>
    <n v="15"/>
    <n v="77"/>
    <n v="4"/>
    <n v="36"/>
    <n v="4"/>
    <n v="62"/>
    <n v="15"/>
    <n v="34"/>
    <n v="45"/>
    <n v="44"/>
    <n v="45"/>
    <n v="26"/>
    <n v="173"/>
    <n v="122"/>
    <n v="1692"/>
    <n v="10"/>
    <n v="1613"/>
    <n v="10"/>
    <n v="13"/>
    <n v="42"/>
    <n v="13"/>
    <n v="27"/>
    <n v="14"/>
    <n v="32"/>
    <n v="14"/>
    <n v="21"/>
    <n v="11"/>
    <n v="20"/>
    <n v="11"/>
    <n v="12"/>
    <n v="26"/>
    <n v="16"/>
    <n v="30"/>
    <n v="9"/>
    <n v="40"/>
    <n v="13"/>
    <n v="26"/>
    <n v="7"/>
    <n v="27"/>
    <n v="13"/>
    <n v="45"/>
    <n v="6"/>
    <n v="30"/>
    <n v="10"/>
    <n v="40"/>
    <n v="6"/>
    <n v="51"/>
    <n v="7"/>
    <n v="42"/>
    <n v="4"/>
    <n v="52"/>
    <n v="5"/>
    <n v="44"/>
    <n v="3"/>
    <n v="42"/>
    <n v="5"/>
    <n v="27"/>
    <n v="3"/>
    <n v="4"/>
    <n v="3"/>
    <n v="167"/>
    <n v="10"/>
    <n v="0.25149700598802394"/>
    <n v="101"/>
    <n v="10"/>
    <n v="0.26732673267326734"/>
    <n v="1859"/>
    <n v="1714"/>
    <m/>
    <m/>
    <m/>
    <m/>
    <m/>
    <m/>
    <m/>
    <m/>
    <m/>
    <m/>
    <m/>
    <m/>
    <m/>
    <m/>
    <m/>
    <m/>
    <m/>
    <m/>
    <n v="10"/>
    <n v="28"/>
    <n v="10"/>
    <n v="28"/>
    <m/>
    <m/>
    <n v="7853"/>
    <n v="7700"/>
  </r>
  <r>
    <x v="9"/>
    <s v="University of North Carolina at Greensboro"/>
    <m/>
    <n v="199148"/>
    <x v="0"/>
    <m/>
    <m/>
    <m/>
    <m/>
    <m/>
    <m/>
    <n v="0"/>
    <n v="0"/>
    <n v="3361"/>
    <n v="0"/>
    <n v="0"/>
    <n v="0"/>
    <n v="0"/>
    <s v="3,528"/>
    <n v="0"/>
    <n v="0"/>
    <n v="0"/>
    <n v="0"/>
    <m/>
    <m/>
    <m/>
    <m/>
    <m/>
    <m/>
    <m/>
    <m/>
    <m/>
    <m/>
    <m/>
    <m/>
    <m/>
    <m/>
    <m/>
    <m/>
    <m/>
    <m/>
    <m/>
    <m/>
    <n v="0"/>
    <n v="0.74821905609973283"/>
    <n v="0"/>
    <n v="0.73576642335766418"/>
    <n v="16"/>
    <n v="81"/>
    <n v="13"/>
    <n v="200"/>
    <n v="13"/>
    <n v="225"/>
    <n v="25"/>
    <n v="116"/>
    <n v="25"/>
    <n v="135"/>
    <n v="52"/>
    <n v="100"/>
    <n v="52"/>
    <n v="99"/>
    <n v="51"/>
    <n v="85"/>
    <n v="51"/>
    <n v="92"/>
    <n v="50"/>
    <n v="48"/>
    <n v="11"/>
    <n v="78"/>
    <n v="30"/>
    <n v="44"/>
    <n v="50"/>
    <n v="49"/>
    <n v="44"/>
    <n v="43"/>
    <n v="44"/>
    <n v="40"/>
    <n v="11"/>
    <n v="40"/>
    <n v="30"/>
    <n v="40"/>
    <n v="24"/>
    <n v="37"/>
    <n v="31"/>
    <n v="31"/>
    <n v="26"/>
    <n v="25"/>
    <n v="24"/>
    <n v="28"/>
    <n v="155"/>
    <n v="127"/>
    <n v="893"/>
    <n v="10"/>
    <n v="944"/>
    <n v="10"/>
    <n v="13"/>
    <n v="48"/>
    <n v="13"/>
    <n v="49"/>
    <n v="31"/>
    <n v="28"/>
    <n v="51"/>
    <n v="23"/>
    <n v="50"/>
    <n v="12"/>
    <n v="50"/>
    <n v="17"/>
    <n v="51"/>
    <n v="10"/>
    <n v="31"/>
    <n v="12"/>
    <n v="40"/>
    <n v="10"/>
    <n v="26"/>
    <n v="11"/>
    <n v="42"/>
    <n v="7"/>
    <n v="42"/>
    <n v="8"/>
    <n v="23"/>
    <n v="7"/>
    <n v="40"/>
    <n v="8"/>
    <n v="19"/>
    <n v="7"/>
    <n v="19"/>
    <n v="8"/>
    <n v="45"/>
    <n v="4"/>
    <n v="30"/>
    <n v="5"/>
    <n v="26"/>
    <n v="4"/>
    <n v="54"/>
    <n v="4"/>
    <n v="8"/>
    <n v="11"/>
    <n v="145"/>
    <n v="10"/>
    <n v="0.33103448275862069"/>
    <n v="156"/>
    <n v="10"/>
    <n v="0.3141025641025641"/>
    <n v="1038"/>
    <n v="1100"/>
    <m/>
    <m/>
    <m/>
    <m/>
    <m/>
    <m/>
    <m/>
    <m/>
    <m/>
    <m/>
    <m/>
    <m/>
    <m/>
    <m/>
    <m/>
    <m/>
    <m/>
    <m/>
    <n v="77"/>
    <n v="86"/>
    <n v="77"/>
    <n v="86"/>
    <m/>
    <m/>
    <n v="4492"/>
    <n v="4795"/>
  </r>
  <r>
    <x v="9"/>
    <s v="East Carolina University "/>
    <m/>
    <n v="198464"/>
    <x v="1"/>
    <m/>
    <m/>
    <m/>
    <m/>
    <m/>
    <m/>
    <n v="0"/>
    <n v="0"/>
    <n v="5045"/>
    <n v="0"/>
    <n v="0"/>
    <n v="0"/>
    <n v="0"/>
    <s v="5,173"/>
    <n v="0"/>
    <n v="0"/>
    <n v="0"/>
    <n v="0"/>
    <m/>
    <m/>
    <m/>
    <m/>
    <m/>
    <m/>
    <m/>
    <m/>
    <m/>
    <m/>
    <m/>
    <m/>
    <m/>
    <m/>
    <m/>
    <m/>
    <m/>
    <m/>
    <m/>
    <m/>
    <n v="0"/>
    <n v="0.73789673833552727"/>
    <n v="0"/>
    <n v="0.69971594751792232"/>
    <n v="46"/>
    <n v="516"/>
    <n v="51"/>
    <n v="327"/>
    <n v="51"/>
    <n v="326"/>
    <n v="13"/>
    <n v="316"/>
    <n v="52"/>
    <n v="278"/>
    <n v="52"/>
    <n v="237"/>
    <n v="13"/>
    <n v="268"/>
    <n v="44"/>
    <n v="86"/>
    <n v="25"/>
    <n v="83"/>
    <n v="25"/>
    <n v="76"/>
    <n v="44"/>
    <n v="79"/>
    <n v="45"/>
    <n v="42"/>
    <n v="45"/>
    <n v="50"/>
    <n v="42"/>
    <n v="38"/>
    <n v="31"/>
    <n v="46"/>
    <n v="31"/>
    <n v="35"/>
    <n v="11"/>
    <n v="38"/>
    <n v="23"/>
    <n v="31"/>
    <n v="50"/>
    <n v="28"/>
    <n v="43"/>
    <n v="30"/>
    <n v="30"/>
    <n v="25"/>
    <n v="222"/>
    <n v="193"/>
    <n v="1440"/>
    <n v="10"/>
    <n v="1414"/>
    <n v="10"/>
    <n v="13"/>
    <n v="39"/>
    <n v="26"/>
    <n v="22"/>
    <n v="26"/>
    <n v="25"/>
    <n v="13"/>
    <n v="18"/>
    <n v="51"/>
    <n v="13"/>
    <n v="51"/>
    <n v="14"/>
    <n v="30"/>
    <n v="7"/>
    <n v="42"/>
    <n v="9"/>
    <n v="42"/>
    <n v="6"/>
    <n v="23"/>
    <n v="7"/>
    <n v="23"/>
    <n v="2"/>
    <n v="30"/>
    <n v="4"/>
    <m/>
    <m/>
    <m/>
    <m/>
    <m/>
    <m/>
    <m/>
    <m/>
    <m/>
    <m/>
    <m/>
    <m/>
    <m/>
    <m/>
    <m/>
    <m/>
    <m/>
    <m/>
    <n v="92"/>
    <n v="6"/>
    <n v="0.42391304347826086"/>
    <n v="74"/>
    <n v="6"/>
    <n v="0.29729729729729731"/>
    <n v="1532"/>
    <n v="1488"/>
    <m/>
    <m/>
    <n v="73"/>
    <n v="74"/>
    <n v="50"/>
    <n v="52"/>
    <m/>
    <m/>
    <m/>
    <m/>
    <m/>
    <m/>
    <m/>
    <m/>
    <m/>
    <m/>
    <m/>
    <m/>
    <n v="91"/>
    <n v="90"/>
    <n v="214"/>
    <n v="216"/>
    <m/>
    <m/>
    <n v="6837"/>
    <n v="7393"/>
  </r>
  <r>
    <x v="9"/>
    <s v="Appalachian State University "/>
    <m/>
    <n v="197869"/>
    <x v="2"/>
    <m/>
    <m/>
    <m/>
    <m/>
    <m/>
    <m/>
    <n v="0"/>
    <n v="0"/>
    <n v="4028"/>
    <n v="0"/>
    <n v="0"/>
    <n v="0"/>
    <n v="0"/>
    <s v="4,163"/>
    <n v="0"/>
    <n v="0"/>
    <n v="0"/>
    <n v="0"/>
    <m/>
    <m/>
    <m/>
    <m/>
    <m/>
    <m/>
    <m/>
    <m/>
    <m/>
    <m/>
    <m/>
    <m/>
    <m/>
    <m/>
    <m/>
    <m/>
    <m/>
    <m/>
    <m/>
    <m/>
    <n v="0"/>
    <n v="0.83707398171238567"/>
    <n v="0"/>
    <n v="0.80913508260447031"/>
    <n v="32"/>
    <n v="181"/>
    <n v="13"/>
    <n v="256"/>
    <n v="13"/>
    <n v="255"/>
    <n v="52"/>
    <n v="99"/>
    <n v="51"/>
    <n v="118"/>
    <n v="51"/>
    <n v="97"/>
    <n v="52"/>
    <n v="97"/>
    <n v="44"/>
    <n v="62"/>
    <n v="44"/>
    <n v="87"/>
    <n v="42"/>
    <n v="43"/>
    <n v="42"/>
    <n v="37"/>
    <n v="11"/>
    <n v="28"/>
    <n v="31"/>
    <n v="26"/>
    <n v="45"/>
    <n v="26"/>
    <n v="25"/>
    <n v="24"/>
    <n v="31"/>
    <n v="23"/>
    <n v="26"/>
    <n v="24"/>
    <n v="25"/>
    <n v="19"/>
    <n v="11"/>
    <n v="24"/>
    <n v="26"/>
    <n v="17"/>
    <n v="40"/>
    <n v="20"/>
    <n v="66"/>
    <n v="76"/>
    <n v="736"/>
    <n v="10"/>
    <n v="788"/>
    <n v="10"/>
    <n v="13"/>
    <n v="16"/>
    <n v="13"/>
    <n v="1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1"/>
    <n v="1"/>
    <n v="13"/>
    <n v="1"/>
    <n v="1"/>
    <n v="752"/>
    <n v="801"/>
    <m/>
    <m/>
    <m/>
    <m/>
    <m/>
    <m/>
    <m/>
    <m/>
    <m/>
    <m/>
    <m/>
    <m/>
    <m/>
    <m/>
    <m/>
    <m/>
    <m/>
    <m/>
    <m/>
    <m/>
    <n v="0"/>
    <n v="0"/>
    <m/>
    <m/>
    <n v="4812"/>
    <n v="5145"/>
  </r>
  <r>
    <x v="9"/>
    <s v="North Carolina A&amp;T State University"/>
    <s v="Met the criteria for Four-Year 2 in 2019-20 and 2020-21."/>
    <n v="199102"/>
    <x v="2"/>
    <m/>
    <m/>
    <m/>
    <m/>
    <m/>
    <m/>
    <n v="0"/>
    <n v="0"/>
    <n v="1670"/>
    <n v="0"/>
    <n v="0"/>
    <n v="0"/>
    <n v="0"/>
    <s v="1,941"/>
    <n v="0"/>
    <n v="0"/>
    <n v="0"/>
    <n v="0"/>
    <m/>
    <m/>
    <m/>
    <m/>
    <m/>
    <m/>
    <m/>
    <m/>
    <m/>
    <m/>
    <m/>
    <m/>
    <m/>
    <m/>
    <m/>
    <m/>
    <m/>
    <m/>
    <m/>
    <m/>
    <n v="0"/>
    <n v="0.78073866292660121"/>
    <n v="0"/>
    <n v="0.80606312292358806"/>
    <m/>
    <n v="14"/>
    <n v="13"/>
    <n v="142"/>
    <n v="13"/>
    <n v="130"/>
    <n v="11"/>
    <n v="73"/>
    <n v="11"/>
    <n v="63"/>
    <n v="14"/>
    <n v="61"/>
    <n v="14"/>
    <n v="54"/>
    <n v="52"/>
    <n v="31"/>
    <n v="52"/>
    <n v="43"/>
    <n v="44"/>
    <n v="31"/>
    <n v="44"/>
    <n v="27"/>
    <n v="1"/>
    <n v="23"/>
    <n v="15"/>
    <n v="20"/>
    <n v="26"/>
    <n v="14"/>
    <n v="1"/>
    <n v="17"/>
    <n v="27"/>
    <n v="10"/>
    <n v="40"/>
    <n v="9"/>
    <n v="15"/>
    <n v="10"/>
    <n v="26"/>
    <n v="9"/>
    <n v="23"/>
    <n v="6"/>
    <n v="19"/>
    <n v="8"/>
    <n v="9"/>
    <n v="7"/>
    <n v="410"/>
    <n v="10"/>
    <n v="387"/>
    <n v="10"/>
    <n v="14"/>
    <n v="22"/>
    <n v="14"/>
    <n v="31"/>
    <n v="30"/>
    <n v="18"/>
    <n v="30"/>
    <n v="18"/>
    <n v="51"/>
    <n v="6"/>
    <n v="40"/>
    <n v="6"/>
    <n v="40"/>
    <n v="6"/>
    <n v="51"/>
    <n v="5"/>
    <n v="11"/>
    <n v="4"/>
    <n v="11"/>
    <n v="5"/>
    <n v="3"/>
    <n v="3"/>
    <n v="3"/>
    <n v="1"/>
    <m/>
    <m/>
    <m/>
    <m/>
    <m/>
    <m/>
    <m/>
    <m/>
    <m/>
    <m/>
    <m/>
    <m/>
    <m/>
    <m/>
    <m/>
    <m/>
    <m/>
    <m/>
    <n v="59"/>
    <n v="6"/>
    <n v="0.3728813559322034"/>
    <n v="66"/>
    <n v="6"/>
    <n v="0.46969696969696972"/>
    <n v="469"/>
    <n v="453"/>
    <m/>
    <m/>
    <m/>
    <m/>
    <m/>
    <m/>
    <m/>
    <m/>
    <m/>
    <m/>
    <m/>
    <m/>
    <m/>
    <m/>
    <m/>
    <m/>
    <m/>
    <m/>
    <m/>
    <m/>
    <n v="0"/>
    <n v="0"/>
    <m/>
    <m/>
    <n v="2139"/>
    <n v="2408"/>
  </r>
  <r>
    <x v="9"/>
    <s v="North Carolina Central University "/>
    <m/>
    <n v="199157"/>
    <x v="2"/>
    <m/>
    <m/>
    <m/>
    <m/>
    <m/>
    <m/>
    <n v="0"/>
    <n v="0"/>
    <n v="1138"/>
    <n v="0"/>
    <n v="0"/>
    <n v="0"/>
    <n v="0"/>
    <s v="1,098"/>
    <n v="0"/>
    <n v="0"/>
    <n v="0"/>
    <n v="0"/>
    <m/>
    <m/>
    <m/>
    <m/>
    <m/>
    <m/>
    <m/>
    <m/>
    <m/>
    <m/>
    <m/>
    <m/>
    <m/>
    <m/>
    <m/>
    <m/>
    <m/>
    <m/>
    <m/>
    <m/>
    <n v="0"/>
    <n v="0.66047591410330819"/>
    <n v="0"/>
    <n v="0.62742857142857145"/>
    <m/>
    <m/>
    <n v="44"/>
    <n v="107"/>
    <n v="44"/>
    <n v="140"/>
    <n v="13"/>
    <n v="74"/>
    <n v="51"/>
    <n v="80"/>
    <n v="51"/>
    <n v="64"/>
    <n v="13"/>
    <n v="74"/>
    <n v="19"/>
    <n v="36"/>
    <n v="25"/>
    <n v="38"/>
    <n v="11"/>
    <n v="29"/>
    <n v="19"/>
    <n v="33"/>
    <n v="25"/>
    <n v="28"/>
    <n v="31"/>
    <n v="31"/>
    <n v="42"/>
    <n v="20"/>
    <n v="11"/>
    <n v="26"/>
    <n v="43"/>
    <n v="20"/>
    <n v="43"/>
    <n v="22"/>
    <n v="52"/>
    <n v="19"/>
    <n v="42"/>
    <n v="19"/>
    <n v="26"/>
    <n v="19"/>
    <n v="26"/>
    <n v="19"/>
    <n v="38"/>
    <n v="49"/>
    <n v="454"/>
    <n v="10"/>
    <n v="531"/>
    <n v="10"/>
    <n v="26"/>
    <n v="2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"/>
    <n v="1"/>
    <n v="1"/>
    <n v="2"/>
    <n v="1"/>
    <n v="1"/>
    <n v="456"/>
    <n v="533"/>
    <n v="129"/>
    <n v="119"/>
    <m/>
    <m/>
    <m/>
    <m/>
    <m/>
    <m/>
    <m/>
    <m/>
    <m/>
    <m/>
    <m/>
    <m/>
    <m/>
    <m/>
    <m/>
    <m/>
    <m/>
    <m/>
    <n v="129"/>
    <n v="119"/>
    <m/>
    <m/>
    <n v="1723"/>
    <n v="1750"/>
  </r>
  <r>
    <x v="9"/>
    <s v="University of North Carolina at Wilmington"/>
    <m/>
    <n v="199218"/>
    <x v="2"/>
    <m/>
    <m/>
    <m/>
    <m/>
    <m/>
    <m/>
    <n v="0"/>
    <n v="0"/>
    <n v="3833"/>
    <n v="0"/>
    <n v="0"/>
    <n v="0"/>
    <n v="0"/>
    <s v="3,826"/>
    <n v="0"/>
    <n v="0"/>
    <n v="0"/>
    <n v="0"/>
    <m/>
    <m/>
    <m/>
    <m/>
    <m/>
    <m/>
    <m/>
    <m/>
    <m/>
    <m/>
    <m/>
    <m/>
    <m/>
    <m/>
    <m/>
    <m/>
    <m/>
    <m/>
    <m/>
    <m/>
    <n v="0"/>
    <n v="0.82893598615916952"/>
    <n v="0"/>
    <n v="0.79675135360266558"/>
    <n v="27"/>
    <n v="43"/>
    <n v="13"/>
    <n v="166"/>
    <n v="52"/>
    <n v="222"/>
    <n v="51"/>
    <n v="143"/>
    <n v="51"/>
    <n v="186"/>
    <n v="52"/>
    <n v="124"/>
    <n v="13"/>
    <n v="184"/>
    <n v="44"/>
    <n v="87"/>
    <n v="44"/>
    <n v="97"/>
    <n v="40"/>
    <n v="44"/>
    <n v="40"/>
    <n v="38"/>
    <n v="30"/>
    <n v="25"/>
    <n v="11"/>
    <n v="29"/>
    <n v="11"/>
    <n v="25"/>
    <n v="23"/>
    <n v="23"/>
    <n v="23"/>
    <n v="24"/>
    <n v="26"/>
    <n v="21"/>
    <n v="3"/>
    <n v="20"/>
    <n v="30"/>
    <n v="20"/>
    <n v="54"/>
    <n v="19"/>
    <n v="42"/>
    <n v="19"/>
    <n v="59"/>
    <n v="56"/>
    <n v="736"/>
    <n v="10"/>
    <n v="895"/>
    <n v="10"/>
    <n v="13"/>
    <n v="17"/>
    <n v="13"/>
    <n v="22"/>
    <n v="26"/>
    <n v="2"/>
    <n v="26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2"/>
    <n v="0.89473684210526316"/>
    <n v="24"/>
    <n v="2"/>
    <n v="0.91666666666666663"/>
    <n v="755"/>
    <n v="919"/>
    <m/>
    <m/>
    <m/>
    <m/>
    <m/>
    <m/>
    <m/>
    <m/>
    <m/>
    <m/>
    <m/>
    <m/>
    <m/>
    <m/>
    <m/>
    <m/>
    <m/>
    <m/>
    <n v="9"/>
    <n v="14"/>
    <n v="9"/>
    <n v="14"/>
    <m/>
    <m/>
    <n v="4624"/>
    <n v="4802"/>
  </r>
  <r>
    <x v="9"/>
    <s v="Western Carolina University "/>
    <m/>
    <n v="200004"/>
    <x v="2"/>
    <m/>
    <m/>
    <m/>
    <m/>
    <m/>
    <m/>
    <n v="0"/>
    <n v="0"/>
    <n v="2140"/>
    <n v="0"/>
    <n v="0"/>
    <n v="0"/>
    <n v="0"/>
    <s v="2,217"/>
    <n v="0"/>
    <n v="0"/>
    <n v="0"/>
    <n v="0"/>
    <m/>
    <m/>
    <m/>
    <m/>
    <m/>
    <m/>
    <m/>
    <m/>
    <m/>
    <m/>
    <m/>
    <m/>
    <m/>
    <m/>
    <m/>
    <m/>
    <m/>
    <m/>
    <m/>
    <m/>
    <n v="0"/>
    <n v="0.774800868935554"/>
    <n v="0"/>
    <n v="0.76553867403314912"/>
    <m/>
    <n v="36"/>
    <n v="13"/>
    <n v="150"/>
    <n v="13"/>
    <n v="171"/>
    <n v="52"/>
    <n v="141"/>
    <n v="52"/>
    <n v="133"/>
    <n v="51"/>
    <n v="140"/>
    <n v="51"/>
    <n v="113"/>
    <n v="44"/>
    <n v="57"/>
    <n v="44"/>
    <n v="68"/>
    <n v="31"/>
    <n v="20"/>
    <n v="15"/>
    <n v="35"/>
    <n v="15"/>
    <n v="20"/>
    <n v="31"/>
    <n v="24"/>
    <n v="42"/>
    <n v="17"/>
    <n v="42"/>
    <n v="15"/>
    <n v="23"/>
    <n v="13"/>
    <n v="26"/>
    <n v="12"/>
    <n v="26"/>
    <n v="10"/>
    <n v="23"/>
    <n v="10"/>
    <n v="40"/>
    <n v="4"/>
    <n v="40"/>
    <n v="9"/>
    <n v="8"/>
    <n v="10"/>
    <n v="580"/>
    <n v="10"/>
    <n v="600"/>
    <n v="10"/>
    <n v="13"/>
    <n v="6"/>
    <n v="13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"/>
    <n v="1"/>
    <n v="1"/>
    <n v="11"/>
    <n v="1"/>
    <n v="1"/>
    <n v="586"/>
    <n v="611"/>
    <m/>
    <m/>
    <m/>
    <m/>
    <m/>
    <m/>
    <m/>
    <m/>
    <m/>
    <m/>
    <m/>
    <m/>
    <m/>
    <m/>
    <m/>
    <m/>
    <m/>
    <m/>
    <n v="36"/>
    <n v="32"/>
    <n v="36"/>
    <n v="32"/>
    <m/>
    <m/>
    <n v="2762"/>
    <n v="2896"/>
  </r>
  <r>
    <x v="9"/>
    <s v="Fayetteville State University "/>
    <m/>
    <n v="198543"/>
    <x v="3"/>
    <m/>
    <m/>
    <m/>
    <m/>
    <m/>
    <m/>
    <n v="0"/>
    <n v="0"/>
    <n v="1006"/>
    <n v="0"/>
    <n v="0"/>
    <n v="0"/>
    <n v="0"/>
    <s v="1,049"/>
    <n v="0"/>
    <n v="0"/>
    <n v="0"/>
    <n v="0"/>
    <m/>
    <m/>
    <m/>
    <m/>
    <m/>
    <m/>
    <m/>
    <m/>
    <m/>
    <m/>
    <m/>
    <m/>
    <m/>
    <m/>
    <m/>
    <m/>
    <m/>
    <m/>
    <m/>
    <m/>
    <n v="0"/>
    <n v="0.83347141673570835"/>
    <n v="0"/>
    <n v="0.82663514578408193"/>
    <n v="1"/>
    <n v="37"/>
    <n v="52"/>
    <n v="105"/>
    <n v="52"/>
    <n v="99"/>
    <n v="44"/>
    <n v="39"/>
    <n v="44"/>
    <n v="32"/>
    <n v="13"/>
    <n v="19"/>
    <n v="13"/>
    <n v="18"/>
    <n v="42"/>
    <n v="12"/>
    <n v="43"/>
    <n v="8"/>
    <n v="43"/>
    <n v="9"/>
    <n v="45"/>
    <n v="6"/>
    <n v="45"/>
    <n v="7"/>
    <n v="42"/>
    <n v="1"/>
    <m/>
    <m/>
    <m/>
    <m/>
    <m/>
    <m/>
    <m/>
    <m/>
    <m/>
    <m/>
    <m/>
    <m/>
    <m/>
    <m/>
    <m/>
    <m/>
    <m/>
    <m/>
    <n v="191"/>
    <n v="6"/>
    <n v="164"/>
    <n v="6"/>
    <n v="13"/>
    <n v="9"/>
    <n v="13"/>
    <n v="1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19"/>
    <n v="1"/>
    <n v="1"/>
    <n v="200"/>
    <n v="183"/>
    <m/>
    <m/>
    <m/>
    <m/>
    <m/>
    <m/>
    <m/>
    <m/>
    <m/>
    <m/>
    <m/>
    <m/>
    <m/>
    <m/>
    <m/>
    <m/>
    <m/>
    <m/>
    <m/>
    <m/>
    <n v="0"/>
    <n v="0"/>
    <m/>
    <m/>
    <n v="1207"/>
    <n v="1269"/>
  </r>
  <r>
    <x v="9"/>
    <s v="University of North Carolina at Pembroke"/>
    <m/>
    <n v="199281"/>
    <x v="4"/>
    <m/>
    <m/>
    <m/>
    <m/>
    <m/>
    <m/>
    <n v="0"/>
    <n v="0"/>
    <n v="990"/>
    <n v="0"/>
    <n v="0"/>
    <n v="0"/>
    <n v="0"/>
    <s v="1,071"/>
    <n v="0"/>
    <n v="0"/>
    <n v="0"/>
    <n v="0"/>
    <m/>
    <m/>
    <m/>
    <m/>
    <m/>
    <m/>
    <m/>
    <m/>
    <m/>
    <m/>
    <m/>
    <m/>
    <m/>
    <m/>
    <m/>
    <m/>
    <m/>
    <m/>
    <m/>
    <m/>
    <n v="0"/>
    <n v="0.80553295362082999"/>
    <n v="0"/>
    <n v="0.75582215949188425"/>
    <m/>
    <m/>
    <n v="13"/>
    <n v="103"/>
    <n v="13"/>
    <n v="153"/>
    <n v="44"/>
    <n v="73"/>
    <n v="52"/>
    <n v="125"/>
    <n v="52"/>
    <n v="48"/>
    <n v="44"/>
    <n v="61"/>
    <n v="51"/>
    <n v="15"/>
    <n v="51"/>
    <n v="7"/>
    <m/>
    <m/>
    <m/>
    <m/>
    <m/>
    <m/>
    <m/>
    <m/>
    <m/>
    <m/>
    <m/>
    <m/>
    <m/>
    <m/>
    <m/>
    <m/>
    <m/>
    <m/>
    <m/>
    <m/>
    <m/>
    <m/>
    <m/>
    <m/>
    <m/>
    <m/>
    <n v="239"/>
    <n v="4"/>
    <n v="346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9"/>
    <n v="346"/>
    <m/>
    <m/>
    <m/>
    <m/>
    <m/>
    <m/>
    <m/>
    <m/>
    <m/>
    <m/>
    <m/>
    <m/>
    <m/>
    <m/>
    <m/>
    <m/>
    <m/>
    <m/>
    <m/>
    <m/>
    <n v="0"/>
    <n v="0"/>
    <m/>
    <m/>
    <n v="1229"/>
    <n v="1417"/>
  </r>
  <r>
    <x v="9"/>
    <s v="Winston-Salem State University "/>
    <m/>
    <n v="199999"/>
    <x v="4"/>
    <m/>
    <m/>
    <m/>
    <m/>
    <m/>
    <m/>
    <n v="0"/>
    <n v="0"/>
    <n v="1022"/>
    <n v="0"/>
    <n v="0"/>
    <n v="0"/>
    <n v="0"/>
    <s v="1,027"/>
    <n v="0"/>
    <n v="0"/>
    <n v="0"/>
    <n v="0"/>
    <m/>
    <m/>
    <m/>
    <m/>
    <m/>
    <m/>
    <m/>
    <m/>
    <m/>
    <m/>
    <m/>
    <m/>
    <m/>
    <m/>
    <m/>
    <m/>
    <m/>
    <m/>
    <m/>
    <m/>
    <n v="0"/>
    <n v="0.87052810902896083"/>
    <n v="0"/>
    <n v="0.84876033057851241"/>
    <m/>
    <m/>
    <n v="51"/>
    <n v="86"/>
    <n v="51"/>
    <n v="105"/>
    <n v="52"/>
    <n v="17"/>
    <n v="52"/>
    <n v="10"/>
    <n v="13"/>
    <n v="5"/>
    <n v="11"/>
    <n v="7"/>
    <n v="11"/>
    <n v="4"/>
    <n v="13"/>
    <n v="3"/>
    <m/>
    <m/>
    <m/>
    <m/>
    <m/>
    <m/>
    <m/>
    <m/>
    <m/>
    <m/>
    <m/>
    <m/>
    <m/>
    <m/>
    <m/>
    <m/>
    <m/>
    <m/>
    <m/>
    <m/>
    <m/>
    <m/>
    <m/>
    <m/>
    <m/>
    <m/>
    <n v="112"/>
    <n v="4"/>
    <n v="125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2"/>
    <n v="125"/>
    <m/>
    <m/>
    <m/>
    <m/>
    <m/>
    <m/>
    <m/>
    <m/>
    <m/>
    <m/>
    <m/>
    <m/>
    <m/>
    <m/>
    <m/>
    <m/>
    <m/>
    <m/>
    <n v="40"/>
    <n v="58"/>
    <n v="40"/>
    <n v="58"/>
    <m/>
    <m/>
    <n v="1174"/>
    <n v="1210"/>
  </r>
  <r>
    <x v="9"/>
    <s v="Elizabeth City State University "/>
    <m/>
    <n v="198507"/>
    <x v="5"/>
    <m/>
    <m/>
    <m/>
    <m/>
    <m/>
    <m/>
    <n v="0"/>
    <n v="0"/>
    <n v="222"/>
    <n v="0"/>
    <n v="0"/>
    <n v="0"/>
    <n v="0"/>
    <n v="214"/>
    <n v="0"/>
    <n v="0"/>
    <n v="0"/>
    <n v="0"/>
    <m/>
    <m/>
    <m/>
    <m/>
    <m/>
    <m/>
    <m/>
    <m/>
    <m/>
    <m/>
    <m/>
    <m/>
    <m/>
    <m/>
    <m/>
    <m/>
    <m/>
    <m/>
    <m/>
    <m/>
    <n v="0"/>
    <n v="0.92500000000000004"/>
    <n v="0"/>
    <n v="0.90295358649789026"/>
    <m/>
    <m/>
    <n v="13"/>
    <n v="12"/>
    <n v="13"/>
    <n v="10"/>
    <n v="26"/>
    <n v="3"/>
    <n v="27"/>
    <n v="8"/>
    <n v="27"/>
    <n v="3"/>
    <n v="2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3"/>
    <n v="2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"/>
    <n v="23"/>
    <m/>
    <m/>
    <m/>
    <m/>
    <m/>
    <m/>
    <m/>
    <m/>
    <m/>
    <m/>
    <m/>
    <m/>
    <m/>
    <m/>
    <m/>
    <m/>
    <m/>
    <m/>
    <m/>
    <m/>
    <n v="0"/>
    <n v="0"/>
    <m/>
    <m/>
    <n v="240"/>
    <n v="237"/>
  </r>
  <r>
    <x v="9"/>
    <s v="University of North Carolina at Asheville"/>
    <m/>
    <n v="199111"/>
    <x v="5"/>
    <m/>
    <m/>
    <m/>
    <m/>
    <m/>
    <m/>
    <n v="0"/>
    <n v="0"/>
    <n v="827"/>
    <n v="0"/>
    <n v="0"/>
    <n v="0"/>
    <n v="0"/>
    <n v="785"/>
    <n v="0"/>
    <n v="0"/>
    <n v="0"/>
    <n v="0"/>
    <m/>
    <m/>
    <m/>
    <m/>
    <m/>
    <m/>
    <m/>
    <m/>
    <m/>
    <m/>
    <m/>
    <m/>
    <m/>
    <m/>
    <m/>
    <m/>
    <m/>
    <m/>
    <m/>
    <m/>
    <n v="0"/>
    <n v="0.99041916167664668"/>
    <n v="0"/>
    <n v="0.99493029150823831"/>
    <m/>
    <m/>
    <n v="24"/>
    <n v="8"/>
    <n v="24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8"/>
    <n v="1"/>
    <n v="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"/>
    <n v="4"/>
    <m/>
    <m/>
    <m/>
    <m/>
    <m/>
    <m/>
    <m/>
    <m/>
    <m/>
    <m/>
    <m/>
    <m/>
    <m/>
    <m/>
    <m/>
    <m/>
    <m/>
    <m/>
    <m/>
    <m/>
    <n v="0"/>
    <n v="0"/>
    <m/>
    <m/>
    <n v="835"/>
    <n v="789"/>
  </r>
  <r>
    <x v="9"/>
    <s v="University of North Carolina School of the Arts"/>
    <m/>
    <n v="199184"/>
    <x v="11"/>
    <m/>
    <m/>
    <m/>
    <m/>
    <m/>
    <m/>
    <n v="0"/>
    <n v="0"/>
    <n v="196"/>
    <n v="0"/>
    <n v="0"/>
    <n v="0"/>
    <n v="0"/>
    <n v="223"/>
    <n v="0"/>
    <n v="0"/>
    <n v="0"/>
    <n v="0"/>
    <m/>
    <m/>
    <m/>
    <m/>
    <m/>
    <m/>
    <m/>
    <m/>
    <m/>
    <m/>
    <m/>
    <m/>
    <m/>
    <m/>
    <m/>
    <m/>
    <m/>
    <m/>
    <m/>
    <m/>
    <n v="0"/>
    <n v="0.79352226720647778"/>
    <n v="0"/>
    <n v="0.79359430604982206"/>
    <m/>
    <m/>
    <n v="50"/>
    <n v="51"/>
    <n v="50"/>
    <n v="5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1"/>
    <n v="1"/>
    <n v="58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1"/>
    <n v="58"/>
    <m/>
    <m/>
    <m/>
    <m/>
    <m/>
    <m/>
    <m/>
    <m/>
    <m/>
    <m/>
    <m/>
    <m/>
    <m/>
    <m/>
    <m/>
    <m/>
    <m/>
    <m/>
    <m/>
    <m/>
    <n v="0"/>
    <n v="0"/>
    <m/>
    <m/>
    <n v="247"/>
    <n v="281"/>
  </r>
  <r>
    <x v="9"/>
    <s v="Asheville-Buncombe Technical Community College"/>
    <m/>
    <n v="197887"/>
    <x v="6"/>
    <n v="593"/>
    <n v="540"/>
    <m/>
    <m/>
    <n v="1016"/>
    <n v="86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09"/>
    <n v="1404"/>
  </r>
  <r>
    <x v="9"/>
    <s v="Cape Fear Community College"/>
    <m/>
    <n v="198154"/>
    <x v="6"/>
    <n v="570"/>
    <n v="791"/>
    <m/>
    <m/>
    <n v="1334"/>
    <n v="149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04"/>
    <n v="2284"/>
  </r>
  <r>
    <x v="9"/>
    <s v="Central Piedmont Community College "/>
    <m/>
    <n v="198260"/>
    <x v="6"/>
    <n v="1541"/>
    <n v="786"/>
    <m/>
    <m/>
    <n v="2374"/>
    <n v="239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15"/>
    <n v="3179"/>
  </r>
  <r>
    <x v="9"/>
    <s v="Fayetteville Technical Community College"/>
    <m/>
    <n v="198534"/>
    <x v="6"/>
    <n v="2605"/>
    <n v="1841"/>
    <m/>
    <m/>
    <n v="1847"/>
    <n v="165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52"/>
    <n v="3491"/>
  </r>
  <r>
    <x v="9"/>
    <s v="Forsyth Technical Community College"/>
    <m/>
    <n v="198552"/>
    <x v="6"/>
    <n v="521"/>
    <n v="1002"/>
    <m/>
    <m/>
    <n v="1125"/>
    <n v="121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46"/>
    <n v="2219"/>
  </r>
  <r>
    <x v="9"/>
    <s v="Guilford Technical Community College"/>
    <m/>
    <n v="198622"/>
    <x v="6"/>
    <n v="1522"/>
    <n v="1029"/>
    <m/>
    <m/>
    <n v="1410"/>
    <n v="131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32"/>
    <n v="2341"/>
  </r>
  <r>
    <x v="9"/>
    <s v="Pitt Community College"/>
    <m/>
    <n v="199333"/>
    <x v="6"/>
    <n v="665"/>
    <n v="1005"/>
    <m/>
    <m/>
    <n v="1280"/>
    <n v="121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45"/>
    <n v="2223"/>
  </r>
  <r>
    <x v="9"/>
    <s v="Rowan-Cabarrus Community College"/>
    <m/>
    <n v="199494"/>
    <x v="6"/>
    <n v="1522"/>
    <n v="1133"/>
    <m/>
    <m/>
    <n v="974"/>
    <n v="93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96"/>
    <n v="2072"/>
  </r>
  <r>
    <x v="9"/>
    <s v="Wake Technical Community College"/>
    <m/>
    <n v="199856"/>
    <x v="6"/>
    <n v="4325"/>
    <n v="6000"/>
    <m/>
    <m/>
    <n v="2965"/>
    <n v="291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90"/>
    <n v="8913"/>
  </r>
  <r>
    <x v="9"/>
    <s v="Alamance Community College"/>
    <m/>
    <n v="199786"/>
    <x v="7"/>
    <n v="291"/>
    <n v="222"/>
    <m/>
    <m/>
    <n v="622"/>
    <n v="58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13"/>
    <n v="807"/>
  </r>
  <r>
    <x v="9"/>
    <s v="Caldwell Community College &amp; Technical Institute"/>
    <m/>
    <n v="198118"/>
    <x v="7"/>
    <n v="218"/>
    <n v="150"/>
    <m/>
    <m/>
    <n v="681"/>
    <n v="67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9"/>
    <n v="820"/>
  </r>
  <r>
    <x v="9"/>
    <s v="Catawba Valley Community College"/>
    <m/>
    <n v="198233"/>
    <x v="7"/>
    <n v="365"/>
    <n v="875"/>
    <m/>
    <m/>
    <n v="675"/>
    <n v="68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40"/>
    <n v="1555"/>
  </r>
  <r>
    <x v="9"/>
    <s v="Central Carolina Commuity College"/>
    <m/>
    <n v="198251"/>
    <x v="7"/>
    <n v="709"/>
    <n v="702"/>
    <m/>
    <m/>
    <n v="540"/>
    <n v="55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49"/>
    <n v="1252"/>
  </r>
  <r>
    <x v="9"/>
    <s v="Cleveland Community College"/>
    <m/>
    <n v="198321"/>
    <x v="7"/>
    <n v="500"/>
    <n v="304"/>
    <m/>
    <m/>
    <n v="398"/>
    <n v="36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8"/>
    <n v="667"/>
  </r>
  <r>
    <x v="9"/>
    <s v="Coastal Carolina Community College "/>
    <m/>
    <n v="198330"/>
    <x v="7"/>
    <n v="820"/>
    <n v="747"/>
    <m/>
    <m/>
    <n v="701"/>
    <n v="66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21"/>
    <n v="1416"/>
  </r>
  <r>
    <x v="9"/>
    <s v="Craven Community College "/>
    <m/>
    <n v="198367"/>
    <x v="7"/>
    <n v="468"/>
    <n v="466"/>
    <m/>
    <m/>
    <n v="693"/>
    <n v="70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61"/>
    <n v="1168"/>
  </r>
  <r>
    <x v="9"/>
    <s v="Davidson-Davie Community College"/>
    <m/>
    <n v="198376"/>
    <x v="7"/>
    <n v="1214"/>
    <n v="1244"/>
    <m/>
    <m/>
    <n v="644"/>
    <n v="53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58"/>
    <n v="1782"/>
  </r>
  <r>
    <x v="9"/>
    <s v="Durham Technical Community College"/>
    <m/>
    <n v="198455"/>
    <x v="7"/>
    <n v="765"/>
    <n v="719"/>
    <m/>
    <m/>
    <n v="608"/>
    <n v="57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73"/>
    <n v="1293"/>
  </r>
  <r>
    <x v="9"/>
    <s v="Gaston College "/>
    <m/>
    <n v="198570"/>
    <x v="7"/>
    <n v="844"/>
    <n v="721"/>
    <m/>
    <m/>
    <n v="739"/>
    <n v="83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83"/>
    <n v="1552"/>
  </r>
  <r>
    <x v="9"/>
    <s v="Johnston Community College"/>
    <m/>
    <n v="198774"/>
    <x v="7"/>
    <n v="624"/>
    <n v="993"/>
    <m/>
    <m/>
    <n v="592"/>
    <n v="61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16"/>
    <n v="1611"/>
  </r>
  <r>
    <x v="9"/>
    <s v="Lenoir Community College "/>
    <m/>
    <n v="198817"/>
    <x v="7"/>
    <n v="678"/>
    <n v="561"/>
    <m/>
    <m/>
    <n v="485"/>
    <n v="42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63"/>
    <n v="989"/>
  </r>
  <r>
    <x v="9"/>
    <s v="Mitchell Community College "/>
    <m/>
    <n v="198987"/>
    <x v="7"/>
    <n v="641"/>
    <n v="411"/>
    <m/>
    <m/>
    <n v="431"/>
    <n v="44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72"/>
    <n v="860"/>
  </r>
  <r>
    <x v="9"/>
    <s v="Nash Community College"/>
    <m/>
    <n v="199087"/>
    <x v="7"/>
    <n v="389"/>
    <n v="652"/>
    <m/>
    <m/>
    <n v="388"/>
    <n v="43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7"/>
    <n v="1090"/>
  </r>
  <r>
    <x v="9"/>
    <s v="Randolph Community College"/>
    <m/>
    <n v="199421"/>
    <x v="7"/>
    <n v="250"/>
    <n v="230"/>
    <m/>
    <m/>
    <n v="471"/>
    <n v="39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1"/>
    <n v="620"/>
  </r>
  <r>
    <x v="9"/>
    <s v="Richmond Community College"/>
    <m/>
    <n v="199449"/>
    <x v="7"/>
    <n v="408"/>
    <n v="434"/>
    <m/>
    <m/>
    <n v="436"/>
    <n v="39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4"/>
    <n v="831"/>
  </r>
  <r>
    <x v="9"/>
    <s v="Sandhills Community College "/>
    <m/>
    <n v="199634"/>
    <x v="7"/>
    <n v="201"/>
    <n v="376"/>
    <m/>
    <m/>
    <n v="634"/>
    <n v="63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35"/>
    <n v="1009"/>
  </r>
  <r>
    <x v="9"/>
    <s v="South Piedmont Community College"/>
    <m/>
    <n v="197850"/>
    <x v="7"/>
    <n v="254"/>
    <n v="594"/>
    <m/>
    <m/>
    <n v="283"/>
    <n v="29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37"/>
    <n v="884"/>
  </r>
  <r>
    <x v="9"/>
    <s v="Stanly Community College"/>
    <m/>
    <n v="199740"/>
    <x v="7"/>
    <n v="215"/>
    <n v="270"/>
    <m/>
    <m/>
    <n v="421"/>
    <n v="39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36"/>
    <n v="663"/>
  </r>
  <r>
    <x v="9"/>
    <s v="Surry Community College "/>
    <m/>
    <n v="199768"/>
    <x v="7"/>
    <n v="286"/>
    <n v="267"/>
    <m/>
    <m/>
    <n v="463"/>
    <n v="51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9"/>
    <n v="778"/>
  </r>
  <r>
    <x v="9"/>
    <s v="Vance-Granville Community College "/>
    <m/>
    <n v="199838"/>
    <x v="7"/>
    <n v="192"/>
    <n v="191"/>
    <m/>
    <m/>
    <n v="457"/>
    <n v="45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9"/>
    <n v="643"/>
  </r>
  <r>
    <x v="9"/>
    <s v="Wayne Community College"/>
    <m/>
    <n v="199892"/>
    <x v="7"/>
    <n v="1455"/>
    <n v="1047"/>
    <m/>
    <m/>
    <n v="680"/>
    <n v="53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35"/>
    <n v="1579"/>
  </r>
  <r>
    <x v="9"/>
    <s v="Wilkes Community College "/>
    <m/>
    <n v="199926"/>
    <x v="7"/>
    <n v="793"/>
    <n v="1179"/>
    <m/>
    <m/>
    <n v="429"/>
    <n v="37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22"/>
    <n v="1554"/>
  </r>
  <r>
    <x v="9"/>
    <s v="Beaufort County Community College "/>
    <m/>
    <n v="197966"/>
    <x v="8"/>
    <n v="400"/>
    <n v="553"/>
    <m/>
    <m/>
    <n v="335"/>
    <n v="37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5"/>
    <n v="929"/>
  </r>
  <r>
    <x v="9"/>
    <s v="Bladen Community College"/>
    <m/>
    <n v="198011"/>
    <x v="8"/>
    <n v="304"/>
    <n v="368"/>
    <m/>
    <m/>
    <n v="237"/>
    <n v="30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1"/>
    <n v="672"/>
  </r>
  <r>
    <x v="9"/>
    <s v="Blue Ridge Community College"/>
    <m/>
    <n v="198039"/>
    <x v="8"/>
    <n v="452"/>
    <n v="336"/>
    <m/>
    <m/>
    <n v="300"/>
    <n v="36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2"/>
    <n v="704"/>
  </r>
  <r>
    <x v="9"/>
    <s v="Brunswick Community College"/>
    <m/>
    <n v="198084"/>
    <x v="8"/>
    <n v="166"/>
    <n v="198"/>
    <m/>
    <m/>
    <n v="256"/>
    <n v="23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2"/>
    <n v="428"/>
  </r>
  <r>
    <x v="9"/>
    <s v="Carteret Community College"/>
    <m/>
    <n v="198206"/>
    <x v="8"/>
    <n v="181"/>
    <n v="130"/>
    <m/>
    <m/>
    <n v="208"/>
    <n v="18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9"/>
    <n v="313"/>
  </r>
  <r>
    <x v="9"/>
    <s v="College of The Albemarle"/>
    <s v="Met the criteria for Two-Year 2 in 2019-20."/>
    <n v="197814"/>
    <x v="8"/>
    <n v="241"/>
    <n v="287"/>
    <m/>
    <m/>
    <n v="378"/>
    <n v="33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19"/>
    <n v="622"/>
  </r>
  <r>
    <x v="9"/>
    <s v="Edgecombe Community College"/>
    <m/>
    <n v="198491"/>
    <x v="8"/>
    <n v="287"/>
    <n v="274"/>
    <m/>
    <m/>
    <n v="275"/>
    <n v="25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2"/>
    <n v="532"/>
  </r>
  <r>
    <x v="9"/>
    <s v="Halifax Community College "/>
    <m/>
    <n v="198640"/>
    <x v="8"/>
    <n v="288"/>
    <n v="283"/>
    <m/>
    <m/>
    <n v="130"/>
    <n v="13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8"/>
    <n v="416"/>
  </r>
  <r>
    <x v="9"/>
    <s v="Haywood Community College"/>
    <m/>
    <n v="198668"/>
    <x v="8"/>
    <n v="493"/>
    <n v="361"/>
    <m/>
    <m/>
    <n v="296"/>
    <n v="26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9"/>
    <n v="628"/>
  </r>
  <r>
    <x v="9"/>
    <s v="Isothermal Community College "/>
    <m/>
    <n v="198710"/>
    <x v="8"/>
    <n v="789"/>
    <n v="449"/>
    <m/>
    <m/>
    <n v="284"/>
    <n v="36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73"/>
    <n v="810"/>
  </r>
  <r>
    <x v="9"/>
    <s v="James Sprunt Community College"/>
    <m/>
    <n v="198729"/>
    <x v="8"/>
    <n v="171"/>
    <n v="154"/>
    <m/>
    <m/>
    <n v="174"/>
    <n v="23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5"/>
    <n v="391"/>
  </r>
  <r>
    <x v="9"/>
    <s v="Martin Community College "/>
    <m/>
    <n v="198905"/>
    <x v="8"/>
    <n v="79"/>
    <n v="114"/>
    <m/>
    <m/>
    <n v="167"/>
    <n v="12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6"/>
    <n v="236"/>
  </r>
  <r>
    <x v="9"/>
    <s v="Mayland Community College"/>
    <m/>
    <n v="198914"/>
    <x v="8"/>
    <n v="164"/>
    <n v="105"/>
    <m/>
    <m/>
    <n v="131"/>
    <n v="13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5"/>
    <n v="243"/>
  </r>
  <r>
    <x v="9"/>
    <s v="McDowell Technical Community College"/>
    <m/>
    <n v="198923"/>
    <x v="8"/>
    <n v="123"/>
    <n v="77"/>
    <m/>
    <m/>
    <n v="137"/>
    <n v="13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0"/>
    <n v="215"/>
  </r>
  <r>
    <x v="9"/>
    <s v="Montgomery Community College"/>
    <m/>
    <n v="199023"/>
    <x v="8"/>
    <n v="270"/>
    <n v="188"/>
    <m/>
    <m/>
    <n v="107"/>
    <n v="12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7"/>
    <n v="315"/>
  </r>
  <r>
    <x v="9"/>
    <s v="Pamlico Community College"/>
    <m/>
    <n v="199263"/>
    <x v="8"/>
    <n v="256"/>
    <n v="269"/>
    <m/>
    <m/>
    <n v="51"/>
    <n v="5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7"/>
    <n v="320"/>
  </r>
  <r>
    <x v="9"/>
    <s v="Piedmont Community College"/>
    <m/>
    <n v="199324"/>
    <x v="8"/>
    <n v="193"/>
    <n v="139"/>
    <m/>
    <m/>
    <n v="122"/>
    <n v="11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5"/>
    <n v="249"/>
  </r>
  <r>
    <x v="9"/>
    <s v="Roanoke-Chowan Community College"/>
    <m/>
    <n v="199467"/>
    <x v="8"/>
    <n v="99"/>
    <n v="77"/>
    <m/>
    <m/>
    <n v="57"/>
    <n v="8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6"/>
    <n v="166"/>
  </r>
  <r>
    <x v="9"/>
    <s v="Robeson Community College"/>
    <s v="Met the criteria for Two-Year 2 in 2020-21."/>
    <n v="199476"/>
    <x v="8"/>
    <n v="408"/>
    <n v="147"/>
    <m/>
    <m/>
    <n v="247"/>
    <n v="21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5"/>
    <n v="365"/>
  </r>
  <r>
    <x v="9"/>
    <s v="Rockingham Community College "/>
    <m/>
    <n v="199485"/>
    <x v="8"/>
    <n v="134"/>
    <n v="131"/>
    <m/>
    <m/>
    <n v="296"/>
    <n v="27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0"/>
    <n v="405"/>
  </r>
  <r>
    <x v="9"/>
    <s v="Sampson Community College"/>
    <m/>
    <n v="199625"/>
    <x v="8"/>
    <n v="153"/>
    <n v="210"/>
    <m/>
    <m/>
    <n v="278"/>
    <n v="31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1"/>
    <n v="520"/>
  </r>
  <r>
    <x v="9"/>
    <s v="Southeastern Community College "/>
    <m/>
    <n v="199722"/>
    <x v="8"/>
    <n v="148"/>
    <n v="111"/>
    <m/>
    <m/>
    <n v="247"/>
    <n v="23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5"/>
    <n v="347"/>
  </r>
  <r>
    <x v="9"/>
    <s v="Southwestern Community College "/>
    <m/>
    <n v="199731"/>
    <x v="8"/>
    <n v="223"/>
    <n v="318"/>
    <m/>
    <m/>
    <n v="449"/>
    <n v="42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2"/>
    <n v="746"/>
  </r>
  <r>
    <x v="9"/>
    <s v="Tri-County Community College "/>
    <m/>
    <n v="199795"/>
    <x v="8"/>
    <n v="24"/>
    <n v="27"/>
    <m/>
    <m/>
    <n v="169"/>
    <n v="17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3"/>
    <n v="206"/>
  </r>
  <r>
    <x v="9"/>
    <s v="Western Piedmont Community College "/>
    <m/>
    <n v="199908"/>
    <x v="8"/>
    <n v="113"/>
    <n v="90"/>
    <m/>
    <m/>
    <n v="327"/>
    <n v="36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40"/>
    <n v="456"/>
  </r>
  <r>
    <x v="9"/>
    <s v="Wilson Community College"/>
    <m/>
    <n v="199953"/>
    <x v="8"/>
    <n v="328"/>
    <n v="336"/>
    <m/>
    <m/>
    <n v="244"/>
    <n v="22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72"/>
    <n v="558"/>
  </r>
  <r>
    <x v="10"/>
    <m/>
    <m/>
    <m/>
    <x v="12"/>
    <m/>
    <m/>
    <m/>
    <m/>
    <m/>
    <m/>
    <n v="0"/>
    <n v="0"/>
    <m/>
    <m/>
    <m/>
    <m/>
    <n v="0"/>
    <m/>
    <m/>
    <m/>
    <m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0"/>
  </r>
  <r>
    <x v="10"/>
    <s v="Canadian Valley Technology Center                 "/>
    <m/>
    <n v="365374"/>
    <x v="9"/>
    <n v="682"/>
    <n v="523"/>
    <n v="5"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7"/>
    <n v="523"/>
  </r>
  <r>
    <x v="10"/>
    <s v="Francis Tuttle Technology Center                  "/>
    <m/>
    <n v="245999"/>
    <x v="9"/>
    <n v="1404"/>
    <n v="868"/>
    <n v="21"/>
    <n v="26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25"/>
    <n v="894"/>
  </r>
  <r>
    <x v="10"/>
    <s v="Tulsa Technology Center-Lemley Campus             "/>
    <s v="Met the criteria for Technical Institute or College 2 in 2019-20."/>
    <n v="261375"/>
    <x v="9"/>
    <n v="511"/>
    <n v="703"/>
    <n v="16"/>
    <n v="18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7"/>
    <n v="721"/>
  </r>
  <r>
    <x v="10"/>
    <s v="Autry Technology Center                           "/>
    <m/>
    <n v="365213"/>
    <x v="10"/>
    <n v="194"/>
    <n v="257"/>
    <n v="6"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0"/>
    <n v="257"/>
  </r>
  <r>
    <x v="10"/>
    <s v="Caddo Kiowa Technology Center                     "/>
    <m/>
    <n v="364946"/>
    <x v="10"/>
    <n v="174"/>
    <n v="14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4"/>
    <n v="141"/>
  </r>
  <r>
    <x v="10"/>
    <s v="Central Technology Center                         "/>
    <m/>
    <n v="246017"/>
    <x v="10"/>
    <n v="522"/>
    <n v="66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2"/>
    <n v="662"/>
  </r>
  <r>
    <x v="10"/>
    <s v="Chisholm Trail Technology Center                  "/>
    <m/>
    <n v="375656"/>
    <x v="10"/>
    <n v="118"/>
    <n v="6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8"/>
    <n v="68"/>
  </r>
  <r>
    <x v="10"/>
    <s v="Eastern Oklahoma County Technology Center         "/>
    <m/>
    <n v="418348"/>
    <x v="10"/>
    <n v="276"/>
    <n v="24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76"/>
    <n v="245"/>
  </r>
  <r>
    <x v="10"/>
    <s v="Gordon Cooper Technology Center                   "/>
    <s v=" Met the criteria for Technical Institute or College 1 in 2020-21"/>
    <n v="375683"/>
    <x v="10"/>
    <n v="448"/>
    <n v="351"/>
    <n v="55"/>
    <n v="32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3"/>
    <n v="383"/>
  </r>
  <r>
    <x v="10"/>
    <s v="Great Plains Technology Center                    "/>
    <m/>
    <n v="364548"/>
    <x v="10"/>
    <n v="735"/>
    <n v="463"/>
    <n v="16"/>
    <n v="13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1"/>
    <n v="476"/>
  </r>
  <r>
    <x v="10"/>
    <s v="Green Country Technology Center                   "/>
    <m/>
    <n v="428019"/>
    <x v="10"/>
    <n v="170"/>
    <n v="12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0"/>
    <n v="124"/>
  </r>
  <r>
    <x v="10"/>
    <s v="High Plains Technology Center                     "/>
    <m/>
    <n v="208053"/>
    <x v="10"/>
    <n v="207"/>
    <n v="12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7"/>
    <n v="122"/>
  </r>
  <r>
    <x v="10"/>
    <s v="Indian Capital Technology Center-Muskogee         "/>
    <m/>
    <n v="418296"/>
    <x v="10"/>
    <n v="318"/>
    <n v="366"/>
    <n v="37"/>
    <n v="13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5"/>
    <n v="379"/>
  </r>
  <r>
    <x v="10"/>
    <s v="Indian Capital Technology Center-Sallisaw         "/>
    <m/>
    <n v="421540"/>
    <x v="10"/>
    <n v="79"/>
    <n v="13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"/>
    <n v="131"/>
  </r>
  <r>
    <x v="10"/>
    <s v="Indian Capital Technology Center-Stilwell         "/>
    <m/>
    <n v="421559"/>
    <x v="10"/>
    <n v="72"/>
    <n v="8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"/>
    <n v="83"/>
  </r>
  <r>
    <x v="10"/>
    <s v="Indian Capital Technology Center-Tahlequah        "/>
    <m/>
    <n v="208026"/>
    <x v="10"/>
    <n v="139"/>
    <n v="14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9"/>
    <n v="141"/>
  </r>
  <r>
    <x v="10"/>
    <s v="Kiamichi Technology Center-Atoka                  "/>
    <m/>
    <n v="375692"/>
    <x v="10"/>
    <n v="120"/>
    <n v="7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0"/>
    <n v="70"/>
  </r>
  <r>
    <x v="10"/>
    <s v="Kiamichi Technology Center-Durant                 "/>
    <m/>
    <n v="375708"/>
    <x v="10"/>
    <n v="125"/>
    <n v="109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5"/>
    <n v="109"/>
  </r>
  <r>
    <x v="10"/>
    <s v="Kiamichi Technology Center-Hugo                   "/>
    <m/>
    <n v="375717"/>
    <x v="10"/>
    <n v="88"/>
    <n v="8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"/>
    <n v="81"/>
  </r>
  <r>
    <x v="10"/>
    <s v="Kiamichi Technology Center-Idabel                 "/>
    <m/>
    <n v="375735"/>
    <x v="10"/>
    <n v="151"/>
    <n v="14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1"/>
    <n v="144"/>
  </r>
  <r>
    <x v="10"/>
    <s v="Kiamichi Technology Center-McAlester              "/>
    <m/>
    <n v="375726"/>
    <x v="10"/>
    <n v="254"/>
    <n v="32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4"/>
    <n v="320"/>
  </r>
  <r>
    <x v="10"/>
    <s v="Kiamichi Technology Center-Poteau                 "/>
    <m/>
    <n v="375744"/>
    <x v="10"/>
    <n v="219"/>
    <n v="16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9"/>
    <n v="163"/>
  </r>
  <r>
    <x v="10"/>
    <s v="Kiamichi Technology Center-Spiro                  "/>
    <m/>
    <n v="375753"/>
    <x v="10"/>
    <n v="13"/>
    <n v="1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"/>
    <n v="13"/>
  </r>
  <r>
    <x v="10"/>
    <s v="Kiamichi Technology Center-Stigler                "/>
    <m/>
    <n v="405748"/>
    <x v="10"/>
    <n v="75"/>
    <n v="6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"/>
    <n v="65"/>
  </r>
  <r>
    <x v="10"/>
    <s v="Kiamichi Technology Center-Talihina               "/>
    <m/>
    <n v="375762"/>
    <x v="10"/>
    <n v="67"/>
    <n v="3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"/>
    <n v="34"/>
  </r>
  <r>
    <x v="10"/>
    <s v="Meridian Technology Center                        "/>
    <m/>
    <n v="365480"/>
    <x v="10"/>
    <n v="333"/>
    <n v="341"/>
    <n v="13"/>
    <n v="12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6"/>
    <n v="353"/>
  </r>
  <r>
    <x v="10"/>
    <s v="Metro Technology Centers                          "/>
    <m/>
    <n v="363165"/>
    <x v="10"/>
    <n v="723"/>
    <n v="434"/>
    <n v="21"/>
    <n v="13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44"/>
    <n v="447"/>
  </r>
  <r>
    <x v="10"/>
    <s v="Mid-America Technology Center                     "/>
    <s v=" Met the criteria for Technical Institute or College 1 in 2020-21"/>
    <n v="418320"/>
    <x v="10"/>
    <n v="364"/>
    <n v="37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4"/>
    <n v="373"/>
  </r>
  <r>
    <x v="10"/>
    <s v="Mid-Del Technology Center                         "/>
    <m/>
    <n v="431017"/>
    <x v="10"/>
    <n v="228"/>
    <n v="17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8"/>
    <n v="175"/>
  </r>
  <r>
    <x v="10"/>
    <s v="Moore Norman Technology Center                    "/>
    <s v="Met the criteria for Technical Institute or College 1 in 2019-20, and 2020-21"/>
    <n v="248606"/>
    <x v="10"/>
    <n v="660"/>
    <n v="60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0"/>
    <n v="605"/>
  </r>
  <r>
    <x v="10"/>
    <s v="Northeast Technology Center-Afton                 "/>
    <m/>
    <n v="420459"/>
    <x v="10"/>
    <n v="188"/>
    <n v="28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8"/>
    <n v="280"/>
  </r>
  <r>
    <x v="10"/>
    <s v="Northeast Technology Center-Claremore"/>
    <m/>
    <n v="456560"/>
    <x v="10"/>
    <n v="82"/>
    <n v="7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"/>
    <n v="76"/>
  </r>
  <r>
    <x v="10"/>
    <s v="Northeast Technology Center-Kansas                "/>
    <m/>
    <n v="432074"/>
    <x v="10"/>
    <n v="94"/>
    <n v="14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"/>
    <n v="148"/>
  </r>
  <r>
    <x v="10"/>
    <s v="Northeast Technology Center-Pryor                 "/>
    <m/>
    <n v="418339"/>
    <x v="10"/>
    <n v="219"/>
    <n v="22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9"/>
    <n v="222"/>
  </r>
  <r>
    <x v="10"/>
    <s v="Northwest Technology Center-Alva                  "/>
    <m/>
    <n v="366623"/>
    <x v="10"/>
    <n v="68"/>
    <n v="7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"/>
    <n v="75"/>
  </r>
  <r>
    <x v="10"/>
    <s v="Northwest Technology Center-Fairview              "/>
    <m/>
    <n v="407601"/>
    <x v="10"/>
    <n v="52"/>
    <n v="3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"/>
    <n v="35"/>
  </r>
  <r>
    <x v="10"/>
    <s v="Pioneer Technology Center                         "/>
    <m/>
    <n v="364627"/>
    <x v="10"/>
    <n v="307"/>
    <n v="19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7"/>
    <n v="190"/>
  </r>
  <r>
    <x v="10"/>
    <s v="Pontotoc Technology Center                        "/>
    <m/>
    <n v="206905"/>
    <x v="10"/>
    <n v="128"/>
    <n v="9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8"/>
    <n v="92"/>
  </r>
  <r>
    <x v="10"/>
    <s v="Red River Technology Center                       "/>
    <m/>
    <n v="250993"/>
    <x v="10"/>
    <n v="209"/>
    <n v="20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9"/>
    <n v="208"/>
  </r>
  <r>
    <x v="10"/>
    <s v="Southern Oklahoma Technology Center               "/>
    <m/>
    <n v="365198"/>
    <x v="10"/>
    <n v="332"/>
    <n v="383"/>
    <n v="7"/>
    <n v="6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9"/>
    <n v="389"/>
  </r>
  <r>
    <x v="10"/>
    <s v="Southwest Technology Center                       "/>
    <m/>
    <n v="368364"/>
    <x v="10"/>
    <n v="161"/>
    <n v="15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"/>
    <n v="150"/>
  </r>
  <r>
    <x v="10"/>
    <s v="Tri County Technology Center                      "/>
    <m/>
    <n v="418287"/>
    <x v="10"/>
    <n v="295"/>
    <n v="290"/>
    <n v="10"/>
    <n v="10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5"/>
    <n v="300"/>
  </r>
  <r>
    <x v="10"/>
    <s v="Tulsa County Area Voc Tech School Dist 18-Peoria  "/>
    <m/>
    <n v="207607"/>
    <x v="10"/>
    <n v="300"/>
    <n v="45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0"/>
    <n v="458"/>
  </r>
  <r>
    <x v="10"/>
    <s v="Tulsa Technology Center-Broken Arrow Campus       "/>
    <m/>
    <n v="261393"/>
    <x v="10"/>
    <n v="324"/>
    <n v="47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4"/>
    <n v="475"/>
  </r>
  <r>
    <x v="10"/>
    <s v="Tulsa Technology Center-Owasso"/>
    <m/>
    <n v="482264"/>
    <x v="10"/>
    <n v="227"/>
    <n v="35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7"/>
    <n v="357"/>
  </r>
  <r>
    <x v="10"/>
    <s v="Tulsa Technology Center-Riverside Campus          "/>
    <m/>
    <n v="261384"/>
    <x v="10"/>
    <n v="364"/>
    <n v="46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4"/>
    <n v="460"/>
  </r>
  <r>
    <x v="10"/>
    <s v="Tulsa Technology Center-Sand Springs"/>
    <m/>
    <n v="482273"/>
    <x v="10"/>
    <n v="88"/>
    <n v="21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"/>
    <n v="212"/>
  </r>
  <r>
    <x v="10"/>
    <s v="Wes Watkins Technology Center                     "/>
    <m/>
    <n v="418357"/>
    <x v="10"/>
    <n v="103"/>
    <n v="9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3"/>
    <n v="90"/>
  </r>
  <r>
    <x v="10"/>
    <s v="Western Technology Center                         "/>
    <m/>
    <n v="418302"/>
    <x v="10"/>
    <n v="190"/>
    <n v="250"/>
    <n v="8"/>
    <n v="6"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8"/>
    <n v="256"/>
  </r>
  <r>
    <x v="11"/>
    <s v="Clemson University"/>
    <m/>
    <n v="217882"/>
    <x v="0"/>
    <n v="155"/>
    <n v="164"/>
    <m/>
    <m/>
    <m/>
    <m/>
    <n v="0"/>
    <n v="0"/>
    <n v="4648"/>
    <n v="0"/>
    <n v="0"/>
    <n v="0"/>
    <n v="0"/>
    <n v="4929"/>
    <n v="0"/>
    <n v="0"/>
    <n v="0"/>
    <n v="0"/>
    <m/>
    <m/>
    <m/>
    <m/>
    <m/>
    <m/>
    <m/>
    <m/>
    <m/>
    <m/>
    <m/>
    <m/>
    <m/>
    <m/>
    <m/>
    <m/>
    <m/>
    <m/>
    <m/>
    <m/>
    <n v="0"/>
    <n v="0.69053632446887536"/>
    <n v="0"/>
    <n v="0.69052956010086863"/>
    <n v="89"/>
    <n v="66"/>
    <n v="52"/>
    <n v="394"/>
    <n v="52"/>
    <n v="412"/>
    <n v="14"/>
    <n v="334"/>
    <n v="14"/>
    <n v="370"/>
    <n v="13"/>
    <n v="272"/>
    <n v="13"/>
    <n v="292"/>
    <n v="26"/>
    <n v="117"/>
    <n v="26"/>
    <n v="129"/>
    <n v="31"/>
    <n v="72"/>
    <n v="31"/>
    <n v="86"/>
    <n v="51"/>
    <n v="69"/>
    <n v="51"/>
    <n v="70"/>
    <n v="11"/>
    <n v="62"/>
    <n v="11"/>
    <n v="66"/>
    <n v="4"/>
    <n v="55"/>
    <n v="4"/>
    <n v="63"/>
    <n v="27"/>
    <n v="35"/>
    <n v="44"/>
    <n v="43"/>
    <n v="1"/>
    <n v="32"/>
    <n v="3"/>
    <n v="28"/>
    <n v="154"/>
    <n v="171"/>
    <n v="1596"/>
    <n v="10"/>
    <n v="1730"/>
    <n v="10"/>
    <n v="14"/>
    <n v="86"/>
    <n v="14"/>
    <n v="74"/>
    <n v="13"/>
    <n v="28"/>
    <n v="13"/>
    <n v="29"/>
    <n v="40"/>
    <n v="19"/>
    <n v="40"/>
    <n v="24"/>
    <n v="26"/>
    <n v="16"/>
    <n v="26"/>
    <n v="18"/>
    <n v="45"/>
    <n v="15"/>
    <n v="31"/>
    <n v="14"/>
    <n v="1"/>
    <n v="13"/>
    <n v="45"/>
    <n v="14"/>
    <n v="27"/>
    <n v="12"/>
    <n v="11"/>
    <n v="10"/>
    <n v="42"/>
    <n v="10"/>
    <n v="19"/>
    <n v="10"/>
    <n v="31"/>
    <n v="8"/>
    <n v="27"/>
    <n v="10"/>
    <n v="4"/>
    <n v="7"/>
    <n v="51"/>
    <n v="10"/>
    <n v="29"/>
    <n v="36"/>
    <n v="243"/>
    <n v="10"/>
    <n v="0.35390946502057613"/>
    <n v="249"/>
    <n v="10"/>
    <n v="0.2971887550200803"/>
    <n v="1839"/>
    <n v="1979"/>
    <m/>
    <m/>
    <m/>
    <m/>
    <m/>
    <m/>
    <m/>
    <m/>
    <m/>
    <m/>
    <m/>
    <m/>
    <m/>
    <m/>
    <m/>
    <m/>
    <m/>
    <m/>
    <m/>
    <m/>
    <n v="0"/>
    <n v="0"/>
    <m/>
    <m/>
    <n v="6731"/>
    <n v="7138"/>
  </r>
  <r>
    <x v="11"/>
    <s v="University of South Carolina-Columbia"/>
    <m/>
    <n v="218663"/>
    <x v="0"/>
    <n v="17"/>
    <n v="13"/>
    <m/>
    <m/>
    <m/>
    <n v="4"/>
    <n v="0"/>
    <n v="6.5135971340172616E-4"/>
    <n v="6022"/>
    <n v="0"/>
    <n v="0"/>
    <n v="0"/>
    <n v="0"/>
    <n v="6141"/>
    <n v="0"/>
    <n v="0"/>
    <n v="0"/>
    <n v="0"/>
    <m/>
    <m/>
    <m/>
    <m/>
    <m/>
    <m/>
    <m/>
    <m/>
    <m/>
    <m/>
    <m/>
    <m/>
    <m/>
    <m/>
    <m/>
    <m/>
    <m/>
    <m/>
    <m/>
    <m/>
    <n v="0"/>
    <n v="0.66866533422162999"/>
    <n v="0"/>
    <n v="0.68119800332778702"/>
    <n v="249"/>
    <n v="272"/>
    <n v="51"/>
    <n v="422"/>
    <n v="51"/>
    <n v="444"/>
    <n v="52"/>
    <n v="395"/>
    <n v="52"/>
    <n v="350"/>
    <n v="13"/>
    <n v="255"/>
    <n v="13"/>
    <n v="217"/>
    <n v="44"/>
    <n v="247"/>
    <n v="44"/>
    <n v="205"/>
    <n v="25"/>
    <n v="113"/>
    <n v="25"/>
    <n v="116"/>
    <n v="14"/>
    <n v="66"/>
    <n v="14"/>
    <n v="55"/>
    <n v="50"/>
    <n v="49"/>
    <n v="26"/>
    <n v="52"/>
    <n v="26"/>
    <n v="46"/>
    <n v="50"/>
    <n v="38"/>
    <n v="31"/>
    <n v="42"/>
    <n v="31"/>
    <n v="36"/>
    <n v="45"/>
    <n v="34"/>
    <n v="27"/>
    <n v="23"/>
    <n v="130"/>
    <n v="119"/>
    <n v="1799"/>
    <n v="10"/>
    <n v="1655"/>
    <n v="10"/>
    <n v="13"/>
    <n v="114"/>
    <n v="13"/>
    <n v="90"/>
    <n v="51"/>
    <n v="81"/>
    <n v="51"/>
    <n v="85"/>
    <n v="14"/>
    <n v="45"/>
    <n v="14"/>
    <n v="49"/>
    <n v="40"/>
    <n v="38"/>
    <n v="26"/>
    <n v="46"/>
    <n v="26"/>
    <n v="23"/>
    <n v="40"/>
    <n v="36"/>
    <n v="45"/>
    <n v="20"/>
    <n v="45"/>
    <n v="24"/>
    <n v="27"/>
    <n v="19"/>
    <n v="50"/>
    <n v="21"/>
    <n v="42"/>
    <n v="19"/>
    <n v="27"/>
    <n v="20"/>
    <n v="50"/>
    <n v="19"/>
    <n v="52"/>
    <n v="18"/>
    <n v="23"/>
    <n v="13"/>
    <n v="42"/>
    <n v="17"/>
    <n v="40"/>
    <n v="32"/>
    <n v="431"/>
    <n v="10"/>
    <n v="0.26450116009280744"/>
    <n v="438"/>
    <n v="10"/>
    <n v="0.20547945205479451"/>
    <n v="2230"/>
    <n v="2093"/>
    <n v="203"/>
    <n v="202"/>
    <n v="179"/>
    <n v="187"/>
    <m/>
    <m/>
    <n v="106"/>
    <n v="103"/>
    <m/>
    <m/>
    <m/>
    <m/>
    <m/>
    <m/>
    <m/>
    <m/>
    <m/>
    <m/>
    <m/>
    <m/>
    <n v="488"/>
    <n v="492"/>
    <m/>
    <m/>
    <n v="9006"/>
    <n v="9015"/>
  </r>
  <r>
    <x v="11"/>
    <s v="College of Charleston"/>
    <m/>
    <n v="217819"/>
    <x v="2"/>
    <m/>
    <n v="2"/>
    <m/>
    <m/>
    <m/>
    <m/>
    <n v="0"/>
    <n v="0"/>
    <n v="2245"/>
    <n v="0"/>
    <n v="0"/>
    <n v="0"/>
    <n v="0"/>
    <n v="2228"/>
    <n v="0"/>
    <n v="0"/>
    <n v="0"/>
    <n v="0"/>
    <m/>
    <m/>
    <m/>
    <m/>
    <m/>
    <m/>
    <m/>
    <m/>
    <m/>
    <m/>
    <m/>
    <m/>
    <m/>
    <m/>
    <m/>
    <m/>
    <m/>
    <m/>
    <m/>
    <m/>
    <n v="0"/>
    <n v="0.90414820781312932"/>
    <n v="0"/>
    <n v="0.91990090834021465"/>
    <n v="28"/>
    <n v="7"/>
    <n v="52"/>
    <n v="58"/>
    <n v="52"/>
    <n v="61"/>
    <n v="13"/>
    <n v="36"/>
    <n v="13"/>
    <n v="20"/>
    <n v="44"/>
    <n v="20"/>
    <n v="44"/>
    <n v="16"/>
    <n v="11"/>
    <n v="18"/>
    <n v="3"/>
    <n v="14"/>
    <n v="3"/>
    <n v="14"/>
    <n v="27"/>
    <n v="14"/>
    <n v="19"/>
    <n v="11"/>
    <n v="26"/>
    <n v="13"/>
    <n v="23"/>
    <n v="11"/>
    <n v="23"/>
    <n v="12"/>
    <n v="30"/>
    <n v="11"/>
    <n v="11"/>
    <n v="9"/>
    <n v="26"/>
    <n v="10"/>
    <n v="9"/>
    <n v="7"/>
    <n v="27"/>
    <n v="8"/>
    <n v="30"/>
    <n v="6"/>
    <n v="13"/>
    <n v="13"/>
    <n v="210"/>
    <n v="10"/>
    <n v="185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10"/>
    <n v="185"/>
    <m/>
    <m/>
    <m/>
    <m/>
    <m/>
    <m/>
    <m/>
    <m/>
    <m/>
    <m/>
    <m/>
    <m/>
    <m/>
    <m/>
    <m/>
    <m/>
    <m/>
    <m/>
    <m/>
    <m/>
    <n v="0"/>
    <n v="0"/>
    <m/>
    <m/>
    <n v="2483"/>
    <n v="2422"/>
  </r>
  <r>
    <x v="11"/>
    <s v="The Citadel, the Military College of South Carolina "/>
    <m/>
    <n v="217864"/>
    <x v="2"/>
    <m/>
    <m/>
    <m/>
    <m/>
    <m/>
    <m/>
    <n v="0"/>
    <n v="0"/>
    <n v="612"/>
    <n v="0"/>
    <n v="0"/>
    <n v="0"/>
    <n v="0"/>
    <n v="650"/>
    <n v="0"/>
    <n v="0"/>
    <n v="0"/>
    <n v="0"/>
    <m/>
    <m/>
    <m/>
    <m/>
    <m/>
    <m/>
    <m/>
    <m/>
    <m/>
    <m/>
    <m/>
    <m/>
    <m/>
    <m/>
    <m/>
    <m/>
    <m/>
    <m/>
    <m/>
    <m/>
    <n v="0"/>
    <n v="0.59591041869522887"/>
    <n v="0"/>
    <n v="0.61205273069679844"/>
    <n v="100"/>
    <n v="66"/>
    <n v="13"/>
    <n v="102"/>
    <n v="52"/>
    <n v="121"/>
    <n v="52"/>
    <n v="87"/>
    <n v="13"/>
    <n v="101"/>
    <n v="15"/>
    <n v="36"/>
    <n v="42"/>
    <n v="41"/>
    <n v="42"/>
    <n v="36"/>
    <n v="15"/>
    <n v="23"/>
    <n v="31"/>
    <n v="14"/>
    <n v="31"/>
    <n v="19"/>
    <n v="29"/>
    <n v="13"/>
    <n v="29"/>
    <n v="18"/>
    <n v="14"/>
    <n v="12"/>
    <n v="14"/>
    <n v="7"/>
    <n v="26"/>
    <n v="7"/>
    <n v="45"/>
    <n v="7"/>
    <n v="45"/>
    <n v="4"/>
    <n v="11"/>
    <n v="3"/>
    <n v="11"/>
    <n v="2"/>
    <n v="26"/>
    <n v="3"/>
    <n v="2"/>
    <n v="3"/>
    <n v="315"/>
    <n v="10"/>
    <n v="346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15"/>
    <n v="346"/>
    <m/>
    <m/>
    <m/>
    <m/>
    <m/>
    <m/>
    <m/>
    <m/>
    <m/>
    <m/>
    <m/>
    <m/>
    <m/>
    <m/>
    <m/>
    <m/>
    <m/>
    <m/>
    <m/>
    <m/>
    <n v="0"/>
    <n v="0"/>
    <m/>
    <m/>
    <n v="1027"/>
    <n v="1062"/>
  </r>
  <r>
    <x v="11"/>
    <s v="Winthrop University "/>
    <m/>
    <n v="218964"/>
    <x v="2"/>
    <m/>
    <m/>
    <m/>
    <m/>
    <m/>
    <m/>
    <n v="0"/>
    <n v="0"/>
    <n v="995"/>
    <n v="0"/>
    <n v="0"/>
    <n v="0"/>
    <n v="0"/>
    <n v="998"/>
    <n v="0"/>
    <n v="0"/>
    <n v="0"/>
    <n v="0"/>
    <m/>
    <m/>
    <m/>
    <m/>
    <m/>
    <m/>
    <m/>
    <m/>
    <m/>
    <m/>
    <m/>
    <m/>
    <m/>
    <m/>
    <m/>
    <m/>
    <m/>
    <m/>
    <m/>
    <m/>
    <n v="0"/>
    <n v="0.74420344053851906"/>
    <n v="0"/>
    <n v="0.75778283978739558"/>
    <n v="21"/>
    <n v="18"/>
    <n v="13"/>
    <n v="127"/>
    <n v="13"/>
    <n v="121"/>
    <n v="44"/>
    <n v="51"/>
    <n v="52"/>
    <n v="50"/>
    <n v="52"/>
    <n v="46"/>
    <n v="44"/>
    <n v="48"/>
    <n v="42"/>
    <n v="25"/>
    <n v="42"/>
    <n v="24"/>
    <n v="19"/>
    <n v="18"/>
    <n v="19"/>
    <n v="19"/>
    <n v="31"/>
    <n v="15"/>
    <n v="31"/>
    <n v="12"/>
    <n v="23"/>
    <n v="11"/>
    <n v="26"/>
    <n v="7"/>
    <n v="26"/>
    <n v="11"/>
    <n v="50"/>
    <n v="7"/>
    <n v="50"/>
    <n v="9"/>
    <n v="23"/>
    <n v="6"/>
    <n v="54"/>
    <n v="5"/>
    <n v="24"/>
    <n v="4"/>
    <n v="3"/>
    <n v="3"/>
    <n v="321"/>
    <n v="10"/>
    <n v="301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21"/>
    <n v="301"/>
    <m/>
    <m/>
    <m/>
    <m/>
    <m/>
    <m/>
    <m/>
    <m/>
    <m/>
    <m/>
    <m/>
    <m/>
    <m/>
    <m/>
    <m/>
    <m/>
    <m/>
    <m/>
    <m/>
    <m/>
    <n v="0"/>
    <n v="0"/>
    <m/>
    <m/>
    <n v="1337"/>
    <n v="1317"/>
  </r>
  <r>
    <x v="11"/>
    <s v="Coastal Carolina University"/>
    <m/>
    <n v="218724"/>
    <x v="3"/>
    <m/>
    <m/>
    <m/>
    <m/>
    <m/>
    <m/>
    <n v="0"/>
    <n v="0"/>
    <n v="1892"/>
    <n v="0"/>
    <n v="0"/>
    <n v="0"/>
    <n v="0"/>
    <n v="1986"/>
    <n v="0"/>
    <n v="0"/>
    <n v="0"/>
    <n v="0"/>
    <m/>
    <m/>
    <m/>
    <m/>
    <m/>
    <m/>
    <m/>
    <m/>
    <m/>
    <m/>
    <m/>
    <m/>
    <m/>
    <m/>
    <m/>
    <m/>
    <m/>
    <m/>
    <m/>
    <m/>
    <n v="0"/>
    <n v="0.85572139303482586"/>
    <n v="0"/>
    <n v="0.87220026350461133"/>
    <n v="2"/>
    <n v="1"/>
    <n v="13"/>
    <n v="193"/>
    <n v="13"/>
    <n v="165"/>
    <n v="52"/>
    <n v="61"/>
    <n v="52"/>
    <n v="72"/>
    <n v="26"/>
    <n v="17"/>
    <n v="26"/>
    <n v="18"/>
    <n v="11"/>
    <n v="14"/>
    <n v="23"/>
    <n v="11"/>
    <n v="31"/>
    <n v="14"/>
    <n v="24"/>
    <n v="8"/>
    <n v="24"/>
    <n v="10"/>
    <n v="31"/>
    <n v="7"/>
    <n v="23"/>
    <n v="8"/>
    <n v="11"/>
    <n v="4"/>
    <m/>
    <m/>
    <n v="50"/>
    <n v="3"/>
    <m/>
    <m/>
    <n v="9"/>
    <n v="1"/>
    <m/>
    <m/>
    <m/>
    <m/>
    <m/>
    <m/>
    <n v="317"/>
    <n v="7"/>
    <n v="289"/>
    <n v="9"/>
    <m/>
    <m/>
    <n v="4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1"/>
    <n v="1"/>
    <n v="1"/>
    <n v="317"/>
    <n v="290"/>
    <m/>
    <m/>
    <m/>
    <m/>
    <m/>
    <m/>
    <m/>
    <m/>
    <m/>
    <m/>
    <m/>
    <m/>
    <m/>
    <m/>
    <m/>
    <m/>
    <m/>
    <m/>
    <m/>
    <m/>
    <n v="0"/>
    <n v="0"/>
    <m/>
    <m/>
    <n v="2211"/>
    <n v="2277"/>
  </r>
  <r>
    <x v="11"/>
    <s v="Francis Marion University "/>
    <m/>
    <n v="218061"/>
    <x v="4"/>
    <m/>
    <m/>
    <m/>
    <m/>
    <m/>
    <m/>
    <n v="0"/>
    <n v="0"/>
    <n v="527"/>
    <n v="0"/>
    <n v="0"/>
    <n v="0"/>
    <n v="0"/>
    <n v="543"/>
    <n v="0"/>
    <n v="0"/>
    <n v="0"/>
    <n v="0"/>
    <m/>
    <m/>
    <m/>
    <m/>
    <m/>
    <m/>
    <m/>
    <m/>
    <m/>
    <m/>
    <m/>
    <m/>
    <m/>
    <m/>
    <m/>
    <m/>
    <m/>
    <m/>
    <m/>
    <m/>
    <n v="0"/>
    <n v="0.77272727272727271"/>
    <n v="0"/>
    <n v="0.8056379821958457"/>
    <m/>
    <m/>
    <n v="51"/>
    <n v="71"/>
    <n v="51"/>
    <n v="48"/>
    <n v="13"/>
    <n v="38"/>
    <n v="13"/>
    <n v="45"/>
    <n v="42"/>
    <n v="26"/>
    <n v="42"/>
    <n v="22"/>
    <n v="52"/>
    <n v="13"/>
    <n v="52"/>
    <n v="13"/>
    <m/>
    <m/>
    <m/>
    <m/>
    <m/>
    <m/>
    <m/>
    <m/>
    <m/>
    <m/>
    <m/>
    <m/>
    <m/>
    <m/>
    <m/>
    <m/>
    <m/>
    <m/>
    <m/>
    <m/>
    <m/>
    <m/>
    <m/>
    <m/>
    <m/>
    <m/>
    <n v="148"/>
    <n v="4"/>
    <n v="128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8"/>
    <n v="128"/>
    <m/>
    <m/>
    <m/>
    <m/>
    <m/>
    <m/>
    <m/>
    <m/>
    <m/>
    <m/>
    <m/>
    <m/>
    <m/>
    <m/>
    <m/>
    <m/>
    <m/>
    <m/>
    <n v="7"/>
    <n v="3"/>
    <n v="7"/>
    <n v="3"/>
    <m/>
    <m/>
    <n v="682"/>
    <n v="674"/>
  </r>
  <r>
    <x v="11"/>
    <s v="South Carolina State University "/>
    <m/>
    <n v="218733"/>
    <x v="4"/>
    <m/>
    <m/>
    <m/>
    <m/>
    <m/>
    <m/>
    <n v="0"/>
    <n v="0"/>
    <n v="333"/>
    <n v="0"/>
    <n v="0"/>
    <n v="0"/>
    <n v="0"/>
    <n v="330"/>
    <n v="0"/>
    <n v="0"/>
    <n v="0"/>
    <n v="0"/>
    <m/>
    <m/>
    <m/>
    <m/>
    <m/>
    <m/>
    <m/>
    <m/>
    <m/>
    <m/>
    <m/>
    <m/>
    <m/>
    <m/>
    <m/>
    <m/>
    <m/>
    <m/>
    <m/>
    <m/>
    <n v="0"/>
    <n v="0.71459227467811159"/>
    <n v="0"/>
    <n v="0.76566125290023201"/>
    <m/>
    <m/>
    <n v="51"/>
    <n v="58"/>
    <n v="51"/>
    <n v="36"/>
    <n v="13"/>
    <n v="44"/>
    <n v="13"/>
    <n v="28"/>
    <n v="52"/>
    <n v="9"/>
    <n v="52"/>
    <n v="16"/>
    <n v="19"/>
    <n v="8"/>
    <n v="19"/>
    <n v="4"/>
    <m/>
    <m/>
    <m/>
    <m/>
    <m/>
    <m/>
    <m/>
    <m/>
    <m/>
    <m/>
    <m/>
    <m/>
    <m/>
    <m/>
    <m/>
    <m/>
    <m/>
    <m/>
    <m/>
    <m/>
    <m/>
    <m/>
    <m/>
    <m/>
    <m/>
    <m/>
    <n v="119"/>
    <n v="4"/>
    <n v="84"/>
    <n v="4"/>
    <n v="13"/>
    <n v="14"/>
    <n v="13"/>
    <n v="1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n v="1"/>
    <n v="17"/>
    <n v="1"/>
    <n v="1"/>
    <n v="133"/>
    <n v="101"/>
    <m/>
    <m/>
    <m/>
    <m/>
    <m/>
    <m/>
    <m/>
    <m/>
    <m/>
    <m/>
    <m/>
    <m/>
    <m/>
    <m/>
    <m/>
    <m/>
    <m/>
    <m/>
    <m/>
    <m/>
    <n v="0"/>
    <n v="0"/>
    <m/>
    <m/>
    <n v="466"/>
    <n v="431"/>
  </r>
  <r>
    <x v="11"/>
    <s v="Lander University"/>
    <s v="Met the criteria for Four-Year 5 in 2019-20."/>
    <n v="218229"/>
    <x v="5"/>
    <n v="2"/>
    <n v="4"/>
    <m/>
    <m/>
    <m/>
    <m/>
    <n v="0"/>
    <n v="0"/>
    <n v="514"/>
    <n v="0"/>
    <n v="0"/>
    <n v="0"/>
    <n v="0"/>
    <n v="500"/>
    <n v="0"/>
    <n v="0"/>
    <n v="0"/>
    <n v="0"/>
    <m/>
    <m/>
    <m/>
    <m/>
    <m/>
    <m/>
    <m/>
    <m/>
    <m/>
    <m/>
    <m/>
    <m/>
    <m/>
    <m/>
    <m/>
    <m/>
    <m/>
    <m/>
    <m/>
    <m/>
    <n v="0"/>
    <n v="0.92947558770343586"/>
    <n v="0"/>
    <n v="0.94161958568738224"/>
    <m/>
    <m/>
    <n v="13"/>
    <n v="21"/>
    <n v="13"/>
    <n v="13"/>
    <n v="51"/>
    <n v="13"/>
    <n v="43"/>
    <n v="10"/>
    <n v="43"/>
    <n v="3"/>
    <n v="5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3"/>
    <n v="2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7"/>
    <n v="27"/>
    <m/>
    <m/>
    <m/>
    <m/>
    <m/>
    <m/>
    <m/>
    <m/>
    <m/>
    <m/>
    <m/>
    <m/>
    <m/>
    <m/>
    <m/>
    <m/>
    <m/>
    <m/>
    <m/>
    <m/>
    <n v="0"/>
    <n v="0"/>
    <m/>
    <m/>
    <n v="553"/>
    <n v="531"/>
  </r>
  <r>
    <x v="11"/>
    <s v="University of South Carolina-Aiken"/>
    <s v="Met the criteria for Four-Year 5 in 2019-20 and 2020-21."/>
    <n v="218645"/>
    <x v="5"/>
    <m/>
    <m/>
    <m/>
    <m/>
    <m/>
    <m/>
    <n v="0"/>
    <n v="0"/>
    <n v="540"/>
    <n v="0"/>
    <n v="0"/>
    <n v="0"/>
    <n v="0"/>
    <n v="569"/>
    <n v="0"/>
    <n v="0"/>
    <n v="0"/>
    <n v="0"/>
    <m/>
    <m/>
    <m/>
    <m/>
    <m/>
    <m/>
    <m/>
    <m/>
    <m/>
    <m/>
    <m/>
    <m/>
    <m/>
    <m/>
    <m/>
    <m/>
    <m/>
    <m/>
    <m/>
    <m/>
    <n v="0"/>
    <n v="0.94076655052264813"/>
    <n v="0"/>
    <n v="0.89045383411580592"/>
    <m/>
    <m/>
    <n v="42"/>
    <n v="16"/>
    <n v="52"/>
    <n v="61"/>
    <n v="52"/>
    <n v="16"/>
    <n v="42"/>
    <n v="6"/>
    <n v="13"/>
    <n v="2"/>
    <n v="1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4"/>
    <n v="3"/>
    <n v="7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4"/>
    <n v="70"/>
    <m/>
    <m/>
    <m/>
    <m/>
    <m/>
    <m/>
    <m/>
    <m/>
    <m/>
    <m/>
    <m/>
    <m/>
    <m/>
    <m/>
    <m/>
    <m/>
    <m/>
    <m/>
    <m/>
    <m/>
    <n v="0"/>
    <n v="0"/>
    <m/>
    <m/>
    <n v="574"/>
    <n v="639"/>
  </r>
  <r>
    <x v="11"/>
    <s v="University of South Carolina-Beaufort"/>
    <m/>
    <n v="218654"/>
    <x v="5"/>
    <n v="1"/>
    <n v="1"/>
    <m/>
    <m/>
    <n v="1"/>
    <m/>
    <n v="2.8328611898016999E-3"/>
    <n v="0"/>
    <n v="353"/>
    <n v="0"/>
    <n v="0"/>
    <n v="0"/>
    <n v="0"/>
    <n v="409"/>
    <n v="0"/>
    <n v="0"/>
    <n v="0"/>
    <n v="0"/>
    <m/>
    <m/>
    <m/>
    <m/>
    <m/>
    <m/>
    <m/>
    <m/>
    <m/>
    <m/>
    <m/>
    <m/>
    <m/>
    <m/>
    <m/>
    <m/>
    <m/>
    <m/>
    <m/>
    <m/>
    <n v="0"/>
    <n v="0.9943661971830986"/>
    <n v="0"/>
    <n v="0.997560975609756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5"/>
    <n v="410"/>
  </r>
  <r>
    <x v="11"/>
    <s v="University of South Carolina-Upstate"/>
    <m/>
    <n v="218742"/>
    <x v="5"/>
    <m/>
    <m/>
    <m/>
    <m/>
    <m/>
    <m/>
    <n v="0"/>
    <n v="0"/>
    <n v="1274"/>
    <n v="0"/>
    <n v="0"/>
    <n v="0"/>
    <n v="0"/>
    <n v="1267"/>
    <n v="0"/>
    <n v="0"/>
    <n v="0"/>
    <n v="0"/>
    <m/>
    <m/>
    <m/>
    <m/>
    <m/>
    <m/>
    <m/>
    <m/>
    <m/>
    <m/>
    <m/>
    <m/>
    <m/>
    <m/>
    <m/>
    <m/>
    <m/>
    <m/>
    <m/>
    <m/>
    <n v="0"/>
    <n v="0.98075442648190914"/>
    <n v="0"/>
    <n v="0.98293250581846392"/>
    <n v="6"/>
    <n v="2"/>
    <n v="52"/>
    <n v="7"/>
    <n v="13"/>
    <n v="15"/>
    <n v="13"/>
    <n v="6"/>
    <n v="52"/>
    <n v="3"/>
    <n v="51"/>
    <n v="6"/>
    <n v="51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3"/>
    <n v="20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9"/>
    <n v="20"/>
    <m/>
    <m/>
    <m/>
    <m/>
    <m/>
    <m/>
    <m/>
    <m/>
    <m/>
    <m/>
    <m/>
    <m/>
    <m/>
    <m/>
    <m/>
    <m/>
    <m/>
    <m/>
    <m/>
    <m/>
    <n v="0"/>
    <n v="0"/>
    <m/>
    <m/>
    <n v="1299"/>
    <n v="1289"/>
  </r>
  <r>
    <x v="11"/>
    <s v="Greenville Technical College "/>
    <m/>
    <n v="218113"/>
    <x v="6"/>
    <n v="864"/>
    <n v="813"/>
    <m/>
    <m/>
    <n v="1326"/>
    <n v="125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90"/>
    <n v="2067"/>
  </r>
  <r>
    <x v="11"/>
    <s v="Horry-Georgetown Technical College "/>
    <s v="Met the criteria for Two-Year 2 in 2020-21."/>
    <n v="218140"/>
    <x v="6"/>
    <n v="530"/>
    <n v="528"/>
    <m/>
    <m/>
    <n v="984"/>
    <n v="103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14"/>
    <n v="1561"/>
  </r>
  <r>
    <x v="11"/>
    <s v="Midlands Technical College "/>
    <m/>
    <n v="218353"/>
    <x v="6"/>
    <n v="916"/>
    <n v="893"/>
    <m/>
    <m/>
    <n v="1209"/>
    <n v="124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25"/>
    <n v="2141"/>
  </r>
  <r>
    <x v="11"/>
    <s v="Trident Technical College "/>
    <m/>
    <n v="218894"/>
    <x v="6"/>
    <n v="746"/>
    <n v="815"/>
    <m/>
    <m/>
    <n v="1327"/>
    <n v="132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73"/>
    <n v="2138"/>
  </r>
  <r>
    <x v="11"/>
    <s v="Central Carolina Technical College "/>
    <m/>
    <n v="218858"/>
    <x v="7"/>
    <n v="319"/>
    <n v="315"/>
    <m/>
    <m/>
    <n v="353"/>
    <n v="38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2"/>
    <n v="703"/>
  </r>
  <r>
    <x v="11"/>
    <s v="Florence-Darlington Technical College "/>
    <m/>
    <n v="218025"/>
    <x v="7"/>
    <n v="326"/>
    <n v="280"/>
    <m/>
    <m/>
    <n v="443"/>
    <n v="45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9"/>
    <n v="735"/>
  </r>
  <r>
    <x v="11"/>
    <s v="Piedmont Technical College "/>
    <m/>
    <n v="218520"/>
    <x v="7"/>
    <n v="462"/>
    <n v="805"/>
    <m/>
    <m/>
    <n v="638"/>
    <n v="67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0"/>
    <n v="1480"/>
  </r>
  <r>
    <x v="11"/>
    <s v="Spartanburg Community College "/>
    <m/>
    <n v="218830"/>
    <x v="7"/>
    <n v="137"/>
    <n v="212"/>
    <m/>
    <m/>
    <n v="523"/>
    <n v="55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0"/>
    <n v="764"/>
  </r>
  <r>
    <x v="11"/>
    <s v="Tri-County Technical College "/>
    <m/>
    <n v="218885"/>
    <x v="7"/>
    <n v="1407"/>
    <n v="1380"/>
    <m/>
    <m/>
    <n v="845"/>
    <n v="83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52"/>
    <n v="2211"/>
  </r>
  <r>
    <x v="11"/>
    <s v="York Technical College "/>
    <m/>
    <n v="218991"/>
    <x v="7"/>
    <n v="584"/>
    <n v="752"/>
    <m/>
    <m/>
    <n v="666"/>
    <n v="69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50"/>
    <n v="1446"/>
  </r>
  <r>
    <x v="11"/>
    <s v="Aiken Technical College "/>
    <m/>
    <n v="217615"/>
    <x v="8"/>
    <n v="180"/>
    <n v="146"/>
    <m/>
    <m/>
    <n v="270"/>
    <n v="24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0"/>
    <n v="392"/>
  </r>
  <r>
    <x v="11"/>
    <s v="Denmark Technical College "/>
    <m/>
    <n v="217989"/>
    <x v="8"/>
    <n v="90"/>
    <n v="83"/>
    <m/>
    <m/>
    <n v="37"/>
    <n v="1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7"/>
    <n v="100"/>
  </r>
  <r>
    <x v="11"/>
    <s v="Northeastern Technical College "/>
    <m/>
    <n v="217837"/>
    <x v="8"/>
    <n v="79"/>
    <n v="165"/>
    <m/>
    <m/>
    <n v="101"/>
    <n v="14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0"/>
    <n v="305"/>
  </r>
  <r>
    <x v="11"/>
    <s v="Orangeburg-Calhoun Technical College "/>
    <m/>
    <n v="218487"/>
    <x v="8"/>
    <n v="406"/>
    <n v="296"/>
    <m/>
    <m/>
    <n v="283"/>
    <n v="22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9"/>
    <n v="523"/>
  </r>
  <r>
    <x v="11"/>
    <s v="Technical College of the Lowcountry"/>
    <m/>
    <n v="217712"/>
    <x v="8"/>
    <n v="155"/>
    <n v="181"/>
    <m/>
    <m/>
    <n v="177"/>
    <n v="23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2"/>
    <n v="412"/>
  </r>
  <r>
    <x v="11"/>
    <s v="University of South Carolina-Lancaster"/>
    <m/>
    <n v="218672"/>
    <x v="8"/>
    <m/>
    <m/>
    <m/>
    <m/>
    <n v="137"/>
    <n v="15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7"/>
    <n v="152"/>
  </r>
  <r>
    <x v="11"/>
    <s v="University of South Carolina-Salkehatchie"/>
    <m/>
    <n v="218681"/>
    <x v="8"/>
    <m/>
    <m/>
    <m/>
    <m/>
    <n v="164"/>
    <n v="13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4"/>
    <n v="134"/>
  </r>
  <r>
    <x v="11"/>
    <s v="University of South Carolina-Sumter"/>
    <m/>
    <n v="218690"/>
    <x v="8"/>
    <m/>
    <m/>
    <m/>
    <m/>
    <n v="133"/>
    <n v="16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3"/>
    <n v="163"/>
  </r>
  <r>
    <x v="11"/>
    <s v="University of South Carolina-Union"/>
    <m/>
    <n v="218706"/>
    <x v="8"/>
    <m/>
    <m/>
    <m/>
    <m/>
    <n v="91"/>
    <n v="5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1"/>
    <n v="52"/>
  </r>
  <r>
    <x v="11"/>
    <s v="Williamsburg Technical College "/>
    <m/>
    <n v="218955"/>
    <x v="8"/>
    <n v="71"/>
    <n v="46"/>
    <m/>
    <m/>
    <n v="39"/>
    <n v="5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"/>
    <n v="100"/>
  </r>
  <r>
    <x v="11"/>
    <s v="Medical University of South Carolina"/>
    <m/>
    <n v="218335"/>
    <x v="11"/>
    <m/>
    <m/>
    <m/>
    <m/>
    <m/>
    <m/>
    <n v="0"/>
    <n v="0"/>
    <n v="223"/>
    <n v="0"/>
    <n v="0"/>
    <n v="0"/>
    <n v="0"/>
    <n v="213"/>
    <n v="0"/>
    <n v="0"/>
    <n v="0"/>
    <n v="0"/>
    <m/>
    <m/>
    <m/>
    <m/>
    <m/>
    <m/>
    <m/>
    <m/>
    <m/>
    <m/>
    <m/>
    <m/>
    <m/>
    <m/>
    <m/>
    <m/>
    <m/>
    <m/>
    <m/>
    <m/>
    <n v="0"/>
    <n v="0.2214498510427011"/>
    <n v="0"/>
    <n v="0.21823770491803279"/>
    <n v="1"/>
    <m/>
    <n v="51"/>
    <n v="298"/>
    <n v="51"/>
    <n v="223"/>
    <n v="26"/>
    <n v="26"/>
    <n v="26"/>
    <n v="3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4"/>
    <n v="2"/>
    <n v="257"/>
    <n v="2"/>
    <n v="51"/>
    <n v="121"/>
    <n v="51"/>
    <n v="161"/>
    <n v="26"/>
    <n v="29"/>
    <n v="26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50"/>
    <n v="2"/>
    <n v="0.80666666666666664"/>
    <n v="181"/>
    <n v="2"/>
    <n v="0.88950276243093918"/>
    <n v="474"/>
    <n v="438"/>
    <m/>
    <m/>
    <n v="169"/>
    <n v="167"/>
    <n v="70"/>
    <n v="73"/>
    <n v="70"/>
    <n v="85"/>
    <m/>
    <m/>
    <m/>
    <m/>
    <m/>
    <m/>
    <m/>
    <m/>
    <m/>
    <m/>
    <m/>
    <m/>
    <n v="309"/>
    <n v="325"/>
    <m/>
    <m/>
    <n v="1007"/>
    <n v="976"/>
  </r>
  <r>
    <x v="12"/>
    <s v="University of Memphis"/>
    <m/>
    <n v="220862"/>
    <x v="0"/>
    <m/>
    <m/>
    <m/>
    <m/>
    <m/>
    <m/>
    <n v="0"/>
    <n v="0"/>
    <n v="2971"/>
    <n v="0"/>
    <n v="0"/>
    <n v="0"/>
    <n v="0"/>
    <n v="3076"/>
    <n v="0"/>
    <n v="0"/>
    <n v="0"/>
    <n v="0"/>
    <m/>
    <m/>
    <m/>
    <m/>
    <m/>
    <m/>
    <m/>
    <m/>
    <m/>
    <m/>
    <m/>
    <m/>
    <m/>
    <m/>
    <m/>
    <m/>
    <m/>
    <m/>
    <m/>
    <m/>
    <n v="0"/>
    <n v="0.71178725443219937"/>
    <n v="0"/>
    <n v="0.71435206688341846"/>
    <m/>
    <m/>
    <s v="52"/>
    <n v="209"/>
    <s v="52"/>
    <n v="186"/>
    <s v="13"/>
    <n v="175"/>
    <n v="13"/>
    <n v="179"/>
    <s v="51"/>
    <n v="161"/>
    <s v="51"/>
    <n v="172"/>
    <s v="44"/>
    <n v="70"/>
    <s v="44"/>
    <n v="72"/>
    <s v="31"/>
    <n v="46"/>
    <s v="11"/>
    <n v="64"/>
    <s v="11"/>
    <n v="39"/>
    <s v="31"/>
    <n v="42"/>
    <s v="50"/>
    <n v="37"/>
    <s v="50"/>
    <n v="35"/>
    <s v="40"/>
    <n v="29"/>
    <s v="45"/>
    <n v="28"/>
    <s v="14"/>
    <n v="26"/>
    <s v="42"/>
    <n v="25"/>
    <s v="42"/>
    <n v="25"/>
    <s v="14"/>
    <n v="23"/>
    <n v="149"/>
    <n v="118"/>
    <n v="966"/>
    <n v="10"/>
    <n v="944"/>
    <n v="10"/>
    <s v="13"/>
    <n v="36"/>
    <s v="13"/>
    <n v="46"/>
    <s v="42"/>
    <n v="25"/>
    <s v="23"/>
    <n v="22"/>
    <s v="51"/>
    <n v="21"/>
    <s v="14"/>
    <n v="21"/>
    <s v="23"/>
    <n v="15"/>
    <n v="42"/>
    <n v="20"/>
    <s v="40"/>
    <n v="8"/>
    <n v="51"/>
    <n v="17"/>
    <s v="14"/>
    <n v="7"/>
    <n v="40"/>
    <n v="13"/>
    <s v="50"/>
    <n v="7"/>
    <n v="52"/>
    <n v="13"/>
    <s v="54"/>
    <n v="7"/>
    <n v="26"/>
    <n v="12"/>
    <s v="26"/>
    <n v="6"/>
    <n v="9"/>
    <n v="10"/>
    <s v="11"/>
    <n v="5"/>
    <n v="50"/>
    <n v="8"/>
    <n v="14"/>
    <n v="16"/>
    <n v="151"/>
    <n v="10"/>
    <n v="0.23841059602649006"/>
    <n v="198"/>
    <n v="10"/>
    <n v="0.23232323232323232"/>
    <n v="1117"/>
    <n v="1142"/>
    <n v="86"/>
    <n v="88"/>
    <m/>
    <m/>
    <m/>
    <m/>
    <m/>
    <m/>
    <m/>
    <m/>
    <m/>
    <m/>
    <m/>
    <m/>
    <m/>
    <m/>
    <m/>
    <m/>
    <m/>
    <m/>
    <n v="86"/>
    <n v="88"/>
    <m/>
    <m/>
    <n v="4174"/>
    <n v="4306"/>
  </r>
  <r>
    <x v="12"/>
    <s v="University of Tennessee, Knoxville"/>
    <m/>
    <n v="221759"/>
    <x v="0"/>
    <m/>
    <m/>
    <m/>
    <m/>
    <m/>
    <m/>
    <n v="0"/>
    <n v="0"/>
    <n v="4919"/>
    <n v="0"/>
    <n v="0"/>
    <n v="0"/>
    <n v="0"/>
    <n v="5080"/>
    <n v="0"/>
    <n v="0"/>
    <n v="0"/>
    <n v="0"/>
    <m/>
    <m/>
    <m/>
    <m/>
    <m/>
    <m/>
    <m/>
    <m/>
    <m/>
    <m/>
    <m/>
    <m/>
    <m/>
    <m/>
    <m/>
    <m/>
    <m/>
    <m/>
    <m/>
    <m/>
    <n v="0"/>
    <n v="0.70321658327376702"/>
    <n v="0"/>
    <n v="0.69474835886214437"/>
    <m/>
    <m/>
    <s v="52"/>
    <n v="372"/>
    <s v="52"/>
    <n v="378"/>
    <s v="44"/>
    <n v="217"/>
    <s v="44"/>
    <n v="252"/>
    <s v="14"/>
    <n v="197"/>
    <s v="14"/>
    <n v="215"/>
    <s v="13"/>
    <n v="148"/>
    <s v="13"/>
    <n v="172"/>
    <s v="51"/>
    <n v="85"/>
    <s v="25"/>
    <n v="100"/>
    <s v="01"/>
    <n v="69"/>
    <s v="01"/>
    <n v="58"/>
    <s v="31"/>
    <n v="64"/>
    <s v="31"/>
    <n v="57"/>
    <s v="25"/>
    <n v="57"/>
    <s v="42"/>
    <n v="50"/>
    <s v="50"/>
    <n v="41"/>
    <s v="50"/>
    <n v="46"/>
    <s v="42"/>
    <n v="39"/>
    <s v="51"/>
    <n v="42"/>
    <n v="207"/>
    <n v="242"/>
    <n v="1496"/>
    <n v="10"/>
    <n v="1612"/>
    <n v="10"/>
    <s v="14"/>
    <n v="114"/>
    <s v="14"/>
    <n v="122"/>
    <s v="40"/>
    <n v="41"/>
    <s v="40"/>
    <n v="40"/>
    <s v="45"/>
    <n v="29"/>
    <s v="13"/>
    <n v="38"/>
    <s v="26"/>
    <n v="29"/>
    <s v="42"/>
    <n v="29"/>
    <s v="13"/>
    <n v="28"/>
    <s v="44"/>
    <n v="25"/>
    <s v="42"/>
    <n v="27"/>
    <s v="26"/>
    <n v="25"/>
    <s v="44"/>
    <n v="24"/>
    <s v="51"/>
    <n v="24"/>
    <s v="52"/>
    <n v="13"/>
    <s v="45"/>
    <n v="21"/>
    <s v="27"/>
    <n v="13"/>
    <s v="01"/>
    <n v="16"/>
    <s v="51"/>
    <n v="11"/>
    <s v="27"/>
    <n v="16"/>
    <n v="54"/>
    <n v="67"/>
    <n v="383"/>
    <n v="10"/>
    <n v="0.29765013054830286"/>
    <n v="423"/>
    <n v="10"/>
    <n v="0.28841607565011823"/>
    <n v="1879"/>
    <n v="2035"/>
    <n v="113"/>
    <n v="118"/>
    <m/>
    <m/>
    <m/>
    <m/>
    <m/>
    <m/>
    <m/>
    <m/>
    <m/>
    <m/>
    <m/>
    <m/>
    <n v="84"/>
    <n v="79"/>
    <m/>
    <m/>
    <m/>
    <m/>
    <n v="197"/>
    <n v="197"/>
    <m/>
    <m/>
    <n v="6995"/>
    <n v="7312"/>
  </r>
  <r>
    <x v="12"/>
    <s v="East Tennessee State University "/>
    <m/>
    <n v="220075"/>
    <x v="1"/>
    <m/>
    <m/>
    <m/>
    <m/>
    <m/>
    <m/>
    <n v="0"/>
    <n v="0"/>
    <n v="2448"/>
    <n v="0"/>
    <n v="0"/>
    <n v="0"/>
    <n v="0"/>
    <n v="2567"/>
    <n v="0"/>
    <n v="0"/>
    <n v="0"/>
    <n v="0"/>
    <m/>
    <m/>
    <m/>
    <m/>
    <m/>
    <m/>
    <m/>
    <m/>
    <m/>
    <m/>
    <m/>
    <m/>
    <m/>
    <m/>
    <m/>
    <m/>
    <m/>
    <m/>
    <m/>
    <m/>
    <n v="0"/>
    <n v="0.71495327102803741"/>
    <n v="0"/>
    <n v="0.71583937534857778"/>
    <m/>
    <m/>
    <s v="51"/>
    <n v="218"/>
    <s v="51"/>
    <n v="250"/>
    <s v="13"/>
    <n v="131"/>
    <s v="13"/>
    <n v="117"/>
    <s v="52"/>
    <n v="102"/>
    <s v="44"/>
    <n v="91"/>
    <s v="44"/>
    <n v="75"/>
    <s v="52"/>
    <n v="81"/>
    <s v="31"/>
    <n v="38"/>
    <s v="09"/>
    <n v="36"/>
    <s v="15"/>
    <n v="22"/>
    <s v="40"/>
    <n v="33"/>
    <s v="09"/>
    <n v="22"/>
    <s v="31"/>
    <n v="30"/>
    <s v="40"/>
    <n v="19"/>
    <s v="11"/>
    <n v="15"/>
    <s v="26"/>
    <n v="17"/>
    <s v="54"/>
    <n v="12"/>
    <s v="27"/>
    <n v="14"/>
    <s v="27"/>
    <n v="11"/>
    <n v="58"/>
    <n v="60"/>
    <n v="716"/>
    <n v="10"/>
    <n v="736"/>
    <n v="10"/>
    <s v="51"/>
    <n v="69"/>
    <s v="51"/>
    <n v="78"/>
    <s v="13"/>
    <n v="27"/>
    <s v="13"/>
    <n v="30"/>
    <s v="52"/>
    <n v="10"/>
    <s v="52"/>
    <n v="15"/>
    <s v="26"/>
    <n v="9"/>
    <s v="31"/>
    <n v="9"/>
    <s v="42"/>
    <n v="6"/>
    <s v="42"/>
    <n v="8"/>
    <s v="31"/>
    <n v="5"/>
    <s v="26"/>
    <n v="6"/>
    <m/>
    <m/>
    <m/>
    <m/>
    <m/>
    <m/>
    <m/>
    <m/>
    <m/>
    <m/>
    <m/>
    <m/>
    <m/>
    <m/>
    <m/>
    <m/>
    <m/>
    <m/>
    <n v="126"/>
    <n v="6"/>
    <n v="0.54761904761904767"/>
    <n v="146"/>
    <n v="6"/>
    <n v="0.53424657534246578"/>
    <n v="842"/>
    <n v="882"/>
    <m/>
    <m/>
    <n v="60"/>
    <n v="69"/>
    <m/>
    <m/>
    <n v="74"/>
    <n v="68"/>
    <m/>
    <m/>
    <m/>
    <m/>
    <m/>
    <m/>
    <m/>
    <m/>
    <m/>
    <m/>
    <m/>
    <m/>
    <n v="134"/>
    <n v="137"/>
    <m/>
    <m/>
    <n v="3424"/>
    <n v="3586"/>
  </r>
  <r>
    <x v="12"/>
    <s v="Middle Tennessee State University "/>
    <m/>
    <n v="220978"/>
    <x v="1"/>
    <m/>
    <m/>
    <m/>
    <m/>
    <m/>
    <m/>
    <n v="0"/>
    <n v="0"/>
    <n v="4047"/>
    <n v="0"/>
    <n v="0"/>
    <n v="0"/>
    <n v="0"/>
    <n v="4039"/>
    <n v="0"/>
    <n v="0"/>
    <n v="0"/>
    <n v="0"/>
    <m/>
    <m/>
    <m/>
    <m/>
    <m/>
    <m/>
    <m/>
    <m/>
    <m/>
    <m/>
    <m/>
    <m/>
    <m/>
    <m/>
    <m/>
    <m/>
    <m/>
    <m/>
    <m/>
    <m/>
    <n v="0"/>
    <n v="0.8287937743190662"/>
    <n v="0"/>
    <n v="0.82800328003280033"/>
    <m/>
    <m/>
    <s v="13"/>
    <n v="204"/>
    <s v="13"/>
    <n v="199"/>
    <s v="52"/>
    <n v="137"/>
    <s v="52"/>
    <n v="132"/>
    <s v="11"/>
    <n v="61"/>
    <s v="26"/>
    <n v="87"/>
    <s v="51"/>
    <n v="52"/>
    <s v="11"/>
    <n v="68"/>
    <s v="26"/>
    <n v="47"/>
    <s v="51"/>
    <n v="67"/>
    <s v="24"/>
    <n v="41"/>
    <s v="24"/>
    <n v="34"/>
    <s v="42"/>
    <n v="39"/>
    <s v="31"/>
    <n v="29"/>
    <s v="31"/>
    <n v="34"/>
    <s v="42"/>
    <n v="27"/>
    <s v="45"/>
    <n v="25"/>
    <s v="44"/>
    <n v="25"/>
    <s v="54"/>
    <n v="22"/>
    <s v="45"/>
    <n v="15"/>
    <n v="127"/>
    <n v="100"/>
    <n v="789"/>
    <n v="10"/>
    <n v="783"/>
    <n v="10"/>
    <s v="13"/>
    <n v="18"/>
    <s v="13"/>
    <n v="21"/>
    <s v="31"/>
    <n v="10"/>
    <s v="27"/>
    <n v="8"/>
    <s v="54"/>
    <n v="5"/>
    <s v="26"/>
    <n v="7"/>
    <s v="26"/>
    <n v="4"/>
    <s v="23"/>
    <n v="6"/>
    <s v="45"/>
    <n v="4"/>
    <s v="54"/>
    <n v="5"/>
    <s v="23"/>
    <n v="4"/>
    <s v="31"/>
    <n v="5"/>
    <s v="27"/>
    <n v="2"/>
    <s v="45"/>
    <n v="4"/>
    <m/>
    <m/>
    <m/>
    <m/>
    <m/>
    <m/>
    <m/>
    <m/>
    <m/>
    <m/>
    <m/>
    <m/>
    <m/>
    <m/>
    <n v="47"/>
    <n v="7"/>
    <n v="0.38297872340425532"/>
    <n v="56"/>
    <n v="7"/>
    <n v="0.375"/>
    <n v="836"/>
    <n v="839"/>
    <m/>
    <m/>
    <m/>
    <m/>
    <m/>
    <m/>
    <m/>
    <m/>
    <m/>
    <m/>
    <m/>
    <m/>
    <m/>
    <m/>
    <m/>
    <m/>
    <m/>
    <m/>
    <m/>
    <m/>
    <n v="0"/>
    <n v="0"/>
    <m/>
    <m/>
    <n v="4883"/>
    <n v="4878"/>
  </r>
  <r>
    <x v="12"/>
    <s v="Tennessee State University "/>
    <m/>
    <n v="221838"/>
    <x v="1"/>
    <m/>
    <m/>
    <m/>
    <m/>
    <n v="41"/>
    <n v="9"/>
    <n v="3.7580201649862512E-2"/>
    <n v="9.3071354705274046E-3"/>
    <n v="1091"/>
    <n v="0"/>
    <n v="0"/>
    <n v="0"/>
    <n v="0"/>
    <n v="967"/>
    <n v="0"/>
    <n v="0"/>
    <n v="0"/>
    <n v="0"/>
    <m/>
    <m/>
    <m/>
    <m/>
    <m/>
    <m/>
    <m/>
    <m/>
    <m/>
    <m/>
    <m/>
    <m/>
    <m/>
    <m/>
    <m/>
    <m/>
    <m/>
    <m/>
    <m/>
    <m/>
    <n v="0"/>
    <n v="0.71167645140247882"/>
    <n v="0"/>
    <n v="0.68290960451977401"/>
    <m/>
    <m/>
    <s v="51"/>
    <n v="109"/>
    <s v="51"/>
    <n v="111"/>
    <s v="52"/>
    <n v="56"/>
    <s v="52"/>
    <n v="63"/>
    <s v="13"/>
    <n v="38"/>
    <s v="44"/>
    <n v="37"/>
    <s v="44"/>
    <n v="28"/>
    <s v="13"/>
    <n v="31"/>
    <s v="14"/>
    <n v="19"/>
    <s v="24"/>
    <n v="25"/>
    <s v="31"/>
    <n v="14"/>
    <s v="01"/>
    <n v="20"/>
    <s v="24"/>
    <n v="12"/>
    <s v="11"/>
    <n v="16"/>
    <s v="01"/>
    <n v="12"/>
    <s v="31"/>
    <n v="12"/>
    <s v="11"/>
    <n v="11"/>
    <s v="42"/>
    <n v="11"/>
    <s v="43"/>
    <n v="8"/>
    <s v="14"/>
    <n v="6"/>
    <n v="19"/>
    <n v="15"/>
    <n v="326"/>
    <n v="10"/>
    <n v="347"/>
    <n v="10"/>
    <s v="51"/>
    <n v="31"/>
    <s v="51"/>
    <n v="37"/>
    <s v="42"/>
    <n v="12"/>
    <s v="13"/>
    <n v="31"/>
    <s v="13"/>
    <n v="12"/>
    <s v="42"/>
    <n v="10"/>
    <s v="26"/>
    <n v="11"/>
    <s v="26"/>
    <n v="9"/>
    <s v="14"/>
    <n v="7"/>
    <s v="14"/>
    <n v="3"/>
    <s v="44"/>
    <n v="2"/>
    <s v="44"/>
    <n v="3"/>
    <m/>
    <m/>
    <m/>
    <m/>
    <m/>
    <m/>
    <m/>
    <m/>
    <m/>
    <m/>
    <m/>
    <m/>
    <m/>
    <m/>
    <m/>
    <m/>
    <m/>
    <m/>
    <n v="75"/>
    <n v="6"/>
    <n v="0.41333333333333333"/>
    <n v="93"/>
    <n v="6"/>
    <n v="0.39784946236559138"/>
    <n v="401"/>
    <n v="440"/>
    <m/>
    <m/>
    <m/>
    <m/>
    <m/>
    <m/>
    <m/>
    <m/>
    <m/>
    <m/>
    <m/>
    <m/>
    <m/>
    <m/>
    <m/>
    <m/>
    <m/>
    <m/>
    <m/>
    <m/>
    <n v="0"/>
    <n v="0"/>
    <m/>
    <m/>
    <n v="1533"/>
    <n v="1416"/>
  </r>
  <r>
    <x v="12"/>
    <s v="Austin Peay State University "/>
    <m/>
    <n v="219602"/>
    <x v="2"/>
    <m/>
    <m/>
    <m/>
    <m/>
    <n v="406"/>
    <n v="1059"/>
    <n v="0.26798679867986797"/>
    <n v="0.63795180722891565"/>
    <n v="1515"/>
    <n v="0"/>
    <n v="0"/>
    <n v="0"/>
    <n v="0"/>
    <n v="1660"/>
    <n v="0"/>
    <n v="0"/>
    <n v="0"/>
    <n v="0"/>
    <m/>
    <m/>
    <m/>
    <m/>
    <m/>
    <m/>
    <m/>
    <m/>
    <m/>
    <m/>
    <m/>
    <m/>
    <m/>
    <m/>
    <m/>
    <m/>
    <m/>
    <m/>
    <m/>
    <m/>
    <n v="0"/>
    <n v="0.64965694682675812"/>
    <n v="0"/>
    <n v="0.52564914502849902"/>
    <m/>
    <m/>
    <s v="13"/>
    <n v="128"/>
    <s v="13"/>
    <n v="116"/>
    <s v="51"/>
    <n v="66"/>
    <s v="51"/>
    <n v="91"/>
    <s v="11"/>
    <n v="36"/>
    <s v="11"/>
    <n v="48"/>
    <s v="44"/>
    <n v="34"/>
    <s v="24"/>
    <n v="36"/>
    <s v="52"/>
    <n v="32"/>
    <s v="52"/>
    <n v="31"/>
    <s v="24"/>
    <n v="29"/>
    <s v="31"/>
    <n v="28"/>
    <s v="09"/>
    <n v="21"/>
    <s v="09"/>
    <n v="18"/>
    <s v="42"/>
    <n v="14"/>
    <s v="44"/>
    <n v="16"/>
    <s v="54"/>
    <n v="14"/>
    <s v="54"/>
    <n v="15"/>
    <s v="50"/>
    <n v="14"/>
    <s v="26"/>
    <n v="13"/>
    <n v="23"/>
    <n v="27"/>
    <n v="411"/>
    <n v="10"/>
    <n v="439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11"/>
    <n v="439"/>
    <m/>
    <m/>
    <m/>
    <m/>
    <m/>
    <m/>
    <m/>
    <m/>
    <m/>
    <m/>
    <m/>
    <m/>
    <m/>
    <m/>
    <m/>
    <m/>
    <m/>
    <m/>
    <m/>
    <m/>
    <n v="0"/>
    <n v="0"/>
    <m/>
    <m/>
    <n v="2332"/>
    <n v="3158"/>
  </r>
  <r>
    <x v="12"/>
    <s v="Tennessee Technological University "/>
    <m/>
    <n v="221847"/>
    <x v="2"/>
    <m/>
    <m/>
    <m/>
    <m/>
    <m/>
    <m/>
    <n v="0"/>
    <n v="0"/>
    <n v="1966"/>
    <n v="0"/>
    <n v="0"/>
    <n v="0"/>
    <n v="0"/>
    <n v="1991"/>
    <n v="0"/>
    <n v="0"/>
    <n v="0"/>
    <n v="0"/>
    <m/>
    <m/>
    <m/>
    <m/>
    <m/>
    <m/>
    <m/>
    <m/>
    <m/>
    <m/>
    <m/>
    <m/>
    <m/>
    <m/>
    <m/>
    <m/>
    <m/>
    <m/>
    <m/>
    <m/>
    <n v="0"/>
    <n v="0.82397317686504612"/>
    <n v="0"/>
    <n v="0.82035434693036668"/>
    <m/>
    <m/>
    <s v="13"/>
    <n v="144"/>
    <s v="13"/>
    <n v="131"/>
    <s v="52"/>
    <n v="101"/>
    <s v="52"/>
    <n v="92"/>
    <s v="24"/>
    <n v="33"/>
    <s v="14"/>
    <n v="47"/>
    <s v="14"/>
    <n v="32"/>
    <s v="24"/>
    <n v="32"/>
    <s v="51"/>
    <n v="29"/>
    <s v="51"/>
    <n v="29"/>
    <s v="31"/>
    <n v="20"/>
    <s v="31"/>
    <n v="23"/>
    <s v="11"/>
    <n v="13"/>
    <s v="11"/>
    <n v="18"/>
    <s v="26"/>
    <n v="8"/>
    <s v="40"/>
    <n v="11"/>
    <s v="23"/>
    <n v="4"/>
    <s v="26"/>
    <n v="6"/>
    <s v="03"/>
    <n v="4"/>
    <s v="03"/>
    <n v="5"/>
    <n v="7"/>
    <n v="10"/>
    <n v="395"/>
    <n v="10"/>
    <n v="404"/>
    <n v="10"/>
    <s v="14"/>
    <n v="15"/>
    <s v="14"/>
    <n v="21"/>
    <s v="03"/>
    <n v="5"/>
    <s v="13"/>
    <n v="7"/>
    <s v="13"/>
    <n v="5"/>
    <s v="03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5"/>
    <n v="3"/>
    <n v="0.6"/>
    <n v="32"/>
    <n v="3"/>
    <n v="0.65625"/>
    <n v="420"/>
    <n v="436"/>
    <m/>
    <m/>
    <m/>
    <m/>
    <m/>
    <m/>
    <m/>
    <m/>
    <m/>
    <m/>
    <m/>
    <m/>
    <m/>
    <m/>
    <m/>
    <m/>
    <m/>
    <m/>
    <m/>
    <m/>
    <n v="0"/>
    <n v="0"/>
    <m/>
    <m/>
    <n v="2386"/>
    <n v="2427"/>
  </r>
  <r>
    <x v="12"/>
    <s v="University of Tennessee at Chattanooga"/>
    <m/>
    <n v="221740"/>
    <x v="2"/>
    <m/>
    <m/>
    <m/>
    <m/>
    <m/>
    <m/>
    <n v="0"/>
    <n v="0"/>
    <n v="2082"/>
    <n v="0"/>
    <n v="0"/>
    <n v="0"/>
    <n v="0"/>
    <n v="2061"/>
    <n v="0"/>
    <n v="0"/>
    <n v="0"/>
    <n v="0"/>
    <m/>
    <m/>
    <m/>
    <m/>
    <m/>
    <m/>
    <m/>
    <m/>
    <m/>
    <m/>
    <m/>
    <m/>
    <m/>
    <m/>
    <m/>
    <m/>
    <m/>
    <m/>
    <m/>
    <m/>
    <n v="0"/>
    <n v="0.81583072100313481"/>
    <n v="0"/>
    <n v="0.8041357783847054"/>
    <m/>
    <m/>
    <s v="52"/>
    <n v="138"/>
    <s v="52"/>
    <n v="131"/>
    <s v="13"/>
    <n v="65"/>
    <s v="51"/>
    <n v="70"/>
    <s v="51"/>
    <n v="62"/>
    <s v="13"/>
    <n v="63"/>
    <s v="44"/>
    <n v="34"/>
    <s v="42"/>
    <n v="26"/>
    <s v="14"/>
    <n v="27"/>
    <s v="44"/>
    <n v="23"/>
    <s v="42"/>
    <n v="18"/>
    <s v="14"/>
    <n v="22"/>
    <s v="15"/>
    <n v="16"/>
    <s v="15"/>
    <n v="21"/>
    <s v="11"/>
    <n v="14"/>
    <s v="11"/>
    <n v="18"/>
    <s v="03"/>
    <n v="9"/>
    <s v="03"/>
    <n v="17"/>
    <s v="43"/>
    <n v="6"/>
    <s v="43"/>
    <n v="9"/>
    <n v="13"/>
    <n v="15"/>
    <n v="402"/>
    <n v="10"/>
    <n v="415"/>
    <n v="10"/>
    <s v="51"/>
    <n v="63"/>
    <s v="51"/>
    <n v="74"/>
    <s v="13"/>
    <n v="5"/>
    <s v="13"/>
    <n v="10"/>
    <m/>
    <m/>
    <s v="30"/>
    <n v="2"/>
    <m/>
    <m/>
    <s v="14"/>
    <n v="1"/>
    <m/>
    <m/>
    <m/>
    <m/>
    <m/>
    <m/>
    <m/>
    <m/>
    <m/>
    <m/>
    <m/>
    <m/>
    <m/>
    <m/>
    <m/>
    <m/>
    <m/>
    <m/>
    <m/>
    <m/>
    <m/>
    <m/>
    <m/>
    <m/>
    <m/>
    <m/>
    <n v="68"/>
    <n v="2"/>
    <n v="0.92647058823529416"/>
    <n v="87"/>
    <n v="4"/>
    <n v="0.85057471264367812"/>
    <n v="470"/>
    <n v="502"/>
    <m/>
    <m/>
    <m/>
    <m/>
    <m/>
    <m/>
    <m/>
    <m/>
    <m/>
    <m/>
    <m/>
    <m/>
    <m/>
    <m/>
    <m/>
    <m/>
    <m/>
    <m/>
    <m/>
    <m/>
    <n v="0"/>
    <n v="0"/>
    <m/>
    <m/>
    <n v="2552"/>
    <n v="2563"/>
  </r>
  <r>
    <x v="12"/>
    <s v="University of Tennessee at Martin"/>
    <s v="Reclassified: Met the criteria for Four-Year 4 in 2018-19, 2019-20, and 2020-21."/>
    <n v="221768"/>
    <x v="3"/>
    <m/>
    <m/>
    <m/>
    <m/>
    <m/>
    <m/>
    <n v="0"/>
    <n v="0"/>
    <n v="1166"/>
    <n v="0"/>
    <n v="0"/>
    <n v="0"/>
    <n v="0"/>
    <n v="1096"/>
    <n v="0"/>
    <n v="0"/>
    <n v="0"/>
    <n v="0"/>
    <m/>
    <m/>
    <m/>
    <m/>
    <m/>
    <m/>
    <m/>
    <m/>
    <m/>
    <m/>
    <m/>
    <m/>
    <m/>
    <m/>
    <m/>
    <m/>
    <m/>
    <m/>
    <m/>
    <m/>
    <n v="0"/>
    <n v="0.91450980392156866"/>
    <n v="0"/>
    <n v="0.90429042904290424"/>
    <m/>
    <m/>
    <s v="13"/>
    <n v="51"/>
    <s v="13"/>
    <n v="55"/>
    <s v="52"/>
    <n v="39"/>
    <s v="52"/>
    <n v="31"/>
    <s v="19"/>
    <n v="9"/>
    <s v="19"/>
    <n v="12"/>
    <s v="01"/>
    <n v="9"/>
    <s v="01"/>
    <n v="11"/>
    <s v="09"/>
    <n v="1"/>
    <s v="09"/>
    <n v="7"/>
    <m/>
    <m/>
    <m/>
    <m/>
    <m/>
    <m/>
    <m/>
    <m/>
    <m/>
    <m/>
    <m/>
    <m/>
    <m/>
    <m/>
    <m/>
    <m/>
    <m/>
    <m/>
    <m/>
    <m/>
    <m/>
    <m/>
    <n v="109"/>
    <n v="5"/>
    <n v="11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9"/>
    <n v="116"/>
    <m/>
    <m/>
    <m/>
    <m/>
    <m/>
    <m/>
    <m/>
    <m/>
    <m/>
    <m/>
    <m/>
    <m/>
    <m/>
    <m/>
    <m/>
    <m/>
    <m/>
    <m/>
    <m/>
    <m/>
    <n v="0"/>
    <n v="0"/>
    <m/>
    <m/>
    <n v="1275"/>
    <n v="1212"/>
  </r>
  <r>
    <x v="12"/>
    <s v="Chattanooga State Technical Community College "/>
    <m/>
    <n v="219824"/>
    <x v="6"/>
    <m/>
    <m/>
    <m/>
    <m/>
    <n v="1128"/>
    <n v="116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28"/>
    <n v="1164"/>
  </r>
  <r>
    <x v="12"/>
    <s v="Nashville State Technical Community College"/>
    <m/>
    <n v="221184"/>
    <x v="6"/>
    <m/>
    <m/>
    <m/>
    <m/>
    <n v="902"/>
    <n v="93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02"/>
    <n v="932"/>
  </r>
  <r>
    <x v="12"/>
    <s v="Pellissippi State Technical Community College"/>
    <m/>
    <n v="221643"/>
    <x v="6"/>
    <m/>
    <m/>
    <m/>
    <m/>
    <n v="1461"/>
    <n v="164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61"/>
    <n v="1644"/>
  </r>
  <r>
    <x v="12"/>
    <s v="Southwest Tennessee Community College"/>
    <m/>
    <n v="221485"/>
    <x v="6"/>
    <m/>
    <m/>
    <m/>
    <m/>
    <n v="849"/>
    <n v="95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9"/>
    <n v="955"/>
  </r>
  <r>
    <x v="12"/>
    <s v="Volunteer State Community College "/>
    <m/>
    <n v="222053"/>
    <x v="6"/>
    <m/>
    <m/>
    <m/>
    <m/>
    <n v="1198"/>
    <n v="122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98"/>
    <n v="1227"/>
  </r>
  <r>
    <x v="12"/>
    <s v="Cleveland State Community College "/>
    <m/>
    <n v="219879"/>
    <x v="7"/>
    <m/>
    <m/>
    <m/>
    <m/>
    <n v="387"/>
    <n v="46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7"/>
    <n v="460"/>
  </r>
  <r>
    <x v="12"/>
    <s v="Columbia State Community College "/>
    <m/>
    <n v="219888"/>
    <x v="7"/>
    <m/>
    <m/>
    <m/>
    <m/>
    <n v="779"/>
    <n v="87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9"/>
    <n v="875"/>
  </r>
  <r>
    <x v="12"/>
    <s v="Jackson State Community College "/>
    <m/>
    <n v="220400"/>
    <x v="7"/>
    <m/>
    <m/>
    <m/>
    <m/>
    <n v="498"/>
    <n v="62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8"/>
    <n v="622"/>
  </r>
  <r>
    <x v="12"/>
    <s v="Motlow State Community College "/>
    <m/>
    <n v="221096"/>
    <x v="7"/>
    <m/>
    <m/>
    <m/>
    <m/>
    <n v="1070"/>
    <n v="112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70"/>
    <n v="1123"/>
  </r>
  <r>
    <x v="12"/>
    <s v="Northeast State Technical Community College"/>
    <m/>
    <n v="221908"/>
    <x v="7"/>
    <m/>
    <m/>
    <m/>
    <m/>
    <n v="980"/>
    <n v="98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80"/>
    <n v="988"/>
  </r>
  <r>
    <x v="12"/>
    <s v="Roane State Community College "/>
    <m/>
    <n v="221397"/>
    <x v="7"/>
    <m/>
    <m/>
    <m/>
    <m/>
    <n v="962"/>
    <n v="98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62"/>
    <n v="983"/>
  </r>
  <r>
    <x v="12"/>
    <s v="Walters State Community College "/>
    <m/>
    <n v="222062"/>
    <x v="7"/>
    <m/>
    <m/>
    <m/>
    <m/>
    <n v="939"/>
    <n v="95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39"/>
    <n v="959"/>
  </r>
  <r>
    <x v="12"/>
    <s v="Dyersburg State Community College "/>
    <m/>
    <n v="220057"/>
    <x v="8"/>
    <m/>
    <m/>
    <m/>
    <m/>
    <n v="360"/>
    <n v="36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0"/>
    <n v="365"/>
  </r>
  <r>
    <x v="12"/>
    <s v="Tennessee College of Applied Technology at Athens"/>
    <m/>
    <n v="219596"/>
    <x v="10"/>
    <n v="160"/>
    <n v="14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0"/>
    <n v="146"/>
  </r>
  <r>
    <x v="12"/>
    <s v="Tennessee College of Applied Technology at Chattanooga"/>
    <m/>
    <s v="219824B"/>
    <x v="10"/>
    <n v="659"/>
    <n v="76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9"/>
    <n v="767"/>
  </r>
  <r>
    <x v="12"/>
    <s v="Tennessee College of Applied Technology at Covington"/>
    <m/>
    <n v="219921"/>
    <x v="10"/>
    <n v="155"/>
    <n v="16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"/>
    <n v="160"/>
  </r>
  <r>
    <x v="12"/>
    <s v="Tennessee College of Applied Technology at Crossville"/>
    <m/>
    <n v="221591"/>
    <x v="10"/>
    <n v="284"/>
    <n v="28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4"/>
    <n v="283"/>
  </r>
  <r>
    <x v="12"/>
    <s v="Tennessee College of Applied Technology at Crump"/>
    <m/>
    <n v="221430"/>
    <x v="10"/>
    <n v="165"/>
    <n v="62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5"/>
    <n v="62"/>
  </r>
  <r>
    <x v="12"/>
    <s v="Tennessee College of Applied Technology at Dickson"/>
    <m/>
    <n v="219994"/>
    <x v="10"/>
    <n v="403"/>
    <n v="25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3"/>
    <n v="251"/>
  </r>
  <r>
    <x v="12"/>
    <s v="Tennessee College of Applied Technology at Elizabethton"/>
    <m/>
    <n v="220127"/>
    <x v="10"/>
    <n v="334"/>
    <n v="28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34"/>
    <n v="285"/>
  </r>
  <r>
    <x v="12"/>
    <s v="Tennessee College of Applied Technology at Harriman"/>
    <m/>
    <n v="220251"/>
    <x v="10"/>
    <n v="159"/>
    <n v="8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9"/>
    <n v="87"/>
  </r>
  <r>
    <x v="12"/>
    <s v="Tennessee College of Applied Technology at Hartsville"/>
    <m/>
    <n v="220279"/>
    <x v="10"/>
    <n v="131"/>
    <n v="15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"/>
    <n v="155"/>
  </r>
  <r>
    <x v="12"/>
    <s v="Tennessee College of Applied Technology at Hohenwald"/>
    <m/>
    <n v="220321"/>
    <x v="10"/>
    <n v="201"/>
    <n v="11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01"/>
    <n v="116"/>
  </r>
  <r>
    <x v="12"/>
    <s v="Tennessee College of Applied Technology at Jacksboro"/>
    <m/>
    <n v="220394"/>
    <x v="10"/>
    <n v="114"/>
    <n v="9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4"/>
    <n v="98"/>
  </r>
  <r>
    <x v="12"/>
    <s v="Tennessee College of Applied Technology at Jackson"/>
    <m/>
    <n v="221616"/>
    <x v="10"/>
    <n v="239"/>
    <n v="27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9"/>
    <n v="277"/>
  </r>
  <r>
    <x v="12"/>
    <s v="Tennessee College of Applied Technology at Knoxville"/>
    <m/>
    <n v="221625"/>
    <x v="10"/>
    <n v="546"/>
    <n v="39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46"/>
    <n v="390"/>
  </r>
  <r>
    <x v="12"/>
    <s v="Tennessee College of Applied Technology at Livingston"/>
    <m/>
    <n v="220640"/>
    <x v="10"/>
    <n v="264"/>
    <n v="25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4"/>
    <n v="256"/>
  </r>
  <r>
    <x v="12"/>
    <s v="Tennessee College of Applied Technology at McKenzie"/>
    <m/>
    <n v="220756"/>
    <x v="10"/>
    <n v="117"/>
    <n v="10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7"/>
    <n v="108"/>
  </r>
  <r>
    <x v="12"/>
    <s v="Tennessee College of Applied Technology at McMinnville"/>
    <m/>
    <n v="221607"/>
    <x v="10"/>
    <n v="92"/>
    <n v="12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2"/>
    <n v="127"/>
  </r>
  <r>
    <x v="12"/>
    <s v="Tennessee College of Applied Technology at Memphis"/>
    <s v="Met the criteria for Technical Institute or College 1 in 2019-20 and 2020-21."/>
    <n v="220853"/>
    <x v="10"/>
    <n v="508"/>
    <n v="16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08"/>
    <n v="166"/>
  </r>
  <r>
    <x v="12"/>
    <s v="Tennessee College of Applied Technology at Morristown"/>
    <m/>
    <n v="221050"/>
    <x v="10"/>
    <n v="463"/>
    <n v="369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3"/>
    <n v="369"/>
  </r>
  <r>
    <x v="12"/>
    <s v="Tennessee College of Applied Technology at Murfreesboro"/>
    <m/>
    <n v="221102"/>
    <x v="10"/>
    <n v="319"/>
    <n v="27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9"/>
    <n v="276"/>
  </r>
  <r>
    <x v="12"/>
    <s v="Tennessee College of Applied Technology at Nashville"/>
    <m/>
    <n v="248925"/>
    <x v="10"/>
    <n v="627"/>
    <n v="49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7"/>
    <n v="493"/>
  </r>
  <r>
    <x v="12"/>
    <s v="Tennessee College of Applied Technology at Newbern"/>
    <m/>
    <n v="221236"/>
    <x v="10"/>
    <n v="211"/>
    <n v="26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1"/>
    <n v="261"/>
  </r>
  <r>
    <x v="12"/>
    <s v="Tennessee College of Applied Technology at Oneida"/>
    <m/>
    <n v="221582"/>
    <x v="10"/>
    <n v="150"/>
    <n v="2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0"/>
    <n v="27"/>
  </r>
  <r>
    <x v="12"/>
    <s v="Tennessee College of Applied Technology at Paris"/>
    <m/>
    <n v="221281"/>
    <x v="10"/>
    <n v="191"/>
    <n v="15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1"/>
    <n v="157"/>
  </r>
  <r>
    <x v="12"/>
    <s v="Tennessee College of Applied Technology at Pulaski"/>
    <m/>
    <n v="221333"/>
    <x v="10"/>
    <n v="314"/>
    <n v="9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4"/>
    <n v="93"/>
  </r>
  <r>
    <x v="12"/>
    <s v="Tennessee College of Applied Technology at Ripley"/>
    <m/>
    <n v="221388"/>
    <x v="10"/>
    <n v="117"/>
    <n v="134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7"/>
    <n v="134"/>
  </r>
  <r>
    <x v="12"/>
    <s v="Tennessee College of Applied Technology at Shelbyville"/>
    <m/>
    <n v="221494"/>
    <x v="10"/>
    <n v="214"/>
    <n v="209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14"/>
    <n v="209"/>
  </r>
  <r>
    <x v="12"/>
    <s v="Tennessee College of Applied Technology at Whiteville"/>
    <m/>
    <n v="221634"/>
    <x v="10"/>
    <n v="121"/>
    <n v="9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1"/>
    <n v="98"/>
  </r>
  <r>
    <x v="12"/>
    <s v="University of Tennessee Health Science Center"/>
    <m/>
    <n v="221704"/>
    <x v="11"/>
    <m/>
    <m/>
    <m/>
    <m/>
    <m/>
    <m/>
    <n v="0"/>
    <n v="0"/>
    <n v="228"/>
    <n v="0"/>
    <n v="0"/>
    <n v="0"/>
    <n v="0"/>
    <n v="182"/>
    <n v="0"/>
    <n v="0"/>
    <n v="0"/>
    <n v="0"/>
    <m/>
    <m/>
    <m/>
    <m/>
    <m/>
    <m/>
    <m/>
    <m/>
    <m/>
    <m/>
    <m/>
    <m/>
    <m/>
    <m/>
    <m/>
    <m/>
    <m/>
    <m/>
    <m/>
    <m/>
    <n v="0"/>
    <n v="0.2177650429799427"/>
    <n v="0"/>
    <n v="0.18439716312056736"/>
    <m/>
    <m/>
    <s v="51"/>
    <n v="163"/>
    <s v="51"/>
    <n v="182"/>
    <s v="26"/>
    <n v="35"/>
    <s v="26"/>
    <n v="29"/>
    <s v="14"/>
    <n v="1"/>
    <s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9"/>
    <n v="3"/>
    <n v="213"/>
    <n v="3"/>
    <s v="51"/>
    <n v="170"/>
    <s v="51"/>
    <n v="168"/>
    <s v="26"/>
    <n v="12"/>
    <s v="26"/>
    <n v="10"/>
    <m/>
    <m/>
    <s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2"/>
    <n v="2"/>
    <n v="0.93406593406593408"/>
    <n v="179"/>
    <n v="3"/>
    <n v="0.93854748603351956"/>
    <n v="381"/>
    <n v="392"/>
    <m/>
    <m/>
    <n v="161"/>
    <n v="158"/>
    <n v="90"/>
    <n v="100"/>
    <n v="187"/>
    <n v="155"/>
    <m/>
    <m/>
    <m/>
    <m/>
    <m/>
    <m/>
    <m/>
    <m/>
    <m/>
    <m/>
    <m/>
    <m/>
    <n v="438"/>
    <n v="413"/>
    <m/>
    <m/>
    <n v="1047"/>
    <n v="987"/>
  </r>
  <r>
    <x v="13"/>
    <s v="Texas A&amp;M University "/>
    <m/>
    <n v="228723"/>
    <x v="0"/>
    <m/>
    <m/>
    <m/>
    <m/>
    <m/>
    <m/>
    <n v="0"/>
    <n v="0"/>
    <n v="12072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74043179587831209"/>
    <n v="0"/>
    <n v="0"/>
    <m/>
    <m/>
    <n v="14"/>
    <n v="780"/>
    <n v="52"/>
    <n v="742"/>
    <n v="52"/>
    <n v="754"/>
    <n v="14"/>
    <n v="735"/>
    <n v="13"/>
    <n v="406"/>
    <n v="13"/>
    <n v="437"/>
    <n v="11"/>
    <n v="260"/>
    <n v="11"/>
    <n v="292"/>
    <n v="45"/>
    <n v="206"/>
    <n v="45"/>
    <n v="217"/>
    <n v="1"/>
    <n v="114"/>
    <n v="44"/>
    <n v="118"/>
    <n v="44"/>
    <n v="104"/>
    <n v="27"/>
    <n v="88"/>
    <n v="27"/>
    <n v="96"/>
    <n v="1"/>
    <n v="83"/>
    <n v="31"/>
    <n v="83"/>
    <n v="26"/>
    <n v="83"/>
    <n v="26"/>
    <n v="81"/>
    <n v="31"/>
    <n v="80"/>
    <n v="344"/>
    <n v="424"/>
    <n v="3228"/>
    <n v="10"/>
    <n v="3299"/>
    <n v="10"/>
    <n v="14"/>
    <n v="273"/>
    <n v="14"/>
    <n v="265"/>
    <n v="40"/>
    <n v="77"/>
    <n v="26"/>
    <n v="98"/>
    <n v="26"/>
    <n v="67"/>
    <n v="13"/>
    <n v="91"/>
    <n v="1"/>
    <n v="64"/>
    <n v="40"/>
    <n v="79"/>
    <n v="13"/>
    <n v="64"/>
    <n v="1"/>
    <n v="46"/>
    <n v="45"/>
    <n v="39"/>
    <n v="42"/>
    <n v="43"/>
    <n v="42"/>
    <n v="29"/>
    <n v="45"/>
    <n v="39"/>
    <n v="52"/>
    <n v="24"/>
    <n v="27"/>
    <n v="28"/>
    <n v="27"/>
    <n v="23"/>
    <n v="11"/>
    <n v="17"/>
    <n v="3"/>
    <n v="13"/>
    <n v="3"/>
    <n v="13"/>
    <n v="70"/>
    <n v="58"/>
    <n v="743"/>
    <n v="10"/>
    <n v="0.36742934051144011"/>
    <n v="777"/>
    <n v="10"/>
    <n v="0.34105534105534108"/>
    <n v="3971"/>
    <n v="4076"/>
    <n v="130"/>
    <n v="130"/>
    <m/>
    <m/>
    <m/>
    <m/>
    <m/>
    <m/>
    <m/>
    <m/>
    <m/>
    <m/>
    <m/>
    <m/>
    <n v="131"/>
    <n v="133"/>
    <m/>
    <m/>
    <m/>
    <m/>
    <n v="261"/>
    <n v="263"/>
    <m/>
    <m/>
    <n v="16304"/>
    <n v="4339"/>
  </r>
  <r>
    <x v="13"/>
    <s v="Texas Tech University "/>
    <m/>
    <n v="229115"/>
    <x v="0"/>
    <m/>
    <m/>
    <m/>
    <m/>
    <m/>
    <m/>
    <n v="0"/>
    <n v="0"/>
    <n v="644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7592548927139825"/>
    <n v="0"/>
    <n v="0"/>
    <m/>
    <m/>
    <n v="52"/>
    <n v="368"/>
    <n v="52"/>
    <n v="388"/>
    <n v="13"/>
    <n v="292"/>
    <n v="13"/>
    <n v="317"/>
    <n v="14"/>
    <n v="138"/>
    <n v="14"/>
    <n v="160"/>
    <n v="9"/>
    <n v="98"/>
    <n v="9"/>
    <n v="100"/>
    <n v="1"/>
    <n v="82"/>
    <n v="11"/>
    <n v="94"/>
    <n v="19"/>
    <n v="74"/>
    <n v="19"/>
    <n v="91"/>
    <n v="30"/>
    <n v="74"/>
    <n v="30"/>
    <n v="72"/>
    <n v="11"/>
    <n v="63"/>
    <n v="1"/>
    <n v="62"/>
    <n v="50"/>
    <n v="48"/>
    <n v="23"/>
    <n v="47"/>
    <n v="4"/>
    <n v="42"/>
    <n v="31"/>
    <n v="39"/>
    <n v="288"/>
    <n v="289"/>
    <n v="1567"/>
    <n v="10"/>
    <n v="1659"/>
    <n v="10"/>
    <n v="14"/>
    <n v="71"/>
    <n v="13"/>
    <n v="87"/>
    <n v="13"/>
    <n v="56"/>
    <n v="14"/>
    <n v="53"/>
    <n v="1"/>
    <n v="32"/>
    <n v="42"/>
    <n v="35"/>
    <n v="23"/>
    <n v="28"/>
    <n v="1"/>
    <n v="33"/>
    <n v="50"/>
    <n v="26"/>
    <n v="50"/>
    <n v="28"/>
    <n v="52"/>
    <n v="21"/>
    <n v="40"/>
    <n v="26"/>
    <n v="40"/>
    <n v="19"/>
    <n v="52"/>
    <n v="25"/>
    <n v="42"/>
    <n v="18"/>
    <n v="26"/>
    <n v="18"/>
    <n v="26"/>
    <n v="13"/>
    <n v="23"/>
    <n v="17"/>
    <n v="51"/>
    <n v="10"/>
    <n v="27"/>
    <n v="11"/>
    <n v="46"/>
    <n v="57"/>
    <n v="340"/>
    <n v="10"/>
    <n v="0.20882352941176471"/>
    <n v="390"/>
    <n v="10"/>
    <n v="0.22307692307692309"/>
    <n v="1907"/>
    <n v="2049"/>
    <n v="135"/>
    <n v="127"/>
    <m/>
    <m/>
    <m/>
    <m/>
    <m/>
    <m/>
    <m/>
    <m/>
    <m/>
    <m/>
    <m/>
    <m/>
    <m/>
    <m/>
    <m/>
    <m/>
    <m/>
    <m/>
    <n v="135"/>
    <n v="127"/>
    <m/>
    <m/>
    <n v="8482"/>
    <n v="2176"/>
  </r>
  <r>
    <x v="13"/>
    <s v="University of Houston"/>
    <m/>
    <n v="225511"/>
    <x v="0"/>
    <m/>
    <m/>
    <m/>
    <m/>
    <m/>
    <m/>
    <n v="0"/>
    <n v="0"/>
    <n v="775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73334595003785008"/>
    <n v="0"/>
    <n v="0"/>
    <m/>
    <m/>
    <n v="52"/>
    <n v="539"/>
    <n v="52"/>
    <n v="446"/>
    <n v="14"/>
    <n v="350"/>
    <n v="14"/>
    <n v="252"/>
    <n v="13"/>
    <n v="223"/>
    <n v="44"/>
    <n v="247"/>
    <n v="44"/>
    <n v="222"/>
    <n v="13"/>
    <n v="182"/>
    <n v="11"/>
    <n v="109"/>
    <n v="11"/>
    <n v="99"/>
    <n v="50"/>
    <n v="87"/>
    <n v="50"/>
    <n v="92"/>
    <n v="22"/>
    <n v="65"/>
    <n v="27"/>
    <n v="82"/>
    <n v="51"/>
    <n v="63"/>
    <n v="51"/>
    <n v="73"/>
    <n v="45"/>
    <n v="61"/>
    <n v="22"/>
    <n v="52"/>
    <n v="40"/>
    <n v="53"/>
    <n v="45"/>
    <n v="50"/>
    <n v="250"/>
    <n v="249"/>
    <n v="2022"/>
    <n v="10"/>
    <n v="1824"/>
    <n v="10"/>
    <n v="14"/>
    <n v="84"/>
    <n v="14"/>
    <n v="86"/>
    <n v="40"/>
    <n v="54"/>
    <n v="13"/>
    <n v="66"/>
    <n v="13"/>
    <n v="29"/>
    <n v="40"/>
    <n v="53"/>
    <n v="52"/>
    <n v="29"/>
    <n v="42"/>
    <n v="27"/>
    <n v="42"/>
    <n v="27"/>
    <n v="26"/>
    <n v="24"/>
    <n v="26"/>
    <n v="18"/>
    <n v="11"/>
    <n v="17"/>
    <n v="27"/>
    <n v="18"/>
    <n v="31"/>
    <n v="15"/>
    <n v="11"/>
    <n v="12"/>
    <n v="27"/>
    <n v="12"/>
    <n v="23"/>
    <n v="11"/>
    <n v="45"/>
    <n v="11"/>
    <n v="45"/>
    <n v="11"/>
    <n v="52"/>
    <n v="10"/>
    <n v="40"/>
    <n v="43"/>
    <n v="333"/>
    <n v="10"/>
    <n v="0.25225225225225223"/>
    <n v="364"/>
    <n v="10"/>
    <n v="0.23626373626373626"/>
    <n v="2355"/>
    <n v="2188"/>
    <n v="231"/>
    <n v="232"/>
    <m/>
    <m/>
    <m/>
    <m/>
    <n v="130"/>
    <n v="109"/>
    <m/>
    <m/>
    <n v="102"/>
    <n v="92"/>
    <m/>
    <m/>
    <m/>
    <m/>
    <m/>
    <m/>
    <m/>
    <m/>
    <n v="463"/>
    <n v="433"/>
    <m/>
    <m/>
    <n v="10568"/>
    <n v="2621"/>
  </r>
  <r>
    <x v="13"/>
    <s v="University of North Texas"/>
    <m/>
    <n v="227216"/>
    <x v="0"/>
    <m/>
    <m/>
    <m/>
    <m/>
    <m/>
    <m/>
    <n v="0"/>
    <n v="0"/>
    <n v="7337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77582742941736282"/>
    <n v="0"/>
    <n v="0"/>
    <m/>
    <m/>
    <n v="13"/>
    <n v="522"/>
    <n v="13"/>
    <n v="444"/>
    <n v="52"/>
    <n v="312"/>
    <n v="52"/>
    <n v="372"/>
    <n v="25"/>
    <n v="275"/>
    <n v="25"/>
    <n v="243"/>
    <n v="11"/>
    <n v="109"/>
    <n v="50"/>
    <n v="121"/>
    <n v="50"/>
    <n v="90"/>
    <n v="11"/>
    <n v="108"/>
    <n v="51"/>
    <n v="84"/>
    <n v="51"/>
    <n v="101"/>
    <n v="14"/>
    <n v="73"/>
    <n v="44"/>
    <n v="83"/>
    <n v="42"/>
    <n v="51"/>
    <n v="42"/>
    <n v="61"/>
    <n v="44"/>
    <n v="49"/>
    <n v="14"/>
    <n v="54"/>
    <n v="45"/>
    <n v="35"/>
    <n v="27"/>
    <n v="47"/>
    <n v="208"/>
    <n v="296"/>
    <n v="1808"/>
    <n v="10"/>
    <n v="1930"/>
    <n v="10"/>
    <n v="13"/>
    <n v="70"/>
    <n v="13"/>
    <n v="72"/>
    <n v="50"/>
    <n v="58"/>
    <n v="50"/>
    <n v="55"/>
    <n v="11"/>
    <n v="29"/>
    <n v="42"/>
    <n v="29"/>
    <n v="42"/>
    <n v="27"/>
    <n v="11"/>
    <n v="24"/>
    <n v="52"/>
    <n v="26"/>
    <n v="52"/>
    <n v="23"/>
    <n v="40"/>
    <n v="23"/>
    <n v="40"/>
    <n v="19"/>
    <n v="14"/>
    <n v="19"/>
    <n v="14"/>
    <n v="15"/>
    <n v="26"/>
    <n v="10"/>
    <n v="45"/>
    <n v="14"/>
    <n v="27"/>
    <n v="9"/>
    <n v="44"/>
    <n v="13"/>
    <n v="23"/>
    <n v="8"/>
    <n v="23"/>
    <n v="12"/>
    <n v="23"/>
    <n v="35"/>
    <n v="302"/>
    <n v="10"/>
    <n v="0.23178807947019867"/>
    <n v="311"/>
    <n v="10"/>
    <n v="0.23151125401929259"/>
    <n v="2110"/>
    <n v="2241"/>
    <m/>
    <m/>
    <m/>
    <m/>
    <m/>
    <m/>
    <m/>
    <m/>
    <m/>
    <m/>
    <m/>
    <m/>
    <m/>
    <m/>
    <m/>
    <m/>
    <m/>
    <m/>
    <n v="10"/>
    <n v="11"/>
    <n v="10"/>
    <n v="11"/>
    <m/>
    <m/>
    <n v="9457"/>
    <n v="2252"/>
  </r>
  <r>
    <x v="13"/>
    <s v="University of Texas at Arlington"/>
    <m/>
    <n v="228769"/>
    <x v="0"/>
    <m/>
    <m/>
    <m/>
    <m/>
    <m/>
    <m/>
    <n v="0"/>
    <n v="0"/>
    <n v="8866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64691718350966798"/>
    <n v="0"/>
    <n v="0"/>
    <m/>
    <m/>
    <n v="51"/>
    <n v="1335"/>
    <n v="51"/>
    <n v="1549"/>
    <n v="44"/>
    <n v="745"/>
    <n v="13"/>
    <n v="735"/>
    <n v="13"/>
    <n v="706"/>
    <n v="44"/>
    <n v="722"/>
    <n v="14"/>
    <n v="613"/>
    <n v="52"/>
    <n v="681"/>
    <n v="52"/>
    <n v="527"/>
    <n v="14"/>
    <n v="551"/>
    <n v="11"/>
    <n v="374"/>
    <n v="11"/>
    <n v="417"/>
    <n v="4"/>
    <n v="64"/>
    <n v="4"/>
    <n v="78"/>
    <n v="43"/>
    <n v="43"/>
    <n v="43"/>
    <n v="29"/>
    <n v="15"/>
    <n v="42"/>
    <n v="27"/>
    <n v="27"/>
    <n v="42"/>
    <n v="25"/>
    <n v="45"/>
    <n v="24"/>
    <n v="140"/>
    <n v="158"/>
    <n v="4614"/>
    <n v="10"/>
    <n v="4971"/>
    <n v="10"/>
    <n v="14"/>
    <n v="83"/>
    <n v="14"/>
    <n v="91"/>
    <n v="51"/>
    <n v="26"/>
    <n v="51"/>
    <n v="54"/>
    <n v="40"/>
    <n v="25"/>
    <n v="44"/>
    <n v="26"/>
    <n v="44"/>
    <n v="18"/>
    <n v="40"/>
    <n v="19"/>
    <n v="13"/>
    <n v="13"/>
    <n v="11"/>
    <n v="17"/>
    <n v="52"/>
    <n v="12"/>
    <n v="27"/>
    <n v="15"/>
    <n v="11"/>
    <n v="11"/>
    <n v="52"/>
    <n v="15"/>
    <n v="3"/>
    <n v="7"/>
    <n v="26"/>
    <n v="10"/>
    <n v="26"/>
    <n v="7"/>
    <n v="31"/>
    <n v="9"/>
    <n v="23"/>
    <n v="6"/>
    <n v="13"/>
    <n v="8"/>
    <n v="17"/>
    <n v="16"/>
    <n v="225"/>
    <n v="10"/>
    <n v="0.36888888888888888"/>
    <n v="280"/>
    <n v="10"/>
    <n v="0.32500000000000001"/>
    <n v="4839"/>
    <n v="5251"/>
    <m/>
    <m/>
    <m/>
    <m/>
    <m/>
    <m/>
    <m/>
    <m/>
    <m/>
    <m/>
    <m/>
    <m/>
    <m/>
    <m/>
    <m/>
    <m/>
    <m/>
    <m/>
    <m/>
    <m/>
    <n v="0"/>
    <n v="0"/>
    <m/>
    <m/>
    <n v="13705"/>
    <n v="5251"/>
  </r>
  <r>
    <x v="13"/>
    <s v="University of Texas at Austin"/>
    <m/>
    <n v="228778"/>
    <x v="0"/>
    <m/>
    <m/>
    <m/>
    <m/>
    <m/>
    <m/>
    <n v="0"/>
    <n v="0"/>
    <n v="10114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70377844269709833"/>
    <n v="0"/>
    <n v="0"/>
    <m/>
    <m/>
    <n v="52"/>
    <n v="1006"/>
    <n v="52"/>
    <n v="1073"/>
    <n v="14"/>
    <n v="387"/>
    <n v="14"/>
    <n v="384"/>
    <n v="44"/>
    <n v="252"/>
    <n v="44"/>
    <n v="270"/>
    <n v="13"/>
    <n v="200"/>
    <n v="11"/>
    <n v="237"/>
    <n v="11"/>
    <n v="195"/>
    <n v="13"/>
    <n v="165"/>
    <n v="45"/>
    <n v="140"/>
    <n v="51"/>
    <n v="164"/>
    <n v="51"/>
    <n v="106"/>
    <n v="45"/>
    <n v="126"/>
    <n v="4"/>
    <n v="101"/>
    <n v="4"/>
    <n v="104"/>
    <n v="50"/>
    <n v="97"/>
    <n v="27"/>
    <n v="86"/>
    <n v="9"/>
    <n v="81"/>
    <n v="50"/>
    <n v="86"/>
    <n v="404"/>
    <n v="423"/>
    <n v="2969"/>
    <n v="10"/>
    <n v="3118"/>
    <n v="10"/>
    <n v="14"/>
    <n v="230"/>
    <n v="14"/>
    <n v="220"/>
    <n v="40"/>
    <n v="89"/>
    <n v="40"/>
    <n v="74"/>
    <n v="13"/>
    <n v="72"/>
    <n v="13"/>
    <n v="73"/>
    <n v="50"/>
    <n v="58"/>
    <n v="16"/>
    <n v="44"/>
    <n v="26"/>
    <n v="55"/>
    <n v="51"/>
    <n v="43"/>
    <n v="51"/>
    <n v="47"/>
    <n v="45"/>
    <n v="41"/>
    <n v="42"/>
    <n v="44"/>
    <n v="50"/>
    <n v="41"/>
    <n v="45"/>
    <n v="41"/>
    <n v="42"/>
    <n v="40"/>
    <n v="16"/>
    <n v="39"/>
    <n v="26"/>
    <n v="33"/>
    <n v="9"/>
    <n v="26"/>
    <n v="23"/>
    <n v="31"/>
    <n v="154"/>
    <n v="173"/>
    <n v="855"/>
    <n v="10"/>
    <n v="0.26900584795321636"/>
    <n v="813"/>
    <n v="10"/>
    <n v="0.27060270602706027"/>
    <n v="3824"/>
    <n v="3931"/>
    <n v="297"/>
    <n v="322"/>
    <m/>
    <m/>
    <m/>
    <m/>
    <n v="126"/>
    <n v="117"/>
    <m/>
    <m/>
    <m/>
    <m/>
    <m/>
    <m/>
    <m/>
    <m/>
    <m/>
    <m/>
    <n v="10"/>
    <n v="10"/>
    <n v="433"/>
    <n v="449"/>
    <m/>
    <m/>
    <n v="14371"/>
    <n v="4380"/>
  </r>
  <r>
    <x v="13"/>
    <s v="University of Texas at Dallas"/>
    <m/>
    <n v="228787"/>
    <x v="0"/>
    <m/>
    <m/>
    <m/>
    <m/>
    <m/>
    <m/>
    <n v="0"/>
    <n v="0"/>
    <n v="4215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53300455235204858"/>
    <n v="0"/>
    <n v="0"/>
    <m/>
    <m/>
    <n v="52"/>
    <n v="1528"/>
    <n v="52"/>
    <n v="1589"/>
    <n v="11"/>
    <n v="850"/>
    <n v="11"/>
    <n v="908"/>
    <n v="14"/>
    <n v="338"/>
    <n v="14"/>
    <n v="297"/>
    <n v="27"/>
    <n v="209"/>
    <n v="51"/>
    <n v="204"/>
    <n v="51"/>
    <n v="205"/>
    <n v="27"/>
    <n v="183"/>
    <n v="30"/>
    <n v="76"/>
    <n v="30"/>
    <n v="89"/>
    <n v="45"/>
    <n v="49"/>
    <n v="45"/>
    <n v="63"/>
    <n v="44"/>
    <n v="47"/>
    <n v="40"/>
    <n v="41"/>
    <n v="40"/>
    <n v="44"/>
    <n v="26"/>
    <n v="36"/>
    <n v="26"/>
    <n v="36"/>
    <n v="42"/>
    <n v="31"/>
    <n v="83"/>
    <n v="67"/>
    <n v="3465"/>
    <n v="10"/>
    <n v="3508"/>
    <n v="10"/>
    <n v="14"/>
    <n v="70"/>
    <n v="14"/>
    <n v="77"/>
    <n v="40"/>
    <n v="25"/>
    <n v="11"/>
    <n v="29"/>
    <n v="45"/>
    <n v="20"/>
    <n v="40"/>
    <n v="25"/>
    <n v="11"/>
    <n v="19"/>
    <n v="26"/>
    <n v="22"/>
    <n v="52"/>
    <n v="19"/>
    <n v="45"/>
    <n v="19"/>
    <n v="24"/>
    <n v="16"/>
    <n v="24"/>
    <n v="17"/>
    <n v="26"/>
    <n v="12"/>
    <n v="27"/>
    <n v="15"/>
    <n v="27"/>
    <n v="12"/>
    <n v="44"/>
    <n v="15"/>
    <n v="44"/>
    <n v="11"/>
    <n v="52"/>
    <n v="14"/>
    <n v="42"/>
    <n v="6"/>
    <n v="42"/>
    <n v="7"/>
    <n v="6"/>
    <n v="5"/>
    <n v="216"/>
    <n v="10"/>
    <n v="0.32407407407407407"/>
    <n v="245"/>
    <n v="10"/>
    <n v="0.31428571428571428"/>
    <n v="3681"/>
    <n v="3753"/>
    <m/>
    <m/>
    <m/>
    <m/>
    <m/>
    <m/>
    <m/>
    <m/>
    <m/>
    <m/>
    <m/>
    <m/>
    <m/>
    <m/>
    <m/>
    <m/>
    <m/>
    <m/>
    <n v="12"/>
    <n v="14"/>
    <n v="12"/>
    <n v="14"/>
    <m/>
    <m/>
    <n v="7908"/>
    <n v="3767"/>
  </r>
  <r>
    <x v="13"/>
    <s v="University of Texas at San Antonio"/>
    <m/>
    <n v="229027"/>
    <x v="0"/>
    <m/>
    <m/>
    <m/>
    <m/>
    <m/>
    <m/>
    <n v="0"/>
    <n v="0"/>
    <n v="5578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79176721078779277"/>
    <n v="0"/>
    <n v="0"/>
    <m/>
    <m/>
    <n v="52"/>
    <n v="364"/>
    <n v="52"/>
    <n v="320"/>
    <n v="13"/>
    <n v="298"/>
    <n v="13"/>
    <n v="219"/>
    <n v="51"/>
    <n v="109"/>
    <n v="44"/>
    <n v="127"/>
    <n v="14"/>
    <n v="104"/>
    <n v="51"/>
    <n v="115"/>
    <n v="44"/>
    <n v="101"/>
    <n v="14"/>
    <n v="92"/>
    <n v="4"/>
    <n v="50"/>
    <n v="11"/>
    <n v="77"/>
    <n v="11"/>
    <n v="48"/>
    <n v="30"/>
    <n v="73"/>
    <n v="45"/>
    <n v="44"/>
    <n v="45"/>
    <n v="44"/>
    <n v="31"/>
    <n v="38"/>
    <n v="26"/>
    <n v="41"/>
    <n v="42"/>
    <n v="33"/>
    <n v="4"/>
    <n v="34"/>
    <n v="162"/>
    <n v="196"/>
    <n v="1351"/>
    <n v="10"/>
    <n v="1338"/>
    <n v="10"/>
    <n v="13"/>
    <n v="35"/>
    <n v="13"/>
    <n v="41"/>
    <n v="14"/>
    <n v="16"/>
    <n v="14"/>
    <n v="32"/>
    <n v="11"/>
    <n v="12"/>
    <n v="40"/>
    <n v="16"/>
    <n v="42"/>
    <n v="11"/>
    <n v="45"/>
    <n v="16"/>
    <n v="52"/>
    <n v="11"/>
    <n v="52"/>
    <n v="15"/>
    <n v="40"/>
    <n v="10"/>
    <n v="11"/>
    <n v="9"/>
    <n v="45"/>
    <n v="10"/>
    <n v="30"/>
    <n v="9"/>
    <n v="26"/>
    <n v="5"/>
    <n v="26"/>
    <n v="7"/>
    <n v="27"/>
    <n v="4"/>
    <n v="42"/>
    <n v="4"/>
    <n v="23"/>
    <n v="2"/>
    <n v="27"/>
    <n v="2"/>
    <m/>
    <n v="2"/>
    <n v="116"/>
    <n v="10"/>
    <n v="0.30172413793103448"/>
    <n v="153"/>
    <n v="10"/>
    <n v="0.26797385620915032"/>
    <n v="1467"/>
    <n v="1491"/>
    <m/>
    <m/>
    <m/>
    <m/>
    <m/>
    <m/>
    <m/>
    <m/>
    <m/>
    <m/>
    <m/>
    <m/>
    <m/>
    <m/>
    <m/>
    <m/>
    <m/>
    <m/>
    <m/>
    <m/>
    <n v="0"/>
    <n v="0"/>
    <m/>
    <m/>
    <n v="7045"/>
    <n v="1491"/>
  </r>
  <r>
    <x v="13"/>
    <s v="Texas State University"/>
    <m/>
    <n v="228459"/>
    <x v="1"/>
    <m/>
    <m/>
    <m/>
    <m/>
    <m/>
    <m/>
    <n v="0"/>
    <n v="0"/>
    <n v="7365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83342763381237972"/>
    <n v="0"/>
    <n v="0"/>
    <m/>
    <m/>
    <n v="13"/>
    <n v="276"/>
    <n v="13"/>
    <n v="213"/>
    <n v="44"/>
    <n v="202"/>
    <n v="51"/>
    <n v="151"/>
    <n v="51"/>
    <n v="161"/>
    <n v="44"/>
    <n v="147"/>
    <n v="42"/>
    <n v="112"/>
    <n v="52"/>
    <n v="140"/>
    <n v="52"/>
    <n v="109"/>
    <n v="23"/>
    <n v="81"/>
    <n v="30"/>
    <n v="72"/>
    <n v="42"/>
    <n v="71"/>
    <n v="23"/>
    <n v="52"/>
    <n v="45"/>
    <n v="62"/>
    <n v="45"/>
    <n v="51"/>
    <n v="30"/>
    <n v="43"/>
    <n v="11"/>
    <n v="47"/>
    <n v="50"/>
    <n v="42"/>
    <n v="26"/>
    <n v="44"/>
    <n v="11"/>
    <n v="41"/>
    <n v="237"/>
    <n v="287"/>
    <n v="1363"/>
    <n v="10"/>
    <n v="1278"/>
    <n v="10"/>
    <n v="13"/>
    <n v="38"/>
    <n v="13"/>
    <n v="24"/>
    <n v="3"/>
    <n v="11"/>
    <n v="14"/>
    <n v="11"/>
    <n v="45"/>
    <n v="10"/>
    <n v="45"/>
    <n v="8"/>
    <n v="14"/>
    <n v="6"/>
    <n v="3"/>
    <n v="6"/>
    <n v="43"/>
    <n v="3"/>
    <n v="43"/>
    <n v="6"/>
    <m/>
    <m/>
    <m/>
    <m/>
    <m/>
    <m/>
    <m/>
    <m/>
    <m/>
    <m/>
    <m/>
    <m/>
    <m/>
    <m/>
    <m/>
    <m/>
    <m/>
    <m/>
    <m/>
    <m/>
    <m/>
    <m/>
    <n v="68"/>
    <n v="5"/>
    <n v="0.55882352941176472"/>
    <n v="55"/>
    <n v="5"/>
    <n v="0.43636363636363634"/>
    <n v="1431"/>
    <n v="1333"/>
    <m/>
    <m/>
    <m/>
    <m/>
    <m/>
    <m/>
    <m/>
    <m/>
    <m/>
    <m/>
    <m/>
    <m/>
    <m/>
    <m/>
    <m/>
    <m/>
    <m/>
    <m/>
    <n v="41"/>
    <n v="36"/>
    <n v="41"/>
    <n v="36"/>
    <m/>
    <m/>
    <n v="8837"/>
    <n v="1369"/>
  </r>
  <r>
    <x v="13"/>
    <s v="Texas Woman's University"/>
    <s v="Met the requirments for 4-year 1 in 2020-21"/>
    <n v="229179"/>
    <x v="1"/>
    <m/>
    <m/>
    <m/>
    <m/>
    <m/>
    <m/>
    <n v="0"/>
    <n v="0"/>
    <n v="2034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53952254641909814"/>
    <n v="0"/>
    <n v="0"/>
    <m/>
    <m/>
    <n v="51"/>
    <n v="620"/>
    <n v="51"/>
    <n v="463"/>
    <n v="52"/>
    <n v="284"/>
    <n v="52"/>
    <n v="338"/>
    <n v="25"/>
    <n v="212"/>
    <n v="25"/>
    <n v="171"/>
    <n v="13"/>
    <n v="123"/>
    <n v="13"/>
    <n v="137"/>
    <n v="30"/>
    <n v="70"/>
    <n v="19"/>
    <n v="91"/>
    <n v="19"/>
    <n v="51"/>
    <n v="30"/>
    <n v="45"/>
    <n v="50"/>
    <n v="36"/>
    <n v="50"/>
    <n v="31"/>
    <n v="31"/>
    <n v="27"/>
    <n v="31"/>
    <n v="25"/>
    <n v="42"/>
    <n v="20"/>
    <n v="11"/>
    <n v="20"/>
    <n v="26"/>
    <n v="16"/>
    <n v="44"/>
    <n v="17"/>
    <n v="56"/>
    <n v="58"/>
    <n v="1515"/>
    <n v="10"/>
    <n v="1396"/>
    <n v="10"/>
    <n v="51"/>
    <n v="79"/>
    <n v="51"/>
    <n v="53"/>
    <n v="13"/>
    <n v="10"/>
    <n v="19"/>
    <n v="17"/>
    <n v="19"/>
    <n v="8"/>
    <n v="31"/>
    <n v="10"/>
    <n v="42"/>
    <n v="6"/>
    <n v="26"/>
    <n v="7"/>
    <n v="5"/>
    <n v="5"/>
    <n v="42"/>
    <n v="7"/>
    <n v="31"/>
    <n v="4"/>
    <n v="45"/>
    <n v="6"/>
    <n v="45"/>
    <n v="4"/>
    <n v="13"/>
    <n v="5"/>
    <n v="23"/>
    <n v="3"/>
    <n v="23"/>
    <n v="3"/>
    <n v="26"/>
    <n v="3"/>
    <n v="50"/>
    <n v="3"/>
    <n v="50"/>
    <n v="2"/>
    <n v="5"/>
    <n v="2"/>
    <n v="2"/>
    <n v="1"/>
    <n v="126"/>
    <n v="10"/>
    <n v="0.62698412698412698"/>
    <n v="114"/>
    <n v="10"/>
    <n v="0.46491228070175439"/>
    <n v="1641"/>
    <n v="1510"/>
    <m/>
    <m/>
    <m/>
    <m/>
    <m/>
    <m/>
    <m/>
    <m/>
    <m/>
    <m/>
    <m/>
    <m/>
    <m/>
    <m/>
    <m/>
    <m/>
    <m/>
    <m/>
    <n v="95"/>
    <n v="95"/>
    <n v="95"/>
    <n v="95"/>
    <m/>
    <m/>
    <n v="3770"/>
    <n v="1605"/>
  </r>
  <r>
    <x v="13"/>
    <s v="University of Texas at El Paso"/>
    <s v="Met the requirments for 4 Year 1 in 2020-21"/>
    <n v="228796"/>
    <x v="1"/>
    <m/>
    <m/>
    <m/>
    <m/>
    <m/>
    <m/>
    <n v="0"/>
    <n v="0"/>
    <n v="3708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73440285204991085"/>
    <n v="0"/>
    <n v="0"/>
    <m/>
    <m/>
    <n v="51"/>
    <n v="294"/>
    <n v="51"/>
    <n v="300"/>
    <n v="52"/>
    <n v="188"/>
    <n v="52"/>
    <n v="175"/>
    <n v="13"/>
    <n v="186"/>
    <n v="14"/>
    <n v="157"/>
    <n v="14"/>
    <n v="147"/>
    <n v="13"/>
    <n v="143"/>
    <n v="30"/>
    <n v="104"/>
    <n v="30"/>
    <n v="95"/>
    <n v="44"/>
    <n v="63"/>
    <n v="44"/>
    <n v="70"/>
    <n v="45"/>
    <n v="56"/>
    <n v="45"/>
    <n v="55"/>
    <n v="23"/>
    <n v="36"/>
    <n v="23"/>
    <n v="29"/>
    <n v="40"/>
    <n v="25"/>
    <n v="40"/>
    <n v="19"/>
    <n v="9"/>
    <n v="20"/>
    <n v="11"/>
    <n v="17"/>
    <n v="101"/>
    <n v="95"/>
    <n v="1220"/>
    <n v="10"/>
    <n v="1155"/>
    <n v="10"/>
    <n v="14"/>
    <n v="25"/>
    <n v="14"/>
    <n v="40"/>
    <n v="40"/>
    <n v="14"/>
    <n v="51"/>
    <n v="17"/>
    <n v="51"/>
    <n v="13"/>
    <n v="13"/>
    <n v="16"/>
    <n v="13"/>
    <n v="11"/>
    <n v="26"/>
    <n v="14"/>
    <n v="42"/>
    <n v="8"/>
    <n v="40"/>
    <n v="12"/>
    <n v="52"/>
    <n v="5"/>
    <n v="52"/>
    <n v="10"/>
    <n v="23"/>
    <n v="4"/>
    <n v="42"/>
    <n v="8"/>
    <n v="26"/>
    <n v="4"/>
    <n v="54"/>
    <n v="7"/>
    <n v="30"/>
    <n v="3"/>
    <n v="11"/>
    <n v="6"/>
    <n v="11"/>
    <n v="2"/>
    <n v="23"/>
    <n v="6"/>
    <n v="1"/>
    <n v="4"/>
    <n v="90"/>
    <n v="10"/>
    <n v="0.27777777777777779"/>
    <n v="140"/>
    <n v="10"/>
    <n v="0.2857142857142857"/>
    <n v="1310"/>
    <n v="1295"/>
    <m/>
    <m/>
    <m/>
    <m/>
    <m/>
    <m/>
    <m/>
    <m/>
    <m/>
    <m/>
    <m/>
    <m/>
    <m/>
    <m/>
    <m/>
    <m/>
    <m/>
    <m/>
    <n v="31"/>
    <n v="31"/>
    <n v="31"/>
    <n v="31"/>
    <m/>
    <m/>
    <n v="5049"/>
    <n v="1326"/>
  </r>
  <r>
    <x v="13"/>
    <s v="Angelo State University"/>
    <m/>
    <n v="222831"/>
    <x v="2"/>
    <m/>
    <m/>
    <m/>
    <m/>
    <m/>
    <m/>
    <n v="0"/>
    <n v="0"/>
    <n v="1075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63988095238095233"/>
    <n v="0"/>
    <n v="0"/>
    <m/>
    <m/>
    <n v="13"/>
    <n v="293"/>
    <n v="13"/>
    <n v="275"/>
    <n v="52"/>
    <n v="100"/>
    <n v="52"/>
    <n v="115"/>
    <n v="42"/>
    <n v="49"/>
    <n v="42"/>
    <n v="56"/>
    <n v="45"/>
    <n v="30"/>
    <n v="45"/>
    <n v="33"/>
    <n v="51"/>
    <n v="29"/>
    <n v="51"/>
    <n v="25"/>
    <n v="31"/>
    <n v="23"/>
    <n v="31"/>
    <n v="23"/>
    <n v="43"/>
    <n v="22"/>
    <n v="44"/>
    <n v="22"/>
    <n v="23"/>
    <n v="11"/>
    <n v="43"/>
    <n v="21"/>
    <n v="1"/>
    <n v="8"/>
    <n v="1"/>
    <n v="12"/>
    <n v="26"/>
    <n v="8"/>
    <n v="9"/>
    <n v="7"/>
    <n v="6"/>
    <n v="6"/>
    <n v="579"/>
    <n v="10"/>
    <n v="595"/>
    <n v="10"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2"/>
    <n v="0"/>
    <n v="579"/>
    <n v="595"/>
    <m/>
    <m/>
    <m/>
    <m/>
    <m/>
    <m/>
    <m/>
    <m/>
    <m/>
    <m/>
    <m/>
    <m/>
    <m/>
    <m/>
    <m/>
    <m/>
    <m/>
    <m/>
    <n v="26"/>
    <n v="25"/>
    <n v="26"/>
    <n v="25"/>
    <m/>
    <m/>
    <n v="1680"/>
    <n v="620"/>
  </r>
  <r>
    <x v="13"/>
    <s v="Lamar University"/>
    <m/>
    <n v="226091"/>
    <x v="2"/>
    <m/>
    <m/>
    <m/>
    <m/>
    <m/>
    <m/>
    <n v="0"/>
    <n v="0"/>
    <n v="166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42401021711366538"/>
    <n v="0"/>
    <n v="0"/>
    <m/>
    <m/>
    <n v="13"/>
    <n v="1311"/>
    <n v="13"/>
    <n v="1324"/>
    <n v="42"/>
    <n v="260"/>
    <n v="42"/>
    <n v="230"/>
    <n v="51"/>
    <n v="201"/>
    <n v="51"/>
    <n v="193"/>
    <n v="52"/>
    <n v="137"/>
    <n v="52"/>
    <n v="113"/>
    <n v="14"/>
    <n v="90"/>
    <n v="43"/>
    <n v="91"/>
    <n v="43"/>
    <n v="78"/>
    <n v="11"/>
    <n v="72"/>
    <n v="11"/>
    <n v="38"/>
    <n v="14"/>
    <n v="64"/>
    <n v="19"/>
    <n v="14"/>
    <n v="19"/>
    <n v="23"/>
    <n v="31"/>
    <n v="12"/>
    <n v="16"/>
    <n v="10"/>
    <n v="15"/>
    <n v="7"/>
    <n v="40"/>
    <n v="9"/>
    <n v="37"/>
    <n v="38"/>
    <n v="2185"/>
    <n v="10"/>
    <n v="2167"/>
    <n v="10"/>
    <n v="13"/>
    <n v="42"/>
    <n v="13"/>
    <n v="53"/>
    <n v="14"/>
    <n v="20"/>
    <n v="14"/>
    <n v="1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2"/>
    <n v="2"/>
    <n v="0.67741935483870963"/>
    <n v="69"/>
    <n v="2"/>
    <n v="0.76811594202898548"/>
    <n v="2247"/>
    <n v="2236"/>
    <m/>
    <m/>
    <m/>
    <m/>
    <m/>
    <m/>
    <m/>
    <m/>
    <m/>
    <m/>
    <m/>
    <m/>
    <m/>
    <m/>
    <m/>
    <m/>
    <m/>
    <m/>
    <n v="8"/>
    <n v="9"/>
    <n v="8"/>
    <n v="9"/>
    <m/>
    <m/>
    <n v="3915"/>
    <n v="2245"/>
  </r>
  <r>
    <x v="13"/>
    <s v="Midwestern State University"/>
    <m/>
    <n v="226833"/>
    <x v="2"/>
    <m/>
    <m/>
    <m/>
    <m/>
    <m/>
    <m/>
    <n v="0"/>
    <n v="0"/>
    <n v="1201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82713498622589532"/>
    <n v="0"/>
    <n v="0"/>
    <m/>
    <m/>
    <n v="51"/>
    <n v="57"/>
    <n v="13"/>
    <n v="48"/>
    <n v="13"/>
    <n v="55"/>
    <n v="51"/>
    <n v="33"/>
    <n v="52"/>
    <n v="47"/>
    <n v="52"/>
    <n v="32"/>
    <n v="31"/>
    <n v="22"/>
    <n v="31"/>
    <n v="28"/>
    <n v="42"/>
    <n v="22"/>
    <n v="26"/>
    <n v="14"/>
    <n v="11"/>
    <n v="14"/>
    <n v="42"/>
    <n v="11"/>
    <n v="43"/>
    <n v="14"/>
    <n v="11"/>
    <n v="10"/>
    <n v="26"/>
    <n v="12"/>
    <n v="40"/>
    <n v="10"/>
    <n v="23"/>
    <n v="3"/>
    <n v="43"/>
    <n v="5"/>
    <n v="45"/>
    <n v="3"/>
    <n v="23"/>
    <n v="3"/>
    <n v="2"/>
    <n v="3"/>
    <n v="251"/>
    <n v="10"/>
    <n v="197"/>
    <n v="10"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2"/>
    <n v="0"/>
    <n v="251"/>
    <n v="197"/>
    <m/>
    <m/>
    <m/>
    <m/>
    <m/>
    <m/>
    <m/>
    <m/>
    <m/>
    <m/>
    <m/>
    <m/>
    <m/>
    <m/>
    <m/>
    <m/>
    <m/>
    <m/>
    <m/>
    <m/>
    <n v="0"/>
    <n v="0"/>
    <m/>
    <m/>
    <n v="1452"/>
    <n v="197"/>
  </r>
  <r>
    <x v="13"/>
    <s v="Prairie View A&amp;M University"/>
    <m/>
    <n v="227526"/>
    <x v="2"/>
    <m/>
    <m/>
    <m/>
    <m/>
    <m/>
    <m/>
    <n v="0"/>
    <n v="0"/>
    <n v="1146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74367293964957815"/>
    <n v="0"/>
    <n v="0"/>
    <m/>
    <m/>
    <n v="52"/>
    <n v="84"/>
    <n v="52"/>
    <n v="77"/>
    <n v="13"/>
    <n v="66"/>
    <n v="13"/>
    <n v="52"/>
    <n v="51"/>
    <n v="41"/>
    <n v="14"/>
    <n v="39"/>
    <n v="11"/>
    <n v="39"/>
    <n v="11"/>
    <n v="27"/>
    <n v="14"/>
    <n v="39"/>
    <n v="51"/>
    <n v="27"/>
    <n v="42"/>
    <n v="33"/>
    <n v="4"/>
    <n v="25"/>
    <n v="4"/>
    <n v="29"/>
    <n v="42"/>
    <n v="18"/>
    <n v="19"/>
    <n v="20"/>
    <n v="45"/>
    <n v="14"/>
    <n v="45"/>
    <n v="12"/>
    <n v="19"/>
    <n v="8"/>
    <n v="40"/>
    <n v="6"/>
    <n v="43"/>
    <n v="6"/>
    <n v="5"/>
    <n v="4"/>
    <n v="374"/>
    <n v="10"/>
    <n v="297"/>
    <n v="10"/>
    <n v="13"/>
    <n v="11"/>
    <n v="13"/>
    <n v="10"/>
    <n v="43"/>
    <n v="4"/>
    <n v="14"/>
    <n v="7"/>
    <n v="51"/>
    <n v="4"/>
    <n v="51"/>
    <n v="3"/>
    <n v="14"/>
    <n v="2"/>
    <n v="43"/>
    <n v="2"/>
    <m/>
    <m/>
    <n v="42"/>
    <n v="1"/>
    <m/>
    <m/>
    <m/>
    <m/>
    <m/>
    <m/>
    <m/>
    <m/>
    <m/>
    <m/>
    <m/>
    <m/>
    <m/>
    <m/>
    <m/>
    <m/>
    <m/>
    <m/>
    <m/>
    <m/>
    <m/>
    <m/>
    <n v="21"/>
    <n v="4"/>
    <n v="0.52380952380952384"/>
    <n v="23"/>
    <n v="5"/>
    <n v="0.43478260869565216"/>
    <n v="395"/>
    <n v="320"/>
    <m/>
    <m/>
    <m/>
    <m/>
    <m/>
    <m/>
    <m/>
    <m/>
    <m/>
    <m/>
    <m/>
    <m/>
    <m/>
    <m/>
    <m/>
    <m/>
    <m/>
    <m/>
    <m/>
    <m/>
    <n v="0"/>
    <n v="0"/>
    <m/>
    <m/>
    <n v="1541"/>
    <n v="320"/>
  </r>
  <r>
    <x v="13"/>
    <s v="Sam Houston State University "/>
    <m/>
    <n v="227881"/>
    <x v="2"/>
    <m/>
    <m/>
    <m/>
    <m/>
    <m/>
    <m/>
    <n v="0"/>
    <n v="0"/>
    <n v="4189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81656920077972706"/>
    <n v="0"/>
    <n v="0"/>
    <m/>
    <m/>
    <n v="13"/>
    <n v="273"/>
    <n v="13"/>
    <n v="290"/>
    <n v="43"/>
    <n v="144"/>
    <n v="43"/>
    <n v="139"/>
    <n v="52"/>
    <n v="113"/>
    <n v="52"/>
    <n v="102"/>
    <n v="25"/>
    <n v="70"/>
    <n v="25"/>
    <n v="65"/>
    <n v="42"/>
    <n v="63"/>
    <n v="42"/>
    <n v="64"/>
    <n v="54"/>
    <n v="32"/>
    <n v="31"/>
    <n v="27"/>
    <n v="1"/>
    <n v="28"/>
    <n v="1"/>
    <n v="26"/>
    <n v="11"/>
    <n v="25"/>
    <n v="44"/>
    <n v="20"/>
    <n v="31"/>
    <n v="23"/>
    <n v="45"/>
    <n v="20"/>
    <n v="50"/>
    <n v="19"/>
    <n v="27"/>
    <n v="19"/>
    <n v="102"/>
    <n v="104"/>
    <n v="892"/>
    <n v="10"/>
    <n v="876"/>
    <n v="10"/>
    <n v="13"/>
    <n v="31"/>
    <n v="13"/>
    <n v="36"/>
    <n v="43"/>
    <n v="12"/>
    <n v="42"/>
    <n v="10"/>
    <n v="42"/>
    <n v="6"/>
    <n v="43"/>
    <n v="9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9"/>
    <n v="3"/>
    <n v="0.63265306122448983"/>
    <n v="55"/>
    <n v="3"/>
    <n v="0.65454545454545454"/>
    <n v="941"/>
    <n v="931"/>
    <m/>
    <m/>
    <m/>
    <m/>
    <m/>
    <m/>
    <m/>
    <m/>
    <m/>
    <m/>
    <m/>
    <m/>
    <m/>
    <m/>
    <m/>
    <m/>
    <m/>
    <m/>
    <m/>
    <m/>
    <n v="0"/>
    <n v="0"/>
    <m/>
    <m/>
    <n v="5130"/>
    <n v="931"/>
  </r>
  <r>
    <x v="13"/>
    <s v="Stephen F. Austin State University"/>
    <m/>
    <n v="228431"/>
    <x v="2"/>
    <m/>
    <m/>
    <m/>
    <m/>
    <m/>
    <m/>
    <n v="0"/>
    <n v="0"/>
    <n v="2177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75669099756690994"/>
    <n v="0"/>
    <n v="0"/>
    <m/>
    <m/>
    <n v="13"/>
    <n v="361"/>
    <n v="13"/>
    <n v="211"/>
    <n v="52"/>
    <n v="68"/>
    <n v="52"/>
    <n v="78"/>
    <n v="44"/>
    <n v="63"/>
    <n v="51"/>
    <n v="65"/>
    <n v="51"/>
    <n v="52"/>
    <n v="44"/>
    <n v="61"/>
    <n v="50"/>
    <n v="28"/>
    <n v="50"/>
    <n v="25"/>
    <n v="19"/>
    <n v="23"/>
    <n v="19"/>
    <n v="23"/>
    <n v="9"/>
    <n v="16"/>
    <n v="31"/>
    <n v="19"/>
    <n v="42"/>
    <n v="12"/>
    <n v="9"/>
    <n v="14"/>
    <n v="31"/>
    <n v="11"/>
    <n v="30"/>
    <n v="11"/>
    <n v="40"/>
    <n v="10"/>
    <n v="42"/>
    <n v="11"/>
    <n v="39"/>
    <n v="33"/>
    <n v="683"/>
    <n v="10"/>
    <n v="551"/>
    <n v="10"/>
    <n v="13"/>
    <n v="11"/>
    <n v="13"/>
    <n v="5"/>
    <n v="42"/>
    <n v="6"/>
    <n v="42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7"/>
    <n v="2"/>
    <n v="0.6470588235294118"/>
    <n v="6"/>
    <n v="2"/>
    <n v="0.83333333333333337"/>
    <n v="700"/>
    <n v="557"/>
    <m/>
    <m/>
    <m/>
    <m/>
    <m/>
    <m/>
    <m/>
    <m/>
    <m/>
    <m/>
    <m/>
    <m/>
    <m/>
    <m/>
    <m/>
    <m/>
    <m/>
    <m/>
    <m/>
    <m/>
    <n v="0"/>
    <n v="0"/>
    <m/>
    <m/>
    <n v="2877"/>
    <n v="557"/>
  </r>
  <r>
    <x v="13"/>
    <s v="Sul Ross State University "/>
    <m/>
    <n v="228501"/>
    <x v="2"/>
    <m/>
    <m/>
    <m/>
    <m/>
    <m/>
    <m/>
    <n v="0"/>
    <n v="0"/>
    <n v="181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48525469168900803"/>
    <n v="0"/>
    <n v="0"/>
    <m/>
    <m/>
    <n v="13"/>
    <n v="116"/>
    <n v="13"/>
    <n v="85"/>
    <n v="3"/>
    <n v="16"/>
    <n v="52"/>
    <n v="18"/>
    <n v="31"/>
    <n v="16"/>
    <n v="3"/>
    <n v="14"/>
    <n v="43"/>
    <n v="12"/>
    <n v="31"/>
    <n v="14"/>
    <n v="1"/>
    <n v="8"/>
    <n v="43"/>
    <n v="9"/>
    <n v="40"/>
    <n v="7"/>
    <n v="44"/>
    <n v="8"/>
    <n v="52"/>
    <n v="5"/>
    <n v="1"/>
    <n v="6"/>
    <n v="54"/>
    <n v="5"/>
    <n v="54"/>
    <n v="5"/>
    <n v="44"/>
    <n v="3"/>
    <n v="23"/>
    <n v="2"/>
    <n v="26"/>
    <n v="2"/>
    <n v="26"/>
    <n v="2"/>
    <n v="2"/>
    <n v="4"/>
    <n v="192"/>
    <n v="10"/>
    <n v="167"/>
    <n v="10"/>
    <m/>
    <m/>
    <n v="0"/>
    <n v="0"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2"/>
    <n v="0"/>
    <n v="192"/>
    <n v="167"/>
    <m/>
    <m/>
    <m/>
    <m/>
    <m/>
    <m/>
    <m/>
    <m/>
    <m/>
    <m/>
    <m/>
    <m/>
    <m/>
    <m/>
    <m/>
    <m/>
    <m/>
    <m/>
    <m/>
    <m/>
    <n v="0"/>
    <n v="0"/>
    <m/>
    <m/>
    <n v="373"/>
    <n v="167"/>
  </r>
  <r>
    <x v="13"/>
    <s v="Tarleton State University"/>
    <m/>
    <n v="228529"/>
    <x v="2"/>
    <m/>
    <m/>
    <m/>
    <m/>
    <n v="37"/>
    <n v="32"/>
    <n v="1.4612954186413903E-2"/>
    <n v="0"/>
    <n v="2532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78609127600124185"/>
    <n v="0"/>
    <n v="0"/>
    <m/>
    <m/>
    <n v="52"/>
    <n v="190"/>
    <n v="52"/>
    <n v="168"/>
    <n v="13"/>
    <n v="142"/>
    <n v="13"/>
    <n v="127"/>
    <n v="44"/>
    <n v="76"/>
    <n v="44"/>
    <n v="57"/>
    <n v="1"/>
    <n v="49"/>
    <n v="1"/>
    <n v="40"/>
    <n v="42"/>
    <n v="34"/>
    <n v="31"/>
    <n v="37"/>
    <n v="31"/>
    <n v="30"/>
    <n v="42"/>
    <n v="34"/>
    <n v="11"/>
    <n v="24"/>
    <n v="43"/>
    <n v="32"/>
    <n v="43"/>
    <n v="21"/>
    <n v="51"/>
    <n v="28"/>
    <n v="51"/>
    <n v="18"/>
    <n v="11"/>
    <n v="20"/>
    <n v="9"/>
    <n v="16"/>
    <n v="26"/>
    <n v="15"/>
    <n v="32"/>
    <n v="36"/>
    <n v="632"/>
    <n v="10"/>
    <n v="594"/>
    <n v="10"/>
    <n v="13"/>
    <n v="20"/>
    <n v="13"/>
    <n v="24"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0"/>
    <n v="1"/>
    <n v="1"/>
    <n v="24"/>
    <n v="2"/>
    <n v="1"/>
    <n v="652"/>
    <n v="618"/>
    <m/>
    <m/>
    <m/>
    <m/>
    <m/>
    <m/>
    <m/>
    <m/>
    <m/>
    <m/>
    <m/>
    <m/>
    <m/>
    <m/>
    <m/>
    <m/>
    <m/>
    <m/>
    <m/>
    <m/>
    <n v="0"/>
    <n v="0"/>
    <m/>
    <m/>
    <n v="3221"/>
    <n v="650"/>
  </r>
  <r>
    <x v="13"/>
    <s v="Texas A&amp;M International University"/>
    <m/>
    <n v="226152"/>
    <x v="2"/>
    <m/>
    <m/>
    <m/>
    <m/>
    <m/>
    <m/>
    <n v="0"/>
    <n v="0"/>
    <n v="1207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78888888888888886"/>
    <n v="0"/>
    <n v="0"/>
    <m/>
    <m/>
    <n v="52"/>
    <n v="97"/>
    <n v="13"/>
    <n v="159"/>
    <n v="13"/>
    <n v="96"/>
    <n v="52"/>
    <n v="130"/>
    <n v="42"/>
    <n v="22"/>
    <n v="43"/>
    <n v="24"/>
    <n v="11"/>
    <n v="16"/>
    <n v="42"/>
    <n v="20"/>
    <n v="51"/>
    <n v="15"/>
    <n v="51"/>
    <n v="18"/>
    <n v="30"/>
    <n v="14"/>
    <n v="11"/>
    <n v="9"/>
    <n v="43"/>
    <n v="12"/>
    <n v="44"/>
    <n v="9"/>
    <n v="23"/>
    <n v="11"/>
    <n v="23"/>
    <n v="8"/>
    <n v="27"/>
    <n v="9"/>
    <n v="26"/>
    <n v="8"/>
    <n v="44"/>
    <n v="9"/>
    <n v="27"/>
    <n v="8"/>
    <n v="13"/>
    <n v="14"/>
    <n v="314"/>
    <n v="10"/>
    <n v="407"/>
    <n v="10"/>
    <n v="52"/>
    <n v="9"/>
    <n v="52"/>
    <n v="2"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"/>
    <n v="1"/>
    <n v="1"/>
    <n v="2"/>
    <n v="2"/>
    <n v="1"/>
    <n v="323"/>
    <n v="409"/>
    <m/>
    <m/>
    <m/>
    <m/>
    <m/>
    <m/>
    <m/>
    <m/>
    <m/>
    <m/>
    <m/>
    <m/>
    <m/>
    <m/>
    <m/>
    <m/>
    <m/>
    <m/>
    <m/>
    <m/>
    <n v="0"/>
    <n v="0"/>
    <m/>
    <m/>
    <n v="1530"/>
    <n v="409"/>
  </r>
  <r>
    <x v="13"/>
    <s v="Texas A&amp;M University-Commerce"/>
    <m/>
    <n v="224554"/>
    <x v="2"/>
    <m/>
    <m/>
    <m/>
    <m/>
    <m/>
    <m/>
    <n v="0"/>
    <n v="0"/>
    <n v="1773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52878019683865196"/>
    <n v="0"/>
    <n v="0"/>
    <m/>
    <m/>
    <n v="52"/>
    <n v="615"/>
    <n v="52"/>
    <n v="543"/>
    <n v="13"/>
    <n v="344"/>
    <n v="13"/>
    <n v="279"/>
    <n v="11"/>
    <n v="111"/>
    <n v="11"/>
    <n v="64"/>
    <n v="44"/>
    <n v="78"/>
    <n v="44"/>
    <n v="62"/>
    <n v="25"/>
    <n v="50"/>
    <n v="25"/>
    <n v="58"/>
    <n v="45"/>
    <n v="43"/>
    <n v="31"/>
    <n v="32"/>
    <n v="31"/>
    <n v="42"/>
    <n v="50"/>
    <n v="31"/>
    <n v="26"/>
    <n v="33"/>
    <n v="40"/>
    <n v="30"/>
    <n v="15"/>
    <n v="29"/>
    <n v="16"/>
    <n v="27"/>
    <n v="50"/>
    <n v="29"/>
    <n v="45"/>
    <n v="27"/>
    <n v="136"/>
    <n v="108"/>
    <n v="1510"/>
    <n v="10"/>
    <n v="1261"/>
    <n v="10"/>
    <n v="13"/>
    <n v="63"/>
    <n v="13"/>
    <n v="56"/>
    <n v="23"/>
    <n v="6"/>
    <n v="23"/>
    <n v="4"/>
    <n v="42"/>
    <n v="1"/>
    <n v="4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"/>
    <n v="3"/>
    <n v="0.9"/>
    <n v="62"/>
    <n v="3"/>
    <n v="0.90322580645161288"/>
    <n v="1580"/>
    <n v="1323"/>
    <m/>
    <m/>
    <m/>
    <m/>
    <m/>
    <m/>
    <m/>
    <m/>
    <m/>
    <m/>
    <m/>
    <m/>
    <m/>
    <m/>
    <m/>
    <m/>
    <m/>
    <m/>
    <m/>
    <m/>
    <n v="0"/>
    <n v="0"/>
    <m/>
    <m/>
    <n v="3353"/>
    <n v="1323"/>
  </r>
  <r>
    <x v="13"/>
    <s v="Texas A&amp;M University-Corpus Christi "/>
    <s v="Met the criteria for Four-Year 2 in 2019-20."/>
    <n v="224147"/>
    <x v="2"/>
    <m/>
    <m/>
    <m/>
    <m/>
    <m/>
    <m/>
    <n v="0"/>
    <n v="0"/>
    <n v="1779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71618357487922701"/>
    <n v="0"/>
    <n v="0"/>
    <m/>
    <m/>
    <n v="52"/>
    <n v="339"/>
    <n v="52"/>
    <n v="409"/>
    <n v="13"/>
    <n v="109"/>
    <n v="13"/>
    <n v="100"/>
    <n v="51"/>
    <n v="94"/>
    <n v="51"/>
    <n v="92"/>
    <n v="11"/>
    <n v="23"/>
    <n v="31"/>
    <n v="28"/>
    <n v="44"/>
    <n v="19"/>
    <n v="44"/>
    <n v="28"/>
    <n v="9"/>
    <n v="14"/>
    <n v="11"/>
    <n v="26"/>
    <n v="14"/>
    <n v="9"/>
    <n v="3"/>
    <n v="9"/>
    <n v="3"/>
    <n v="7"/>
    <n v="26"/>
    <n v="9"/>
    <n v="23"/>
    <n v="7"/>
    <n v="9"/>
    <n v="8"/>
    <n v="31"/>
    <n v="7"/>
    <n v="42"/>
    <n v="8"/>
    <n v="31"/>
    <n v="27"/>
    <n v="659"/>
    <n v="10"/>
    <n v="744"/>
    <n v="10"/>
    <n v="13"/>
    <n v="28"/>
    <n v="13"/>
    <n v="13"/>
    <n v="51"/>
    <n v="9"/>
    <n v="51"/>
    <n v="11"/>
    <n v="3"/>
    <n v="5"/>
    <n v="30"/>
    <n v="6"/>
    <n v="26"/>
    <n v="3"/>
    <n v="26"/>
    <n v="3"/>
    <n v="11"/>
    <n v="1"/>
    <m/>
    <m/>
    <m/>
    <m/>
    <m/>
    <m/>
    <m/>
    <m/>
    <m/>
    <m/>
    <m/>
    <m/>
    <m/>
    <m/>
    <m/>
    <m/>
    <m/>
    <m/>
    <m/>
    <m/>
    <m/>
    <m/>
    <m/>
    <m/>
    <n v="46"/>
    <n v="5"/>
    <n v="0.60869565217391308"/>
    <n v="33"/>
    <n v="4"/>
    <n v="0.39393939393939392"/>
    <n v="705"/>
    <n v="777"/>
    <m/>
    <m/>
    <m/>
    <m/>
    <m/>
    <m/>
    <m/>
    <m/>
    <m/>
    <m/>
    <m/>
    <m/>
    <m/>
    <m/>
    <m/>
    <m/>
    <m/>
    <m/>
    <m/>
    <m/>
    <n v="0"/>
    <n v="0"/>
    <m/>
    <m/>
    <n v="2484"/>
    <n v="777"/>
  </r>
  <r>
    <x v="13"/>
    <s v="Texas A&amp;M University-Kingsville"/>
    <m/>
    <n v="228705"/>
    <x v="2"/>
    <m/>
    <m/>
    <m/>
    <m/>
    <m/>
    <m/>
    <n v="0"/>
    <n v="0"/>
    <n v="1101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60896017699115046"/>
    <n v="0"/>
    <n v="0"/>
    <m/>
    <m/>
    <n v="14"/>
    <n v="245"/>
    <n v="11"/>
    <n v="136"/>
    <n v="11"/>
    <n v="120"/>
    <n v="14"/>
    <n v="98"/>
    <n v="13"/>
    <n v="87"/>
    <n v="52"/>
    <n v="85"/>
    <n v="52"/>
    <n v="59"/>
    <n v="13"/>
    <n v="66"/>
    <n v="1"/>
    <n v="42"/>
    <n v="51"/>
    <n v="32"/>
    <n v="51"/>
    <n v="31"/>
    <n v="45"/>
    <n v="23"/>
    <n v="15"/>
    <n v="21"/>
    <n v="1"/>
    <n v="21"/>
    <n v="45"/>
    <n v="17"/>
    <n v="15"/>
    <n v="19"/>
    <n v="44"/>
    <n v="12"/>
    <n v="44"/>
    <n v="18"/>
    <n v="40"/>
    <n v="11"/>
    <n v="3"/>
    <n v="14"/>
    <n v="40"/>
    <n v="53"/>
    <n v="685"/>
    <n v="10"/>
    <n v="565"/>
    <n v="10"/>
    <n v="13"/>
    <n v="14"/>
    <n v="14"/>
    <n v="15"/>
    <n v="14"/>
    <n v="5"/>
    <n v="13"/>
    <n v="12"/>
    <n v="3"/>
    <n v="3"/>
    <n v="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2"/>
    <n v="3"/>
    <n v="0.63636363636363635"/>
    <n v="30"/>
    <n v="3"/>
    <n v="0.5"/>
    <n v="707"/>
    <n v="595"/>
    <m/>
    <m/>
    <m/>
    <m/>
    <m/>
    <m/>
    <m/>
    <m/>
    <m/>
    <m/>
    <m/>
    <m/>
    <m/>
    <m/>
    <m/>
    <m/>
    <m/>
    <m/>
    <m/>
    <m/>
    <n v="0"/>
    <n v="0"/>
    <m/>
    <m/>
    <n v="1808"/>
    <n v="595"/>
  </r>
  <r>
    <x v="13"/>
    <s v="Texas Southern University "/>
    <m/>
    <n v="229063"/>
    <x v="2"/>
    <m/>
    <m/>
    <m/>
    <m/>
    <m/>
    <m/>
    <n v="0"/>
    <n v="0"/>
    <n v="1091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63763880771478665"/>
    <n v="0"/>
    <n v="0"/>
    <m/>
    <m/>
    <n v="52"/>
    <n v="87"/>
    <n v="44"/>
    <n v="57"/>
    <n v="44"/>
    <n v="75"/>
    <n v="52"/>
    <n v="54"/>
    <n v="9"/>
    <n v="28"/>
    <n v="9"/>
    <n v="21"/>
    <n v="13"/>
    <n v="25"/>
    <n v="13"/>
    <n v="16"/>
    <n v="31"/>
    <n v="20"/>
    <n v="31"/>
    <n v="14"/>
    <n v="51"/>
    <n v="13"/>
    <n v="43"/>
    <n v="12"/>
    <n v="22"/>
    <n v="10"/>
    <n v="11"/>
    <n v="10"/>
    <n v="26"/>
    <n v="10"/>
    <n v="51"/>
    <n v="10"/>
    <n v="11"/>
    <n v="9"/>
    <n v="42"/>
    <n v="7"/>
    <n v="42"/>
    <n v="8"/>
    <n v="22"/>
    <n v="6"/>
    <n v="32"/>
    <n v="22"/>
    <n v="317"/>
    <n v="10"/>
    <n v="229"/>
    <n v="10"/>
    <n v="13"/>
    <n v="9"/>
    <n v="13"/>
    <n v="7"/>
    <n v="4"/>
    <n v="6"/>
    <n v="26"/>
    <n v="6"/>
    <n v="26"/>
    <n v="5"/>
    <n v="4"/>
    <n v="3"/>
    <n v="43"/>
    <n v="2"/>
    <n v="43"/>
    <n v="3"/>
    <n v="51"/>
    <n v="1"/>
    <n v="51"/>
    <n v="3"/>
    <m/>
    <m/>
    <m/>
    <m/>
    <m/>
    <m/>
    <m/>
    <m/>
    <m/>
    <m/>
    <m/>
    <m/>
    <m/>
    <m/>
    <m/>
    <m/>
    <m/>
    <m/>
    <m/>
    <m/>
    <m/>
    <m/>
    <n v="23"/>
    <n v="5"/>
    <n v="0.39130434782608697"/>
    <n v="22"/>
    <n v="5"/>
    <n v="0.31818181818181818"/>
    <n v="340"/>
    <n v="251"/>
    <n v="173"/>
    <n v="208"/>
    <m/>
    <m/>
    <m/>
    <m/>
    <n v="107"/>
    <n v="83"/>
    <m/>
    <m/>
    <m/>
    <m/>
    <m/>
    <m/>
    <m/>
    <m/>
    <m/>
    <m/>
    <m/>
    <m/>
    <n v="280"/>
    <n v="291"/>
    <m/>
    <m/>
    <n v="1711"/>
    <n v="542"/>
  </r>
  <r>
    <x v="13"/>
    <s v="University of Houston-Clear Lake "/>
    <m/>
    <n v="225414"/>
    <x v="2"/>
    <m/>
    <m/>
    <m/>
    <m/>
    <m/>
    <m/>
    <n v="0"/>
    <n v="0"/>
    <n v="1463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61444771104577911"/>
    <n v="0"/>
    <n v="0"/>
    <m/>
    <m/>
    <n v="52"/>
    <n v="216"/>
    <n v="52"/>
    <n v="219"/>
    <n v="11"/>
    <n v="131"/>
    <n v="51"/>
    <n v="143"/>
    <n v="51"/>
    <n v="109"/>
    <n v="11"/>
    <n v="120"/>
    <n v="13"/>
    <n v="104"/>
    <n v="42"/>
    <n v="75"/>
    <n v="14"/>
    <n v="84"/>
    <n v="13"/>
    <n v="58"/>
    <n v="42"/>
    <n v="63"/>
    <n v="26"/>
    <n v="46"/>
    <n v="26"/>
    <n v="36"/>
    <n v="14"/>
    <n v="42"/>
    <n v="25"/>
    <n v="32"/>
    <n v="15"/>
    <n v="27"/>
    <n v="45"/>
    <n v="25"/>
    <n v="25"/>
    <n v="23"/>
    <n v="15"/>
    <n v="23"/>
    <n v="40"/>
    <n v="18"/>
    <n v="76"/>
    <n v="86"/>
    <n v="899"/>
    <n v="10"/>
    <n v="857"/>
    <n v="10"/>
    <n v="13"/>
    <n v="19"/>
    <n v="13"/>
    <n v="22"/>
    <m/>
    <m/>
    <n v="4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1"/>
    <n v="1"/>
    <n v="24"/>
    <n v="2"/>
    <n v="0.91666666666666663"/>
    <n v="918"/>
    <n v="881"/>
    <m/>
    <m/>
    <m/>
    <m/>
    <m/>
    <m/>
    <m/>
    <m/>
    <m/>
    <m/>
    <m/>
    <m/>
    <m/>
    <m/>
    <m/>
    <m/>
    <m/>
    <m/>
    <m/>
    <m/>
    <n v="0"/>
    <n v="0"/>
    <m/>
    <m/>
    <n v="2381"/>
    <n v="881"/>
  </r>
  <r>
    <x v="13"/>
    <s v="University of Texas at Tyler"/>
    <m/>
    <n v="228802"/>
    <x v="2"/>
    <m/>
    <m/>
    <m/>
    <m/>
    <m/>
    <m/>
    <n v="0"/>
    <n v="0"/>
    <n v="1806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61096075778078485"/>
    <n v="0"/>
    <n v="0"/>
    <m/>
    <m/>
    <n v="52"/>
    <n v="514"/>
    <n v="52"/>
    <n v="383"/>
    <n v="13"/>
    <n v="214"/>
    <n v="13"/>
    <n v="243"/>
    <n v="42"/>
    <n v="94"/>
    <n v="51"/>
    <n v="99"/>
    <n v="51"/>
    <n v="93"/>
    <n v="42"/>
    <n v="77"/>
    <n v="15"/>
    <n v="26"/>
    <n v="15"/>
    <n v="23"/>
    <n v="14"/>
    <n v="25"/>
    <n v="23"/>
    <n v="19"/>
    <n v="23"/>
    <n v="18"/>
    <n v="14"/>
    <n v="15"/>
    <n v="11"/>
    <n v="14"/>
    <n v="31"/>
    <n v="12"/>
    <n v="44"/>
    <n v="14"/>
    <n v="44"/>
    <n v="11"/>
    <n v="31"/>
    <n v="13"/>
    <n v="50"/>
    <n v="11"/>
    <n v="30"/>
    <n v="24"/>
    <n v="1055"/>
    <n v="10"/>
    <n v="917"/>
    <n v="10"/>
    <n v="51"/>
    <n v="21"/>
    <n v="51"/>
    <n v="24"/>
    <n v="52"/>
    <n v="10"/>
    <n v="52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1"/>
    <n v="2"/>
    <n v="0.67741935483870963"/>
    <n v="29"/>
    <n v="2"/>
    <n v="0.82758620689655171"/>
    <n v="1086"/>
    <n v="946"/>
    <m/>
    <m/>
    <m/>
    <m/>
    <m/>
    <m/>
    <n v="64"/>
    <n v="94"/>
    <m/>
    <m/>
    <m/>
    <m/>
    <m/>
    <m/>
    <m/>
    <m/>
    <m/>
    <m/>
    <m/>
    <m/>
    <n v="64"/>
    <n v="94"/>
    <m/>
    <m/>
    <n v="2956"/>
    <n v="1040"/>
  </r>
  <r>
    <x v="13"/>
    <s v="University of Texas Permian Basin"/>
    <m/>
    <n v="229018"/>
    <x v="2"/>
    <m/>
    <m/>
    <m/>
    <m/>
    <m/>
    <m/>
    <n v="0"/>
    <n v="0"/>
    <n v="922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67054545454545456"/>
    <n v="0"/>
    <n v="0"/>
    <m/>
    <m/>
    <n v="13"/>
    <n v="219"/>
    <n v="13"/>
    <n v="216"/>
    <n v="52"/>
    <n v="175"/>
    <n v="52"/>
    <n v="210"/>
    <n v="44"/>
    <n v="23"/>
    <n v="44"/>
    <n v="23"/>
    <n v="40"/>
    <n v="18"/>
    <n v="40"/>
    <n v="15"/>
    <n v="23"/>
    <n v="6"/>
    <n v="23"/>
    <n v="8"/>
    <n v="11"/>
    <n v="3"/>
    <n v="31"/>
    <n v="7"/>
    <n v="31"/>
    <n v="3"/>
    <n v="26"/>
    <n v="3"/>
    <n v="27"/>
    <n v="2"/>
    <n v="27"/>
    <n v="3"/>
    <n v="42"/>
    <n v="2"/>
    <n v="42"/>
    <n v="3"/>
    <n v="26"/>
    <n v="1"/>
    <n v="54"/>
    <n v="3"/>
    <n v="1"/>
    <n v="3"/>
    <n v="453"/>
    <n v="10"/>
    <n v="494"/>
    <n v="10"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1"/>
    <n v="0"/>
    <n v="453"/>
    <n v="494"/>
    <m/>
    <m/>
    <m/>
    <m/>
    <m/>
    <m/>
    <m/>
    <m/>
    <m/>
    <m/>
    <m/>
    <m/>
    <m/>
    <m/>
    <m/>
    <m/>
    <m/>
    <m/>
    <m/>
    <m/>
    <n v="0"/>
    <n v="0"/>
    <m/>
    <m/>
    <n v="1375"/>
    <n v="494"/>
  </r>
  <r>
    <x v="13"/>
    <s v="University of Texas-Rio Grande Valley"/>
    <m/>
    <n v="227368"/>
    <x v="2"/>
    <m/>
    <m/>
    <m/>
    <m/>
    <m/>
    <m/>
    <n v="0"/>
    <n v="0"/>
    <n v="455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78610919143054592"/>
    <n v="0"/>
    <n v="0"/>
    <m/>
    <m/>
    <n v="13"/>
    <n v="329"/>
    <n v="51"/>
    <n v="373"/>
    <n v="51"/>
    <n v="317"/>
    <n v="13"/>
    <n v="363"/>
    <n v="52"/>
    <n v="150"/>
    <n v="44"/>
    <n v="187"/>
    <n v="44"/>
    <n v="125"/>
    <n v="52"/>
    <n v="184"/>
    <n v="14"/>
    <n v="39"/>
    <n v="14"/>
    <n v="32"/>
    <n v="30"/>
    <n v="29"/>
    <n v="30"/>
    <n v="32"/>
    <n v="16"/>
    <n v="26"/>
    <n v="26"/>
    <n v="31"/>
    <n v="26"/>
    <n v="23"/>
    <n v="16"/>
    <n v="27"/>
    <n v="11"/>
    <n v="22"/>
    <n v="40"/>
    <n v="25"/>
    <n v="42"/>
    <n v="22"/>
    <n v="43"/>
    <n v="25"/>
    <n v="124"/>
    <n v="163"/>
    <n v="1206"/>
    <n v="10"/>
    <n v="1442"/>
    <n v="10"/>
    <n v="13"/>
    <n v="15"/>
    <n v="13"/>
    <n v="16"/>
    <n v="52"/>
    <n v="10"/>
    <n v="10"/>
    <n v="51"/>
    <n v="51"/>
    <n v="7"/>
    <n v="51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2"/>
    <n v="3"/>
    <n v="0.46875"/>
    <n v="70"/>
    <n v="3"/>
    <n v="0.22857142857142856"/>
    <n v="1238"/>
    <n v="1512"/>
    <m/>
    <m/>
    <m/>
    <m/>
    <m/>
    <m/>
    <m/>
    <m/>
    <m/>
    <m/>
    <m/>
    <m/>
    <m/>
    <m/>
    <m/>
    <m/>
    <m/>
    <m/>
    <m/>
    <m/>
    <n v="0"/>
    <n v="0"/>
    <m/>
    <m/>
    <n v="5788"/>
    <n v="1512"/>
  </r>
  <r>
    <x v="13"/>
    <s v="West Texas A&amp;M University"/>
    <m/>
    <n v="229814"/>
    <x v="2"/>
    <m/>
    <m/>
    <m/>
    <m/>
    <m/>
    <m/>
    <n v="0"/>
    <n v="0"/>
    <n v="1745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67089580930411385"/>
    <n v="0"/>
    <n v="0"/>
    <m/>
    <m/>
    <n v="52"/>
    <n v="446"/>
    <n v="52"/>
    <n v="422"/>
    <n v="13"/>
    <n v="153"/>
    <n v="13"/>
    <n v="148"/>
    <n v="51"/>
    <n v="126"/>
    <n v="51"/>
    <n v="127"/>
    <n v="1"/>
    <n v="18"/>
    <n v="42"/>
    <n v="29"/>
    <n v="42"/>
    <n v="17"/>
    <n v="1"/>
    <n v="19"/>
    <n v="9"/>
    <n v="15"/>
    <n v="44"/>
    <n v="17"/>
    <n v="44"/>
    <n v="15"/>
    <n v="11"/>
    <n v="11"/>
    <n v="50"/>
    <n v="12"/>
    <n v="50"/>
    <n v="11"/>
    <n v="31"/>
    <n v="7"/>
    <n v="9"/>
    <n v="10"/>
    <n v="43"/>
    <n v="7"/>
    <n v="3"/>
    <n v="8"/>
    <n v="35"/>
    <n v="23"/>
    <n v="851"/>
    <n v="10"/>
    <n v="825"/>
    <n v="10"/>
    <n v="1"/>
    <n v="5"/>
    <n v="1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"/>
    <n v="1"/>
    <n v="1"/>
    <n v="1"/>
    <n v="1"/>
    <n v="1"/>
    <n v="856"/>
    <n v="826"/>
    <m/>
    <m/>
    <m/>
    <m/>
    <m/>
    <m/>
    <m/>
    <m/>
    <m/>
    <m/>
    <m/>
    <m/>
    <m/>
    <m/>
    <m/>
    <m/>
    <m/>
    <m/>
    <m/>
    <m/>
    <n v="0"/>
    <n v="0"/>
    <m/>
    <m/>
    <n v="2601"/>
    <n v="826"/>
  </r>
  <r>
    <x v="13"/>
    <s v="Texas A&amp;M -Texarkana"/>
    <m/>
    <n v="224545"/>
    <x v="3"/>
    <m/>
    <m/>
    <m/>
    <m/>
    <m/>
    <m/>
    <n v="0"/>
    <n v="0"/>
    <n v="384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72589792060491498"/>
    <n v="0"/>
    <n v="0"/>
    <m/>
    <m/>
    <n v="52"/>
    <n v="84"/>
    <n v="52"/>
    <n v="47"/>
    <n v="13"/>
    <n v="41"/>
    <n v="13"/>
    <n v="33"/>
    <n v="23"/>
    <n v="4"/>
    <n v="42"/>
    <n v="8"/>
    <n v="30"/>
    <n v="4"/>
    <n v="54"/>
    <n v="5"/>
    <n v="42"/>
    <n v="4"/>
    <n v="30"/>
    <n v="4"/>
    <n v="9"/>
    <n v="3"/>
    <n v="23"/>
    <n v="1"/>
    <n v="51"/>
    <n v="3"/>
    <n v="51"/>
    <n v="1"/>
    <n v="54"/>
    <n v="1"/>
    <m/>
    <m/>
    <m/>
    <m/>
    <m/>
    <m/>
    <m/>
    <m/>
    <m/>
    <m/>
    <m/>
    <m/>
    <n v="144"/>
    <n v="8"/>
    <n v="99"/>
    <n v="7"/>
    <n v="13"/>
    <n v="1"/>
    <n v="1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"/>
    <n v="1"/>
    <n v="1"/>
    <n v="7"/>
    <n v="1"/>
    <n v="1"/>
    <n v="145"/>
    <n v="106"/>
    <m/>
    <m/>
    <m/>
    <m/>
    <m/>
    <m/>
    <m/>
    <m/>
    <m/>
    <m/>
    <m/>
    <m/>
    <m/>
    <m/>
    <m/>
    <m/>
    <m/>
    <m/>
    <m/>
    <m/>
    <n v="0"/>
    <n v="0"/>
    <m/>
    <m/>
    <n v="529"/>
    <n v="106"/>
  </r>
  <r>
    <x v="13"/>
    <s v="Texas A&amp;M University-Central Texas"/>
    <s v="Reclassified: Met the criteria for Four-Year 3 in 2018-19 ,2019-20, and 2020-21"/>
    <n v="483036"/>
    <x v="2"/>
    <m/>
    <m/>
    <m/>
    <m/>
    <m/>
    <m/>
    <n v="0"/>
    <n v="0"/>
    <n v="604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76359039190897593"/>
    <n v="0"/>
    <n v="0"/>
    <m/>
    <m/>
    <n v="52"/>
    <n v="85"/>
    <n v="52"/>
    <n v="67"/>
    <n v="13"/>
    <n v="37"/>
    <n v="13"/>
    <n v="32"/>
    <n v="51"/>
    <n v="30"/>
    <n v="51"/>
    <n v="27"/>
    <n v="11"/>
    <n v="10"/>
    <n v="11"/>
    <n v="14"/>
    <n v="42"/>
    <n v="10"/>
    <n v="42"/>
    <n v="7"/>
    <n v="43"/>
    <n v="5"/>
    <n v="43"/>
    <n v="5"/>
    <n v="54"/>
    <n v="4"/>
    <n v="27"/>
    <n v="4"/>
    <n v="27"/>
    <n v="3"/>
    <n v="54"/>
    <n v="4"/>
    <n v="45"/>
    <n v="2"/>
    <n v="23"/>
    <n v="2"/>
    <n v="24"/>
    <n v="1"/>
    <n v="24"/>
    <n v="2"/>
    <m/>
    <m/>
    <n v="187"/>
    <n v="10"/>
    <n v="164"/>
    <n v="1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7"/>
    <n v="164"/>
    <m/>
    <m/>
    <m/>
    <m/>
    <m/>
    <m/>
    <m/>
    <m/>
    <m/>
    <m/>
    <m/>
    <m/>
    <m/>
    <m/>
    <m/>
    <m/>
    <m/>
    <m/>
    <m/>
    <m/>
    <n v="0"/>
    <n v="0"/>
    <m/>
    <m/>
    <n v="791"/>
    <n v="164"/>
  </r>
  <r>
    <x v="13"/>
    <s v="University of Houston-Downtown"/>
    <m/>
    <n v="225432"/>
    <x v="3"/>
    <m/>
    <m/>
    <m/>
    <m/>
    <m/>
    <m/>
    <n v="0"/>
    <n v="0"/>
    <n v="3067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8465360198730334"/>
    <n v="0"/>
    <n v="0"/>
    <m/>
    <m/>
    <n v="52"/>
    <n v="429"/>
    <n v="52"/>
    <n v="429"/>
    <n v="27"/>
    <n v="51"/>
    <n v="27"/>
    <n v="57"/>
    <n v="43"/>
    <n v="30"/>
    <n v="43"/>
    <n v="45"/>
    <n v="13"/>
    <n v="28"/>
    <n v="13"/>
    <n v="14"/>
    <n v="23"/>
    <n v="18"/>
    <n v="23"/>
    <n v="14"/>
    <m/>
    <m/>
    <m/>
    <m/>
    <m/>
    <m/>
    <m/>
    <m/>
    <m/>
    <m/>
    <m/>
    <m/>
    <m/>
    <m/>
    <m/>
    <m/>
    <m/>
    <m/>
    <m/>
    <m/>
    <m/>
    <m/>
    <n v="556"/>
    <n v="5"/>
    <n v="559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56"/>
    <n v="559"/>
    <m/>
    <m/>
    <m/>
    <m/>
    <m/>
    <m/>
    <m/>
    <m/>
    <m/>
    <m/>
    <m/>
    <m/>
    <m/>
    <m/>
    <m/>
    <m/>
    <m/>
    <m/>
    <m/>
    <m/>
    <n v="0"/>
    <n v="0"/>
    <m/>
    <m/>
    <n v="3623"/>
    <n v="559"/>
  </r>
  <r>
    <x v="13"/>
    <s v="University of Houston-Victoria"/>
    <m/>
    <n v="225502"/>
    <x v="3"/>
    <m/>
    <m/>
    <m/>
    <m/>
    <m/>
    <m/>
    <n v="0"/>
    <n v="0"/>
    <n v="666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67408906882591091"/>
    <n v="0"/>
    <n v="0"/>
    <m/>
    <m/>
    <n v="52"/>
    <n v="153"/>
    <n v="52"/>
    <n v="204"/>
    <n v="13"/>
    <n v="111"/>
    <n v="13"/>
    <n v="104"/>
    <n v="11"/>
    <n v="19"/>
    <n v="42"/>
    <n v="24"/>
    <n v="42"/>
    <n v="17"/>
    <n v="11"/>
    <n v="19"/>
    <n v="26"/>
    <n v="7"/>
    <n v="18"/>
    <m/>
    <n v="9"/>
    <n v="6"/>
    <n v="30"/>
    <n v="7"/>
    <n v="23"/>
    <n v="5"/>
    <n v="23"/>
    <n v="3"/>
    <n v="30"/>
    <n v="4"/>
    <n v="9"/>
    <n v="2"/>
    <m/>
    <m/>
    <m/>
    <m/>
    <m/>
    <m/>
    <m/>
    <m/>
    <m/>
    <m/>
    <n v="322"/>
    <n v="8"/>
    <n v="363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22"/>
    <n v="363"/>
    <m/>
    <m/>
    <m/>
    <m/>
    <m/>
    <m/>
    <m/>
    <m/>
    <m/>
    <m/>
    <m/>
    <m/>
    <m/>
    <m/>
    <m/>
    <m/>
    <m/>
    <m/>
    <m/>
    <m/>
    <n v="0"/>
    <n v="0"/>
    <m/>
    <m/>
    <n v="988"/>
    <n v="363"/>
  </r>
  <r>
    <x v="13"/>
    <s v="Sul Ross State University-Rio Grande College"/>
    <m/>
    <s v="228501B"/>
    <x v="4"/>
    <m/>
    <m/>
    <m/>
    <m/>
    <m/>
    <m/>
    <n v="0"/>
    <n v="0"/>
    <n v="179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8564593301435407"/>
    <n v="0"/>
    <n v="0"/>
    <m/>
    <m/>
    <n v="13"/>
    <n v="22"/>
    <n v="13"/>
    <n v="20"/>
    <n v="52"/>
    <n v="8"/>
    <n v="52"/>
    <n v="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0"/>
    <n v="2"/>
    <n v="28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0"/>
    <n v="28"/>
    <m/>
    <m/>
    <m/>
    <m/>
    <m/>
    <m/>
    <m/>
    <m/>
    <m/>
    <m/>
    <m/>
    <m/>
    <m/>
    <m/>
    <m/>
    <m/>
    <m/>
    <m/>
    <m/>
    <m/>
    <n v="0"/>
    <n v="0"/>
    <m/>
    <m/>
    <n v="209"/>
    <n v="28"/>
  </r>
  <r>
    <x v="13"/>
    <s v="Texas A&amp;M University at Galveston"/>
    <m/>
    <n v="228714"/>
    <x v="4"/>
    <m/>
    <m/>
    <m/>
    <m/>
    <m/>
    <m/>
    <n v="0"/>
    <n v="0"/>
    <n v="413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90174672489082974"/>
    <n v="0"/>
    <n v="0"/>
    <m/>
    <m/>
    <n v="52"/>
    <n v="27"/>
    <n v="52"/>
    <n v="27"/>
    <n v="3"/>
    <n v="12"/>
    <n v="26"/>
    <n v="13"/>
    <n v="26"/>
    <n v="6"/>
    <n v="3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3"/>
    <n v="47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45"/>
    <n v="47"/>
    <m/>
    <m/>
    <m/>
    <m/>
    <m/>
    <m/>
    <m/>
    <m/>
    <m/>
    <m/>
    <m/>
    <m/>
    <m/>
    <m/>
    <m/>
    <m/>
    <m/>
    <m/>
    <m/>
    <m/>
    <n v="0"/>
    <n v="0"/>
    <m/>
    <m/>
    <n v="458"/>
    <n v="47"/>
  </r>
  <r>
    <x v="13"/>
    <s v="Texas A&amp;M University-San Antonio"/>
    <s v="Reclassified: Met the criteria for Four-Year 4 in 2018-19 and 2019-20, and 2021"/>
    <n v="870501"/>
    <x v="3"/>
    <m/>
    <m/>
    <m/>
    <m/>
    <m/>
    <m/>
    <n v="0"/>
    <n v="0"/>
    <n v="1294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79192166462668301"/>
    <n v="0"/>
    <n v="0"/>
    <m/>
    <m/>
    <n v="52"/>
    <n v="181"/>
    <n v="52"/>
    <n v="136"/>
    <n v="13"/>
    <n v="141"/>
    <n v="13"/>
    <n v="121"/>
    <n v="51"/>
    <n v="7"/>
    <n v="42"/>
    <n v="6"/>
    <n v="31"/>
    <n v="6"/>
    <n v="31"/>
    <n v="3"/>
    <n v="23"/>
    <n v="5"/>
    <n v="23"/>
    <n v="2"/>
    <m/>
    <m/>
    <n v="51"/>
    <n v="2"/>
    <m/>
    <m/>
    <m/>
    <m/>
    <m/>
    <m/>
    <m/>
    <m/>
    <m/>
    <m/>
    <m/>
    <m/>
    <m/>
    <m/>
    <m/>
    <m/>
    <m/>
    <m/>
    <n v="340"/>
    <n v="5"/>
    <n v="270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40"/>
    <n v="270"/>
    <m/>
    <m/>
    <m/>
    <m/>
    <m/>
    <m/>
    <m/>
    <m/>
    <m/>
    <m/>
    <m/>
    <m/>
    <m/>
    <m/>
    <m/>
    <m/>
    <m/>
    <m/>
    <m/>
    <m/>
    <n v="0"/>
    <n v="0"/>
    <m/>
    <m/>
    <n v="1634"/>
    <n v="270"/>
  </r>
  <r>
    <x v="13"/>
    <s v="Brazosport College "/>
    <s v="Met the criteria Two-Year 2 in 2020-21"/>
    <n v="223506"/>
    <x v="13"/>
    <n v="528"/>
    <n v="381"/>
    <m/>
    <m/>
    <n v="553"/>
    <n v="506"/>
    <n v="12.021739130434783"/>
    <n v="0"/>
    <n v="46"/>
    <n v="0"/>
    <n v="0"/>
    <n v="0"/>
    <n v="0"/>
    <m/>
    <n v="0"/>
    <n v="0"/>
    <n v="0"/>
    <n v="0"/>
    <n v="52"/>
    <n v="40"/>
    <n v="52"/>
    <n v="24"/>
    <n v="51"/>
    <n v="6"/>
    <n v="51"/>
    <n v="6"/>
    <m/>
    <m/>
    <m/>
    <m/>
    <m/>
    <m/>
    <m/>
    <m/>
    <m/>
    <m/>
    <m/>
    <m/>
    <n v="2"/>
    <n v="4.0816326530612242E-2"/>
    <n v="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27"/>
    <n v="887"/>
  </r>
  <r>
    <x v="13"/>
    <s v="Midland College "/>
    <s v="Met the criteria Two-Year 2 in 2020-21"/>
    <n v="226806"/>
    <x v="13"/>
    <n v="284"/>
    <n v="358"/>
    <m/>
    <m/>
    <n v="468"/>
    <n v="425"/>
    <n v="18.72"/>
    <n v="0"/>
    <n v="25"/>
    <n v="0"/>
    <n v="0"/>
    <n v="0"/>
    <n v="0"/>
    <m/>
    <n v="0"/>
    <n v="0"/>
    <n v="0"/>
    <n v="0"/>
    <n v="52"/>
    <n v="21"/>
    <n v="52"/>
    <n v="16"/>
    <n v="51"/>
    <n v="4"/>
    <n v="51"/>
    <n v="7"/>
    <m/>
    <m/>
    <m/>
    <m/>
    <m/>
    <m/>
    <m/>
    <m/>
    <m/>
    <m/>
    <m/>
    <m/>
    <n v="2"/>
    <n v="3.2175032175032175E-2"/>
    <n v="2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77"/>
    <n v="783"/>
  </r>
  <r>
    <x v="13"/>
    <s v="South Texas College"/>
    <s v="Met the critera for Two-Year 1 in 2020-21"/>
    <n v="409315"/>
    <x v="13"/>
    <n v="1641"/>
    <n v="1744"/>
    <m/>
    <m/>
    <n v="4319"/>
    <n v="4327"/>
    <n v="12.854166666666666"/>
    <n v="0"/>
    <n v="336"/>
    <n v="0"/>
    <n v="0"/>
    <n v="0"/>
    <n v="0"/>
    <m/>
    <n v="0"/>
    <n v="0"/>
    <n v="0"/>
    <n v="0"/>
    <n v="52"/>
    <n v="236"/>
    <n v="52"/>
    <n v="278"/>
    <n v="51"/>
    <n v="59"/>
    <n v="51"/>
    <n v="94"/>
    <n v="11"/>
    <n v="41"/>
    <n v="11"/>
    <n v="83"/>
    <m/>
    <m/>
    <m/>
    <m/>
    <m/>
    <m/>
    <m/>
    <m/>
    <n v="3"/>
    <n v="5.3367217280813214E-2"/>
    <n v="3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296"/>
    <n v="6071"/>
  </r>
  <r>
    <x v="13"/>
    <s v="Amarillo College "/>
    <m/>
    <n v="222576"/>
    <x v="6"/>
    <n v="990"/>
    <n v="904"/>
    <m/>
    <m/>
    <n v="1470"/>
    <n v="129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60"/>
    <n v="2201"/>
  </r>
  <r>
    <x v="13"/>
    <s v="Austin Community College "/>
    <s v="Met the criteria for Two-Year with Bachelor's in 2019-20."/>
    <n v="222992"/>
    <x v="6"/>
    <n v="1228"/>
    <n v="1278"/>
    <m/>
    <m/>
    <n v="4017"/>
    <n v="4399"/>
    <n v="174.65217391304347"/>
    <n v="0"/>
    <n v="23"/>
    <n v="0"/>
    <n v="0"/>
    <n v="0"/>
    <n v="0"/>
    <m/>
    <n v="0"/>
    <n v="0"/>
    <n v="0"/>
    <n v="0"/>
    <n v="51"/>
    <n v="23"/>
    <n v="51"/>
    <n v="38"/>
    <m/>
    <m/>
    <m/>
    <m/>
    <m/>
    <m/>
    <m/>
    <m/>
    <m/>
    <m/>
    <m/>
    <m/>
    <m/>
    <m/>
    <m/>
    <m/>
    <n v="1"/>
    <n v="4.3659832953682615E-3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268"/>
    <n v="5677"/>
  </r>
  <r>
    <x v="13"/>
    <s v="Blinn College"/>
    <m/>
    <n v="223427"/>
    <x v="6"/>
    <n v="283"/>
    <n v="209"/>
    <m/>
    <m/>
    <n v="1405"/>
    <n v="232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88"/>
    <n v="2535"/>
  </r>
  <r>
    <x v="13"/>
    <s v="Brookhaven College (DCCCD)"/>
    <s v="Met the criteria Two-Year 2 in 2020-21"/>
    <n v="223524"/>
    <x v="6"/>
    <n v="562"/>
    <n v="597"/>
    <m/>
    <m/>
    <n v="1079"/>
    <n v="119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41"/>
    <n v="1796"/>
  </r>
  <r>
    <x v="13"/>
    <s v="Central Texas College "/>
    <m/>
    <n v="223816"/>
    <x v="6"/>
    <n v="639"/>
    <n v="561"/>
    <m/>
    <m/>
    <n v="1843"/>
    <n v="131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82"/>
    <n v="1879"/>
  </r>
  <r>
    <x v="13"/>
    <s v="Collin County Community College District"/>
    <m/>
    <n v="247834"/>
    <x v="6"/>
    <n v="741"/>
    <n v="806"/>
    <m/>
    <m/>
    <n v="3356"/>
    <n v="435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097"/>
    <n v="5157"/>
  </r>
  <r>
    <x v="13"/>
    <s v="Del Mar College "/>
    <m/>
    <n v="224350"/>
    <x v="6"/>
    <n v="494"/>
    <n v="556"/>
    <m/>
    <m/>
    <n v="1354"/>
    <n v="119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48"/>
    <n v="1753"/>
  </r>
  <r>
    <x v="13"/>
    <s v="Eastfield College (DCCCD)"/>
    <m/>
    <n v="224572"/>
    <x v="6"/>
    <n v="1130"/>
    <n v="694"/>
    <m/>
    <m/>
    <n v="1229"/>
    <n v="120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59"/>
    <n v="1900"/>
  </r>
  <r>
    <x v="13"/>
    <s v="El Centro College  (DCCCD)"/>
    <m/>
    <n v="224615"/>
    <x v="6"/>
    <n v="1087"/>
    <n v="1605"/>
    <m/>
    <m/>
    <n v="894"/>
    <n v="101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81"/>
    <n v="2618"/>
  </r>
  <r>
    <x v="13"/>
    <s v="El Paso County Community College District"/>
    <m/>
    <n v="224642"/>
    <x v="6"/>
    <n v="802"/>
    <n v="917"/>
    <m/>
    <m/>
    <n v="3527"/>
    <n v="343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29"/>
    <n v="4356"/>
  </r>
  <r>
    <x v="13"/>
    <s v="Houston Community College"/>
    <m/>
    <n v="225423"/>
    <x v="6"/>
    <n v="1482"/>
    <n v="1302"/>
    <m/>
    <m/>
    <n v="5711"/>
    <n v="569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193"/>
    <n v="6992"/>
  </r>
  <r>
    <x v="13"/>
    <s v="Laredo College "/>
    <m/>
    <n v="226134"/>
    <x v="6"/>
    <n v="884"/>
    <n v="823"/>
    <m/>
    <m/>
    <n v="977"/>
    <n v="939"/>
    <n v="0"/>
    <n v="0"/>
    <m/>
    <n v="0"/>
    <n v="0"/>
    <n v="0"/>
    <n v="0"/>
    <m/>
    <n v="0"/>
    <n v="0"/>
    <n v="0"/>
    <n v="0"/>
    <m/>
    <m/>
    <n v="51"/>
    <n v="21"/>
    <m/>
    <m/>
    <m/>
    <m/>
    <m/>
    <m/>
    <m/>
    <m/>
    <m/>
    <m/>
    <m/>
    <m/>
    <m/>
    <m/>
    <m/>
    <m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61"/>
    <n v="1762"/>
  </r>
  <r>
    <x v="13"/>
    <s v="Lone Star College System District"/>
    <m/>
    <n v="227182"/>
    <x v="6"/>
    <n v="2397"/>
    <n v="2426"/>
    <m/>
    <m/>
    <n v="7659"/>
    <n v="794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056"/>
    <n v="10373"/>
  </r>
  <r>
    <x v="13"/>
    <s v="McLennan Community College "/>
    <m/>
    <n v="226578"/>
    <x v="6"/>
    <n v="390"/>
    <n v="402"/>
    <m/>
    <m/>
    <n v="1353"/>
    <n v="128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43"/>
    <n v="1686"/>
  </r>
  <r>
    <x v="13"/>
    <s v="Mountain View College  (DCCCD)"/>
    <m/>
    <n v="226930"/>
    <x v="6"/>
    <n v="381"/>
    <n v="370"/>
    <m/>
    <m/>
    <n v="1169"/>
    <n v="122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0"/>
    <n v="1595"/>
  </r>
  <r>
    <x v="13"/>
    <s v="Navarro College "/>
    <m/>
    <n v="227146"/>
    <x v="6"/>
    <n v="502"/>
    <n v="461"/>
    <m/>
    <m/>
    <n v="1055"/>
    <n v="102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7"/>
    <n v="1481"/>
  </r>
  <r>
    <x v="13"/>
    <s v="North Central Texas Community College"/>
    <m/>
    <n v="224110"/>
    <x v="6"/>
    <n v="253"/>
    <n v="139"/>
    <m/>
    <m/>
    <n v="925"/>
    <n v="99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78"/>
    <n v="1134"/>
  </r>
  <r>
    <x v="13"/>
    <s v="North Lake College (DCCCD)"/>
    <m/>
    <n v="227191"/>
    <x v="6"/>
    <n v="519"/>
    <n v="428"/>
    <m/>
    <m/>
    <n v="1261"/>
    <n v="106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80"/>
    <n v="1490"/>
  </r>
  <r>
    <x v="13"/>
    <s v="Northwest Vista College (ACCD)"/>
    <m/>
    <n v="420398"/>
    <x v="6"/>
    <n v="137"/>
    <n v="160"/>
    <m/>
    <m/>
    <n v="2881"/>
    <n v="307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18"/>
    <n v="3239"/>
  </r>
  <r>
    <x v="13"/>
    <s v="Palo Alto College (ACCD)"/>
    <m/>
    <n v="246354"/>
    <x v="6"/>
    <n v="365"/>
    <n v="350"/>
    <m/>
    <m/>
    <n v="1475"/>
    <n v="156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40"/>
    <n v="1910"/>
  </r>
  <r>
    <x v="13"/>
    <s v="Richland College (DCCCD)"/>
    <m/>
    <n v="227766"/>
    <x v="6"/>
    <n v="430"/>
    <n v="401"/>
    <m/>
    <m/>
    <n v="2127"/>
    <n v="208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57"/>
    <n v="2487"/>
  </r>
  <r>
    <x v="13"/>
    <s v="San Antonio College (ACCD)"/>
    <m/>
    <n v="227924"/>
    <x v="6"/>
    <n v="984"/>
    <n v="506"/>
    <m/>
    <m/>
    <n v="3218"/>
    <n v="322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02"/>
    <n v="3726"/>
  </r>
  <r>
    <x v="13"/>
    <s v="San Jacinto College"/>
    <m/>
    <n v="227979"/>
    <x v="6"/>
    <n v="3089"/>
    <n v="2431"/>
    <m/>
    <m/>
    <n v="4607"/>
    <n v="474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96"/>
    <n v="7171"/>
  </r>
  <r>
    <x v="13"/>
    <s v="South Plains College "/>
    <m/>
    <n v="228158"/>
    <x v="6"/>
    <n v="648"/>
    <n v="647"/>
    <m/>
    <m/>
    <n v="906"/>
    <n v="99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54"/>
    <n v="1641"/>
  </r>
  <r>
    <x v="13"/>
    <s v="St. Philip's College (ACCD)"/>
    <m/>
    <n v="227854"/>
    <x v="6"/>
    <n v="967"/>
    <n v="939"/>
    <m/>
    <m/>
    <n v="1252"/>
    <n v="116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19"/>
    <n v="2099"/>
  </r>
  <r>
    <x v="13"/>
    <s v="Tarrant County College"/>
    <m/>
    <n v="228547"/>
    <x v="6"/>
    <n v="2343"/>
    <n v="1658"/>
    <m/>
    <m/>
    <n v="5915"/>
    <n v="611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58"/>
    <n v="7777"/>
  </r>
  <r>
    <x v="13"/>
    <s v="Trinity Valley Community College"/>
    <m/>
    <n v="225308"/>
    <x v="6"/>
    <n v="956"/>
    <n v="408"/>
    <m/>
    <m/>
    <n v="1006"/>
    <n v="77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62"/>
    <n v="1181"/>
  </r>
  <r>
    <x v="13"/>
    <s v="Tyler Junior College "/>
    <s v="Met the criteria for Two-Year with Bachelor's in 2018-19 and 2019-20. "/>
    <n v="229355"/>
    <x v="6"/>
    <n v="689"/>
    <n v="565"/>
    <m/>
    <m/>
    <n v="1707"/>
    <n v="1837"/>
    <n v="243.85714285714286"/>
    <n v="0"/>
    <n v="7"/>
    <n v="0"/>
    <n v="0"/>
    <n v="0"/>
    <n v="0"/>
    <m/>
    <n v="0"/>
    <n v="0"/>
    <n v="0"/>
    <n v="0"/>
    <n v="51"/>
    <n v="7"/>
    <n v="51"/>
    <n v="23"/>
    <m/>
    <m/>
    <m/>
    <m/>
    <m/>
    <m/>
    <m/>
    <m/>
    <m/>
    <m/>
    <m/>
    <m/>
    <m/>
    <m/>
    <m/>
    <m/>
    <n v="1"/>
    <n v="2.9130253849354972E-3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03"/>
    <n v="2402"/>
  </r>
  <r>
    <x v="13"/>
    <s v="Alvin Community College "/>
    <m/>
    <n v="222567"/>
    <x v="7"/>
    <n v="433"/>
    <n v="429"/>
    <m/>
    <m/>
    <n v="804"/>
    <n v="86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37"/>
    <n v="1295"/>
  </r>
  <r>
    <x v="13"/>
    <s v="Angelina College "/>
    <m/>
    <n v="222822"/>
    <x v="7"/>
    <n v="420"/>
    <n v="309"/>
    <m/>
    <m/>
    <n v="426"/>
    <n v="45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46"/>
    <n v="761"/>
  </r>
  <r>
    <x v="13"/>
    <s v="Cedar Valley College (DCCCD)"/>
    <m/>
    <n v="223773"/>
    <x v="7"/>
    <n v="937"/>
    <n v="589"/>
    <m/>
    <m/>
    <n v="671"/>
    <n v="69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08"/>
    <n v="1279"/>
  </r>
  <r>
    <x v="13"/>
    <s v="Cisco Junior College "/>
    <m/>
    <n v="223898"/>
    <x v="7"/>
    <n v="257"/>
    <n v="189"/>
    <m/>
    <m/>
    <n v="478"/>
    <n v="43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35"/>
    <n v="620"/>
  </r>
  <r>
    <x v="13"/>
    <s v="Coastal Bend College"/>
    <m/>
    <n v="223320"/>
    <x v="7"/>
    <n v="423"/>
    <n v="543"/>
    <m/>
    <m/>
    <n v="399"/>
    <n v="43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22"/>
    <n v="976"/>
  </r>
  <r>
    <x v="13"/>
    <s v="College of the Mainland"/>
    <m/>
    <n v="226408"/>
    <x v="7"/>
    <n v="321"/>
    <n v="227"/>
    <m/>
    <m/>
    <n v="560"/>
    <n v="582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81"/>
    <n v="809"/>
  </r>
  <r>
    <x v="13"/>
    <s v="Grayson County College "/>
    <m/>
    <n v="225070"/>
    <x v="7"/>
    <n v="484"/>
    <n v="285"/>
    <m/>
    <m/>
    <n v="660"/>
    <n v="691"/>
    <n v="0"/>
    <n v="0"/>
    <m/>
    <n v="0"/>
    <n v="0"/>
    <n v="0"/>
    <n v="0"/>
    <m/>
    <n v="0"/>
    <n v="0"/>
    <n v="0"/>
    <n v="0"/>
    <m/>
    <m/>
    <n v="51"/>
    <n v="49"/>
    <m/>
    <m/>
    <m/>
    <m/>
    <m/>
    <m/>
    <m/>
    <m/>
    <m/>
    <m/>
    <m/>
    <m/>
    <m/>
    <m/>
    <m/>
    <m/>
    <n v="0"/>
    <n v="0"/>
    <n v="1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44"/>
    <n v="976"/>
  </r>
  <r>
    <x v="13"/>
    <s v="Hill College"/>
    <m/>
    <n v="225371"/>
    <x v="7"/>
    <n v="325"/>
    <n v="270"/>
    <m/>
    <m/>
    <n v="463"/>
    <n v="48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8"/>
    <n v="751"/>
  </r>
  <r>
    <x v="13"/>
    <s v="Howard College (HCJCD)"/>
    <m/>
    <n v="225520"/>
    <x v="7"/>
    <n v="228"/>
    <n v="180"/>
    <m/>
    <m/>
    <n v="495"/>
    <n v="40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3"/>
    <n v="587"/>
  </r>
  <r>
    <x v="13"/>
    <s v="Kilgore College "/>
    <m/>
    <n v="226019"/>
    <x v="7"/>
    <n v="544"/>
    <n v="460"/>
    <m/>
    <m/>
    <n v="734"/>
    <n v="84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78"/>
    <n v="1303"/>
  </r>
  <r>
    <x v="13"/>
    <s v="Lamar Institute of Technology"/>
    <m/>
    <n v="441760"/>
    <x v="7"/>
    <n v="225"/>
    <n v="193"/>
    <m/>
    <m/>
    <n v="471"/>
    <n v="52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6"/>
    <n v="716"/>
  </r>
  <r>
    <x v="13"/>
    <s v="Lee College "/>
    <m/>
    <n v="226204"/>
    <x v="7"/>
    <n v="1993"/>
    <n v="2235"/>
    <m/>
    <m/>
    <n v="1218"/>
    <n v="1174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11"/>
    <n v="3409"/>
  </r>
  <r>
    <x v="13"/>
    <s v="Northeast Texas Community College "/>
    <s v="Met the requirments for  Two-year 3 in 2020-21"/>
    <n v="227225"/>
    <x v="7"/>
    <n v="277"/>
    <n v="233"/>
    <m/>
    <m/>
    <n v="489"/>
    <n v="38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66"/>
    <n v="618"/>
  </r>
  <r>
    <x v="13"/>
    <s v="Odessa College "/>
    <m/>
    <n v="227304"/>
    <x v="7"/>
    <n v="601"/>
    <n v="444"/>
    <m/>
    <m/>
    <n v="977"/>
    <n v="91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78"/>
    <n v="1354"/>
  </r>
  <r>
    <x v="13"/>
    <s v="Paris Junior College"/>
    <m/>
    <n v="227401"/>
    <x v="7"/>
    <n v="362"/>
    <n v="284"/>
    <m/>
    <m/>
    <n v="512"/>
    <n v="53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74"/>
    <n v="822"/>
  </r>
  <r>
    <x v="13"/>
    <s v="Southwest Texas Junior College "/>
    <m/>
    <n v="228316"/>
    <x v="7"/>
    <n v="411"/>
    <n v="475"/>
    <m/>
    <m/>
    <n v="791"/>
    <n v="76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02"/>
    <n v="1240"/>
  </r>
  <r>
    <x v="13"/>
    <s v="Temple College "/>
    <m/>
    <n v="228608"/>
    <x v="7"/>
    <n v="158"/>
    <n v="157"/>
    <m/>
    <m/>
    <n v="646"/>
    <n v="53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4"/>
    <n v="687"/>
  </r>
  <r>
    <x v="13"/>
    <s v="Texarkana College "/>
    <m/>
    <n v="228699"/>
    <x v="7"/>
    <n v="604"/>
    <n v="544"/>
    <m/>
    <m/>
    <n v="495"/>
    <n v="40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99"/>
    <n v="950"/>
  </r>
  <r>
    <x v="13"/>
    <s v="Texas Southmost College "/>
    <s v="Changed IPEDS # from 229072"/>
    <n v="227377"/>
    <x v="7"/>
    <n v="236"/>
    <n v="193"/>
    <m/>
    <m/>
    <n v="559"/>
    <n v="60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95"/>
    <n v="796"/>
  </r>
  <r>
    <x v="13"/>
    <s v="Texas State Technical College-Harlingen "/>
    <m/>
    <n v="229319"/>
    <x v="7"/>
    <n v="311"/>
    <n v="204"/>
    <m/>
    <m/>
    <n v="584"/>
    <n v="58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95"/>
    <n v="791"/>
  </r>
  <r>
    <x v="13"/>
    <s v="Texas State Technical College-Waco"/>
    <m/>
    <n v="228680"/>
    <x v="7"/>
    <n v="559"/>
    <n v="366"/>
    <m/>
    <m/>
    <n v="1001"/>
    <n v="92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60"/>
    <n v="1286"/>
  </r>
  <r>
    <x v="13"/>
    <s v="Vernon College "/>
    <s v="Met the requirments for  Two-year 3 in 2020-21"/>
    <n v="229504"/>
    <x v="7"/>
    <n v="202"/>
    <n v="208"/>
    <m/>
    <m/>
    <n v="308"/>
    <n v="30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10"/>
    <n v="509"/>
  </r>
  <r>
    <x v="13"/>
    <s v="Victoria College "/>
    <m/>
    <n v="229540"/>
    <x v="7"/>
    <n v="299"/>
    <n v="251"/>
    <m/>
    <m/>
    <n v="458"/>
    <n v="39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7"/>
    <n v="642"/>
  </r>
  <r>
    <x v="13"/>
    <s v="Weatherford College "/>
    <m/>
    <n v="229799"/>
    <x v="7"/>
    <n v="286"/>
    <n v="202"/>
    <m/>
    <m/>
    <n v="750"/>
    <n v="85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36"/>
    <n v="1058"/>
  </r>
  <r>
    <x v="13"/>
    <s v="Wharton County Junior College "/>
    <m/>
    <n v="229841"/>
    <x v="7"/>
    <n v="312"/>
    <n v="227"/>
    <m/>
    <m/>
    <n v="751"/>
    <n v="71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63"/>
    <n v="944"/>
  </r>
  <r>
    <x v="13"/>
    <s v="Clarendon College "/>
    <m/>
    <n v="223922"/>
    <x v="8"/>
    <n v="171"/>
    <n v="156"/>
    <m/>
    <m/>
    <n v="171"/>
    <n v="17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42"/>
    <n v="334"/>
  </r>
  <r>
    <x v="13"/>
    <s v="Frank Phillips College "/>
    <m/>
    <n v="224891"/>
    <x v="8"/>
    <n v="109"/>
    <n v="117"/>
    <m/>
    <m/>
    <n v="112"/>
    <n v="125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1"/>
    <n v="242"/>
  </r>
  <r>
    <x v="13"/>
    <s v="Galveston College "/>
    <m/>
    <n v="224961"/>
    <x v="8"/>
    <n v="422"/>
    <n v="322"/>
    <m/>
    <m/>
    <n v="268"/>
    <n v="26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90"/>
    <n v="588"/>
  </r>
  <r>
    <x v="13"/>
    <s v="Lamar State College-Orange"/>
    <m/>
    <n v="226107"/>
    <x v="8"/>
    <n v="274"/>
    <n v="243"/>
    <m/>
    <m/>
    <n v="214"/>
    <n v="23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88"/>
    <n v="473"/>
  </r>
  <r>
    <x v="13"/>
    <s v="Lamar State College-Port Arthur"/>
    <s v="Met the criteria for Two-Year 2 in 2019-20."/>
    <n v="226116"/>
    <x v="8"/>
    <n v="195"/>
    <n v="171"/>
    <m/>
    <m/>
    <n v="256"/>
    <n v="31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51"/>
    <n v="490"/>
  </r>
  <r>
    <x v="13"/>
    <s v="Northeast Lakeview College (ACCD)"/>
    <s v="Reclassifed Met the criteria for Two-Year 2 in 2018-19 and 2019-20 and 2020-21"/>
    <n v="488730"/>
    <x v="7"/>
    <m/>
    <m/>
    <m/>
    <m/>
    <n v="387"/>
    <n v="67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7"/>
    <n v="671"/>
  </r>
  <r>
    <x v="13"/>
    <s v="Panola College"/>
    <m/>
    <n v="227386"/>
    <x v="8"/>
    <n v="321"/>
    <n v="313"/>
    <m/>
    <m/>
    <n v="362"/>
    <n v="35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3"/>
    <n v="672"/>
  </r>
  <r>
    <x v="13"/>
    <s v="Ranger College "/>
    <m/>
    <n v="227687"/>
    <x v="8"/>
    <n v="135"/>
    <n v="150"/>
    <m/>
    <m/>
    <n v="284"/>
    <n v="32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19"/>
    <n v="476"/>
  </r>
  <r>
    <x v="13"/>
    <s v="Southwest Collegiate Institute for the Deaf (HCJCD)"/>
    <m/>
    <n v="382911"/>
    <x v="8"/>
    <n v="12"/>
    <n v="15"/>
    <m/>
    <m/>
    <n v="5"/>
    <n v="1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"/>
    <n v="26"/>
  </r>
  <r>
    <x v="13"/>
    <s v="Texas State Technical College-Fort Bend"/>
    <m/>
    <s v="N/A"/>
    <x v="8"/>
    <n v="138"/>
    <n v="100"/>
    <m/>
    <m/>
    <n v="56"/>
    <n v="78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4"/>
    <n v="178"/>
  </r>
  <r>
    <x v="13"/>
    <s v="Texas State Technical College-Marshall"/>
    <m/>
    <n v="408394"/>
    <x v="8"/>
    <n v="69"/>
    <n v="80"/>
    <m/>
    <m/>
    <n v="88"/>
    <n v="9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7"/>
    <n v="173"/>
  </r>
  <r>
    <x v="13"/>
    <s v="Texas State Technical College-North Texas"/>
    <m/>
    <s v="N/A"/>
    <x v="8"/>
    <n v="64"/>
    <n v="40"/>
    <m/>
    <m/>
    <n v="50"/>
    <n v="4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4"/>
    <n v="89"/>
  </r>
  <r>
    <x v="13"/>
    <s v="Texas State Technical College-West Texas"/>
    <m/>
    <n v="229328"/>
    <x v="8"/>
    <n v="157"/>
    <n v="123"/>
    <m/>
    <m/>
    <n v="240"/>
    <n v="250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97"/>
    <n v="373"/>
  </r>
  <r>
    <x v="13"/>
    <s v="Western Texas College "/>
    <m/>
    <n v="229832"/>
    <x v="8"/>
    <n v="164"/>
    <n v="99"/>
    <m/>
    <m/>
    <n v="211"/>
    <n v="19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5"/>
    <n v="298"/>
  </r>
  <r>
    <x v="13"/>
    <s v="Texas A&amp;M Health Science Center"/>
    <m/>
    <n v="223214"/>
    <x v="11"/>
    <n v="41"/>
    <n v="43"/>
    <m/>
    <m/>
    <m/>
    <m/>
    <n v="0"/>
    <n v="0"/>
    <n v="346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34189723320158105"/>
    <n v="0"/>
    <n v="0"/>
    <m/>
    <m/>
    <n v="51"/>
    <n v="120"/>
    <n v="51"/>
    <n v="121"/>
    <n v="26"/>
    <n v="55"/>
    <n v="26"/>
    <n v="54"/>
    <n v="13"/>
    <n v="6"/>
    <n v="13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1"/>
    <n v="3"/>
    <n v="181"/>
    <n v="3"/>
    <n v="26"/>
    <n v="21"/>
    <n v="51"/>
    <n v="23"/>
    <n v="51"/>
    <n v="16"/>
    <n v="26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7"/>
    <n v="2"/>
    <n v="0.56756756756756754"/>
    <n v="34"/>
    <n v="2"/>
    <n v="0.67647058823529416"/>
    <n v="218"/>
    <n v="215"/>
    <m/>
    <m/>
    <n v="193"/>
    <n v="181"/>
    <n v="104"/>
    <n v="99"/>
    <n v="110"/>
    <n v="110"/>
    <m/>
    <m/>
    <m/>
    <m/>
    <m/>
    <m/>
    <m/>
    <m/>
    <m/>
    <m/>
    <m/>
    <m/>
    <n v="407"/>
    <n v="390"/>
    <m/>
    <m/>
    <n v="1012"/>
    <n v="648"/>
  </r>
  <r>
    <x v="13"/>
    <s v="Texas Tech University Health Sciences Center"/>
    <m/>
    <n v="229337"/>
    <x v="11"/>
    <m/>
    <m/>
    <m/>
    <m/>
    <m/>
    <m/>
    <n v="0"/>
    <n v="0"/>
    <n v="1233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5429326287978864"/>
    <n v="0"/>
    <n v="0"/>
    <m/>
    <m/>
    <n v="51"/>
    <n v="540"/>
    <n v="51"/>
    <n v="580"/>
    <n v="26"/>
    <n v="43"/>
    <n v="26"/>
    <n v="4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583"/>
    <n v="2"/>
    <n v="627"/>
    <n v="2"/>
    <n v="51"/>
    <n v="36"/>
    <n v="51"/>
    <n v="41"/>
    <n v="26"/>
    <n v="7"/>
    <n v="26"/>
    <n v="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3"/>
    <n v="2"/>
    <n v="0.83720930232558144"/>
    <n v="48"/>
    <n v="2"/>
    <n v="0.85416666666666663"/>
    <n v="626"/>
    <n v="675"/>
    <m/>
    <m/>
    <n v="168"/>
    <n v="175"/>
    <m/>
    <m/>
    <n v="146"/>
    <n v="152"/>
    <m/>
    <m/>
    <m/>
    <m/>
    <m/>
    <m/>
    <m/>
    <m/>
    <m/>
    <m/>
    <n v="98"/>
    <n v="107"/>
    <n v="412"/>
    <n v="434"/>
    <m/>
    <m/>
    <n v="2271"/>
    <n v="1109"/>
  </r>
  <r>
    <x v="13"/>
    <s v="Texas Tech University Health Sciences Center - El Paso "/>
    <m/>
    <n v="492689"/>
    <x v="11"/>
    <m/>
    <n v="10"/>
    <m/>
    <m/>
    <m/>
    <m/>
    <n v="0"/>
    <n v="0"/>
    <n v="144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54752851711026618"/>
    <n v="0"/>
    <n v="0"/>
    <m/>
    <m/>
    <n v="26"/>
    <n v="18"/>
    <n v="26"/>
    <n v="23"/>
    <m/>
    <m/>
    <n v="51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8"/>
    <n v="1"/>
    <n v="27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8"/>
    <n v="27"/>
    <m/>
    <m/>
    <n v="101"/>
    <n v="89"/>
    <m/>
    <m/>
    <m/>
    <m/>
    <m/>
    <m/>
    <m/>
    <m/>
    <m/>
    <m/>
    <m/>
    <m/>
    <m/>
    <m/>
    <m/>
    <m/>
    <n v="101"/>
    <n v="89"/>
    <m/>
    <m/>
    <n v="263"/>
    <n v="126"/>
  </r>
  <r>
    <x v="13"/>
    <s v="University of North Texas at Dallas"/>
    <m/>
    <n v="484905"/>
    <x v="3"/>
    <m/>
    <m/>
    <m/>
    <m/>
    <m/>
    <m/>
    <n v="0"/>
    <n v="0"/>
    <n v="608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72380952380952379"/>
    <n v="0"/>
    <n v="0"/>
    <m/>
    <m/>
    <n v="13"/>
    <n v="39"/>
    <n v="13"/>
    <n v="65"/>
    <n v="52"/>
    <n v="35"/>
    <n v="52"/>
    <n v="52"/>
    <n v="44"/>
    <n v="21"/>
    <n v="42"/>
    <n v="23"/>
    <n v="42"/>
    <n v="17"/>
    <n v="44"/>
    <n v="22"/>
    <n v="43"/>
    <n v="7"/>
    <n v="43"/>
    <n v="12"/>
    <m/>
    <m/>
    <m/>
    <m/>
    <m/>
    <m/>
    <m/>
    <m/>
    <m/>
    <m/>
    <m/>
    <m/>
    <m/>
    <m/>
    <m/>
    <m/>
    <m/>
    <m/>
    <m/>
    <m/>
    <m/>
    <m/>
    <n v="119"/>
    <n v="5"/>
    <n v="174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19"/>
    <n v="174"/>
    <n v="113"/>
    <n v="88"/>
    <m/>
    <m/>
    <m/>
    <m/>
    <m/>
    <m/>
    <m/>
    <m/>
    <m/>
    <m/>
    <m/>
    <m/>
    <m/>
    <m/>
    <m/>
    <m/>
    <m/>
    <m/>
    <n v="113"/>
    <n v="88"/>
    <m/>
    <m/>
    <n v="840"/>
    <n v="262"/>
  </r>
  <r>
    <x v="13"/>
    <s v="University of North Texas Health Science Center at Fort Worth"/>
    <m/>
    <n v="228909"/>
    <x v="11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26"/>
    <n v="208"/>
    <n v="26"/>
    <n v="231"/>
    <n v="51"/>
    <n v="143"/>
    <n v="51"/>
    <n v="148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51"/>
    <n v="2"/>
    <n v="379"/>
    <n v="2"/>
    <n v="26"/>
    <n v="11"/>
    <n v="26"/>
    <n v="13"/>
    <n v="51"/>
    <n v="5"/>
    <n v="5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6"/>
    <n v="2"/>
    <n v="0.6875"/>
    <n v="19"/>
    <n v="2"/>
    <n v="0.68421052631578949"/>
    <n v="367"/>
    <n v="398"/>
    <m/>
    <m/>
    <m/>
    <m/>
    <m/>
    <m/>
    <n v="110"/>
    <n v="95"/>
    <m/>
    <m/>
    <m/>
    <m/>
    <n v="226"/>
    <n v="206"/>
    <m/>
    <m/>
    <m/>
    <m/>
    <n v="46"/>
    <n v="45"/>
    <n v="382"/>
    <n v="346"/>
    <m/>
    <m/>
    <n v="749"/>
    <n v="744"/>
  </r>
  <r>
    <x v="13"/>
    <s v="University of Texas Health Science Center at Houston"/>
    <m/>
    <n v="229300"/>
    <x v="11"/>
    <n v="35"/>
    <n v="31"/>
    <m/>
    <m/>
    <n v="2"/>
    <m/>
    <n v="4.0241448692152921E-3"/>
    <n v="0"/>
    <n v="497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28302961275626426"/>
    <n v="0"/>
    <n v="0"/>
    <m/>
    <m/>
    <n v="51"/>
    <n v="588"/>
    <n v="51"/>
    <n v="584"/>
    <n v="26"/>
    <n v="110"/>
    <n v="26"/>
    <n v="133"/>
    <n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700"/>
    <n v="3"/>
    <n v="717"/>
    <n v="2"/>
    <n v="51"/>
    <n v="90"/>
    <n v="51"/>
    <n v="83"/>
    <n v="26"/>
    <n v="64"/>
    <n v="26"/>
    <n v="60"/>
    <n v="44"/>
    <n v="15"/>
    <n v="44"/>
    <n v="19"/>
    <n v="14"/>
    <n v="7"/>
    <n v="30"/>
    <n v="8"/>
    <n v="30"/>
    <n v="5"/>
    <n v="14"/>
    <n v="7"/>
    <n v="3"/>
    <n v="3"/>
    <n v="3"/>
    <n v="3"/>
    <m/>
    <m/>
    <m/>
    <m/>
    <m/>
    <m/>
    <m/>
    <m/>
    <m/>
    <m/>
    <m/>
    <m/>
    <m/>
    <m/>
    <m/>
    <m/>
    <m/>
    <m/>
    <n v="184"/>
    <n v="6"/>
    <n v="0.4891304347826087"/>
    <n v="180"/>
    <n v="6"/>
    <n v="0.46111111111111114"/>
    <n v="884"/>
    <n v="897"/>
    <m/>
    <m/>
    <n v="243"/>
    <n v="242"/>
    <n v="95"/>
    <n v="103"/>
    <m/>
    <m/>
    <m/>
    <m/>
    <m/>
    <m/>
    <m/>
    <m/>
    <m/>
    <m/>
    <m/>
    <m/>
    <m/>
    <m/>
    <n v="338"/>
    <n v="345"/>
    <m/>
    <m/>
    <n v="1756"/>
    <n v="1273"/>
  </r>
  <r>
    <x v="13"/>
    <s v="University of Texas Health Science Center at San Antonio"/>
    <m/>
    <n v="228644"/>
    <x v="11"/>
    <n v="45"/>
    <n v="47"/>
    <m/>
    <m/>
    <n v="248"/>
    <n v="158"/>
    <n v="0.68698060941828254"/>
    <n v="0"/>
    <n v="361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27389984825493169"/>
    <n v="0"/>
    <n v="0"/>
    <m/>
    <m/>
    <n v="51"/>
    <n v="236"/>
    <n v="51"/>
    <n v="235"/>
    <n v="26"/>
    <n v="18"/>
    <n v="26"/>
    <n v="19"/>
    <n v="13"/>
    <n v="15"/>
    <n v="13"/>
    <n v="9"/>
    <n v="14"/>
    <n v="3"/>
    <m/>
    <m/>
    <m/>
    <m/>
    <m/>
    <m/>
    <m/>
    <m/>
    <m/>
    <m/>
    <m/>
    <m/>
    <m/>
    <m/>
    <m/>
    <m/>
    <m/>
    <m/>
    <m/>
    <m/>
    <m/>
    <m/>
    <m/>
    <m/>
    <m/>
    <m/>
    <m/>
    <m/>
    <n v="272"/>
    <n v="4"/>
    <n v="263"/>
    <n v="3"/>
    <n v="26"/>
    <n v="34"/>
    <n v="26"/>
    <n v="26"/>
    <n v="51"/>
    <n v="11"/>
    <n v="51"/>
    <n v="13"/>
    <m/>
    <m/>
    <n v="14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5"/>
    <n v="2"/>
    <n v="0.75555555555555554"/>
    <n v="41"/>
    <n v="3"/>
    <n v="0.63414634146341464"/>
    <n v="317"/>
    <n v="304"/>
    <m/>
    <m/>
    <n v="210"/>
    <n v="200"/>
    <n v="100"/>
    <n v="109"/>
    <m/>
    <m/>
    <m/>
    <m/>
    <m/>
    <m/>
    <m/>
    <m/>
    <m/>
    <m/>
    <m/>
    <m/>
    <n v="37"/>
    <n v="43"/>
    <n v="347"/>
    <n v="352"/>
    <m/>
    <m/>
    <n v="1318"/>
    <n v="861"/>
  </r>
  <r>
    <x v="13"/>
    <s v="University of Texas M.D. Anderson Cancer Center"/>
    <m/>
    <n v="416801"/>
    <x v="11"/>
    <m/>
    <m/>
    <m/>
    <m/>
    <m/>
    <m/>
    <n v="0"/>
    <n v="0"/>
    <n v="159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91907514450867056"/>
    <n v="0"/>
    <n v="0"/>
    <m/>
    <m/>
    <n v="51"/>
    <n v="14"/>
    <n v="51"/>
    <n v="15"/>
    <m/>
    <m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4"/>
    <n v="1"/>
    <n v="15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4"/>
    <n v="15"/>
    <m/>
    <m/>
    <m/>
    <m/>
    <m/>
    <m/>
    <m/>
    <m/>
    <m/>
    <m/>
    <m/>
    <m/>
    <m/>
    <m/>
    <m/>
    <m/>
    <m/>
    <m/>
    <m/>
    <m/>
    <n v="0"/>
    <n v="0"/>
    <m/>
    <m/>
    <n v="173"/>
    <n v="15"/>
  </r>
  <r>
    <x v="13"/>
    <s v="University of Texas Medical Branch at Galveston"/>
    <m/>
    <n v="228653"/>
    <x v="11"/>
    <n v="26"/>
    <n v="20"/>
    <m/>
    <m/>
    <m/>
    <m/>
    <n v="0"/>
    <n v="0"/>
    <n v="470"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.376"/>
    <n v="0"/>
    <n v="0"/>
    <m/>
    <m/>
    <n v="51"/>
    <n v="363"/>
    <n v="51"/>
    <n v="364"/>
    <n v="26"/>
    <n v="11"/>
    <n v="26"/>
    <n v="15"/>
    <n v="30"/>
    <n v="7"/>
    <n v="3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381"/>
    <n v="3"/>
    <n v="380"/>
    <n v="3"/>
    <n v="51"/>
    <n v="33"/>
    <n v="51"/>
    <n v="34"/>
    <n v="26"/>
    <n v="31"/>
    <n v="26"/>
    <n v="32"/>
    <n v="30"/>
    <n v="1"/>
    <n v="3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65"/>
    <n v="3"/>
    <n v="0.50769230769230766"/>
    <n v="67"/>
    <n v="3"/>
    <n v="0.5074626865671642"/>
    <n v="446"/>
    <n v="447"/>
    <m/>
    <m/>
    <n v="236"/>
    <n v="215"/>
    <m/>
    <m/>
    <m/>
    <m/>
    <m/>
    <m/>
    <m/>
    <m/>
    <m/>
    <m/>
    <m/>
    <m/>
    <m/>
    <m/>
    <n v="72"/>
    <n v="63"/>
    <n v="308"/>
    <n v="278"/>
    <m/>
    <m/>
    <n v="1250"/>
    <n v="745"/>
  </r>
  <r>
    <x v="13"/>
    <s v="University of Texas Southwestern Medical Center at Dallas"/>
    <m/>
    <n v="228635"/>
    <x v="11"/>
    <n v="180"/>
    <n v="211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93"/>
    <n v="51"/>
    <n v="98"/>
    <n v="26"/>
    <n v="3"/>
    <n v="26"/>
    <n v="3"/>
    <n v="14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97"/>
    <n v="3"/>
    <n v="101"/>
    <n v="2"/>
    <n v="26"/>
    <n v="62"/>
    <n v="26"/>
    <n v="39"/>
    <n v="42"/>
    <n v="8"/>
    <n v="42"/>
    <n v="9"/>
    <n v="14"/>
    <n v="3"/>
    <n v="14"/>
    <n v="3"/>
    <n v="40"/>
    <n v="2"/>
    <n v="40"/>
    <n v="1"/>
    <m/>
    <m/>
    <m/>
    <m/>
    <m/>
    <m/>
    <m/>
    <m/>
    <m/>
    <m/>
    <m/>
    <m/>
    <m/>
    <m/>
    <m/>
    <m/>
    <m/>
    <m/>
    <m/>
    <m/>
    <m/>
    <m/>
    <m/>
    <m/>
    <m/>
    <m/>
    <n v="75"/>
    <n v="4"/>
    <n v="0.82666666666666666"/>
    <n v="52"/>
    <n v="4"/>
    <n v="0.75"/>
    <n v="172"/>
    <n v="153"/>
    <m/>
    <m/>
    <n v="212"/>
    <n v="226"/>
    <m/>
    <m/>
    <m/>
    <m/>
    <m/>
    <m/>
    <m/>
    <m/>
    <m/>
    <m/>
    <m/>
    <m/>
    <m/>
    <m/>
    <n v="40"/>
    <n v="38"/>
    <n v="252"/>
    <n v="264"/>
    <m/>
    <m/>
    <n v="604"/>
    <n v="628"/>
  </r>
  <r>
    <x v="13"/>
    <s v="University of Texas Health Science Center at Tyler"/>
    <m/>
    <n v="485537"/>
    <x v="11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n v="51"/>
    <n v="15"/>
    <n v="26"/>
    <n v="11"/>
    <n v="26"/>
    <n v="8"/>
    <n v="51"/>
    <n v="1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3"/>
    <n v="2"/>
    <n v="22"/>
    <n v="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23"/>
    <n v="22"/>
    <m/>
    <m/>
    <m/>
    <m/>
    <m/>
    <m/>
    <m/>
    <m/>
    <m/>
    <m/>
    <m/>
    <m/>
    <m/>
    <m/>
    <m/>
    <m/>
    <m/>
    <m/>
    <m/>
    <m/>
    <n v="0"/>
    <n v="0"/>
    <m/>
    <m/>
    <n v="23"/>
    <n v="22"/>
  </r>
  <r>
    <x v="13"/>
    <s v="Dallas College"/>
    <s v="Name change ( Dallas County Community College)"/>
    <n v="224615"/>
    <x v="8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0"/>
  </r>
  <r>
    <x v="14"/>
    <s v="George Mason University "/>
    <s v=" "/>
    <n v="232186"/>
    <x v="0"/>
    <n v="0"/>
    <n v="0"/>
    <m/>
    <m/>
    <n v="0"/>
    <n v="0"/>
    <n v="0"/>
    <n v="0"/>
    <n v="5734"/>
    <n v="0"/>
    <n v="0"/>
    <n v="0"/>
    <n v="0"/>
    <n v="5890"/>
    <n v="0"/>
    <n v="0"/>
    <n v="0"/>
    <n v="0"/>
    <m/>
    <m/>
    <m/>
    <m/>
    <m/>
    <m/>
    <m/>
    <m/>
    <m/>
    <m/>
    <m/>
    <m/>
    <m/>
    <m/>
    <m/>
    <m/>
    <m/>
    <m/>
    <m/>
    <m/>
    <n v="0"/>
    <n v="0.5816005680089259"/>
    <n v="0"/>
    <n v="0.58138387128615143"/>
    <n v="691"/>
    <n v="749"/>
    <n v="13"/>
    <n v="895"/>
    <n v="13"/>
    <n v="1012"/>
    <n v="11"/>
    <n v="333"/>
    <n v="11"/>
    <n v="388"/>
    <n v="52"/>
    <n v="305"/>
    <n v="52"/>
    <n v="330"/>
    <n v="44"/>
    <n v="251"/>
    <n v="44"/>
    <n v="219"/>
    <n v="14"/>
    <n v="163"/>
    <n v="51"/>
    <n v="186"/>
    <n v="45"/>
    <n v="163"/>
    <n v="45"/>
    <n v="175"/>
    <n v="51"/>
    <n v="154"/>
    <n v="14"/>
    <n v="158"/>
    <n v="30"/>
    <n v="135"/>
    <n v="30"/>
    <n v="139"/>
    <n v="50"/>
    <n v="100"/>
    <n v="50"/>
    <n v="97"/>
    <n v="43"/>
    <n v="97"/>
    <n v="43"/>
    <n v="95"/>
    <n v="372"/>
    <n v="396"/>
    <n v="2968"/>
    <n v="10"/>
    <n v="3195"/>
    <n v="10"/>
    <n v="13"/>
    <n v="53"/>
    <n v="13"/>
    <n v="42"/>
    <n v="30"/>
    <n v="31"/>
    <n v="51"/>
    <n v="37"/>
    <n v="51"/>
    <n v="25"/>
    <n v="30"/>
    <n v="33"/>
    <n v="45"/>
    <n v="24"/>
    <n v="45"/>
    <n v="28"/>
    <n v="42"/>
    <n v="21"/>
    <n v="42"/>
    <n v="26"/>
    <n v="26"/>
    <n v="21"/>
    <n v="26"/>
    <n v="22"/>
    <n v="11"/>
    <n v="19"/>
    <n v="40"/>
    <n v="17"/>
    <n v="14"/>
    <n v="18"/>
    <n v="44"/>
    <n v="16"/>
    <n v="40"/>
    <n v="14"/>
    <n v="14"/>
    <n v="15"/>
    <n v="44"/>
    <n v="11"/>
    <n v="11"/>
    <n v="14"/>
    <n v="56"/>
    <n v="47"/>
    <n v="293"/>
    <n v="10"/>
    <n v="0.18088737201365188"/>
    <n v="297"/>
    <n v="10"/>
    <n v="0.14141414141414141"/>
    <n v="3261"/>
    <n v="3492"/>
    <n v="173"/>
    <m/>
    <m/>
    <m/>
    <m/>
    <m/>
    <m/>
    <m/>
    <m/>
    <m/>
    <m/>
    <m/>
    <m/>
    <m/>
    <m/>
    <m/>
    <m/>
    <m/>
    <m/>
    <m/>
    <n v="173"/>
    <n v="0"/>
    <m/>
    <m/>
    <n v="9859"/>
    <n v="10131"/>
  </r>
  <r>
    <x v="14"/>
    <s v="Old Dominion University "/>
    <s v=" "/>
    <n v="232982"/>
    <x v="0"/>
    <n v="65"/>
    <n v="93"/>
    <m/>
    <m/>
    <n v="0"/>
    <n v="0"/>
    <n v="0"/>
    <n v="0"/>
    <n v="3869"/>
    <n v="0"/>
    <n v="0"/>
    <n v="0"/>
    <n v="0"/>
    <n v="3837"/>
    <n v="0"/>
    <n v="0"/>
    <n v="0"/>
    <n v="0"/>
    <m/>
    <m/>
    <m/>
    <m/>
    <m/>
    <m/>
    <m/>
    <m/>
    <m/>
    <m/>
    <m/>
    <m/>
    <m/>
    <m/>
    <m/>
    <m/>
    <m/>
    <m/>
    <m/>
    <m/>
    <n v="0"/>
    <n v="0.71954621536172592"/>
    <n v="0"/>
    <n v="0.7100296076980015"/>
    <n v="126"/>
    <n v="163"/>
    <n v="13"/>
    <n v="387"/>
    <n v="13"/>
    <n v="355"/>
    <n v="14"/>
    <n v="232"/>
    <n v="14"/>
    <n v="221"/>
    <n v="51"/>
    <n v="124"/>
    <n v="51"/>
    <n v="134"/>
    <n v="52"/>
    <n v="75"/>
    <n v="13"/>
    <n v="69"/>
    <n v="13"/>
    <n v="73"/>
    <n v="52"/>
    <n v="68"/>
    <n v="44"/>
    <n v="51"/>
    <n v="44"/>
    <n v="58"/>
    <n v="11"/>
    <n v="41"/>
    <n v="11"/>
    <n v="53"/>
    <n v="40"/>
    <n v="24"/>
    <n v="31"/>
    <n v="28"/>
    <n v="45"/>
    <n v="23"/>
    <n v="40"/>
    <n v="20"/>
    <n v="23"/>
    <n v="17"/>
    <n v="45"/>
    <n v="19"/>
    <n v="61"/>
    <n v="70"/>
    <n v="1108"/>
    <n v="10"/>
    <n v="1095"/>
    <n v="10"/>
    <n v="51"/>
    <n v="83"/>
    <n v="51"/>
    <n v="72"/>
    <n v="13"/>
    <n v="40"/>
    <n v="13"/>
    <n v="49"/>
    <n v="14"/>
    <n v="39"/>
    <n v="14"/>
    <n v="34"/>
    <n v="40"/>
    <n v="10"/>
    <n v="52"/>
    <n v="13"/>
    <n v="52"/>
    <n v="7"/>
    <n v="23"/>
    <n v="10"/>
    <n v="42"/>
    <n v="7"/>
    <n v="40"/>
    <n v="9"/>
    <n v="44"/>
    <n v="4"/>
    <n v="26"/>
    <n v="7"/>
    <n v="26"/>
    <n v="4"/>
    <n v="42"/>
    <n v="7"/>
    <n v="23"/>
    <n v="4"/>
    <n v="45"/>
    <n v="5"/>
    <n v="11"/>
    <n v="4"/>
    <n v="44"/>
    <n v="4"/>
    <n v="7"/>
    <n v="6"/>
    <n v="209"/>
    <n v="10"/>
    <n v="0.39712918660287083"/>
    <n v="216"/>
    <n v="10"/>
    <n v="0.33333333333333331"/>
    <n v="1317"/>
    <n v="1311"/>
    <m/>
    <m/>
    <m/>
    <m/>
    <m/>
    <m/>
    <m/>
    <m/>
    <m/>
    <m/>
    <m/>
    <m/>
    <m/>
    <m/>
    <m/>
    <m/>
    <m/>
    <m/>
    <m/>
    <m/>
    <n v="0"/>
    <n v="0"/>
    <m/>
    <m/>
    <n v="5377"/>
    <n v="5404"/>
  </r>
  <r>
    <x v="14"/>
    <s v="University of Virginia"/>
    <s v=" "/>
    <n v="234076"/>
    <x v="0"/>
    <n v="29"/>
    <n v="32"/>
    <m/>
    <m/>
    <n v="0"/>
    <n v="0"/>
    <n v="0"/>
    <n v="0"/>
    <n v="4148"/>
    <n v="0"/>
    <n v="0"/>
    <n v="0"/>
    <n v="0"/>
    <n v="4171"/>
    <n v="0"/>
    <n v="0"/>
    <n v="0"/>
    <n v="0"/>
    <m/>
    <m/>
    <m/>
    <m/>
    <m/>
    <m/>
    <m/>
    <m/>
    <m/>
    <m/>
    <m/>
    <m/>
    <m/>
    <m/>
    <m/>
    <m/>
    <m/>
    <m/>
    <m/>
    <m/>
    <n v="0"/>
    <n v="0.56566207554888859"/>
    <n v="0"/>
    <n v="0.59230332291962506"/>
    <n v="290"/>
    <n v="312"/>
    <n v="52"/>
    <n v="681"/>
    <n v="52"/>
    <n v="678"/>
    <n v="13"/>
    <n v="358"/>
    <n v="13"/>
    <n v="351"/>
    <n v="51"/>
    <n v="200"/>
    <n v="51"/>
    <n v="210"/>
    <n v="14"/>
    <n v="163"/>
    <n v="11"/>
    <n v="185"/>
    <n v="11"/>
    <n v="116"/>
    <n v="14"/>
    <n v="146"/>
    <n v="27"/>
    <n v="86"/>
    <n v="27"/>
    <n v="110"/>
    <n v="44"/>
    <n v="78"/>
    <n v="42"/>
    <n v="77"/>
    <n v="4"/>
    <n v="73"/>
    <n v="44"/>
    <n v="75"/>
    <n v="42"/>
    <n v="62"/>
    <n v="4"/>
    <n v="70"/>
    <n v="45"/>
    <n v="41"/>
    <n v="22"/>
    <n v="50"/>
    <n v="234"/>
    <n v="237"/>
    <n v="2092"/>
    <n v="10"/>
    <n v="2189"/>
    <n v="10"/>
    <n v="14"/>
    <n v="81"/>
    <n v="14"/>
    <n v="61"/>
    <n v="13"/>
    <n v="46"/>
    <n v="26"/>
    <n v="44"/>
    <n v="26"/>
    <n v="44"/>
    <n v="13"/>
    <n v="37"/>
    <n v="40"/>
    <n v="31"/>
    <n v="40"/>
    <n v="33"/>
    <n v="51"/>
    <n v="25"/>
    <n v="45"/>
    <n v="30"/>
    <n v="45"/>
    <n v="21"/>
    <n v="51"/>
    <n v="26"/>
    <n v="42"/>
    <n v="15"/>
    <n v="42"/>
    <n v="21"/>
    <n v="23"/>
    <n v="14"/>
    <n v="16"/>
    <n v="13"/>
    <n v="38"/>
    <n v="12"/>
    <n v="38"/>
    <n v="13"/>
    <n v="54"/>
    <n v="11"/>
    <n v="27"/>
    <n v="12"/>
    <n v="43"/>
    <n v="48"/>
    <n v="343"/>
    <n v="10"/>
    <n v="0.23615160349854228"/>
    <n v="338"/>
    <n v="10"/>
    <n v="0.18047337278106509"/>
    <n v="2435"/>
    <n v="2527"/>
    <n v="287"/>
    <m/>
    <n v="144"/>
    <m/>
    <m/>
    <m/>
    <m/>
    <m/>
    <m/>
    <m/>
    <m/>
    <m/>
    <m/>
    <m/>
    <m/>
    <m/>
    <m/>
    <m/>
    <m/>
    <m/>
    <n v="431"/>
    <n v="0"/>
    <m/>
    <m/>
    <n v="7333"/>
    <n v="7042"/>
  </r>
  <r>
    <x v="14"/>
    <s v="Virginia Commonwealth University"/>
    <s v=" "/>
    <n v="234030"/>
    <x v="0"/>
    <n v="0"/>
    <n v="0"/>
    <m/>
    <m/>
    <n v="0"/>
    <n v="0"/>
    <n v="0"/>
    <n v="0"/>
    <n v="5255"/>
    <n v="0"/>
    <n v="0"/>
    <n v="0"/>
    <n v="0"/>
    <n v="4942"/>
    <n v="0"/>
    <n v="0"/>
    <n v="0"/>
    <n v="0"/>
    <m/>
    <m/>
    <m/>
    <m/>
    <m/>
    <m/>
    <m/>
    <m/>
    <m/>
    <m/>
    <m/>
    <m/>
    <m/>
    <m/>
    <m/>
    <m/>
    <m/>
    <m/>
    <m/>
    <m/>
    <n v="0"/>
    <n v="0.67973095330487643"/>
    <n v="0"/>
    <n v="0.71107913669064748"/>
    <n v="264"/>
    <n v="243"/>
    <n v="52"/>
    <n v="290"/>
    <n v="52"/>
    <n v="341"/>
    <n v="51"/>
    <n v="275"/>
    <n v="51"/>
    <n v="219"/>
    <n v="13"/>
    <n v="228"/>
    <n v="13"/>
    <n v="205"/>
    <n v="44"/>
    <n v="213"/>
    <n v="44"/>
    <n v="198"/>
    <n v="50"/>
    <n v="67"/>
    <n v="14"/>
    <n v="56"/>
    <n v="26"/>
    <n v="53"/>
    <n v="26"/>
    <n v="54"/>
    <n v="43"/>
    <n v="44"/>
    <n v="31"/>
    <n v="50"/>
    <n v="14"/>
    <n v="37"/>
    <n v="50"/>
    <n v="49"/>
    <n v="31"/>
    <n v="35"/>
    <n v="30"/>
    <n v="37"/>
    <n v="11"/>
    <n v="25"/>
    <n v="45"/>
    <n v="29"/>
    <n v="157"/>
    <n v="153"/>
    <n v="1424"/>
    <n v="10"/>
    <n v="1391"/>
    <n v="10"/>
    <n v="51"/>
    <n v="172"/>
    <n v="51"/>
    <n v="180"/>
    <n v="13"/>
    <n v="48"/>
    <n v="13"/>
    <n v="60"/>
    <n v="26"/>
    <n v="40"/>
    <n v="26"/>
    <n v="46"/>
    <n v="14"/>
    <n v="26"/>
    <n v="14"/>
    <n v="31"/>
    <n v="40"/>
    <n v="21"/>
    <n v="42"/>
    <n v="18"/>
    <n v="42"/>
    <n v="13"/>
    <n v="40"/>
    <n v="17"/>
    <n v="44"/>
    <n v="12"/>
    <n v="30"/>
    <n v="9"/>
    <n v="30"/>
    <n v="9"/>
    <n v="44"/>
    <n v="5"/>
    <n v="52"/>
    <n v="6"/>
    <n v="52"/>
    <n v="3"/>
    <n v="27"/>
    <n v="4"/>
    <n v="27"/>
    <n v="2"/>
    <n v="2"/>
    <n v="3"/>
    <n v="353"/>
    <n v="10"/>
    <n v="0.48725212464589235"/>
    <n v="374"/>
    <n v="10"/>
    <n v="0.48128342245989303"/>
    <n v="1777"/>
    <n v="1765"/>
    <m/>
    <m/>
    <n v="210"/>
    <m/>
    <n v="101"/>
    <m/>
    <n v="124"/>
    <m/>
    <m/>
    <m/>
    <m/>
    <m/>
    <m/>
    <m/>
    <m/>
    <m/>
    <m/>
    <m/>
    <m/>
    <m/>
    <n v="435"/>
    <n v="0"/>
    <m/>
    <m/>
    <n v="7731"/>
    <n v="6950"/>
  </r>
  <r>
    <x v="14"/>
    <s v="Virginia Tech "/>
    <s v=" "/>
    <n v="233921"/>
    <x v="0"/>
    <n v="0"/>
    <n v="0"/>
    <m/>
    <m/>
    <n v="54"/>
    <n v="55"/>
    <n v="7.9005120702267742E-3"/>
    <n v="8.0503512880562064E-3"/>
    <n v="6835"/>
    <n v="0"/>
    <n v="0"/>
    <n v="0"/>
    <n v="0"/>
    <n v="6832"/>
    <n v="0"/>
    <n v="0"/>
    <n v="0"/>
    <n v="0"/>
    <m/>
    <m/>
    <m/>
    <m/>
    <m/>
    <m/>
    <m/>
    <m/>
    <m/>
    <m/>
    <m/>
    <m/>
    <m/>
    <m/>
    <m/>
    <m/>
    <m/>
    <m/>
    <m/>
    <m/>
    <n v="0"/>
    <n v="0.73963856725462618"/>
    <n v="0"/>
    <n v="0.75358482241341274"/>
    <n v="198"/>
    <n v="174"/>
    <n v="14"/>
    <n v="431"/>
    <n v="14"/>
    <n v="393"/>
    <n v="11"/>
    <n v="195"/>
    <n v="52"/>
    <n v="193"/>
    <n v="52"/>
    <n v="190"/>
    <n v="11"/>
    <n v="193"/>
    <n v="13"/>
    <n v="168"/>
    <n v="13"/>
    <n v="135"/>
    <n v="4"/>
    <n v="89"/>
    <n v="3"/>
    <n v="92"/>
    <n v="3"/>
    <n v="84"/>
    <n v="4"/>
    <n v="84"/>
    <n v="1"/>
    <n v="55"/>
    <n v="1"/>
    <n v="62"/>
    <n v="45"/>
    <n v="45"/>
    <n v="45"/>
    <n v="40"/>
    <n v="26"/>
    <n v="40"/>
    <n v="44"/>
    <n v="37"/>
    <n v="27"/>
    <n v="32"/>
    <n v="26"/>
    <n v="36"/>
    <n v="196"/>
    <n v="183"/>
    <n v="1525"/>
    <n v="10"/>
    <n v="1448"/>
    <n v="10"/>
    <n v="14"/>
    <n v="184"/>
    <n v="14"/>
    <n v="220"/>
    <n v="26"/>
    <n v="48"/>
    <n v="26"/>
    <n v="56"/>
    <n v="40"/>
    <n v="41"/>
    <n v="13"/>
    <n v="55"/>
    <n v="13"/>
    <n v="38"/>
    <n v="40"/>
    <n v="42"/>
    <n v="1"/>
    <n v="37"/>
    <n v="45"/>
    <n v="33"/>
    <n v="45"/>
    <n v="30"/>
    <n v="11"/>
    <n v="28"/>
    <n v="11"/>
    <n v="21"/>
    <n v="1"/>
    <n v="28"/>
    <n v="19"/>
    <n v="14"/>
    <n v="27"/>
    <n v="18"/>
    <n v="27"/>
    <n v="11"/>
    <n v="42"/>
    <n v="16"/>
    <n v="44"/>
    <n v="9"/>
    <n v="19"/>
    <n v="16"/>
    <n v="36"/>
    <n v="45"/>
    <n v="469"/>
    <n v="10"/>
    <n v="0.39232409381663114"/>
    <n v="557"/>
    <n v="10"/>
    <n v="0.39497307001795334"/>
    <n v="1994"/>
    <n v="2005"/>
    <m/>
    <m/>
    <n v="37"/>
    <m/>
    <m/>
    <m/>
    <m/>
    <m/>
    <m/>
    <m/>
    <m/>
    <m/>
    <m/>
    <m/>
    <n v="123"/>
    <m/>
    <m/>
    <m/>
    <m/>
    <m/>
    <n v="160"/>
    <n v="0"/>
    <m/>
    <m/>
    <n v="9241"/>
    <n v="9066"/>
  </r>
  <r>
    <x v="14"/>
    <s v="College of William &amp; Mary"/>
    <s v=" "/>
    <n v="231624"/>
    <x v="1"/>
    <n v="0"/>
    <n v="0"/>
    <m/>
    <m/>
    <n v="0"/>
    <n v="0"/>
    <n v="0"/>
    <n v="0"/>
    <n v="1653"/>
    <n v="0"/>
    <n v="0"/>
    <n v="0"/>
    <n v="0"/>
    <n v="1604"/>
    <n v="0"/>
    <n v="0"/>
    <n v="0"/>
    <n v="0"/>
    <m/>
    <m/>
    <m/>
    <m/>
    <m/>
    <m/>
    <m/>
    <m/>
    <m/>
    <m/>
    <m/>
    <m/>
    <m/>
    <m/>
    <m/>
    <m/>
    <m/>
    <m/>
    <m/>
    <m/>
    <n v="0"/>
    <n v="0.60772058823529407"/>
    <n v="0"/>
    <n v="0.64965573106520857"/>
    <n v="9"/>
    <n v="24"/>
    <n v="52"/>
    <n v="466"/>
    <n v="52"/>
    <n v="471"/>
    <n v="13"/>
    <n v="129"/>
    <n v="13"/>
    <n v="127"/>
    <n v="22"/>
    <n v="36"/>
    <n v="22"/>
    <n v="37"/>
    <n v="42"/>
    <n v="19"/>
    <n v="42"/>
    <n v="18"/>
    <n v="26"/>
    <n v="17"/>
    <n v="26"/>
    <n v="18"/>
    <n v="54"/>
    <n v="16"/>
    <n v="11"/>
    <n v="17"/>
    <n v="11"/>
    <n v="13"/>
    <n v="44"/>
    <n v="13"/>
    <n v="44"/>
    <n v="13"/>
    <n v="40"/>
    <n v="12"/>
    <n v="40"/>
    <n v="13"/>
    <n v="54"/>
    <n v="12"/>
    <n v="42"/>
    <n v="7"/>
    <n v="42"/>
    <n v="7"/>
    <n v="14"/>
    <n v="13"/>
    <n v="743"/>
    <n v="10"/>
    <n v="745"/>
    <n v="10"/>
    <n v="13"/>
    <n v="32"/>
    <n v="13"/>
    <n v="47"/>
    <n v="40"/>
    <n v="14"/>
    <n v="26"/>
    <n v="14"/>
    <n v="11"/>
    <n v="12"/>
    <n v="11"/>
    <n v="10"/>
    <n v="26"/>
    <n v="11"/>
    <n v="30"/>
    <n v="9"/>
    <n v="5"/>
    <n v="5"/>
    <n v="5"/>
    <n v="5"/>
    <n v="54"/>
    <n v="4"/>
    <n v="54"/>
    <n v="5"/>
    <n v="45"/>
    <n v="4"/>
    <n v="40"/>
    <n v="4"/>
    <n v="30"/>
    <n v="3"/>
    <n v="45"/>
    <n v="2"/>
    <m/>
    <m/>
    <m/>
    <n v="0"/>
    <m/>
    <m/>
    <m/>
    <n v="0"/>
    <m/>
    <n v="0"/>
    <n v="85"/>
    <n v="8"/>
    <n v="0.37647058823529411"/>
    <n v="96"/>
    <n v="8"/>
    <n v="0.48958333333333331"/>
    <n v="828"/>
    <n v="841"/>
    <n v="230"/>
    <m/>
    <m/>
    <m/>
    <m/>
    <m/>
    <m/>
    <m/>
    <m/>
    <m/>
    <m/>
    <m/>
    <m/>
    <m/>
    <m/>
    <m/>
    <m/>
    <m/>
    <m/>
    <m/>
    <n v="230"/>
    <n v="0"/>
    <m/>
    <m/>
    <n v="2720"/>
    <n v="2469"/>
  </r>
  <r>
    <x v="14"/>
    <s v="James Madison University"/>
    <s v=" "/>
    <n v="232423"/>
    <x v="2"/>
    <n v="0"/>
    <n v="0"/>
    <m/>
    <m/>
    <n v="0"/>
    <n v="0"/>
    <n v="0"/>
    <n v="0"/>
    <n v="4495"/>
    <n v="0"/>
    <n v="0"/>
    <n v="0"/>
    <n v="0"/>
    <n v="4713"/>
    <n v="0"/>
    <n v="0"/>
    <n v="0"/>
    <n v="0"/>
    <m/>
    <m/>
    <m/>
    <m/>
    <m/>
    <m/>
    <m/>
    <m/>
    <m/>
    <m/>
    <m/>
    <m/>
    <m/>
    <m/>
    <m/>
    <m/>
    <m/>
    <m/>
    <m/>
    <m/>
    <n v="0"/>
    <n v="0.85180974038279322"/>
    <n v="0"/>
    <n v="0.84296190305848684"/>
    <n v="19"/>
    <n v="23"/>
    <n v="13"/>
    <n v="334"/>
    <n v="13"/>
    <n v="384"/>
    <n v="52"/>
    <n v="117"/>
    <n v="51"/>
    <n v="122"/>
    <n v="51"/>
    <n v="116"/>
    <n v="52"/>
    <n v="101"/>
    <n v="31"/>
    <n v="28"/>
    <n v="31"/>
    <n v="48"/>
    <n v="42"/>
    <n v="21"/>
    <n v="13"/>
    <n v="23"/>
    <n v="30"/>
    <n v="17"/>
    <n v="50"/>
    <n v="18"/>
    <n v="45"/>
    <n v="16"/>
    <n v="42"/>
    <n v="18"/>
    <n v="23"/>
    <n v="13"/>
    <n v="9"/>
    <n v="17"/>
    <n v="44"/>
    <n v="12"/>
    <n v="44"/>
    <n v="17"/>
    <n v="9"/>
    <n v="12"/>
    <n v="54"/>
    <n v="16"/>
    <n v="40"/>
    <n v="51"/>
    <n v="726"/>
    <n v="10"/>
    <n v="815"/>
    <n v="10"/>
    <n v="51"/>
    <n v="16"/>
    <n v="51"/>
    <n v="21"/>
    <n v="42"/>
    <n v="11"/>
    <n v="42"/>
    <n v="10"/>
    <n v="50"/>
    <n v="6"/>
    <n v="50"/>
    <n v="6"/>
    <n v="30"/>
    <n v="4"/>
    <n v="30"/>
    <n v="3"/>
    <m/>
    <m/>
    <m/>
    <n v="0"/>
    <m/>
    <m/>
    <m/>
    <n v="0"/>
    <m/>
    <m/>
    <m/>
    <n v="0"/>
    <m/>
    <m/>
    <m/>
    <n v="0"/>
    <m/>
    <m/>
    <m/>
    <n v="0"/>
    <m/>
    <m/>
    <m/>
    <n v="0"/>
    <m/>
    <n v="0"/>
    <n v="37"/>
    <n v="4"/>
    <n v="0.43243243243243246"/>
    <n v="40"/>
    <n v="4"/>
    <n v="0.52500000000000002"/>
    <n v="763"/>
    <n v="855"/>
    <m/>
    <m/>
    <m/>
    <m/>
    <m/>
    <m/>
    <m/>
    <m/>
    <m/>
    <m/>
    <m/>
    <m/>
    <m/>
    <m/>
    <m/>
    <m/>
    <m/>
    <m/>
    <m/>
    <m/>
    <n v="0"/>
    <n v="0"/>
    <m/>
    <m/>
    <n v="5277"/>
    <n v="5591"/>
  </r>
  <r>
    <x v="14"/>
    <s v="Longwood University "/>
    <s v="Reclassified: Met the criteria for Four-Year 5 in 2018-19, 2019-20, and 2020-21."/>
    <n v="232566"/>
    <x v="4"/>
    <n v="0"/>
    <n v="0"/>
    <m/>
    <m/>
    <n v="0"/>
    <n v="0"/>
    <n v="0"/>
    <n v="0"/>
    <n v="977"/>
    <n v="0"/>
    <n v="0"/>
    <n v="0"/>
    <n v="0"/>
    <n v="821"/>
    <n v="0"/>
    <n v="0"/>
    <n v="0"/>
    <n v="0"/>
    <m/>
    <m/>
    <m/>
    <m/>
    <m/>
    <m/>
    <m/>
    <m/>
    <m/>
    <m/>
    <m/>
    <m/>
    <m/>
    <m/>
    <m/>
    <m/>
    <m/>
    <m/>
    <m/>
    <m/>
    <n v="0"/>
    <n v="0.88416289592760178"/>
    <n v="0"/>
    <n v="0.83861082737487236"/>
    <n v="0"/>
    <n v="0"/>
    <n v="13"/>
    <n v="86"/>
    <n v="13"/>
    <n v="110"/>
    <n v="51"/>
    <n v="24"/>
    <n v="52"/>
    <n v="26"/>
    <n v="52"/>
    <n v="18"/>
    <n v="51"/>
    <n v="22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n v="0"/>
    <n v="0"/>
    <n v="128"/>
    <n v="3"/>
    <n v="158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28"/>
    <n v="158"/>
    <m/>
    <m/>
    <m/>
    <m/>
    <m/>
    <m/>
    <m/>
    <m/>
    <m/>
    <m/>
    <m/>
    <m/>
    <m/>
    <m/>
    <m/>
    <m/>
    <m/>
    <m/>
    <m/>
    <m/>
    <n v="0"/>
    <n v="0"/>
    <m/>
    <m/>
    <n v="1105"/>
    <n v="979"/>
  </r>
  <r>
    <x v="14"/>
    <s v="Norfolk State University "/>
    <s v="Reclassified: Met the criteria for Four-Year 4 in 2018-19, 2019-20, and 2020-21."/>
    <n v="232937"/>
    <x v="3"/>
    <n v="0"/>
    <n v="0"/>
    <m/>
    <m/>
    <n v="3"/>
    <n v="1"/>
    <n v="4.9180327868852463E-3"/>
    <n v="1.4084507042253522E-3"/>
    <n v="610"/>
    <n v="0"/>
    <n v="0"/>
    <n v="0"/>
    <n v="0"/>
    <n v="710"/>
    <n v="0"/>
    <n v="0"/>
    <n v="0"/>
    <n v="0"/>
    <m/>
    <m/>
    <m/>
    <m/>
    <m/>
    <m/>
    <m/>
    <m/>
    <m/>
    <m/>
    <m/>
    <m/>
    <m/>
    <m/>
    <m/>
    <m/>
    <m/>
    <m/>
    <m/>
    <m/>
    <n v="0"/>
    <n v="0.76249999999999996"/>
    <n v="0"/>
    <n v="0.81891580161476352"/>
    <n v="0"/>
    <n v="0"/>
    <n v="44"/>
    <n v="72"/>
    <n v="44"/>
    <n v="42"/>
    <n v="13"/>
    <n v="53"/>
    <n v="13"/>
    <n v="39"/>
    <n v="11"/>
    <n v="20"/>
    <n v="11"/>
    <n v="31"/>
    <n v="43"/>
    <n v="10"/>
    <n v="50"/>
    <n v="8"/>
    <n v="9"/>
    <n v="7"/>
    <n v="9"/>
    <n v="8"/>
    <n v="14"/>
    <n v="6"/>
    <n v="14"/>
    <n v="7"/>
    <n v="50"/>
    <n v="4"/>
    <n v="45"/>
    <n v="6"/>
    <n v="45"/>
    <n v="4"/>
    <n v="43"/>
    <n v="5"/>
    <n v="40"/>
    <n v="1"/>
    <n v="40"/>
    <n v="4"/>
    <m/>
    <m/>
    <m/>
    <n v="0"/>
    <n v="0"/>
    <n v="0"/>
    <n v="177"/>
    <n v="9"/>
    <n v="150"/>
    <n v="9"/>
    <n v="40"/>
    <n v="5"/>
    <n v="44"/>
    <n v="3"/>
    <n v="42"/>
    <n v="3"/>
    <n v="42"/>
    <n v="2"/>
    <n v="44"/>
    <n v="2"/>
    <n v="4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"/>
    <n v="3"/>
    <n v="0.5"/>
    <n v="6"/>
    <n v="3"/>
    <n v="0.5"/>
    <n v="187"/>
    <n v="156"/>
    <m/>
    <m/>
    <m/>
    <m/>
    <m/>
    <m/>
    <m/>
    <m/>
    <m/>
    <m/>
    <m/>
    <m/>
    <m/>
    <m/>
    <m/>
    <m/>
    <m/>
    <m/>
    <m/>
    <m/>
    <n v="0"/>
    <n v="0"/>
    <m/>
    <m/>
    <n v="800"/>
    <n v="867"/>
  </r>
  <r>
    <x v="14"/>
    <s v="Radford University"/>
    <s v=" "/>
    <n v="233277"/>
    <x v="2"/>
    <n v="30"/>
    <n v="20"/>
    <m/>
    <m/>
    <n v="0"/>
    <n v="31"/>
    <n v="0"/>
    <n v="1.6489361702127659E-2"/>
    <n v="1843"/>
    <n v="0"/>
    <n v="0"/>
    <n v="0"/>
    <n v="0"/>
    <n v="1880"/>
    <n v="0"/>
    <n v="0"/>
    <n v="0"/>
    <n v="0"/>
    <m/>
    <m/>
    <m/>
    <m/>
    <m/>
    <m/>
    <m/>
    <m/>
    <m/>
    <m/>
    <m/>
    <m/>
    <m/>
    <m/>
    <m/>
    <m/>
    <m/>
    <m/>
    <m/>
    <m/>
    <n v="0"/>
    <n v="0.82020471740097911"/>
    <n v="0"/>
    <n v="0.77366255144032925"/>
    <n v="19"/>
    <n v="14"/>
    <n v="13"/>
    <n v="135"/>
    <n v="51"/>
    <n v="156"/>
    <n v="51"/>
    <n v="47"/>
    <n v="13"/>
    <n v="148"/>
    <n v="44"/>
    <n v="42"/>
    <n v="44"/>
    <n v="47"/>
    <n v="42"/>
    <n v="26"/>
    <n v="42"/>
    <n v="27"/>
    <n v="50"/>
    <n v="13"/>
    <n v="52"/>
    <n v="17"/>
    <n v="43"/>
    <n v="13"/>
    <n v="50"/>
    <n v="11"/>
    <n v="23"/>
    <n v="10"/>
    <n v="9"/>
    <n v="8"/>
    <n v="52"/>
    <n v="10"/>
    <n v="42"/>
    <n v="6"/>
    <n v="9"/>
    <n v="8"/>
    <n v="23"/>
    <n v="5"/>
    <n v="42"/>
    <n v="6"/>
    <n v="43"/>
    <n v="3"/>
    <n v="5"/>
    <n v="1"/>
    <n v="315"/>
    <n v="10"/>
    <n v="429"/>
    <n v="10"/>
    <n v="51"/>
    <n v="35"/>
    <n v="51"/>
    <n v="52"/>
    <n v="42"/>
    <n v="5"/>
    <n v="42"/>
    <n v="4"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40"/>
    <n v="2"/>
    <n v="0.875"/>
    <n v="56"/>
    <n v="2"/>
    <n v="0.9285714285714286"/>
    <n v="355"/>
    <n v="485"/>
    <m/>
    <m/>
    <m/>
    <m/>
    <m/>
    <m/>
    <m/>
    <m/>
    <m/>
    <m/>
    <m/>
    <m/>
    <m/>
    <m/>
    <m/>
    <m/>
    <m/>
    <m/>
    <m/>
    <m/>
    <n v="0"/>
    <n v="0"/>
    <m/>
    <m/>
    <n v="2247"/>
    <n v="2430"/>
  </r>
  <r>
    <x v="14"/>
    <s v="University of Mary Washington "/>
    <s v="Reclassified: Met the criteria for Four-Year 5 in 2018-19, 2019-20, and 2020-21."/>
    <n v="232681"/>
    <x v="4"/>
    <n v="29"/>
    <n v="27"/>
    <m/>
    <m/>
    <n v="0"/>
    <n v="0"/>
    <n v="0"/>
    <n v="0"/>
    <n v="1021"/>
    <n v="0"/>
    <n v="0"/>
    <n v="0"/>
    <n v="0"/>
    <n v="1038"/>
    <n v="0"/>
    <n v="0"/>
    <n v="0"/>
    <n v="0"/>
    <m/>
    <m/>
    <m/>
    <m/>
    <m/>
    <m/>
    <m/>
    <m/>
    <m/>
    <m/>
    <m/>
    <m/>
    <m/>
    <m/>
    <m/>
    <m/>
    <m/>
    <m/>
    <m/>
    <m/>
    <n v="0"/>
    <n v="0.84800664451827246"/>
    <n v="0"/>
    <n v="0.83844911147011314"/>
    <n v="1"/>
    <n v="0"/>
    <n v="13"/>
    <n v="106"/>
    <n v="13"/>
    <n v="133"/>
    <n v="52"/>
    <n v="37"/>
    <n v="52"/>
    <n v="35"/>
    <n v="45"/>
    <n v="10"/>
    <n v="45"/>
    <n v="5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n v="0"/>
    <n v="0"/>
    <n v="153"/>
    <n v="3"/>
    <n v="17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53"/>
    <n v="173"/>
    <m/>
    <m/>
    <m/>
    <m/>
    <m/>
    <m/>
    <m/>
    <m/>
    <m/>
    <m/>
    <m/>
    <m/>
    <m/>
    <m/>
    <m/>
    <m/>
    <m/>
    <m/>
    <m/>
    <m/>
    <n v="0"/>
    <n v="0"/>
    <m/>
    <m/>
    <n v="1204"/>
    <n v="1238"/>
  </r>
  <r>
    <x v="14"/>
    <s v="Virginia State University "/>
    <s v=" "/>
    <n v="234155"/>
    <x v="2"/>
    <n v="0"/>
    <n v="0"/>
    <m/>
    <m/>
    <n v="0"/>
    <n v="0"/>
    <n v="0"/>
    <n v="0"/>
    <n v="672"/>
    <n v="0"/>
    <n v="0"/>
    <n v="0"/>
    <n v="0"/>
    <n v="643"/>
    <n v="0"/>
    <n v="0"/>
    <n v="0"/>
    <n v="0"/>
    <m/>
    <m/>
    <m/>
    <m/>
    <m/>
    <m/>
    <m/>
    <m/>
    <m/>
    <m/>
    <m/>
    <m/>
    <m/>
    <m/>
    <m/>
    <m/>
    <m/>
    <m/>
    <m/>
    <m/>
    <n v="0"/>
    <n v="0.81553398058252424"/>
    <n v="0"/>
    <n v="0.83506493506493507"/>
    <n v="20"/>
    <n v="12"/>
    <n v="52"/>
    <n v="28"/>
    <n v="52"/>
    <n v="28"/>
    <n v="13"/>
    <n v="21"/>
    <n v="13"/>
    <n v="18"/>
    <n v="31"/>
    <n v="19"/>
    <n v="27"/>
    <n v="17"/>
    <n v="9"/>
    <n v="10"/>
    <n v="31"/>
    <n v="13"/>
    <n v="26"/>
    <n v="7"/>
    <n v="42"/>
    <n v="7"/>
    <n v="27"/>
    <n v="7"/>
    <n v="30"/>
    <n v="6"/>
    <n v="11"/>
    <n v="6"/>
    <n v="11"/>
    <n v="6"/>
    <n v="42"/>
    <n v="6"/>
    <n v="43"/>
    <n v="4"/>
    <n v="43"/>
    <n v="5"/>
    <n v="26"/>
    <n v="3"/>
    <n v="30"/>
    <n v="4"/>
    <n v="9"/>
    <n v="2"/>
    <n v="0"/>
    <n v="0"/>
    <n v="113"/>
    <n v="10"/>
    <n v="104"/>
    <n v="10"/>
    <n v="13"/>
    <n v="16"/>
    <n v="13"/>
    <n v="7"/>
    <n v="42"/>
    <n v="3"/>
    <n v="42"/>
    <n v="4"/>
    <m/>
    <m/>
    <m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9"/>
    <n v="2"/>
    <n v="0.84210526315789469"/>
    <n v="11"/>
    <n v="2"/>
    <n v="0.63636363636363635"/>
    <n v="132"/>
    <n v="115"/>
    <m/>
    <m/>
    <m/>
    <m/>
    <m/>
    <m/>
    <m/>
    <m/>
    <m/>
    <m/>
    <m/>
    <m/>
    <m/>
    <m/>
    <m/>
    <m/>
    <m/>
    <m/>
    <m/>
    <m/>
    <n v="0"/>
    <n v="0"/>
    <m/>
    <m/>
    <n v="824"/>
    <n v="770"/>
  </r>
  <r>
    <x v="14"/>
    <s v="Christopher Newport University"/>
    <s v=" "/>
    <n v="231712"/>
    <x v="4"/>
    <n v="0"/>
    <n v="0"/>
    <m/>
    <m/>
    <n v="0"/>
    <n v="0"/>
    <n v="0"/>
    <n v="0"/>
    <n v="1088"/>
    <n v="0"/>
    <n v="0"/>
    <n v="0"/>
    <n v="0"/>
    <n v="1105"/>
    <n v="0"/>
    <n v="0"/>
    <n v="0"/>
    <n v="0"/>
    <m/>
    <m/>
    <m/>
    <m/>
    <m/>
    <m/>
    <m/>
    <m/>
    <m/>
    <m/>
    <m/>
    <m/>
    <m/>
    <m/>
    <m/>
    <m/>
    <m/>
    <m/>
    <m/>
    <m/>
    <n v="0"/>
    <n v="0.93712316968130926"/>
    <n v="0"/>
    <n v="0.94606164383561642"/>
    <n v="0"/>
    <n v="0"/>
    <n v="13"/>
    <n v="60"/>
    <n v="13"/>
    <n v="52"/>
    <n v="3"/>
    <n v="7"/>
    <n v="40"/>
    <n v="10"/>
    <n v="40"/>
    <n v="6"/>
    <n v="3"/>
    <n v="1"/>
    <m/>
    <m/>
    <m/>
    <n v="0"/>
    <m/>
    <m/>
    <m/>
    <n v="0"/>
    <m/>
    <m/>
    <m/>
    <n v="0"/>
    <m/>
    <m/>
    <m/>
    <n v="0"/>
    <m/>
    <m/>
    <m/>
    <n v="0"/>
    <m/>
    <m/>
    <m/>
    <n v="0"/>
    <m/>
    <m/>
    <m/>
    <n v="0"/>
    <n v="0"/>
    <n v="0"/>
    <n v="73"/>
    <n v="3"/>
    <n v="63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3"/>
    <n v="63"/>
    <m/>
    <m/>
    <m/>
    <m/>
    <m/>
    <m/>
    <m/>
    <m/>
    <m/>
    <m/>
    <m/>
    <m/>
    <m/>
    <m/>
    <m/>
    <m/>
    <m/>
    <m/>
    <m/>
    <m/>
    <n v="0"/>
    <n v="0"/>
    <m/>
    <m/>
    <n v="1161"/>
    <n v="1168"/>
  </r>
  <r>
    <x v="14"/>
    <s v="University of Virginia's College at Wise "/>
    <s v=" "/>
    <n v="233897"/>
    <x v="5"/>
    <n v="0"/>
    <n v="0"/>
    <m/>
    <m/>
    <n v="0"/>
    <n v="0"/>
    <n v="0"/>
    <n v="0"/>
    <n v="261"/>
    <n v="0"/>
    <n v="0"/>
    <n v="0"/>
    <n v="0"/>
    <n v="232"/>
    <n v="0"/>
    <n v="0"/>
    <n v="0"/>
    <n v="0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61"/>
    <n v="232"/>
  </r>
  <r>
    <x v="14"/>
    <s v="J.S. Reynolds Community College"/>
    <s v=" "/>
    <n v="232414"/>
    <x v="6"/>
    <n v="480"/>
    <n v="262"/>
    <m/>
    <m/>
    <n v="922"/>
    <n v="1055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402"/>
    <n v="1317"/>
  </r>
  <r>
    <x v="14"/>
    <s v="John Tyler Community College"/>
    <s v=" "/>
    <n v="232450"/>
    <x v="6"/>
    <n v="883"/>
    <n v="764"/>
    <m/>
    <m/>
    <n v="971"/>
    <n v="985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54"/>
    <n v="1749"/>
  </r>
  <r>
    <x v="14"/>
    <s v="Northern Virginia Community College "/>
    <s v=" "/>
    <n v="232946"/>
    <x v="6"/>
    <n v="2325"/>
    <n v="2629"/>
    <m/>
    <m/>
    <n v="5266"/>
    <n v="5157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591"/>
    <n v="7786"/>
  </r>
  <r>
    <x v="14"/>
    <s v="Thomas Nelson Community College "/>
    <s v="Met the criteria for Two-Year 2 in 2019-20 and 2020-21."/>
    <n v="233754"/>
    <x v="6"/>
    <n v="642"/>
    <n v="532"/>
    <m/>
    <m/>
    <n v="903"/>
    <n v="853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545"/>
    <n v="1385"/>
  </r>
  <r>
    <x v="14"/>
    <s v="Tidewater Community College "/>
    <s v=" "/>
    <n v="233772"/>
    <x v="6"/>
    <n v="1774"/>
    <n v="1253"/>
    <m/>
    <m/>
    <n v="2591"/>
    <n v="238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365"/>
    <n v="3637"/>
  </r>
  <r>
    <x v="14"/>
    <s v="Blue Ridge Community College "/>
    <s v=" "/>
    <n v="231536"/>
    <x v="7"/>
    <n v="561"/>
    <n v="557"/>
    <m/>
    <m/>
    <n v="478"/>
    <n v="43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039"/>
    <n v="991"/>
  </r>
  <r>
    <x v="14"/>
    <s v="Central Virginia Community College "/>
    <s v=" "/>
    <n v="231697"/>
    <x v="7"/>
    <n v="825"/>
    <n v="702"/>
    <m/>
    <m/>
    <n v="441"/>
    <n v="408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66"/>
    <n v="1110"/>
  </r>
  <r>
    <x v="14"/>
    <s v="Germanna Community College"/>
    <s v=" "/>
    <n v="232195"/>
    <x v="7"/>
    <n v="916"/>
    <n v="942"/>
    <m/>
    <m/>
    <n v="874"/>
    <n v="905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90"/>
    <n v="1847"/>
  </r>
  <r>
    <x v="14"/>
    <s v="Lord Fairfax Community College"/>
    <s v=" "/>
    <n v="232575"/>
    <x v="7"/>
    <n v="880"/>
    <n v="761"/>
    <m/>
    <m/>
    <n v="849"/>
    <n v="86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729"/>
    <n v="1621"/>
  </r>
  <r>
    <x v="14"/>
    <s v="New River Community College "/>
    <s v=" "/>
    <n v="232867"/>
    <x v="7"/>
    <n v="219"/>
    <n v="241"/>
    <m/>
    <m/>
    <n v="422"/>
    <n v="480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1"/>
    <n v="721"/>
  </r>
  <r>
    <x v="14"/>
    <s v="Piedmont Virginia Community College "/>
    <s v=" "/>
    <n v="233116"/>
    <x v="7"/>
    <n v="701"/>
    <n v="669"/>
    <m/>
    <m/>
    <n v="559"/>
    <n v="545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60"/>
    <n v="1214"/>
  </r>
  <r>
    <x v="14"/>
    <s v="Southside Virginia Community College"/>
    <s v="Met the criteria for Two-Year 3 in 2019-20 and 2020-21."/>
    <n v="233639"/>
    <x v="7"/>
    <n v="761"/>
    <n v="495"/>
    <m/>
    <m/>
    <n v="500"/>
    <n v="466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61"/>
    <n v="961"/>
  </r>
  <r>
    <x v="14"/>
    <s v="Virginia Western Community College "/>
    <s v=" "/>
    <n v="233949"/>
    <x v="7"/>
    <n v="507"/>
    <n v="355"/>
    <m/>
    <m/>
    <n v="703"/>
    <n v="661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10"/>
    <n v="1016"/>
  </r>
  <r>
    <x v="14"/>
    <s v="D.S. Lancaster Community College "/>
    <s v=" "/>
    <n v="231873"/>
    <x v="8"/>
    <n v="198"/>
    <n v="152"/>
    <m/>
    <m/>
    <n v="115"/>
    <n v="109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3"/>
    <n v="261"/>
  </r>
  <r>
    <x v="14"/>
    <s v="Danville Community College "/>
    <s v=" "/>
    <n v="231882"/>
    <x v="8"/>
    <n v="500"/>
    <n v="677"/>
    <m/>
    <m/>
    <n v="225"/>
    <n v="221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25"/>
    <n v="898"/>
  </r>
  <r>
    <x v="14"/>
    <s v="Eastern Shore Community College"/>
    <s v=" "/>
    <n v="232052"/>
    <x v="8"/>
    <n v="94"/>
    <n v="85"/>
    <m/>
    <m/>
    <n v="37"/>
    <n v="45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31"/>
    <n v="130"/>
  </r>
  <r>
    <x v="14"/>
    <s v="Mountain Empire Community College"/>
    <s v=" "/>
    <n v="232788"/>
    <x v="8"/>
    <n v="421"/>
    <n v="444"/>
    <m/>
    <m/>
    <n v="252"/>
    <n v="26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73"/>
    <n v="708"/>
  </r>
  <r>
    <x v="14"/>
    <s v="Patrick Henry Community College "/>
    <s v=" "/>
    <n v="233019"/>
    <x v="8"/>
    <n v="472"/>
    <n v="302"/>
    <m/>
    <m/>
    <n v="344"/>
    <n v="346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16"/>
    <n v="648"/>
  </r>
  <r>
    <x v="14"/>
    <s v="Paul D. Camp Community College"/>
    <s v=" "/>
    <n v="233037"/>
    <x v="8"/>
    <n v="149"/>
    <n v="164"/>
    <m/>
    <m/>
    <n v="142"/>
    <n v="118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91"/>
    <n v="282"/>
  </r>
  <r>
    <x v="14"/>
    <s v="Rappahannock Community College"/>
    <s v=" "/>
    <n v="233310"/>
    <x v="8"/>
    <n v="685"/>
    <n v="644"/>
    <m/>
    <m/>
    <n v="278"/>
    <n v="346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63"/>
    <n v="990"/>
  </r>
  <r>
    <x v="14"/>
    <s v="Richard Bland College "/>
    <s v=" "/>
    <n v="233338"/>
    <x v="8"/>
    <n v="21"/>
    <n v="6"/>
    <m/>
    <m/>
    <n v="228"/>
    <n v="21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9"/>
    <n v="220"/>
  </r>
  <r>
    <x v="14"/>
    <s v="Southwest Virginia Community College "/>
    <s v=" "/>
    <n v="233648"/>
    <x v="8"/>
    <n v="213"/>
    <n v="259"/>
    <m/>
    <m/>
    <n v="260"/>
    <n v="244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73"/>
    <n v="503"/>
  </r>
  <r>
    <x v="14"/>
    <s v="Virginia Highlands Community College "/>
    <s v=" "/>
    <n v="233903"/>
    <x v="8"/>
    <n v="305"/>
    <n v="351"/>
    <m/>
    <m/>
    <n v="258"/>
    <n v="249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563"/>
    <n v="600"/>
  </r>
  <r>
    <x v="14"/>
    <s v="Wytheville Community College "/>
    <s v=" "/>
    <n v="234377"/>
    <x v="8"/>
    <n v="331"/>
    <n v="386"/>
    <m/>
    <m/>
    <n v="316"/>
    <n v="318"/>
    <n v="0"/>
    <n v="0"/>
    <n v="0"/>
    <n v="0"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47"/>
    <n v="704"/>
  </r>
  <r>
    <x v="14"/>
    <s v="Virginia Military Institute"/>
    <s v=" "/>
    <n v="234085"/>
    <x v="11"/>
    <n v="0"/>
    <n v="0"/>
    <m/>
    <m/>
    <n v="0"/>
    <n v="0"/>
    <n v="0"/>
    <n v="0"/>
    <n v="351"/>
    <n v="0"/>
    <n v="0"/>
    <n v="0"/>
    <n v="0"/>
    <n v="372"/>
    <n v="0"/>
    <n v="0"/>
    <n v="0"/>
    <n v="0"/>
    <m/>
    <m/>
    <m/>
    <m/>
    <m/>
    <m/>
    <m/>
    <m/>
    <m/>
    <m/>
    <m/>
    <m/>
    <m/>
    <m/>
    <m/>
    <m/>
    <m/>
    <m/>
    <m/>
    <m/>
    <n v="0"/>
    <n v="1"/>
    <n v="0"/>
    <n v="1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51"/>
    <n v="372"/>
  </r>
  <r>
    <x v="15"/>
    <s v="West Virginia University"/>
    <s v=" "/>
    <n v="238032"/>
    <x v="0"/>
    <m/>
    <m/>
    <m/>
    <m/>
    <m/>
    <m/>
    <n v="0"/>
    <n v="0"/>
    <n v="4561"/>
    <n v="0"/>
    <n v="0"/>
    <n v="0"/>
    <n v="0"/>
    <n v="4649"/>
    <n v="0"/>
    <n v="0"/>
    <n v="0"/>
    <n v="0"/>
    <m/>
    <m/>
    <m/>
    <m/>
    <m/>
    <m/>
    <m/>
    <m/>
    <m/>
    <m/>
    <m/>
    <m/>
    <m/>
    <m/>
    <m/>
    <m/>
    <m/>
    <m/>
    <m/>
    <m/>
    <n v="0"/>
    <n v="0.69011953396883041"/>
    <n v="0"/>
    <n v="0.70685722974000309"/>
    <m/>
    <m/>
    <n v="13"/>
    <n v="310"/>
    <n v="13"/>
    <n v="305"/>
    <n v="52"/>
    <n v="284"/>
    <n v="52"/>
    <n v="246"/>
    <n v="51"/>
    <n v="197"/>
    <n v="51"/>
    <n v="212"/>
    <n v="9"/>
    <n v="185"/>
    <n v="9"/>
    <n v="193"/>
    <n v="44"/>
    <n v="108"/>
    <n v="14"/>
    <n v="69"/>
    <n v="14"/>
    <n v="98"/>
    <n v="44"/>
    <n v="57"/>
    <n v="50"/>
    <n v="45"/>
    <n v="16"/>
    <n v="28"/>
    <n v="1"/>
    <n v="33"/>
    <n v="26"/>
    <n v="26"/>
    <n v="27"/>
    <n v="29"/>
    <n v="43"/>
    <n v="23"/>
    <n v="16"/>
    <n v="26"/>
    <n v="42"/>
    <n v="21"/>
    <n v="166"/>
    <n v="160"/>
    <n v="1481"/>
    <n v="10"/>
    <n v="1340"/>
    <n v="10"/>
    <n v="14"/>
    <n v="28"/>
    <n v="14"/>
    <n v="38"/>
    <n v="3"/>
    <n v="23"/>
    <n v="26"/>
    <n v="25"/>
    <n v="40"/>
    <n v="22"/>
    <n v="40"/>
    <n v="19"/>
    <n v="26"/>
    <n v="21"/>
    <n v="42"/>
    <n v="19"/>
    <n v="42"/>
    <n v="13"/>
    <n v="50"/>
    <n v="16"/>
    <n v="51"/>
    <n v="13"/>
    <n v="3"/>
    <n v="14"/>
    <n v="50"/>
    <n v="12"/>
    <n v="52"/>
    <n v="12"/>
    <n v="45"/>
    <n v="11"/>
    <n v="45"/>
    <n v="10"/>
    <n v="52"/>
    <n v="11"/>
    <n v="27"/>
    <n v="8"/>
    <n v="31"/>
    <n v="8"/>
    <n v="51"/>
    <n v="7"/>
    <n v="32"/>
    <n v="31"/>
    <n v="194"/>
    <n v="10"/>
    <n v="0.14432989690721648"/>
    <n v="199"/>
    <n v="10"/>
    <n v="0.19095477386934673"/>
    <n v="1675"/>
    <n v="1539"/>
    <n v="101"/>
    <n v="107"/>
    <n v="93"/>
    <n v="101"/>
    <n v="45"/>
    <n v="47"/>
    <n v="71"/>
    <n v="72"/>
    <m/>
    <m/>
    <m/>
    <m/>
    <m/>
    <m/>
    <m/>
    <m/>
    <m/>
    <m/>
    <n v="63"/>
    <n v="62"/>
    <n v="373"/>
    <n v="389"/>
    <m/>
    <m/>
    <n v="6609"/>
    <n v="6577"/>
  </r>
  <r>
    <x v="15"/>
    <s v="Marshall University "/>
    <s v=" "/>
    <n v="237525"/>
    <x v="2"/>
    <m/>
    <m/>
    <m/>
    <m/>
    <n v="115"/>
    <n v="114"/>
    <n v="6.9235400361228175E-2"/>
    <n v="7.0024570024570021E-2"/>
    <n v="1661"/>
    <n v="0"/>
    <n v="0"/>
    <n v="0"/>
    <n v="0"/>
    <n v="1628"/>
    <n v="0"/>
    <n v="0"/>
    <n v="0"/>
    <n v="0"/>
    <m/>
    <m/>
    <m/>
    <m/>
    <m/>
    <m/>
    <m/>
    <m/>
    <m/>
    <m/>
    <m/>
    <m/>
    <m/>
    <m/>
    <m/>
    <m/>
    <m/>
    <m/>
    <m/>
    <m/>
    <n v="0"/>
    <n v="0.57474048442906578"/>
    <n v="0"/>
    <n v="0.58246869409660107"/>
    <m/>
    <m/>
    <n v="13"/>
    <n v="269"/>
    <n v="13"/>
    <n v="276"/>
    <n v="51"/>
    <n v="141"/>
    <n v="51"/>
    <n v="153"/>
    <n v="52"/>
    <n v="120"/>
    <n v="52"/>
    <n v="127"/>
    <n v="44"/>
    <n v="73"/>
    <n v="42"/>
    <n v="49"/>
    <n v="11"/>
    <n v="59"/>
    <n v="44"/>
    <n v="45"/>
    <n v="14"/>
    <n v="46"/>
    <n v="11"/>
    <n v="26"/>
    <n v="42"/>
    <n v="38"/>
    <n v="14"/>
    <n v="26"/>
    <n v="43"/>
    <n v="30"/>
    <n v="43"/>
    <n v="21"/>
    <n v="43"/>
    <n v="23"/>
    <n v="23"/>
    <n v="19"/>
    <n v="31"/>
    <n v="15"/>
    <n v="26"/>
    <n v="17"/>
    <n v="68"/>
    <n v="55"/>
    <n v="882"/>
    <n v="10"/>
    <n v="814"/>
    <n v="10"/>
    <n v="13"/>
    <n v="19"/>
    <n v="13"/>
    <n v="11"/>
    <n v="26"/>
    <n v="7"/>
    <n v="26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26"/>
    <n v="2"/>
    <n v="0.73076923076923073"/>
    <n v="16"/>
    <n v="2"/>
    <n v="0.6875"/>
    <n v="908"/>
    <n v="830"/>
    <m/>
    <m/>
    <n v="60"/>
    <n v="79"/>
    <m/>
    <m/>
    <n v="76"/>
    <n v="71"/>
    <m/>
    <m/>
    <m/>
    <m/>
    <m/>
    <m/>
    <m/>
    <m/>
    <m/>
    <m/>
    <n v="70"/>
    <n v="73"/>
    <n v="206"/>
    <n v="223"/>
    <m/>
    <m/>
    <n v="2890"/>
    <n v="2795"/>
  </r>
  <r>
    <x v="15"/>
    <s v="Concord University "/>
    <s v=" "/>
    <n v="237330"/>
    <x v="4"/>
    <m/>
    <m/>
    <m/>
    <m/>
    <m/>
    <m/>
    <n v="0"/>
    <n v="0"/>
    <n v="383"/>
    <n v="0"/>
    <n v="0"/>
    <n v="0"/>
    <n v="0"/>
    <n v="370"/>
    <n v="0"/>
    <n v="0"/>
    <n v="0"/>
    <n v="0"/>
    <m/>
    <m/>
    <m/>
    <m/>
    <m/>
    <m/>
    <m/>
    <m/>
    <m/>
    <m/>
    <m/>
    <m/>
    <m/>
    <m/>
    <m/>
    <m/>
    <m/>
    <m/>
    <m/>
    <m/>
    <n v="0"/>
    <n v="0.77845528455284552"/>
    <n v="0"/>
    <n v="0.74596774193548387"/>
    <m/>
    <m/>
    <n v="44"/>
    <n v="60"/>
    <n v="44"/>
    <n v="68"/>
    <n v="13"/>
    <n v="37"/>
    <n v="13"/>
    <n v="38"/>
    <n v="51"/>
    <n v="12"/>
    <n v="51"/>
    <n v="2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109"/>
    <n v="3"/>
    <n v="126"/>
    <n v="3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109"/>
    <n v="126"/>
    <m/>
    <m/>
    <m/>
    <m/>
    <m/>
    <m/>
    <m/>
    <m/>
    <m/>
    <m/>
    <m/>
    <m/>
    <m/>
    <m/>
    <m/>
    <m/>
    <m/>
    <m/>
    <m/>
    <m/>
    <n v="0"/>
    <n v="0"/>
    <m/>
    <m/>
    <n v="492"/>
    <n v="496"/>
  </r>
  <r>
    <x v="15"/>
    <s v="Fairmont State University"/>
    <s v=" "/>
    <n v="237367"/>
    <x v="4"/>
    <m/>
    <m/>
    <m/>
    <m/>
    <n v="106"/>
    <n v="144"/>
    <n v="0.16562499999999999"/>
    <n v="0.22119815668202766"/>
    <n v="640"/>
    <n v="0"/>
    <n v="0"/>
    <n v="0"/>
    <n v="0"/>
    <n v="651"/>
    <n v="0"/>
    <n v="0"/>
    <n v="0"/>
    <n v="0"/>
    <m/>
    <m/>
    <m/>
    <m/>
    <m/>
    <m/>
    <m/>
    <m/>
    <m/>
    <m/>
    <m/>
    <m/>
    <m/>
    <m/>
    <m/>
    <m/>
    <m/>
    <m/>
    <m/>
    <m/>
    <n v="0"/>
    <n v="0.77575757575757576"/>
    <n v="0"/>
    <n v="0.73809523809523814"/>
    <m/>
    <m/>
    <n v="13"/>
    <n v="52"/>
    <n v="13"/>
    <n v="46"/>
    <n v="43"/>
    <n v="15"/>
    <n v="52"/>
    <n v="22"/>
    <n v="52"/>
    <n v="11"/>
    <n v="43"/>
    <n v="16"/>
    <n v="4"/>
    <n v="1"/>
    <n v="4"/>
    <n v="3"/>
    <m/>
    <m/>
    <m/>
    <m/>
    <m/>
    <m/>
    <m/>
    <m/>
    <m/>
    <m/>
    <m/>
    <m/>
    <m/>
    <m/>
    <m/>
    <m/>
    <m/>
    <m/>
    <m/>
    <m/>
    <m/>
    <m/>
    <m/>
    <m/>
    <m/>
    <m/>
    <n v="79"/>
    <n v="4"/>
    <n v="87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79"/>
    <n v="87"/>
    <m/>
    <m/>
    <m/>
    <m/>
    <m/>
    <m/>
    <m/>
    <m/>
    <m/>
    <m/>
    <m/>
    <m/>
    <m/>
    <m/>
    <m/>
    <m/>
    <m/>
    <m/>
    <m/>
    <m/>
    <n v="0"/>
    <n v="0"/>
    <m/>
    <m/>
    <n v="825"/>
    <n v="882"/>
  </r>
  <r>
    <x v="15"/>
    <s v="Shepherd University "/>
    <s v=" "/>
    <n v="237792"/>
    <x v="4"/>
    <m/>
    <m/>
    <m/>
    <m/>
    <m/>
    <m/>
    <n v="0"/>
    <n v="0"/>
    <n v="652"/>
    <n v="0"/>
    <n v="0"/>
    <n v="0"/>
    <n v="0"/>
    <n v="634"/>
    <n v="0"/>
    <n v="0"/>
    <n v="0"/>
    <n v="0"/>
    <m/>
    <m/>
    <m/>
    <m/>
    <m/>
    <m/>
    <m/>
    <m/>
    <m/>
    <m/>
    <m/>
    <m/>
    <m/>
    <m/>
    <m/>
    <m/>
    <m/>
    <m/>
    <m/>
    <m/>
    <n v="0"/>
    <n v="0.91444600280504906"/>
    <n v="0"/>
    <n v="0.91884057971014488"/>
    <m/>
    <m/>
    <n v="13"/>
    <n v="28"/>
    <n v="52"/>
    <n v="28"/>
    <n v="52"/>
    <n v="28"/>
    <n v="13"/>
    <n v="17"/>
    <n v="11"/>
    <n v="2"/>
    <n v="11"/>
    <n v="2"/>
    <m/>
    <m/>
    <n v="5"/>
    <n v="1"/>
    <m/>
    <m/>
    <m/>
    <m/>
    <m/>
    <m/>
    <m/>
    <m/>
    <m/>
    <m/>
    <m/>
    <m/>
    <m/>
    <m/>
    <m/>
    <m/>
    <m/>
    <m/>
    <m/>
    <m/>
    <m/>
    <m/>
    <m/>
    <m/>
    <m/>
    <m/>
    <n v="58"/>
    <n v="3"/>
    <n v="48"/>
    <n v="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58"/>
    <n v="48"/>
    <m/>
    <m/>
    <m/>
    <m/>
    <m/>
    <m/>
    <m/>
    <m/>
    <m/>
    <m/>
    <m/>
    <m/>
    <m/>
    <m/>
    <m/>
    <m/>
    <m/>
    <m/>
    <n v="3"/>
    <n v="8"/>
    <n v="3"/>
    <n v="8"/>
    <m/>
    <m/>
    <n v="713"/>
    <n v="690"/>
  </r>
  <r>
    <x v="15"/>
    <s v="West Liberty University"/>
    <s v="Met the criteria for Four-Year 4 in 2019-20 and 2020-21."/>
    <n v="237932"/>
    <x v="4"/>
    <m/>
    <m/>
    <m/>
    <m/>
    <n v="36"/>
    <n v="37"/>
    <n v="8.3333333333333329E-2"/>
    <n v="8.9805825242718448E-2"/>
    <n v="432"/>
    <n v="0"/>
    <n v="0"/>
    <n v="0"/>
    <n v="0"/>
    <n v="412"/>
    <n v="0"/>
    <n v="0"/>
    <n v="0"/>
    <n v="0"/>
    <m/>
    <m/>
    <m/>
    <m/>
    <m/>
    <m/>
    <m/>
    <m/>
    <m/>
    <m/>
    <m/>
    <m/>
    <m/>
    <m/>
    <m/>
    <m/>
    <m/>
    <m/>
    <m/>
    <m/>
    <n v="0"/>
    <n v="0.7769784172661871"/>
    <n v="0"/>
    <n v="0.76579925650557623"/>
    <m/>
    <m/>
    <n v="13"/>
    <n v="28"/>
    <n v="52"/>
    <n v="28"/>
    <n v="52"/>
    <n v="26"/>
    <n v="26"/>
    <n v="26"/>
    <n v="51"/>
    <n v="16"/>
    <n v="13"/>
    <n v="17"/>
    <n v="26"/>
    <n v="12"/>
    <n v="51"/>
    <n v="14"/>
    <n v="45"/>
    <n v="6"/>
    <n v="45"/>
    <n v="4"/>
    <m/>
    <m/>
    <m/>
    <m/>
    <m/>
    <m/>
    <m/>
    <m/>
    <m/>
    <m/>
    <m/>
    <m/>
    <m/>
    <m/>
    <m/>
    <m/>
    <m/>
    <m/>
    <m/>
    <m/>
    <m/>
    <m/>
    <n v="88"/>
    <n v="5"/>
    <n v="89"/>
    <n v="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88"/>
    <n v="89"/>
    <m/>
    <m/>
    <m/>
    <m/>
    <m/>
    <m/>
    <m/>
    <m/>
    <m/>
    <m/>
    <m/>
    <m/>
    <m/>
    <m/>
    <m/>
    <m/>
    <m/>
    <m/>
    <m/>
    <m/>
    <n v="0"/>
    <n v="0"/>
    <m/>
    <m/>
    <n v="556"/>
    <n v="538"/>
  </r>
  <r>
    <x v="15"/>
    <s v="Bluefield State College "/>
    <m/>
    <n v="237215"/>
    <x v="5"/>
    <m/>
    <m/>
    <m/>
    <m/>
    <n v="103"/>
    <n v="126"/>
    <n v="0.56284153005464477"/>
    <n v="0.69230769230769229"/>
    <n v="183"/>
    <n v="0"/>
    <n v="0"/>
    <n v="0"/>
    <n v="0"/>
    <n v="182"/>
    <n v="0"/>
    <n v="0"/>
    <n v="0"/>
    <n v="0"/>
    <m/>
    <m/>
    <m/>
    <m/>
    <m/>
    <m/>
    <m/>
    <m/>
    <m/>
    <m/>
    <m/>
    <m/>
    <m/>
    <m/>
    <m/>
    <m/>
    <m/>
    <m/>
    <m/>
    <m/>
    <n v="0"/>
    <n v="0.6398601398601399"/>
    <n v="0"/>
    <n v="0.59090909090909094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86"/>
    <n v="308"/>
  </r>
  <r>
    <x v="15"/>
    <s v="Glenville State College "/>
    <m/>
    <n v="237385"/>
    <x v="5"/>
    <m/>
    <m/>
    <m/>
    <m/>
    <n v="141"/>
    <n v="170"/>
    <n v="0.76216216216216215"/>
    <n v="1.0429447852760736"/>
    <n v="185"/>
    <n v="0"/>
    <n v="0"/>
    <n v="0"/>
    <n v="0"/>
    <n v="163"/>
    <n v="0"/>
    <n v="0"/>
    <n v="0"/>
    <n v="0"/>
    <m/>
    <m/>
    <m/>
    <m/>
    <m/>
    <m/>
    <m/>
    <m/>
    <m/>
    <m/>
    <m/>
    <m/>
    <m/>
    <m/>
    <m/>
    <m/>
    <m/>
    <m/>
    <m/>
    <m/>
    <n v="0"/>
    <n v="0.56748466257668717"/>
    <n v="0"/>
    <n v="0.4894894894894895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26"/>
    <n v="333"/>
  </r>
  <r>
    <x v="15"/>
    <s v="West Virginia State University "/>
    <s v="Met the criteria for Four-Year 4 in 2019-20 and 2020-21."/>
    <n v="237899"/>
    <x v="5"/>
    <m/>
    <m/>
    <m/>
    <m/>
    <m/>
    <m/>
    <n v="0"/>
    <n v="0"/>
    <n v="360"/>
    <n v="0"/>
    <n v="0"/>
    <n v="0"/>
    <n v="0"/>
    <n v="365"/>
    <n v="0"/>
    <n v="0"/>
    <n v="0"/>
    <n v="0"/>
    <m/>
    <m/>
    <m/>
    <m/>
    <m/>
    <m/>
    <m/>
    <m/>
    <m/>
    <m/>
    <m/>
    <m/>
    <m/>
    <m/>
    <m/>
    <m/>
    <m/>
    <m/>
    <m/>
    <m/>
    <n v="0"/>
    <n v="0.90452261306532666"/>
    <n v="0"/>
    <n v="0.85680751173708924"/>
    <m/>
    <m/>
    <n v="13"/>
    <n v="20"/>
    <n v="13"/>
    <n v="20"/>
    <n v="43"/>
    <n v="7"/>
    <n v="44"/>
    <n v="15"/>
    <n v="26"/>
    <n v="6"/>
    <n v="31"/>
    <n v="9"/>
    <n v="44"/>
    <n v="4"/>
    <n v="26"/>
    <n v="8"/>
    <n v="9"/>
    <n v="1"/>
    <n v="43"/>
    <n v="8"/>
    <m/>
    <m/>
    <n v="9"/>
    <n v="1"/>
    <m/>
    <m/>
    <m/>
    <m/>
    <m/>
    <m/>
    <m/>
    <m/>
    <m/>
    <m/>
    <m/>
    <m/>
    <m/>
    <m/>
    <m/>
    <m/>
    <m/>
    <m/>
    <n v="38"/>
    <n v="5"/>
    <n v="61"/>
    <n v="6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38"/>
    <n v="61"/>
    <m/>
    <m/>
    <m/>
    <m/>
    <m/>
    <m/>
    <m/>
    <m/>
    <m/>
    <m/>
    <m/>
    <m/>
    <m/>
    <m/>
    <m/>
    <m/>
    <m/>
    <m/>
    <m/>
    <m/>
    <n v="0"/>
    <n v="0"/>
    <m/>
    <m/>
    <n v="398"/>
    <n v="426"/>
  </r>
  <r>
    <x v="15"/>
    <s v="West Virginia University Institute of Technology"/>
    <m/>
    <n v="237950"/>
    <x v="5"/>
    <m/>
    <m/>
    <m/>
    <m/>
    <m/>
    <m/>
    <n v="0"/>
    <n v="0"/>
    <n v="162"/>
    <n v="0"/>
    <n v="0"/>
    <n v="0"/>
    <n v="0"/>
    <n v="165"/>
    <n v="0"/>
    <n v="0"/>
    <n v="0"/>
    <n v="0"/>
    <m/>
    <m/>
    <m/>
    <m/>
    <m/>
    <m/>
    <m/>
    <m/>
    <m/>
    <m/>
    <m/>
    <m/>
    <m/>
    <m/>
    <m/>
    <m/>
    <m/>
    <m/>
    <m/>
    <m/>
    <n v="0"/>
    <n v="1"/>
    <n v="0"/>
    <n v="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2"/>
    <n v="165"/>
  </r>
  <r>
    <x v="15"/>
    <s v="Potomac State College of West Virginia University"/>
    <m/>
    <n v="237701"/>
    <x v="13"/>
    <m/>
    <m/>
    <m/>
    <m/>
    <n v="198"/>
    <n v="213"/>
    <n v="5.3513513513513518"/>
    <n v="4.5319148936170217"/>
    <n v="37"/>
    <n v="0"/>
    <n v="0"/>
    <n v="0"/>
    <n v="0"/>
    <n v="47"/>
    <n v="0"/>
    <n v="0"/>
    <n v="0"/>
    <n v="0"/>
    <n v="24"/>
    <n v="37"/>
    <n v="24"/>
    <n v="47"/>
    <m/>
    <m/>
    <m/>
    <m/>
    <m/>
    <m/>
    <m/>
    <m/>
    <m/>
    <m/>
    <m/>
    <m/>
    <m/>
    <m/>
    <m/>
    <m/>
    <n v="1"/>
    <n v="0.1574468085106383"/>
    <n v="1"/>
    <n v="0.18076923076923077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5"/>
    <n v="260"/>
  </r>
  <r>
    <x v="15"/>
    <s v="West Virginia University at Parkersburg"/>
    <s v="Met the criteria for Two-Year 3 in 2020-21."/>
    <n v="237686"/>
    <x v="13"/>
    <n v="134"/>
    <n v="105"/>
    <m/>
    <m/>
    <n v="324"/>
    <n v="301"/>
    <n v="1.4086956521739131"/>
    <n v="1.2594142259414225"/>
    <n v="230"/>
    <n v="0"/>
    <n v="0"/>
    <n v="0"/>
    <n v="0"/>
    <n v="239"/>
    <n v="0"/>
    <n v="0"/>
    <n v="0"/>
    <n v="0"/>
    <n v="24"/>
    <n v="146"/>
    <n v="24"/>
    <n v="155"/>
    <n v="13"/>
    <n v="30"/>
    <n v="51"/>
    <n v="27"/>
    <n v="51"/>
    <n v="25"/>
    <n v="52"/>
    <n v="21"/>
    <n v="52"/>
    <n v="20"/>
    <n v="13"/>
    <n v="19"/>
    <n v="30"/>
    <n v="2"/>
    <n v="15"/>
    <n v="16"/>
    <n v="5"/>
    <n v="0.33430232558139533"/>
    <n v="5"/>
    <n v="0.37054263565891471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88"/>
    <n v="645"/>
  </r>
  <r>
    <x v="15"/>
    <s v="Blue Ridge Community &amp; Technical College"/>
    <m/>
    <n v="446774"/>
    <x v="7"/>
    <n v="551"/>
    <n v="321"/>
    <m/>
    <m/>
    <n v="552"/>
    <n v="369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03"/>
    <n v="690"/>
  </r>
  <r>
    <x v="15"/>
    <s v="BridgeValley Community &amp; Technical College"/>
    <m/>
    <n v="484932"/>
    <x v="8"/>
    <n v="75"/>
    <n v="69"/>
    <m/>
    <m/>
    <n v="390"/>
    <n v="326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65"/>
    <n v="395"/>
  </r>
  <r>
    <x v="15"/>
    <s v="Eastern West Virginia Community &amp; Technical College"/>
    <m/>
    <n v="438708"/>
    <x v="8"/>
    <n v="32"/>
    <n v="41"/>
    <m/>
    <m/>
    <n v="46"/>
    <n v="7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8"/>
    <n v="118"/>
  </r>
  <r>
    <x v="15"/>
    <s v="Mountwest Community &amp; Technical College"/>
    <m/>
    <n v="444954"/>
    <x v="8"/>
    <n v="737"/>
    <n v="822"/>
    <m/>
    <m/>
    <n v="380"/>
    <n v="33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117"/>
    <n v="1153"/>
  </r>
  <r>
    <x v="15"/>
    <s v="New River Community &amp; Technical College"/>
    <m/>
    <n v="447582"/>
    <x v="8"/>
    <n v="111"/>
    <n v="127"/>
    <m/>
    <m/>
    <n v="138"/>
    <n v="121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49"/>
    <n v="248"/>
  </r>
  <r>
    <x v="15"/>
    <s v="Pierpont Community &amp; Technical College"/>
    <m/>
    <n v="443492"/>
    <x v="8"/>
    <n v="55"/>
    <n v="64"/>
    <m/>
    <m/>
    <n v="311"/>
    <n v="24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6"/>
    <n v="307"/>
  </r>
  <r>
    <x v="15"/>
    <s v="Southern West Virginia Community &amp; Technical College "/>
    <m/>
    <n v="237817"/>
    <x v="8"/>
    <n v="107"/>
    <n v="154"/>
    <m/>
    <m/>
    <n v="274"/>
    <n v="257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1"/>
    <n v="411"/>
  </r>
  <r>
    <x v="15"/>
    <s v="West Virginia Northern Community College"/>
    <m/>
    <n v="238014"/>
    <x v="8"/>
    <n v="97"/>
    <n v="92"/>
    <m/>
    <m/>
    <n v="206"/>
    <n v="193"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3"/>
    <n v="285"/>
  </r>
  <r>
    <x v="15"/>
    <s v="West Virginia School of Osteopathic Medicine"/>
    <m/>
    <n v="237880"/>
    <x v="11"/>
    <m/>
    <m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n v="209"/>
    <n v="194"/>
    <m/>
    <m/>
    <m/>
    <m/>
    <m/>
    <m/>
    <n v="209"/>
    <n v="194"/>
    <m/>
    <m/>
    <n v="209"/>
    <n v="194"/>
  </r>
  <r>
    <x v="15"/>
    <s v="Academy of Careers and Technology"/>
    <m/>
    <n v="237729"/>
    <x v="14"/>
    <n v="122"/>
    <n v="7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2"/>
    <n v="76"/>
  </r>
  <r>
    <x v="15"/>
    <s v="Ben Franklin Career Center"/>
    <m/>
    <n v="237172"/>
    <x v="14"/>
    <n v="30"/>
    <n v="2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"/>
    <n v="27"/>
  </r>
  <r>
    <x v="15"/>
    <s v="Boone Career and Technical Center"/>
    <m/>
    <n v="237224"/>
    <x v="14"/>
    <n v="94"/>
    <n v="10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"/>
    <n v="106"/>
  </r>
  <r>
    <x v="15"/>
    <s v="Cabell County Career Technology Center"/>
    <m/>
    <n v="237242"/>
    <x v="14"/>
    <n v="66"/>
    <n v="2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6"/>
    <n v="28"/>
  </r>
  <r>
    <x v="15"/>
    <s v="Carver Career and Technical Education Center"/>
    <m/>
    <n v="430795"/>
    <x v="14"/>
    <n v="80"/>
    <n v="83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0"/>
    <n v="83"/>
  </r>
  <r>
    <x v="15"/>
    <s v="Fayette Institute of Technology"/>
    <m/>
    <n v="413176"/>
    <x v="14"/>
    <n v="42"/>
    <n v="2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2"/>
    <n v="27"/>
  </r>
  <r>
    <x v="15"/>
    <s v="Fred W. Eberle Technical Center "/>
    <m/>
    <n v="237844"/>
    <x v="14"/>
    <n v="65"/>
    <n v="9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65"/>
    <n v="98"/>
  </r>
  <r>
    <x v="15"/>
    <s v="Garnet Career Center "/>
    <m/>
    <n v="431169"/>
    <x v="14"/>
    <n v="91"/>
    <n v="10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1"/>
    <n v="108"/>
  </r>
  <r>
    <x v="15"/>
    <s v="James Rumsey Technical Institute"/>
    <m/>
    <n v="237473"/>
    <x v="14"/>
    <n v="161"/>
    <n v="99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61"/>
    <n v="99"/>
  </r>
  <r>
    <x v="15"/>
    <s v="John D. Rockefeller IV Career Center"/>
    <m/>
    <n v="446349"/>
    <x v="14"/>
    <n v="49"/>
    <n v="3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49"/>
    <n v="38"/>
  </r>
  <r>
    <x v="15"/>
    <s v="Marion County Technical Center"/>
    <m/>
    <n v="237516"/>
    <x v="14"/>
    <n v="8"/>
    <n v="8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8"/>
    <n v="8"/>
  </r>
  <r>
    <x v="15"/>
    <s v="McDowell County Career and Technology Center"/>
    <m/>
    <n v="237534"/>
    <x v="14"/>
    <n v="30"/>
    <n v="9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0"/>
    <n v="9"/>
  </r>
  <r>
    <x v="15"/>
    <s v="Mercer County Technical Education Center"/>
    <m/>
    <n v="237543"/>
    <x v="14"/>
    <n v="23"/>
    <n v="7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3"/>
    <n v="75"/>
  </r>
  <r>
    <x v="15"/>
    <s v="Mineral County Technical Center"/>
    <m/>
    <n v="368647"/>
    <x v="14"/>
    <n v="19"/>
    <n v="1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9"/>
    <n v="15"/>
  </r>
  <r>
    <x v="15"/>
    <s v="Monongalia County Technical Education Center "/>
    <m/>
    <n v="237561"/>
    <x v="14"/>
    <n v="94"/>
    <n v="47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94"/>
    <n v="47"/>
  </r>
  <r>
    <x v="15"/>
    <s v="Putnam Career and Technical Center"/>
    <m/>
    <n v="419420"/>
    <x v="14"/>
    <n v="31"/>
    <n v="29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1"/>
    <n v="29"/>
  </r>
  <r>
    <x v="15"/>
    <s v="Ralph R. Willis Career and Technical Center"/>
    <m/>
    <n v="237491"/>
    <x v="14"/>
    <n v="36"/>
    <n v="2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"/>
    <n v="26"/>
  </r>
  <r>
    <x v="15"/>
    <s v="Roane-Jackson Technical Center"/>
    <m/>
    <n v="364575"/>
    <x v="14"/>
    <n v="37"/>
    <n v="1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7"/>
    <n v="16"/>
  </r>
  <r>
    <x v="15"/>
    <s v="South Branch Career &amp; Technical Center"/>
    <m/>
    <n v="441894"/>
    <x v="14"/>
    <n v="38"/>
    <n v="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8"/>
    <n v="5"/>
  </r>
  <r>
    <x v="15"/>
    <s v="United Technical Center"/>
    <m/>
    <n v="419031"/>
    <x v="14"/>
    <n v="36"/>
    <n v="2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36"/>
    <n v="25"/>
  </r>
  <r>
    <x v="15"/>
    <s v="Wyoming County Career &amp; Technical Center"/>
    <m/>
    <s v="N/A"/>
    <x v="14"/>
    <n v="70"/>
    <n v="1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70"/>
    <n v="16"/>
  </r>
  <r>
    <x v="15"/>
    <s v="Greenbrier School of Practical Nursing"/>
    <m/>
    <s v="N/A"/>
    <x v="11"/>
    <n v="0"/>
    <n v="1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0"/>
    <n v="16"/>
  </r>
  <r>
    <x v="15"/>
    <s v="Mingo Extended Learning Center"/>
    <m/>
    <n v="486202"/>
    <x v="11"/>
    <n v="25"/>
    <n v="0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5"/>
    <n v="0"/>
  </r>
  <r>
    <x v="15"/>
    <s v="Randolph Technical Center"/>
    <m/>
    <n v="486406"/>
    <x v="11"/>
    <n v="22"/>
    <n v="15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22"/>
    <n v="15"/>
  </r>
  <r>
    <x v="15"/>
    <s v="Summers County School of Practical Nursing"/>
    <m/>
    <s v="N/A"/>
    <x v="11"/>
    <n v="12"/>
    <n v="9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2"/>
    <n v="9"/>
  </r>
  <r>
    <x v="15"/>
    <s v="Wood County School of Practical Nursing"/>
    <m/>
    <n v="238096"/>
    <x v="11"/>
    <n v="18"/>
    <n v="16"/>
    <m/>
    <m/>
    <m/>
    <m/>
    <n v="0"/>
    <n v="0"/>
    <m/>
    <n v="0"/>
    <n v="0"/>
    <n v="0"/>
    <n v="0"/>
    <m/>
    <n v="0"/>
    <n v="0"/>
    <n v="0"/>
    <n v="0"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n v="0"/>
    <n v="0"/>
    <n v="0"/>
    <n v="0"/>
    <n v="0"/>
    <n v="0"/>
    <n v="0"/>
    <n v="0"/>
    <m/>
    <m/>
    <m/>
    <m/>
    <m/>
    <m/>
    <m/>
    <m/>
    <m/>
    <m/>
    <m/>
    <m/>
    <m/>
    <m/>
    <m/>
    <m/>
    <m/>
    <m/>
    <m/>
    <m/>
    <n v="0"/>
    <n v="0"/>
    <m/>
    <m/>
    <n v="18"/>
    <n v="1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85E5EE-D1B8-4502-B774-090D865A64AA}" name="PivotTable1" cacheId="418" dataOnRows="1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compact="0" compactData="0" gridDropZones="1" multipleFieldFilters="0">
  <location ref="A3:W906" firstHeaderRow="1" firstDataRow="3" firstDataCol="2"/>
  <pivotFields count="195">
    <pivotField axis="axisRow" compact="0" outline="0" showAll="0" sortType="ascending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h="1" m="1" x="16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7">
        <item x="0"/>
        <item x="1"/>
        <item x="2"/>
        <item x="3"/>
        <item x="4"/>
        <item x="5"/>
        <item x="13"/>
        <item x="6"/>
        <item x="7"/>
        <item x="8"/>
        <item x="9"/>
        <item x="10"/>
        <item x="14"/>
        <item x="11"/>
        <item m="1" x="15"/>
        <item x="12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compact="0" numFmtId="9" outline="0" showAll="0"/>
    <pivotField compact="0" numFmtId="9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dataField="1"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dataField="1"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3" outline="0" showAll="0"/>
    <pivotField compact="0" numFmtId="3" outline="0" showAll="0"/>
    <pivotField compact="0" numFmtId="9" outline="0" showAll="0"/>
    <pivotField dataField="1"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6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 defaultSubtotal="0"/>
    <pivotField dataField="1" compact="0" outline="0" showAll="0" defaultSubtotal="0"/>
    <pivotField compact="0" numFmtId="3" outline="0" showAll="0"/>
    <pivotField compact="0" numFmtId="164" outline="0" showAll="0"/>
    <pivotField dataField="1" compact="0" outline="0" showAll="0" defaultSubtotal="0"/>
    <pivotField dataField="1" compact="0" outline="0" showAll="0" defaultSubtotal="0"/>
    <pivotField compact="0" numFmtId="3" outline="0" showAll="0"/>
    <pivotField compact="0" numFmtId="166" outline="0" showAl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7">
        <item n="Four-Year" x="1"/>
        <item n="Two-Year" x="2"/>
        <item n="Technical" x="3"/>
        <item n="Specialized" x="0"/>
        <item n="Start-up" x="4"/>
        <item x="5"/>
        <item t="default"/>
      </items>
    </pivotField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</pivotFields>
  <rowFields count="2">
    <field x="0"/>
    <field x="-2"/>
  </rowFields>
  <rowItems count="901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r="1" i="15">
      <x v="15"/>
    </i>
    <i r="1" i="16">
      <x v="16"/>
    </i>
    <i r="1" i="17">
      <x v="17"/>
    </i>
    <i r="1" i="18">
      <x v="18"/>
    </i>
    <i r="1" i="19">
      <x v="19"/>
    </i>
    <i r="1" i="20">
      <x v="20"/>
    </i>
    <i r="1" i="21">
      <x v="21"/>
    </i>
    <i r="1" i="22">
      <x v="22"/>
    </i>
    <i r="1" i="23">
      <x v="23"/>
    </i>
    <i r="1" i="24">
      <x v="24"/>
    </i>
    <i r="1" i="25">
      <x v="25"/>
    </i>
    <i r="1" i="26">
      <x v="26"/>
    </i>
    <i r="1" i="27">
      <x v="27"/>
    </i>
    <i r="1" i="28">
      <x v="28"/>
    </i>
    <i r="1" i="29">
      <x v="29"/>
    </i>
    <i r="1" i="30">
      <x v="30"/>
    </i>
    <i r="1" i="31">
      <x v="31"/>
    </i>
    <i r="1" i="32">
      <x v="32"/>
    </i>
    <i r="1" i="33">
      <x v="33"/>
    </i>
    <i r="1" i="34">
      <x v="34"/>
    </i>
    <i r="1" i="35">
      <x v="35"/>
    </i>
    <i r="1" i="36">
      <x v="36"/>
    </i>
    <i r="1" i="37">
      <x v="37"/>
    </i>
    <i r="1" i="38">
      <x v="38"/>
    </i>
    <i r="1" i="39">
      <x v="39"/>
    </i>
    <i r="1" i="40">
      <x v="40"/>
    </i>
    <i r="1" i="41">
      <x v="41"/>
    </i>
    <i r="1" i="42">
      <x v="42"/>
    </i>
    <i r="1" i="43">
      <x v="43"/>
    </i>
    <i r="1" i="44">
      <x v="44"/>
    </i>
    <i r="1" i="45">
      <x v="45"/>
    </i>
    <i r="1" i="46">
      <x v="46"/>
    </i>
    <i r="1" i="47">
      <x v="47"/>
    </i>
    <i r="1" i="48">
      <x v="48"/>
    </i>
    <i r="1" i="49">
      <x v="49"/>
    </i>
    <i r="1" i="50">
      <x v="50"/>
    </i>
    <i r="1" i="51">
      <x v="51"/>
    </i>
    <i r="1" i="52">
      <x v="52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  <i t="grand" i="15">
      <x/>
    </i>
    <i t="grand" i="16">
      <x/>
    </i>
    <i t="grand" i="17">
      <x/>
    </i>
    <i t="grand" i="18">
      <x/>
    </i>
    <i t="grand" i="19">
      <x/>
    </i>
    <i t="grand" i="20">
      <x/>
    </i>
    <i t="grand" i="21">
      <x/>
    </i>
    <i t="grand" i="22">
      <x/>
    </i>
    <i t="grand" i="23">
      <x/>
    </i>
    <i t="grand" i="24">
      <x/>
    </i>
    <i t="grand" i="25">
      <x/>
    </i>
    <i t="grand" i="26">
      <x/>
    </i>
    <i t="grand" i="27">
      <x/>
    </i>
    <i t="grand" i="28">
      <x/>
    </i>
    <i t="grand" i="29">
      <x/>
    </i>
    <i t="grand" i="30">
      <x/>
    </i>
    <i t="grand" i="31">
      <x/>
    </i>
    <i t="grand" i="32">
      <x/>
    </i>
    <i t="grand" i="33">
      <x/>
    </i>
    <i t="grand" i="34">
      <x/>
    </i>
    <i t="grand" i="35">
      <x/>
    </i>
    <i t="grand" i="36">
      <x/>
    </i>
    <i t="grand" i="37">
      <x/>
    </i>
    <i t="grand" i="38">
      <x/>
    </i>
    <i t="grand" i="39">
      <x/>
    </i>
    <i t="grand" i="40">
      <x/>
    </i>
    <i t="grand" i="41">
      <x/>
    </i>
    <i t="grand" i="42">
      <x/>
    </i>
    <i t="grand" i="43">
      <x/>
    </i>
    <i t="grand" i="44">
      <x/>
    </i>
    <i t="grand" i="45">
      <x/>
    </i>
    <i t="grand" i="46">
      <x/>
    </i>
    <i t="grand" i="47">
      <x/>
    </i>
    <i t="grand" i="48">
      <x/>
    </i>
    <i t="grand" i="49">
      <x/>
    </i>
    <i t="grand" i="50">
      <x/>
    </i>
    <i t="grand" i="51">
      <x/>
    </i>
    <i t="grand" i="52">
      <x/>
    </i>
  </rowItems>
  <colFields count="2">
    <field x="185"/>
    <field x="4"/>
  </colFields>
  <colItems count="21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>
      <x v="5"/>
      <x v="15"/>
    </i>
    <i t="default">
      <x v="5"/>
    </i>
    <i t="grand">
      <x/>
    </i>
  </colItems>
  <dataFields count="53">
    <dataField name=" Old-Less Than 2-Year" fld="5" baseField="0" baseItem="0" numFmtId="164"/>
    <dataField name=" New-Less Than 2-Year" fld="6" baseField="0" baseItem="0" numFmtId="164"/>
    <dataField name=" % Change-Less Than 2-Year" fld="188" baseField="0" baseItem="0" numFmtId="164"/>
    <dataField name=" Old-2 But Less Than 4-Year" fld="7" baseField="0" baseItem="0" numFmtId="164"/>
    <dataField name=" New-2 But Less Than 4-Year" fld="8" baseField="0" baseItem="0" numFmtId="164"/>
    <dataField name=" %Change-2 But Less Than 4-Year" fld="187" baseField="0" baseItem="0" numFmtId="164"/>
    <dataField name=" Old-Associate's" fld="9" baseField="0" baseItem="0" numFmtId="164"/>
    <dataField name=" New-Associate's" fld="10" baseField="0" baseItem="0" numFmtId="164"/>
    <dataField name=" %Change-Associate's" fld="186" baseField="0" baseItem="0" numFmtId="164"/>
    <dataField name=" Old-Bachelor's" fld="13" baseField="0" baseItem="0" numFmtId="164"/>
    <dataField name=" New-Bachelor's" fld="18" baseField="0" baseItem="0" numFmtId="164"/>
    <dataField name=" %Change-Bachelor's" fld="171" baseField="0" baseItem="0" numFmtId="164"/>
    <dataField name=" Old-Post-Bachelor's" fld="47" baseField="0" baseItem="0" numFmtId="164"/>
    <dataField name=" New-Post-Bachelor's" fld="48" baseField="0" baseItem="0" numFmtId="164"/>
    <dataField name=" %Change-Post-Bachelor's" fld="172" baseField="0" baseItem="0" numFmtId="164"/>
    <dataField name=" Old-Total Master's#" fld="91" baseField="0" baseItem="0" numFmtId="164"/>
    <dataField name=" New-Total Master's#" fld="93" baseField="0" baseItem="0" numFmtId="164"/>
    <dataField name=" %Change-Master's" fld="173" baseField="0" baseItem="0" numFmtId="164"/>
    <dataField name=" Old-Total Doctorates#" fld="137" baseField="0" baseItem="0" numFmtId="164"/>
    <dataField name=" New-Total Doctorates#" fld="140" baseField="0" baseItem="0" numFmtId="164"/>
    <dataField name=" %Change-Doctorates" fld="174" baseField="0" baseItem="0" numFmtId="164"/>
    <dataField name=" Old-Law" fld="145" baseField="0" baseItem="0" numFmtId="164"/>
    <dataField name=" New-Law" fld="146" baseField="0" baseItem="0" numFmtId="164"/>
    <dataField name=" %Change-Law" fld="175" baseField="0" baseItem="0" numFmtId="164"/>
    <dataField name=" Old-Medicine" fld="147" baseField="0" baseItem="0" numFmtId="164"/>
    <dataField name=" New-Medicine" fld="148" baseField="0" baseItem="0" numFmtId="164"/>
    <dataField name=" %Change-Medicine" fld="176" baseField="0" baseItem="0" numFmtId="164"/>
    <dataField name=" Old-Dentistry" fld="149" baseField="0" baseItem="0" numFmtId="164"/>
    <dataField name=" New-Dentistry" fld="150" baseField="0" baseItem="0" numFmtId="164"/>
    <dataField name=" %Change-Dentistry" fld="177" baseField="0" baseItem="0" numFmtId="164"/>
    <dataField name=" Old-Pharmacy" fld="151" baseField="0" baseItem="0" numFmtId="164"/>
    <dataField name=" New-Pharmacy" fld="152" baseField="0" baseItem="0" numFmtId="164"/>
    <dataField name=" %Change-Pharmacy" fld="178" baseField="0" baseItem="0" numFmtId="164"/>
    <dataField name=" Old-Chiropractic" fld="153" baseField="0" baseItem="0" numFmtId="164"/>
    <dataField name=" New-Chiropractic" fld="154" baseField="0" baseItem="0" numFmtId="164"/>
    <dataField name=" %Change-Chiropractic" fld="179" baseField="0" baseItem="0" numFmtId="164"/>
    <dataField name=" Old-Optometry" fld="155" baseField="0" baseItem="0" numFmtId="164"/>
    <dataField name=" New-Optometry" fld="156" baseField="0" baseItem="0" numFmtId="164"/>
    <dataField name=" %Change-Optometry" fld="180" baseField="0" baseItem="0" numFmtId="164"/>
    <dataField name=" Old-Osteopathic Medicine" fld="157" baseField="0" baseItem="0" numFmtId="164"/>
    <dataField name=" New-Osteopathic Medicine" fld="158" baseField="0" baseItem="0" numFmtId="164"/>
    <dataField name=" %Change-Osteopathic Medicine" fld="181" baseField="0" baseItem="0" numFmtId="164"/>
    <dataField name=" Old-Veterinary Medicine" fld="159" baseField="0" baseItem="0" numFmtId="164"/>
    <dataField name=" New-Veterinary Medicine" fld="160" baseField="0" baseItem="0" numFmtId="164"/>
    <dataField name=" %Change-Veterinary Medicine" fld="182" baseField="0" baseItem="0" numFmtId="164"/>
    <dataField name=" Old-Podiatry" fld="161" baseField="0" baseItem="0" numFmtId="164"/>
    <dataField name=" New-Podiatry" fld="162" baseField="0" baseItem="0" numFmtId="164"/>
    <dataField name=" %Change-Podiatry" fld="183" baseField="0" baseItem="0" numFmtId="164"/>
    <dataField name=" Old-Oth PP" fld="163" baseField="0" baseItem="0" numFmtId="164"/>
    <dataField name=" New-Oth PP" fld="164" baseField="0" baseItem="0" numFmtId="164"/>
    <dataField name=" %Change-Oth PP" fld="194" baseField="0" baseItem="0" numFmtId="164"/>
    <dataField name=" Old-Oth Doc" fld="167" baseField="0" baseItem="0" numFmtId="164"/>
    <dataField name=" New-Oth Doc" fld="168" baseField="0" baseItem="0" numFmtId="164"/>
  </dataFields>
  <formats count="1479">
    <format dxfId="17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38">
      <pivotArea collapsedLevelsAreSubtotals="1" fieldPosition="0">
        <references count="2">
          <reference field="4294967294" count="1" selected="0">
            <x v="2"/>
          </reference>
          <reference field="0" count="1">
            <x v="0"/>
          </reference>
        </references>
      </pivotArea>
    </format>
    <format dxfId="1737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73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735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734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733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1732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1731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0"/>
          </reference>
        </references>
      </pivotArea>
    </format>
    <format dxfId="1730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1729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1"/>
          </reference>
        </references>
      </pivotArea>
    </format>
    <format dxfId="1728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3" selected="0">
            <x v="10"/>
            <x v="11"/>
            <x v="12"/>
          </reference>
          <reference field="185" count="1" selected="0">
            <x v="2"/>
          </reference>
        </references>
      </pivotArea>
    </format>
    <format dxfId="1727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2"/>
          </reference>
        </references>
      </pivotArea>
    </format>
    <format dxfId="1726">
      <pivotArea outline="0" collapsedLevelsAreSubtotals="1" fieldPosition="0">
        <references count="4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725">
      <pivotArea outline="0" collapsedLevelsAreSubtotals="1" fieldPosition="0">
        <references count="3">
          <reference field="4294967294" count="3" selected="0">
            <x v="0"/>
            <x v="1"/>
            <x v="2"/>
          </reference>
          <reference field="0" count="1" selected="0">
            <x v="0"/>
          </reference>
          <reference field="185" count="1" selected="0" defaultSubtotal="1">
            <x v="3"/>
          </reference>
        </references>
      </pivotArea>
    </format>
    <format dxfId="1724">
      <pivotArea outline="0" collapsedLevelsAreSubtotals="1" fieldPosition="0">
        <references count="2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723">
      <pivotArea dataOnly="0" labelOnly="1" outline="0" fieldPosition="0">
        <references count="1">
          <reference field="0" count="1">
            <x v="0"/>
          </reference>
        </references>
      </pivotArea>
    </format>
    <format dxfId="1722">
      <pivotArea dataOnly="0" labelOnly="1" outline="0" fieldPosition="0">
        <references count="2">
          <reference field="4294967294" count="48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72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1720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719">
      <pivotArea dataOnly="0" labelOnly="1" outline="0" fieldPosition="0">
        <references count="2">
          <reference field="4294967294" count="45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718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171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171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71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71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71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71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71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71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70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70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70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70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70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70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70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70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70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70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69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69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69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69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69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69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69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69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69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69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68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68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68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68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68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68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68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68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68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68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67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67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67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67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67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67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67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67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67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67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66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66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66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66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66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66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66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66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66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66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65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65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65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65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65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65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653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65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651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650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649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648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647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646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645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644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643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642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641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640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639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638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637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636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635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634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633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632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631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630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629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628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627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626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625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624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623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622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621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620">
      <pivotArea type="origin" dataOnly="0" labelOnly="1" outline="0" fieldPosition="0"/>
    </format>
    <format dxfId="1619">
      <pivotArea field="0" type="button" dataOnly="0" labelOnly="1" outline="0" axis="axisRow" fieldPosition="0"/>
    </format>
    <format dxfId="1618">
      <pivotArea dataOnly="0" labelOnly="1" outline="0" fieldPosition="0">
        <references count="1">
          <reference field="0" count="0"/>
        </references>
      </pivotArea>
    </format>
    <format dxfId="161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61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61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61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61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61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61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61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60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60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60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60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60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60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60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60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60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60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59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59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59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59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59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59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59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59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59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59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58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58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58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58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58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58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58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58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58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58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57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57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57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57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57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57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57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57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57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57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569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568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567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566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565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564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563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562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561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560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559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558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557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556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555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554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553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552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551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550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549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548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547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546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545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544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543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542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541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540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539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538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537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536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535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534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533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532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531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530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529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528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527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526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525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524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523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522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521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1520">
      <pivotArea outline="0" collapsedLevelsAreSubtotals="1" fieldPosition="0">
        <references count="2">
          <reference field="4294967294" count="45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  <reference field="0" count="1" selected="0">
            <x v="0"/>
          </reference>
        </references>
      </pivotArea>
    </format>
    <format dxfId="1519">
      <pivotArea field="0" grandRow="1" outline="0" collapsedLevelsAreSubtotals="1" axis="axisRow" fieldPosition="0">
        <references count="1">
          <reference field="4294967294" count="48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1518">
      <pivotArea type="all" dataOnly="0" outline="0" fieldPosition="0"/>
    </format>
    <format dxfId="1517">
      <pivotArea type="all" dataOnly="0" outline="0" fieldPosition="0"/>
    </format>
    <format dxfId="151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51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51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51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51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51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51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50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50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50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50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50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50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50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50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50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50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49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49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49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49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49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49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49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49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49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49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48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48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48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48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48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48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48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48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48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48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47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47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47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47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47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47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47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47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47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47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46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468">
      <pivotArea field="0" grandRow="1" outline="0" collapsedLevelsAreSubtotals="1" axis="axisRow" fieldPosition="0">
        <references count="1">
          <reference field="4294967294" count="44" selected="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</reference>
        </references>
      </pivotArea>
    </format>
    <format dxfId="146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46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46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46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46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46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46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46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45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45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45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45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45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45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45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45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45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45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44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44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44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44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44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44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44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44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44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44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43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43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43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43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43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43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43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43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43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43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42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42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42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42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42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42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42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42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42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42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419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1418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1417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1416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415">
      <pivotArea dataOnly="0" labelOnly="1" outline="0" fieldPosition="0">
        <references count="1">
          <reference field="185" count="1" defaultSubtotal="1">
            <x v="0"/>
          </reference>
        </references>
      </pivotArea>
    </format>
    <format dxfId="1414">
      <pivotArea dataOnly="0" labelOnly="1" outline="0" fieldPosition="0">
        <references count="1">
          <reference field="185" count="1" defaultSubtotal="1">
            <x v="1"/>
          </reference>
        </references>
      </pivotArea>
    </format>
    <format dxfId="1413">
      <pivotArea dataOnly="0" labelOnly="1" outline="0" fieldPosition="0">
        <references count="1">
          <reference field="185" count="1" defaultSubtotal="1">
            <x v="2"/>
          </reference>
        </references>
      </pivotArea>
    </format>
    <format dxfId="1412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1411">
      <pivotArea type="origin" dataOnly="0" labelOnly="1" outline="0" fieldPosition="0"/>
    </format>
    <format dxfId="1410">
      <pivotArea field="0" type="button" dataOnly="0" labelOnly="1" outline="0" axis="axisRow" fieldPosition="0"/>
    </format>
    <format dxfId="1409">
      <pivotArea dataOnly="0" labelOnly="1" outline="0" fieldPosition="0">
        <references count="1">
          <reference field="0" count="0"/>
        </references>
      </pivotArea>
    </format>
    <format dxfId="140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40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40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40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40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40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40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40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40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39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39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39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39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39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39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393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39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391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390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389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388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387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386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385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384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383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382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381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380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379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378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377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376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375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374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373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372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371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370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369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368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367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366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365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364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363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362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361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360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359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358">
      <pivotArea dataOnly="0" labelOnly="1" outline="0" fieldPosition="0">
        <references count="2">
          <reference field="4294967294" count="1">
            <x v="5"/>
          </reference>
          <reference field="0" count="1" selected="0">
            <x v="0"/>
          </reference>
        </references>
      </pivotArea>
    </format>
    <format dxfId="1357">
      <pivotArea field="-2" type="button" dataOnly="0" labelOnly="1" outline="0" axis="axisRow" fieldPosition="1"/>
    </format>
    <format dxfId="135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35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354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353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352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351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350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349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348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347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346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345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344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343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342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341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340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339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338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337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33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33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33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33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33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33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33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32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32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32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32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32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32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32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32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32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32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31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31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31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31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31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31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31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31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31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31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30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308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307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306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0"/>
          </reference>
        </references>
      </pivotArea>
    </format>
    <format dxfId="1305">
      <pivotArea dataOnly="0" labelOnly="1" grandCol="1" outline="0" fieldPosition="0"/>
    </format>
    <format dxfId="13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0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0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01">
      <pivotArea outline="0" collapsedLevelsAreSubtotals="1" fieldPosition="0">
        <references count="2">
          <reference field="4294967294" count="1" selected="0">
            <x v="49"/>
          </reference>
          <reference field="0" count="1" selected="0">
            <x v="0"/>
          </reference>
        </references>
      </pivotArea>
    </format>
    <format dxfId="1300">
      <pivotArea dataOnly="0" labelOnly="1" outline="0" fieldPosition="0">
        <references count="2">
          <reference field="4294967294" count="1">
            <x v="49"/>
          </reference>
          <reference field="0" count="1" selected="0">
            <x v="0"/>
          </reference>
        </references>
      </pivotArea>
    </format>
    <format dxfId="129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2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29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29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95">
      <pivotArea outline="0" collapsedLevelsAreSubtotals="1" fieldPosition="0">
        <references count="2">
          <reference field="4294967294" count="1" selected="0">
            <x v="48"/>
          </reference>
          <reference field="0" count="1" selected="0">
            <x v="0"/>
          </reference>
        </references>
      </pivotArea>
    </format>
    <format dxfId="1294">
      <pivotArea dataOnly="0" labelOnly="1" outline="0" fieldPosition="0">
        <references count="2">
          <reference field="4294967294" count="1">
            <x v="48"/>
          </reference>
          <reference field="0" count="1" selected="0">
            <x v="0"/>
          </reference>
        </references>
      </pivotArea>
    </format>
    <format dxfId="1293">
      <pivotArea field="0" grandCol="1" outline="0" collapsedLevelsAreSubtotals="1" axis="axisRow" fieldPosition="0">
        <references count="2">
          <reference field="4294967294" count="1" selected="0">
            <x v="1"/>
          </reference>
          <reference field="0" count="1" selected="0">
            <x v="0"/>
          </reference>
        </references>
      </pivotArea>
    </format>
    <format dxfId="12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291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129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28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28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28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28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8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28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83">
      <pivotArea dataOnly="0" labelOnly="1" outline="0" offset="IV51" fieldPosition="0">
        <references count="1">
          <reference field="0" count="1">
            <x v="0"/>
          </reference>
        </references>
      </pivotArea>
    </format>
    <format dxfId="1282">
      <pivotArea outline="0" collapsedLevelsAreSubtotals="1" fieldPosition="0">
        <references count="2"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1281">
      <pivotArea field="185" type="button" dataOnly="0" labelOnly="1" outline="0" axis="axisCol" fieldPosition="0"/>
    </format>
    <format dxfId="1280">
      <pivotArea field="4" type="button" dataOnly="0" labelOnly="1" outline="0" axis="axisCol" fieldPosition="1"/>
    </format>
    <format dxfId="1279">
      <pivotArea type="topRight" dataOnly="0" labelOnly="1" outline="0" fieldPosition="0"/>
    </format>
    <format dxfId="1278">
      <pivotArea dataOnly="0" labelOnly="1" outline="0" fieldPosition="0">
        <references count="1">
          <reference field="185" count="1">
            <x v="0"/>
          </reference>
        </references>
      </pivotArea>
    </format>
    <format dxfId="1277">
      <pivotArea dataOnly="0" labelOnly="1" outline="0" fieldPosition="0">
        <references count="2">
          <reference field="4" count="6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1276">
      <pivotArea outline="0" collapsedLevelsAreSubtotals="1" fieldPosition="0">
        <references count="2"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1275">
      <pivotArea type="topRight" dataOnly="0" labelOnly="1" outline="0" offset="F1:I1" fieldPosition="0"/>
    </format>
    <format dxfId="1274">
      <pivotArea dataOnly="0" labelOnly="1" outline="0" fieldPosition="0">
        <references count="1">
          <reference field="185" count="1">
            <x v="1"/>
          </reference>
        </references>
      </pivotArea>
    </format>
    <format dxfId="1273">
      <pivotArea dataOnly="0" labelOnly="1" outline="0" fieldPosition="0">
        <references count="2">
          <reference field="4" count="4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1272">
      <pivotArea outline="0" collapsedLevelsAreSubtotals="1" fieldPosition="0">
        <references count="2"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1271">
      <pivotArea type="topRight" dataOnly="0" labelOnly="1" outline="0" offset="K1:L1" fieldPosition="0"/>
    </format>
    <format dxfId="1270">
      <pivotArea dataOnly="0" labelOnly="1" outline="0" fieldPosition="0">
        <references count="1">
          <reference field="185" count="1">
            <x v="2"/>
          </reference>
        </references>
      </pivotArea>
    </format>
    <format dxfId="1269">
      <pivotArea dataOnly="0" labelOnly="1" outline="0" fieldPosition="0">
        <references count="2">
          <reference field="4" count="2">
            <x v="10"/>
            <x v="11"/>
          </reference>
          <reference field="185" count="1" selected="0">
            <x v="2"/>
          </reference>
        </references>
      </pivotArea>
    </format>
    <format dxfId="1268">
      <pivotArea outline="0" collapsedLevelsAreSubtotals="1" fieldPosition="0">
        <references count="2"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267">
      <pivotArea type="topRight" dataOnly="0" labelOnly="1" outline="0" offset="N1" fieldPosition="0"/>
    </format>
    <format dxfId="1266">
      <pivotArea dataOnly="0" labelOnly="1" outline="0" fieldPosition="0">
        <references count="1">
          <reference field="185" count="1">
            <x v="3"/>
          </reference>
        </references>
      </pivotArea>
    </format>
    <format dxfId="1265">
      <pivotArea dataOnly="0" labelOnly="1" outline="0" fieldPosition="0">
        <references count="2">
          <reference field="4" count="1">
            <x v="13"/>
          </reference>
          <reference field="185" count="1" selected="0">
            <x v="3"/>
          </reference>
        </references>
      </pivotArea>
    </format>
    <format dxfId="1264">
      <pivotArea outline="0" collapsedLevelsAreSubtotals="1" fieldPosition="0">
        <references count="2">
          <reference field="4" count="1" selected="0">
            <x v="14"/>
          </reference>
          <reference field="185" count="1" selected="0">
            <x v="4"/>
          </reference>
        </references>
      </pivotArea>
    </format>
    <format dxfId="1263">
      <pivotArea type="topRight" dataOnly="0" labelOnly="1" outline="0" offset="P1" fieldPosition="0"/>
    </format>
    <format dxfId="1262">
      <pivotArea dataOnly="0" labelOnly="1" outline="0" fieldPosition="0">
        <references count="1">
          <reference field="185" count="1">
            <x v="4"/>
          </reference>
        </references>
      </pivotArea>
    </format>
    <format dxfId="1261">
      <pivotArea dataOnly="0" labelOnly="1" outline="0" fieldPosition="0">
        <references count="2">
          <reference field="4" count="1">
            <x v="14"/>
          </reference>
          <reference field="185" count="1" selected="0">
            <x v="4"/>
          </reference>
        </references>
      </pivotArea>
    </format>
    <format dxfId="1260">
      <pivotArea grandCol="1" outline="0" collapsedLevelsAreSubtotals="1" fieldPosition="0"/>
    </format>
    <format dxfId="1259">
      <pivotArea type="topRight" dataOnly="0" labelOnly="1" outline="0" offset="R1" fieldPosition="0"/>
    </format>
    <format dxfId="1258">
      <pivotArea dataOnly="0" labelOnly="1" grandCol="1" outline="0" fieldPosition="0"/>
    </format>
    <format dxfId="1257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256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255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254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253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252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251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250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249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248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247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246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245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244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243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242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241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240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239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1238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1237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236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235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234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233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232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231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230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229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228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227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226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225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224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223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222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221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220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219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218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217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216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215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214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213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212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211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210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209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208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207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1206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1205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1204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203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202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201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200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199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198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197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196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195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194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193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192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191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190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189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188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187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186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185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184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183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182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181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180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179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178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177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176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175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174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173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172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171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170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169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168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167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166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165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164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163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162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161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160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159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158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157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156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1155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1154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115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15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1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15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1149">
      <pivotArea outline="0" collapsedLevelsAreSubtotals="1" fieldPosition="0">
        <references count="2"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148">
      <pivotArea type="topRight" dataOnly="0" labelOnly="1" outline="0" offset="I1" fieldPosition="0"/>
    </format>
    <format dxfId="1147">
      <pivotArea dataOnly="0" labelOnly="1" outline="0" offset="IV256" fieldPosition="0">
        <references count="1">
          <reference field="185" count="1">
            <x v="1"/>
          </reference>
        </references>
      </pivotArea>
    </format>
    <format dxfId="1146">
      <pivotArea dataOnly="0" labelOnly="1" outline="0" fieldPosition="0">
        <references count="2">
          <reference field="4" count="1">
            <x v="9"/>
          </reference>
          <reference field="185" count="1" selected="0">
            <x v="1"/>
          </reference>
        </references>
      </pivotArea>
    </format>
    <format dxfId="1145">
      <pivotArea outline="0" collapsedLevelsAreSubtotals="1" fieldPosition="0">
        <references count="2"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1144">
      <pivotArea type="topRight" dataOnly="0" labelOnly="1" outline="0" offset="L1" fieldPosition="0"/>
    </format>
    <format dxfId="1143">
      <pivotArea dataOnly="0" labelOnly="1" outline="0" offset="IV256" fieldPosition="0">
        <references count="1">
          <reference field="185" count="1">
            <x v="2"/>
          </reference>
        </references>
      </pivotArea>
    </format>
    <format dxfId="1142">
      <pivotArea dataOnly="0" labelOnly="1" outline="0" fieldPosition="0">
        <references count="2">
          <reference field="4" count="1">
            <x v="11"/>
          </reference>
          <reference field="185" count="1" selected="0">
            <x v="2"/>
          </reference>
        </references>
      </pivotArea>
    </format>
    <format dxfId="1141">
      <pivotArea outline="0" collapsedLevelsAreSubtotals="1" fieldPosition="0">
        <references count="2"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140">
      <pivotArea type="topRight" dataOnly="0" labelOnly="1" outline="0" offset="D1" fieldPosition="0"/>
    </format>
    <format dxfId="1139">
      <pivotArea dataOnly="0" labelOnly="1" outline="0" offset="IV256" fieldPosition="0">
        <references count="1">
          <reference field="185" count="1">
            <x v="0"/>
          </reference>
        </references>
      </pivotArea>
    </format>
    <format dxfId="1138">
      <pivotArea dataOnly="0" labelOnly="1" outline="0" fieldPosition="0">
        <references count="2">
          <reference field="4" count="1">
            <x v="5"/>
          </reference>
          <reference field="185" count="1" selected="0">
            <x v="0"/>
          </reference>
        </references>
      </pivotArea>
    </format>
    <format dxfId="1137">
      <pivotArea outline="0" collapsedLevelsAreSubtotals="1" fieldPosition="0">
        <references count="2"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136">
      <pivotArea outline="0" collapsedLevelsAreSubtotals="1" fieldPosition="0">
        <references count="2"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135">
      <pivotArea outline="0" collapsedLevelsAreSubtotals="1" fieldPosition="0">
        <references count="2">
          <reference field="4" count="1" selected="0">
            <x v="14"/>
          </reference>
          <reference field="185" count="1" selected="0">
            <x v="4"/>
          </reference>
        </references>
      </pivotArea>
    </format>
    <format dxfId="1134">
      <pivotArea outline="0" collapsedLevelsAreSubtotals="1" fieldPosition="0">
        <references count="1">
          <reference field="185" count="1" selected="0" defaultSubtotal="1">
            <x v="4"/>
          </reference>
        </references>
      </pivotArea>
    </format>
    <format dxfId="1133">
      <pivotArea field="-2" type="button" dataOnly="0" labelOnly="1" outline="0" axis="axisRow" fieldPosition="1"/>
    </format>
    <format dxfId="113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113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113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1129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1128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1127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1126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1125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1124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1123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1122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1121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1120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1119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1118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1117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1116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1115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1114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1113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1112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1111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1110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1109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1108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1107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1106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1105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1104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1103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1102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1101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1100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1099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1098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1097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1096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1095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1094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1093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1092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1091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1090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1089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1088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1087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1086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1085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1084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1083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1082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1081">
      <pivotArea dataOnly="0" labelOnly="1" outline="0" fieldPosition="0">
        <references count="2">
          <reference field="4294967294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  <reference field="0" count="1" selected="0">
            <x v="0"/>
          </reference>
        </references>
      </pivotArea>
    </format>
    <format dxfId="1080">
      <pivotArea dataOnly="0" labelOnly="1" outline="0" fieldPosition="0">
        <references count="2">
          <reference field="4294967294" count="3">
            <x v="50"/>
            <x v="51"/>
            <x v="52"/>
          </reference>
          <reference field="0" count="1" selected="0">
            <x v="0"/>
          </reference>
        </references>
      </pivotArea>
    </format>
    <format dxfId="1079">
      <pivotArea field="0" dataOnly="0" grandRow="1" outline="0" axis="axisRow" fieldPosition="0">
        <references count="1">
          <reference field="4294967294" count="2" selected="0">
            <x v="18"/>
            <x v="19"/>
          </reference>
        </references>
      </pivotArea>
    </format>
    <format dxfId="10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76">
      <pivotArea outline="0" collapsedLevelsAreSubtotals="1" fieldPosition="0">
        <references count="4">
          <reference field="4294967294" count="1" selected="0">
            <x v="15"/>
          </reference>
          <reference field="0" count="1" selected="0">
            <x v="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07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7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7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7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6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6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6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6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06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5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5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5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5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05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5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5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0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50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4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4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4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4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4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4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4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4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4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3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03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3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3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3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3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3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3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3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2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2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2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2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2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2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02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1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0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1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1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1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1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1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1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1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0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0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0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00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00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00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0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00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0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9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9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97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9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9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9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9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9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91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8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8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8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8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8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8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8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8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8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7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7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97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97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7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7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7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7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7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7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6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6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96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96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64">
      <pivotArea outline="0" collapsedLevelsAreSubtotals="1" fieldPosition="0">
        <references count="4">
          <reference field="4294967294" count="1" selected="0">
            <x v="44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6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96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6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59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58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5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95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5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53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5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51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5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4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4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4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6">
      <pivotArea outline="0" collapsedLevelsAreSubtotals="1" fieldPosition="0">
        <references count="4">
          <reference field="4294967294" count="1" selected="0">
            <x v="7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4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4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4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3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3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3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3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3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3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3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3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3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93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2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2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27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2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2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2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1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1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1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16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15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1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9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1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1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9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90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90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0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0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05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90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0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90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90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9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9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9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96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9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89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89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9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9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8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8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8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2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88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8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83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82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81">
      <pivotArea outline="0" collapsedLevelsAreSubtotals="1" fieldPosition="0">
        <references count="4">
          <reference field="4294967294" count="1" selected="0">
            <x v="52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3" selected="0">
            <x v="6"/>
            <x v="7"/>
            <x v="8"/>
          </reference>
          <reference field="185" count="1" selected="0">
            <x v="1"/>
          </reference>
        </references>
      </pivotArea>
    </format>
    <format dxfId="87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87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7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7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87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87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7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7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8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6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6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6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2" selected="0">
            <x v="6"/>
            <x v="7"/>
          </reference>
          <reference field="185" count="1" selected="0">
            <x v="1"/>
          </reference>
        </references>
      </pivotArea>
    </format>
    <format dxfId="86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2" selected="0">
            <x v="6"/>
            <x v="7"/>
          </reference>
          <reference field="185" count="1" selected="0">
            <x v="1"/>
          </reference>
        </references>
      </pivotArea>
    </format>
    <format dxfId="86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6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6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6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6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5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58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57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56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5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85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5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8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5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49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48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4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8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84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4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4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4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4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84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3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3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3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3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3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8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8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2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8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2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2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1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1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81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81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81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1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1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1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1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80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2" selected="0">
            <x v="2"/>
            <x v="3"/>
          </reference>
          <reference field="185" count="1" selected="0">
            <x v="0"/>
          </reference>
        </references>
      </pivotArea>
    </format>
    <format dxfId="80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6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5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80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80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0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80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9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9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9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79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79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9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9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9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9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8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8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8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86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85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84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83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8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78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78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7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7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7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76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75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74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7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7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6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6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6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6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6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6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6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6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6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6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5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54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3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5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5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5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4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8">
      <pivotArea outline="0" collapsedLevelsAreSubtotals="1" fieldPosition="0">
        <references count="4">
          <reference field="4294967294" count="1" selected="0">
            <x v="31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7">
      <pivotArea outline="0" collapsedLevelsAreSubtotals="1" fieldPosition="0">
        <references count="4">
          <reference field="4294967294" count="1" selected="0">
            <x v="31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6">
      <pivotArea outline="0" collapsedLevelsAreSubtotals="1" fieldPosition="0">
        <references count="4">
          <reference field="4294967294" count="1" selected="0">
            <x v="31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4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4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4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4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4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4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3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73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3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3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5">
      <pivotArea outline="0" collapsedLevelsAreSubtotals="1" fieldPosition="0">
        <references count="4">
          <reference field="4294967294" count="1" selected="0">
            <x v="16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3">
      <pivotArea outline="0" collapsedLevelsAreSubtotals="1" fieldPosition="0">
        <references count="3">
          <reference field="4294967294" count="1" selected="0">
            <x v="17"/>
          </reference>
          <reference field="0" count="1" selected="0">
            <x v="8"/>
          </reference>
          <reference field="185" count="1" selected="0" defaultSubtotal="1">
            <x v="2"/>
          </reference>
        </references>
      </pivotArea>
    </format>
    <format dxfId="73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1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2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8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2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8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27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2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2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2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2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2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2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2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1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7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71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1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1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1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1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1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1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709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08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70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0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7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70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70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7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70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9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9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9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96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9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9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2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69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9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9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8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3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68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68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8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8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8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82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8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8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7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77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6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5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7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7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7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7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6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4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66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6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6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6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66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5"/>
          </reference>
          <reference field="4" count="2" selected="0">
            <x v="0"/>
            <x v="1"/>
          </reference>
          <reference field="185" count="1" selected="0">
            <x v="0"/>
          </reference>
        </references>
      </pivotArea>
    </format>
    <format dxfId="661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60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5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5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5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5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5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5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5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5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52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4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48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64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64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4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4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64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4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4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3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3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37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6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4">
      <pivotArea outline="0" collapsedLevelsAreSubtotals="1" fieldPosition="0">
        <references count="4">
          <reference field="4294967294" count="1" selected="0">
            <x v="16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3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31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3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2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7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26">
      <pivotArea dataOnly="0" labelOnly="1" outline="0" fieldPosition="0">
        <references count="2">
          <reference field="4294967294" count="1">
            <x v="50"/>
          </reference>
          <reference field="0" count="1" selected="0">
            <x v="0"/>
          </reference>
        </references>
      </pivotArea>
    </format>
    <format dxfId="62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4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3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22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21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2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1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6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1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61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61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61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60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0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0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05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604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603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602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601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600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599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598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597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596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595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594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593">
      <pivotArea field="0" dataOnly="0" labelOnly="1" grandRow="1" outline="0" axis="axisRow" fieldPosition="0">
        <references count="1">
          <reference field="4294967294" count="1" selected="0">
            <x v="15"/>
          </reference>
        </references>
      </pivotArea>
    </format>
    <format dxfId="592">
      <pivotArea field="0" dataOnly="0" labelOnly="1" grandRow="1" outline="0" axis="axisRow" fieldPosition="0">
        <references count="1">
          <reference field="4294967294" count="1" selected="0">
            <x v="16"/>
          </reference>
        </references>
      </pivotArea>
    </format>
    <format dxfId="591">
      <pivotArea field="0" dataOnly="0" labelOnly="1" grandRow="1" outline="0" axis="axisRow" fieldPosition="0">
        <references count="1">
          <reference field="4294967294" count="1" selected="0">
            <x v="17"/>
          </reference>
        </references>
      </pivotArea>
    </format>
    <format dxfId="590">
      <pivotArea field="0" dataOnly="0" labelOnly="1" grandRow="1" outline="0" axis="axisRow" fieldPosition="0">
        <references count="1">
          <reference field="4294967294" count="1" selected="0">
            <x v="18"/>
          </reference>
        </references>
      </pivotArea>
    </format>
    <format dxfId="589">
      <pivotArea field="0" dataOnly="0" labelOnly="1" grandRow="1" outline="0" axis="axisRow" fieldPosition="0">
        <references count="1">
          <reference field="4294967294" count="1" selected="0">
            <x v="19"/>
          </reference>
        </references>
      </pivotArea>
    </format>
    <format dxfId="588">
      <pivotArea field="0" dataOnly="0" labelOnly="1" grandRow="1" outline="0" axis="axisRow" fieldPosition="0">
        <references count="1">
          <reference field="4294967294" count="1" selected="0">
            <x v="20"/>
          </reference>
        </references>
      </pivotArea>
    </format>
    <format dxfId="587">
      <pivotArea field="0" dataOnly="0" labelOnly="1" grandRow="1" outline="0" axis="axisRow" fieldPosition="0">
        <references count="1">
          <reference field="4294967294" count="1" selected="0">
            <x v="21"/>
          </reference>
        </references>
      </pivotArea>
    </format>
    <format dxfId="586">
      <pivotArea field="0" dataOnly="0" labelOnly="1" grandRow="1" outline="0" axis="axisRow" fieldPosition="0">
        <references count="1">
          <reference field="4294967294" count="1" selected="0">
            <x v="22"/>
          </reference>
        </references>
      </pivotArea>
    </format>
    <format dxfId="585">
      <pivotArea field="0" dataOnly="0" labelOnly="1" grandRow="1" outline="0" axis="axisRow" fieldPosition="0">
        <references count="1">
          <reference field="4294967294" count="1" selected="0">
            <x v="23"/>
          </reference>
        </references>
      </pivotArea>
    </format>
    <format dxfId="584">
      <pivotArea field="0" dataOnly="0" labelOnly="1" grandRow="1" outline="0" axis="axisRow" fieldPosition="0">
        <references count="1">
          <reference field="4294967294" count="1" selected="0">
            <x v="24"/>
          </reference>
        </references>
      </pivotArea>
    </format>
    <format dxfId="583">
      <pivotArea field="0" dataOnly="0" labelOnly="1" grandRow="1" outline="0" axis="axisRow" fieldPosition="0">
        <references count="1">
          <reference field="4294967294" count="1" selected="0">
            <x v="25"/>
          </reference>
        </references>
      </pivotArea>
    </format>
    <format dxfId="582">
      <pivotArea field="0" dataOnly="0" labelOnly="1" grandRow="1" outline="0" axis="axisRow" fieldPosition="0">
        <references count="1">
          <reference field="4294967294" count="1" selected="0">
            <x v="26"/>
          </reference>
        </references>
      </pivotArea>
    </format>
    <format dxfId="581">
      <pivotArea field="0" dataOnly="0" labelOnly="1" grandRow="1" outline="0" axis="axisRow" fieldPosition="0">
        <references count="1">
          <reference field="4294967294" count="1" selected="0">
            <x v="27"/>
          </reference>
        </references>
      </pivotArea>
    </format>
    <format dxfId="580">
      <pivotArea field="0" dataOnly="0" labelOnly="1" grandRow="1" outline="0" axis="axisRow" fieldPosition="0">
        <references count="1">
          <reference field="4294967294" count="1" selected="0">
            <x v="28"/>
          </reference>
        </references>
      </pivotArea>
    </format>
    <format dxfId="579">
      <pivotArea field="0" dataOnly="0" labelOnly="1" grandRow="1" outline="0" axis="axisRow" fieldPosition="0">
        <references count="1">
          <reference field="4294967294" count="1" selected="0">
            <x v="29"/>
          </reference>
        </references>
      </pivotArea>
    </format>
    <format dxfId="578">
      <pivotArea field="0" dataOnly="0" labelOnly="1" grandRow="1" outline="0" axis="axisRow" fieldPosition="0">
        <references count="1">
          <reference field="4294967294" count="1" selected="0">
            <x v="30"/>
          </reference>
        </references>
      </pivotArea>
    </format>
    <format dxfId="577">
      <pivotArea field="0" dataOnly="0" labelOnly="1" grandRow="1" outline="0" axis="axisRow" fieldPosition="0">
        <references count="1">
          <reference field="4294967294" count="1" selected="0">
            <x v="31"/>
          </reference>
        </references>
      </pivotArea>
    </format>
    <format dxfId="576">
      <pivotArea field="0" dataOnly="0" labelOnly="1" grandRow="1" outline="0" axis="axisRow" fieldPosition="0">
        <references count="1">
          <reference field="4294967294" count="1" selected="0">
            <x v="32"/>
          </reference>
        </references>
      </pivotArea>
    </format>
    <format dxfId="575">
      <pivotArea field="0" dataOnly="0" labelOnly="1" grandRow="1" outline="0" axis="axisRow" fieldPosition="0">
        <references count="1">
          <reference field="4294967294" count="1" selected="0">
            <x v="33"/>
          </reference>
        </references>
      </pivotArea>
    </format>
    <format dxfId="574">
      <pivotArea field="0" dataOnly="0" labelOnly="1" grandRow="1" outline="0" axis="axisRow" fieldPosition="0">
        <references count="1">
          <reference field="4294967294" count="1" selected="0">
            <x v="34"/>
          </reference>
        </references>
      </pivotArea>
    </format>
    <format dxfId="573">
      <pivotArea field="0" dataOnly="0" labelOnly="1" grandRow="1" outline="0" axis="axisRow" fieldPosition="0">
        <references count="1">
          <reference field="4294967294" count="1" selected="0">
            <x v="35"/>
          </reference>
        </references>
      </pivotArea>
    </format>
    <format dxfId="572">
      <pivotArea field="0" dataOnly="0" labelOnly="1" grandRow="1" outline="0" axis="axisRow" fieldPosition="0">
        <references count="1">
          <reference field="4294967294" count="1" selected="0">
            <x v="36"/>
          </reference>
        </references>
      </pivotArea>
    </format>
    <format dxfId="571">
      <pivotArea field="0" dataOnly="0" labelOnly="1" grandRow="1" outline="0" axis="axisRow" fieldPosition="0">
        <references count="1">
          <reference field="4294967294" count="1" selected="0">
            <x v="37"/>
          </reference>
        </references>
      </pivotArea>
    </format>
    <format dxfId="570">
      <pivotArea field="0" dataOnly="0" labelOnly="1" grandRow="1" outline="0" axis="axisRow" fieldPosition="0">
        <references count="1">
          <reference field="4294967294" count="1" selected="0">
            <x v="38"/>
          </reference>
        </references>
      </pivotArea>
    </format>
    <format dxfId="569">
      <pivotArea field="0" dataOnly="0" labelOnly="1" grandRow="1" outline="0" axis="axisRow" fieldPosition="0">
        <references count="1">
          <reference field="4294967294" count="1" selected="0">
            <x v="39"/>
          </reference>
        </references>
      </pivotArea>
    </format>
    <format dxfId="568">
      <pivotArea field="0" dataOnly="0" labelOnly="1" grandRow="1" outline="0" axis="axisRow" fieldPosition="0">
        <references count="1">
          <reference field="4294967294" count="1" selected="0">
            <x v="40"/>
          </reference>
        </references>
      </pivotArea>
    </format>
    <format dxfId="567">
      <pivotArea field="0" dataOnly="0" labelOnly="1" grandRow="1" outline="0" axis="axisRow" fieldPosition="0">
        <references count="1">
          <reference field="4294967294" count="1" selected="0">
            <x v="41"/>
          </reference>
        </references>
      </pivotArea>
    </format>
    <format dxfId="566">
      <pivotArea field="0" dataOnly="0" labelOnly="1" grandRow="1" outline="0" axis="axisRow" fieldPosition="0">
        <references count="1">
          <reference field="4294967294" count="1" selected="0">
            <x v="42"/>
          </reference>
        </references>
      </pivotArea>
    </format>
    <format dxfId="565">
      <pivotArea field="0" dataOnly="0" labelOnly="1" grandRow="1" outline="0" axis="axisRow" fieldPosition="0">
        <references count="1">
          <reference field="4294967294" count="1" selected="0">
            <x v="43"/>
          </reference>
        </references>
      </pivotArea>
    </format>
    <format dxfId="564">
      <pivotArea field="0" dataOnly="0" labelOnly="1" grandRow="1" outline="0" axis="axisRow" fieldPosition="0">
        <references count="1">
          <reference field="4294967294" count="1" selected="0">
            <x v="44"/>
          </reference>
        </references>
      </pivotArea>
    </format>
    <format dxfId="563">
      <pivotArea field="0" dataOnly="0" labelOnly="1" grandRow="1" outline="0" axis="axisRow" fieldPosition="0">
        <references count="1">
          <reference field="4294967294" count="1" selected="0">
            <x v="45"/>
          </reference>
        </references>
      </pivotArea>
    </format>
    <format dxfId="562">
      <pivotArea field="0" dataOnly="0" labelOnly="1" grandRow="1" outline="0" axis="axisRow" fieldPosition="0">
        <references count="1">
          <reference field="4294967294" count="1" selected="0">
            <x v="46"/>
          </reference>
        </references>
      </pivotArea>
    </format>
    <format dxfId="561">
      <pivotArea field="0" dataOnly="0" labelOnly="1" grandRow="1" outline="0" axis="axisRow" fieldPosition="0">
        <references count="1">
          <reference field="4294967294" count="1" selected="0">
            <x v="47"/>
          </reference>
        </references>
      </pivotArea>
    </format>
    <format dxfId="560">
      <pivotArea field="0" dataOnly="0" labelOnly="1" grandRow="1" outline="0" axis="axisRow" fieldPosition="0">
        <references count="1">
          <reference field="4294967294" count="1" selected="0">
            <x v="48"/>
          </reference>
        </references>
      </pivotArea>
    </format>
    <format dxfId="559">
      <pivotArea field="0" dataOnly="0" labelOnly="1" grandRow="1" outline="0" axis="axisRow" fieldPosition="0">
        <references count="1">
          <reference field="4294967294" count="1" selected="0">
            <x v="49"/>
          </reference>
        </references>
      </pivotArea>
    </format>
    <format dxfId="558">
      <pivotArea field="0" dataOnly="0" labelOnly="1" grandRow="1" outline="0" axis="axisRow" fieldPosition="0">
        <references count="1">
          <reference field="4294967294" count="1" selected="0">
            <x v="50"/>
          </reference>
        </references>
      </pivotArea>
    </format>
    <format dxfId="557">
      <pivotArea field="0" dataOnly="0" labelOnly="1" grandRow="1" outline="0" axis="axisRow" fieldPosition="0">
        <references count="1">
          <reference field="4294967294" count="1" selected="0">
            <x v="51"/>
          </reference>
        </references>
      </pivotArea>
    </format>
    <format dxfId="556">
      <pivotArea field="0" dataOnly="0" labelOnly="1" grandRow="1" outline="0" axis="axisRow" fieldPosition="0">
        <references count="1">
          <reference field="4294967294" count="1" selected="0">
            <x v="52"/>
          </reference>
        </references>
      </pivotArea>
    </format>
    <format dxfId="5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5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5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55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2" selected="0">
            <x v="10"/>
            <x v="11"/>
          </reference>
          <reference field="185" count="1" selected="0">
            <x v="2"/>
          </reference>
        </references>
      </pivotArea>
    </format>
    <format dxfId="54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4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4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4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4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4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4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4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4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39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3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3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3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3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3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3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30">
      <pivotArea outline="0" collapsedLevelsAreSubtotals="1" fieldPosition="0">
        <references count="4">
          <reference field="4294967294" count="1" selected="0">
            <x v="10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52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2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2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2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24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2" selected="0">
            <x v="8"/>
            <x v="9"/>
          </reference>
          <reference field="185" count="1" selected="0">
            <x v="1"/>
          </reference>
        </references>
      </pivotArea>
    </format>
    <format dxfId="5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20">
      <pivotArea outline="0" collapsedLevelsAreSubtotals="1" fieldPosition="0">
        <references count="4">
          <reference field="4294967294" count="1" selected="0">
            <x v="19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5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51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1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51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13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12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1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10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09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08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07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50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50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6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50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50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50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50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99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4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9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9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95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9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9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9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9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90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8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8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8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8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8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2" selected="0">
            <x v="1"/>
            <x v="2"/>
          </reference>
          <reference field="185" count="1" selected="0">
            <x v="0"/>
          </reference>
        </references>
      </pivotArea>
    </format>
    <format dxfId="48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8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83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82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9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8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7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78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7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5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7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3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72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70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6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67">
      <pivotArea outline="0" collapsedLevelsAreSubtotals="1" fieldPosition="0">
        <references count="4">
          <reference field="4294967294" count="1" selected="0">
            <x v="10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66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6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6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6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6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6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6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59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58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5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56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5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5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2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5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2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5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5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50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49">
      <pivotArea outline="0" collapsedLevelsAreSubtotals="1" fieldPosition="0">
        <references count="4">
          <reference field="4294967294" count="1" selected="0">
            <x v="44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4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4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44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4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4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4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4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4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40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39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6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4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3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3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3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30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28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27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2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25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2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2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20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4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41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41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15">
      <pivotArea outline="0" collapsedLevelsAreSubtotals="1" fieldPosition="0">
        <references count="2"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414">
      <pivotArea outline="0" collapsedLevelsAreSubtotals="1" fieldPosition="0">
        <references count="1">
          <reference field="185" count="1" selected="0" defaultSubtotal="1">
            <x v="1"/>
          </reference>
        </references>
      </pivotArea>
    </format>
    <format dxfId="413">
      <pivotArea outline="0" collapsedLevelsAreSubtotals="1" fieldPosition="0">
        <references count="1">
          <reference field="185" count="2" selected="0" defaultSubtotal="1">
            <x v="2"/>
            <x v="3"/>
          </reference>
        </references>
      </pivotArea>
    </format>
    <format dxfId="412">
      <pivotArea grandCol="1" outline="0" collapsedLevelsAreSubtotals="1" fieldPosition="0"/>
    </format>
    <format dxfId="411">
      <pivotArea outline="0" collapsedLevelsAreSubtotals="1" fieldPosition="0">
        <references count="4">
          <reference field="4294967294" count="38" selected="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0" count="1" selected="0">
            <x v="0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410">
      <pivotArea outline="0" collapsedLevelsAreSubtotals="1" fieldPosition="0">
        <references count="4">
          <reference field="4294967294" count="53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0" count="15" selected="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409">
      <pivotArea field="185" grandRow="1" outline="0" collapsedLevelsAreSubtotals="1" axis="axisCol" fieldPosition="0">
        <references count="3">
          <reference field="4294967294" count="53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40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0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0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0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0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40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0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40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9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9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9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4" selected="0">
            <x v="0"/>
            <x v="1"/>
            <x v="2"/>
            <x v="3"/>
          </reference>
          <reference field="185" count="1" selected="0">
            <x v="0"/>
          </reference>
        </references>
      </pivotArea>
    </format>
    <format dxfId="396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6" selected="0">
            <x v="0"/>
            <x v="1"/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395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394">
      <pivotArea outline="0" collapsedLevelsAreSubtotals="1" fieldPosition="0">
        <references count="4">
          <reference field="4294967294" count="1" selected="0">
            <x v="49"/>
          </reference>
          <reference field="0" count="1" selected="0">
            <x v="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9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92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9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8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8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8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4" selected="0">
            <x v="6"/>
            <x v="7"/>
            <x v="8"/>
            <x v="9"/>
          </reference>
          <reference field="185" count="1" selected="0">
            <x v="1"/>
          </reference>
        </references>
      </pivotArea>
    </format>
    <format dxfId="386">
      <pivotArea outline="0" collapsedLevelsAreSubtotals="1" fieldPosition="0">
        <references count="4">
          <reference field="4294967294" count="1" selected="0">
            <x v="10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8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8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83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3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82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81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80">
      <pivotArea field="0" grandCol="1" outline="0" collapsedLevelsAreSubtotals="1" axis="axisRow" fieldPosition="0">
        <references count="2">
          <reference field="4294967294" count="1" selected="0">
            <x v="14"/>
          </reference>
          <reference field="0" count="1" selected="0">
            <x v="3"/>
          </reference>
        </references>
      </pivotArea>
    </format>
    <format dxfId="37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4" selected="0">
            <x v="2"/>
            <x v="3"/>
            <x v="4"/>
            <x v="5"/>
          </reference>
          <reference field="185" count="1" selected="0">
            <x v="0"/>
          </reference>
        </references>
      </pivotArea>
    </format>
    <format dxfId="37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7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7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7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7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7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7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6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68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6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6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6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64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6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62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6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6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60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6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5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5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5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5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55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5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5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52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5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3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4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48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47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45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34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43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4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41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40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3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9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38">
      <pivotArea outline="0" collapsedLevelsAreSubtotals="1" fieldPosition="0">
        <references count="4">
          <reference field="4294967294" count="1" selected="0">
            <x v="28"/>
          </reference>
          <reference field="0" count="1" selected="0">
            <x v="9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33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3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3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3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32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3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3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329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2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3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2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2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2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32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2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2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20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2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1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17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16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15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14">
      <pivotArea outline="0" collapsedLevelsAreSubtotals="1" fieldPosition="0">
        <references count="3">
          <reference field="4294967294" count="1" selected="0">
            <x v="23"/>
          </reference>
          <reference field="0" count="1" selected="0">
            <x v="13"/>
          </reference>
          <reference field="185" count="1" selected="0" defaultSubtotal="1">
            <x v="0"/>
          </reference>
        </references>
      </pivotArea>
    </format>
    <format dxfId="31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2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1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11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10">
      <pivotArea outline="0" collapsedLevelsAreSubtotals="1" fieldPosition="0">
        <references count="4">
          <reference field="4294967294" count="1" selected="0">
            <x v="29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09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08">
      <pivotArea outline="0" collapsedLevelsAreSubtotals="1" fieldPosition="0">
        <references count="4">
          <reference field="4294967294" count="1" selected="0">
            <x v="41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307">
      <pivotArea outline="0" collapsedLevelsAreSubtotals="1" fieldPosition="0">
        <references count="4">
          <reference field="4294967294" count="1" selected="0">
            <x v="38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06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05">
      <pivotArea outline="0" collapsedLevelsAreSubtotals="1" fieldPosition="0">
        <references count="4">
          <reference field="4294967294" count="1" selected="0">
            <x v="32"/>
          </reference>
          <reference field="0" count="1" selected="0">
            <x v="1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0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13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0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02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3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300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4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99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9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97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6">
      <pivotArea outline="0" collapsedLevelsAreSubtotals="1" fieldPosition="0">
        <references count="4">
          <reference field="4294967294" count="1" selected="0">
            <x v="26"/>
          </reference>
          <reference field="0" count="1" selected="0">
            <x v="15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5">
      <pivotArea outline="0" collapsedLevelsAreSubtotals="1" fieldPosition="0">
        <references count="4">
          <reference field="4294967294" count="1" selected="0">
            <x v="44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4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93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92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1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90">
      <pivotArea outline="0" collapsedLevelsAreSubtotals="1" fieldPosition="0">
        <references count="4">
          <reference field="4294967294" count="1" selected="0">
            <x v="17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288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7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8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8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84">
      <pivotArea outline="0" collapsedLevelsAreSubtotals="1" fieldPosition="0">
        <references count="4">
          <reference field="4294967294" count="1" selected="0">
            <x v="50"/>
          </reference>
          <reference field="0" count="1" selected="0">
            <x v="6"/>
          </reference>
          <reference field="4" count="3" selected="0">
            <x v="0"/>
            <x v="1"/>
            <x v="2"/>
          </reference>
          <reference field="185" count="1" selected="0">
            <x v="0"/>
          </reference>
        </references>
      </pivotArea>
    </format>
    <format dxfId="28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6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8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81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8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80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9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79">
      <pivotArea outline="0" collapsedLevelsAreSubtotals="1" fieldPosition="0">
        <references count="4">
          <reference field="4294967294" count="1" selected="0">
            <x v="0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7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7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7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27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1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274">
      <pivotArea outline="0" collapsedLevelsAreSubtotals="1" fieldPosition="0">
        <references count="4">
          <reference field="4294967294" count="1" selected="0">
            <x v="13"/>
          </reference>
          <reference field="0" count="1" selected="0">
            <x v="1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73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72">
      <pivotArea outline="0" collapsedLevelsAreSubtotals="1" fieldPosition="0">
        <references count="3">
          <reference field="4294967294" count="1" selected="0">
            <x v="32"/>
          </reference>
          <reference field="0" count="1" selected="0">
            <x v="13"/>
          </reference>
          <reference field="185" count="1" selected="0" defaultSubtotal="1">
            <x v="0"/>
          </reference>
        </references>
      </pivotArea>
    </format>
    <format dxfId="271">
      <pivotArea outline="0" collapsedLevelsAreSubtotals="1" fieldPosition="0">
        <references count="3">
          <reference field="4294967294" count="1" selected="0">
            <x v="38"/>
          </reference>
          <reference field="0" count="1" selected="0">
            <x v="13"/>
          </reference>
          <reference field="185" count="1" selected="0" defaultSubtotal="1">
            <x v="0"/>
          </reference>
        </references>
      </pivotArea>
    </format>
    <format dxfId="270">
      <pivotArea outline="0" collapsedLevelsAreSubtotals="1" fieldPosition="0">
        <references count="3">
          <reference field="4294967294" count="1" selected="0">
            <x v="26"/>
          </reference>
          <reference field="0" count="1" selected="0">
            <x v="13"/>
          </reference>
          <reference field="185" count="1" selected="0" defaultSubtotal="1">
            <x v="3"/>
          </reference>
        </references>
      </pivotArea>
    </format>
    <format dxfId="269">
      <pivotArea outline="0" collapsedLevelsAreSubtotals="1" fieldPosition="0">
        <references count="3">
          <reference field="4294967294" count="1" selected="0">
            <x v="29"/>
          </reference>
          <reference field="0" count="1" selected="0">
            <x v="13"/>
          </reference>
          <reference field="185" count="1" selected="0" defaultSubtotal="1">
            <x v="3"/>
          </reference>
        </references>
      </pivotArea>
    </format>
    <format dxfId="268">
      <pivotArea outline="0" collapsedLevelsAreSubtotals="1" fieldPosition="0">
        <references count="3">
          <reference field="4294967294" count="1" selected="0">
            <x v="32"/>
          </reference>
          <reference field="0" count="1" selected="0">
            <x v="13"/>
          </reference>
          <reference field="185" count="1" selected="0" defaultSubtotal="1">
            <x v="3"/>
          </reference>
        </references>
      </pivotArea>
    </format>
    <format dxfId="267">
      <pivotArea outline="0" collapsedLevelsAreSubtotals="1" fieldPosition="0">
        <references count="3">
          <reference field="4294967294" count="1" selected="0">
            <x v="41"/>
          </reference>
          <reference field="0" count="1" selected="0">
            <x v="13"/>
          </reference>
          <reference field="185" count="1" selected="0" defaultSubtotal="1">
            <x v="3"/>
          </reference>
        </references>
      </pivotArea>
    </format>
    <format dxfId="266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65">
      <pivotArea outline="0" collapsedLevelsAreSubtotals="1" fieldPosition="0">
        <references count="4">
          <reference field="4294967294" count="1" selected="0">
            <x v="23"/>
          </reference>
          <reference field="0" count="1" selected="0">
            <x v="14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64">
      <pivotArea outline="0" collapsedLevelsAreSubtotals="1" fieldPosition="0">
        <references count="4">
          <reference field="4294967294" count="1" selected="0">
            <x v="20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263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26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261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15"/>
          </reference>
          <reference field="4" count="2" selected="0">
            <x v="4"/>
            <x v="5"/>
          </reference>
          <reference field="18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A147254-8616-4584-BF16-F3DF50B9B490}" name="PivotTable1" cacheId="418" dataOnRows="1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compact="0" compactData="0" gridDropZones="1" multipleFieldFilters="0">
  <location ref="A3:W260" firstHeaderRow="1" firstDataRow="3" firstDataCol="2"/>
  <pivotFields count="195">
    <pivotField axis="axisRow" compact="0" outline="0" showAll="0" sortType="ascending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h="1" m="1" x="16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7">
        <item x="0"/>
        <item x="1"/>
        <item x="2"/>
        <item x="3"/>
        <item x="4"/>
        <item x="5"/>
        <item x="13"/>
        <item x="6"/>
        <item x="7"/>
        <item x="8"/>
        <item x="9"/>
        <item x="10"/>
        <item x="14"/>
        <item x="11"/>
        <item m="1" x="15"/>
        <item x="1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6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6" outline="0" showAl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7">
        <item n="Four-Year" x="1"/>
        <item n="Two-Year" x="2"/>
        <item n="Technical" x="3"/>
        <item n="Specialized" x="0"/>
        <item n="Start-up" x="4"/>
        <item x="5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255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8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9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0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3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>
      <x v="1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 r="1" i="9">
      <x v="9"/>
    </i>
    <i r="1" i="10">
      <x v="10"/>
    </i>
    <i r="1" i="11">
      <x v="11"/>
    </i>
    <i r="1" i="12">
      <x v="12"/>
    </i>
    <i r="1" i="13">
      <x v="13"/>
    </i>
    <i r="1" i="14">
      <x v="14"/>
    </i>
    <i t="grand">
      <x/>
    </i>
    <i t="grand" i="1">
      <x/>
    </i>
    <i t="grand" i="2">
      <x/>
    </i>
    <i t="grand" i="3">
      <x/>
    </i>
    <i t="grand" i="4">
      <x/>
    </i>
    <i t="grand" i="5">
      <x/>
    </i>
    <i t="grand" i="6">
      <x/>
    </i>
    <i t="grand" i="7">
      <x/>
    </i>
    <i t="grand" i="8">
      <x/>
    </i>
    <i t="grand" i="9">
      <x/>
    </i>
    <i t="grand" i="10">
      <x/>
    </i>
    <i t="grand" i="11">
      <x/>
    </i>
    <i t="grand" i="12">
      <x/>
    </i>
    <i t="grand" i="13">
      <x/>
    </i>
    <i t="grand" i="14">
      <x/>
    </i>
  </rowItems>
  <colFields count="2">
    <field x="185"/>
    <field x="4"/>
  </colFields>
  <colItems count="21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  <x v="13"/>
    </i>
    <i t="default">
      <x v="3"/>
    </i>
    <i>
      <x v="5"/>
      <x v="15"/>
    </i>
    <i t="default">
      <x v="5"/>
    </i>
    <i t="grand">
      <x/>
    </i>
  </colItems>
  <dataFields count="15">
    <dataField name=" Old-Bachelor's" fld="13" baseField="0" baseItem="0" numFmtId="164"/>
    <dataField name=" New-Bachelor's" fld="18" baseField="0" baseItem="0" numFmtId="164"/>
    <dataField name=" %Change-Bachelor's" fld="171" baseField="0" baseItem="0" numFmtId="164"/>
    <dataField name=" Old-Bach-TeachEd by CIP" fld="14" baseField="0" baseItem="0" numFmtId="164"/>
    <dataField name=" New-Bach-TeachEd by CIP" fld="19" baseField="0" baseItem="0" numFmtId="164"/>
    <dataField name=" %Change-Bach-TeachEd by CIP" fld="189" baseField="0" baseItem="0" numFmtId="164"/>
    <dataField name=" Old-Bach-TeachEd by Courses" fld="15" baseField="0" baseItem="0" numFmtId="164"/>
    <dataField name=" New-Bach-TeachEd by Courses" fld="20" baseField="0" baseItem="0" numFmtId="164"/>
    <dataField name=" %Change-Bach-TeachEd by Courses" fld="190" baseField="0" baseItem="0" numFmtId="164"/>
    <dataField name=" Old-Bach-TeachEd-Other" fld="16" baseField="0" baseItem="0" numFmtId="164"/>
    <dataField name=" New-Bach-TeachEd-Other" fld="21" baseField="0" baseItem="0" numFmtId="164"/>
    <dataField name=" %Change-Bach-TeachEd-Other" fld="191" baseField="0" baseItem="0" numFmtId="164"/>
    <dataField name=" Old-Bach-TeachEd-Subtot" fld="17" baseField="0" baseItem="0" numFmtId="164"/>
    <dataField name=" New-Bach-TeachEd-Subtot" fld="22" baseField="0" baseItem="0" numFmtId="164"/>
    <dataField name=" %Change-Bach-TeachEd-Subtot" fld="192" baseField="0" baseItem="0" numFmtId="3"/>
  </dataFields>
  <formats count="162">
    <format dxfId="260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259">
      <pivotArea dataOnly="0" labelOnly="1" outline="0" fieldPosition="0">
        <references count="1">
          <reference field="0" count="1">
            <x v="0"/>
          </reference>
        </references>
      </pivotArea>
    </format>
    <format dxfId="258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57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256">
      <pivotArea dataOnly="0" labelOnly="1" outline="0" fieldPosition="0">
        <references count="2">
          <reference field="4294967294" count="2">
            <x v="0"/>
            <x v="1"/>
          </reference>
          <reference field="0" count="1" selected="0">
            <x v="0"/>
          </reference>
        </references>
      </pivotArea>
    </format>
    <format dxfId="25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5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53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52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51">
      <pivotArea type="origin" dataOnly="0" labelOnly="1" outline="0" fieldPosition="0"/>
    </format>
    <format dxfId="250">
      <pivotArea field="0" type="button" dataOnly="0" labelOnly="1" outline="0" axis="axisRow" fieldPosition="0"/>
    </format>
    <format dxfId="249">
      <pivotArea dataOnly="0" labelOnly="1" outline="0" fieldPosition="0">
        <references count="1">
          <reference field="0" count="0"/>
        </references>
      </pivotArea>
    </format>
    <format dxfId="24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4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46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45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44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243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242">
      <pivotArea outline="0" collapsedLevelsAreSubtotals="1" fieldPosition="0">
        <references count="2">
          <reference field="4294967294" count="12" selected="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241">
      <pivotArea field="0" grandRow="1" outline="0" collapsedLevelsAreSubtotals="1" axis="axisRow" fieldPosition="0">
        <references count="1">
          <reference field="4294967294" count="15" selected="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40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239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238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237">
      <pivotArea field="0" dataOnly="0" labelOnly="1" grandRow="1" outline="0" axis="axisRow" fieldPosition="0">
        <references count="1">
          <reference field="4294967294" count="1" selected="0">
            <x v="3"/>
          </reference>
        </references>
      </pivotArea>
    </format>
    <format dxfId="236">
      <pivotArea field="0" dataOnly="0" labelOnly="1" grandRow="1" outline="0" axis="axisRow" fieldPosition="0">
        <references count="1">
          <reference field="4294967294" count="1" selected="0">
            <x v="4"/>
          </reference>
        </references>
      </pivotArea>
    </format>
    <format dxfId="235">
      <pivotArea field="0" dataOnly="0" labelOnly="1" grandRow="1" outline="0" axis="axisRow" fieldPosition="0">
        <references count="1">
          <reference field="4294967294" count="1" selected="0">
            <x v="5"/>
          </reference>
        </references>
      </pivotArea>
    </format>
    <format dxfId="234">
      <pivotArea field="0" dataOnly="0" labelOnly="1" grandRow="1" outline="0" axis="axisRow" fieldPosition="0">
        <references count="1">
          <reference field="4294967294" count="1" selected="0">
            <x v="6"/>
          </reference>
        </references>
      </pivotArea>
    </format>
    <format dxfId="233">
      <pivotArea field="0" dataOnly="0" labelOnly="1" grandRow="1" outline="0" axis="axisRow" fieldPosition="0">
        <references count="1">
          <reference field="4294967294" count="1" selected="0">
            <x v="7"/>
          </reference>
        </references>
      </pivotArea>
    </format>
    <format dxfId="232">
      <pivotArea field="0" dataOnly="0" labelOnly="1" grandRow="1" outline="0" axis="axisRow" fieldPosition="0">
        <references count="1">
          <reference field="4294967294" count="1" selected="0">
            <x v="8"/>
          </reference>
        </references>
      </pivotArea>
    </format>
    <format dxfId="231">
      <pivotArea field="0" dataOnly="0" labelOnly="1" grandRow="1" outline="0" axis="axisRow" fieldPosition="0">
        <references count="1">
          <reference field="4294967294" count="1" selected="0">
            <x v="9"/>
          </reference>
        </references>
      </pivotArea>
    </format>
    <format dxfId="230">
      <pivotArea field="0" dataOnly="0" labelOnly="1" grandRow="1" outline="0" axis="axisRow" fieldPosition="0">
        <references count="1">
          <reference field="4294967294" count="1" selected="0">
            <x v="10"/>
          </reference>
        </references>
      </pivotArea>
    </format>
    <format dxfId="229">
      <pivotArea field="0" dataOnly="0" labelOnly="1" grandRow="1" outline="0" axis="axisRow" fieldPosition="0">
        <references count="1">
          <reference field="4294967294" count="1" selected="0">
            <x v="11"/>
          </reference>
        </references>
      </pivotArea>
    </format>
    <format dxfId="228">
      <pivotArea field="0" dataOnly="0" labelOnly="1" grandRow="1" outline="0" axis="axisRow" fieldPosition="0">
        <references count="1">
          <reference field="4294967294" count="1" selected="0">
            <x v="12"/>
          </reference>
        </references>
      </pivotArea>
    </format>
    <format dxfId="227">
      <pivotArea field="0" dataOnly="0" labelOnly="1" grandRow="1" outline="0" axis="axisRow" fieldPosition="0">
        <references count="1">
          <reference field="4294967294" count="1" selected="0">
            <x v="13"/>
          </reference>
        </references>
      </pivotArea>
    </format>
    <format dxfId="226">
      <pivotArea field="0" dataOnly="0" labelOnly="1" grandRow="1" outline="0" axis="axisRow" fieldPosition="0">
        <references count="1">
          <reference field="4294967294" count="1" selected="0">
            <x v="14"/>
          </reference>
        </references>
      </pivotArea>
    </format>
    <format dxfId="225">
      <pivotArea dataOnly="0" labelOnly="1" outline="0" fieldPosition="0">
        <references count="2">
          <reference field="4294967294" count="12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  <reference field="0" count="1" selected="0">
            <x v="0"/>
          </reference>
        </references>
      </pivotArea>
    </format>
    <format dxfId="224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0"/>
          </reference>
        </references>
      </pivotArea>
    </format>
    <format dxfId="223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0"/>
          </reference>
        </references>
      </pivotArea>
    </format>
    <format dxfId="222">
      <pivotArea type="all" dataOnly="0" outline="0" fieldPosition="0"/>
    </format>
    <format dxfId="221">
      <pivotArea type="all" dataOnly="0" outline="0" fieldPosition="0"/>
    </format>
    <format dxfId="220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219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218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217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216">
      <pivotArea dataOnly="0" labelOnly="1" outline="0" offset="IV3" fieldPosition="0">
        <references count="1">
          <reference field="0" count="1">
            <x v="0"/>
          </reference>
        </references>
      </pivotArea>
    </format>
    <format dxfId="215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214">
      <pivotArea dataOnly="0" labelOnly="1" grandCol="1" outline="0" fieldPosition="0"/>
    </format>
    <format dxfId="213">
      <pivotArea dataOnly="0" labelOnly="1" outline="0" fieldPosition="0">
        <references count="1">
          <reference field="185" count="1" defaultSubtotal="1">
            <x v="4"/>
          </reference>
        </references>
      </pivotArea>
    </format>
    <format dxfId="212">
      <pivotArea dataOnly="0" labelOnly="1" grandCol="1" outline="0" fieldPosition="0"/>
    </format>
    <format dxfId="211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210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0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0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207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6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0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20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00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9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9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9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9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3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9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9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9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9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9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9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8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8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87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86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85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4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84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6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8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8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81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8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79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78">
      <pivotArea outline="0" collapsedLevelsAreSubtotals="1" fieldPosition="0">
        <references count="4">
          <reference field="4294967294" count="1" selected="0">
            <x v="14"/>
          </reference>
          <reference field="0" count="1" selected="0">
            <x v="9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7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7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7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7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7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7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7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7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70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3"/>
          </reference>
          <reference field="185" count="1" selected="0" defaultSubtotal="1">
            <x v="1"/>
          </reference>
        </references>
      </pivotArea>
    </format>
    <format dxfId="169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4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68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4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67">
      <pivotArea outline="0" collapsedLevelsAreSubtotals="1" fieldPosition="0">
        <references count="4">
          <reference field="4294967294" count="1" selected="0">
            <x v="0"/>
          </reference>
          <reference field="0" count="1" selected="0">
            <x v="2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6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6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64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63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62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61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0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6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5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5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5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5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55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54">
      <pivotArea outline="0" collapsedLevelsAreSubtotals="1" fieldPosition="0">
        <references count="2">
          <reference field="4294967294" count="1" selected="0">
            <x v="14"/>
          </reference>
          <reference field="0" count="1" selected="0">
            <x v="0"/>
          </reference>
        </references>
      </pivotArea>
    </format>
    <format dxfId="153">
      <pivotArea dataOnly="0" labelOnly="1" outline="0" offset="IV256" fieldPosition="0">
        <references count="1">
          <reference field="0" count="1">
            <x v="0"/>
          </reference>
        </references>
      </pivotArea>
    </format>
    <format dxfId="152">
      <pivotArea dataOnly="0" labelOnly="1" outline="0" fieldPosition="0">
        <references count="2">
          <reference field="4294967294" count="1">
            <x v="14"/>
          </reference>
          <reference field="0" count="1" selected="0">
            <x v="0"/>
          </reference>
        </references>
      </pivotArea>
    </format>
    <format dxfId="151">
      <pivotArea dataOnly="0" labelOnly="1" outline="0" offset="IV256" fieldPosition="0">
        <references count="1">
          <reference field="0" count="1">
            <x v="1"/>
          </reference>
        </references>
      </pivotArea>
    </format>
    <format dxfId="150">
      <pivotArea dataOnly="0" labelOnly="1" outline="0" offset="IV256" fieldPosition="0">
        <references count="1">
          <reference field="0" count="1">
            <x v="2"/>
          </reference>
        </references>
      </pivotArea>
    </format>
    <format dxfId="149">
      <pivotArea dataOnly="0" labelOnly="1" outline="0" offset="IV256" fieldPosition="0">
        <references count="1">
          <reference field="0" count="1">
            <x v="3"/>
          </reference>
        </references>
      </pivotArea>
    </format>
    <format dxfId="148">
      <pivotArea dataOnly="0" labelOnly="1" outline="0" offset="IV256" fieldPosition="0">
        <references count="1">
          <reference field="0" count="1">
            <x v="4"/>
          </reference>
        </references>
      </pivotArea>
    </format>
    <format dxfId="147">
      <pivotArea dataOnly="0" labelOnly="1" outline="0" offset="IV256" fieldPosition="0">
        <references count="1">
          <reference field="0" count="1">
            <x v="5"/>
          </reference>
        </references>
      </pivotArea>
    </format>
    <format dxfId="146">
      <pivotArea dataOnly="0" labelOnly="1" outline="0" offset="IV256" fieldPosition="0">
        <references count="1">
          <reference field="0" count="1">
            <x v="6"/>
          </reference>
        </references>
      </pivotArea>
    </format>
    <format dxfId="145">
      <pivotArea dataOnly="0" labelOnly="1" outline="0" offset="IV256" fieldPosition="0">
        <references count="1">
          <reference field="0" count="1">
            <x v="7"/>
          </reference>
        </references>
      </pivotArea>
    </format>
    <format dxfId="144">
      <pivotArea dataOnly="0" labelOnly="1" outline="0" offset="IV256" fieldPosition="0">
        <references count="1">
          <reference field="0" count="1">
            <x v="8"/>
          </reference>
        </references>
      </pivotArea>
    </format>
    <format dxfId="143">
      <pivotArea dataOnly="0" labelOnly="1" outline="0" offset="IV256" fieldPosition="0">
        <references count="1">
          <reference field="0" count="1">
            <x v="9"/>
          </reference>
        </references>
      </pivotArea>
    </format>
    <format dxfId="142">
      <pivotArea dataOnly="0" labelOnly="1" outline="0" offset="IV256" fieldPosition="0">
        <references count="1">
          <reference field="0" count="1">
            <x v="10"/>
          </reference>
        </references>
      </pivotArea>
    </format>
    <format dxfId="141">
      <pivotArea dataOnly="0" labelOnly="1" outline="0" offset="IV256" fieldPosition="0">
        <references count="1">
          <reference field="0" count="1">
            <x v="11"/>
          </reference>
        </references>
      </pivotArea>
    </format>
    <format dxfId="140">
      <pivotArea dataOnly="0" labelOnly="1" outline="0" offset="IV256" fieldPosition="0">
        <references count="1">
          <reference field="0" count="1">
            <x v="12"/>
          </reference>
        </references>
      </pivotArea>
    </format>
    <format dxfId="139">
      <pivotArea dataOnly="0" labelOnly="1" outline="0" offset="IV256" fieldPosition="0">
        <references count="1">
          <reference field="0" count="1">
            <x v="13"/>
          </reference>
        </references>
      </pivotArea>
    </format>
    <format dxfId="138">
      <pivotArea dataOnly="0" labelOnly="1" outline="0" offset="IV256" fieldPosition="0">
        <references count="1">
          <reference field="0" count="1">
            <x v="14"/>
          </reference>
        </references>
      </pivotArea>
    </format>
    <format dxfId="137">
      <pivotArea dataOnly="0" labelOnly="1" outline="0" offset="IV256" fieldPosition="0">
        <references count="1">
          <reference field="0" count="1">
            <x v="15"/>
          </reference>
        </references>
      </pivotArea>
    </format>
    <format dxfId="1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3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3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3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3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2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7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2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24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23">
      <pivotArea outline="0" collapsedLevelsAreSubtotals="1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22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21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120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2" selected="0">
            <x v="2"/>
            <x v="3"/>
          </reference>
          <reference field="185" count="1" selected="0">
            <x v="0"/>
          </reference>
        </references>
      </pivotArea>
    </format>
    <format dxfId="11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2" selected="0">
            <x v="2"/>
            <x v="3"/>
          </reference>
          <reference field="185" count="1" selected="0">
            <x v="0"/>
          </reference>
        </references>
      </pivotArea>
    </format>
    <format dxfId="11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  <format dxfId="11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1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0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115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14">
      <pivotArea outline="0" collapsedLevelsAreSubtotals="1" fieldPosition="0">
        <references count="4">
          <reference field="4294967294" count="1" selected="0">
            <x v="11"/>
          </reference>
          <reference field="0" count="1" selected="0">
            <x v="11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1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11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4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9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8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7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5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6">
      <pivotArea outline="0" collapsedLevelsAreSubtotals="1" fieldPosition="0">
        <references count="4">
          <reference field="4294967294" count="1" selected="0">
            <x v="5"/>
          </reference>
          <reference field="0" count="1" selected="0">
            <x v="15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13"/>
          </reference>
          <reference field="185" count="1" selected="0">
            <x v="3"/>
          </reference>
        </references>
      </pivotArea>
    </format>
    <format dxfId="104">
      <pivotArea field="185" grandRow="1" outline="0" axis="axisCol" fieldPosition="0">
        <references count="3">
          <reference field="4294967294" count="1" selected="0">
            <x v="8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3">
      <pivotArea field="185" grandRow="1" outline="0" axis="axisCol" fieldPosition="0">
        <references count="3">
          <reference field="4294967294" count="1" selected="0">
            <x v="11"/>
          </reference>
          <reference field="4" count="1" selected="0">
            <x v="1"/>
          </reference>
          <reference field="185" count="1" selected="0">
            <x v="0"/>
          </reference>
        </references>
      </pivotArea>
    </format>
    <format dxfId="102">
      <pivotArea field="185" grandRow="1" outline="0" axis="axisCol" fieldPosition="0">
        <references count="3">
          <reference field="4294967294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01">
      <pivotArea outline="0" fieldPosition="0">
        <references count="4">
          <reference field="4294967294" count="1" selected="0">
            <x v="8"/>
          </reference>
          <reference field="0" count="1" selected="0">
            <x v="9"/>
          </reference>
          <reference field="4" count="1" selected="0">
            <x v="2"/>
          </reference>
          <reference field="185" count="1" selected="0">
            <x v="0"/>
          </reference>
        </references>
      </pivotArea>
    </format>
    <format dxfId="100">
      <pivotArea outline="0" fieldPosition="0">
        <references count="4">
          <reference field="4294967294" count="1" selected="0">
            <x v="14"/>
          </reference>
          <reference field="0" count="1" selected="0">
            <x v="7"/>
          </reference>
          <reference field="4" count="1" selected="0">
            <x v="0"/>
          </reference>
          <reference field="185" count="1" selected="0">
            <x v="0"/>
          </reference>
        </references>
      </pivotArea>
    </format>
    <format dxfId="99">
      <pivotArea outline="0" fieldPosition="0">
        <references count="4">
          <reference field="4294967294" count="1" selected="0">
            <x v="14"/>
          </reference>
          <reference field="0" count="1" selected="0">
            <x v="5"/>
          </reference>
          <reference field="4" count="1" selected="0">
            <x v="3"/>
          </reference>
          <reference field="185" count="1" selected="0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92B1C45-AE38-45F9-BAD9-3E0304F93C91}" name="PivotTable1" cacheId="418" dataOnRows="1" applyNumberFormats="0" applyBorderFormats="0" applyFontFormats="0" applyPatternFormats="0" applyAlignmentFormats="0" applyWidthHeightFormats="1" dataCaption="Values" updatedVersion="8" minRefreshableVersion="3" showCalcMbrs="0" useAutoFormatting="1" itemPrintTitles="1" createdVersion="3" indent="0" compact="0" compactData="0" gridDropZones="1" multipleFieldFilters="0">
  <location ref="A3:V56" firstHeaderRow="1" firstDataRow="3" firstDataCol="2"/>
  <pivotFields count="195">
    <pivotField axis="axisRow" compact="0" outline="0" showAll="0" sortType="ascending">
      <items count="1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m="1" x="16"/>
        <item t="default"/>
      </items>
    </pivotField>
    <pivotField compact="0" outline="0" showAll="0"/>
    <pivotField compact="0" outline="0" showAll="0" defaultSubtotal="0"/>
    <pivotField compact="0" outline="0" showAll="0"/>
    <pivotField axis="axisCol" compact="0" outline="0" showAll="0">
      <items count="17">
        <item x="0"/>
        <item x="1"/>
        <item x="2"/>
        <item x="3"/>
        <item x="4"/>
        <item x="5"/>
        <item x="13"/>
        <item x="6"/>
        <item x="7"/>
        <item x="8"/>
        <item x="9"/>
        <item x="10"/>
        <item x="14"/>
        <item x="11"/>
        <item m="1" x="15"/>
        <item x="12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9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9" outline="0" showAll="0"/>
    <pivotField compact="0" numFmtId="3" outline="0" showAll="0"/>
    <pivotField compact="0" numFmtId="9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164" outline="0" showAll="0"/>
    <pivotField compact="0" numFmtId="164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3" outline="0" showAll="0"/>
    <pivotField compact="0" numFmtId="3" outline="0" showAll="0"/>
    <pivotField compact="0" numFmtId="9" outline="0" showAll="0"/>
    <pivotField compact="0" numFmtId="164" outline="0" showAll="0"/>
    <pivotField compact="0" numFmtId="164" outline="0" showAll="0"/>
    <pivotField compact="0" numFmtId="9" outline="0" showAll="0"/>
    <pivotField compact="0" numFmtId="3" outline="0" showAll="0"/>
    <pivotField compact="0" numFmtId="166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 defaultSubtotal="0"/>
    <pivotField compact="0" outline="0" showAll="0" defaultSubtotal="0"/>
    <pivotField compact="0" numFmtId="3" outline="0" showAll="0"/>
    <pivotField compact="0" numFmtId="164" outline="0" showAll="0"/>
    <pivotField compact="0" outline="0" showAll="0" defaultSubtotal="0"/>
    <pivotField compact="0" outline="0" showAll="0" defaultSubtotal="0"/>
    <pivotField dataField="1" compact="0" numFmtId="3" outline="0" showAll="0"/>
    <pivotField dataField="1" compact="0" numFmtId="166" outline="0" showAl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axis="axisCol" compact="0" outline="0" showAll="0">
      <items count="7">
        <item n="Four-Year" x="1"/>
        <item n="Two-Year" x="2"/>
        <item n="Technical" x="3"/>
        <item n="Specialized" sd="0" x="0"/>
        <item n="Start-up" x="4"/>
        <item x="5"/>
        <item t="default"/>
      </items>
    </pivotField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compact="0" outline="0" dragToRow="0" dragToCol="0" dragToPage="0" showAll="0" defaultSubtotal="0"/>
    <pivotField dataField="1" compact="0" outline="0" dragToRow="0" dragToCol="0" dragToPage="0" showAll="0" defaultSubtotal="0"/>
    <pivotField compact="0" outline="0" dragToRow="0" dragToCol="0" dragToPage="0" showAll="0" defaultSubtotal="0"/>
  </pivotFields>
  <rowFields count="2">
    <field x="0"/>
    <field x="-2"/>
  </rowFields>
  <rowItems count="51">
    <i>
      <x/>
      <x/>
    </i>
    <i r="1" i="1">
      <x v="1"/>
    </i>
    <i r="1" i="2">
      <x v="2"/>
    </i>
    <i>
      <x v="1"/>
      <x/>
    </i>
    <i r="1" i="1">
      <x v="1"/>
    </i>
    <i r="1" i="2">
      <x v="2"/>
    </i>
    <i>
      <x v="2"/>
      <x/>
    </i>
    <i r="1" i="1">
      <x v="1"/>
    </i>
    <i r="1" i="2">
      <x v="2"/>
    </i>
    <i>
      <x v="3"/>
      <x/>
    </i>
    <i r="1" i="1">
      <x v="1"/>
    </i>
    <i r="1" i="2">
      <x v="2"/>
    </i>
    <i>
      <x v="4"/>
      <x/>
    </i>
    <i r="1" i="1">
      <x v="1"/>
    </i>
    <i r="1" i="2">
      <x v="2"/>
    </i>
    <i>
      <x v="5"/>
      <x/>
    </i>
    <i r="1" i="1">
      <x v="1"/>
    </i>
    <i r="1" i="2">
      <x v="2"/>
    </i>
    <i>
      <x v="6"/>
      <x/>
    </i>
    <i r="1" i="1">
      <x v="1"/>
    </i>
    <i r="1" i="2">
      <x v="2"/>
    </i>
    <i>
      <x v="7"/>
      <x/>
    </i>
    <i r="1" i="1">
      <x v="1"/>
    </i>
    <i r="1" i="2">
      <x v="2"/>
    </i>
    <i>
      <x v="8"/>
      <x/>
    </i>
    <i r="1" i="1">
      <x v="1"/>
    </i>
    <i r="1" i="2">
      <x v="2"/>
    </i>
    <i>
      <x v="9"/>
      <x/>
    </i>
    <i r="1" i="1">
      <x v="1"/>
    </i>
    <i r="1" i="2">
      <x v="2"/>
    </i>
    <i>
      <x v="10"/>
      <x/>
    </i>
    <i r="1" i="1">
      <x v="1"/>
    </i>
    <i r="1" i="2">
      <x v="2"/>
    </i>
    <i>
      <x v="11"/>
      <x/>
    </i>
    <i r="1" i="1">
      <x v="1"/>
    </i>
    <i r="1" i="2">
      <x v="2"/>
    </i>
    <i>
      <x v="12"/>
      <x/>
    </i>
    <i r="1" i="1">
      <x v="1"/>
    </i>
    <i r="1" i="2">
      <x v="2"/>
    </i>
    <i>
      <x v="13"/>
      <x/>
    </i>
    <i r="1" i="1">
      <x v="1"/>
    </i>
    <i r="1" i="2">
      <x v="2"/>
    </i>
    <i>
      <x v="14"/>
      <x/>
    </i>
    <i r="1" i="1">
      <x v="1"/>
    </i>
    <i r="1" i="2">
      <x v="2"/>
    </i>
    <i>
      <x v="15"/>
      <x/>
    </i>
    <i r="1" i="1">
      <x v="1"/>
    </i>
    <i r="1" i="2">
      <x v="2"/>
    </i>
    <i t="grand">
      <x/>
    </i>
    <i t="grand" i="1">
      <x/>
    </i>
    <i t="grand" i="2">
      <x/>
    </i>
  </rowItems>
  <colFields count="2">
    <field x="185"/>
    <field x="4"/>
  </colFields>
  <colItems count="20">
    <i>
      <x/>
      <x/>
    </i>
    <i r="1">
      <x v="1"/>
    </i>
    <i r="1">
      <x v="2"/>
    </i>
    <i r="1">
      <x v="3"/>
    </i>
    <i r="1">
      <x v="4"/>
    </i>
    <i r="1">
      <x v="5"/>
    </i>
    <i t="default">
      <x/>
    </i>
    <i>
      <x v="1"/>
      <x v="6"/>
    </i>
    <i r="1">
      <x v="7"/>
    </i>
    <i r="1">
      <x v="8"/>
    </i>
    <i r="1">
      <x v="9"/>
    </i>
    <i t="default">
      <x v="1"/>
    </i>
    <i>
      <x v="2"/>
      <x v="10"/>
    </i>
    <i r="1">
      <x v="11"/>
    </i>
    <i r="1">
      <x v="12"/>
    </i>
    <i t="default">
      <x v="2"/>
    </i>
    <i>
      <x v="3"/>
    </i>
    <i>
      <x v="5"/>
      <x v="15"/>
    </i>
    <i t="default">
      <x v="5"/>
    </i>
    <i t="grand">
      <x/>
    </i>
  </colItems>
  <dataFields count="3">
    <dataField name=" Old-Grand Total" fld="169" baseField="0" baseItem="0" numFmtId="164"/>
    <dataField name=" New-Grand Total" fld="170" baseField="0" baseItem="0" numFmtId="164"/>
    <dataField name=" %Change-Grand Total" fld="193" baseField="0" baseItem="0" numFmtId="164"/>
  </dataFields>
  <formats count="99">
    <format dxfId="98">
      <pivotArea dataOnly="0" labelOnly="1" outline="0" fieldPosition="0">
        <references count="1">
          <reference field="0" count="1">
            <x v="0"/>
          </reference>
        </references>
      </pivotArea>
    </format>
    <format dxfId="97">
      <pivotArea outline="0" collapsedLevelsAreSubtotals="1" fieldPosition="0">
        <references count="1">
          <reference field="0" count="1" selected="0">
            <x v="9"/>
          </reference>
        </references>
      </pivotArea>
    </format>
    <format dxfId="96">
      <pivotArea type="origin" dataOnly="0" labelOnly="1" outline="0" fieldPosition="0"/>
    </format>
    <format dxfId="95">
      <pivotArea field="0" type="button" dataOnly="0" labelOnly="1" outline="0" axis="axisRow" fieldPosition="0"/>
    </format>
    <format dxfId="94">
      <pivotArea dataOnly="0" labelOnly="1" outline="0" fieldPosition="0">
        <references count="1">
          <reference field="0" count="0"/>
        </references>
      </pivotArea>
    </format>
    <format dxfId="93">
      <pivotArea outline="0" collapsedLevelsAreSubtotals="1" fieldPosition="0">
        <references count="2">
          <reference field="4294967294" count="3" selected="0">
            <x v="0"/>
            <x v="1"/>
            <x v="2"/>
          </reference>
          <reference field="0" count="1" selected="0">
            <x v="9"/>
          </reference>
        </references>
      </pivotArea>
    </format>
    <format dxfId="92">
      <pivotArea field="0" grandRow="1" outline="0" collapsedLevelsAreSubtotals="1" axis="axisRow" fieldPosition="0">
        <references count="1">
          <reference field="4294967294" count="3" selected="0">
            <x v="0"/>
            <x v="1"/>
            <x v="2"/>
          </reference>
        </references>
      </pivotArea>
    </format>
    <format dxfId="91">
      <pivotArea dataOnly="0" labelOnly="1" outline="0" fieldPosition="0">
        <references count="2">
          <reference field="4294967294" count="3">
            <x v="0"/>
            <x v="1"/>
            <x v="2"/>
          </reference>
          <reference field="0" count="1" selected="0">
            <x v="9"/>
          </reference>
        </references>
      </pivotArea>
    </format>
    <format dxfId="90">
      <pivotArea type="all" dataOnly="0" outline="0" fieldPosition="0"/>
    </format>
    <format dxfId="89">
      <pivotArea type="all" dataOnly="0" outline="0" fieldPosition="0"/>
    </format>
    <format dxfId="88">
      <pivotArea outline="0" collapsedLevelsAreSubtotals="1" fieldPosition="0">
        <references count="2">
          <reference field="4294967294" count="2" selected="0">
            <x v="0"/>
            <x v="1"/>
          </reference>
          <reference field="0" count="1" selected="0">
            <x v="0"/>
          </reference>
        </references>
      </pivotArea>
    </format>
    <format dxfId="87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86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85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84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83">
      <pivotArea outline="0" collapsedLevelsAreSubtotals="1" fieldPosition="0">
        <references count="2">
          <reference field="4294967294" count="1" selected="0">
            <x v="2"/>
          </reference>
          <reference field="0" count="1" selected="0">
            <x v="0"/>
          </reference>
        </references>
      </pivotArea>
    </format>
    <format dxfId="82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81">
      <pivotArea dataOnly="0" labelOnly="1" outline="0" fieldPosition="0">
        <references count="2">
          <reference field="4294967294" count="1">
            <x v="2"/>
          </reference>
          <reference field="0" count="1" selected="0">
            <x v="0"/>
          </reference>
        </references>
      </pivotArea>
    </format>
    <format dxfId="80">
      <pivotArea dataOnly="0" labelOnly="1" outline="0" fieldPosition="0">
        <references count="2">
          <reference field="4294967294" count="1">
            <x v="2"/>
          </reference>
          <reference field="0" count="1" selected="0">
            <x v="9"/>
          </reference>
        </references>
      </pivotArea>
    </format>
    <format dxfId="79">
      <pivotArea dataOnly="0" labelOnly="1" outline="0" fieldPosition="0">
        <references count="2">
          <reference field="4294967294" count="1">
            <x v="0"/>
          </reference>
          <reference field="0" count="1" selected="0">
            <x v="9"/>
          </reference>
        </references>
      </pivotArea>
    </format>
    <format dxfId="78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77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6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75">
      <pivotArea type="origin" dataOnly="0" labelOnly="1" outline="0" fieldPosition="0"/>
    </format>
    <format dxfId="74">
      <pivotArea field="0" type="button" dataOnly="0" labelOnly="1" outline="0" axis="axisRow" fieldPosition="0"/>
    </format>
    <format dxfId="73">
      <pivotArea dataOnly="0" labelOnly="1" outline="0" fieldPosition="0">
        <references count="1">
          <reference field="0" count="0"/>
        </references>
      </pivotArea>
    </format>
    <format dxfId="72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71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70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9">
      <pivotArea field="0" dataOnly="0" labelOnly="1" grandRow="1" outline="0" offset="A256" axis="axisRow" fieldPosition="0">
        <references count="1">
          <reference field="4294967294" count="1" selected="0">
            <x v="0"/>
          </reference>
        </references>
      </pivotArea>
    </format>
    <format dxfId="68">
      <pivotArea field="0" dataOnly="0" labelOnly="1" grandRow="1" outline="0" offset="A256" axis="axisRow" fieldPosition="0">
        <references count="1">
          <reference field="4294967294" count="1" selected="0">
            <x v="1"/>
          </reference>
        </references>
      </pivotArea>
    </format>
    <format dxfId="67">
      <pivotArea field="0" dataOnly="0" labelOnly="1" grandRow="1" outline="0" offset="A256" axis="axisRow" fieldPosition="0">
        <references count="1">
          <reference field="4294967294" count="1" selected="0">
            <x v="2"/>
          </reference>
        </references>
      </pivotArea>
    </format>
    <format dxfId="66">
      <pivotArea dataOnly="0" labelOnly="1" outline="0" fieldPosition="0">
        <references count="1">
          <reference field="185" count="1" defaultSubtotal="1">
            <x v="3"/>
          </reference>
        </references>
      </pivotArea>
    </format>
    <format dxfId="65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4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63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62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61">
      <pivotArea field="0" dataOnly="0" labelOnly="1" grandRow="1" outline="0" axis="axisRow" fieldPosition="0">
        <references count="1">
          <reference field="4294967294" count="1" selected="0">
            <x v="0"/>
          </reference>
        </references>
      </pivotArea>
    </format>
    <format dxfId="60">
      <pivotArea field="0" dataOnly="0" labelOnly="1" grandRow="1" outline="0" axis="axisRow" fieldPosition="0">
        <references count="1">
          <reference field="4294967294" count="1" selected="0">
            <x v="1"/>
          </reference>
        </references>
      </pivotArea>
    </format>
    <format dxfId="59">
      <pivotArea field="0" dataOnly="0" labelOnly="1" grandRow="1" outline="0" axis="axisRow" fieldPosition="0">
        <references count="1">
          <reference field="4294967294" count="1" selected="0">
            <x v="2"/>
          </reference>
        </references>
      </pivotArea>
    </format>
    <format dxfId="58">
      <pivotArea field="0" grandRow="1" outline="0" collapsedLevelsAreSubtotals="1" axis="axisRow" fieldPosition="0">
        <references count="1">
          <reference field="4294967294" count="1" selected="0">
            <x v="2"/>
          </reference>
        </references>
      </pivotArea>
    </format>
    <format dxfId="57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56">
      <pivotArea field="0" grandRow="1" outline="0" collapsedLevelsAreSubtotals="1" axis="axisRow" fieldPosition="0">
        <references count="1">
          <reference field="4294967294" count="2" selected="0">
            <x v="0"/>
            <x v="1"/>
          </reference>
        </references>
      </pivotArea>
    </format>
    <format dxfId="5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3">
      <pivotArea outline="0" collapsedLevelsAreSubtotals="1" fieldPosition="0">
        <references count="4">
          <reference field="4294967294" count="1" selected="0">
            <x v="1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5"/>
          </reference>
          <reference field="185" count="1" selected="0">
            <x v="0"/>
          </reference>
        </references>
      </pivotArea>
    </format>
    <format dxfId="5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3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49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85" count="1" selected="0">
            <x v="3"/>
          </reference>
        </references>
      </pivotArea>
    </format>
    <format dxfId="4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4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4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4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4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4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8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15"/>
          </reference>
          <reference field="185" count="1" selected="0">
            <x v="3"/>
          </reference>
        </references>
      </pivotArea>
    </format>
    <format dxfId="37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8"/>
          </reference>
          <reference field="185" count="1" selected="0">
            <x v="3"/>
          </reference>
        </references>
      </pivotArea>
    </format>
    <format dxfId="3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2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4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8"/>
          </reference>
          <reference field="185" count="1" selected="0">
            <x v="3"/>
          </reference>
        </references>
      </pivotArea>
    </format>
    <format dxfId="3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3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4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31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0"/>
          </reference>
          <reference field="185" count="1" selected="0">
            <x v="3"/>
          </reference>
        </references>
      </pivotArea>
    </format>
    <format dxfId="3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2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2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6">
      <pivotArea type="all" dataOnly="0" outline="0" fieldPosition="0"/>
    </format>
    <format dxfId="2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2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2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0"/>
          </reference>
          <reference field="4" count="1" selected="0">
            <x v="11"/>
          </reference>
          <reference field="185" count="1" selected="0">
            <x v="2"/>
          </reference>
        </references>
      </pivotArea>
    </format>
    <format dxfId="2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2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2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1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5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10"/>
          </reference>
          <reference field="185" count="1" selected="0">
            <x v="2"/>
          </reference>
        </references>
      </pivotArea>
    </format>
    <format dxfId="1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8"/>
          </reference>
          <reference field="185" count="1" selected="0">
            <x v="1"/>
          </reference>
        </references>
      </pivotArea>
    </format>
    <format dxfId="1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6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1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10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8"/>
          </reference>
          <reference field="4" count="1" selected="0">
            <x v="4"/>
          </reference>
          <reference field="185" count="1" selected="0">
            <x v="0"/>
          </reference>
        </references>
      </pivotArea>
    </format>
    <format dxfId="9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8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7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6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6"/>
          </reference>
          <reference field="185" count="1" selected="0">
            <x v="1"/>
          </reference>
        </references>
      </pivotArea>
    </format>
    <format dxfId="5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9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4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0"/>
          </reference>
          <reference field="4" count="1" selected="0">
            <x v="7"/>
          </reference>
          <reference field="185" count="1" selected="0">
            <x v="1"/>
          </reference>
        </references>
      </pivotArea>
    </format>
    <format dxfId="3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2">
      <pivotArea outline="0" collapsedLevelsAreSubtotals="1" fieldPosition="0">
        <references count="4">
          <reference field="4294967294" count="1" selected="0">
            <x v="2"/>
          </reference>
          <reference field="0" count="1" selected="0">
            <x v="15"/>
          </reference>
          <reference field="4" count="1" selected="0">
            <x v="9"/>
          </reference>
          <reference field="185" count="1" selected="0">
            <x v="1"/>
          </reference>
        </references>
      </pivotArea>
    </format>
    <format dxfId="1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15"/>
          </reference>
          <reference field="185" count="1" selected="0">
            <x v="3"/>
          </reference>
        </references>
      </pivotArea>
    </format>
    <format dxfId="0">
      <pivotArea outline="0" collapsedLevelsAreSubtotals="1" fieldPosition="0">
        <references count="3">
          <reference field="4294967294" count="1" selected="0">
            <x v="2"/>
          </reference>
          <reference field="0" count="1" selected="0">
            <x v="15"/>
          </reference>
          <reference field="185" count="1" selected="0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67CDB3-E7FC-4636-B11B-B2EC9405E593}">
  <sheetPr codeName="Sheet1">
    <tabColor indexed="16"/>
  </sheetPr>
  <dimension ref="A1:AQ347"/>
  <sheetViews>
    <sheetView showZeros="0" view="pageBreakPreview" topLeftCell="A3" zoomScaleNormal="100" zoomScaleSheetLayoutView="100" workbookViewId="0">
      <selection activeCell="A173" sqref="A173:XFD173"/>
    </sheetView>
  </sheetViews>
  <sheetFormatPr defaultColWidth="8.84375" defaultRowHeight="12.5"/>
  <cols>
    <col min="1" max="1" width="11.3046875" style="65" customWidth="1"/>
    <col min="2" max="2" width="7.84375" style="65" customWidth="1"/>
    <col min="3" max="3" width="7.765625" style="65" customWidth="1"/>
    <col min="4" max="4" width="7.23046875" style="65" customWidth="1"/>
    <col min="5" max="5" width="6.23046875" style="65" customWidth="1"/>
    <col min="6" max="6" width="7.23046875" style="65" customWidth="1"/>
    <col min="7" max="7" width="7" style="65" customWidth="1"/>
    <col min="8" max="8" width="6.23046875" style="65" customWidth="1"/>
    <col min="9" max="9" width="7.3046875" style="65" customWidth="1"/>
    <col min="10" max="10" width="6.07421875" style="65" customWidth="1"/>
    <col min="11" max="11" width="6.3046875" style="65" customWidth="1"/>
    <col min="12" max="12" width="6.765625" style="65" customWidth="1"/>
    <col min="13" max="13" width="7.84375" style="65" customWidth="1"/>
    <col min="14" max="14" width="8.23046875" style="65" customWidth="1"/>
    <col min="15" max="16" width="9" style="65" customWidth="1"/>
    <col min="17" max="17" width="9.07421875" style="65" customWidth="1"/>
    <col min="18" max="19" width="11.69140625" style="65" customWidth="1"/>
    <col min="20" max="20" width="9.23046875" style="65" customWidth="1"/>
    <col min="21" max="21" width="7.69140625" style="65" customWidth="1"/>
    <col min="22" max="22" width="9" style="65" customWidth="1"/>
    <col min="23" max="23" width="9.765625" style="65" customWidth="1"/>
    <col min="24" max="24" width="11.4609375" style="65" customWidth="1"/>
    <col min="25" max="25" width="10.3046875" style="65" customWidth="1"/>
    <col min="26" max="26" width="7.84375" style="65" customWidth="1"/>
    <col min="27" max="27" width="7.69140625" style="65" customWidth="1"/>
    <col min="28" max="43" width="4.23046875" style="65" customWidth="1"/>
    <col min="44" max="16384" width="8.84375" style="65"/>
  </cols>
  <sheetData>
    <row r="1" spans="1:43" ht="18">
      <c r="A1" s="186" t="s">
        <v>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  <c r="Q1" s="187" t="s">
        <v>1</v>
      </c>
    </row>
    <row r="2" spans="1:43" ht="15.75" customHeight="1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 t="s">
        <v>1</v>
      </c>
    </row>
    <row r="3" spans="1:43" ht="15.5">
      <c r="A3" s="187" t="s">
        <v>2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  <c r="Q3" s="187" t="s">
        <v>1</v>
      </c>
      <c r="R3" s="65" t="s">
        <v>1</v>
      </c>
    </row>
    <row r="4" spans="1:43" ht="15.5">
      <c r="A4" s="187" t="s">
        <v>1191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  <c r="Q4" s="187" t="s">
        <v>1</v>
      </c>
    </row>
    <row r="5" spans="1:43" ht="15.5">
      <c r="A5" s="189"/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  <c r="Q5" s="65" t="s">
        <v>1</v>
      </c>
      <c r="R5" s="65" t="s">
        <v>1</v>
      </c>
      <c r="T5" s="65" t="s">
        <v>1</v>
      </c>
      <c r="U5" s="65" t="s">
        <v>1</v>
      </c>
      <c r="V5" s="65" t="s">
        <v>1</v>
      </c>
      <c r="W5" s="65" t="s">
        <v>1</v>
      </c>
      <c r="Y5" s="112"/>
    </row>
    <row r="6" spans="1:43" ht="15.5">
      <c r="A6" s="190"/>
      <c r="B6" s="190"/>
      <c r="C6" s="190"/>
      <c r="D6" s="190"/>
      <c r="E6" s="190"/>
      <c r="F6" s="190"/>
      <c r="G6" s="190"/>
      <c r="H6" s="225" t="s">
        <v>4</v>
      </c>
      <c r="I6" s="256"/>
      <c r="J6" s="256"/>
      <c r="K6" s="256"/>
      <c r="L6" s="256"/>
      <c r="M6" s="256"/>
      <c r="N6" s="256"/>
      <c r="O6" s="226"/>
      <c r="P6" s="192" t="s">
        <v>1</v>
      </c>
      <c r="Q6" s="65" t="s">
        <v>1</v>
      </c>
      <c r="R6" s="65" t="s">
        <v>1</v>
      </c>
      <c r="T6" s="65" t="s">
        <v>1</v>
      </c>
      <c r="U6" s="65" t="s">
        <v>1</v>
      </c>
      <c r="V6" s="65" t="s">
        <v>1</v>
      </c>
      <c r="W6" s="65" t="s">
        <v>1</v>
      </c>
      <c r="AA6" s="227"/>
    </row>
    <row r="7" spans="1:43" ht="36" customHeight="1">
      <c r="A7" s="193"/>
      <c r="B7" s="194" t="s">
        <v>5</v>
      </c>
      <c r="C7" s="194" t="s">
        <v>6</v>
      </c>
      <c r="D7" s="194" t="s">
        <v>7</v>
      </c>
      <c r="E7" s="194" t="s">
        <v>8</v>
      </c>
      <c r="F7" s="194" t="s">
        <v>9</v>
      </c>
      <c r="G7" s="194" t="s">
        <v>10</v>
      </c>
      <c r="H7" s="317" t="s">
        <v>11</v>
      </c>
      <c r="I7" s="194" t="s">
        <v>12</v>
      </c>
      <c r="J7" s="194" t="s">
        <v>13</v>
      </c>
      <c r="K7" s="194" t="s">
        <v>14</v>
      </c>
      <c r="L7" s="194" t="s">
        <v>15</v>
      </c>
      <c r="M7" s="194" t="s">
        <v>16</v>
      </c>
      <c r="N7" s="194" t="s">
        <v>17</v>
      </c>
      <c r="O7" s="228" t="s">
        <v>18</v>
      </c>
      <c r="P7" s="194" t="s">
        <v>19</v>
      </c>
      <c r="Q7" s="65" t="s">
        <v>1</v>
      </c>
      <c r="R7" s="65" t="s">
        <v>1</v>
      </c>
      <c r="T7" s="65" t="s">
        <v>1</v>
      </c>
      <c r="U7" s="65" t="s">
        <v>1</v>
      </c>
      <c r="V7" s="65" t="s">
        <v>1</v>
      </c>
      <c r="W7" s="65" t="s">
        <v>1</v>
      </c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229"/>
      <c r="AM7" s="106"/>
      <c r="AN7" s="106"/>
      <c r="AO7" s="106"/>
      <c r="AP7" s="229"/>
      <c r="AQ7" s="106"/>
    </row>
    <row r="8" spans="1:43" ht="15" customHeight="1">
      <c r="A8" s="196" t="s">
        <v>20</v>
      </c>
      <c r="B8" s="197">
        <f>+GETPIVOTDATA(" New-Less Than 2-Year",'Pivot Table for 1-11'!$A$3)+GETPIVOTDATA(" New-2 But Less Than 4-Year",'Pivot Table for 1-11'!$A$3)</f>
        <v>264741</v>
      </c>
      <c r="C8" s="197">
        <f>+GETPIVOTDATA(" New-Associate's",'Pivot Table for 1-11'!$A$3)</f>
        <v>294391</v>
      </c>
      <c r="D8" s="197">
        <f>+GETPIVOTDATA(" New-Bachelor's",'Pivot Table for 1-11'!$A$3)</f>
        <v>236182</v>
      </c>
      <c r="E8" s="197">
        <f>+GETPIVOTDATA(" New-Post-Bachelor's",'Pivot Table for 1-11'!$A$3)</f>
        <v>6425</v>
      </c>
      <c r="F8" s="197">
        <f>+GETPIVOTDATA(" New-Total Master's#",'Pivot Table for 1-11'!$A$3)</f>
        <v>131547</v>
      </c>
      <c r="G8" s="197">
        <f>+GETPIVOTDATA(" New-Total Doctorates#",'Pivot Table for 1-11'!$A$3)</f>
        <v>15147</v>
      </c>
      <c r="H8" s="230">
        <f>+GETPIVOTDATA(" New-Law",'Pivot Table for 1-11'!$A$3)</f>
        <v>3443</v>
      </c>
      <c r="I8" s="197">
        <f>+GETPIVOTDATA(" New-Medicine",'Pivot Table for 1-11'!$A$3)</f>
        <v>3725</v>
      </c>
      <c r="J8" s="197">
        <f>+GETPIVOTDATA(" New-Dentistry",'Pivot Table for 1-11'!$A$3)</f>
        <v>1120</v>
      </c>
      <c r="K8" s="197">
        <f>+GETPIVOTDATA(" New-Pharmacy",'Pivot Table for 1-11'!$A$3)</f>
        <v>2169</v>
      </c>
      <c r="L8" s="197">
        <f>+GETPIVOTDATA(" New-Optometry",'Pivot Table for 1-11'!$A$3)</f>
        <v>133</v>
      </c>
      <c r="M8" s="197">
        <f>+GETPIVOTDATA(" New-Osteopathic Medicine",'Pivot Table for 1-11'!$A$3)</f>
        <v>400</v>
      </c>
      <c r="N8" s="197">
        <f>+GETPIVOTDATA(" New-Veterinary Medicine",'Pivot Table for 1-11'!$A$3)</f>
        <v>717</v>
      </c>
      <c r="O8" s="198">
        <f>+GETPIVOTDATA(" New-Oth PP",'Pivot Table for 1-11'!$A$3)</f>
        <v>2440</v>
      </c>
      <c r="P8" s="199">
        <f>SUM(B8:O8)</f>
        <v>962580</v>
      </c>
      <c r="Q8" s="65" t="s">
        <v>1</v>
      </c>
      <c r="R8" s="65" t="s">
        <v>1</v>
      </c>
      <c r="T8" s="65" t="s">
        <v>1</v>
      </c>
      <c r="U8" s="65" t="s">
        <v>1</v>
      </c>
      <c r="V8" s="65" t="s">
        <v>1</v>
      </c>
      <c r="W8" s="65" t="s">
        <v>1</v>
      </c>
      <c r="AL8" s="231"/>
      <c r="AP8" s="231"/>
    </row>
    <row r="9" spans="1:43" ht="15" customHeight="1">
      <c r="A9" s="196"/>
      <c r="B9" s="197"/>
      <c r="C9" s="197"/>
      <c r="D9" s="197"/>
      <c r="E9" s="197"/>
      <c r="F9" s="197"/>
      <c r="G9" s="197"/>
      <c r="H9" s="230"/>
      <c r="I9" s="197"/>
      <c r="J9" s="197"/>
      <c r="K9" s="197"/>
      <c r="L9" s="197"/>
      <c r="M9" s="197"/>
      <c r="N9" s="197"/>
      <c r="O9" s="198"/>
      <c r="P9" s="199"/>
      <c r="Q9" s="65" t="s">
        <v>1</v>
      </c>
      <c r="R9" s="65" t="s">
        <v>1</v>
      </c>
      <c r="T9" s="65" t="s">
        <v>1</v>
      </c>
      <c r="U9" s="65" t="s">
        <v>1</v>
      </c>
      <c r="V9" s="65" t="s">
        <v>1</v>
      </c>
      <c r="W9" s="65" t="s">
        <v>1</v>
      </c>
      <c r="AL9" s="231"/>
      <c r="AP9" s="231"/>
    </row>
    <row r="10" spans="1:43" ht="15" customHeight="1">
      <c r="A10" s="196" t="s">
        <v>21</v>
      </c>
      <c r="B10" s="197">
        <f>+GETPIVOTDATA(" New-Less Than 2-Year",'Pivot Table for 1-11'!$A$3,"State","AL")+GETPIVOTDATA(" New-2 But Less Than 4-Year",'Pivot Table for 1-11'!$A$3,"State","AL")</f>
        <v>11247</v>
      </c>
      <c r="C10" s="197">
        <f>+GETPIVOTDATA(" New-Associate's",'Pivot Table for 1-11'!$A$3,"State","AL")</f>
        <v>10879</v>
      </c>
      <c r="D10" s="197">
        <f>+GETPIVOTDATA(" New-Bachelor's",'Pivot Table for 1-11'!$A$3,"State","AL")</f>
        <v>27430</v>
      </c>
      <c r="E10" s="197">
        <f>+GETPIVOTDATA(" New-Post-Bachelor's",'Pivot Table for 1-11'!$A$3,"State","AL")</f>
        <v>483</v>
      </c>
      <c r="F10" s="197">
        <f>+GETPIVOTDATA(" New-Total Master's#",'Pivot Table for 1-11'!$A$3,"State","AL")</f>
        <v>11198</v>
      </c>
      <c r="G10" s="197">
        <f>+GETPIVOTDATA(" New-Total Doctorates#",'Pivot Table for 1-11'!$A$3,"State","AL")</f>
        <v>727</v>
      </c>
      <c r="H10" s="230">
        <f>GETPIVOTDATA(" New-Law",'Pivot Table for 1-11'!$A$3,"State","AL")</f>
        <v>126</v>
      </c>
      <c r="I10" s="197">
        <f>GETPIVOTDATA(" New-Medicine",'Pivot Table for 1-11'!$A$3,"State","AL")</f>
        <v>252</v>
      </c>
      <c r="J10" s="197">
        <f>GETPIVOTDATA(" New-Dentistry",'Pivot Table for 1-11'!$A$3,"State","AL")</f>
        <v>75</v>
      </c>
      <c r="K10" s="197">
        <f>GETPIVOTDATA(" New-Pharmacy",'Pivot Table for 1-11'!$A$3,"State","AL")</f>
        <v>138</v>
      </c>
      <c r="L10" s="197">
        <f>GETPIVOTDATA(" New-Optometry",'Pivot Table for 1-11'!$A$3,"State","AL")</f>
        <v>41</v>
      </c>
      <c r="M10" s="197">
        <f>GETPIVOTDATA(" New-Osteopathic Medicine",'Pivot Table for 1-11'!$A$3,"State","AL")</f>
        <v>0</v>
      </c>
      <c r="N10" s="197">
        <f>GETPIVOTDATA(" New-Veterinary Medicine",'Pivot Table for 1-11'!$A$3,"State","AL")</f>
        <v>116</v>
      </c>
      <c r="O10" s="198">
        <f>+GETPIVOTDATA(" New-Oth PP",'Pivot Table for 1-11'!$A$3,"State","AL")</f>
        <v>554</v>
      </c>
      <c r="P10" s="199">
        <f t="shared" ref="P10:P28" si="0">SUM(B10:O10)</f>
        <v>63266</v>
      </c>
      <c r="Q10" s="65" t="s">
        <v>1</v>
      </c>
      <c r="R10" s="65" t="s">
        <v>1</v>
      </c>
      <c r="T10" s="65" t="s">
        <v>1</v>
      </c>
      <c r="U10" s="65" t="s">
        <v>1</v>
      </c>
      <c r="V10" s="65" t="s">
        <v>1</v>
      </c>
      <c r="W10" s="65" t="s">
        <v>1</v>
      </c>
      <c r="AA10" s="232"/>
      <c r="AL10" s="231"/>
      <c r="AP10" s="231"/>
    </row>
    <row r="11" spans="1:43" ht="15" customHeight="1">
      <c r="A11" s="196" t="s">
        <v>22</v>
      </c>
      <c r="B11" s="197">
        <f>+GETPIVOTDATA(" New-Less Than 2-Year",'Pivot Table for 1-11'!$A$3,"State","AR")+GETPIVOTDATA(" New-2 But Less Than 4-Year",'Pivot Table for 1-11'!$A$3,"State","AR")</f>
        <v>11286</v>
      </c>
      <c r="C11" s="197">
        <f>+GETPIVOTDATA(" New-Associate's",'Pivot Table for 1-11'!$A$3,"State","AR")</f>
        <v>9627</v>
      </c>
      <c r="D11" s="197">
        <f>+GETPIVOTDATA(" New-Bachelor's",'Pivot Table for 1-11'!$A$3,"State","AR")</f>
        <v>14202</v>
      </c>
      <c r="E11" s="197">
        <f>+GETPIVOTDATA(" New-Post-Bachelor's",'Pivot Table for 1-11'!$A$3,"State","AR")</f>
        <v>597</v>
      </c>
      <c r="F11" s="197">
        <f>+GETPIVOTDATA(" New-Total Master's#",'Pivot Table for 1-11'!$A$3,"State","AR")</f>
        <v>5786</v>
      </c>
      <c r="G11" s="197">
        <f>+GETPIVOTDATA(" New-Total Doctorates#",'Pivot Table for 1-11'!$A$3,"State","AR")</f>
        <v>333</v>
      </c>
      <c r="H11" s="230">
        <f>GETPIVOTDATA(" New-Law",'Pivot Table for 1-11'!$A$3,"State","AR")</f>
        <v>218</v>
      </c>
      <c r="I11" s="197">
        <f>GETPIVOTDATA(" New-Medicine",'Pivot Table for 1-11'!$A$3,"State","AR")</f>
        <v>164</v>
      </c>
      <c r="J11" s="197">
        <f>GETPIVOTDATA(" New-Dentistry",'Pivot Table for 1-11'!$A$3,"State","AR")</f>
        <v>0</v>
      </c>
      <c r="K11" s="197">
        <f>GETPIVOTDATA(" New-Pharmacy",'Pivot Table for 1-11'!$A$3,"State","AR")</f>
        <v>112</v>
      </c>
      <c r="L11" s="197">
        <f>GETPIVOTDATA(" New-Optometry",'Pivot Table for 1-11'!$A$3,"State","AR")</f>
        <v>0</v>
      </c>
      <c r="M11" s="197">
        <f>GETPIVOTDATA(" New-Osteopathic Medicine",'Pivot Table for 1-11'!$A$3,"State","AR")</f>
        <v>0</v>
      </c>
      <c r="N11" s="197">
        <f>GETPIVOTDATA(" New-Veterinary Medicine",'Pivot Table for 1-11'!$A$3,"State","AR")</f>
        <v>0</v>
      </c>
      <c r="O11" s="198">
        <f>+GETPIVOTDATA(" New-Oth PP",'Pivot Table for 1-11'!$A$3,"State","AR")</f>
        <v>192</v>
      </c>
      <c r="P11" s="199">
        <f t="shared" si="0"/>
        <v>42517</v>
      </c>
      <c r="Q11" s="65" t="s">
        <v>1</v>
      </c>
      <c r="R11" s="65" t="s">
        <v>1</v>
      </c>
      <c r="T11" s="65" t="s">
        <v>1</v>
      </c>
      <c r="U11" s="65" t="s">
        <v>1</v>
      </c>
      <c r="V11" s="65" t="s">
        <v>1</v>
      </c>
      <c r="W11" s="65" t="s">
        <v>1</v>
      </c>
      <c r="AL11" s="231"/>
      <c r="AP11" s="231"/>
    </row>
    <row r="12" spans="1:43" ht="15" customHeight="1">
      <c r="A12" s="196" t="s">
        <v>23</v>
      </c>
      <c r="B12" s="197">
        <f>+GETPIVOTDATA(" New-Less Than 2-Year",'Pivot Table for 1-11'!$A$3,"State","DE")+GETPIVOTDATA(" New-2 But Less Than 4-Year",'Pivot Table for 1-11'!$A$3,"State","DE")</f>
        <v>189</v>
      </c>
      <c r="C12" s="197">
        <f>+GETPIVOTDATA(" New-Associate's",'Pivot Table for 1-11'!$A$3,"State","DE")</f>
        <v>1857</v>
      </c>
      <c r="D12" s="197">
        <f>+GETPIVOTDATA(" New-Bachelor's",'Pivot Table for 1-11'!$A$3,"State","DE")</f>
        <v>4931</v>
      </c>
      <c r="E12" s="197">
        <f>+GETPIVOTDATA(" New-Post-Bachelor's",'Pivot Table for 1-11'!$A$3,"State","DE")</f>
        <v>0</v>
      </c>
      <c r="F12" s="197">
        <f>+GETPIVOTDATA(" New-Total Master's#",'Pivot Table for 1-11'!$A$3,"State","DE")</f>
        <v>1106</v>
      </c>
      <c r="G12" s="197">
        <f>+GETPIVOTDATA(" New-Total Doctorates#",'Pivot Table for 1-11'!$A$3,"State","DE")</f>
        <v>244</v>
      </c>
      <c r="H12" s="230">
        <f>GETPIVOTDATA(" New-Law",'Pivot Table for 1-11'!$A$3,"State","DE")</f>
        <v>0</v>
      </c>
      <c r="I12" s="197">
        <f>GETPIVOTDATA(" New-Medicine",'Pivot Table for 1-11'!$A$3,"State","DE")</f>
        <v>0</v>
      </c>
      <c r="J12" s="197">
        <f>GETPIVOTDATA(" New-Dentistry",'Pivot Table for 1-11'!$A$3,"State","DE")</f>
        <v>0</v>
      </c>
      <c r="K12" s="197">
        <f>GETPIVOTDATA(" New-Pharmacy",'Pivot Table for 1-11'!$A$3,"State","DE")</f>
        <v>0</v>
      </c>
      <c r="L12" s="197">
        <f>GETPIVOTDATA(" New-Optometry",'Pivot Table for 1-11'!$A$3,"State","DE")</f>
        <v>0</v>
      </c>
      <c r="M12" s="197">
        <f>GETPIVOTDATA(" New-Osteopathic Medicine",'Pivot Table for 1-11'!$A$3,"State","DE")</f>
        <v>0</v>
      </c>
      <c r="N12" s="197">
        <f>GETPIVOTDATA(" New-Veterinary Medicine",'Pivot Table for 1-11'!$A$3,"State","DE")</f>
        <v>0</v>
      </c>
      <c r="O12" s="198">
        <f>+GETPIVOTDATA(" New-Oth PP",'Pivot Table for 1-11'!$A$3,"State","DE")</f>
        <v>65</v>
      </c>
      <c r="P12" s="199">
        <f t="shared" si="0"/>
        <v>8392</v>
      </c>
      <c r="Q12" s="65" t="s">
        <v>1</v>
      </c>
      <c r="R12" s="65" t="s">
        <v>1</v>
      </c>
      <c r="T12" s="65" t="s">
        <v>1</v>
      </c>
      <c r="U12" s="65" t="s">
        <v>1</v>
      </c>
      <c r="V12" s="65" t="s">
        <v>1</v>
      </c>
      <c r="W12" s="65" t="s">
        <v>1</v>
      </c>
      <c r="AL12" s="231"/>
      <c r="AP12" s="231"/>
    </row>
    <row r="13" spans="1:43" ht="15" customHeight="1">
      <c r="A13" s="196" t="s">
        <v>24</v>
      </c>
      <c r="B13" s="197">
        <f>+GETPIVOTDATA(" New-Less Than 2-Year",'Pivot Table for 1-11'!$A$3,"State","FL")+GETPIVOTDATA(" New-2 But Less Than 4-Year",'Pivot Table for 1-11'!$A$3,"State","FL")</f>
        <v>39648</v>
      </c>
      <c r="C13" s="197">
        <f>+GETPIVOTDATA(" New-Associate's",'Pivot Table for 1-11'!$A$3,"State","FL")</f>
        <v>72422</v>
      </c>
      <c r="D13" s="197">
        <f>+GETPIVOTDATA(" New-Bachelor's",'Pivot Table for 1-11'!$A$3,"State","FL")</f>
        <v>0</v>
      </c>
      <c r="E13" s="197">
        <f>+GETPIVOTDATA(" New-Post-Bachelor's",'Pivot Table for 1-11'!$A$3,"State","FL")</f>
        <v>0</v>
      </c>
      <c r="F13" s="197">
        <f>+GETPIVOTDATA(" New-Total Master's#",'Pivot Table for 1-11'!$A$3,"State","FL")</f>
        <v>0</v>
      </c>
      <c r="G13" s="197">
        <f>+GETPIVOTDATA(" New-Total Doctorates#",'Pivot Table for 1-11'!$A$3,"State","FL")</f>
        <v>0</v>
      </c>
      <c r="H13" s="230">
        <f>GETPIVOTDATA(" New-Law",'Pivot Table for 1-11'!$A$3,"State","FL")</f>
        <v>0</v>
      </c>
      <c r="I13" s="197">
        <f>GETPIVOTDATA(" New-Medicine",'Pivot Table for 1-11'!$A$3,"State","FL")</f>
        <v>0</v>
      </c>
      <c r="J13" s="197">
        <f>GETPIVOTDATA(" New-Dentistry",'Pivot Table for 1-11'!$A$3,"State","FL")</f>
        <v>0</v>
      </c>
      <c r="K13" s="197">
        <f>GETPIVOTDATA(" New-Pharmacy",'Pivot Table for 1-11'!$A$3,"State","FL")</f>
        <v>0</v>
      </c>
      <c r="L13" s="197">
        <f>GETPIVOTDATA(" New-Optometry",'Pivot Table for 1-11'!$A$3,"State","FL")</f>
        <v>0</v>
      </c>
      <c r="M13" s="197">
        <f>GETPIVOTDATA(" New-Osteopathic Medicine",'Pivot Table for 1-11'!$A$3,"State","FL")</f>
        <v>0</v>
      </c>
      <c r="N13" s="197">
        <f>GETPIVOTDATA(" New-Veterinary Medicine",'Pivot Table for 1-11'!$A$3,"State","FL")</f>
        <v>0</v>
      </c>
      <c r="O13" s="198">
        <f>+GETPIVOTDATA(" New-Oth PP",'Pivot Table for 1-11'!$A$3,"State","FL")</f>
        <v>0</v>
      </c>
      <c r="P13" s="199">
        <f t="shared" si="0"/>
        <v>112070</v>
      </c>
      <c r="Q13" s="196"/>
      <c r="R13" s="233"/>
      <c r="S13" s="233"/>
      <c r="T13" s="233"/>
      <c r="U13" s="233"/>
      <c r="V13" s="233"/>
      <c r="AL13" s="231"/>
      <c r="AP13" s="231"/>
    </row>
    <row r="14" spans="1:43" ht="15" customHeight="1">
      <c r="A14" s="196"/>
      <c r="B14" s="197"/>
      <c r="C14" s="197"/>
      <c r="D14" s="197"/>
      <c r="E14" s="197"/>
      <c r="F14" s="197"/>
      <c r="G14" s="197"/>
      <c r="H14" s="230"/>
      <c r="I14" s="197"/>
      <c r="J14" s="197"/>
      <c r="K14" s="197"/>
      <c r="L14" s="197"/>
      <c r="M14" s="197"/>
      <c r="N14" s="197"/>
      <c r="O14" s="198"/>
      <c r="P14" s="199"/>
      <c r="Q14" s="196"/>
      <c r="R14" s="233"/>
      <c r="S14" s="233"/>
      <c r="T14" s="233"/>
      <c r="U14" s="233"/>
      <c r="V14" s="233"/>
      <c r="AL14" s="231"/>
      <c r="AP14" s="231"/>
    </row>
    <row r="15" spans="1:43" ht="15" customHeight="1">
      <c r="A15" s="196" t="s">
        <v>25</v>
      </c>
      <c r="B15" s="197">
        <f>+GETPIVOTDATA(" New-Less Than 2-Year",'Pivot Table for 1-11'!$A$3,"State","GA")+GETPIVOTDATA(" New-2 But Less Than 4-Year",'Pivot Table for 1-11'!$A$3,"State","GA")</f>
        <v>43518</v>
      </c>
      <c r="C15" s="197">
        <f>+GETPIVOTDATA(" New-Associate's",'Pivot Table for 1-11'!$A$3,"State","GA")</f>
        <v>15136</v>
      </c>
      <c r="D15" s="197">
        <f>+GETPIVOTDATA(" New-Bachelor's",'Pivot Table for 1-11'!$A$3,"State","GA")</f>
        <v>43522</v>
      </c>
      <c r="E15" s="197">
        <f>+GETPIVOTDATA(" New-Post-Bachelor's",'Pivot Table for 1-11'!$A$3,"State","GA")</f>
        <v>796</v>
      </c>
      <c r="F15" s="197">
        <f>+GETPIVOTDATA(" New-Total Master's#",'Pivot Table for 1-11'!$A$3,"State","GA")</f>
        <v>15156</v>
      </c>
      <c r="G15" s="197">
        <f>+GETPIVOTDATA(" New-Total Doctorates#",'Pivot Table for 1-11'!$A$3,"State","GA")</f>
        <v>1759</v>
      </c>
      <c r="H15" s="230">
        <f>GETPIVOTDATA(" New-Law",'Pivot Table for 1-11'!$A$3,"State","GA")</f>
        <v>374</v>
      </c>
      <c r="I15" s="197">
        <f>GETPIVOTDATA(" New-Medicine",'Pivot Table for 1-11'!$A$3,"State","GA")</f>
        <v>221</v>
      </c>
      <c r="J15" s="197">
        <f>GETPIVOTDATA(" New-Dentistry",'Pivot Table for 1-11'!$A$3,"State","GA")</f>
        <v>87</v>
      </c>
      <c r="K15" s="197">
        <f>GETPIVOTDATA(" New-Pharmacy",'Pivot Table for 1-11'!$A$3,"State","GA")</f>
        <v>134</v>
      </c>
      <c r="L15" s="197">
        <f>GETPIVOTDATA(" New-Optometry",'Pivot Table for 1-11'!$A$3,"State","GA")</f>
        <v>0</v>
      </c>
      <c r="M15" s="197">
        <f>GETPIVOTDATA(" New-Osteopathic Medicine",'Pivot Table for 1-11'!$A$3,"State","GA")</f>
        <v>0</v>
      </c>
      <c r="N15" s="197">
        <f>GETPIVOTDATA(" New-Veterinary Medicine",'Pivot Table for 1-11'!$A$3,"State","GA")</f>
        <v>114</v>
      </c>
      <c r="O15" s="198">
        <f>+GETPIVOTDATA(" New-Oth PP",'Pivot Table for 1-11'!$A$3,"State","GA")</f>
        <v>0</v>
      </c>
      <c r="P15" s="199">
        <f t="shared" si="0"/>
        <v>120817</v>
      </c>
      <c r="Q15" s="196"/>
      <c r="R15" s="233"/>
      <c r="S15" s="233"/>
      <c r="T15" s="233"/>
      <c r="U15" s="233"/>
      <c r="V15" s="233"/>
      <c r="AL15" s="231"/>
      <c r="AP15" s="231"/>
    </row>
    <row r="16" spans="1:43" ht="15" customHeight="1">
      <c r="A16" s="196" t="s">
        <v>26</v>
      </c>
      <c r="B16" s="197">
        <f>+GETPIVOTDATA(" New-Less Than 2-Year",'Pivot Table for 1-11'!$A$3,"State","KY")+GETPIVOTDATA(" New-2 But Less Than 4-Year",'Pivot Table for 1-11'!$A$3,"State","KY")</f>
        <v>30109</v>
      </c>
      <c r="C16" s="197">
        <f>+GETPIVOTDATA(" New-Associate's",'Pivot Table for 1-11'!$A$3,"State","KY")</f>
        <v>10575</v>
      </c>
      <c r="D16" s="197">
        <f>+GETPIVOTDATA(" New-Bachelor's",'Pivot Table for 1-11'!$A$3,"State","KY")</f>
        <v>19147</v>
      </c>
      <c r="E16" s="197">
        <f>+GETPIVOTDATA(" New-Post-Bachelor's",'Pivot Table for 1-11'!$A$3,"State","KY")</f>
        <v>687</v>
      </c>
      <c r="F16" s="197">
        <f>+GETPIVOTDATA(" New-Total Master's#",'Pivot Table for 1-11'!$A$3,"State","KY")</f>
        <v>5589</v>
      </c>
      <c r="G16" s="197">
        <f>+GETPIVOTDATA(" New-Total Doctorates#",'Pivot Table for 1-11'!$A$3,"State","KY")</f>
        <v>477</v>
      </c>
      <c r="H16" s="230">
        <f>GETPIVOTDATA(" New-Law",'Pivot Table for 1-11'!$A$3,"State","KY")</f>
        <v>350</v>
      </c>
      <c r="I16" s="197">
        <f>GETPIVOTDATA(" New-Medicine",'Pivot Table for 1-11'!$A$3,"State","KY")</f>
        <v>293</v>
      </c>
      <c r="J16" s="197">
        <f>GETPIVOTDATA(" New-Dentistry",'Pivot Table for 1-11'!$A$3,"State","KY")</f>
        <v>182</v>
      </c>
      <c r="K16" s="197">
        <f>GETPIVOTDATA(" New-Pharmacy",'Pivot Table for 1-11'!$A$3,"State","KY")</f>
        <v>136</v>
      </c>
      <c r="L16" s="197">
        <f>GETPIVOTDATA(" New-Optometry",'Pivot Table for 1-11'!$A$3,"State","KY")</f>
        <v>0</v>
      </c>
      <c r="M16" s="197">
        <f>GETPIVOTDATA(" New-Osteopathic Medicine",'Pivot Table for 1-11'!$A$3,"State","KY")</f>
        <v>0</v>
      </c>
      <c r="N16" s="197">
        <f>GETPIVOTDATA(" New-Veterinary Medicine",'Pivot Table for 1-11'!$A$3,"State","KY")</f>
        <v>0</v>
      </c>
      <c r="O16" s="198">
        <f>+GETPIVOTDATA(" New-Oth PP",'Pivot Table for 1-11'!$A$3,"State","KY")</f>
        <v>362</v>
      </c>
      <c r="P16" s="199">
        <f t="shared" si="0"/>
        <v>67907</v>
      </c>
      <c r="Q16" s="196"/>
      <c r="R16" s="233"/>
      <c r="S16" s="233"/>
      <c r="T16" s="233"/>
      <c r="U16" s="233"/>
      <c r="V16" s="233"/>
      <c r="AL16" s="231"/>
      <c r="AP16" s="231"/>
    </row>
    <row r="17" spans="1:42" ht="15" customHeight="1">
      <c r="A17" s="196" t="s">
        <v>27</v>
      </c>
      <c r="B17" s="197">
        <f>+GETPIVOTDATA(" New-Less Than 2-Year",'Pivot Table for 1-11'!$A$3,"State","LA")+GETPIVOTDATA(" New-2 But Less Than 4-Year",'Pivot Table for 1-11'!$A$3,"State","LA")</f>
        <v>15270</v>
      </c>
      <c r="C17" s="197">
        <f>+GETPIVOTDATA(" New-Associate's",'Pivot Table for 1-11'!$A$3,"State","LA")</f>
        <v>5965</v>
      </c>
      <c r="D17" s="197">
        <f>+GETPIVOTDATA(" New-Bachelor's",'Pivot Table for 1-11'!$A$3,"State","LA")</f>
        <v>19557</v>
      </c>
      <c r="E17" s="197">
        <f>+GETPIVOTDATA(" New-Post-Bachelor's",'Pivot Table for 1-11'!$A$3,"State","LA")</f>
        <v>206</v>
      </c>
      <c r="F17" s="197">
        <f>+GETPIVOTDATA(" New-Total Master's#",'Pivot Table for 1-11'!$A$3,"State","LA")</f>
        <v>7472</v>
      </c>
      <c r="G17" s="197">
        <f>+GETPIVOTDATA(" New-Total Doctorates#",'Pivot Table for 1-11'!$A$3,"State","LA")</f>
        <v>583</v>
      </c>
      <c r="H17" s="230">
        <f>GETPIVOTDATA(" New-Law",'Pivot Table for 1-11'!$A$3,"State","LA")</f>
        <v>323</v>
      </c>
      <c r="I17" s="197">
        <f>GETPIVOTDATA(" New-Medicine",'Pivot Table for 1-11'!$A$3,"State","LA")</f>
        <v>316</v>
      </c>
      <c r="J17" s="197">
        <f>GETPIVOTDATA(" New-Dentistry",'Pivot Table for 1-11'!$A$3,"State","LA")</f>
        <v>66</v>
      </c>
      <c r="K17" s="197">
        <f>GETPIVOTDATA(" New-Pharmacy",'Pivot Table for 1-11'!$A$3,"State","LA")</f>
        <v>87</v>
      </c>
      <c r="L17" s="197">
        <f>GETPIVOTDATA(" New-Optometry",'Pivot Table for 1-11'!$A$3,"State","LA")</f>
        <v>0</v>
      </c>
      <c r="M17" s="197">
        <f>GETPIVOTDATA(" New-Osteopathic Medicine",'Pivot Table for 1-11'!$A$3,"State","LA")</f>
        <v>0</v>
      </c>
      <c r="N17" s="197">
        <f>GETPIVOTDATA(" New-Veterinary Medicine",'Pivot Table for 1-11'!$A$3,"State","LA")</f>
        <v>88</v>
      </c>
      <c r="O17" s="198">
        <f>+GETPIVOTDATA(" New-Oth PP",'Pivot Table for 1-11'!$A$3,"State","LA")</f>
        <v>170</v>
      </c>
      <c r="P17" s="199">
        <f t="shared" si="0"/>
        <v>50103</v>
      </c>
      <c r="Q17" s="196"/>
      <c r="R17" s="233"/>
      <c r="S17" s="233"/>
      <c r="T17" s="233"/>
      <c r="U17" s="233"/>
      <c r="V17" s="233"/>
      <c r="AL17" s="231"/>
      <c r="AP17" s="231"/>
    </row>
    <row r="18" spans="1:42" ht="15" customHeight="1">
      <c r="A18" s="196" t="s">
        <v>28</v>
      </c>
      <c r="B18" s="197">
        <f>+GETPIVOTDATA(" New-Less Than 2-Year",'Pivot Table for 1-11'!$A$3,"State","MD")+GETPIVOTDATA(" New-2 But Less Than 4-Year",'Pivot Table for 1-11'!$A$3,"State","MD")</f>
        <v>0</v>
      </c>
      <c r="C18" s="197">
        <f>+GETPIVOTDATA(" New-Associate's",'Pivot Table for 1-11'!$A$3,"State","MD")</f>
        <v>0</v>
      </c>
      <c r="D18" s="197">
        <f>+GETPIVOTDATA(" New-Bachelor's",'Pivot Table for 1-11'!$A$3,"State","MD")</f>
        <v>0</v>
      </c>
      <c r="E18" s="197">
        <f>+GETPIVOTDATA(" New-Post-Bachelor's",'Pivot Table for 1-11'!$A$3,"State","MD")</f>
        <v>0</v>
      </c>
      <c r="F18" s="197">
        <f>+GETPIVOTDATA(" New-Total Master's#",'Pivot Table for 1-11'!$A$3,"State","MD")</f>
        <v>0</v>
      </c>
      <c r="G18" s="197">
        <f>+GETPIVOTDATA(" New-Total Doctorates#",'Pivot Table for 1-11'!$A$3,"State","MD")</f>
        <v>0</v>
      </c>
      <c r="H18" s="230">
        <f>GETPIVOTDATA(" New-Law",'Pivot Table for 1-11'!$A$3,"State","MD")</f>
        <v>0</v>
      </c>
      <c r="I18" s="197">
        <f>GETPIVOTDATA(" New-Medicine",'Pivot Table for 1-11'!$A$3,"State","MD")</f>
        <v>0</v>
      </c>
      <c r="J18" s="197">
        <f>GETPIVOTDATA(" New-Dentistry",'Pivot Table for 1-11'!$A$3,"State","MD")</f>
        <v>0</v>
      </c>
      <c r="K18" s="197">
        <f>GETPIVOTDATA(" New-Pharmacy",'Pivot Table for 1-11'!$A$3,"State","MD")</f>
        <v>0</v>
      </c>
      <c r="L18" s="197">
        <f>GETPIVOTDATA(" New-Optometry",'Pivot Table for 1-11'!$A$3,"State","MD")</f>
        <v>0</v>
      </c>
      <c r="M18" s="197">
        <f>GETPIVOTDATA(" New-Osteopathic Medicine",'Pivot Table for 1-11'!$A$3,"State","MD")</f>
        <v>0</v>
      </c>
      <c r="N18" s="197">
        <f>GETPIVOTDATA(" New-Veterinary Medicine",'Pivot Table for 1-11'!$A$3,"State","MD")</f>
        <v>0</v>
      </c>
      <c r="O18" s="198">
        <f>+GETPIVOTDATA(" New-Oth PP",'Pivot Table for 1-11'!$A$3,"State","MD")</f>
        <v>0</v>
      </c>
      <c r="P18" s="199">
        <f t="shared" si="0"/>
        <v>0</v>
      </c>
      <c r="Q18" s="196"/>
      <c r="R18" s="233"/>
      <c r="S18" s="233"/>
      <c r="T18" s="233"/>
      <c r="U18" s="233"/>
      <c r="V18" s="233"/>
      <c r="AL18" s="231"/>
      <c r="AP18" s="231"/>
    </row>
    <row r="19" spans="1:42" ht="15" customHeight="1">
      <c r="A19" s="196"/>
      <c r="B19" s="197"/>
      <c r="C19" s="197"/>
      <c r="D19" s="197"/>
      <c r="E19" s="197"/>
      <c r="F19" s="197"/>
      <c r="G19" s="197"/>
      <c r="H19" s="230"/>
      <c r="I19" s="197"/>
      <c r="J19" s="197"/>
      <c r="K19" s="197"/>
      <c r="L19" s="197"/>
      <c r="M19" s="197"/>
      <c r="N19" s="197"/>
      <c r="O19" s="198"/>
      <c r="P19" s="199"/>
      <c r="Q19" s="196"/>
      <c r="R19" s="233"/>
      <c r="S19" s="233"/>
      <c r="T19" s="233"/>
      <c r="U19" s="233"/>
      <c r="V19" s="233"/>
      <c r="AL19" s="231"/>
      <c r="AP19" s="231"/>
    </row>
    <row r="20" spans="1:42" ht="15" customHeight="1">
      <c r="A20" s="196" t="s">
        <v>29</v>
      </c>
      <c r="B20" s="197">
        <f>+GETPIVOTDATA(" New-Less Than 2-Year",'Pivot Table for 1-11'!$A$3,"State","MS")+GETPIVOTDATA(" New-2 But Less Than 4-Year",'Pivot Table for 1-11'!$A$3,"State","MS")</f>
        <v>0</v>
      </c>
      <c r="C20" s="197">
        <f>+GETPIVOTDATA(" New-Associate's",'Pivot Table for 1-11'!$A$3,"State","MS")</f>
        <v>65</v>
      </c>
      <c r="D20" s="197">
        <f>+GETPIVOTDATA(" New-Bachelor's",'Pivot Table for 1-11'!$A$3,"State","MS")</f>
        <v>14394</v>
      </c>
      <c r="E20" s="197">
        <f>+GETPIVOTDATA(" New-Post-Bachelor's",'Pivot Table for 1-11'!$A$3,"State","MS")</f>
        <v>0</v>
      </c>
      <c r="F20" s="197">
        <f>+GETPIVOTDATA(" New-Total Master's#",'Pivot Table for 1-11'!$A$3,"State","MS")</f>
        <v>3473</v>
      </c>
      <c r="G20" s="197">
        <f>+GETPIVOTDATA(" New-Total Doctorates#",'Pivot Table for 1-11'!$A$3,"State","MS")</f>
        <v>568</v>
      </c>
      <c r="H20" s="230">
        <f>GETPIVOTDATA(" New-Law",'Pivot Table for 1-11'!$A$3,"State","MS")</f>
        <v>112</v>
      </c>
      <c r="I20" s="197">
        <f>GETPIVOTDATA(" New-Medicine",'Pivot Table for 1-11'!$A$3,"State","MS")</f>
        <v>146</v>
      </c>
      <c r="J20" s="197">
        <f>GETPIVOTDATA(" New-Dentistry",'Pivot Table for 1-11'!$A$3,"State","MS")</f>
        <v>44</v>
      </c>
      <c r="K20" s="197">
        <f>GETPIVOTDATA(" New-Pharmacy",'Pivot Table for 1-11'!$A$3,"State","MS")</f>
        <v>100</v>
      </c>
      <c r="L20" s="197">
        <f>GETPIVOTDATA(" New-Optometry",'Pivot Table for 1-11'!$A$3,"State","MS")</f>
        <v>0</v>
      </c>
      <c r="M20" s="197">
        <f>GETPIVOTDATA(" New-Osteopathic Medicine",'Pivot Table for 1-11'!$A$3,"State","MS")</f>
        <v>0</v>
      </c>
      <c r="N20" s="197">
        <f>GETPIVOTDATA(" New-Veterinary Medicine",'Pivot Table for 1-11'!$A$3,"State","MS")</f>
        <v>87</v>
      </c>
      <c r="O20" s="198">
        <f>+GETPIVOTDATA(" New-Oth PP",'Pivot Table for 1-11'!$A$3,"State","MS")</f>
        <v>56</v>
      </c>
      <c r="P20" s="199">
        <f t="shared" si="0"/>
        <v>19045</v>
      </c>
      <c r="Q20" s="196"/>
      <c r="R20" s="233"/>
      <c r="S20" s="233"/>
      <c r="T20" s="233"/>
      <c r="U20" s="233"/>
      <c r="V20" s="233"/>
      <c r="AL20" s="231"/>
      <c r="AP20" s="231"/>
    </row>
    <row r="21" spans="1:42" ht="15" customHeight="1">
      <c r="A21" s="196" t="s">
        <v>30</v>
      </c>
      <c r="B21" s="197">
        <f>+GETPIVOTDATA(" New-Less Than 2-Year",'Pivot Table for 1-11'!$A$3,"State","NC")+GETPIVOTDATA(" New-2 But Less Than 4-Year",'Pivot Table for 1-11'!$A$3,"State","NC")</f>
        <v>33324</v>
      </c>
      <c r="C21" s="197">
        <f>+GETPIVOTDATA(" New-Associate's",'Pivot Table for 1-11'!$A$3,"State","NC")</f>
        <v>32292</v>
      </c>
      <c r="D21" s="197">
        <f>+GETPIVOTDATA(" New-Bachelor's",'Pivot Table for 1-11'!$A$3,"State","NC")</f>
        <v>1222</v>
      </c>
      <c r="E21" s="197">
        <f>+GETPIVOTDATA(" New-Post-Bachelor's",'Pivot Table for 1-11'!$A$3,"State","NC")</f>
        <v>1510</v>
      </c>
      <c r="F21" s="197">
        <f>+GETPIVOTDATA(" New-Total Master's#",'Pivot Table for 1-11'!$A$3,"State","NC")</f>
        <v>13069</v>
      </c>
      <c r="G21" s="197">
        <f>+GETPIVOTDATA(" New-Total Doctorates#",'Pivot Table for 1-11'!$A$3,"State","NC")</f>
        <v>1610</v>
      </c>
      <c r="H21" s="230">
        <f>GETPIVOTDATA(" New-Law",'Pivot Table for 1-11'!$A$3,"State","NC")</f>
        <v>318</v>
      </c>
      <c r="I21" s="197">
        <f>GETPIVOTDATA(" New-Medicine",'Pivot Table for 1-11'!$A$3,"State","NC")</f>
        <v>244</v>
      </c>
      <c r="J21" s="197">
        <f>GETPIVOTDATA(" New-Dentistry",'Pivot Table for 1-11'!$A$3,"State","NC")</f>
        <v>135</v>
      </c>
      <c r="K21" s="197">
        <f>GETPIVOTDATA(" New-Pharmacy",'Pivot Table for 1-11'!$A$3,"State","NC")</f>
        <v>148</v>
      </c>
      <c r="L21" s="197">
        <f>GETPIVOTDATA(" New-Optometry",'Pivot Table for 1-11'!$A$3,"State","NC")</f>
        <v>0</v>
      </c>
      <c r="M21" s="197">
        <f>GETPIVOTDATA(" New-Osteopathic Medicine",'Pivot Table for 1-11'!$A$3,"State","NC")</f>
        <v>0</v>
      </c>
      <c r="N21" s="197">
        <f>GETPIVOTDATA(" New-Veterinary Medicine",'Pivot Table for 1-11'!$A$3,"State","NC")</f>
        <v>100</v>
      </c>
      <c r="O21" s="198">
        <f>+GETPIVOTDATA(" New-Oth PP",'Pivot Table for 1-11'!$A$3,"State","NC")</f>
        <v>368</v>
      </c>
      <c r="P21" s="199">
        <f t="shared" si="0"/>
        <v>84340</v>
      </c>
      <c r="Q21" s="196"/>
      <c r="R21" s="233"/>
      <c r="S21" s="233"/>
      <c r="T21" s="233"/>
      <c r="U21" s="233"/>
      <c r="V21" s="233"/>
      <c r="AL21" s="231"/>
      <c r="AP21" s="231"/>
    </row>
    <row r="22" spans="1:42" ht="15" customHeight="1">
      <c r="A22" s="196" t="s">
        <v>31</v>
      </c>
      <c r="B22" s="197">
        <f>+GETPIVOTDATA(" New-Less Than 2-Year",'Pivot Table for 1-11'!$A$3,"State","OK")+GETPIVOTDATA(" New-2 But Less Than 4-Year",'Pivot Table for 1-11'!$A$3,"State","OK")</f>
        <v>12775</v>
      </c>
      <c r="C22" s="197">
        <f>+GETPIVOTDATA(" New-Associate's",'Pivot Table for 1-11'!$A$3,"State","OK")</f>
        <v>0</v>
      </c>
      <c r="D22" s="197">
        <f>+GETPIVOTDATA(" New-Bachelor's",'Pivot Table for 1-11'!$A$3,"State","OK")</f>
        <v>0</v>
      </c>
      <c r="E22" s="197">
        <f>+GETPIVOTDATA(" New-Post-Bachelor's",'Pivot Table for 1-11'!$A$3,"State","OK")</f>
        <v>0</v>
      </c>
      <c r="F22" s="197">
        <f>+GETPIVOTDATA(" New-Total Master's#",'Pivot Table for 1-11'!$A$3,"State","OK")</f>
        <v>0</v>
      </c>
      <c r="G22" s="197">
        <f>+GETPIVOTDATA(" New-Total Doctorates#",'Pivot Table for 1-11'!$A$3,"State","OK")</f>
        <v>0</v>
      </c>
      <c r="H22" s="230">
        <f>GETPIVOTDATA(" New-Law",'Pivot Table for 1-11'!$A$3,"State","OK")</f>
        <v>0</v>
      </c>
      <c r="I22" s="197">
        <f>GETPIVOTDATA(" New-Medicine",'Pivot Table for 1-11'!$A$3,"State","OK")</f>
        <v>0</v>
      </c>
      <c r="J22" s="197">
        <f>GETPIVOTDATA(" New-Dentistry",'Pivot Table for 1-11'!$A$3,"State","OK")</f>
        <v>0</v>
      </c>
      <c r="K22" s="197">
        <f>GETPIVOTDATA(" New-Pharmacy",'Pivot Table for 1-11'!$A$3,"State","OK")</f>
        <v>0</v>
      </c>
      <c r="L22" s="197">
        <f>GETPIVOTDATA(" New-Optometry",'Pivot Table for 1-11'!$A$3,"State","OK")</f>
        <v>0</v>
      </c>
      <c r="M22" s="197">
        <f>GETPIVOTDATA(" New-Osteopathic Medicine",'Pivot Table for 1-11'!$A$3,"State","OK")</f>
        <v>0</v>
      </c>
      <c r="N22" s="197">
        <f>GETPIVOTDATA(" New-Veterinary Medicine",'Pivot Table for 1-11'!$A$3,"State","OK")</f>
        <v>0</v>
      </c>
      <c r="O22" s="198">
        <f>+GETPIVOTDATA(" New-Oth PP",'Pivot Table for 1-11'!$A$3,"State","OK")</f>
        <v>0</v>
      </c>
      <c r="P22" s="199">
        <f t="shared" si="0"/>
        <v>12775</v>
      </c>
      <c r="Q22" s="196"/>
      <c r="R22" s="233"/>
      <c r="S22" s="233"/>
      <c r="T22" s="233"/>
      <c r="U22" s="233"/>
      <c r="V22" s="233"/>
      <c r="AL22" s="231"/>
      <c r="AP22" s="231"/>
    </row>
    <row r="23" spans="1:42" ht="15" customHeight="1">
      <c r="A23" s="196" t="s">
        <v>32</v>
      </c>
      <c r="B23" s="197">
        <f>+GETPIVOTDATA(" New-Less Than 2-Year",'Pivot Table for 1-11'!$A$3,"State","SC")+GETPIVOTDATA(" New-2 But Less Than 4-Year",'Pivot Table for 1-11'!$A$3,"State","SC")</f>
        <v>7894</v>
      </c>
      <c r="C23" s="197">
        <f>+GETPIVOTDATA(" New-Associate's",'Pivot Table for 1-11'!$A$3,"State","SC")</f>
        <v>9873</v>
      </c>
      <c r="D23" s="197">
        <f>+GETPIVOTDATA(" New-Bachelor's",'Pivot Table for 1-11'!$A$3,"State","SC")</f>
        <v>20763</v>
      </c>
      <c r="E23" s="197">
        <f>+GETPIVOTDATA(" New-Post-Bachelor's",'Pivot Table for 1-11'!$A$3,"State","SC")</f>
        <v>432</v>
      </c>
      <c r="F23" s="197">
        <f>+GETPIVOTDATA(" New-Total Master's#",'Pivot Table for 1-11'!$A$3,"State","SC")</f>
        <v>5092</v>
      </c>
      <c r="G23" s="197">
        <f>+GETPIVOTDATA(" New-Total Doctorates#",'Pivot Table for 1-11'!$A$3,"State","SC")</f>
        <v>886</v>
      </c>
      <c r="H23" s="230">
        <f>GETPIVOTDATA(" New-Law",'Pivot Table for 1-11'!$A$3,"State","SC")</f>
        <v>202</v>
      </c>
      <c r="I23" s="197">
        <f>GETPIVOTDATA(" New-Medicine",'Pivot Table for 1-11'!$A$3,"State","SC")</f>
        <v>354</v>
      </c>
      <c r="J23" s="197">
        <f>GETPIVOTDATA(" New-Dentistry",'Pivot Table for 1-11'!$A$3,"State","SC")</f>
        <v>73</v>
      </c>
      <c r="K23" s="197">
        <f>GETPIVOTDATA(" New-Pharmacy",'Pivot Table for 1-11'!$A$3,"State","SC")</f>
        <v>188</v>
      </c>
      <c r="L23" s="197">
        <f>GETPIVOTDATA(" New-Optometry",'Pivot Table for 1-11'!$A$3,"State","SC")</f>
        <v>0</v>
      </c>
      <c r="M23" s="197">
        <f>GETPIVOTDATA(" New-Osteopathic Medicine",'Pivot Table for 1-11'!$A$3,"State","SC")</f>
        <v>0</v>
      </c>
      <c r="N23" s="197">
        <f>GETPIVOTDATA(" New-Veterinary Medicine",'Pivot Table for 1-11'!$A$3,"State","SC")</f>
        <v>0</v>
      </c>
      <c r="O23" s="198">
        <f>+GETPIVOTDATA(" New-Oth PP",'Pivot Table for 1-11'!$A$3,"State","SC")</f>
        <v>3</v>
      </c>
      <c r="P23" s="199">
        <f t="shared" si="0"/>
        <v>45760</v>
      </c>
      <c r="Q23" s="196"/>
      <c r="R23" s="233"/>
      <c r="S23" s="233"/>
      <c r="T23" s="233"/>
      <c r="U23" s="233"/>
      <c r="V23" s="233"/>
      <c r="AL23" s="231"/>
      <c r="AP23" s="231"/>
    </row>
    <row r="24" spans="1:42" ht="15" customHeight="1">
      <c r="A24" s="196"/>
      <c r="B24" s="197"/>
      <c r="C24" s="197"/>
      <c r="D24" s="197"/>
      <c r="E24" s="197"/>
      <c r="F24" s="197"/>
      <c r="G24" s="197"/>
      <c r="H24" s="230"/>
      <c r="I24" s="197"/>
      <c r="J24" s="197"/>
      <c r="K24" s="197"/>
      <c r="L24" s="197"/>
      <c r="M24" s="197"/>
      <c r="N24" s="197"/>
      <c r="O24" s="198"/>
      <c r="P24" s="199"/>
      <c r="Q24" s="196"/>
      <c r="R24" s="233"/>
      <c r="S24" s="233"/>
      <c r="T24" s="233"/>
      <c r="U24" s="233"/>
      <c r="V24" s="233"/>
      <c r="AL24" s="231"/>
      <c r="AP24" s="231"/>
    </row>
    <row r="25" spans="1:42" ht="15" customHeight="1">
      <c r="A25" s="196" t="s">
        <v>33</v>
      </c>
      <c r="B25" s="197">
        <f>+GETPIVOTDATA(" New-Less Than 2-Year",'Pivot Table for 1-11'!$A$3,"State","TN")+GETPIVOTDATA(" New-2 But Less Than 4-Year",'Pivot Table for 1-11'!$A$3,"State","TN")</f>
        <v>5851</v>
      </c>
      <c r="C25" s="197">
        <f>+GETPIVOTDATA(" New-Associate's",'Pivot Table for 1-11'!$A$3,"State","TN")</f>
        <v>13365</v>
      </c>
      <c r="D25" s="197">
        <f>+GETPIVOTDATA(" New-Bachelor's",'Pivot Table for 1-11'!$A$3,"State","TN")</f>
        <v>22719</v>
      </c>
      <c r="E25" s="197">
        <f>+GETPIVOTDATA(" New-Post-Bachelor's",'Pivot Table for 1-11'!$A$3,"State","TN")</f>
        <v>0</v>
      </c>
      <c r="F25" s="197">
        <f>+GETPIVOTDATA(" New-Total Master's#",'Pivot Table for 1-11'!$A$3,"State","TN")</f>
        <v>6009</v>
      </c>
      <c r="G25" s="197">
        <f>+GETPIVOTDATA(" New-Total Doctorates#",'Pivot Table for 1-11'!$A$3,"State","TN")</f>
        <v>1214</v>
      </c>
      <c r="H25" s="230">
        <f>GETPIVOTDATA(" New-Law",'Pivot Table for 1-11'!$A$3,"State","TN")</f>
        <v>206</v>
      </c>
      <c r="I25" s="197">
        <f>GETPIVOTDATA(" New-Medicine",'Pivot Table for 1-11'!$A$3,"State","TN")</f>
        <v>227</v>
      </c>
      <c r="J25" s="197">
        <f>GETPIVOTDATA(" New-Dentistry",'Pivot Table for 1-11'!$A$3,"State","TN")</f>
        <v>100</v>
      </c>
      <c r="K25" s="197">
        <f>GETPIVOTDATA(" New-Pharmacy",'Pivot Table for 1-11'!$A$3,"State","TN")</f>
        <v>223</v>
      </c>
      <c r="L25" s="197">
        <f>GETPIVOTDATA(" New-Optometry",'Pivot Table for 1-11'!$A$3,"State","TN")</f>
        <v>0</v>
      </c>
      <c r="M25" s="197">
        <f>GETPIVOTDATA(" New-Osteopathic Medicine",'Pivot Table for 1-11'!$A$3,"State","TN")</f>
        <v>0</v>
      </c>
      <c r="N25" s="197">
        <f>GETPIVOTDATA(" New-Veterinary Medicine",'Pivot Table for 1-11'!$A$3,"State","TN")</f>
        <v>79</v>
      </c>
      <c r="O25" s="198">
        <f>+GETPIVOTDATA(" New-Oth PP",'Pivot Table for 1-11'!$A$3,"State","TN")</f>
        <v>0</v>
      </c>
      <c r="P25" s="199">
        <f t="shared" si="0"/>
        <v>49993</v>
      </c>
      <c r="Q25" s="196"/>
      <c r="R25" s="233"/>
      <c r="S25" s="233"/>
      <c r="T25" s="233"/>
      <c r="U25" s="233"/>
      <c r="V25" s="233"/>
      <c r="AL25" s="231"/>
      <c r="AP25" s="231"/>
    </row>
    <row r="26" spans="1:42" ht="15" customHeight="1">
      <c r="A26" s="196" t="s">
        <v>34</v>
      </c>
      <c r="B26" s="197">
        <f>+GETPIVOTDATA(" New-Less Than 2-Year",'Pivot Table for 1-11'!$A$3,"State","TX")+GETPIVOTDATA(" New-2 But Less Than 4-Year",'Pivot Table for 1-11'!$A$3,"State","TX")</f>
        <v>37014</v>
      </c>
      <c r="C26" s="197">
        <f>+GETPIVOTDATA(" New-Associate's",'Pivot Table for 1-11'!$A$3,"State","TX")</f>
        <v>91559</v>
      </c>
      <c r="D26" s="197">
        <f>+GETPIVOTDATA(" New-Bachelor's",'Pivot Table for 1-11'!$A$3,"State","TX")</f>
        <v>0</v>
      </c>
      <c r="E26" s="197">
        <f>+GETPIVOTDATA(" New-Post-Bachelor's",'Pivot Table for 1-11'!$A$3,"State","TX")</f>
        <v>0</v>
      </c>
      <c r="F26" s="197">
        <f>+GETPIVOTDATA(" New-Total Master's#",'Pivot Table for 1-11'!$A$3,"State","TX")</f>
        <v>43077</v>
      </c>
      <c r="G26" s="197">
        <f>+GETPIVOTDATA(" New-Total Doctorates#",'Pivot Table for 1-11'!$A$3,"State","TX")</f>
        <v>4540</v>
      </c>
      <c r="H26" s="230">
        <f>GETPIVOTDATA(" New-Law",'Pivot Table for 1-11'!$A$3,"State","TX")</f>
        <v>1107</v>
      </c>
      <c r="I26" s="197">
        <f>GETPIVOTDATA(" New-Medicine",'Pivot Table for 1-11'!$A$3,"State","TX")</f>
        <v>1328</v>
      </c>
      <c r="J26" s="197">
        <f>GETPIVOTDATA(" New-Dentistry",'Pivot Table for 1-11'!$A$3,"State","TX")</f>
        <v>311</v>
      </c>
      <c r="K26" s="197">
        <f>GETPIVOTDATA(" New-Pharmacy",'Pivot Table for 1-11'!$A$3,"State","TX")</f>
        <v>760</v>
      </c>
      <c r="L26" s="197">
        <f>GETPIVOTDATA(" New-Optometry",'Pivot Table for 1-11'!$A$3,"State","TX")</f>
        <v>92</v>
      </c>
      <c r="M26" s="197">
        <f>GETPIVOTDATA(" New-Osteopathic Medicine",'Pivot Table for 1-11'!$A$3,"State","TX")</f>
        <v>206</v>
      </c>
      <c r="N26" s="197">
        <f>GETPIVOTDATA(" New-Veterinary Medicine",'Pivot Table for 1-11'!$A$3,"State","TX")</f>
        <v>133</v>
      </c>
      <c r="O26" s="198">
        <f>+GETPIVOTDATA(" New-Oth PP",'Pivot Table for 1-11'!$A$3,"State","TX")</f>
        <v>527</v>
      </c>
      <c r="P26" s="199">
        <f t="shared" si="0"/>
        <v>180654</v>
      </c>
      <c r="Q26" s="196"/>
      <c r="R26" s="233"/>
      <c r="S26" s="233"/>
      <c r="T26" s="233"/>
      <c r="U26" s="233"/>
      <c r="V26" s="233"/>
      <c r="AL26" s="231"/>
      <c r="AP26" s="231"/>
    </row>
    <row r="27" spans="1:42" ht="15" customHeight="1">
      <c r="A27" s="196" t="s">
        <v>35</v>
      </c>
      <c r="B27" s="197">
        <f>+GETPIVOTDATA(" New-Less Than 2-Year",'Pivot Table for 1-11'!$A$3,"State","VA")+GETPIVOTDATA(" New-2 But Less Than 4-Year",'Pivot Table for 1-11'!$A$3,"State","VA")</f>
        <v>13804</v>
      </c>
      <c r="C27" s="197">
        <f>+GETPIVOTDATA(" New-Associate's",'Pivot Table for 1-11'!$A$3,"State","VA")</f>
        <v>17754</v>
      </c>
      <c r="D27" s="197">
        <f>+GETPIVOTDATA(" New-Bachelor's",'Pivot Table for 1-11'!$A$3,"State","VA")</f>
        <v>38790</v>
      </c>
      <c r="E27" s="197">
        <f>+GETPIVOTDATA(" New-Post-Bachelor's",'Pivot Table for 1-11'!$A$3,"State","VA")</f>
        <v>1714</v>
      </c>
      <c r="F27" s="197">
        <f>+GETPIVOTDATA(" New-Total Master's#",'Pivot Table for 1-11'!$A$3,"State","VA")</f>
        <v>11955</v>
      </c>
      <c r="G27" s="197">
        <f>+GETPIVOTDATA(" New-Total Doctorates#",'Pivot Table for 1-11'!$A$3,"State","VA")</f>
        <v>1991</v>
      </c>
      <c r="H27" s="230">
        <f>GETPIVOTDATA(" New-Law",'Pivot Table for 1-11'!$A$3,"State","VA")</f>
        <v>0</v>
      </c>
      <c r="I27" s="197">
        <f>GETPIVOTDATA(" New-Medicine",'Pivot Table for 1-11'!$A$3,"State","VA")</f>
        <v>0</v>
      </c>
      <c r="J27" s="197">
        <f>GETPIVOTDATA(" New-Dentistry",'Pivot Table for 1-11'!$A$3,"State","VA")</f>
        <v>0</v>
      </c>
      <c r="K27" s="197">
        <f>GETPIVOTDATA(" New-Pharmacy",'Pivot Table for 1-11'!$A$3,"State","VA")</f>
        <v>0</v>
      </c>
      <c r="L27" s="197">
        <f>GETPIVOTDATA(" New-Optometry",'Pivot Table for 1-11'!$A$3,"State","VA")</f>
        <v>0</v>
      </c>
      <c r="M27" s="197">
        <f>GETPIVOTDATA(" New-Osteopathic Medicine",'Pivot Table for 1-11'!$A$3,"State","VA")</f>
        <v>0</v>
      </c>
      <c r="N27" s="197">
        <f>GETPIVOTDATA(" New-Veterinary Medicine",'Pivot Table for 1-11'!$A$3,"State","VA")</f>
        <v>0</v>
      </c>
      <c r="O27" s="198">
        <f>+GETPIVOTDATA(" New-Oth PP",'Pivot Table for 1-11'!$A$3,"State","VA")</f>
        <v>0</v>
      </c>
      <c r="P27" s="199">
        <f t="shared" si="0"/>
        <v>86008</v>
      </c>
      <c r="Q27" s="196"/>
      <c r="R27" s="233"/>
      <c r="S27" s="233"/>
      <c r="T27" s="233"/>
      <c r="U27" s="233"/>
      <c r="V27" s="233"/>
      <c r="AL27" s="231"/>
      <c r="AP27" s="231"/>
    </row>
    <row r="28" spans="1:42" ht="15" customHeight="1">
      <c r="A28" s="200" t="s">
        <v>36</v>
      </c>
      <c r="B28" s="201">
        <f>+GETPIVOTDATA(" New-Less Than 2-Year",'Pivot Table for 1-11'!$A$3,"State","WV")+GETPIVOTDATA(" New-2 But Less Than 4-Year",'Pivot Table for 1-11'!$A$3,"State","WV")</f>
        <v>2812</v>
      </c>
      <c r="C28" s="201">
        <f>+GETPIVOTDATA(" New-Associate's",'Pivot Table for 1-11'!$A$3,"State","WV")</f>
        <v>3022</v>
      </c>
      <c r="D28" s="201">
        <f>+GETPIVOTDATA(" New-Bachelor's",'Pivot Table for 1-11'!$A$3,"State","WV")</f>
        <v>9505</v>
      </c>
      <c r="E28" s="201">
        <f>+GETPIVOTDATA(" New-Post-Bachelor's",'Pivot Table for 1-11'!$A$3,"State","WV")</f>
        <v>0</v>
      </c>
      <c r="F28" s="201">
        <f>+GETPIVOTDATA(" New-Total Master's#",'Pivot Table for 1-11'!$A$3,"State","WV")</f>
        <v>2565</v>
      </c>
      <c r="G28" s="201">
        <f>+GETPIVOTDATA(" New-Total Doctorates#",'Pivot Table for 1-11'!$A$3,"State","WV")</f>
        <v>215</v>
      </c>
      <c r="H28" s="318">
        <f>GETPIVOTDATA(" New-Law",'Pivot Table for 1-11'!$A$3,"State","WV")</f>
        <v>107</v>
      </c>
      <c r="I28" s="201">
        <f>GETPIVOTDATA(" New-Medicine",'Pivot Table for 1-11'!$A$3,"State","WV")</f>
        <v>180</v>
      </c>
      <c r="J28" s="201">
        <f>GETPIVOTDATA(" New-Dentistry",'Pivot Table for 1-11'!$A$3,"State","WV")</f>
        <v>47</v>
      </c>
      <c r="K28" s="201">
        <f>GETPIVOTDATA(" New-Pharmacy",'Pivot Table for 1-11'!$A$3,"State","WV")</f>
        <v>143</v>
      </c>
      <c r="L28" s="201">
        <f>GETPIVOTDATA(" New-Optometry",'Pivot Table for 1-11'!$A$3,"State","WV")</f>
        <v>0</v>
      </c>
      <c r="M28" s="201">
        <f>GETPIVOTDATA(" New-Osteopathic Medicine",'Pivot Table for 1-11'!$A$3,"State","WV")</f>
        <v>194</v>
      </c>
      <c r="N28" s="201">
        <f>GETPIVOTDATA(" New-Veterinary Medicine",'Pivot Table for 1-11'!$A$3,"State","WV")</f>
        <v>0</v>
      </c>
      <c r="O28" s="319">
        <f>+GETPIVOTDATA(" New-Oth PP",'Pivot Table for 1-11'!$A$3,"State","WV")</f>
        <v>143</v>
      </c>
      <c r="P28" s="203">
        <f t="shared" si="0"/>
        <v>18933</v>
      </c>
      <c r="Q28" s="196"/>
      <c r="R28" s="233"/>
      <c r="S28" s="233"/>
      <c r="T28" s="233"/>
      <c r="U28" s="233"/>
      <c r="V28" s="233"/>
      <c r="AL28" s="231"/>
      <c r="AP28" s="231"/>
    </row>
    <row r="29" spans="1:42" ht="12.75" customHeight="1"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  <c r="Q29" s="197"/>
    </row>
    <row r="30" spans="1:42" ht="24" customHeight="1">
      <c r="A30" s="545" t="s">
        <v>37</v>
      </c>
      <c r="B30" s="546"/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  <c r="Q30" s="263"/>
    </row>
    <row r="31" spans="1:42" ht="15" customHeight="1">
      <c r="P31" s="204" t="s">
        <v>1178</v>
      </c>
      <c r="Q31" s="204"/>
    </row>
    <row r="32" spans="1:42" ht="18">
      <c r="A32" s="186" t="s">
        <v>38</v>
      </c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  <c r="Q32" s="187" t="s">
        <v>1</v>
      </c>
    </row>
    <row r="33" spans="1:35" ht="15.75" customHeight="1">
      <c r="A33" s="188"/>
      <c r="B33" s="188"/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188"/>
    </row>
    <row r="34" spans="1:35" ht="15.5">
      <c r="A34" s="187" t="s">
        <v>2</v>
      </c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  <c r="Q34" s="187" t="s">
        <v>1</v>
      </c>
      <c r="R34" s="187" t="s">
        <v>1</v>
      </c>
      <c r="S34" s="187"/>
      <c r="T34" s="187" t="s">
        <v>1</v>
      </c>
      <c r="U34" s="187" t="s">
        <v>1</v>
      </c>
      <c r="V34" s="187" t="s">
        <v>1</v>
      </c>
      <c r="W34" s="187" t="s">
        <v>1</v>
      </c>
      <c r="X34" s="187" t="s">
        <v>1</v>
      </c>
      <c r="Y34" s="187" t="s">
        <v>1</v>
      </c>
    </row>
    <row r="35" spans="1:35" ht="15.5">
      <c r="A35" s="187" t="s">
        <v>1180</v>
      </c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  <c r="Q35" s="187" t="s">
        <v>1</v>
      </c>
      <c r="R35" s="187"/>
      <c r="S35" s="187"/>
      <c r="T35" s="187" t="s">
        <v>1</v>
      </c>
      <c r="U35" s="187" t="s">
        <v>1</v>
      </c>
      <c r="V35" s="187" t="s">
        <v>1</v>
      </c>
      <c r="W35" s="187" t="s">
        <v>1</v>
      </c>
      <c r="X35" s="187" t="s">
        <v>1</v>
      </c>
      <c r="Y35" s="187" t="s">
        <v>1</v>
      </c>
    </row>
    <row r="36" spans="1:35" ht="15.5">
      <c r="A36" s="189"/>
      <c r="B36" s="189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  <c r="Q36" s="65" t="s">
        <v>40</v>
      </c>
      <c r="R36" s="187"/>
      <c r="S36" s="187"/>
      <c r="T36" s="187" t="s">
        <v>1</v>
      </c>
      <c r="U36" s="187" t="s">
        <v>1</v>
      </c>
      <c r="V36" s="187" t="s">
        <v>1</v>
      </c>
      <c r="W36" s="187" t="s">
        <v>1</v>
      </c>
      <c r="X36" s="187" t="s">
        <v>1</v>
      </c>
      <c r="Y36" s="187" t="s">
        <v>1</v>
      </c>
    </row>
    <row r="37" spans="1:35" ht="15" customHeight="1">
      <c r="A37" s="190"/>
      <c r="B37" s="190"/>
      <c r="C37" s="190"/>
      <c r="D37" s="190"/>
      <c r="E37" s="190"/>
      <c r="F37" s="190"/>
      <c r="G37" s="190"/>
      <c r="H37" s="225" t="s">
        <v>4</v>
      </c>
      <c r="I37" s="256"/>
      <c r="J37" s="256"/>
      <c r="K37" s="256"/>
      <c r="L37" s="256"/>
      <c r="M37" s="256"/>
      <c r="N37" s="256"/>
      <c r="O37" s="226"/>
      <c r="P37" s="192" t="s">
        <v>1</v>
      </c>
      <c r="R37" s="187" t="s">
        <v>1</v>
      </c>
      <c r="S37" s="187"/>
      <c r="T37" s="187" t="s">
        <v>1</v>
      </c>
      <c r="U37" s="187" t="s">
        <v>1</v>
      </c>
      <c r="V37" s="187" t="s">
        <v>1</v>
      </c>
      <c r="W37" s="187" t="s">
        <v>1</v>
      </c>
      <c r="X37" s="187" t="s">
        <v>1</v>
      </c>
      <c r="Y37" s="187" t="s">
        <v>1</v>
      </c>
      <c r="AF37" s="234"/>
      <c r="AG37" s="234"/>
      <c r="AH37" s="235"/>
    </row>
    <row r="38" spans="1:35" ht="39.75" customHeight="1">
      <c r="A38" s="193"/>
      <c r="B38" s="194" t="s">
        <v>5</v>
      </c>
      <c r="C38" s="194" t="s">
        <v>6</v>
      </c>
      <c r="D38" s="194" t="s">
        <v>7</v>
      </c>
      <c r="E38" s="194" t="s">
        <v>8</v>
      </c>
      <c r="F38" s="194" t="s">
        <v>9</v>
      </c>
      <c r="G38" s="194" t="s">
        <v>10</v>
      </c>
      <c r="H38" s="317" t="s">
        <v>11</v>
      </c>
      <c r="I38" s="194" t="s">
        <v>12</v>
      </c>
      <c r="J38" s="194" t="s">
        <v>13</v>
      </c>
      <c r="K38" s="194" t="s">
        <v>14</v>
      </c>
      <c r="L38" s="194" t="s">
        <v>15</v>
      </c>
      <c r="M38" s="194" t="s">
        <v>16</v>
      </c>
      <c r="N38" s="194" t="s">
        <v>17</v>
      </c>
      <c r="O38" s="228" t="s">
        <v>18</v>
      </c>
      <c r="P38" s="194" t="s">
        <v>19</v>
      </c>
      <c r="Q38" s="65" t="s">
        <v>41</v>
      </c>
      <c r="R38" s="187"/>
      <c r="S38" s="187"/>
      <c r="T38" s="187" t="s">
        <v>1</v>
      </c>
      <c r="U38" s="187" t="s">
        <v>1</v>
      </c>
      <c r="V38" s="187" t="s">
        <v>1</v>
      </c>
      <c r="W38" s="187" t="s">
        <v>1</v>
      </c>
      <c r="X38" s="187" t="s">
        <v>1</v>
      </c>
      <c r="Y38" s="187" t="s">
        <v>1</v>
      </c>
      <c r="AF38" s="236"/>
      <c r="AG38" s="234"/>
      <c r="AH38" s="236"/>
    </row>
    <row r="39" spans="1:35" ht="15" customHeight="1">
      <c r="A39" s="196" t="s">
        <v>20</v>
      </c>
      <c r="B39" s="197">
        <f>+GETPIVOTDATA(" New-Less Than 2-Year",'Pivot Table for 1-11'!$A$3,"SREB Type2","Four-Year")+GETPIVOTDATA(" New-2 But Less Than 4-Year",'Pivot Table for 1-11'!$A$3,"SREB Type2","Four-Year")</f>
        <v>4877</v>
      </c>
      <c r="C39" s="197">
        <f>+GETPIVOTDATA(" New-Associate's",'Pivot Table for 1-11'!$A$3,"SREB Type2","Four-Year")</f>
        <v>12882</v>
      </c>
      <c r="D39" s="197">
        <f>+GETPIVOTDATA(" New-Bachelor's",'Pivot Table for 1-11'!$A$3,"SREB Type2","Four-Year")</f>
        <v>233996</v>
      </c>
      <c r="E39" s="197">
        <f>+GETPIVOTDATA(" New-Post-Bachelor's",'Pivot Table for 1-11'!$A$3,"SREB Type2","Four-Year")</f>
        <v>6393</v>
      </c>
      <c r="F39" s="197">
        <f>+GETPIVOTDATA(" New-Total Master's#",'Pivot Table for 1-11'!$A$3,"SREB Type2","Four-Year")</f>
        <v>127849</v>
      </c>
      <c r="G39" s="197">
        <f>+GETPIVOTDATA(" New-Total Doctorates#",'Pivot Table for 1-11'!$A$3,"SREB Type2","Four-Year")</f>
        <v>14284</v>
      </c>
      <c r="H39" s="230">
        <f>+GETPIVOTDATA(" New-Law",'Pivot Table for 1-11'!$A$3,"SREB Type2","Four-Year")</f>
        <v>3286</v>
      </c>
      <c r="I39" s="197">
        <f>+GETPIVOTDATA(" New-Medicine",'Pivot Table for 1-11'!$A$3,"SREB Type2","Four-Year")</f>
        <v>1592</v>
      </c>
      <c r="J39" s="197">
        <f>+GETPIVOTDATA(" New-Dentistry",'Pivot Table for 1-11'!$A$3,"SREB Type2","Four-Year")</f>
        <v>570</v>
      </c>
      <c r="K39" s="197">
        <f>+GETPIVOTDATA(" New-Pharmacy",'Pivot Table for 1-11'!$A$3,"SREB Type2","Four-Year")</f>
        <v>1460</v>
      </c>
      <c r="L39" s="197">
        <f>+GETPIVOTDATA(" New-Optometry",'Pivot Table for 1-11'!$A$3,"SREB Type2","Four-Year")</f>
        <v>133</v>
      </c>
      <c r="M39" s="197">
        <f>+GETPIVOTDATA(" New-Osteopathic Medicine",'Pivot Table for 1-11'!$A$3,"SREB Type2","Four-Year")</f>
        <v>0</v>
      </c>
      <c r="N39" s="197">
        <f>+GETPIVOTDATA(" New-Veterinary Medicine",'Pivot Table for 1-11'!$A$3,"SREB Type2","Four-Year")</f>
        <v>717</v>
      </c>
      <c r="O39" s="198">
        <f>+GETPIVOTDATA(" New-Oth PP",'Pivot Table for 1-11'!$A$3,"SREB Type2","Four-Year")</f>
        <v>1964</v>
      </c>
      <c r="P39" s="199">
        <f>SUM(B39:O39)</f>
        <v>410003</v>
      </c>
      <c r="Q39" s="237">
        <f>('New Tables 1-12'!P39-'Old 1-12'!P39)/'Old 1-12'!P39</f>
        <v>-0.26364139239005885</v>
      </c>
      <c r="R39" s="238"/>
      <c r="S39" s="239"/>
      <c r="T39" s="240"/>
      <c r="U39" s="187" t="s">
        <v>1</v>
      </c>
      <c r="V39" s="187" t="s">
        <v>1</v>
      </c>
      <c r="W39" s="187" t="s">
        <v>1</v>
      </c>
      <c r="X39" s="187" t="s">
        <v>1</v>
      </c>
      <c r="Y39" s="187" t="s">
        <v>1</v>
      </c>
      <c r="AF39" s="241"/>
      <c r="AG39" s="242"/>
      <c r="AH39" s="241"/>
      <c r="AI39" s="196"/>
    </row>
    <row r="40" spans="1:35" ht="15" customHeight="1">
      <c r="A40" s="196"/>
      <c r="B40" s="197"/>
      <c r="C40" s="197"/>
      <c r="D40" s="197"/>
      <c r="E40" s="197"/>
      <c r="F40" s="197"/>
      <c r="G40" s="197"/>
      <c r="H40" s="230"/>
      <c r="I40" s="197"/>
      <c r="J40" s="197"/>
      <c r="K40" s="197"/>
      <c r="L40" s="197"/>
      <c r="M40" s="197"/>
      <c r="N40" s="197"/>
      <c r="O40" s="198"/>
      <c r="P40" s="199"/>
      <c r="Q40" s="237"/>
      <c r="R40" s="187" t="s">
        <v>1</v>
      </c>
      <c r="S40" s="187"/>
      <c r="T40" s="187" t="s">
        <v>1</v>
      </c>
      <c r="U40" s="187" t="s">
        <v>1</v>
      </c>
      <c r="V40" s="187" t="s">
        <v>1</v>
      </c>
      <c r="W40" s="187" t="s">
        <v>1</v>
      </c>
      <c r="X40" s="187" t="s">
        <v>1</v>
      </c>
      <c r="Y40" s="187" t="s">
        <v>1</v>
      </c>
      <c r="AF40" s="241"/>
      <c r="AG40" s="242"/>
      <c r="AH40" s="241"/>
      <c r="AI40" s="196"/>
    </row>
    <row r="41" spans="1:35" ht="15" customHeight="1">
      <c r="A41" s="196" t="s">
        <v>21</v>
      </c>
      <c r="B41" s="197">
        <f>+GETPIVOTDATA(" New-Less Than 2-Year",'Pivot Table for 1-11'!$A$3,"State","AL","SREB Type2","Four-Year")+GETPIVOTDATA(" New-2 But Less Than 4-Year",'Pivot Table for 1-11'!$A$3,"State","AL","SREB Type2","Four-Year")</f>
        <v>213</v>
      </c>
      <c r="C41" s="197">
        <f>+GETPIVOTDATA(" New-Associate's",'Pivot Table for 1-11'!$A$3,"State","AL","SREB Type2","Four-Year")</f>
        <v>348</v>
      </c>
      <c r="D41" s="197">
        <f>+GETPIVOTDATA(" New-Bachelor's",'Pivot Table for 1-11'!$A$3,"State","AL","SREB Type2","Four-Year")</f>
        <v>27430</v>
      </c>
      <c r="E41" s="197">
        <f>+GETPIVOTDATA(" New-Post-Bachelor's",'Pivot Table for 1-11'!$A$3,"State","AL","SREB Type2","Four-Year")</f>
        <v>483</v>
      </c>
      <c r="F41" s="197">
        <f>+GETPIVOTDATA(" New-Total Master's#",'Pivot Table for 1-11'!$A$3,"State","AL","SREB Type2","Four-Year")</f>
        <v>11198</v>
      </c>
      <c r="G41" s="197">
        <f>+GETPIVOTDATA(" New-Total Doctorates#",'Pivot Table for 1-11'!$A$3,"State","AL","SREB Type2","Four-Year")</f>
        <v>727</v>
      </c>
      <c r="H41" s="230">
        <f>+GETPIVOTDATA(" New-Law",'Pivot Table for 1-11'!$A$3,"State","AL","SREB Type2","Four-Year")</f>
        <v>126</v>
      </c>
      <c r="I41" s="197">
        <f>+GETPIVOTDATA(" New-Medicine",'Pivot Table for 1-11'!$A$3,"State","AL","SREB Type2","Four-Year")</f>
        <v>252</v>
      </c>
      <c r="J41" s="197">
        <f>+GETPIVOTDATA(" New-Dentistry",'Pivot Table for 1-11'!$A$3,"State","AL","SREB Type2","Four-Year")</f>
        <v>75</v>
      </c>
      <c r="K41" s="197">
        <f>+GETPIVOTDATA(" New-Pharmacy",'Pivot Table for 1-11'!$A$3,"State","AL","SREB Type2","Four-Year")</f>
        <v>138</v>
      </c>
      <c r="L41" s="197">
        <f>+GETPIVOTDATA(" New-Optometry",'Pivot Table for 1-11'!$A$3,"State","AL","SREB Type2","Four-Year")</f>
        <v>41</v>
      </c>
      <c r="M41" s="197">
        <f>+GETPIVOTDATA(" New-Osteopathic Medicine",'Pivot Table for 1-11'!$A$3,"State","AL","SREB Type2","Four-Year")</f>
        <v>0</v>
      </c>
      <c r="N41" s="197">
        <f>+GETPIVOTDATA(" New-Veterinary Medicine",'Pivot Table for 1-11'!$A$3,"State","AL","SREB Type2","Four-Year")</f>
        <v>116</v>
      </c>
      <c r="O41" s="198">
        <f>+GETPIVOTDATA(" New-Oth PP",'Pivot Table for 1-11'!$A$3,"State","AL","SREB Type2","Four-Year")</f>
        <v>554</v>
      </c>
      <c r="P41" s="199">
        <f t="shared" ref="P41:P59" si="1">SUM(B41:O41)</f>
        <v>41701</v>
      </c>
      <c r="Q41" s="237">
        <f>('New Tables 1-12'!P41-'Old 1-12'!P41)/'Old 1-12'!P41</f>
        <v>5.0376564822044785E-2</v>
      </c>
      <c r="R41" s="187" t="s">
        <v>1</v>
      </c>
      <c r="S41" s="187"/>
      <c r="T41" s="187" t="s">
        <v>1</v>
      </c>
      <c r="U41" s="187" t="s">
        <v>1</v>
      </c>
      <c r="V41" s="187" t="s">
        <v>1</v>
      </c>
      <c r="W41" s="187" t="s">
        <v>1</v>
      </c>
      <c r="X41" s="187" t="s">
        <v>1</v>
      </c>
      <c r="Y41" s="187" t="s">
        <v>1</v>
      </c>
      <c r="AF41" s="241"/>
      <c r="AG41" s="242"/>
      <c r="AH41" s="241"/>
      <c r="AI41" s="196"/>
    </row>
    <row r="42" spans="1:35" ht="15" customHeight="1">
      <c r="A42" s="196" t="s">
        <v>22</v>
      </c>
      <c r="B42" s="197">
        <f>+GETPIVOTDATA(" New-Less Than 2-Year",'Pivot Table for 1-11'!$A$3,"State","AR","SREB Type2","Four-Year")+GETPIVOTDATA(" New-2 But Less Than 4-Year",'Pivot Table for 1-11'!$A$3,"State","AR","SREB Type2","Four-Year")</f>
        <v>1804</v>
      </c>
      <c r="C42" s="197">
        <f>+GETPIVOTDATA(" New-Associate's",'Pivot Table for 1-11'!$A$3,"State","AR","SREB Type2","Four-Year")</f>
        <v>3180</v>
      </c>
      <c r="D42" s="197">
        <f>+GETPIVOTDATA(" New-Bachelor's",'Pivot Table for 1-11'!$A$3,"State","AR","SREB Type2","Four-Year")</f>
        <v>13956</v>
      </c>
      <c r="E42" s="197">
        <f>+GETPIVOTDATA(" New-Post-Bachelor's",'Pivot Table for 1-11'!$A$3,"State","AR","SREB Type2","Four-Year")</f>
        <v>565</v>
      </c>
      <c r="F42" s="197">
        <f>+GETPIVOTDATA(" New-Total Master's#",'Pivot Table for 1-11'!$A$3,"State","AR","SREB Type2","Four-Year")</f>
        <v>5558</v>
      </c>
      <c r="G42" s="197">
        <f>+GETPIVOTDATA(" New-Total Doctorates#",'Pivot Table for 1-11'!$A$3,"State","AR","SREB Type2","Four-Year")</f>
        <v>293</v>
      </c>
      <c r="H42" s="230">
        <f>+GETPIVOTDATA(" New-Law",'Pivot Table for 1-11'!$A$3,"State","AR","SREB Type2","Four-Year")</f>
        <v>218</v>
      </c>
      <c r="I42" s="197">
        <f>+GETPIVOTDATA(" New-Medicine",'Pivot Table for 1-11'!$A$3,"State","AR","SREB Type2","Four-Year")</f>
        <v>0</v>
      </c>
      <c r="J42" s="197">
        <f>+GETPIVOTDATA(" New-Dentistry",'Pivot Table for 1-11'!$A$3,"State","AR","SREB Type2","Four-Year")</f>
        <v>0</v>
      </c>
      <c r="K42" s="197">
        <f>+GETPIVOTDATA(" New-Pharmacy",'Pivot Table for 1-11'!$A$3,"State","AR","SREB Type2","Four-Year")</f>
        <v>0</v>
      </c>
      <c r="L42" s="197">
        <f>+GETPIVOTDATA(" New-Optometry",'Pivot Table for 1-11'!$A$3,"State","AR","SREB Type2","Four-Year")</f>
        <v>0</v>
      </c>
      <c r="M42" s="197">
        <f>+GETPIVOTDATA(" New-Osteopathic Medicine",'Pivot Table for 1-11'!$A$3,"State","AR","SREB Type2","Four-Year")</f>
        <v>0</v>
      </c>
      <c r="N42" s="197">
        <f>+GETPIVOTDATA(" New-Veterinary Medicine",'Pivot Table for 1-11'!$A$3,"State","AR","SREB Type2","Four-Year")</f>
        <v>0</v>
      </c>
      <c r="O42" s="198">
        <f>+GETPIVOTDATA(" New-Oth PP",'Pivot Table for 1-11'!$A$3,"State","AR","SREB Type2","Four-Year")</f>
        <v>148</v>
      </c>
      <c r="P42" s="199">
        <f t="shared" si="1"/>
        <v>25722</v>
      </c>
      <c r="Q42" s="237">
        <f>('New Tables 1-12'!P42-'Old 1-12'!P42)/'Old 1-12'!P42</f>
        <v>-9.1679506933744215E-3</v>
      </c>
      <c r="R42" s="187" t="s">
        <v>1</v>
      </c>
      <c r="S42" s="187"/>
      <c r="T42" s="187" t="s">
        <v>1</v>
      </c>
      <c r="U42" s="187" t="s">
        <v>1</v>
      </c>
      <c r="V42" s="187" t="s">
        <v>1</v>
      </c>
      <c r="W42" s="187" t="s">
        <v>1</v>
      </c>
      <c r="X42" s="187" t="s">
        <v>1</v>
      </c>
      <c r="Y42" s="187" t="s">
        <v>1</v>
      </c>
      <c r="AF42" s="243"/>
      <c r="AG42" s="237"/>
      <c r="AH42" s="243"/>
      <c r="AI42" s="196"/>
    </row>
    <row r="43" spans="1:35" ht="15" customHeight="1">
      <c r="A43" s="196" t="s">
        <v>23</v>
      </c>
      <c r="B43" s="197">
        <f>+GETPIVOTDATA(" New-Less Than 2-Year",'Pivot Table for 1-11'!$A$3,"State","DE","SREB Type2","Four-Year")+GETPIVOTDATA(" New-2 But Less Than 4-Year",'Pivot Table for 1-11'!$A$3,"State","DE","SREB Type2","Four-Year")</f>
        <v>16</v>
      </c>
      <c r="C43" s="197">
        <f>+GETPIVOTDATA(" New-Associate's",'Pivot Table for 1-11'!$A$3,"State","DE","SREB Type2","Four-Year")</f>
        <v>261</v>
      </c>
      <c r="D43" s="197">
        <f>+GETPIVOTDATA(" New-Bachelor's",'Pivot Table for 1-11'!$A$3,"State","DE","SREB Type2","Four-Year")</f>
        <v>4880</v>
      </c>
      <c r="E43" s="197">
        <f>+GETPIVOTDATA(" New-Post-Bachelor's",'Pivot Table for 1-11'!$A$3,"State","DE","SREB Type2","Four-Year")</f>
        <v>0</v>
      </c>
      <c r="F43" s="197">
        <f>+GETPIVOTDATA(" New-Total Master's#",'Pivot Table for 1-11'!$A$3,"State","DE","SREB Type2","Four-Year")</f>
        <v>1106</v>
      </c>
      <c r="G43" s="197">
        <f>+GETPIVOTDATA(" New-Total Doctorates#",'Pivot Table for 1-11'!$A$3,"State","DE","SREB Type2","Four-Year")</f>
        <v>244</v>
      </c>
      <c r="H43" s="230">
        <f>+GETPIVOTDATA(" New-Law",'Pivot Table for 1-11'!$A$3,"State","DE","SREB Type2","Four-Year")</f>
        <v>0</v>
      </c>
      <c r="I43" s="197">
        <f>+GETPIVOTDATA(" New-Medicine",'Pivot Table for 1-11'!$A$3,"State","DE","SREB Type2","Four-Year")</f>
        <v>0</v>
      </c>
      <c r="J43" s="197">
        <f>+GETPIVOTDATA(" New-Dentistry",'Pivot Table for 1-11'!$A$3,"State","DE","SREB Type2","Four-Year")</f>
        <v>0</v>
      </c>
      <c r="K43" s="197">
        <f>+GETPIVOTDATA(" New-Pharmacy",'Pivot Table for 1-11'!$A$3,"State","DE","SREB Type2","Four-Year")</f>
        <v>0</v>
      </c>
      <c r="L43" s="197">
        <f>+GETPIVOTDATA(" New-Optometry",'Pivot Table for 1-11'!$A$3,"State","DE","SREB Type2","Four-Year")</f>
        <v>0</v>
      </c>
      <c r="M43" s="197">
        <f>+GETPIVOTDATA(" New-Osteopathic Medicine",'Pivot Table for 1-11'!$A$3,"State","DE","SREB Type2","Four-Year")</f>
        <v>0</v>
      </c>
      <c r="N43" s="197">
        <f>+GETPIVOTDATA(" New-Veterinary Medicine",'Pivot Table for 1-11'!$A$3,"State","DE","SREB Type2","Four-Year")</f>
        <v>0</v>
      </c>
      <c r="O43" s="198">
        <f>+GETPIVOTDATA(" New-Oth PP",'Pivot Table for 1-11'!$A$3,"State","DE","SREB Type2","Four-Year")</f>
        <v>65</v>
      </c>
      <c r="P43" s="199">
        <f t="shared" si="1"/>
        <v>6572</v>
      </c>
      <c r="Q43" s="237">
        <f>('New Tables 1-12'!P43-'Old 1-12'!P43)/'Old 1-12'!P43</f>
        <v>-1.8811585547924753E-2</v>
      </c>
      <c r="R43" s="244"/>
      <c r="S43" s="187"/>
      <c r="T43" s="187" t="s">
        <v>1</v>
      </c>
      <c r="U43" s="187" t="s">
        <v>1</v>
      </c>
      <c r="V43" s="187" t="s">
        <v>1</v>
      </c>
      <c r="W43" s="187" t="s">
        <v>1</v>
      </c>
      <c r="X43" s="187" t="s">
        <v>1</v>
      </c>
      <c r="Y43" s="187" t="s">
        <v>1</v>
      </c>
      <c r="AF43" s="241"/>
      <c r="AG43" s="242"/>
      <c r="AH43" s="241"/>
      <c r="AI43" s="196"/>
    </row>
    <row r="44" spans="1:35" ht="15" customHeight="1">
      <c r="A44" s="196" t="s">
        <v>24</v>
      </c>
      <c r="B44" s="197">
        <f>+GETPIVOTDATA(" New-Less Than 2-Year",'Pivot Table for 1-11'!$A$3,"State","FL","SREB Type2","Four-Year")+GETPIVOTDATA(" New-2 But Less Than 4-Year",'Pivot Table for 1-11'!$A$3,"State","FL","SREB Type2","Four-Year")</f>
        <v>0</v>
      </c>
      <c r="C44" s="197">
        <f>+GETPIVOTDATA(" New-Associate's",'Pivot Table for 1-11'!$A$3,"State","FL","SREB Type2","Four-Year")</f>
        <v>0</v>
      </c>
      <c r="D44" s="197">
        <f>+GETPIVOTDATA(" New-Bachelor's",'Pivot Table for 1-11'!$A$3,"State","FL","SREB Type2","Four-Year")</f>
        <v>0</v>
      </c>
      <c r="E44" s="197">
        <f>+GETPIVOTDATA(" New-Post-Bachelor's",'Pivot Table for 1-11'!$A$3,"State","FL","SREB Type2","Four-Year")</f>
        <v>0</v>
      </c>
      <c r="F44" s="197">
        <f>+GETPIVOTDATA(" New-Total Master's#",'Pivot Table for 1-11'!$A$3,"State","FL","SREB Type2","Four-Year")</f>
        <v>0</v>
      </c>
      <c r="G44" s="197">
        <f>+GETPIVOTDATA(" New-Total Doctorates#",'Pivot Table for 1-11'!$A$3,"State","FL","SREB Type2","Four-Year")</f>
        <v>0</v>
      </c>
      <c r="H44" s="230">
        <f>+GETPIVOTDATA(" New-Law",'Pivot Table for 1-11'!$A$3,"State","FL","SREB Type2","Four-Year")</f>
        <v>0</v>
      </c>
      <c r="I44" s="197">
        <f>+GETPIVOTDATA(" New-Medicine",'Pivot Table for 1-11'!$A$3,"State","FL","SREB Type2","Four-Year")</f>
        <v>0</v>
      </c>
      <c r="J44" s="197">
        <f>+GETPIVOTDATA(" New-Dentistry",'Pivot Table for 1-11'!$A$3,"State","FL","SREB Type2","Four-Year")</f>
        <v>0</v>
      </c>
      <c r="K44" s="197">
        <f>+GETPIVOTDATA(" New-Pharmacy",'Pivot Table for 1-11'!$A$3,"State","FL","SREB Type2","Four-Year")</f>
        <v>0</v>
      </c>
      <c r="L44" s="197">
        <f>+GETPIVOTDATA(" New-Optometry",'Pivot Table for 1-11'!$A$3,"State","FL","SREB Type2","Four-Year")</f>
        <v>0</v>
      </c>
      <c r="M44" s="197">
        <f>+GETPIVOTDATA(" New-Osteopathic Medicine",'Pivot Table for 1-11'!$A$3,"State","FL","SREB Type2","Four-Year")</f>
        <v>0</v>
      </c>
      <c r="N44" s="197">
        <f>+GETPIVOTDATA(" New-Veterinary Medicine",'Pivot Table for 1-11'!$A$3,"State","FL","SREB Type2","Four-Year")</f>
        <v>0</v>
      </c>
      <c r="O44" s="198">
        <f>+GETPIVOTDATA(" New-Oth PP",'Pivot Table for 1-11'!$A$3,"State","FL","SREB Type2","Four-Year")</f>
        <v>0</v>
      </c>
      <c r="P44" s="199">
        <f t="shared" si="1"/>
        <v>0</v>
      </c>
      <c r="Q44" s="237" t="e">
        <f>('New Tables 1-12'!P44-'Old 1-12'!P44)/'Old 1-12'!P44</f>
        <v>#DIV/0!</v>
      </c>
      <c r="R44" s="187" t="s">
        <v>1</v>
      </c>
      <c r="S44" s="187"/>
      <c r="T44" s="187" t="s">
        <v>1</v>
      </c>
      <c r="U44" s="187" t="s">
        <v>1</v>
      </c>
      <c r="V44" s="187" t="s">
        <v>1</v>
      </c>
      <c r="W44" s="187" t="s">
        <v>1</v>
      </c>
      <c r="X44" s="187" t="s">
        <v>1</v>
      </c>
      <c r="Y44" s="187" t="s">
        <v>1</v>
      </c>
      <c r="AF44" s="241"/>
      <c r="AG44" s="242"/>
      <c r="AH44" s="241"/>
      <c r="AI44" s="196"/>
    </row>
    <row r="45" spans="1:35" ht="15" customHeight="1">
      <c r="A45" s="196"/>
      <c r="B45" s="197"/>
      <c r="C45" s="197"/>
      <c r="D45" s="197"/>
      <c r="E45" s="197"/>
      <c r="F45" s="197"/>
      <c r="G45" s="197"/>
      <c r="H45" s="230"/>
      <c r="I45" s="197"/>
      <c r="J45" s="197"/>
      <c r="K45" s="197"/>
      <c r="L45" s="197"/>
      <c r="M45" s="197"/>
      <c r="N45" s="197"/>
      <c r="O45" s="198"/>
      <c r="P45" s="199"/>
      <c r="Q45" s="237"/>
      <c r="R45" s="187"/>
      <c r="S45" s="187"/>
      <c r="T45" s="187"/>
      <c r="U45" s="187"/>
      <c r="V45" s="187"/>
      <c r="W45" s="187"/>
      <c r="X45" s="187"/>
      <c r="Y45" s="187"/>
      <c r="AF45" s="241"/>
      <c r="AG45" s="242"/>
      <c r="AH45" s="241"/>
      <c r="AI45" s="196"/>
    </row>
    <row r="46" spans="1:35" ht="15" customHeight="1">
      <c r="A46" s="196" t="s">
        <v>25</v>
      </c>
      <c r="B46" s="197">
        <f>+GETPIVOTDATA(" New-Less Than 2-Year",'Pivot Table for 1-11'!$A$3,"State","GA","SREB Type2","Four-Year")+GETPIVOTDATA(" New-2 But Less Than 4-Year",'Pivot Table for 1-11'!$A$3,"State","GA","SREB Type2","Four-Year")</f>
        <v>1589</v>
      </c>
      <c r="C46" s="197">
        <f>+GETPIVOTDATA(" New-Associate's",'Pivot Table for 1-11'!$A$3,"State","GA","SREB Type2","Four-Year")</f>
        <v>5535</v>
      </c>
      <c r="D46" s="197">
        <f>+GETPIVOTDATA(" New-Bachelor's",'Pivot Table for 1-11'!$A$3,"State","GA","SREB Type2","Four-Year")</f>
        <v>43255</v>
      </c>
      <c r="E46" s="197">
        <f>+GETPIVOTDATA(" New-Post-Bachelor's",'Pivot Table for 1-11'!$A$3,"State","GA","SREB Type2","Four-Year")</f>
        <v>796</v>
      </c>
      <c r="F46" s="197">
        <f>+GETPIVOTDATA(" New-Total Master's#",'Pivot Table for 1-11'!$A$3,"State","GA","SREB Type2","Four-Year")</f>
        <v>15156</v>
      </c>
      <c r="G46" s="197">
        <f>+GETPIVOTDATA(" New-Total Doctorates#",'Pivot Table for 1-11'!$A$3,"State","GA","SREB Type2","Four-Year")</f>
        <v>1759</v>
      </c>
      <c r="H46" s="230">
        <f>+GETPIVOTDATA(" New-Law",'Pivot Table for 1-11'!$A$3,"State","GA","SREB Type2","Four-Year")</f>
        <v>374</v>
      </c>
      <c r="I46" s="197">
        <f>+GETPIVOTDATA(" New-Medicine",'Pivot Table for 1-11'!$A$3,"State","GA","SREB Type2","Four-Year")</f>
        <v>221</v>
      </c>
      <c r="J46" s="197">
        <f>+GETPIVOTDATA(" New-Dentistry",'Pivot Table for 1-11'!$A$3,"State","GA","SREB Type2","Four-Year")</f>
        <v>87</v>
      </c>
      <c r="K46" s="197">
        <f>+GETPIVOTDATA(" New-Pharmacy",'Pivot Table for 1-11'!$A$3,"State","GA","SREB Type2","Four-Year")</f>
        <v>134</v>
      </c>
      <c r="L46" s="197">
        <f>+GETPIVOTDATA(" New-Optometry",'Pivot Table for 1-11'!$A$3,"State","GA","SREB Type2","Four-Year")</f>
        <v>0</v>
      </c>
      <c r="M46" s="197">
        <f>+GETPIVOTDATA(" New-Osteopathic Medicine",'Pivot Table for 1-11'!$A$3,"State","GA","SREB Type2","Four-Year")</f>
        <v>0</v>
      </c>
      <c r="N46" s="197">
        <f>+GETPIVOTDATA(" New-Veterinary Medicine",'Pivot Table for 1-11'!$A$3,"State","GA","SREB Type2","Four-Year")</f>
        <v>114</v>
      </c>
      <c r="O46" s="198">
        <f>+GETPIVOTDATA(" New-Oth PP",'Pivot Table for 1-11'!$A$3,"State","GA","SREB Type2","Four-Year")</f>
        <v>0</v>
      </c>
      <c r="P46" s="199">
        <f t="shared" si="1"/>
        <v>69020</v>
      </c>
      <c r="Q46" s="237">
        <f>('New Tables 1-12'!P46-'Old 1-12'!P46)/'Old 1-12'!P46</f>
        <v>4.4807750529821375E-2</v>
      </c>
      <c r="R46" s="187" t="s">
        <v>1</v>
      </c>
      <c r="S46" s="187"/>
      <c r="T46" s="187" t="s">
        <v>1</v>
      </c>
      <c r="U46" s="187" t="s">
        <v>1</v>
      </c>
      <c r="V46" s="187" t="s">
        <v>1</v>
      </c>
      <c r="W46" s="187" t="s">
        <v>1</v>
      </c>
      <c r="X46" s="187" t="s">
        <v>1</v>
      </c>
      <c r="Y46" s="187" t="s">
        <v>1</v>
      </c>
      <c r="AF46" s="241"/>
      <c r="AG46" s="242"/>
      <c r="AH46" s="241"/>
      <c r="AI46" s="196"/>
    </row>
    <row r="47" spans="1:35" ht="15" customHeight="1">
      <c r="A47" s="196" t="s">
        <v>26</v>
      </c>
      <c r="B47" s="197">
        <f>+GETPIVOTDATA(" New-Less Than 2-Year",'Pivot Table for 1-11'!$A$3,"State","KY","SREB Type2","Four-Year")+GETPIVOTDATA(" New-2 But Less Than 4-Year",'Pivot Table for 1-11'!$A$3,"State","KY","SREB Type2","Four-Year")</f>
        <v>784</v>
      </c>
      <c r="C47" s="197">
        <f>+GETPIVOTDATA(" New-Associate's",'Pivot Table for 1-11'!$A$3,"State","KY","SREB Type2","Four-Year")</f>
        <v>609</v>
      </c>
      <c r="D47" s="197">
        <f>+GETPIVOTDATA(" New-Bachelor's",'Pivot Table for 1-11'!$A$3,"State","KY","SREB Type2","Four-Year")</f>
        <v>19147</v>
      </c>
      <c r="E47" s="197">
        <f>+GETPIVOTDATA(" New-Post-Bachelor's",'Pivot Table for 1-11'!$A$3,"State","KY","SREB Type2","Four-Year")</f>
        <v>687</v>
      </c>
      <c r="F47" s="197">
        <f>+GETPIVOTDATA(" New-Total Master's#",'Pivot Table for 1-11'!$A$3,"State","KY","SREB Type2","Four-Year")</f>
        <v>5589</v>
      </c>
      <c r="G47" s="197">
        <f>+GETPIVOTDATA(" New-Total Doctorates#",'Pivot Table for 1-11'!$A$3,"State","KY","SREB Type2","Four-Year")</f>
        <v>477</v>
      </c>
      <c r="H47" s="230">
        <f>+GETPIVOTDATA(" New-Law",'Pivot Table for 1-11'!$A$3,"State","KY","SREB Type2","Four-Year")</f>
        <v>350</v>
      </c>
      <c r="I47" s="197">
        <f>+GETPIVOTDATA(" New-Medicine",'Pivot Table for 1-11'!$A$3,"State","KY","SREB Type2","Four-Year")</f>
        <v>293</v>
      </c>
      <c r="J47" s="197">
        <f>+GETPIVOTDATA(" New-Dentistry",'Pivot Table for 1-11'!$A$3,"State","KY","SREB Type2","Four-Year")</f>
        <v>182</v>
      </c>
      <c r="K47" s="197">
        <f>+GETPIVOTDATA(" New-Pharmacy",'Pivot Table for 1-11'!$A$3,"State","KY","SREB Type2","Four-Year")</f>
        <v>136</v>
      </c>
      <c r="L47" s="197">
        <f>+GETPIVOTDATA(" New-Optometry",'Pivot Table for 1-11'!$A$3,"State","KY","SREB Type2","Four-Year")</f>
        <v>0</v>
      </c>
      <c r="M47" s="197">
        <f>+GETPIVOTDATA(" New-Osteopathic Medicine",'Pivot Table for 1-11'!$A$3,"State","KY","SREB Type2","Four-Year")</f>
        <v>0</v>
      </c>
      <c r="N47" s="197">
        <f>+GETPIVOTDATA(" New-Veterinary Medicine",'Pivot Table for 1-11'!$A$3,"State","KY","SREB Type2","Four-Year")</f>
        <v>0</v>
      </c>
      <c r="O47" s="198">
        <f>+GETPIVOTDATA(" New-Oth PP",'Pivot Table for 1-11'!$A$3,"State","KY","SREB Type2","Four-Year")</f>
        <v>362</v>
      </c>
      <c r="P47" s="199">
        <f t="shared" si="1"/>
        <v>28616</v>
      </c>
      <c r="Q47" s="237">
        <f>('New Tables 1-12'!P47-'Old 1-12'!P47)/'Old 1-12'!P47</f>
        <v>1.0416298859503549E-2</v>
      </c>
      <c r="R47" s="187" t="s">
        <v>1</v>
      </c>
      <c r="S47" s="187"/>
      <c r="T47" s="187" t="s">
        <v>1</v>
      </c>
      <c r="U47" s="187" t="s">
        <v>1</v>
      </c>
      <c r="V47" s="187" t="s">
        <v>1</v>
      </c>
      <c r="W47" s="187" t="s">
        <v>1</v>
      </c>
      <c r="X47" s="187" t="s">
        <v>1</v>
      </c>
      <c r="Y47" s="187" t="s">
        <v>1</v>
      </c>
      <c r="AF47" s="241"/>
      <c r="AG47" s="242"/>
      <c r="AH47" s="241"/>
      <c r="AI47" s="196"/>
    </row>
    <row r="48" spans="1:35" ht="15" customHeight="1">
      <c r="A48" s="196" t="s">
        <v>27</v>
      </c>
      <c r="B48" s="197">
        <f>+GETPIVOTDATA(" New-Less Than 2-Year",'Pivot Table for 1-11'!$A$3,"State","LA","SREB Type2","Four-Year")+GETPIVOTDATA(" New-2 But Less Than 4-Year",'Pivot Table for 1-11'!$A$3,"State","LA","SREB Type2","Four-Year")</f>
        <v>5</v>
      </c>
      <c r="C48" s="197">
        <f>+GETPIVOTDATA(" New-Associate's",'Pivot Table for 1-11'!$A$3,"State","LA","SREB Type2","Four-Year")</f>
        <v>937</v>
      </c>
      <c r="D48" s="197">
        <f>+GETPIVOTDATA(" New-Bachelor's",'Pivot Table for 1-11'!$A$3,"State","LA","SREB Type2","Four-Year")</f>
        <v>19211</v>
      </c>
      <c r="E48" s="197">
        <f>+GETPIVOTDATA(" New-Post-Bachelor's",'Pivot Table for 1-11'!$A$3,"State","LA","SREB Type2","Four-Year")</f>
        <v>206</v>
      </c>
      <c r="F48" s="197">
        <f>+GETPIVOTDATA(" New-Total Master's#",'Pivot Table for 1-11'!$A$3,"State","LA","SREB Type2","Four-Year")</f>
        <v>7242</v>
      </c>
      <c r="G48" s="197">
        <f>+GETPIVOTDATA(" New-Total Doctorates#",'Pivot Table for 1-11'!$A$3,"State","LA","SREB Type2","Four-Year")</f>
        <v>561</v>
      </c>
      <c r="H48" s="230">
        <f>+GETPIVOTDATA(" New-Law",'Pivot Table for 1-11'!$A$3,"State","LA","SREB Type2","Four-Year")</f>
        <v>166</v>
      </c>
      <c r="I48" s="197">
        <f>+GETPIVOTDATA(" New-Medicine",'Pivot Table for 1-11'!$A$3,"State","LA","SREB Type2","Four-Year")</f>
        <v>0</v>
      </c>
      <c r="J48" s="197">
        <f>+GETPIVOTDATA(" New-Dentistry",'Pivot Table for 1-11'!$A$3,"State","LA","SREB Type2","Four-Year")</f>
        <v>0</v>
      </c>
      <c r="K48" s="197">
        <f>+GETPIVOTDATA(" New-Pharmacy",'Pivot Table for 1-11'!$A$3,"State","LA","SREB Type2","Four-Year")</f>
        <v>87</v>
      </c>
      <c r="L48" s="197">
        <f>+GETPIVOTDATA(" New-Optometry",'Pivot Table for 1-11'!$A$3,"State","LA","SREB Type2","Four-Year")</f>
        <v>0</v>
      </c>
      <c r="M48" s="197">
        <f>+GETPIVOTDATA(" New-Osteopathic Medicine",'Pivot Table for 1-11'!$A$3,"State","LA","SREB Type2","Four-Year")</f>
        <v>0</v>
      </c>
      <c r="N48" s="197">
        <f>+GETPIVOTDATA(" New-Veterinary Medicine",'Pivot Table for 1-11'!$A$3,"State","LA","SREB Type2","Four-Year")</f>
        <v>88</v>
      </c>
      <c r="O48" s="198">
        <f>+GETPIVOTDATA(" New-Oth PP",'Pivot Table for 1-11'!$A$3,"State","LA","SREB Type2","Four-Year")</f>
        <v>34</v>
      </c>
      <c r="P48" s="199">
        <f t="shared" si="1"/>
        <v>28537</v>
      </c>
      <c r="Q48" s="237">
        <f>('New Tables 1-12'!P48-'Old 1-12'!P48)/'Old 1-12'!P48</f>
        <v>2.2062247054188605E-2</v>
      </c>
      <c r="R48" s="187" t="s">
        <v>1</v>
      </c>
      <c r="S48" s="187"/>
      <c r="T48" s="187" t="s">
        <v>1</v>
      </c>
      <c r="U48" s="187" t="s">
        <v>1</v>
      </c>
      <c r="V48" s="187" t="s">
        <v>1</v>
      </c>
      <c r="W48" s="187" t="s">
        <v>1</v>
      </c>
      <c r="X48" s="187" t="s">
        <v>1</v>
      </c>
      <c r="Y48" s="187" t="s">
        <v>1</v>
      </c>
      <c r="AF48" s="241"/>
      <c r="AG48" s="242"/>
      <c r="AH48" s="241"/>
      <c r="AI48" s="196"/>
    </row>
    <row r="49" spans="1:35" ht="15" customHeight="1">
      <c r="A49" s="196" t="s">
        <v>28</v>
      </c>
      <c r="B49" s="197">
        <f>+GETPIVOTDATA(" New-Less Than 2-Year",'Pivot Table for 1-11'!$A$3,"State","MD","SREB Type2","Four-Year")+GETPIVOTDATA(" New-2 But Less Than 4-Year",'Pivot Table for 1-11'!$A$3,"State","MD","SREB Type2","Four-Year")</f>
        <v>0</v>
      </c>
      <c r="C49" s="197">
        <f>+GETPIVOTDATA(" New-Associate's",'Pivot Table for 1-11'!$A$3,"State","MD","SREB Type2","Four-Year")</f>
        <v>0</v>
      </c>
      <c r="D49" s="197">
        <f>+GETPIVOTDATA(" New-Bachelor's",'Pivot Table for 1-11'!$A$3,"State","MD","SREB Type2","Four-Year")</f>
        <v>0</v>
      </c>
      <c r="E49" s="197">
        <f>+GETPIVOTDATA(" New-Post-Bachelor's",'Pivot Table for 1-11'!$A$3,"State","MD","SREB Type2","Four-Year")</f>
        <v>0</v>
      </c>
      <c r="F49" s="197">
        <f>+GETPIVOTDATA(" New-Total Master's#",'Pivot Table for 1-11'!$A$3,"State","MD","SREB Type2","Four-Year")</f>
        <v>0</v>
      </c>
      <c r="G49" s="197">
        <f>+GETPIVOTDATA(" New-Total Doctorates#",'Pivot Table for 1-11'!$A$3,"State","MD","SREB Type2","Four-Year")</f>
        <v>0</v>
      </c>
      <c r="H49" s="230">
        <f>+GETPIVOTDATA(" New-Law",'Pivot Table for 1-11'!$A$3,"State","MD","SREB Type2","Four-Year")</f>
        <v>0</v>
      </c>
      <c r="I49" s="197">
        <f>+GETPIVOTDATA(" New-Medicine",'Pivot Table for 1-11'!$A$3,"State","MD","SREB Type2","Four-Year")</f>
        <v>0</v>
      </c>
      <c r="J49" s="197">
        <f>+GETPIVOTDATA(" New-Dentistry",'Pivot Table for 1-11'!$A$3,"State","MD","SREB Type2","Four-Year")</f>
        <v>0</v>
      </c>
      <c r="K49" s="197">
        <f>+GETPIVOTDATA(" New-Pharmacy",'Pivot Table for 1-11'!$A$3,"State","MD","SREB Type2","Four-Year")</f>
        <v>0</v>
      </c>
      <c r="L49" s="197">
        <f>+GETPIVOTDATA(" New-Optometry",'Pivot Table for 1-11'!$A$3,"State","MD","SREB Type2","Four-Year")</f>
        <v>0</v>
      </c>
      <c r="M49" s="197">
        <f>+GETPIVOTDATA(" New-Osteopathic Medicine",'Pivot Table for 1-11'!$A$3,"State","MD","SREB Type2","Four-Year")</f>
        <v>0</v>
      </c>
      <c r="N49" s="197">
        <f>+GETPIVOTDATA(" New-Veterinary Medicine",'Pivot Table for 1-11'!$A$3,"State","MD","SREB Type2","Four-Year")</f>
        <v>0</v>
      </c>
      <c r="O49" s="198">
        <f>+GETPIVOTDATA(" New-Oth PP",'Pivot Table for 1-11'!$A$3,"State","MD","SREB Type2","Four-Year")</f>
        <v>0</v>
      </c>
      <c r="P49" s="199">
        <f t="shared" si="1"/>
        <v>0</v>
      </c>
      <c r="Q49" s="237" t="e">
        <f>('New Tables 1-12'!P49-'Old 1-12'!P49)/'Old 1-12'!P49</f>
        <v>#DIV/0!</v>
      </c>
      <c r="R49" s="187" t="s">
        <v>1</v>
      </c>
      <c r="S49" s="187"/>
      <c r="T49" s="187" t="s">
        <v>1</v>
      </c>
      <c r="U49" s="187" t="s">
        <v>1</v>
      </c>
      <c r="V49" s="187" t="s">
        <v>1</v>
      </c>
      <c r="W49" s="187" t="s">
        <v>1</v>
      </c>
      <c r="X49" s="187" t="s">
        <v>1</v>
      </c>
      <c r="Y49" s="187" t="s">
        <v>1</v>
      </c>
      <c r="AF49" s="241"/>
      <c r="AG49" s="242"/>
      <c r="AH49" s="241"/>
      <c r="AI49" s="196"/>
    </row>
    <row r="50" spans="1:35" ht="15" customHeight="1">
      <c r="A50" s="196"/>
      <c r="B50" s="197"/>
      <c r="C50" s="197"/>
      <c r="D50" s="197"/>
      <c r="E50" s="197"/>
      <c r="F50" s="197"/>
      <c r="G50" s="197"/>
      <c r="H50" s="230"/>
      <c r="I50" s="197"/>
      <c r="J50" s="197"/>
      <c r="K50" s="197"/>
      <c r="L50" s="197"/>
      <c r="M50" s="197"/>
      <c r="N50" s="197"/>
      <c r="O50" s="198"/>
      <c r="P50" s="199"/>
      <c r="Q50" s="237"/>
      <c r="R50" s="187"/>
      <c r="S50" s="187"/>
      <c r="T50" s="187"/>
      <c r="U50" s="187"/>
      <c r="V50" s="187"/>
      <c r="W50" s="187"/>
      <c r="X50" s="187"/>
      <c r="Y50" s="187"/>
      <c r="AF50" s="241"/>
      <c r="AG50" s="242"/>
      <c r="AH50" s="241"/>
      <c r="AI50" s="196"/>
    </row>
    <row r="51" spans="1:35" ht="15" customHeight="1">
      <c r="A51" s="196" t="s">
        <v>29</v>
      </c>
      <c r="B51" s="197">
        <f>+GETPIVOTDATA(" New-Less Than 2-Year",'Pivot Table for 1-11'!$A$3,"State","MS","SREB Type2","Four-Year")+GETPIVOTDATA(" New-2 But Less Than 4-Year",'Pivot Table for 1-11'!$A$3,"State","MS","SREB Type2","Four-Year")</f>
        <v>0</v>
      </c>
      <c r="C51" s="197">
        <f>+GETPIVOTDATA(" New-Associate's",'Pivot Table for 1-11'!$A$3,"State","MS","SREB Type2","Four-Year")</f>
        <v>65</v>
      </c>
      <c r="D51" s="197">
        <f>+GETPIVOTDATA(" New-Bachelor's",'Pivot Table for 1-11'!$A$3,"State","MS","SREB Type2","Four-Year")</f>
        <v>14394</v>
      </c>
      <c r="E51" s="197">
        <f>+GETPIVOTDATA(" New-Post-Bachelor's",'Pivot Table for 1-11'!$A$3,"State","MS","SREB Type2","Four-Year")</f>
        <v>0</v>
      </c>
      <c r="F51" s="197">
        <f>+GETPIVOTDATA(" New-Total Master's#",'Pivot Table for 1-11'!$A$3,"State","MS","SREB Type2","Four-Year")</f>
        <v>3473</v>
      </c>
      <c r="G51" s="197">
        <f>+GETPIVOTDATA(" New-Total Doctorates#",'Pivot Table for 1-11'!$A$3,"State","MS","SREB Type2","Four-Year")</f>
        <v>568</v>
      </c>
      <c r="H51" s="230">
        <f>+GETPIVOTDATA(" New-Law",'Pivot Table for 1-11'!$A$3,"State","MS","SREB Type2","Four-Year")</f>
        <v>112</v>
      </c>
      <c r="I51" s="197">
        <f>+GETPIVOTDATA(" New-Medicine",'Pivot Table for 1-11'!$A$3,"State","MS","SREB Type2","Four-Year")</f>
        <v>146</v>
      </c>
      <c r="J51" s="197">
        <f>+GETPIVOTDATA(" New-Dentistry",'Pivot Table for 1-11'!$A$3,"State","MS","SREB Type2","Four-Year")</f>
        <v>44</v>
      </c>
      <c r="K51" s="197">
        <f>+GETPIVOTDATA(" New-Pharmacy",'Pivot Table for 1-11'!$A$3,"State","MS","SREB Type2","Four-Year")</f>
        <v>100</v>
      </c>
      <c r="L51" s="197">
        <f>+GETPIVOTDATA(" New-Optometry",'Pivot Table for 1-11'!$A$3,"State","MS","SREB Type2","Four-Year")</f>
        <v>0</v>
      </c>
      <c r="M51" s="197">
        <f>+GETPIVOTDATA(" New-Osteopathic Medicine",'Pivot Table for 1-11'!$A$3,"State","MS","SREB Type2","Four-Year")</f>
        <v>0</v>
      </c>
      <c r="N51" s="197">
        <f>+GETPIVOTDATA(" New-Veterinary Medicine",'Pivot Table for 1-11'!$A$3,"State","MS","SREB Type2","Four-Year")</f>
        <v>87</v>
      </c>
      <c r="O51" s="198">
        <f>+GETPIVOTDATA(" New-Oth PP",'Pivot Table for 1-11'!$A$3,"State","MS","SREB Type2","Four-Year")</f>
        <v>56</v>
      </c>
      <c r="P51" s="199">
        <f t="shared" si="1"/>
        <v>19045</v>
      </c>
      <c r="Q51" s="237">
        <f>('New Tables 1-12'!P51-'Old 1-12'!P51)/'Old 1-12'!P51</f>
        <v>9.9863344896457479E-4</v>
      </c>
      <c r="R51" s="187" t="s">
        <v>1</v>
      </c>
      <c r="S51" s="187"/>
      <c r="T51" s="187" t="s">
        <v>1</v>
      </c>
      <c r="U51" s="187" t="s">
        <v>1</v>
      </c>
      <c r="V51" s="187" t="s">
        <v>1</v>
      </c>
      <c r="W51" s="187" t="s">
        <v>1</v>
      </c>
      <c r="X51" s="187" t="s">
        <v>1</v>
      </c>
      <c r="Y51" s="187" t="s">
        <v>1</v>
      </c>
      <c r="AF51" s="241"/>
      <c r="AG51" s="242"/>
      <c r="AH51" s="241"/>
      <c r="AI51" s="196"/>
    </row>
    <row r="52" spans="1:35" ht="15" customHeight="1">
      <c r="A52" s="196" t="s">
        <v>30</v>
      </c>
      <c r="B52" s="197">
        <f>+GETPIVOTDATA(" New-Less Than 2-Year",'Pivot Table for 1-11'!$A$3,"State","NC","SREB Type2","Four-Year")+GETPIVOTDATA(" New-2 But Less Than 4-Year",'Pivot Table for 1-11'!$A$3,"State","NC","SREB Type2","Four-Year")</f>
        <v>110</v>
      </c>
      <c r="C52" s="197">
        <f>+GETPIVOTDATA(" New-Associate's",'Pivot Table for 1-11'!$A$3,"State","NC","SREB Type2","Four-Year")</f>
        <v>165</v>
      </c>
      <c r="D52" s="197">
        <f>+GETPIVOTDATA(" New-Bachelor's",'Pivot Table for 1-11'!$A$3,"State","NC","SREB Type2","Four-Year")</f>
        <v>999</v>
      </c>
      <c r="E52" s="197">
        <f>+GETPIVOTDATA(" New-Post-Bachelor's",'Pivot Table for 1-11'!$A$3,"State","NC","SREB Type2","Four-Year")</f>
        <v>1510</v>
      </c>
      <c r="F52" s="197">
        <f>+GETPIVOTDATA(" New-Total Master's#",'Pivot Table for 1-11'!$A$3,"State","NC","SREB Type2","Four-Year")</f>
        <v>13011</v>
      </c>
      <c r="G52" s="197">
        <f>+GETPIVOTDATA(" New-Total Doctorates#",'Pivot Table for 1-11'!$A$3,"State","NC","SREB Type2","Four-Year")</f>
        <v>1610</v>
      </c>
      <c r="H52" s="230">
        <f>+GETPIVOTDATA(" New-Law",'Pivot Table for 1-11'!$A$3,"State","NC","SREB Type2","Four-Year")</f>
        <v>318</v>
      </c>
      <c r="I52" s="197">
        <f>+GETPIVOTDATA(" New-Medicine",'Pivot Table for 1-11'!$A$3,"State","NC","SREB Type2","Four-Year")</f>
        <v>244</v>
      </c>
      <c r="J52" s="197">
        <f>+GETPIVOTDATA(" New-Dentistry",'Pivot Table for 1-11'!$A$3,"State","NC","SREB Type2","Four-Year")</f>
        <v>135</v>
      </c>
      <c r="K52" s="197">
        <f>+GETPIVOTDATA(" New-Pharmacy",'Pivot Table for 1-11'!$A$3,"State","NC","SREB Type2","Four-Year")</f>
        <v>148</v>
      </c>
      <c r="L52" s="197">
        <f>+GETPIVOTDATA(" New-Optometry",'Pivot Table for 1-11'!$A$3,"State","NC","SREB Type2","Four-Year")</f>
        <v>0</v>
      </c>
      <c r="M52" s="197">
        <f>+GETPIVOTDATA(" New-Osteopathic Medicine",'Pivot Table for 1-11'!$A$3,"State","NC","SREB Type2","Four-Year")</f>
        <v>0</v>
      </c>
      <c r="N52" s="197">
        <f>+GETPIVOTDATA(" New-Veterinary Medicine",'Pivot Table for 1-11'!$A$3,"State","NC","SREB Type2","Four-Year")</f>
        <v>100</v>
      </c>
      <c r="O52" s="198">
        <f>+GETPIVOTDATA(" New-Oth PP",'Pivot Table for 1-11'!$A$3,"State","NC","SREB Type2","Four-Year")</f>
        <v>368</v>
      </c>
      <c r="P52" s="199">
        <f t="shared" si="1"/>
        <v>18718</v>
      </c>
      <c r="Q52" s="237">
        <f>('New Tables 1-12'!P52-'Old 1-12'!P52)/'Old 1-12'!P52</f>
        <v>-0.67555293628232682</v>
      </c>
      <c r="R52" s="187" t="s">
        <v>1</v>
      </c>
      <c r="S52" s="187"/>
      <c r="T52" s="187" t="s">
        <v>1</v>
      </c>
      <c r="U52" s="187" t="s">
        <v>1</v>
      </c>
      <c r="V52" s="187" t="s">
        <v>1</v>
      </c>
      <c r="W52" s="187" t="s">
        <v>1</v>
      </c>
      <c r="X52" s="187" t="s">
        <v>1</v>
      </c>
      <c r="Y52" s="187" t="s">
        <v>1</v>
      </c>
      <c r="AF52" s="241"/>
      <c r="AG52" s="242"/>
      <c r="AH52" s="241"/>
      <c r="AI52" s="196"/>
    </row>
    <row r="53" spans="1:35" ht="15" customHeight="1">
      <c r="A53" s="196" t="s">
        <v>31</v>
      </c>
      <c r="B53" s="197">
        <f>+GETPIVOTDATA(" New-Less Than 2-Year",'Pivot Table for 1-11'!$A$3,"State","OK","SREB Type2","Four-Year")+GETPIVOTDATA(" New-2 But Less Than 4-Year",'Pivot Table for 1-11'!$A$3,"State","OK","SREB Type2","Four-Year")</f>
        <v>0</v>
      </c>
      <c r="C53" s="197">
        <f>+GETPIVOTDATA(" New-Associate's",'Pivot Table for 1-11'!$A$3,"State","OK","SREB Type2","Four-Year")</f>
        <v>0</v>
      </c>
      <c r="D53" s="197">
        <f>+GETPIVOTDATA(" New-Bachelor's",'Pivot Table for 1-11'!$A$3,"State","OK","SREB Type2","Four-Year")</f>
        <v>0</v>
      </c>
      <c r="E53" s="197">
        <f>+GETPIVOTDATA(" New-Post-Bachelor's",'Pivot Table for 1-11'!$A$3,"State","OK","SREB Type2","Four-Year")</f>
        <v>0</v>
      </c>
      <c r="F53" s="197">
        <f>+GETPIVOTDATA(" New-Total Master's#",'Pivot Table for 1-11'!$A$3,"State","OK","SREB Type2","Four-Year")</f>
        <v>0</v>
      </c>
      <c r="G53" s="197">
        <f>+GETPIVOTDATA(" New-Total Doctorates#",'Pivot Table for 1-11'!$A$3,"State","OK","SREB Type2","Four-Year")</f>
        <v>0</v>
      </c>
      <c r="H53" s="230">
        <f>+GETPIVOTDATA(" New-Law",'Pivot Table for 1-11'!$A$3,"State","OK","SREB Type2","Four-Year")</f>
        <v>0</v>
      </c>
      <c r="I53" s="197">
        <f>+GETPIVOTDATA(" New-Medicine",'Pivot Table for 1-11'!$A$3,"State","OK","SREB Type2","Four-Year")</f>
        <v>0</v>
      </c>
      <c r="J53" s="197">
        <f>+GETPIVOTDATA(" New-Dentistry",'Pivot Table for 1-11'!$A$3,"State","OK","SREB Type2","Four-Year")</f>
        <v>0</v>
      </c>
      <c r="K53" s="197">
        <f>+GETPIVOTDATA(" New-Pharmacy",'Pivot Table for 1-11'!$A$3,"State","OK","SREB Type2","Four-Year")</f>
        <v>0</v>
      </c>
      <c r="L53" s="197">
        <f>+GETPIVOTDATA(" New-Optometry",'Pivot Table for 1-11'!$A$3,"State","OK","SREB Type2","Four-Year")</f>
        <v>0</v>
      </c>
      <c r="M53" s="197">
        <f>+GETPIVOTDATA(" New-Osteopathic Medicine",'Pivot Table for 1-11'!$A$3,"State","OK","SREB Type2","Four-Year")</f>
        <v>0</v>
      </c>
      <c r="N53" s="197">
        <f>+GETPIVOTDATA(" New-Veterinary Medicine",'Pivot Table for 1-11'!$A$3,"State","OK","SREB Type2","Four-Year")</f>
        <v>0</v>
      </c>
      <c r="O53" s="198">
        <f>+GETPIVOTDATA(" New-Oth PP",'Pivot Table for 1-11'!$A$3,"State","OK","SREB Type2","Four-Year")</f>
        <v>0</v>
      </c>
      <c r="P53" s="199">
        <f t="shared" si="1"/>
        <v>0</v>
      </c>
      <c r="Q53" s="237" t="e">
        <f>('New Tables 1-12'!P53-'Old 1-12'!P53)/'Old 1-12'!P53</f>
        <v>#DIV/0!</v>
      </c>
      <c r="R53" s="187" t="s">
        <v>1</v>
      </c>
      <c r="S53" s="187"/>
      <c r="T53" s="187" t="s">
        <v>1</v>
      </c>
      <c r="U53" s="187" t="s">
        <v>1</v>
      </c>
      <c r="V53" s="187" t="s">
        <v>1</v>
      </c>
      <c r="W53" s="187" t="s">
        <v>1</v>
      </c>
      <c r="X53" s="187" t="s">
        <v>1</v>
      </c>
      <c r="Y53" s="187" t="s">
        <v>1</v>
      </c>
      <c r="AF53" s="241"/>
      <c r="AG53" s="242"/>
      <c r="AH53" s="241"/>
      <c r="AI53" s="196"/>
    </row>
    <row r="54" spans="1:35" ht="15" customHeight="1">
      <c r="A54" s="196" t="s">
        <v>32</v>
      </c>
      <c r="B54" s="197">
        <f>+GETPIVOTDATA(" New-Less Than 2-Year",'Pivot Table for 1-11'!$A$3,"State","SC","SREB Type2","Four-Year")+GETPIVOTDATA(" New-2 But Less Than 4-Year",'Pivot Table for 1-11'!$A$3,"State","SC","SREB Type2","Four-Year")</f>
        <v>184</v>
      </c>
      <c r="C54" s="197">
        <f>+GETPIVOTDATA(" New-Associate's",'Pivot Table for 1-11'!$A$3,"State","SC","SREB Type2","Four-Year")</f>
        <v>4</v>
      </c>
      <c r="D54" s="197">
        <f>+GETPIVOTDATA(" New-Bachelor's",'Pivot Table for 1-11'!$A$3,"State","SC","SREB Type2","Four-Year")</f>
        <v>20550</v>
      </c>
      <c r="E54" s="197">
        <f>+GETPIVOTDATA(" New-Post-Bachelor's",'Pivot Table for 1-11'!$A$3,"State","SC","SREB Type2","Four-Year")</f>
        <v>432</v>
      </c>
      <c r="F54" s="197">
        <f>+GETPIVOTDATA(" New-Total Master's#",'Pivot Table for 1-11'!$A$3,"State","SC","SREB Type2","Four-Year")</f>
        <v>4835</v>
      </c>
      <c r="G54" s="197">
        <f>+GETPIVOTDATA(" New-Total Doctorates#",'Pivot Table for 1-11'!$A$3,"State","SC","SREB Type2","Four-Year")</f>
        <v>705</v>
      </c>
      <c r="H54" s="230">
        <f>+GETPIVOTDATA(" New-Law",'Pivot Table for 1-11'!$A$3,"State","SC","SREB Type2","Four-Year")</f>
        <v>202</v>
      </c>
      <c r="I54" s="197">
        <f>+GETPIVOTDATA(" New-Medicine",'Pivot Table for 1-11'!$A$3,"State","SC","SREB Type2","Four-Year")</f>
        <v>187</v>
      </c>
      <c r="J54" s="197">
        <f>+GETPIVOTDATA(" New-Dentistry",'Pivot Table for 1-11'!$A$3,"State","SC","SREB Type2","Four-Year")</f>
        <v>0</v>
      </c>
      <c r="K54" s="197">
        <f>+GETPIVOTDATA(" New-Pharmacy",'Pivot Table for 1-11'!$A$3,"State","SC","SREB Type2","Four-Year")</f>
        <v>103</v>
      </c>
      <c r="L54" s="197">
        <f>+GETPIVOTDATA(" New-Optometry",'Pivot Table for 1-11'!$A$3,"State","SC","SREB Type2","Four-Year")</f>
        <v>0</v>
      </c>
      <c r="M54" s="197">
        <f>+GETPIVOTDATA(" New-Osteopathic Medicine",'Pivot Table for 1-11'!$A$3,"State","SC","SREB Type2","Four-Year")</f>
        <v>0</v>
      </c>
      <c r="N54" s="197">
        <f>+GETPIVOTDATA(" New-Veterinary Medicine",'Pivot Table for 1-11'!$A$3,"State","SC","SREB Type2","Four-Year")</f>
        <v>0</v>
      </c>
      <c r="O54" s="198">
        <f>+GETPIVOTDATA(" New-Oth PP",'Pivot Table for 1-11'!$A$3,"State","SC","SREB Type2","Four-Year")</f>
        <v>3</v>
      </c>
      <c r="P54" s="199">
        <f t="shared" si="1"/>
        <v>27205</v>
      </c>
      <c r="Q54" s="237">
        <f>('New Tables 1-12'!P54-'Old 1-12'!P54)/'Old 1-12'!P54</f>
        <v>1.7998802574464901E-2</v>
      </c>
      <c r="R54" s="187" t="s">
        <v>1</v>
      </c>
      <c r="S54" s="187"/>
      <c r="T54" s="187" t="s">
        <v>1</v>
      </c>
      <c r="U54" s="187" t="s">
        <v>1</v>
      </c>
      <c r="V54" s="187" t="s">
        <v>1</v>
      </c>
      <c r="W54" s="187" t="s">
        <v>1</v>
      </c>
      <c r="X54" s="187" t="s">
        <v>1</v>
      </c>
      <c r="Y54" s="187" t="s">
        <v>1</v>
      </c>
      <c r="AF54" s="241"/>
      <c r="AG54" s="242"/>
      <c r="AH54" s="241"/>
      <c r="AI54" s="196"/>
    </row>
    <row r="55" spans="1:35" ht="11.25" customHeight="1">
      <c r="A55" s="196"/>
      <c r="B55" s="197"/>
      <c r="C55" s="197"/>
      <c r="D55" s="197"/>
      <c r="E55" s="197"/>
      <c r="F55" s="197"/>
      <c r="G55" s="197"/>
      <c r="H55" s="230"/>
      <c r="I55" s="197"/>
      <c r="J55" s="197"/>
      <c r="K55" s="197"/>
      <c r="L55" s="197"/>
      <c r="M55" s="197"/>
      <c r="N55" s="197"/>
      <c r="O55" s="198"/>
      <c r="P55" s="199"/>
      <c r="Q55" s="237"/>
      <c r="R55" s="187"/>
      <c r="S55" s="187"/>
      <c r="T55" s="187"/>
      <c r="U55" s="187"/>
      <c r="V55" s="187"/>
      <c r="W55" s="187"/>
      <c r="X55" s="187"/>
      <c r="Y55" s="187"/>
      <c r="AF55" s="241"/>
      <c r="AG55" s="242"/>
      <c r="AH55" s="241"/>
      <c r="AI55" s="196"/>
    </row>
    <row r="56" spans="1:35" ht="15" customHeight="1">
      <c r="A56" s="196" t="s">
        <v>33</v>
      </c>
      <c r="B56" s="197">
        <f>+GETPIVOTDATA(" New-Less Than 2-Year",'Pivot Table for 1-11'!$A$3,"State","TN","SREB Type2","Four-Year")+GETPIVOTDATA(" New-2 But Less Than 4-Year",'Pivot Table for 1-11'!$A$3,"State","TN","SREB Type2","Four-Year")</f>
        <v>0</v>
      </c>
      <c r="C56" s="197">
        <f>+GETPIVOTDATA(" New-Associate's",'Pivot Table for 1-11'!$A$3,"State","TN","SREB Type2","Four-Year")</f>
        <v>1068</v>
      </c>
      <c r="D56" s="197">
        <f>+GETPIVOTDATA(" New-Bachelor's",'Pivot Table for 1-11'!$A$3,"State","TN","SREB Type2","Four-Year")</f>
        <v>22537</v>
      </c>
      <c r="E56" s="197">
        <f>+GETPIVOTDATA(" New-Post-Bachelor's",'Pivot Table for 1-11'!$A$3,"State","TN","SREB Type2","Four-Year")</f>
        <v>0</v>
      </c>
      <c r="F56" s="197">
        <f>+GETPIVOTDATA(" New-Total Master's#",'Pivot Table for 1-11'!$A$3,"State","TN","SREB Type2","Four-Year")</f>
        <v>5796</v>
      </c>
      <c r="G56" s="197">
        <f>+GETPIVOTDATA(" New-Total Doctorates#",'Pivot Table for 1-11'!$A$3,"State","TN","SREB Type2","Four-Year")</f>
        <v>1035</v>
      </c>
      <c r="H56" s="230">
        <f>+GETPIVOTDATA(" New-Law",'Pivot Table for 1-11'!$A$3,"State","TN","SREB Type2","Four-Year")</f>
        <v>206</v>
      </c>
      <c r="I56" s="197">
        <f>+GETPIVOTDATA(" New-Medicine",'Pivot Table for 1-11'!$A$3,"State","TN","SREB Type2","Four-Year")</f>
        <v>69</v>
      </c>
      <c r="J56" s="197">
        <f>+GETPIVOTDATA(" New-Dentistry",'Pivot Table for 1-11'!$A$3,"State","TN","SREB Type2","Four-Year")</f>
        <v>0</v>
      </c>
      <c r="K56" s="197">
        <f>+GETPIVOTDATA(" New-Pharmacy",'Pivot Table for 1-11'!$A$3,"State","TN","SREB Type2","Four-Year")</f>
        <v>68</v>
      </c>
      <c r="L56" s="197">
        <f>+GETPIVOTDATA(" New-Optometry",'Pivot Table for 1-11'!$A$3,"State","TN","SREB Type2","Four-Year")</f>
        <v>0</v>
      </c>
      <c r="M56" s="197">
        <f>+GETPIVOTDATA(" New-Osteopathic Medicine",'Pivot Table for 1-11'!$A$3,"State","TN","SREB Type2","Four-Year")</f>
        <v>0</v>
      </c>
      <c r="N56" s="197">
        <f>+GETPIVOTDATA(" New-Veterinary Medicine",'Pivot Table for 1-11'!$A$3,"State","TN","SREB Type2","Four-Year")</f>
        <v>79</v>
      </c>
      <c r="O56" s="198">
        <f>+GETPIVOTDATA(" New-Oth PP",'Pivot Table for 1-11'!$A$3,"State","TN","SREB Type2","Four-Year")</f>
        <v>0</v>
      </c>
      <c r="P56" s="199">
        <f t="shared" si="1"/>
        <v>30858</v>
      </c>
      <c r="Q56" s="237">
        <f>('New Tables 1-12'!P56-'Old 1-12'!P56)/'Old 1-12'!P56</f>
        <v>4.4122622995195239E-2</v>
      </c>
      <c r="R56" s="187" t="s">
        <v>1</v>
      </c>
      <c r="S56" s="187"/>
      <c r="T56" s="187" t="s">
        <v>1</v>
      </c>
      <c r="U56" s="187" t="s">
        <v>1</v>
      </c>
      <c r="V56" s="187" t="s">
        <v>1</v>
      </c>
      <c r="W56" s="187" t="s">
        <v>1</v>
      </c>
      <c r="X56" s="187" t="s">
        <v>1</v>
      </c>
      <c r="Y56" s="187" t="s">
        <v>1</v>
      </c>
      <c r="AF56" s="241"/>
      <c r="AG56" s="242"/>
      <c r="AH56" s="241"/>
      <c r="AI56" s="196"/>
    </row>
    <row r="57" spans="1:35" ht="15" customHeight="1">
      <c r="A57" s="196" t="s">
        <v>34</v>
      </c>
      <c r="B57" s="197">
        <f>+GETPIVOTDATA(" New-Less Than 2-Year",'Pivot Table for 1-11'!$A$3,"State","TX","SREB Type2","Four-Year")+GETPIVOTDATA(" New-2 But Less Than 4-Year",'Pivot Table for 1-11'!$A$3,"State","TX","SREB Type2","Four-Year")</f>
        <v>0</v>
      </c>
      <c r="C57" s="197">
        <f>+GETPIVOTDATA(" New-Associate's",'Pivot Table for 1-11'!$A$3,"State","TX","SREB Type2","Four-Year")</f>
        <v>32</v>
      </c>
      <c r="D57" s="197">
        <f>+GETPIVOTDATA(" New-Bachelor's",'Pivot Table for 1-11'!$A$3,"State","TX","SREB Type2","Four-Year")</f>
        <v>0</v>
      </c>
      <c r="E57" s="197">
        <f>+GETPIVOTDATA(" New-Post-Bachelor's",'Pivot Table for 1-11'!$A$3,"State","TX","SREB Type2","Four-Year")</f>
        <v>0</v>
      </c>
      <c r="F57" s="197">
        <f>+GETPIVOTDATA(" New-Total Master's#",'Pivot Table for 1-11'!$A$3,"State","TX","SREB Type2","Four-Year")</f>
        <v>40365</v>
      </c>
      <c r="G57" s="197">
        <f>+GETPIVOTDATA(" New-Total Doctorates#",'Pivot Table for 1-11'!$A$3,"State","TX","SREB Type2","Four-Year")</f>
        <v>4099</v>
      </c>
      <c r="H57" s="230">
        <f>+GETPIVOTDATA(" New-Law",'Pivot Table for 1-11'!$A$3,"State","TX","SREB Type2","Four-Year")</f>
        <v>1107</v>
      </c>
      <c r="I57" s="197">
        <f>+GETPIVOTDATA(" New-Medicine",'Pivot Table for 1-11'!$A$3,"State","TX","SREB Type2","Four-Year")</f>
        <v>0</v>
      </c>
      <c r="J57" s="197">
        <f>+GETPIVOTDATA(" New-Dentistry",'Pivot Table for 1-11'!$A$3,"State","TX","SREB Type2","Four-Year")</f>
        <v>0</v>
      </c>
      <c r="K57" s="197">
        <f>+GETPIVOTDATA(" New-Pharmacy",'Pivot Table for 1-11'!$A$3,"State","TX","SREB Type2","Four-Year")</f>
        <v>403</v>
      </c>
      <c r="L57" s="197">
        <f>+GETPIVOTDATA(" New-Optometry",'Pivot Table for 1-11'!$A$3,"State","TX","SREB Type2","Four-Year")</f>
        <v>92</v>
      </c>
      <c r="M57" s="197">
        <f>+GETPIVOTDATA(" New-Osteopathic Medicine",'Pivot Table for 1-11'!$A$3,"State","TX","SREB Type2","Four-Year")</f>
        <v>0</v>
      </c>
      <c r="N57" s="197">
        <f>+GETPIVOTDATA(" New-Veterinary Medicine",'Pivot Table for 1-11'!$A$3,"State","TX","SREB Type2","Four-Year")</f>
        <v>133</v>
      </c>
      <c r="O57" s="198">
        <f>+GETPIVOTDATA(" New-Oth PP",'Pivot Table for 1-11'!$A$3,"State","TX","SREB Type2","Four-Year")</f>
        <v>231</v>
      </c>
      <c r="P57" s="199">
        <f t="shared" si="1"/>
        <v>46462</v>
      </c>
      <c r="Q57" s="237">
        <f>('New Tables 1-12'!P57-'Old 1-12'!P57)/'Old 1-12'!P57</f>
        <v>-0.71095655203304631</v>
      </c>
      <c r="R57" s="187" t="s">
        <v>1</v>
      </c>
      <c r="S57" s="187"/>
      <c r="T57" s="187" t="s">
        <v>1</v>
      </c>
      <c r="U57" s="187" t="s">
        <v>1</v>
      </c>
      <c r="V57" s="187" t="s">
        <v>1</v>
      </c>
      <c r="W57" s="187" t="s">
        <v>1</v>
      </c>
      <c r="X57" s="187" t="s">
        <v>1</v>
      </c>
      <c r="Y57" s="187" t="s">
        <v>1</v>
      </c>
    </row>
    <row r="58" spans="1:35" ht="15" customHeight="1">
      <c r="A58" s="196" t="s">
        <v>35</v>
      </c>
      <c r="B58" s="197">
        <f>+GETPIVOTDATA(" New-Less Than 2-Year",'Pivot Table for 1-11'!$A$3,"State","VA","SREB Type2","Four-Year")+GETPIVOTDATA(" New-2 But Less Than 4-Year",'Pivot Table for 1-11'!$A$3,"State","VA","SREB Type2","Four-Year")</f>
        <v>172</v>
      </c>
      <c r="C58" s="197">
        <f>+GETPIVOTDATA(" New-Associate's",'Pivot Table for 1-11'!$A$3,"State","VA","SREB Type2","Four-Year")</f>
        <v>87</v>
      </c>
      <c r="D58" s="197">
        <f>+GETPIVOTDATA(" New-Bachelor's",'Pivot Table for 1-11'!$A$3,"State","VA","SREB Type2","Four-Year")</f>
        <v>38418</v>
      </c>
      <c r="E58" s="197">
        <f>+GETPIVOTDATA(" New-Post-Bachelor's",'Pivot Table for 1-11'!$A$3,"State","VA","SREB Type2","Four-Year")</f>
        <v>1714</v>
      </c>
      <c r="F58" s="197">
        <f>+GETPIVOTDATA(" New-Total Master's#",'Pivot Table for 1-11'!$A$3,"State","VA","SREB Type2","Four-Year")</f>
        <v>11955</v>
      </c>
      <c r="G58" s="197">
        <f>+GETPIVOTDATA(" New-Total Doctorates#",'Pivot Table for 1-11'!$A$3,"State","VA","SREB Type2","Four-Year")</f>
        <v>1991</v>
      </c>
      <c r="H58" s="230">
        <f>+GETPIVOTDATA(" New-Law",'Pivot Table for 1-11'!$A$3,"State","VA","SREB Type2","Four-Year")</f>
        <v>0</v>
      </c>
      <c r="I58" s="197">
        <f>+GETPIVOTDATA(" New-Medicine",'Pivot Table for 1-11'!$A$3,"State","VA","SREB Type2","Four-Year")</f>
        <v>0</v>
      </c>
      <c r="J58" s="197">
        <f>+GETPIVOTDATA(" New-Dentistry",'Pivot Table for 1-11'!$A$3,"State","VA","SREB Type2","Four-Year")</f>
        <v>0</v>
      </c>
      <c r="K58" s="197">
        <f>+GETPIVOTDATA(" New-Pharmacy",'Pivot Table for 1-11'!$A$3,"State","VA","SREB Type2","Four-Year")</f>
        <v>0</v>
      </c>
      <c r="L58" s="197">
        <f>+GETPIVOTDATA(" New-Optometry",'Pivot Table for 1-11'!$A$3,"State","VA","SREB Type2","Four-Year")</f>
        <v>0</v>
      </c>
      <c r="M58" s="197">
        <f>+GETPIVOTDATA(" New-Osteopathic Medicine",'Pivot Table for 1-11'!$A$3,"State","VA","SREB Type2","Four-Year")</f>
        <v>0</v>
      </c>
      <c r="N58" s="197">
        <f>+GETPIVOTDATA(" New-Veterinary Medicine",'Pivot Table for 1-11'!$A$3,"State","VA","SREB Type2","Four-Year")</f>
        <v>0</v>
      </c>
      <c r="O58" s="198">
        <f>+GETPIVOTDATA(" New-Oth PP",'Pivot Table for 1-11'!$A$3,"State","VA","SREB Type2","Four-Year")</f>
        <v>0</v>
      </c>
      <c r="P58" s="199">
        <f t="shared" si="1"/>
        <v>54337</v>
      </c>
      <c r="Q58" s="237">
        <f>('New Tables 1-12'!P58-'Old 1-12'!P58)/'Old 1-12'!P58</f>
        <v>-1.4562930721799056E-2</v>
      </c>
      <c r="R58" s="187" t="s">
        <v>1</v>
      </c>
      <c r="S58" s="187"/>
      <c r="T58" s="187" t="s">
        <v>1</v>
      </c>
      <c r="U58" s="187" t="s">
        <v>1</v>
      </c>
      <c r="V58" s="187" t="s">
        <v>1</v>
      </c>
      <c r="W58" s="187" t="s">
        <v>1</v>
      </c>
      <c r="X58" s="187" t="s">
        <v>1</v>
      </c>
      <c r="Y58" s="187" t="s">
        <v>1</v>
      </c>
    </row>
    <row r="59" spans="1:35" ht="15" customHeight="1">
      <c r="A59" s="200" t="s">
        <v>36</v>
      </c>
      <c r="B59" s="201">
        <f>+GETPIVOTDATA(" New-Less Than 2-Year",'Pivot Table for 1-11'!$A$3,"State","WV","SREB Type2","Four-Year")+GETPIVOTDATA(" New-2 But Less Than 4-Year",'Pivot Table for 1-11'!$A$3,"State","WV","SREB Type2","Four-Year")</f>
        <v>0</v>
      </c>
      <c r="C59" s="201">
        <f>+GETPIVOTDATA(" New-Associate's",'Pivot Table for 1-11'!$A$3,"State","WV","SREB Type2","Four-Year")</f>
        <v>591</v>
      </c>
      <c r="D59" s="201">
        <f>+GETPIVOTDATA(" New-Bachelor's",'Pivot Table for 1-11'!$A$3,"State","WV","SREB Type2","Four-Year")</f>
        <v>9219</v>
      </c>
      <c r="E59" s="201">
        <f>+GETPIVOTDATA(" New-Post-Bachelor's",'Pivot Table for 1-11'!$A$3,"State","WV","SREB Type2","Four-Year")</f>
        <v>0</v>
      </c>
      <c r="F59" s="201">
        <f>+GETPIVOTDATA(" New-Total Master's#",'Pivot Table for 1-11'!$A$3,"State","WV","SREB Type2","Four-Year")</f>
        <v>2565</v>
      </c>
      <c r="G59" s="201">
        <f>+GETPIVOTDATA(" New-Total Doctorates#",'Pivot Table for 1-11'!$A$3,"State","WV","SREB Type2","Four-Year")</f>
        <v>215</v>
      </c>
      <c r="H59" s="318">
        <f>+GETPIVOTDATA(" New-Law",'Pivot Table for 1-11'!$A$3,"State","WV","SREB Type2","Four-Year")</f>
        <v>107</v>
      </c>
      <c r="I59" s="201">
        <f>+GETPIVOTDATA(" New-Medicine",'Pivot Table for 1-11'!$A$3,"State","WV","SREB Type2","Four-Year")</f>
        <v>180</v>
      </c>
      <c r="J59" s="201">
        <f>+GETPIVOTDATA(" New-Dentistry",'Pivot Table for 1-11'!$A$3,"State","WV","SREB Type2","Four-Year")</f>
        <v>47</v>
      </c>
      <c r="K59" s="201">
        <f>+GETPIVOTDATA(" New-Pharmacy",'Pivot Table for 1-11'!$A$3,"State","WV","SREB Type2","Four-Year")</f>
        <v>143</v>
      </c>
      <c r="L59" s="201">
        <f>+GETPIVOTDATA(" New-Optometry",'Pivot Table for 1-11'!$A$3,"State","WV","SREB Type2","Four-Year")</f>
        <v>0</v>
      </c>
      <c r="M59" s="201">
        <f>+GETPIVOTDATA(" New-Osteopathic Medicine",'Pivot Table for 1-11'!$A$3,"State","WV","SREB Type2","Four-Year")</f>
        <v>0</v>
      </c>
      <c r="N59" s="201">
        <f>+GETPIVOTDATA(" New-Veterinary Medicine",'Pivot Table for 1-11'!$A$3,"State","WV","SREB Type2","Four-Year")</f>
        <v>0</v>
      </c>
      <c r="O59" s="319">
        <f>+GETPIVOTDATA(" New-Oth PP",'Pivot Table for 1-11'!$A$3,"State","WV","SREB Type2","Four-Year")</f>
        <v>143</v>
      </c>
      <c r="P59" s="203">
        <f t="shared" si="1"/>
        <v>13210</v>
      </c>
      <c r="Q59" s="237">
        <f>('New Tables 1-12'!P59-'Old 1-12'!P59)/'Old 1-12'!P59</f>
        <v>-3.5452968243192278E-3</v>
      </c>
      <c r="R59" s="187" t="s">
        <v>1</v>
      </c>
      <c r="S59" s="187"/>
      <c r="T59" s="187" t="s">
        <v>1</v>
      </c>
      <c r="U59" s="187" t="s">
        <v>1</v>
      </c>
      <c r="V59" s="187" t="s">
        <v>1</v>
      </c>
      <c r="W59" s="187" t="s">
        <v>1</v>
      </c>
      <c r="X59" s="187" t="s">
        <v>1</v>
      </c>
      <c r="Y59" s="187" t="s">
        <v>1</v>
      </c>
    </row>
    <row r="60" spans="1:35" ht="15.5">
      <c r="B60" s="197"/>
      <c r="C60" s="197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7"/>
      <c r="P60" s="197"/>
      <c r="Q60" s="187" t="s">
        <v>1</v>
      </c>
      <c r="R60" s="187" t="s">
        <v>1</v>
      </c>
      <c r="S60" s="187"/>
      <c r="T60" s="187" t="s">
        <v>1</v>
      </c>
      <c r="U60" s="187" t="s">
        <v>1</v>
      </c>
      <c r="V60" s="187" t="s">
        <v>1</v>
      </c>
      <c r="W60" s="187" t="s">
        <v>1</v>
      </c>
      <c r="X60" s="187" t="s">
        <v>1</v>
      </c>
      <c r="Y60" s="187" t="s">
        <v>1</v>
      </c>
    </row>
    <row r="61" spans="1:35" ht="24" customHeight="1">
      <c r="A61" s="545" t="s">
        <v>37</v>
      </c>
      <c r="B61" s="546"/>
      <c r="C61" s="546"/>
      <c r="D61" s="546"/>
      <c r="E61" s="546"/>
      <c r="F61" s="546"/>
      <c r="G61" s="546"/>
      <c r="H61" s="546"/>
      <c r="I61" s="546"/>
      <c r="J61" s="546"/>
      <c r="K61" s="546"/>
      <c r="L61" s="546"/>
      <c r="M61" s="546"/>
      <c r="N61" s="546"/>
      <c r="O61" s="546"/>
      <c r="P61" s="546"/>
      <c r="Q61" s="187" t="s">
        <v>1</v>
      </c>
      <c r="R61" s="187" t="s">
        <v>1</v>
      </c>
      <c r="S61" s="187"/>
      <c r="T61" s="187" t="s">
        <v>1</v>
      </c>
      <c r="U61" s="187" t="s">
        <v>1</v>
      </c>
      <c r="V61" s="187" t="s">
        <v>1</v>
      </c>
      <c r="W61" s="187" t="s">
        <v>1</v>
      </c>
      <c r="X61" s="187" t="s">
        <v>1</v>
      </c>
      <c r="Y61" s="187" t="s">
        <v>1</v>
      </c>
    </row>
    <row r="62" spans="1:35" ht="15" customHeight="1">
      <c r="A62" s="263"/>
      <c r="B62" s="263"/>
      <c r="C62" s="263"/>
      <c r="D62" s="263"/>
      <c r="E62" s="263"/>
      <c r="F62" s="263"/>
      <c r="G62" s="263"/>
      <c r="H62" s="263"/>
      <c r="I62" s="263"/>
      <c r="J62" s="263"/>
      <c r="K62" s="263"/>
      <c r="L62" s="263"/>
      <c r="M62" s="263"/>
      <c r="N62" s="263"/>
      <c r="O62" s="263"/>
      <c r="P62" s="263"/>
      <c r="Q62" s="263"/>
    </row>
    <row r="63" spans="1:35">
      <c r="P63" s="204" t="s">
        <v>1178</v>
      </c>
      <c r="Q63" s="204"/>
    </row>
    <row r="64" spans="1:35" ht="18">
      <c r="A64" s="186" t="s">
        <v>42</v>
      </c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  <c r="Q64" s="187" t="s">
        <v>1</v>
      </c>
    </row>
    <row r="65" spans="1:24" ht="15.75" customHeight="1">
      <c r="A65" s="188"/>
      <c r="B65" s="188"/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188"/>
    </row>
    <row r="66" spans="1:24" ht="15.5">
      <c r="A66" s="187" t="s">
        <v>2</v>
      </c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  <c r="Q66" s="187" t="s">
        <v>1</v>
      </c>
    </row>
    <row r="67" spans="1:24" ht="15.5">
      <c r="A67" s="187" t="s">
        <v>1181</v>
      </c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  <c r="Q67" s="187" t="s">
        <v>1</v>
      </c>
    </row>
    <row r="68" spans="1:24" ht="15" customHeight="1">
      <c r="A68" s="189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  <c r="Q68" s="189"/>
    </row>
    <row r="69" spans="1:24" ht="15.5">
      <c r="A69" s="190"/>
      <c r="B69" s="190"/>
      <c r="C69" s="190"/>
      <c r="D69" s="190"/>
      <c r="E69" s="190"/>
      <c r="F69" s="190"/>
      <c r="G69" s="190"/>
      <c r="H69" s="225" t="s">
        <v>4</v>
      </c>
      <c r="I69" s="256"/>
      <c r="J69" s="256"/>
      <c r="K69" s="256"/>
      <c r="L69" s="256"/>
      <c r="M69" s="256"/>
      <c r="N69" s="256"/>
      <c r="O69" s="226"/>
      <c r="P69" s="192" t="s">
        <v>1</v>
      </c>
      <c r="Q69" s="189"/>
      <c r="R69" s="112"/>
      <c r="S69" s="112"/>
      <c r="X69" s="112"/>
    </row>
    <row r="70" spans="1:24" ht="36.75" customHeight="1">
      <c r="A70" s="193"/>
      <c r="B70" s="194" t="s">
        <v>5</v>
      </c>
      <c r="C70" s="194" t="s">
        <v>6</v>
      </c>
      <c r="D70" s="194" t="s">
        <v>7</v>
      </c>
      <c r="E70" s="194" t="s">
        <v>8</v>
      </c>
      <c r="F70" s="194" t="s">
        <v>9</v>
      </c>
      <c r="G70" s="194" t="s">
        <v>10</v>
      </c>
      <c r="H70" s="317" t="s">
        <v>11</v>
      </c>
      <c r="I70" s="194" t="s">
        <v>12</v>
      </c>
      <c r="J70" s="194" t="s">
        <v>13</v>
      </c>
      <c r="K70" s="194" t="s">
        <v>14</v>
      </c>
      <c r="L70" s="194" t="s">
        <v>15</v>
      </c>
      <c r="M70" s="194" t="s">
        <v>16</v>
      </c>
      <c r="N70" s="194" t="s">
        <v>17</v>
      </c>
      <c r="O70" s="228" t="s">
        <v>18</v>
      </c>
      <c r="P70" s="194" t="s">
        <v>19</v>
      </c>
      <c r="Q70" s="245"/>
    </row>
    <row r="71" spans="1:24" ht="15" customHeight="1">
      <c r="A71" s="196" t="s">
        <v>20</v>
      </c>
      <c r="B71" s="197">
        <f>+GETPIVOTDATA(" New-Less Than 2-Year",'Pivot Table for 1-11'!$A$3,"SREB Type",1,"SREB Type2","Four-Year")+GETPIVOTDATA(" New-2 But Less Than 4-Year",'Pivot Table for 1-11'!$A$3,"SREB Type",1,"SREB Type2","Four-Year")</f>
        <v>1862</v>
      </c>
      <c r="C71" s="197">
        <f>+GETPIVOTDATA(" New-Associate's",'Pivot Table for 1-11'!$A$3,"SREB Type",1,"SREB Type2","Four-Year")</f>
        <v>2907</v>
      </c>
      <c r="D71" s="197">
        <f>+GETPIVOTDATA(" New-Bachelor's",'Pivot Table for 1-11'!$A$3,"SREB Type",1,"SREB Type2","Four-Year")</f>
        <v>112956</v>
      </c>
      <c r="E71" s="197">
        <f>+GETPIVOTDATA(" New-Post-Bachelor's",'Pivot Table for 1-11'!$A$3,"SREB Type",1,"SREB Type2","Four-Year")</f>
        <v>4215</v>
      </c>
      <c r="F71" s="197">
        <f>+GETPIVOTDATA(" New-Total Master's#",'Pivot Table for 1-11'!$A$3,"SREB Type",1,"SREB Type2","Four-Year")</f>
        <v>64334</v>
      </c>
      <c r="G71" s="197">
        <f>+GETPIVOTDATA(" New-Total Doctorates#",'Pivot Table for 1-11'!$A$3,"SREB Type",1,"SREB Type2","Four-Year")</f>
        <v>11178</v>
      </c>
      <c r="H71" s="230">
        <f>+GETPIVOTDATA(" New-Law",'Pivot Table for 1-11'!$A$3,"SREB Type",1,"SREB Type2","Four-Year")</f>
        <v>2650</v>
      </c>
      <c r="I71" s="197">
        <f>+GETPIVOTDATA(" New-Medicine",'Pivot Table for 1-11'!$A$3,"SREB Type",1,"SREB Type2","Four-Year")</f>
        <v>1083</v>
      </c>
      <c r="J71" s="197">
        <f>+GETPIVOTDATA(" New-Dentistry",'Pivot Table for 1-11'!$A$3,"SREB Type",1,"SREB Type2","Four-Year")</f>
        <v>431</v>
      </c>
      <c r="K71" s="197">
        <f>+GETPIVOTDATA(" New-Pharmacy",'Pivot Table for 1-11'!$A$3,"SREB Type",1,"SREB Type2","Four-Year")</f>
        <v>1057</v>
      </c>
      <c r="L71" s="197">
        <f>+GETPIVOTDATA(" New-Optometry",'Pivot Table for 1-11'!$A$3,"SREB Type",1,"SREB Type2","Four-Year")</f>
        <v>133</v>
      </c>
      <c r="M71" s="197">
        <f>+GETPIVOTDATA(" New-Osteopathic Medicine",'Pivot Table for 1-11'!$A$3,"SREB Type",1,"SREB Type2","Four-Year")</f>
        <v>0</v>
      </c>
      <c r="N71" s="197">
        <f>+GETPIVOTDATA(" New-Veterinary Medicine",'Pivot Table for 1-11'!$A$3,"SREB Type",1,"SREB Type2","Four-Year")</f>
        <v>717</v>
      </c>
      <c r="O71" s="198">
        <f>+GETPIVOTDATA(" New-Oth PP",'Pivot Table for 1-11'!$A$3,"SREB Type",1,"SREB Type2","Four-Year")</f>
        <v>822</v>
      </c>
      <c r="P71" s="199">
        <f>SUM(B71:O71)</f>
        <v>204345</v>
      </c>
      <c r="Q71" s="197"/>
    </row>
    <row r="72" spans="1:24" ht="15" customHeight="1">
      <c r="A72" s="196"/>
      <c r="B72" s="197"/>
      <c r="C72" s="197"/>
      <c r="D72" s="197"/>
      <c r="E72" s="197"/>
      <c r="F72" s="197"/>
      <c r="G72" s="197"/>
      <c r="H72" s="230"/>
      <c r="I72" s="197"/>
      <c r="J72" s="197"/>
      <c r="K72" s="197"/>
      <c r="L72" s="197"/>
      <c r="M72" s="197"/>
      <c r="N72" s="197"/>
      <c r="O72" s="198"/>
      <c r="P72" s="199"/>
      <c r="Q72" s="197"/>
    </row>
    <row r="73" spans="1:24" ht="15" customHeight="1">
      <c r="A73" s="196" t="s">
        <v>21</v>
      </c>
      <c r="B73" s="197">
        <f>GETPIVOTDATA(" New-Less Than 2-Year",'Pivot Table for 1-11'!$A$3,"State","AL","SREB Type",1,"SREB Type2","Four-Year")+GETPIVOTDATA(" New-2 But Less Than 4-Year",'Pivot Table for 1-11'!$A$3,"State","AL","SREB Type",1,"SREB Type2","Four-Year")</f>
        <v>77</v>
      </c>
      <c r="C73" s="197">
        <f>+GETPIVOTDATA(" New-Associate's",'Pivot Table for 1-11'!$A$3,"State","AL","SREB Type",1,"SREB Type2","Four-Year")</f>
        <v>0</v>
      </c>
      <c r="D73" s="197">
        <f>+GETPIVOTDATA(" New-Bachelor's",'Pivot Table for 1-11'!$A$3,"State","AL","SREB Type",1,"SREB Type2","Four-Year")</f>
        <v>15658</v>
      </c>
      <c r="E73" s="197">
        <f>+GETPIVOTDATA(" New-Post-Bachelor's",'Pivot Table for 1-11'!$A$3,"State","AL","SREB Type",1,"SREB Type2","Four-Year")</f>
        <v>398</v>
      </c>
      <c r="F73" s="197">
        <f>+GETPIVOTDATA(" New-Total Master's#",'Pivot Table for 1-11'!$A$3,"State","AL","SREB Type",1,"SREB Type2","Four-Year")</f>
        <v>5570</v>
      </c>
      <c r="G73" s="197">
        <f>+GETPIVOTDATA(" New-Total Doctorates#",'Pivot Table for 1-11'!$A$3,"State","AL","SREB Type",1,"SREB Type2","Four-Year")</f>
        <v>613</v>
      </c>
      <c r="H73" s="230">
        <f>+GETPIVOTDATA(" New-Law",'Pivot Table for 1-11'!$A$3,"State","AL","SREB Type",1,"SREB Type2","Four-Year")</f>
        <v>126</v>
      </c>
      <c r="I73" s="197">
        <f>+GETPIVOTDATA(" New-Medicine",'Pivot Table for 1-11'!$A$3,"State","AL","SREB Type",1,"SREB Type2","Four-Year")</f>
        <v>186</v>
      </c>
      <c r="J73" s="197">
        <f>+GETPIVOTDATA(" New-Dentistry",'Pivot Table for 1-11'!$A$3,"State","AL","SREB Type",1,"SREB Type2","Four-Year")</f>
        <v>75</v>
      </c>
      <c r="K73" s="197">
        <f>+GETPIVOTDATA(" New-Pharmacy",'Pivot Table for 1-11'!$A$3,"State","AL","SREB Type",1,"SREB Type2","Four-Year")</f>
        <v>138</v>
      </c>
      <c r="L73" s="197">
        <f>+GETPIVOTDATA(" New-Optometry",'Pivot Table for 1-11'!$A$3,"State","AL","SREB Type",1,"SREB Type2","Four-Year")</f>
        <v>41</v>
      </c>
      <c r="M73" s="197">
        <f>+GETPIVOTDATA(" New-Osteopathic Medicine",'Pivot Table for 1-11'!$A$3,"State","AL","SREB Type",1,"SREB Type2","Four-Year")</f>
        <v>0</v>
      </c>
      <c r="N73" s="197">
        <f>+GETPIVOTDATA(" New-Veterinary Medicine",'Pivot Table for 1-11'!$A$3,"State","AL","SREB Type",1,"SREB Type2","Four-Year")</f>
        <v>116</v>
      </c>
      <c r="O73" s="198">
        <f>+GETPIVOTDATA(" New-Oth PP",'Pivot Table for 1-11'!$A$3,"State","AL","SREB Type",1,"SREB Type2","Four-Year")</f>
        <v>238</v>
      </c>
      <c r="P73" s="199">
        <f>SUM(B73:O73)</f>
        <v>23236</v>
      </c>
      <c r="Q73" s="197"/>
    </row>
    <row r="74" spans="1:24" ht="15" customHeight="1">
      <c r="A74" s="196" t="s">
        <v>22</v>
      </c>
      <c r="B74" s="197">
        <f>+GETPIVOTDATA(" New-Less Than 2-Year",'Pivot Table for 1-11'!$A$3,"State","AR","SREB Type",1,"SREB Type2","Four-Year")+GETPIVOTDATA(" New-2 But Less Than 4-Year",'Pivot Table for 1-11'!$A$3,"State","AR","SREB Type",1,"SREB Type2","Four-Year")</f>
        <v>8</v>
      </c>
      <c r="C74" s="197">
        <f>+GETPIVOTDATA(" New-Associate's",'Pivot Table for 1-11'!$A$3,"State","AR","SREB Type",1,"SREB Type2","Four-Year")</f>
        <v>0</v>
      </c>
      <c r="D74" s="197">
        <f>+GETPIVOTDATA(" New-Bachelor's",'Pivot Table for 1-11'!$A$3,"State","AR","SREB Type",1,"SREB Type2","Four-Year")</f>
        <v>5183</v>
      </c>
      <c r="E74" s="197">
        <f>+GETPIVOTDATA(" New-Post-Bachelor's",'Pivot Table for 1-11'!$A$3,"State","AR","SREB Type",1,"SREB Type2","Four-Year")</f>
        <v>233</v>
      </c>
      <c r="F74" s="197">
        <f>+GETPIVOTDATA(" New-Total Master's#",'Pivot Table for 1-11'!$A$3,"State","AR","SREB Type",1,"SREB Type2","Four-Year")</f>
        <v>1136</v>
      </c>
      <c r="G74" s="197">
        <f>+GETPIVOTDATA(" New-Total Doctorates#",'Pivot Table for 1-11'!$A$3,"State","AR","SREB Type",1,"SREB Type2","Four-Year")</f>
        <v>204</v>
      </c>
      <c r="H74" s="230">
        <f>+GETPIVOTDATA(" New-Law",'Pivot Table for 1-11'!$A$3,"State","AR","SREB Type",1,"SREB Type2","Four-Year")</f>
        <v>112</v>
      </c>
      <c r="I74" s="197">
        <f>+GETPIVOTDATA(" New-Medicine",'Pivot Table for 1-11'!$A$3,"State","AR","SREB Type",1,"SREB Type2","Four-Year")</f>
        <v>0</v>
      </c>
      <c r="J74" s="197">
        <f>+GETPIVOTDATA(" New-Dentistry",'Pivot Table for 1-11'!$A$3,"State","AR","SREB Type",1,"SREB Type2","Four-Year")</f>
        <v>0</v>
      </c>
      <c r="K74" s="197">
        <f>+GETPIVOTDATA(" New-Pharmacy",'Pivot Table for 1-11'!$A$3,"State","AR","SREB Type",1,"SREB Type2","Four-Year")</f>
        <v>0</v>
      </c>
      <c r="L74" s="197">
        <f>+GETPIVOTDATA(" New-Optometry",'Pivot Table for 1-11'!$A$3,"State","AR","SREB Type",1,"SREB Type2","Four-Year")</f>
        <v>0</v>
      </c>
      <c r="M74" s="197">
        <f>+GETPIVOTDATA(" New-Osteopathic Medicine",'Pivot Table for 1-11'!$A$3,"State","AR","SREB Type",1,"SREB Type2","Four-Year")</f>
        <v>0</v>
      </c>
      <c r="N74" s="197">
        <f>+GETPIVOTDATA(" New-Veterinary Medicine",'Pivot Table for 1-11'!$A$3,"State","AR","SREB Type",1,"SREB Type2","Four-Year")</f>
        <v>0</v>
      </c>
      <c r="O74" s="198">
        <f>+GETPIVOTDATA(" New-Oth PP",'Pivot Table for 1-11'!$A$3,"State","AR","SREB Type",1,"SREB Type2","Four-Year")</f>
        <v>18</v>
      </c>
      <c r="P74" s="199">
        <f>SUM(B74:O74)</f>
        <v>6894</v>
      </c>
      <c r="Q74" s="197"/>
    </row>
    <row r="75" spans="1:24" ht="15" customHeight="1">
      <c r="A75" s="196" t="s">
        <v>23</v>
      </c>
      <c r="B75" s="197">
        <f>+GETPIVOTDATA(" New-Less Than 2-Year",'Pivot Table for 1-11'!$A$3,"State","DE","SREB Type",1,"SREB Type2","Four-Year")+GETPIVOTDATA(" New-2 But Less Than 4-Year",'Pivot Table for 1-11'!$A$3,"State","DE","SREB Type",1,"SREB Type2","Four-Year")</f>
        <v>0</v>
      </c>
      <c r="C75" s="197">
        <f>+GETPIVOTDATA(" New-Associate's",'Pivot Table for 1-11'!$A$3,"State","DE","SREB Type",1,"SREB Type2","Four-Year")</f>
        <v>261</v>
      </c>
      <c r="D75" s="197">
        <f>+GETPIVOTDATA(" New-Bachelor's",'Pivot Table for 1-11'!$A$3,"State","DE","SREB Type",1,"SREB Type2","Four-Year")</f>
        <v>4243</v>
      </c>
      <c r="E75" s="197">
        <f>+GETPIVOTDATA(" New-Post-Bachelor's",'Pivot Table for 1-11'!$A$3,"State","DE","SREB Type",1,"SREB Type2","Four-Year")</f>
        <v>0</v>
      </c>
      <c r="F75" s="197">
        <f>+GETPIVOTDATA(" New-Total Master's#",'Pivot Table for 1-11'!$A$3,"State","DE","SREB Type",1,"SREB Type2","Four-Year")</f>
        <v>995</v>
      </c>
      <c r="G75" s="197">
        <f>+GETPIVOTDATA(" New-Total Doctorates#",'Pivot Table for 1-11'!$A$3,"State","DE","SREB Type",1,"SREB Type2","Four-Year")</f>
        <v>230</v>
      </c>
      <c r="H75" s="230">
        <f>+GETPIVOTDATA(" New-Law",'Pivot Table for 1-11'!$A$3,"State","DE","SREB Type",1,"SREB Type2","Four-Year")</f>
        <v>0</v>
      </c>
      <c r="I75" s="197">
        <f>+GETPIVOTDATA(" New-Medicine",'Pivot Table for 1-11'!$A$3,"State","DE","SREB Type",1,"SREB Type2","Four-Year")</f>
        <v>0</v>
      </c>
      <c r="J75" s="197">
        <f>+GETPIVOTDATA(" New-Dentistry",'Pivot Table for 1-11'!$A$3,"State","DE","SREB Type",1,"SREB Type2","Four-Year")</f>
        <v>0</v>
      </c>
      <c r="K75" s="197">
        <f>+GETPIVOTDATA(" New-Pharmacy",'Pivot Table for 1-11'!$A$3,"State","DE","SREB Type",1,"SREB Type2","Four-Year")</f>
        <v>0</v>
      </c>
      <c r="L75" s="197">
        <f>+GETPIVOTDATA(" New-Optometry",'Pivot Table for 1-11'!$A$3,"State","DE","SREB Type",1,"SREB Type2","Four-Year")</f>
        <v>0</v>
      </c>
      <c r="M75" s="197">
        <f>+GETPIVOTDATA(" New-Osteopathic Medicine",'Pivot Table for 1-11'!$A$3,"State","DE","SREB Type",1,"SREB Type2","Four-Year")</f>
        <v>0</v>
      </c>
      <c r="N75" s="197">
        <f>+GETPIVOTDATA(" New-Veterinary Medicine",'Pivot Table for 1-11'!$A$3,"State","DE","SREB Type",1,"SREB Type2","Four-Year")</f>
        <v>0</v>
      </c>
      <c r="O75" s="198">
        <f>+GETPIVOTDATA(" New-Oth PP",'Pivot Table for 1-11'!$A$3,"State","DE","SREB Type",1,"SREB Type2","Four-Year")</f>
        <v>65</v>
      </c>
      <c r="P75" s="199">
        <f t="shared" ref="P75:P91" si="2">SUM(B75:O75)</f>
        <v>5794</v>
      </c>
      <c r="Q75" s="197"/>
    </row>
    <row r="76" spans="1:24" ht="15" customHeight="1">
      <c r="A76" s="196" t="s">
        <v>24</v>
      </c>
      <c r="B76" s="197">
        <f>+GETPIVOTDATA(" New-Less Than 2-Year",'Pivot Table for 1-11'!$A$3,"State","FL","SREB Type",1,"SREB Type2","Four-Year")+GETPIVOTDATA(" New-2 But Less Than 4-Year",'Pivot Table for 1-11'!$A$3,"State","FL","SREB Type",1,"SREB Type2","Four-Year")</f>
        <v>0</v>
      </c>
      <c r="C76" s="197">
        <f>+GETPIVOTDATA(" New-Associate's",'Pivot Table for 1-11'!$A$3,"State","FL","SREB Type",1,"SREB Type2","Four-Year")</f>
        <v>0</v>
      </c>
      <c r="D76" s="197">
        <f>+GETPIVOTDATA(" New-Bachelor's",'Pivot Table for 1-11'!$A$3,"State","FL","SREB Type",1,"SREB Type2","Four-Year")</f>
        <v>0</v>
      </c>
      <c r="E76" s="197">
        <f>+GETPIVOTDATA(" New-Post-Bachelor's",'Pivot Table for 1-11'!$A$3,"State","FL","SREB Type",1,"SREB Type2","Four-Year")</f>
        <v>0</v>
      </c>
      <c r="F76" s="197">
        <f>+GETPIVOTDATA(" New-Total Master's#",'Pivot Table for 1-11'!$A$3,"State","FL","SREB Type",1,"SREB Type2","Four-Year")</f>
        <v>0</v>
      </c>
      <c r="G76" s="197">
        <f>+GETPIVOTDATA(" New-Total Doctorates#",'Pivot Table for 1-11'!$A$3,"State","FL","SREB Type",1,"SREB Type2","Four-Year")</f>
        <v>0</v>
      </c>
      <c r="H76" s="230">
        <f>+GETPIVOTDATA(" New-Law",'Pivot Table for 1-11'!$A$3,"State","FL","SREB Type",1,"SREB Type2","Four-Year")</f>
        <v>0</v>
      </c>
      <c r="I76" s="197">
        <f>+GETPIVOTDATA(" New-Medicine",'Pivot Table for 1-11'!$A$3,"State","FL","SREB Type",1,"SREB Type2","Four-Year")</f>
        <v>0</v>
      </c>
      <c r="J76" s="197">
        <f>+GETPIVOTDATA(" New-Dentistry",'Pivot Table for 1-11'!$A$3,"State","FL","SREB Type",1,"SREB Type2","Four-Year")</f>
        <v>0</v>
      </c>
      <c r="K76" s="197">
        <f>+GETPIVOTDATA(" New-Pharmacy",'Pivot Table for 1-11'!$A$3,"State","FL","SREB Type",1,"SREB Type2","Four-Year")</f>
        <v>0</v>
      </c>
      <c r="L76" s="197">
        <f>+GETPIVOTDATA(" New-Optometry",'Pivot Table for 1-11'!$A$3,"State","FL","SREB Type",1,"SREB Type2","Four-Year")</f>
        <v>0</v>
      </c>
      <c r="M76" s="197">
        <f>+GETPIVOTDATA(" New-Osteopathic Medicine",'Pivot Table for 1-11'!$A$3,"State","FL","SREB Type",1,"SREB Type2","Four-Year")</f>
        <v>0</v>
      </c>
      <c r="N76" s="197">
        <f>+GETPIVOTDATA(" New-Veterinary Medicine",'Pivot Table for 1-11'!$A$3,"State","FL","SREB Type",1,"SREB Type2","Four-Year")</f>
        <v>0</v>
      </c>
      <c r="O76" s="198">
        <f>+GETPIVOTDATA(" New-Oth PP",'Pivot Table for 1-11'!$A$3,"State","FL","SREB Type",1,"SREB Type2","Four-Year")</f>
        <v>0</v>
      </c>
      <c r="P76" s="199">
        <f t="shared" si="2"/>
        <v>0</v>
      </c>
      <c r="Q76" s="197"/>
    </row>
    <row r="77" spans="1:24" ht="15" customHeight="1">
      <c r="A77" s="196"/>
      <c r="B77" s="197"/>
      <c r="C77" s="197"/>
      <c r="D77" s="197"/>
      <c r="E77" s="197"/>
      <c r="F77" s="197"/>
      <c r="G77" s="197"/>
      <c r="H77" s="230"/>
      <c r="I77" s="197"/>
      <c r="J77" s="197"/>
      <c r="K77" s="197"/>
      <c r="L77" s="197"/>
      <c r="M77" s="197"/>
      <c r="N77" s="197"/>
      <c r="O77" s="198"/>
      <c r="P77" s="199"/>
      <c r="Q77" s="197"/>
    </row>
    <row r="78" spans="1:24" ht="15" customHeight="1">
      <c r="A78" s="196" t="s">
        <v>25</v>
      </c>
      <c r="B78" s="197">
        <f>+GETPIVOTDATA(" New-Less Than 2-Year",'Pivot Table for 1-11'!$A$3,"State","GA","SREB Type",1,"SREB Type2","Four-Year")+GETPIVOTDATA(" New-2 But Less Than 4-Year",'Pivot Table for 1-11'!$A$3,"State","GA","SREB Type",1,"SREB Type2","Four-Year")</f>
        <v>1087</v>
      </c>
      <c r="C78" s="197">
        <f>+GETPIVOTDATA(" New-Associate's",'Pivot Table for 1-11'!$A$3,"State","GA","SREB Type",1,"SREB Type2","Four-Year")</f>
        <v>2417</v>
      </c>
      <c r="D78" s="197">
        <f>+GETPIVOTDATA(" New-Bachelor's",'Pivot Table for 1-11'!$A$3,"State","GA","SREB Type",1,"SREB Type2","Four-Year")</f>
        <v>13868</v>
      </c>
      <c r="E78" s="197">
        <f>+GETPIVOTDATA(" New-Post-Bachelor's",'Pivot Table for 1-11'!$A$3,"State","GA","SREB Type",1,"SREB Type2","Four-Year")</f>
        <v>400</v>
      </c>
      <c r="F78" s="197">
        <f>+GETPIVOTDATA(" New-Total Master's#",'Pivot Table for 1-11'!$A$3,"State","GA","SREB Type",1,"SREB Type2","Four-Year")</f>
        <v>4075</v>
      </c>
      <c r="G78" s="197">
        <f>+GETPIVOTDATA(" New-Total Doctorates#",'Pivot Table for 1-11'!$A$3,"State","GA","SREB Type",1,"SREB Type2","Four-Year")</f>
        <v>819</v>
      </c>
      <c r="H78" s="230">
        <f>+GETPIVOTDATA(" New-Law",'Pivot Table for 1-11'!$A$3,"State","GA","SREB Type",1,"SREB Type2","Four-Year")</f>
        <v>374</v>
      </c>
      <c r="I78" s="197">
        <f>+GETPIVOTDATA(" New-Medicine",'Pivot Table for 1-11'!$A$3,"State","GA","SREB Type",1,"SREB Type2","Four-Year")</f>
        <v>0</v>
      </c>
      <c r="J78" s="197">
        <f>+GETPIVOTDATA(" New-Dentistry",'Pivot Table for 1-11'!$A$3,"State","GA","SREB Type",1,"SREB Type2","Four-Year")</f>
        <v>0</v>
      </c>
      <c r="K78" s="197">
        <f>+GETPIVOTDATA(" New-Pharmacy",'Pivot Table for 1-11'!$A$3,"State","GA","SREB Type",1,"SREB Type2","Four-Year")</f>
        <v>134</v>
      </c>
      <c r="L78" s="197">
        <f>+GETPIVOTDATA(" New-Optometry",'Pivot Table for 1-11'!$A$3,"State","GA","SREB Type",1,"SREB Type2","Four-Year")</f>
        <v>0</v>
      </c>
      <c r="M78" s="197">
        <f>+GETPIVOTDATA(" New-Osteopathic Medicine",'Pivot Table for 1-11'!$A$3,"State","GA","SREB Type",1,"SREB Type2","Four-Year")</f>
        <v>0</v>
      </c>
      <c r="N78" s="197">
        <f>+GETPIVOTDATA(" New-Veterinary Medicine",'Pivot Table for 1-11'!$A$3,"State","GA","SREB Type",1,"SREB Type2","Four-Year")</f>
        <v>114</v>
      </c>
      <c r="O78" s="198">
        <f>+GETPIVOTDATA(" New-Oth PP",'Pivot Table for 1-11'!$A$3,"State","GA","SREB Type",1,"SREB Type2","Four-Year")</f>
        <v>0</v>
      </c>
      <c r="P78" s="199">
        <f t="shared" si="2"/>
        <v>23288</v>
      </c>
      <c r="Q78" s="197"/>
    </row>
    <row r="79" spans="1:24" ht="15" customHeight="1">
      <c r="A79" s="196" t="s">
        <v>26</v>
      </c>
      <c r="B79" s="197">
        <f>+GETPIVOTDATA(" New-Less Than 2-Year",'Pivot Table for 1-11'!$A$3,"State","KY","SREB Type",1,"SREB Type2","Four-Year")+GETPIVOTDATA(" New-2 But Less Than 4-Year",'Pivot Table for 1-11'!$A$3,"State","KY","SREB Type",1,"SREB Type2","Four-Year")</f>
        <v>278</v>
      </c>
      <c r="C79" s="197">
        <f>+GETPIVOTDATA(" New-Associate's",'Pivot Table for 1-11'!$A$3,"State","KY","SREB Type",1,"SREB Type2","Four-Year")</f>
        <v>5</v>
      </c>
      <c r="D79" s="197">
        <f>+GETPIVOTDATA(" New-Bachelor's",'Pivot Table for 1-11'!$A$3,"State","KY","SREB Type",1,"SREB Type2","Four-Year")</f>
        <v>8314</v>
      </c>
      <c r="E79" s="197">
        <f>+GETPIVOTDATA(" New-Post-Bachelor's",'Pivot Table for 1-11'!$A$3,"State","KY","SREB Type",1,"SREB Type2","Four-Year")</f>
        <v>441</v>
      </c>
      <c r="F79" s="197">
        <f>+GETPIVOTDATA(" New-Total Master's#",'Pivot Table for 1-11'!$A$3,"State","KY","SREB Type",1,"SREB Type2","Four-Year")</f>
        <v>2683</v>
      </c>
      <c r="G79" s="197">
        <f>+GETPIVOTDATA(" New-Total Doctorates#",'Pivot Table for 1-11'!$A$3,"State","KY","SREB Type",1,"SREB Type2","Four-Year")</f>
        <v>477</v>
      </c>
      <c r="H79" s="230">
        <f>+GETPIVOTDATA(" New-Law",'Pivot Table for 1-11'!$A$3,"State","KY","SREB Type",1,"SREB Type2","Four-Year")</f>
        <v>235</v>
      </c>
      <c r="I79" s="197">
        <f>+GETPIVOTDATA(" New-Medicine",'Pivot Table for 1-11'!$A$3,"State","KY","SREB Type",1,"SREB Type2","Four-Year")</f>
        <v>293</v>
      </c>
      <c r="J79" s="197">
        <f>+GETPIVOTDATA(" New-Dentistry",'Pivot Table for 1-11'!$A$3,"State","KY","SREB Type",1,"SREB Type2","Four-Year")</f>
        <v>182</v>
      </c>
      <c r="K79" s="197">
        <f>+GETPIVOTDATA(" New-Pharmacy",'Pivot Table for 1-11'!$A$3,"State","KY","SREB Type",1,"SREB Type2","Four-Year")</f>
        <v>136</v>
      </c>
      <c r="L79" s="197">
        <f>+GETPIVOTDATA(" New-Optometry",'Pivot Table for 1-11'!$A$3,"State","KY","SREB Type",1,"SREB Type2","Four-Year")</f>
        <v>0</v>
      </c>
      <c r="M79" s="197">
        <f>+GETPIVOTDATA(" New-Osteopathic Medicine",'Pivot Table for 1-11'!$A$3,"State","KY","SREB Type",1,"SREB Type2","Four-Year")</f>
        <v>0</v>
      </c>
      <c r="N79" s="197">
        <f>+GETPIVOTDATA(" New-Veterinary Medicine",'Pivot Table for 1-11'!$A$3,"State","KY","SREB Type",1,"SREB Type2","Four-Year")</f>
        <v>0</v>
      </c>
      <c r="O79" s="198">
        <f>+GETPIVOTDATA(" New-Oth PP",'Pivot Table for 1-11'!$A$3,"State","KY","SREB Type",1,"SREB Type2","Four-Year")</f>
        <v>183</v>
      </c>
      <c r="P79" s="199">
        <f t="shared" si="2"/>
        <v>13227</v>
      </c>
      <c r="Q79" s="197"/>
    </row>
    <row r="80" spans="1:24" ht="15" customHeight="1">
      <c r="A80" s="196" t="s">
        <v>27</v>
      </c>
      <c r="B80" s="197">
        <f>+GETPIVOTDATA(" New-Less Than 2-Year",'Pivot Table for 1-11'!$A$3,"State","LA","SREB Type",1,"SREB Type2","Four-Year")+GETPIVOTDATA(" New-2 But Less Than 4-Year",'Pivot Table for 1-11'!$A$3,"State","LA","SREB Type",1,"SREB Type2","Four-Year")</f>
        <v>0</v>
      </c>
      <c r="C80" s="197">
        <f>+GETPIVOTDATA(" New-Associate's",'Pivot Table for 1-11'!$A$3,"State","LA","SREB Type",1,"SREB Type2","Four-Year")</f>
        <v>0</v>
      </c>
      <c r="D80" s="197">
        <f>+GETPIVOTDATA(" New-Bachelor's",'Pivot Table for 1-11'!$A$3,"State","LA","SREB Type",1,"SREB Type2","Four-Year")</f>
        <v>4971</v>
      </c>
      <c r="E80" s="197">
        <f>+GETPIVOTDATA(" New-Post-Bachelor's",'Pivot Table for 1-11'!$A$3,"State","LA","SREB Type",1,"SREB Type2","Four-Year")</f>
        <v>81</v>
      </c>
      <c r="F80" s="197">
        <f>+GETPIVOTDATA(" New-Total Master's#",'Pivot Table for 1-11'!$A$3,"State","LA","SREB Type",1,"SREB Type2","Four-Year")</f>
        <v>1427</v>
      </c>
      <c r="G80" s="197">
        <f>+GETPIVOTDATA(" New-Total Doctorates#",'Pivot Table for 1-11'!$A$3,"State","LA","SREB Type",1,"SREB Type2","Four-Year")</f>
        <v>347</v>
      </c>
      <c r="H80" s="230">
        <f>+GETPIVOTDATA(" New-Law",'Pivot Table for 1-11'!$A$3,"State","LA","SREB Type",1,"SREB Type2","Four-Year")</f>
        <v>166</v>
      </c>
      <c r="I80" s="197">
        <f>+GETPIVOTDATA(" New-Medicine",'Pivot Table for 1-11'!$A$3,"State","LA","SREB Type",1,"SREB Type2","Four-Year")</f>
        <v>0</v>
      </c>
      <c r="J80" s="197">
        <f>+GETPIVOTDATA(" New-Dentistry",'Pivot Table for 1-11'!$A$3,"State","LA","SREB Type",1,"SREB Type2","Four-Year")</f>
        <v>0</v>
      </c>
      <c r="K80" s="197">
        <f>+GETPIVOTDATA(" New-Pharmacy",'Pivot Table for 1-11'!$A$3,"State","LA","SREB Type",1,"SREB Type2","Four-Year")</f>
        <v>0</v>
      </c>
      <c r="L80" s="197">
        <f>+GETPIVOTDATA(" New-Optometry",'Pivot Table for 1-11'!$A$3,"State","LA","SREB Type",1,"SREB Type2","Four-Year")</f>
        <v>0</v>
      </c>
      <c r="M80" s="197">
        <f>+GETPIVOTDATA(" New-Osteopathic Medicine",'Pivot Table for 1-11'!$A$3,"State","LA","SREB Type",1,"SREB Type2","Four-Year")</f>
        <v>0</v>
      </c>
      <c r="N80" s="197">
        <f>+GETPIVOTDATA(" New-Veterinary Medicine",'Pivot Table for 1-11'!$A$3,"State","LA","SREB Type",1,"SREB Type2","Four-Year")</f>
        <v>88</v>
      </c>
      <c r="O80" s="198">
        <f>+GETPIVOTDATA(" New-Oth PP",'Pivot Table for 1-11'!$A$3,"State","LA","SREB Type",1,"SREB Type2","Four-Year")</f>
        <v>0</v>
      </c>
      <c r="P80" s="199">
        <f t="shared" si="2"/>
        <v>7080</v>
      </c>
      <c r="Q80" s="197"/>
    </row>
    <row r="81" spans="1:17" ht="15" customHeight="1">
      <c r="A81" s="196" t="s">
        <v>28</v>
      </c>
      <c r="B81" s="197">
        <f>+GETPIVOTDATA(" New-Less Than 2-Year",'Pivot Table for 1-11'!$A$3,"State","MD","SREB Type",1,"SREB Type2","Four-Year")+GETPIVOTDATA(" New-2 But Less Than 4-Year",'Pivot Table for 1-11'!$A$3,"State","MD","SREB Type",1,"SREB Type2","Four-Year")</f>
        <v>0</v>
      </c>
      <c r="C81" s="197">
        <f>+GETPIVOTDATA(" New-Associate's",'Pivot Table for 1-11'!$A$3,"State","MD","SREB Type",1,"SREB Type2","Four-Year")</f>
        <v>0</v>
      </c>
      <c r="D81" s="197">
        <f>+GETPIVOTDATA(" New-Bachelor's",'Pivot Table for 1-11'!$A$3,"State","MD","SREB Type",1,"SREB Type2","Four-Year")</f>
        <v>0</v>
      </c>
      <c r="E81" s="197">
        <f>+GETPIVOTDATA(" New-Post-Bachelor's",'Pivot Table for 1-11'!$A$3,"State","MD","SREB Type",1,"SREB Type2","Four-Year")</f>
        <v>0</v>
      </c>
      <c r="F81" s="197">
        <f>+GETPIVOTDATA(" New-Total Master's#",'Pivot Table for 1-11'!$A$3,"State","MD","SREB Type",1,"SREB Type2","Four-Year")</f>
        <v>0</v>
      </c>
      <c r="G81" s="197">
        <f>+GETPIVOTDATA(" New-Total Doctorates#",'Pivot Table for 1-11'!$A$3,"State","MD","SREB Type",1,"SREB Type2","Four-Year")</f>
        <v>0</v>
      </c>
      <c r="H81" s="230">
        <f>+GETPIVOTDATA(" New-Law",'Pivot Table for 1-11'!$A$3,"State","MD","SREB Type",1,"SREB Type2","Four-Year")</f>
        <v>0</v>
      </c>
      <c r="I81" s="197">
        <f>+GETPIVOTDATA(" New-Medicine",'Pivot Table for 1-11'!$A$3,"State","MD","SREB Type",1,"SREB Type2","Four-Year")</f>
        <v>0</v>
      </c>
      <c r="J81" s="197">
        <f>+GETPIVOTDATA(" New-Dentistry",'Pivot Table for 1-11'!$A$3,"State","MD","SREB Type",1,"SREB Type2","Four-Year")</f>
        <v>0</v>
      </c>
      <c r="K81" s="197">
        <f>+GETPIVOTDATA(" New-Pharmacy",'Pivot Table for 1-11'!$A$3,"State","MD","SREB Type",1,"SREB Type2","Four-Year")</f>
        <v>0</v>
      </c>
      <c r="L81" s="197">
        <f>+GETPIVOTDATA(" New-Optometry",'Pivot Table for 1-11'!$A$3,"State","MD","SREB Type",1,"SREB Type2","Four-Year")</f>
        <v>0</v>
      </c>
      <c r="M81" s="197">
        <f>+GETPIVOTDATA(" New-Osteopathic Medicine",'Pivot Table for 1-11'!$A$3,"State","MD","SREB Type",1,"SREB Type2","Four-Year")</f>
        <v>0</v>
      </c>
      <c r="N81" s="197">
        <f>+GETPIVOTDATA(" New-Veterinary Medicine",'Pivot Table for 1-11'!$A$3,"State","MD","SREB Type",1,"SREB Type2","Four-Year")</f>
        <v>0</v>
      </c>
      <c r="O81" s="198">
        <f>+GETPIVOTDATA(" New-Oth PP",'Pivot Table for 1-11'!$A$3,"State","MD","SREB Type",1,"SREB Type2","Four-Year")</f>
        <v>0</v>
      </c>
      <c r="P81" s="199">
        <f t="shared" si="2"/>
        <v>0</v>
      </c>
      <c r="Q81" s="196"/>
    </row>
    <row r="82" spans="1:17" ht="15" customHeight="1">
      <c r="A82" s="196"/>
      <c r="B82" s="197">
        <f>+GETPIVOTDATA(" New-Less Than 2-Year",'Pivot Table for 1-11'!$A$3,"State","AR","SREB Type",1,"SREB Type2","Four-Year")+GETPIVOTDATA(" New-2 But Less Than 4-Year",'Pivot Table for 1-11'!$A$3,"State","AR","SREB Type",1,"SREB Type2","Four-Year")</f>
        <v>8</v>
      </c>
      <c r="C82" s="197"/>
      <c r="D82" s="197"/>
      <c r="E82" s="197"/>
      <c r="F82" s="197"/>
      <c r="G82" s="197"/>
      <c r="H82" s="230"/>
      <c r="I82" s="197"/>
      <c r="J82" s="197"/>
      <c r="K82" s="197"/>
      <c r="L82" s="197"/>
      <c r="M82" s="197"/>
      <c r="N82" s="197"/>
      <c r="O82" s="198"/>
      <c r="P82" s="199"/>
      <c r="Q82" s="197"/>
    </row>
    <row r="83" spans="1:17" ht="15" customHeight="1">
      <c r="A83" s="196" t="s">
        <v>29</v>
      </c>
      <c r="B83" s="197">
        <f>+GETPIVOTDATA(" New-Less Than 2-Year",'Pivot Table for 1-11'!$A$3,"State","MS","SREB Type",1,"SREB Type2","Four-Year")+GETPIVOTDATA(" New-2 But Less Than 4-Year",'Pivot Table for 1-11'!$A$3,"State","MS","SREB Type",1,"SREB Type2","Four-Year")</f>
        <v>0</v>
      </c>
      <c r="C83" s="197">
        <f>+GETPIVOTDATA(" New-Associate's",'Pivot Table for 1-11'!$A$3,"State","MS","SREB Type",1,"SREB Type2","Four-Year")</f>
        <v>0</v>
      </c>
      <c r="D83" s="197">
        <f>+GETPIVOTDATA(" New-Bachelor's",'Pivot Table for 1-11'!$A$3,"State","MS","SREB Type",1,"SREB Type2","Four-Year")</f>
        <v>11172</v>
      </c>
      <c r="E83" s="197">
        <f>+GETPIVOTDATA(" New-Post-Bachelor's",'Pivot Table for 1-11'!$A$3,"State","MS","SREB Type",1,"SREB Type2","Four-Year")</f>
        <v>0</v>
      </c>
      <c r="F83" s="197">
        <f>+GETPIVOTDATA(" New-Total Master's#",'Pivot Table for 1-11'!$A$3,"State","MS","SREB Type",1,"SREB Type2","Four-Year")</f>
        <v>2468</v>
      </c>
      <c r="G83" s="197">
        <f>+GETPIVOTDATA(" New-Total Doctorates#",'Pivot Table for 1-11'!$A$3,"State","MS","SREB Type",1,"SREB Type2","Four-Year")</f>
        <v>465</v>
      </c>
      <c r="H83" s="230">
        <f>+GETPIVOTDATA(" New-Law",'Pivot Table for 1-11'!$A$3,"State","MS","SREB Type",1,"SREB Type2","Four-Year")</f>
        <v>112</v>
      </c>
      <c r="I83" s="197">
        <f>+GETPIVOTDATA(" New-Medicine",'Pivot Table for 1-11'!$A$3,"State","MS","SREB Type",1,"SREB Type2","Four-Year")</f>
        <v>146</v>
      </c>
      <c r="J83" s="197">
        <f>+GETPIVOTDATA(" New-Dentistry",'Pivot Table for 1-11'!$A$3,"State","MS","SREB Type",1,"SREB Type2","Four-Year")</f>
        <v>44</v>
      </c>
      <c r="K83" s="197">
        <f>+GETPIVOTDATA(" New-Pharmacy",'Pivot Table for 1-11'!$A$3,"State","MS","SREB Type",1,"SREB Type2","Four-Year")</f>
        <v>100</v>
      </c>
      <c r="L83" s="197">
        <f>+GETPIVOTDATA(" New-Optometry",'Pivot Table for 1-11'!$A$3,"State","MS","SREB Type",1,"SREB Type2","Four-Year")</f>
        <v>0</v>
      </c>
      <c r="M83" s="197">
        <f>+GETPIVOTDATA(" New-Osteopathic Medicine",'Pivot Table for 1-11'!$A$3,"State","MS","SREB Type",1,"SREB Type2","Four-Year")</f>
        <v>0</v>
      </c>
      <c r="N83" s="197">
        <f>+GETPIVOTDATA(" New-Veterinary Medicine",'Pivot Table for 1-11'!$A$3,"State","MS","SREB Type",1,"SREB Type2","Four-Year")</f>
        <v>87</v>
      </c>
      <c r="O83" s="198">
        <f>+GETPIVOTDATA(" New-Oth PP",'Pivot Table for 1-11'!$A$3,"State","MS","SREB Type",1,"SREB Type2","Four-Year")</f>
        <v>47</v>
      </c>
      <c r="P83" s="199">
        <f t="shared" si="2"/>
        <v>14641</v>
      </c>
      <c r="Q83" s="197"/>
    </row>
    <row r="84" spans="1:17" ht="15" customHeight="1">
      <c r="A84" s="196" t="s">
        <v>30</v>
      </c>
      <c r="B84" s="197">
        <f>+GETPIVOTDATA(" New-Less Than 2-Year",'Pivot Table for 1-11'!$A$3,"State","NC","SREB Type",1,"SREB Type2","Four-Year")+GETPIVOTDATA(" New-2 But Less Than 4-Year",'Pivot Table for 1-11'!$A$3,"State","NC","SREB Type",1,"SREB Type2","Four-Year")</f>
        <v>110</v>
      </c>
      <c r="C84" s="197">
        <f>+GETPIVOTDATA(" New-Associate's",'Pivot Table for 1-11'!$A$3,"State","NC","SREB Type",1,"SREB Type2","Four-Year")</f>
        <v>165</v>
      </c>
      <c r="D84" s="197">
        <f>+GETPIVOTDATA(" New-Bachelor's",'Pivot Table for 1-11'!$A$3,"State","NC","SREB Type",1,"SREB Type2","Four-Year")</f>
        <v>0</v>
      </c>
      <c r="E84" s="197">
        <f>+GETPIVOTDATA(" New-Post-Bachelor's",'Pivot Table for 1-11'!$A$3,"State","NC","SREB Type",1,"SREB Type2","Four-Year")</f>
        <v>683</v>
      </c>
      <c r="F84" s="197">
        <f>+GETPIVOTDATA(" New-Total Master's#",'Pivot Table for 1-11'!$A$3,"State","NC","SREB Type",1,"SREB Type2","Four-Year")</f>
        <v>7734</v>
      </c>
      <c r="G84" s="197">
        <f>+GETPIVOTDATA(" New-Total Doctorates#",'Pivot Table for 1-11'!$A$3,"State","NC","SREB Type",1,"SREB Type2","Four-Year")</f>
        <v>1401</v>
      </c>
      <c r="H84" s="230">
        <f>+GETPIVOTDATA(" New-Law",'Pivot Table for 1-11'!$A$3,"State","NC","SREB Type",1,"SREB Type2","Four-Year")</f>
        <v>199</v>
      </c>
      <c r="I84" s="197">
        <f>+GETPIVOTDATA(" New-Medicine",'Pivot Table for 1-11'!$A$3,"State","NC","SREB Type",1,"SREB Type2","Four-Year")</f>
        <v>170</v>
      </c>
      <c r="J84" s="197">
        <f>+GETPIVOTDATA(" New-Dentistry",'Pivot Table for 1-11'!$A$3,"State","NC","SREB Type",1,"SREB Type2","Four-Year")</f>
        <v>83</v>
      </c>
      <c r="K84" s="197">
        <f>+GETPIVOTDATA(" New-Pharmacy",'Pivot Table for 1-11'!$A$3,"State","NC","SREB Type",1,"SREB Type2","Four-Year")</f>
        <v>148</v>
      </c>
      <c r="L84" s="197">
        <f>+GETPIVOTDATA(" New-Optometry",'Pivot Table for 1-11'!$A$3,"State","NC","SREB Type",1,"SREB Type2","Four-Year")</f>
        <v>0</v>
      </c>
      <c r="M84" s="197">
        <f>+GETPIVOTDATA(" New-Osteopathic Medicine",'Pivot Table for 1-11'!$A$3,"State","NC","SREB Type",1,"SREB Type2","Four-Year")</f>
        <v>0</v>
      </c>
      <c r="N84" s="197">
        <f>+GETPIVOTDATA(" New-Veterinary Medicine",'Pivot Table for 1-11'!$A$3,"State","NC","SREB Type",1,"SREB Type2","Four-Year")</f>
        <v>100</v>
      </c>
      <c r="O84" s="198">
        <f>+GETPIVOTDATA(" New-Oth PP",'Pivot Table for 1-11'!$A$3,"State","NC","SREB Type",1,"SREB Type2","Four-Year")</f>
        <v>174</v>
      </c>
      <c r="P84" s="199">
        <f t="shared" si="2"/>
        <v>10967</v>
      </c>
      <c r="Q84" s="197"/>
    </row>
    <row r="85" spans="1:17" ht="15" customHeight="1">
      <c r="A85" s="196" t="s">
        <v>31</v>
      </c>
      <c r="B85" s="197">
        <f>+GETPIVOTDATA(" New-Less Than 2-Year",'Pivot Table for 1-11'!$A$3,"State","OK","SREB Type",1,"SREB Type2","Four-Year")+GETPIVOTDATA(" New-2 But Less Than 4-Year",'Pivot Table for 1-11'!$A$3,"State","OK","SREB Type",1,"SREB Type2","Four-Year")</f>
        <v>0</v>
      </c>
      <c r="C85" s="197">
        <f>+GETPIVOTDATA(" New-Associate's",'Pivot Table for 1-11'!$A$3,"State","OK","SREB Type",1,"SREB Type2","Four-Year")</f>
        <v>0</v>
      </c>
      <c r="D85" s="197">
        <f>+GETPIVOTDATA(" New-Bachelor's",'Pivot Table for 1-11'!$A$3,"State","OK","SREB Type",1,"SREB Type2","Four-Year")</f>
        <v>0</v>
      </c>
      <c r="E85" s="197">
        <f>+GETPIVOTDATA(" New-Post-Bachelor's",'Pivot Table for 1-11'!$A$3,"State","OK","SREB Type",1,"SREB Type2","Four-Year")</f>
        <v>0</v>
      </c>
      <c r="F85" s="197">
        <f>+GETPIVOTDATA(" New-Total Master's#",'Pivot Table for 1-11'!$A$3,"State","OK","SREB Type",1,"SREB Type2","Four-Year")</f>
        <v>0</v>
      </c>
      <c r="G85" s="197">
        <f>+GETPIVOTDATA(" New-Total Doctorates#",'Pivot Table for 1-11'!$A$3,"State","OK","SREB Type",1,"SREB Type2","Four-Year")</f>
        <v>0</v>
      </c>
      <c r="H85" s="230">
        <f>+GETPIVOTDATA(" New-Law",'Pivot Table for 1-11'!$A$3,"State","OK","SREB Type",1,"SREB Type2","Four-Year")</f>
        <v>0</v>
      </c>
      <c r="I85" s="197">
        <f>+GETPIVOTDATA(" New-Medicine",'Pivot Table for 1-11'!$A$3,"State","OK","SREB Type",1,"SREB Type2","Four-Year")</f>
        <v>0</v>
      </c>
      <c r="J85" s="197">
        <f>+GETPIVOTDATA(" New-Dentistry",'Pivot Table for 1-11'!$A$3,"State","OK","SREB Type",1,"SREB Type2","Four-Year")</f>
        <v>0</v>
      </c>
      <c r="K85" s="197">
        <f>+GETPIVOTDATA(" New-Pharmacy",'Pivot Table for 1-11'!$A$3,"State","OK","SREB Type",1,"SREB Type2","Four-Year")</f>
        <v>0</v>
      </c>
      <c r="L85" s="197">
        <f>+GETPIVOTDATA(" New-Optometry",'Pivot Table for 1-11'!$A$3,"State","OK","SREB Type",1,"SREB Type2","Four-Year")</f>
        <v>0</v>
      </c>
      <c r="M85" s="197">
        <f>+GETPIVOTDATA(" New-Osteopathic Medicine",'Pivot Table for 1-11'!$A$3,"State","OK","SREB Type",1,"SREB Type2","Four-Year")</f>
        <v>0</v>
      </c>
      <c r="N85" s="197">
        <f>+GETPIVOTDATA(" New-Veterinary Medicine",'Pivot Table for 1-11'!$A$3,"State","OK","SREB Type",1,"SREB Type2","Four-Year")</f>
        <v>0</v>
      </c>
      <c r="O85" s="198">
        <f>+GETPIVOTDATA(" New-Oth PP",'Pivot Table for 1-11'!$A$3,"State","OK","SREB Type",1,"SREB Type2","Four-Year")</f>
        <v>0</v>
      </c>
      <c r="P85" s="199">
        <f t="shared" si="2"/>
        <v>0</v>
      </c>
      <c r="Q85" s="197"/>
    </row>
    <row r="86" spans="1:17" ht="15" customHeight="1">
      <c r="A86" s="196" t="s">
        <v>32</v>
      </c>
      <c r="B86" s="197">
        <f>+GETPIVOTDATA(" New-Less Than 2-Year",'Pivot Table for 1-11'!$A$3,"State","SC","SREB Type",1,"SREB Type2","Four-Year")+GETPIVOTDATA(" New-2 But Less Than 4-Year",'Pivot Table for 1-11'!$A$3,"State","SC","SREB Type",1,"SREB Type2","Four-Year")</f>
        <v>177</v>
      </c>
      <c r="C86" s="197">
        <f>+GETPIVOTDATA(" New-Associate's",'Pivot Table for 1-11'!$A$3,"State","SC","SREB Type",1,"SREB Type2","Four-Year")</f>
        <v>4</v>
      </c>
      <c r="D86" s="197">
        <f>+GETPIVOTDATA(" New-Bachelor's",'Pivot Table for 1-11'!$A$3,"State","SC","SREB Type",1,"SREB Type2","Four-Year")</f>
        <v>11070</v>
      </c>
      <c r="E86" s="197">
        <f>+GETPIVOTDATA(" New-Post-Bachelor's",'Pivot Table for 1-11'!$A$3,"State","SC","SREB Type",1,"SREB Type2","Four-Year")</f>
        <v>338</v>
      </c>
      <c r="F86" s="197">
        <f>+GETPIVOTDATA(" New-Total Master's#",'Pivot Table for 1-11'!$A$3,"State","SC","SREB Type",1,"SREB Type2","Four-Year")</f>
        <v>3385</v>
      </c>
      <c r="G86" s="197">
        <f>+GETPIVOTDATA(" New-Total Doctorates#",'Pivot Table for 1-11'!$A$3,"State","SC","SREB Type",1,"SREB Type2","Four-Year")</f>
        <v>687</v>
      </c>
      <c r="H86" s="230">
        <f>+GETPIVOTDATA(" New-Law",'Pivot Table for 1-11'!$A$3,"State","SC","SREB Type",1,"SREB Type2","Four-Year")</f>
        <v>202</v>
      </c>
      <c r="I86" s="197">
        <f>+GETPIVOTDATA(" New-Medicine",'Pivot Table for 1-11'!$A$3,"State","SC","SREB Type",1,"SREB Type2","Four-Year")</f>
        <v>187</v>
      </c>
      <c r="J86" s="197">
        <f>+GETPIVOTDATA(" New-Dentistry",'Pivot Table for 1-11'!$A$3,"State","SC","SREB Type",1,"SREB Type2","Four-Year")</f>
        <v>0</v>
      </c>
      <c r="K86" s="197">
        <f>+GETPIVOTDATA(" New-Pharmacy",'Pivot Table for 1-11'!$A$3,"State","SC","SREB Type",1,"SREB Type2","Four-Year")</f>
        <v>103</v>
      </c>
      <c r="L86" s="197">
        <f>+GETPIVOTDATA(" New-Optometry",'Pivot Table for 1-11'!$A$3,"State","SC","SREB Type",1,"SREB Type2","Four-Year")</f>
        <v>0</v>
      </c>
      <c r="M86" s="197">
        <f>+GETPIVOTDATA(" New-Osteopathic Medicine",'Pivot Table for 1-11'!$A$3,"State","SC","SREB Type",1,"SREB Type2","Four-Year")</f>
        <v>0</v>
      </c>
      <c r="N86" s="197">
        <f>+GETPIVOTDATA(" New-Veterinary Medicine",'Pivot Table for 1-11'!$A$3,"State","SC","SREB Type",1,"SREB Type2","Four-Year")</f>
        <v>0</v>
      </c>
      <c r="O86" s="198">
        <f>+GETPIVOTDATA(" New-Oth PP",'Pivot Table for 1-11'!$A$3,"State","SC","SREB Type",1,"SREB Type2","Four-Year")</f>
        <v>0</v>
      </c>
      <c r="P86" s="199">
        <f t="shared" si="2"/>
        <v>16153</v>
      </c>
      <c r="Q86" s="197"/>
    </row>
    <row r="87" spans="1:17" ht="15" customHeight="1">
      <c r="A87" s="196"/>
      <c r="B87" s="197">
        <f>+GETPIVOTDATA(" New-Less Than 2-Year",'Pivot Table for 1-11'!$A$3,"State","AR","SREB Type",1,"SREB Type2","Four-Year")+GETPIVOTDATA(" New-2 But Less Than 4-Year",'Pivot Table for 1-11'!$A$3,"State","AR","SREB Type",1,"SREB Type2","Four-Year")</f>
        <v>8</v>
      </c>
      <c r="C87" s="197">
        <f>+GETPIVOTDATA(" New-Associate's",'Pivot Table for 1-11'!$A$3,"State","AR","SREB Type",1,"SREB Type2","Four-Year")</f>
        <v>0</v>
      </c>
      <c r="D87" s="197"/>
      <c r="E87" s="197"/>
      <c r="F87" s="197"/>
      <c r="G87" s="197"/>
      <c r="H87" s="230"/>
      <c r="I87" s="197"/>
      <c r="J87" s="197"/>
      <c r="K87" s="197"/>
      <c r="L87" s="197"/>
      <c r="M87" s="197"/>
      <c r="N87" s="197"/>
      <c r="O87" s="198"/>
      <c r="P87" s="199"/>
      <c r="Q87" s="197"/>
    </row>
    <row r="88" spans="1:17" ht="15" customHeight="1">
      <c r="A88" s="196" t="s">
        <v>33</v>
      </c>
      <c r="B88" s="197">
        <f>+GETPIVOTDATA(" New-Less Than 2-Year",'Pivot Table for 1-11'!$A$3,"State","TN","SREB Type",1,"SREB Type2","Four-Year")+GETPIVOTDATA(" New-2 But Less Than 4-Year",'Pivot Table for 1-11'!$A$3,"State","TN","SREB Type",1,"SREB Type2","Four-Year")</f>
        <v>0</v>
      </c>
      <c r="C88" s="197">
        <f>+GETPIVOTDATA(" New-Associate's",'Pivot Table for 1-11'!$A$3,"State","TN","SREB Type",1,"SREB Type2","Four-Year")</f>
        <v>0</v>
      </c>
      <c r="D88" s="197">
        <f>+GETPIVOTDATA(" New-Bachelor's",'Pivot Table for 1-11'!$A$3,"State","TN","SREB Type",1,"SREB Type2","Four-Year")</f>
        <v>8156</v>
      </c>
      <c r="E88" s="197">
        <f>+GETPIVOTDATA(" New-Post-Bachelor's",'Pivot Table for 1-11'!$A$3,"State","TN","SREB Type",1,"SREB Type2","Four-Year")</f>
        <v>0</v>
      </c>
      <c r="F88" s="197">
        <f>+GETPIVOTDATA(" New-Total Master's#",'Pivot Table for 1-11'!$A$3,"State","TN","SREB Type",1,"SREB Type2","Four-Year")</f>
        <v>2556</v>
      </c>
      <c r="G88" s="197">
        <f>+GETPIVOTDATA(" New-Total Doctorates#",'Pivot Table for 1-11'!$A$3,"State","TN","SREB Type",1,"SREB Type2","Four-Year")</f>
        <v>621</v>
      </c>
      <c r="H88" s="230">
        <f>+GETPIVOTDATA(" New-Law",'Pivot Table for 1-11'!$A$3,"State","TN","SREB Type",1,"SREB Type2","Four-Year")</f>
        <v>206</v>
      </c>
      <c r="I88" s="197">
        <f>+GETPIVOTDATA(" New-Medicine",'Pivot Table for 1-11'!$A$3,"State","TN","SREB Type",1,"SREB Type2","Four-Year")</f>
        <v>0</v>
      </c>
      <c r="J88" s="197">
        <f>+GETPIVOTDATA(" New-Dentistry",'Pivot Table for 1-11'!$A$3,"State","TN","SREB Type",1,"SREB Type2","Four-Year")</f>
        <v>0</v>
      </c>
      <c r="K88" s="197">
        <f>+GETPIVOTDATA(" New-Pharmacy",'Pivot Table for 1-11'!$A$3,"State","TN","SREB Type",1,"SREB Type2","Four-Year")</f>
        <v>0</v>
      </c>
      <c r="L88" s="197">
        <f>+GETPIVOTDATA(" New-Optometry",'Pivot Table for 1-11'!$A$3,"State","TN","SREB Type",1,"SREB Type2","Four-Year")</f>
        <v>0</v>
      </c>
      <c r="M88" s="197">
        <f>+GETPIVOTDATA(" New-Osteopathic Medicine",'Pivot Table for 1-11'!$A$3,"State","TN","SREB Type",1,"SREB Type2","Four-Year")</f>
        <v>0</v>
      </c>
      <c r="N88" s="197">
        <f>+GETPIVOTDATA(" New-Veterinary Medicine",'Pivot Table for 1-11'!$A$3,"State","TN","SREB Type",1,"SREB Type2","Four-Year")</f>
        <v>79</v>
      </c>
      <c r="O88" s="198">
        <f>+GETPIVOTDATA(" New-Oth PP",'Pivot Table for 1-11'!$A$3,"State","TN","SREB Type",1,"SREB Type2","Four-Year")</f>
        <v>0</v>
      </c>
      <c r="P88" s="199">
        <f t="shared" si="2"/>
        <v>11618</v>
      </c>
      <c r="Q88" s="197"/>
    </row>
    <row r="89" spans="1:17" ht="15" customHeight="1">
      <c r="A89" s="196" t="s">
        <v>34</v>
      </c>
      <c r="B89" s="197">
        <f>+GETPIVOTDATA(" New-Less Than 2-Year",'Pivot Table for 1-11'!$A$3,"State","TX","SREB Type",1,"SREB Type2","Four-Year")+GETPIVOTDATA(" New-2 But Less Than 4-Year",'Pivot Table for 1-11'!$A$3,"State","TX","SREB Type",1,"SREB Type2","Four-Year")</f>
        <v>0</v>
      </c>
      <c r="C89" s="197">
        <f>+GETPIVOTDATA(" New-Associate's",'Pivot Table for 1-11'!$A$3,"State","TX","SREB Type",1,"SREB Type2","Four-Year")</f>
        <v>0</v>
      </c>
      <c r="D89" s="197">
        <f>+GETPIVOTDATA(" New-Bachelor's",'Pivot Table for 1-11'!$A$3,"State","TX","SREB Type",1,"SREB Type2","Four-Year")</f>
        <v>0</v>
      </c>
      <c r="E89" s="197">
        <f>+GETPIVOTDATA(" New-Post-Bachelor's",'Pivot Table for 1-11'!$A$3,"State","TX","SREB Type",1,"SREB Type2","Four-Year")</f>
        <v>0</v>
      </c>
      <c r="F89" s="197">
        <f>+GETPIVOTDATA(" New-Total Master's#",'Pivot Table for 1-11'!$A$3,"State","TX","SREB Type",1,"SREB Type2","Four-Year")</f>
        <v>21647</v>
      </c>
      <c r="G89" s="197">
        <f>+GETPIVOTDATA(" New-Total Doctorates#",'Pivot Table for 1-11'!$A$3,"State","TX","SREB Type",1,"SREB Type2","Four-Year")</f>
        <v>3333</v>
      </c>
      <c r="H89" s="230">
        <f>+GETPIVOTDATA(" New-Law",'Pivot Table for 1-11'!$A$3,"State","TX","SREB Type",1,"SREB Type2","Four-Year")</f>
        <v>811</v>
      </c>
      <c r="I89" s="197">
        <f>+GETPIVOTDATA(" New-Medicine",'Pivot Table for 1-11'!$A$3,"State","TX","SREB Type",1,"SREB Type2","Four-Year")</f>
        <v>0</v>
      </c>
      <c r="J89" s="197">
        <f>+GETPIVOTDATA(" New-Dentistry",'Pivot Table for 1-11'!$A$3,"State","TX","SREB Type",1,"SREB Type2","Four-Year")</f>
        <v>0</v>
      </c>
      <c r="K89" s="197">
        <f>+GETPIVOTDATA(" New-Pharmacy",'Pivot Table for 1-11'!$A$3,"State","TX","SREB Type",1,"SREB Type2","Four-Year")</f>
        <v>226</v>
      </c>
      <c r="L89" s="197">
        <f>+GETPIVOTDATA(" New-Optometry",'Pivot Table for 1-11'!$A$3,"State","TX","SREB Type",1,"SREB Type2","Four-Year")</f>
        <v>92</v>
      </c>
      <c r="M89" s="197">
        <f>+GETPIVOTDATA(" New-Osteopathic Medicine",'Pivot Table for 1-11'!$A$3,"State","TX","SREB Type",1,"SREB Type2","Four-Year")</f>
        <v>0</v>
      </c>
      <c r="N89" s="197">
        <f>+GETPIVOTDATA(" New-Veterinary Medicine",'Pivot Table for 1-11'!$A$3,"State","TX","SREB Type",1,"SREB Type2","Four-Year")</f>
        <v>133</v>
      </c>
      <c r="O89" s="198">
        <f>+GETPIVOTDATA(" New-Oth PP",'Pivot Table for 1-11'!$A$3,"State","TX","SREB Type",1,"SREB Type2","Four-Year")</f>
        <v>35</v>
      </c>
      <c r="P89" s="199">
        <f t="shared" si="2"/>
        <v>26277</v>
      </c>
      <c r="Q89" s="197"/>
    </row>
    <row r="90" spans="1:17" ht="15" customHeight="1">
      <c r="A90" s="196" t="s">
        <v>35</v>
      </c>
      <c r="B90" s="197">
        <f>+GETPIVOTDATA(" New-Less Than 2-Year",'Pivot Table for 1-11'!$A$3,"State","VA","SREB Type",1,"SREB Type2","Four-Year")+GETPIVOTDATA(" New-2 But Less Than 4-Year",'Pivot Table for 1-11'!$A$3,"State","VA","SREB Type",1,"SREB Type2","Four-Year")</f>
        <v>125</v>
      </c>
      <c r="C90" s="197">
        <f>+GETPIVOTDATA(" New-Associate's",'Pivot Table for 1-11'!$A$3,"State","VA","SREB Type",1,"SREB Type2","Four-Year")</f>
        <v>55</v>
      </c>
      <c r="D90" s="197">
        <f>+GETPIVOTDATA(" New-Bachelor's",'Pivot Table for 1-11'!$A$3,"State","VA","SREB Type",1,"SREB Type2","Four-Year")</f>
        <v>25672</v>
      </c>
      <c r="E90" s="197">
        <f>+GETPIVOTDATA(" New-Post-Bachelor's",'Pivot Table for 1-11'!$A$3,"State","VA","SREB Type",1,"SREB Type2","Four-Year")</f>
        <v>1641</v>
      </c>
      <c r="F90" s="197">
        <f>+GETPIVOTDATA(" New-Total Master's#",'Pivot Table for 1-11'!$A$3,"State","VA","SREB Type",1,"SREB Type2","Four-Year")</f>
        <v>9318</v>
      </c>
      <c r="G90" s="197">
        <f>+GETPIVOTDATA(" New-Total Doctorates#",'Pivot Table for 1-11'!$A$3,"State","VA","SREB Type",1,"SREB Type2","Four-Year")</f>
        <v>1782</v>
      </c>
      <c r="H90" s="230">
        <f>+GETPIVOTDATA(" New-Law",'Pivot Table for 1-11'!$A$3,"State","VA","SREB Type",1,"SREB Type2","Four-Year")</f>
        <v>0</v>
      </c>
      <c r="I90" s="197">
        <f>+GETPIVOTDATA(" New-Medicine",'Pivot Table for 1-11'!$A$3,"State","VA","SREB Type",1,"SREB Type2","Four-Year")</f>
        <v>0</v>
      </c>
      <c r="J90" s="197">
        <f>+GETPIVOTDATA(" New-Dentistry",'Pivot Table for 1-11'!$A$3,"State","VA","SREB Type",1,"SREB Type2","Four-Year")</f>
        <v>0</v>
      </c>
      <c r="K90" s="197">
        <f>+GETPIVOTDATA(" New-Pharmacy",'Pivot Table for 1-11'!$A$3,"State","VA","SREB Type",1,"SREB Type2","Four-Year")</f>
        <v>0</v>
      </c>
      <c r="L90" s="197">
        <f>+GETPIVOTDATA(" New-Optometry",'Pivot Table for 1-11'!$A$3,"State","VA","SREB Type",1,"SREB Type2","Four-Year")</f>
        <v>0</v>
      </c>
      <c r="M90" s="197">
        <f>+GETPIVOTDATA(" New-Osteopathic Medicine",'Pivot Table for 1-11'!$A$3,"State","VA","SREB Type",1,"SREB Type2","Four-Year")</f>
        <v>0</v>
      </c>
      <c r="N90" s="197">
        <f>+GETPIVOTDATA(" New-Veterinary Medicine",'Pivot Table for 1-11'!$A$3,"State","VA","SREB Type",1,"SREB Type2","Four-Year")</f>
        <v>0</v>
      </c>
      <c r="O90" s="198">
        <f>+GETPIVOTDATA(" New-Oth PP",'Pivot Table for 1-11'!$A$3,"State","VA","SREB Type",1,"SREB Type2","Four-Year")</f>
        <v>0</v>
      </c>
      <c r="P90" s="199">
        <f t="shared" si="2"/>
        <v>38593</v>
      </c>
      <c r="Q90" s="197"/>
    </row>
    <row r="91" spans="1:17" ht="15" customHeight="1">
      <c r="A91" s="200" t="s">
        <v>36</v>
      </c>
      <c r="B91" s="201">
        <f>+GETPIVOTDATA(" New-Less Than 2-Year",'Pivot Table for 1-11'!$A$3,"State","WV","SREB Type",1,"SREB Type2","Four-Year")+GETPIVOTDATA(" New-2 But Less Than 4-Year",'Pivot Table for 1-11'!$A$3,"State","WV","SREB Type",1,"SREB Type2","Four-Year")</f>
        <v>0</v>
      </c>
      <c r="C91" s="201">
        <f>+GETPIVOTDATA(" New-Associate's",'Pivot Table for 1-11'!$A$3,"State","WV","SREB Type",1,"SREB Type2","Four-Year")</f>
        <v>0</v>
      </c>
      <c r="D91" s="201">
        <f>+GETPIVOTDATA(" New-Bachelor's",'Pivot Table for 1-11'!$A$3,"State","WV","SREB Type",1,"SREB Type2","Four-Year")</f>
        <v>4649</v>
      </c>
      <c r="E91" s="201">
        <f>+GETPIVOTDATA(" New-Post-Bachelor's",'Pivot Table for 1-11'!$A$3,"State","WV","SREB Type",1,"SREB Type2","Four-Year")</f>
        <v>0</v>
      </c>
      <c r="F91" s="201">
        <f>+GETPIVOTDATA(" New-Total Master's#",'Pivot Table for 1-11'!$A$3,"State","WV","SREB Type",1,"SREB Type2","Four-Year")</f>
        <v>1340</v>
      </c>
      <c r="G91" s="201">
        <f>+GETPIVOTDATA(" New-Total Doctorates#",'Pivot Table for 1-11'!$A$3,"State","WV","SREB Type",1,"SREB Type2","Four-Year")</f>
        <v>199</v>
      </c>
      <c r="H91" s="318">
        <f>+GETPIVOTDATA(" New-Law",'Pivot Table for 1-11'!$A$3,"State","WV","SREB Type",1,"SREB Type2","Four-Year")</f>
        <v>107</v>
      </c>
      <c r="I91" s="201">
        <f>+GETPIVOTDATA(" New-Medicine",'Pivot Table for 1-11'!$A$3,"State","WV","SREB Type",1,"SREB Type2","Four-Year")</f>
        <v>101</v>
      </c>
      <c r="J91" s="201">
        <f>+GETPIVOTDATA(" New-Dentistry",'Pivot Table for 1-11'!$A$3,"State","WV","SREB Type",1,"SREB Type2","Four-Year")</f>
        <v>47</v>
      </c>
      <c r="K91" s="201">
        <f>+GETPIVOTDATA(" New-Pharmacy",'Pivot Table for 1-11'!$A$3,"State","WV","SREB Type",1,"SREB Type2","Four-Year")</f>
        <v>72</v>
      </c>
      <c r="L91" s="201">
        <f>+GETPIVOTDATA(" New-Optometry",'Pivot Table for 1-11'!$A$3,"State","WV","SREB Type",1,"SREB Type2","Four-Year")</f>
        <v>0</v>
      </c>
      <c r="M91" s="201">
        <f>+GETPIVOTDATA(" New-Osteopathic Medicine",'Pivot Table for 1-11'!$A$3,"State","WV","SREB Type",1,"SREB Type2","Four-Year")</f>
        <v>0</v>
      </c>
      <c r="N91" s="201">
        <f>+GETPIVOTDATA(" New-Veterinary Medicine",'Pivot Table for 1-11'!$A$3,"State","WV","SREB Type",1,"SREB Type2","Four-Year")</f>
        <v>0</v>
      </c>
      <c r="O91" s="319">
        <f>+GETPIVOTDATA(" New-Oth PP",'Pivot Table for 1-11'!$A$3,"State","WV","SREB Type",1,"SREB Type2","Four-Year")</f>
        <v>62</v>
      </c>
      <c r="P91" s="203">
        <f t="shared" si="2"/>
        <v>6577</v>
      </c>
      <c r="Q91" s="197"/>
    </row>
    <row r="92" spans="1:17"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  <c r="Q92" s="197"/>
    </row>
    <row r="93" spans="1:17" ht="27" customHeight="1">
      <c r="A93" s="545" t="s">
        <v>37</v>
      </c>
      <c r="B93" s="546"/>
      <c r="C93" s="546"/>
      <c r="D93" s="546"/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  <c r="Q93" s="263"/>
    </row>
    <row r="94" spans="1:17">
      <c r="P94" s="204" t="s">
        <v>1178</v>
      </c>
      <c r="Q94" s="204"/>
    </row>
    <row r="95" spans="1:17" ht="18">
      <c r="A95" s="186" t="s">
        <v>44</v>
      </c>
      <c r="B95" s="187"/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  <c r="Q95" s="187" t="s">
        <v>1</v>
      </c>
    </row>
    <row r="96" spans="1:17" ht="15.75" customHeight="1">
      <c r="A96" s="188"/>
      <c r="B96" s="188"/>
      <c r="C96" s="188"/>
      <c r="D96" s="188"/>
      <c r="E96" s="188"/>
      <c r="F96" s="188"/>
      <c r="G96" s="188"/>
      <c r="H96" s="188"/>
      <c r="I96" s="188"/>
      <c r="J96" s="188"/>
      <c r="K96" s="188"/>
      <c r="L96" s="188"/>
      <c r="M96" s="188"/>
      <c r="N96" s="188"/>
      <c r="O96" s="188"/>
      <c r="P96" s="188"/>
      <c r="Q96" s="188"/>
    </row>
    <row r="97" spans="1:24" ht="15.5">
      <c r="A97" s="187" t="s">
        <v>2</v>
      </c>
      <c r="B97" s="187"/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  <c r="Q97" s="187" t="s">
        <v>1</v>
      </c>
    </row>
    <row r="98" spans="1:24" ht="15.5">
      <c r="A98" s="187" t="s">
        <v>1182</v>
      </c>
      <c r="B98" s="187"/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  <c r="Q98" s="187" t="s">
        <v>1</v>
      </c>
    </row>
    <row r="99" spans="1:24" ht="15.5">
      <c r="A99" s="189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  <c r="Q99" s="189"/>
    </row>
    <row r="100" spans="1:24" ht="15.5">
      <c r="A100" s="190"/>
      <c r="B100" s="190"/>
      <c r="C100" s="190"/>
      <c r="D100" s="190"/>
      <c r="E100" s="190"/>
      <c r="F100" s="190"/>
      <c r="G100" s="190"/>
      <c r="H100" s="225" t="s">
        <v>4</v>
      </c>
      <c r="I100" s="256"/>
      <c r="J100" s="256"/>
      <c r="K100" s="256"/>
      <c r="L100" s="256"/>
      <c r="M100" s="256"/>
      <c r="N100" s="256"/>
      <c r="O100" s="226"/>
      <c r="P100" s="192" t="s">
        <v>1</v>
      </c>
      <c r="Q100" s="189"/>
      <c r="R100" s="112"/>
      <c r="S100" s="112"/>
      <c r="X100" s="112"/>
    </row>
    <row r="101" spans="1:24" ht="42" customHeight="1">
      <c r="A101" s="193"/>
      <c r="B101" s="194" t="s">
        <v>5</v>
      </c>
      <c r="C101" s="194" t="s">
        <v>6</v>
      </c>
      <c r="D101" s="194" t="s">
        <v>7</v>
      </c>
      <c r="E101" s="194" t="s">
        <v>8</v>
      </c>
      <c r="F101" s="194" t="s">
        <v>9</v>
      </c>
      <c r="G101" s="194" t="s">
        <v>10</v>
      </c>
      <c r="H101" s="317" t="s">
        <v>11</v>
      </c>
      <c r="I101" s="194" t="s">
        <v>12</v>
      </c>
      <c r="J101" s="194" t="s">
        <v>13</v>
      </c>
      <c r="K101" s="194" t="s">
        <v>46</v>
      </c>
      <c r="L101" s="194" t="s">
        <v>15</v>
      </c>
      <c r="M101" s="194" t="s">
        <v>16</v>
      </c>
      <c r="N101" s="194" t="s">
        <v>17</v>
      </c>
      <c r="O101" s="228" t="s">
        <v>18</v>
      </c>
      <c r="P101" s="194" t="s">
        <v>19</v>
      </c>
      <c r="Q101" s="245"/>
    </row>
    <row r="102" spans="1:24" ht="15" customHeight="1">
      <c r="A102" s="65" t="s">
        <v>20</v>
      </c>
      <c r="B102" s="197">
        <f>+GETPIVOTDATA(" New-Less Than 2-Year",'Pivot Table for 1-11'!$A$3,"SREB Type",2,"SREB Type2","Four-Year")+GETPIVOTDATA(" New-2 But Less Than 4-Year",'Pivot Table for 1-11'!$A$3,"SREB Type",2,"SREB Type2","Four-Year")</f>
        <v>139</v>
      </c>
      <c r="C102" s="197">
        <f>+GETPIVOTDATA(" New-Associate's",'Pivot Table for 1-11'!$A$3,"SREB Type",2,"SREB Type2","Four-Year")</f>
        <v>404</v>
      </c>
      <c r="D102" s="197">
        <f>+GETPIVOTDATA(" New-Bachelor's",'Pivot Table for 1-11'!$A$3,"SREB Type",2,"SREB Type2","Four-Year")</f>
        <v>24592</v>
      </c>
      <c r="E102" s="197">
        <f>+GETPIVOTDATA(" New-Post-Bachelor's",'Pivot Table for 1-11'!$A$3,"SREB Type",2,"SREB Type2","Four-Year")</f>
        <v>709</v>
      </c>
      <c r="F102" s="197">
        <f>+GETPIVOTDATA(" New-Total Master's#",'Pivot Table for 1-11'!$A$3,"SREB Type",2,"SREB Type2","Four-Year")</f>
        <v>16237</v>
      </c>
      <c r="G102" s="197">
        <f>+GETPIVOTDATA(" New-Total Doctorates#",'Pivot Table for 1-11'!$A$3,"SREB Type",2,"SREB Type2","Four-Year")</f>
        <v>1663</v>
      </c>
      <c r="H102" s="230">
        <f>+GETPIVOTDATA(" New-Law",'Pivot Table for 1-11'!$A$3,"SREB Type",2,"SREB Type2","Four-Year")</f>
        <v>106</v>
      </c>
      <c r="I102" s="197">
        <f>+GETPIVOTDATA(" New-Medicine",'Pivot Table for 1-11'!$A$3,"SREB Type",2,"SREB Type2","Four-Year")</f>
        <v>209</v>
      </c>
      <c r="J102" s="197">
        <f>+GETPIVOTDATA(" New-Dentistry",'Pivot Table for 1-11'!$A$3,"SREB Type",2,"SREB Type2","Four-Year")</f>
        <v>52</v>
      </c>
      <c r="K102" s="197">
        <f>+GETPIVOTDATA(" New-Pharmacy",'Pivot Table for 1-11'!$A$3,"SREB Type",2,"SREB Type2","Four-Year")</f>
        <v>68</v>
      </c>
      <c r="L102" s="197">
        <f>+GETPIVOTDATA(" New-Optometry",'Pivot Table for 1-11'!$A$3,"SREB Type",2,"SREB Type2","Four-Year")</f>
        <v>0</v>
      </c>
      <c r="M102" s="197">
        <f>+GETPIVOTDATA(" New-Osteopathic Medicine",'Pivot Table for 1-11'!$A$3,"SREB Type",2,"SREB Type2","Four-Year")</f>
        <v>0</v>
      </c>
      <c r="N102" s="197">
        <f>+GETPIVOTDATA(" New-Veterinary Medicine",'Pivot Table for 1-11'!$A$3,"SREB Type",2,"SREB Type2","Four-Year")</f>
        <v>0</v>
      </c>
      <c r="O102" s="198">
        <f>+GETPIVOTDATA(" New-Oth PP",'Pivot Table for 1-11'!$A$3,"SREB Type",2,"SREB Type2","Four-Year")</f>
        <v>514</v>
      </c>
      <c r="P102" s="199">
        <f>SUM(C102:O102)</f>
        <v>44554</v>
      </c>
      <c r="Q102" s="197"/>
    </row>
    <row r="103" spans="1:24" ht="15" customHeight="1">
      <c r="B103" s="197"/>
      <c r="C103" s="197"/>
      <c r="D103" s="197"/>
      <c r="E103" s="197"/>
      <c r="F103" s="197"/>
      <c r="G103" s="197"/>
      <c r="H103" s="230"/>
      <c r="I103" s="197"/>
      <c r="J103" s="197"/>
      <c r="K103" s="197"/>
      <c r="L103" s="197"/>
      <c r="M103" s="197"/>
      <c r="N103" s="197"/>
      <c r="O103" s="198"/>
      <c r="P103" s="199"/>
      <c r="Q103" s="197"/>
    </row>
    <row r="104" spans="1:24" ht="15" customHeight="1">
      <c r="A104" s="196" t="s">
        <v>21</v>
      </c>
      <c r="B104" s="197">
        <f>GETPIVOTDATA(" New-Less Than 2-Year",'Pivot Table for 1-11'!$A$3,"State","AL","SREB Type",2,"SREB Type2","Four-Year")+GETPIVOTDATA(" New-2 But Less Than 4-Year",'Pivot Table for 1-11'!$A$3,"State","AL","SREB Type",2,"SREB Type2","Four-Year")</f>
        <v>104</v>
      </c>
      <c r="C104" s="197">
        <f>+GETPIVOTDATA(" New-Associate's",'Pivot Table for 1-11'!$A$3,"State","AL","SREB Type",2,"SREB Type2","Four-Year")</f>
        <v>0</v>
      </c>
      <c r="D104" s="197">
        <f>+GETPIVOTDATA(" New-Bachelor's",'Pivot Table for 1-11'!$A$3,"State","AL","SREB Type",2,"SREB Type2","Four-Year")</f>
        <v>3579</v>
      </c>
      <c r="E104" s="197">
        <f>+GETPIVOTDATA(" New-Post-Bachelor's",'Pivot Table for 1-11'!$A$3,"State","AL","SREB Type",2,"SREB Type2","Four-Year")</f>
        <v>33</v>
      </c>
      <c r="F104" s="197">
        <f>+GETPIVOTDATA(" New-Total Master's#",'Pivot Table for 1-11'!$A$3,"State","AL","SREB Type",2,"SREB Type2","Four-Year")</f>
        <v>1855</v>
      </c>
      <c r="G104" s="197">
        <f>+GETPIVOTDATA(" New-Total Doctorates#",'Pivot Table for 1-11'!$A$3,"State","AL","SREB Type",2,"SREB Type2","Four-Year")</f>
        <v>93</v>
      </c>
      <c r="H104" s="230">
        <f>+GETPIVOTDATA(" New-Law",'Pivot Table for 1-11'!$A$3,"State","AL","SREB Type",2,"SREB Type2","Four-Year")</f>
        <v>0</v>
      </c>
      <c r="I104" s="197">
        <f>+GETPIVOTDATA(" New-Medicine",'Pivot Table for 1-11'!$A$3,"State","AL","SREB Type",2,"SREB Type2","Four-Year")</f>
        <v>66</v>
      </c>
      <c r="J104" s="197">
        <f>+GETPIVOTDATA(" New-Dentistry",'Pivot Table for 1-11'!$A$3,"State","AL","SREB Type",2,"SREB Type2","Four-Year")</f>
        <v>0</v>
      </c>
      <c r="K104" s="197">
        <f>+GETPIVOTDATA(" New-Pharmacy",'Pivot Table for 1-11'!$A$3,"State","AL","SREB Type",2,"SREB Type2","Four-Year")</f>
        <v>0</v>
      </c>
      <c r="L104" s="197">
        <f>+GETPIVOTDATA(" New-Optometry",'Pivot Table for 1-11'!$A$3,"State","AL","SREB Type",2,"SREB Type2","Four-Year")</f>
        <v>0</v>
      </c>
      <c r="M104" s="197">
        <f>+GETPIVOTDATA(" New-Osteopathic Medicine",'Pivot Table for 1-11'!$A$3,"State","AL","SREB Type",2,"SREB Type2","Four-Year")</f>
        <v>0</v>
      </c>
      <c r="N104" s="197">
        <f>+GETPIVOTDATA(" New-Veterinary Medicine",'Pivot Table for 1-11'!$A$3,"State","AL","SREB Type",2,"SREB Type2","Four-Year")</f>
        <v>0</v>
      </c>
      <c r="O104" s="198">
        <f>+GETPIVOTDATA(" New-Oth PP",'Pivot Table for 1-11'!$A$3,"State","AL","SREB Type",2,"SREB Type2","Four-Year")</f>
        <v>254</v>
      </c>
      <c r="P104" s="199">
        <f t="shared" ref="P104:P122" si="3">SUM(C104:O104)</f>
        <v>5880</v>
      </c>
      <c r="Q104" s="197"/>
    </row>
    <row r="105" spans="1:24" ht="15" customHeight="1">
      <c r="A105" s="196" t="s">
        <v>22</v>
      </c>
      <c r="B105" s="197">
        <f>+GETPIVOTDATA(" New-Less Than 2-Year",'Pivot Table for 1-11'!$A$3,"State","AR","SREB Type",2,"SREB Type2","Four-Year")+GETPIVOTDATA(" New-2 But Less Than 4-Year",'Pivot Table for 1-11'!$A$3,"State","AR","SREB Type",2,"SREB Type2","Four-Year")</f>
        <v>33</v>
      </c>
      <c r="C105" s="197">
        <f>+GETPIVOTDATA(" New-Associate's",'Pivot Table for 1-11'!$A$3,"State","AR","SREB Type",2,"SREB Type2","Four-Year")</f>
        <v>333</v>
      </c>
      <c r="D105" s="197">
        <f>+GETPIVOTDATA(" New-Bachelor's",'Pivot Table for 1-11'!$A$3,"State","AR","SREB Type",2,"SREB Type2","Four-Year")</f>
        <v>1280</v>
      </c>
      <c r="E105" s="197">
        <f>+GETPIVOTDATA(" New-Post-Bachelor's",'Pivot Table for 1-11'!$A$3,"State","AR","SREB Type",2,"SREB Type2","Four-Year")</f>
        <v>116</v>
      </c>
      <c r="F105" s="197">
        <f>+GETPIVOTDATA(" New-Total Master's#",'Pivot Table for 1-11'!$A$3,"State","AR","SREB Type",2,"SREB Type2","Four-Year")</f>
        <v>490</v>
      </c>
      <c r="G105" s="197">
        <f>+GETPIVOTDATA(" New-Total Doctorates#",'Pivot Table for 1-11'!$A$3,"State","AR","SREB Type",2,"SREB Type2","Four-Year")</f>
        <v>39</v>
      </c>
      <c r="H105" s="230">
        <f>+GETPIVOTDATA(" New-Law",'Pivot Table for 1-11'!$A$3,"State","AR","SREB Type",2,"SREB Type2","Four-Year")</f>
        <v>106</v>
      </c>
      <c r="I105" s="197">
        <f>+GETPIVOTDATA(" New-Medicine",'Pivot Table for 1-11'!$A$3,"State","AR","SREB Type",2,"SREB Type2","Four-Year")</f>
        <v>0</v>
      </c>
      <c r="J105" s="197">
        <f>+GETPIVOTDATA(" New-Dentistry",'Pivot Table for 1-11'!$A$3,"State","AR","SREB Type",2,"SREB Type2","Four-Year")</f>
        <v>0</v>
      </c>
      <c r="K105" s="197">
        <f>+GETPIVOTDATA(" New-Pharmacy",'Pivot Table for 1-11'!$A$3,"State","AR","SREB Type",2,"SREB Type2","Four-Year")</f>
        <v>0</v>
      </c>
      <c r="L105" s="197">
        <f>+GETPIVOTDATA(" New-Optometry",'Pivot Table for 1-11'!$A$3,"State","AR","SREB Type",2,"SREB Type2","Four-Year")</f>
        <v>0</v>
      </c>
      <c r="M105" s="197">
        <f>+GETPIVOTDATA(" New-Osteopathic Medicine",'Pivot Table for 1-11'!$A$3,"State","AR","SREB Type",2,"SREB Type2","Four-Year")</f>
        <v>0</v>
      </c>
      <c r="N105" s="197">
        <f>+GETPIVOTDATA(" New-Veterinary Medicine",'Pivot Table for 1-11'!$A$3,"State","AR","SREB Type",2,"SREB Type2","Four-Year")</f>
        <v>0</v>
      </c>
      <c r="O105" s="198">
        <f>+GETPIVOTDATA(" New-Oth PP",'Pivot Table for 1-11'!$A$3,"State","AR","SREB Type",2,"SREB Type2","Four-Year")</f>
        <v>0</v>
      </c>
      <c r="P105" s="199">
        <f t="shared" si="3"/>
        <v>2364</v>
      </c>
      <c r="Q105" s="197"/>
    </row>
    <row r="106" spans="1:24" ht="15" customHeight="1">
      <c r="A106" s="196" t="s">
        <v>23</v>
      </c>
      <c r="B106" s="197">
        <f>+GETPIVOTDATA(" New-Less Than 2-Year",'Pivot Table for 1-11'!$A$3,"State","DE","SREB Type",2,"SREB Type2","Four-Year")+GETPIVOTDATA(" New-2 But Less Than 4-Year",'Pivot Table for 1-11'!$A$3,"State","DE","SREB Type",2,"SREB Type2","Four-Year")</f>
        <v>0</v>
      </c>
      <c r="C106" s="197">
        <f>+GETPIVOTDATA(" New-Associate's",'Pivot Table for 1-11'!$A$3,"State","DE","SREB Type",2,"SREB Type2","Four-Year")</f>
        <v>0</v>
      </c>
      <c r="D106" s="197">
        <f>+GETPIVOTDATA(" New-Bachelor's",'Pivot Table for 1-11'!$A$3,"State","DE","SREB Type",2,"SREB Type2","Four-Year")</f>
        <v>0</v>
      </c>
      <c r="E106" s="197">
        <f>+GETPIVOTDATA(" New-Post-Bachelor's",'Pivot Table for 1-11'!$A$3,"State","DE","SREB Type",2,"SREB Type2","Four-Year")</f>
        <v>0</v>
      </c>
      <c r="F106" s="197">
        <f>+GETPIVOTDATA(" New-Total Master's#",'Pivot Table for 1-11'!$A$3,"State","DE","SREB Type",2,"SREB Type2","Four-Year")</f>
        <v>0</v>
      </c>
      <c r="G106" s="197">
        <f>+GETPIVOTDATA(" New-Total Doctorates#",'Pivot Table for 1-11'!$A$3,"State","DE","SREB Type",2,"SREB Type2","Four-Year")</f>
        <v>0</v>
      </c>
      <c r="H106" s="230">
        <f>+GETPIVOTDATA(" New-Law",'Pivot Table for 1-11'!$A$3,"State","DE","SREB Type",2,"SREB Type2","Four-Year")</f>
        <v>0</v>
      </c>
      <c r="I106" s="197">
        <f>+GETPIVOTDATA(" New-Medicine",'Pivot Table for 1-11'!$A$3,"State","DE","SREB Type",2,"SREB Type2","Four-Year")</f>
        <v>0</v>
      </c>
      <c r="J106" s="197">
        <f>+GETPIVOTDATA(" New-Dentistry",'Pivot Table for 1-11'!$A$3,"State","DE","SREB Type",2,"SREB Type2","Four-Year")</f>
        <v>0</v>
      </c>
      <c r="K106" s="197">
        <f>+GETPIVOTDATA(" New-Pharmacy",'Pivot Table for 1-11'!$A$3,"State","DE","SREB Type",2,"SREB Type2","Four-Year")</f>
        <v>0</v>
      </c>
      <c r="L106" s="197">
        <f>+GETPIVOTDATA(" New-Optometry",'Pivot Table for 1-11'!$A$3,"State","DE","SREB Type",2,"SREB Type2","Four-Year")</f>
        <v>0</v>
      </c>
      <c r="M106" s="197">
        <f>+GETPIVOTDATA(" New-Osteopathic Medicine",'Pivot Table for 1-11'!$A$3,"State","DE","SREB Type",2,"SREB Type2","Four-Year")</f>
        <v>0</v>
      </c>
      <c r="N106" s="197">
        <f>+GETPIVOTDATA(" New-Veterinary Medicine",'Pivot Table for 1-11'!$A$3,"State","DE","SREB Type",2,"SREB Type2","Four-Year")</f>
        <v>0</v>
      </c>
      <c r="O106" s="198">
        <f>+GETPIVOTDATA(" New-Oth PP",'Pivot Table for 1-11'!$A$3,"State","DE","SREB Type",2,"SREB Type2","Four-Year")</f>
        <v>0</v>
      </c>
      <c r="P106" s="199">
        <f t="shared" si="3"/>
        <v>0</v>
      </c>
      <c r="Q106" s="197"/>
    </row>
    <row r="107" spans="1:24" ht="15" customHeight="1">
      <c r="A107" s="196" t="s">
        <v>24</v>
      </c>
      <c r="B107" s="197">
        <f>+GETPIVOTDATA(" New-Less Than 2-Year",'Pivot Table for 1-11'!$A$3,"State","FL","SREB Type",2,"SREB Type2","Four-Year")+GETPIVOTDATA(" New-2 But Less Than 4-Year",'Pivot Table for 1-11'!$A$3,"State","FL","SREB Type",2,"SREB Type2","Four-Year")</f>
        <v>0</v>
      </c>
      <c r="C107" s="197">
        <f>+GETPIVOTDATA(" New-Associate's",'Pivot Table for 1-11'!$A$3,"State","FL","SREB Type",2,"SREB Type2","Four-Year")</f>
        <v>0</v>
      </c>
      <c r="D107" s="197">
        <f>+GETPIVOTDATA(" New-Bachelor's",'Pivot Table for 1-11'!$A$3,"State","FL","SREB Type",2,"SREB Type2","Four-Year")</f>
        <v>0</v>
      </c>
      <c r="E107" s="197">
        <f>+GETPIVOTDATA(" New-Post-Bachelor's",'Pivot Table for 1-11'!$A$3,"State","FL","SREB Type",2,"SREB Type2","Four-Year")</f>
        <v>0</v>
      </c>
      <c r="F107" s="197">
        <f>+GETPIVOTDATA(" New-Total Master's#",'Pivot Table for 1-11'!$A$3,"State","FL","SREB Type",2,"SREB Type2","Four-Year")</f>
        <v>0</v>
      </c>
      <c r="G107" s="197">
        <f>+GETPIVOTDATA(" New-Total Doctorates#",'Pivot Table for 1-11'!$A$3,"State","FL","SREB Type",2,"SREB Type2","Four-Year")</f>
        <v>0</v>
      </c>
      <c r="H107" s="230">
        <f>+GETPIVOTDATA(" New-Law",'Pivot Table for 1-11'!$A$3,"State","FL","SREB Type",2,"SREB Type2","Four-Year")</f>
        <v>0</v>
      </c>
      <c r="I107" s="197">
        <f>+GETPIVOTDATA(" New-Medicine",'Pivot Table for 1-11'!$A$3,"State","FL","SREB Type",2,"SREB Type2","Four-Year")</f>
        <v>0</v>
      </c>
      <c r="J107" s="197">
        <f>+GETPIVOTDATA(" New-Dentistry",'Pivot Table for 1-11'!$A$3,"State","FL","SREB Type",2,"SREB Type2","Four-Year")</f>
        <v>0</v>
      </c>
      <c r="K107" s="197">
        <f>+GETPIVOTDATA(" New-Pharmacy",'Pivot Table for 1-11'!$A$3,"State","FL","SREB Type",2,"SREB Type2","Four-Year")</f>
        <v>0</v>
      </c>
      <c r="L107" s="197">
        <f>+GETPIVOTDATA(" New-Optometry",'Pivot Table for 1-11'!$A$3,"State","FL","SREB Type",2,"SREB Type2","Four-Year")</f>
        <v>0</v>
      </c>
      <c r="M107" s="197">
        <f>+GETPIVOTDATA(" New-Osteopathic Medicine",'Pivot Table for 1-11'!$A$3,"State","FL","SREB Type",2,"SREB Type2","Four-Year")</f>
        <v>0</v>
      </c>
      <c r="N107" s="197">
        <f>+GETPIVOTDATA(" New-Veterinary Medicine",'Pivot Table for 1-11'!$A$3,"State","FL","SREB Type",2,"SREB Type2","Four-Year")</f>
        <v>0</v>
      </c>
      <c r="O107" s="198">
        <f>+GETPIVOTDATA(" New-Oth PP",'Pivot Table for 1-11'!$A$3,"State","FL","SREB Type",2,"SREB Type2","Four-Year")</f>
        <v>0</v>
      </c>
      <c r="P107" s="199">
        <f t="shared" si="3"/>
        <v>0</v>
      </c>
      <c r="Q107" s="197"/>
    </row>
    <row r="108" spans="1:24" ht="15" customHeight="1">
      <c r="A108" s="196"/>
      <c r="B108" s="197"/>
      <c r="C108" s="197"/>
      <c r="D108" s="197"/>
      <c r="E108" s="197"/>
      <c r="F108" s="197"/>
      <c r="G108" s="197"/>
      <c r="H108" s="230"/>
      <c r="I108" s="197"/>
      <c r="J108" s="197"/>
      <c r="K108" s="197"/>
      <c r="L108" s="197"/>
      <c r="M108" s="197"/>
      <c r="N108" s="197"/>
      <c r="O108" s="198"/>
      <c r="P108" s="199">
        <f t="shared" si="3"/>
        <v>0</v>
      </c>
      <c r="Q108" s="197"/>
    </row>
    <row r="109" spans="1:24" ht="15" customHeight="1">
      <c r="A109" s="196" t="s">
        <v>25</v>
      </c>
      <c r="B109" s="197">
        <f>+GETPIVOTDATA(" New-Less Than 2-Year",'Pivot Table for 1-11'!$A$3,"State","GA","SREB Type",2,"SREB Type2","Four-Year")+GETPIVOTDATA(" New-2 But Less Than 4-Year",'Pivot Table for 1-11'!$A$3,"State","GA","SREB Type",2,"SREB Type2","Four-Year")</f>
        <v>1</v>
      </c>
      <c r="C109" s="197">
        <f>+GETPIVOTDATA(" New-Associate's",'Pivot Table for 1-11'!$A$3,"State","GA","SREB Type",2,"SREB Type2","Four-Year")</f>
        <v>0</v>
      </c>
      <c r="D109" s="197">
        <f>+GETPIVOTDATA(" New-Bachelor's",'Pivot Table for 1-11'!$A$3,"State","GA","SREB Type",2,"SREB Type2","Four-Year")</f>
        <v>3934</v>
      </c>
      <c r="E109" s="197">
        <f>+GETPIVOTDATA(" New-Post-Bachelor's",'Pivot Table for 1-11'!$A$3,"State","GA","SREB Type",2,"SREB Type2","Four-Year")</f>
        <v>0</v>
      </c>
      <c r="F109" s="197">
        <f>+GETPIVOTDATA(" New-Total Master's#",'Pivot Table for 1-11'!$A$3,"State","GA","SREB Type",2,"SREB Type2","Four-Year")</f>
        <v>4071</v>
      </c>
      <c r="G109" s="197">
        <f>+GETPIVOTDATA(" New-Total Doctorates#",'Pivot Table for 1-11'!$A$3,"State","GA","SREB Type",2,"SREB Type2","Four-Year")</f>
        <v>527</v>
      </c>
      <c r="H109" s="230">
        <f>+GETPIVOTDATA(" New-Law",'Pivot Table for 1-11'!$A$3,"State","GA","SREB Type",2,"SREB Type2","Four-Year")</f>
        <v>0</v>
      </c>
      <c r="I109" s="197">
        <f>+GETPIVOTDATA(" New-Medicine",'Pivot Table for 1-11'!$A$3,"State","GA","SREB Type",2,"SREB Type2","Four-Year")</f>
        <v>0</v>
      </c>
      <c r="J109" s="197">
        <f>+GETPIVOTDATA(" New-Dentistry",'Pivot Table for 1-11'!$A$3,"State","GA","SREB Type",2,"SREB Type2","Four-Year")</f>
        <v>0</v>
      </c>
      <c r="K109" s="197">
        <f>+GETPIVOTDATA(" New-Pharmacy",'Pivot Table for 1-11'!$A$3,"State","GA","SREB Type",2,"SREB Type2","Four-Year")</f>
        <v>0</v>
      </c>
      <c r="L109" s="197">
        <f>+GETPIVOTDATA(" New-Optometry",'Pivot Table for 1-11'!$A$3,"State","GA","SREB Type",2,"SREB Type2","Four-Year")</f>
        <v>0</v>
      </c>
      <c r="M109" s="197">
        <f>+GETPIVOTDATA(" New-Osteopathic Medicine",'Pivot Table for 1-11'!$A$3,"State","GA","SREB Type",2,"SREB Type2","Four-Year")</f>
        <v>0</v>
      </c>
      <c r="N109" s="197">
        <f>+GETPIVOTDATA(" New-Veterinary Medicine",'Pivot Table for 1-11'!$A$3,"State","GA","SREB Type",2,"SREB Type2","Four-Year")</f>
        <v>0</v>
      </c>
      <c r="O109" s="198">
        <f>+GETPIVOTDATA(" New-Oth PP",'Pivot Table for 1-11'!$A$3,"State","GA","SREB Type",2,"SREB Type2","Four-Year")</f>
        <v>0</v>
      </c>
      <c r="P109" s="199">
        <f t="shared" si="3"/>
        <v>8532</v>
      </c>
      <c r="Q109" s="197"/>
    </row>
    <row r="110" spans="1:24" ht="15" customHeight="1">
      <c r="A110" s="196" t="s">
        <v>26</v>
      </c>
      <c r="B110" s="197">
        <f>+GETPIVOTDATA(" New-Less Than 2-Year",'Pivot Table for 1-11'!$A$3,"State","KY","SREB Type",2,"SREB Type2","Four-Year")+GETPIVOTDATA(" New-2 But Less Than 4-Year",'Pivot Table for 1-11'!$A$3,"State","KY","SREB Type",2,"SREB Type2","Four-Year")</f>
        <v>0</v>
      </c>
      <c r="C110" s="197">
        <f>+GETPIVOTDATA(" New-Associate's",'Pivot Table for 1-11'!$A$3,"State","KY","SREB Type",2,"SREB Type2","Four-Year")</f>
        <v>0</v>
      </c>
      <c r="D110" s="197">
        <f>+GETPIVOTDATA(" New-Bachelor's",'Pivot Table for 1-11'!$A$3,"State","KY","SREB Type",2,"SREB Type2","Four-Year")</f>
        <v>0</v>
      </c>
      <c r="E110" s="197">
        <f>+GETPIVOTDATA(" New-Post-Bachelor's",'Pivot Table for 1-11'!$A$3,"State","KY","SREB Type",2,"SREB Type2","Four-Year")</f>
        <v>0</v>
      </c>
      <c r="F110" s="197">
        <f>+GETPIVOTDATA(" New-Total Master's#",'Pivot Table for 1-11'!$A$3,"State","KY","SREB Type",2,"SREB Type2","Four-Year")</f>
        <v>0</v>
      </c>
      <c r="G110" s="197">
        <f>+GETPIVOTDATA(" New-Total Doctorates#",'Pivot Table for 1-11'!$A$3,"State","KY","SREB Type",2,"SREB Type2","Four-Year")</f>
        <v>0</v>
      </c>
      <c r="H110" s="230">
        <f>+GETPIVOTDATA(" New-Law",'Pivot Table for 1-11'!$A$3,"State","KY","SREB Type",2,"SREB Type2","Four-Year")</f>
        <v>0</v>
      </c>
      <c r="I110" s="197">
        <f>+GETPIVOTDATA(" New-Medicine",'Pivot Table for 1-11'!$A$3,"State","KY","SREB Type",2,"SREB Type2","Four-Year")</f>
        <v>0</v>
      </c>
      <c r="J110" s="197">
        <f>+GETPIVOTDATA(" New-Dentistry",'Pivot Table for 1-11'!$A$3,"State","KY","SREB Type",2,"SREB Type2","Four-Year")</f>
        <v>0</v>
      </c>
      <c r="K110" s="197">
        <f>+GETPIVOTDATA(" New-Pharmacy",'Pivot Table for 1-11'!$A$3,"State","KY","SREB Type",2,"SREB Type2","Four-Year")</f>
        <v>0</v>
      </c>
      <c r="L110" s="197">
        <f>+GETPIVOTDATA(" New-Optometry",'Pivot Table for 1-11'!$A$3,"State","KY","SREB Type",2,"SREB Type2","Four-Year")</f>
        <v>0</v>
      </c>
      <c r="M110" s="197">
        <f>+GETPIVOTDATA(" New-Osteopathic Medicine",'Pivot Table for 1-11'!$A$3,"State","KY","SREB Type",2,"SREB Type2","Four-Year")</f>
        <v>0</v>
      </c>
      <c r="N110" s="197">
        <f>+GETPIVOTDATA(" New-Veterinary Medicine",'Pivot Table for 1-11'!$A$3,"State","KY","SREB Type",2,"SREB Type2","Four-Year")</f>
        <v>0</v>
      </c>
      <c r="O110" s="198">
        <f>+GETPIVOTDATA(" New-Oth PP",'Pivot Table for 1-11'!$A$3,"State","KY","SREB Type",2,"SREB Type2","Four-Year")</f>
        <v>0</v>
      </c>
      <c r="P110" s="199">
        <f t="shared" si="3"/>
        <v>0</v>
      </c>
      <c r="Q110" s="197"/>
    </row>
    <row r="111" spans="1:24" ht="15" customHeight="1">
      <c r="A111" s="196" t="s">
        <v>27</v>
      </c>
      <c r="B111" s="197">
        <f>+GETPIVOTDATA(" New-Less Than 2-Year",'Pivot Table for 1-11'!$A$3,"State","LA","SREB Type",2,"SREB Type2","Four-Year")+GETPIVOTDATA(" New-2 But Less Than 4-Year",'Pivot Table for 1-11'!$A$3,"State","LA","SREB Type",2,"SREB Type2","Four-Year")</f>
        <v>1</v>
      </c>
      <c r="C111" s="197">
        <f>+GETPIVOTDATA(" New-Associate's",'Pivot Table for 1-11'!$A$3,"State","LA","SREB Type",2,"SREB Type2","Four-Year")</f>
        <v>62</v>
      </c>
      <c r="D111" s="197">
        <f>+GETPIVOTDATA(" New-Bachelor's",'Pivot Table for 1-11'!$A$3,"State","LA","SREB Type",2,"SREB Type2","Four-Year")</f>
        <v>5540</v>
      </c>
      <c r="E111" s="197">
        <f>+GETPIVOTDATA(" New-Post-Bachelor's",'Pivot Table for 1-11'!$A$3,"State","LA","SREB Type",2,"SREB Type2","Four-Year")</f>
        <v>20</v>
      </c>
      <c r="F111" s="197">
        <f>+GETPIVOTDATA(" New-Total Master's#",'Pivot Table for 1-11'!$A$3,"State","LA","SREB Type",2,"SREB Type2","Four-Year")</f>
        <v>1542</v>
      </c>
      <c r="G111" s="197">
        <f>+GETPIVOTDATA(" New-Total Doctorates#",'Pivot Table for 1-11'!$A$3,"State","LA","SREB Type",2,"SREB Type2","Four-Year")</f>
        <v>140</v>
      </c>
      <c r="H111" s="230">
        <f>+GETPIVOTDATA(" New-Law",'Pivot Table for 1-11'!$A$3,"State","LA","SREB Type",2,"SREB Type2","Four-Year")</f>
        <v>0</v>
      </c>
      <c r="I111" s="197">
        <f>+GETPIVOTDATA(" New-Medicine",'Pivot Table for 1-11'!$A$3,"State","LA","SREB Type",2,"SREB Type2","Four-Year")</f>
        <v>0</v>
      </c>
      <c r="J111" s="197">
        <f>+GETPIVOTDATA(" New-Dentistry",'Pivot Table for 1-11'!$A$3,"State","LA","SREB Type",2,"SREB Type2","Four-Year")</f>
        <v>0</v>
      </c>
      <c r="K111" s="197">
        <f>+GETPIVOTDATA(" New-Pharmacy",'Pivot Table for 1-11'!$A$3,"State","LA","SREB Type",2,"SREB Type2","Four-Year")</f>
        <v>0</v>
      </c>
      <c r="L111" s="197">
        <f>+GETPIVOTDATA(" New-Optometry",'Pivot Table for 1-11'!$A$3,"State","LA","SREB Type",2,"SREB Type2","Four-Year")</f>
        <v>0</v>
      </c>
      <c r="M111" s="197">
        <f>+GETPIVOTDATA(" New-Osteopathic Medicine",'Pivot Table for 1-11'!$A$3,"State","LA","SREB Type",2,"SREB Type2","Four-Year")</f>
        <v>0</v>
      </c>
      <c r="N111" s="197">
        <f>+GETPIVOTDATA(" New-Veterinary Medicine",'Pivot Table for 1-11'!$A$3,"State","LA","SREB Type",2,"SREB Type2","Four-Year")</f>
        <v>0</v>
      </c>
      <c r="O111" s="198">
        <f>+GETPIVOTDATA(" New-Oth PP",'Pivot Table for 1-11'!$A$3,"State","LA","SREB Type",2,"SREB Type2","Four-Year")</f>
        <v>8</v>
      </c>
      <c r="P111" s="199">
        <f t="shared" si="3"/>
        <v>7312</v>
      </c>
      <c r="Q111" s="197"/>
    </row>
    <row r="112" spans="1:24" ht="15" customHeight="1">
      <c r="A112" s="196" t="s">
        <v>28</v>
      </c>
      <c r="B112" s="197">
        <f>+GETPIVOTDATA(" New-Less Than 2-Year",'Pivot Table for 1-11'!$A$3,"State","MD","SREB Type",2,"SREB Type2","Four-Year")+GETPIVOTDATA(" New-2 But Less Than 4-Year",'Pivot Table for 1-11'!$A$3,"State","MD","SREB Type",2,"SREB Type2","Four-Year")</f>
        <v>0</v>
      </c>
      <c r="C112" s="197">
        <f>+GETPIVOTDATA(" New-Associate's",'Pivot Table for 1-11'!$A$3,"State","MD","SREB Type",2,"SREB Type2","Four-Year")</f>
        <v>0</v>
      </c>
      <c r="D112" s="197">
        <f>+GETPIVOTDATA(" New-Bachelor's",'Pivot Table for 1-11'!$A$3,"State","MD","SREB Type",2,"SREB Type2","Four-Year")</f>
        <v>0</v>
      </c>
      <c r="E112" s="197">
        <f>+GETPIVOTDATA(" New-Post-Bachelor's",'Pivot Table for 1-11'!$A$3,"State","MD","SREB Type",2,"SREB Type2","Four-Year")</f>
        <v>0</v>
      </c>
      <c r="F112" s="197">
        <f>+GETPIVOTDATA(" New-Total Master's#",'Pivot Table for 1-11'!$A$3,"State","MD","SREB Type",2,"SREB Type2","Four-Year")</f>
        <v>0</v>
      </c>
      <c r="G112" s="197">
        <f>+GETPIVOTDATA(" New-Total Doctorates#",'Pivot Table for 1-11'!$A$3,"State","MD","SREB Type",2,"SREB Type2","Four-Year")</f>
        <v>0</v>
      </c>
      <c r="H112" s="230">
        <f>+GETPIVOTDATA(" New-Law",'Pivot Table for 1-11'!$A$3,"State","MD","SREB Type",2,"SREB Type2","Four-Year")</f>
        <v>0</v>
      </c>
      <c r="I112" s="197">
        <f>+GETPIVOTDATA(" New-Medicine",'Pivot Table for 1-11'!$A$3,"State","MD","SREB Type",2,"SREB Type2","Four-Year")</f>
        <v>0</v>
      </c>
      <c r="J112" s="197">
        <f>+GETPIVOTDATA(" New-Dentistry",'Pivot Table for 1-11'!$A$3,"State","MD","SREB Type",2,"SREB Type2","Four-Year")</f>
        <v>0</v>
      </c>
      <c r="K112" s="197">
        <f>+GETPIVOTDATA(" New-Pharmacy",'Pivot Table for 1-11'!$A$3,"State","MD","SREB Type",2,"SREB Type2","Four-Year")</f>
        <v>0</v>
      </c>
      <c r="L112" s="197">
        <f>+GETPIVOTDATA(" New-Optometry",'Pivot Table for 1-11'!$A$3,"State","MD","SREB Type",2,"SREB Type2","Four-Year")</f>
        <v>0</v>
      </c>
      <c r="M112" s="197">
        <f>+GETPIVOTDATA(" New-Osteopathic Medicine",'Pivot Table for 1-11'!$A$3,"State","MD","SREB Type",2,"SREB Type2","Four-Year")</f>
        <v>0</v>
      </c>
      <c r="N112" s="197">
        <f>+GETPIVOTDATA(" New-Veterinary Medicine",'Pivot Table for 1-11'!$A$3,"State","MD","SREB Type",2,"SREB Type2","Four-Year")</f>
        <v>0</v>
      </c>
      <c r="O112" s="198">
        <f>+GETPIVOTDATA(" New-Oth PP",'Pivot Table for 1-11'!$A$3,"State","MD","SREB Type",2,"SREB Type2","Four-Year")</f>
        <v>0</v>
      </c>
      <c r="P112" s="199">
        <f t="shared" si="3"/>
        <v>0</v>
      </c>
      <c r="Q112" s="197"/>
    </row>
    <row r="113" spans="1:17" ht="15" customHeight="1">
      <c r="A113" s="196"/>
      <c r="B113" s="197"/>
      <c r="C113" s="197"/>
      <c r="D113" s="197"/>
      <c r="E113" s="197"/>
      <c r="F113" s="197"/>
      <c r="G113" s="197"/>
      <c r="H113" s="230"/>
      <c r="I113" s="197"/>
      <c r="J113" s="197"/>
      <c r="K113" s="197"/>
      <c r="L113" s="197"/>
      <c r="M113" s="197"/>
      <c r="N113" s="197"/>
      <c r="O113" s="198"/>
      <c r="P113" s="199">
        <f t="shared" si="3"/>
        <v>0</v>
      </c>
      <c r="Q113" s="197"/>
    </row>
    <row r="114" spans="1:17" ht="15" customHeight="1">
      <c r="A114" s="196" t="s">
        <v>29</v>
      </c>
      <c r="B114" s="197">
        <f>+GETPIVOTDATA(" New-Less Than 2-Year",'Pivot Table for 1-11'!$A$3,"State","MS","SREB Type",2,"SREB Type2","Four-Year")+GETPIVOTDATA(" New-2 But Less Than 4-Year",'Pivot Table for 1-11'!$A$3,"State","MS","SREB Type",2,"SREB Type2","Four-Year")</f>
        <v>0</v>
      </c>
      <c r="C114" s="197">
        <f>+GETPIVOTDATA(" New-Associate's",'Pivot Table for 1-11'!$A$3,"State","MS","SREB Type",2,"SREB Type2","Four-Year")</f>
        <v>0</v>
      </c>
      <c r="D114" s="197">
        <f>+GETPIVOTDATA(" New-Bachelor's",'Pivot Table for 1-11'!$A$3,"State","MS","SREB Type",2,"SREB Type2","Four-Year")</f>
        <v>1082</v>
      </c>
      <c r="E114" s="197">
        <f>+GETPIVOTDATA(" New-Post-Bachelor's",'Pivot Table for 1-11'!$A$3,"State","MS","SREB Type",2,"SREB Type2","Four-Year")</f>
        <v>0</v>
      </c>
      <c r="F114" s="197">
        <f>+GETPIVOTDATA(" New-Total Master's#",'Pivot Table for 1-11'!$A$3,"State","MS","SREB Type",2,"SREB Type2","Four-Year")</f>
        <v>425</v>
      </c>
      <c r="G114" s="197">
        <f>+GETPIVOTDATA(" New-Total Doctorates#",'Pivot Table for 1-11'!$A$3,"State","MS","SREB Type",2,"SREB Type2","Four-Year")</f>
        <v>90</v>
      </c>
      <c r="H114" s="230">
        <f>+GETPIVOTDATA(" New-Law",'Pivot Table for 1-11'!$A$3,"State","MS","SREB Type",2,"SREB Type2","Four-Year")</f>
        <v>0</v>
      </c>
      <c r="I114" s="197">
        <f>+GETPIVOTDATA(" New-Medicine",'Pivot Table for 1-11'!$A$3,"State","MS","SREB Type",2,"SREB Type2","Four-Year")</f>
        <v>0</v>
      </c>
      <c r="J114" s="197">
        <f>+GETPIVOTDATA(" New-Dentistry",'Pivot Table for 1-11'!$A$3,"State","MS","SREB Type",2,"SREB Type2","Four-Year")</f>
        <v>0</v>
      </c>
      <c r="K114" s="197">
        <f>+GETPIVOTDATA(" New-Pharmacy",'Pivot Table for 1-11'!$A$3,"State","MS","SREB Type",2,"SREB Type2","Four-Year")</f>
        <v>0</v>
      </c>
      <c r="L114" s="197">
        <f>+GETPIVOTDATA(" New-Optometry",'Pivot Table for 1-11'!$A$3,"State","MS","SREB Type",2,"SREB Type2","Four-Year")</f>
        <v>0</v>
      </c>
      <c r="M114" s="197">
        <f>+GETPIVOTDATA(" New-Osteopathic Medicine",'Pivot Table for 1-11'!$A$3,"State","MS","SREB Type",2,"SREB Type2","Four-Year")</f>
        <v>0</v>
      </c>
      <c r="N114" s="197">
        <f>+GETPIVOTDATA(" New-Veterinary Medicine",'Pivot Table for 1-11'!$A$3,"State","MS","SREB Type",2,"SREB Type2","Four-Year")</f>
        <v>0</v>
      </c>
      <c r="O114" s="198">
        <f>+GETPIVOTDATA(" New-Oth PP",'Pivot Table for 1-11'!$A$3,"State","MS","SREB Type",2,"SREB Type2","Four-Year")</f>
        <v>0</v>
      </c>
      <c r="P114" s="199">
        <f t="shared" si="3"/>
        <v>1597</v>
      </c>
      <c r="Q114" s="197"/>
    </row>
    <row r="115" spans="1:17" ht="15" customHeight="1">
      <c r="A115" s="196" t="s">
        <v>30</v>
      </c>
      <c r="B115" s="197">
        <f>+GETPIVOTDATA(" New-Less Than 2-Year",'Pivot Table for 1-11'!$A$3,"State","NC","SREB Type",2,"SREB Type2","Four-Year")+GETPIVOTDATA(" New-2 But Less Than 4-Year",'Pivot Table for 1-11'!$A$3,"State","NC","SREB Type",2,"SREB Type2","Four-Year")</f>
        <v>0</v>
      </c>
      <c r="C115" s="197">
        <f>+GETPIVOTDATA(" New-Associate's",'Pivot Table for 1-11'!$A$3,"State","NC","SREB Type",2,"SREB Type2","Four-Year")</f>
        <v>0</v>
      </c>
      <c r="D115" s="197">
        <f>+GETPIVOTDATA(" New-Bachelor's",'Pivot Table for 1-11'!$A$3,"State","NC","SREB Type",2,"SREB Type2","Four-Year")</f>
        <v>0</v>
      </c>
      <c r="E115" s="197">
        <f>+GETPIVOTDATA(" New-Post-Bachelor's",'Pivot Table for 1-11'!$A$3,"State","NC","SREB Type",2,"SREB Type2","Four-Year")</f>
        <v>516</v>
      </c>
      <c r="F115" s="197">
        <f>+GETPIVOTDATA(" New-Total Master's#",'Pivot Table for 1-11'!$A$3,"State","NC","SREB Type",2,"SREB Type2","Four-Year")</f>
        <v>1414</v>
      </c>
      <c r="G115" s="197">
        <f>+GETPIVOTDATA(" New-Total Doctorates#",'Pivot Table for 1-11'!$A$3,"State","NC","SREB Type",2,"SREB Type2","Four-Year")</f>
        <v>74</v>
      </c>
      <c r="H115" s="230">
        <f>+GETPIVOTDATA(" New-Law",'Pivot Table for 1-11'!$A$3,"State","NC","SREB Type",2,"SREB Type2","Four-Year")</f>
        <v>0</v>
      </c>
      <c r="I115" s="197">
        <f>+GETPIVOTDATA(" New-Medicine",'Pivot Table for 1-11'!$A$3,"State","NC","SREB Type",2,"SREB Type2","Four-Year")</f>
        <v>74</v>
      </c>
      <c r="J115" s="197">
        <f>+GETPIVOTDATA(" New-Dentistry",'Pivot Table for 1-11'!$A$3,"State","NC","SREB Type",2,"SREB Type2","Four-Year")</f>
        <v>52</v>
      </c>
      <c r="K115" s="197">
        <f>+GETPIVOTDATA(" New-Pharmacy",'Pivot Table for 1-11'!$A$3,"State","NC","SREB Type",2,"SREB Type2","Four-Year")</f>
        <v>0</v>
      </c>
      <c r="L115" s="197">
        <f>+GETPIVOTDATA(" New-Optometry",'Pivot Table for 1-11'!$A$3,"State","NC","SREB Type",2,"SREB Type2","Four-Year")</f>
        <v>0</v>
      </c>
      <c r="M115" s="197">
        <f>+GETPIVOTDATA(" New-Osteopathic Medicine",'Pivot Table for 1-11'!$A$3,"State","NC","SREB Type",2,"SREB Type2","Four-Year")</f>
        <v>0</v>
      </c>
      <c r="N115" s="197">
        <f>+GETPIVOTDATA(" New-Veterinary Medicine",'Pivot Table for 1-11'!$A$3,"State","NC","SREB Type",2,"SREB Type2","Four-Year")</f>
        <v>0</v>
      </c>
      <c r="O115" s="198">
        <f>+GETPIVOTDATA(" New-Oth PP",'Pivot Table for 1-11'!$A$3,"State","NC","SREB Type",2,"SREB Type2","Four-Year")</f>
        <v>90</v>
      </c>
      <c r="P115" s="199">
        <f t="shared" si="3"/>
        <v>2220</v>
      </c>
      <c r="Q115" s="197"/>
    </row>
    <row r="116" spans="1:17" ht="15" customHeight="1">
      <c r="A116" s="196" t="s">
        <v>31</v>
      </c>
      <c r="B116" s="197">
        <f>+GETPIVOTDATA(" New-Less Than 2-Year",'Pivot Table for 1-11'!$A$3,"State","OK","SREB Type",2,"SREB Type2","Four-Year")+GETPIVOTDATA(" New-2 But Less Than 4-Year",'Pivot Table for 1-11'!$A$3,"State","OK","SREB Type",2,"SREB Type2","Four-Year")</f>
        <v>0</v>
      </c>
      <c r="C116" s="197">
        <f>+GETPIVOTDATA(" New-Associate's",'Pivot Table for 1-11'!$A$3,"State","OK","SREB Type",2,"SREB Type2","Four-Year")</f>
        <v>0</v>
      </c>
      <c r="D116" s="197">
        <f>+GETPIVOTDATA(" New-Bachelor's",'Pivot Table for 1-11'!$A$3,"State","OK","SREB Type",2,"SREB Type2","Four-Year")</f>
        <v>0</v>
      </c>
      <c r="E116" s="197">
        <f>+GETPIVOTDATA(" New-Post-Bachelor's",'Pivot Table for 1-11'!$A$3,"State","OK","SREB Type",2,"SREB Type2","Four-Year")</f>
        <v>0</v>
      </c>
      <c r="F116" s="197">
        <f>+GETPIVOTDATA(" New-Total Master's#",'Pivot Table for 1-11'!$A$3,"State","OK","SREB Type",2,"SREB Type2","Four-Year")</f>
        <v>0</v>
      </c>
      <c r="G116" s="197">
        <f>+GETPIVOTDATA(" New-Total Doctorates#",'Pivot Table for 1-11'!$A$3,"State","OK","SREB Type",2,"SREB Type2","Four-Year")</f>
        <v>0</v>
      </c>
      <c r="H116" s="230">
        <f>+GETPIVOTDATA(" New-Law",'Pivot Table for 1-11'!$A$3,"State","OK","SREB Type",2,"SREB Type2","Four-Year")</f>
        <v>0</v>
      </c>
      <c r="I116" s="197">
        <f>+GETPIVOTDATA(" New-Medicine",'Pivot Table for 1-11'!$A$3,"State","OK","SREB Type",2,"SREB Type2","Four-Year")</f>
        <v>0</v>
      </c>
      <c r="J116" s="197">
        <f>+GETPIVOTDATA(" New-Dentistry",'Pivot Table for 1-11'!$A$3,"State","OK","SREB Type",2,"SREB Type2","Four-Year")</f>
        <v>0</v>
      </c>
      <c r="K116" s="197">
        <f>+GETPIVOTDATA(" New-Pharmacy",'Pivot Table for 1-11'!$A$3,"State","OK","SREB Type",2,"SREB Type2","Four-Year")</f>
        <v>0</v>
      </c>
      <c r="L116" s="197">
        <f>+GETPIVOTDATA(" New-Optometry",'Pivot Table for 1-11'!$A$3,"State","OK","SREB Type",2,"SREB Type2","Four-Year")</f>
        <v>0</v>
      </c>
      <c r="M116" s="197">
        <f>+GETPIVOTDATA(" New-Osteopathic Medicine",'Pivot Table for 1-11'!$A$3,"State","OK","SREB Type",2,"SREB Type2","Four-Year")</f>
        <v>0</v>
      </c>
      <c r="N116" s="197">
        <f>+GETPIVOTDATA(" New-Veterinary Medicine",'Pivot Table for 1-11'!$A$3,"State","OK","SREB Type",2,"SREB Type2","Four-Year")</f>
        <v>0</v>
      </c>
      <c r="O116" s="198">
        <f>+GETPIVOTDATA(" New-Oth PP",'Pivot Table for 1-11'!$A$3,"State","OK","SREB Type",2,"SREB Type2","Four-Year")</f>
        <v>0</v>
      </c>
      <c r="P116" s="199">
        <f t="shared" si="3"/>
        <v>0</v>
      </c>
      <c r="Q116" s="197"/>
    </row>
    <row r="117" spans="1:17" ht="15" customHeight="1">
      <c r="A117" s="196" t="s">
        <v>32</v>
      </c>
      <c r="B117" s="197">
        <f>+GETPIVOTDATA(" New-Less Than 2-Year",'Pivot Table for 1-11'!$A$3,"State","SC","SREB Type",2,"SREB Type2","Four-Year")+GETPIVOTDATA(" New-2 But Less Than 4-Year",'Pivot Table for 1-11'!$A$3,"State","SC","SREB Type",2,"SREB Type2","Four-Year")</f>
        <v>0</v>
      </c>
      <c r="C117" s="197">
        <f>+GETPIVOTDATA(" New-Associate's",'Pivot Table for 1-11'!$A$3,"State","SC","SREB Type",2,"SREB Type2","Four-Year")</f>
        <v>0</v>
      </c>
      <c r="D117" s="197">
        <f>+GETPIVOTDATA(" New-Bachelor's",'Pivot Table for 1-11'!$A$3,"State","SC","SREB Type",2,"SREB Type2","Four-Year")</f>
        <v>0</v>
      </c>
      <c r="E117" s="197">
        <f>+GETPIVOTDATA(" New-Post-Bachelor's",'Pivot Table for 1-11'!$A$3,"State","SC","SREB Type",2,"SREB Type2","Four-Year")</f>
        <v>0</v>
      </c>
      <c r="F117" s="197">
        <f>+GETPIVOTDATA(" New-Total Master's#",'Pivot Table for 1-11'!$A$3,"State","SC","SREB Type",2,"SREB Type2","Four-Year")</f>
        <v>0</v>
      </c>
      <c r="G117" s="197">
        <f>+GETPIVOTDATA(" New-Total Doctorates#",'Pivot Table for 1-11'!$A$3,"State","SC","SREB Type",2,"SREB Type2","Four-Year")</f>
        <v>0</v>
      </c>
      <c r="H117" s="230">
        <f>+GETPIVOTDATA(" New-Law",'Pivot Table for 1-11'!$A$3,"State","SC","SREB Type",2,"SREB Type2","Four-Year")</f>
        <v>0</v>
      </c>
      <c r="I117" s="197">
        <f>+GETPIVOTDATA(" New-Medicine",'Pivot Table for 1-11'!$A$3,"State","SC","SREB Type",2,"SREB Type2","Four-Year")</f>
        <v>0</v>
      </c>
      <c r="J117" s="197">
        <f>+GETPIVOTDATA(" New-Dentistry",'Pivot Table for 1-11'!$A$3,"State","SC","SREB Type",2,"SREB Type2","Four-Year")</f>
        <v>0</v>
      </c>
      <c r="K117" s="197">
        <f>+GETPIVOTDATA(" New-Pharmacy",'Pivot Table for 1-11'!$A$3,"State","SC","SREB Type",2,"SREB Type2","Four-Year")</f>
        <v>0</v>
      </c>
      <c r="L117" s="197">
        <f>+GETPIVOTDATA(" New-Optometry",'Pivot Table for 1-11'!$A$3,"State","SC","SREB Type",2,"SREB Type2","Four-Year")</f>
        <v>0</v>
      </c>
      <c r="M117" s="197">
        <f>+GETPIVOTDATA(" New-Osteopathic Medicine",'Pivot Table for 1-11'!$A$3,"State","SC","SREB Type",2,"SREB Type2","Four-Year")</f>
        <v>0</v>
      </c>
      <c r="N117" s="197">
        <f>+GETPIVOTDATA(" New-Veterinary Medicine",'Pivot Table for 1-11'!$A$3,"State","SC","SREB Type",2,"SREB Type2","Four-Year")</f>
        <v>0</v>
      </c>
      <c r="O117" s="198">
        <f>+GETPIVOTDATA(" New-Oth PP",'Pivot Table for 1-11'!$A$3,"State","SC","SREB Type",2,"SREB Type2","Four-Year")</f>
        <v>0</v>
      </c>
      <c r="P117" s="199">
        <f t="shared" si="3"/>
        <v>0</v>
      </c>
      <c r="Q117" s="197"/>
    </row>
    <row r="118" spans="1:17" ht="15" customHeight="1">
      <c r="A118" s="196"/>
      <c r="B118" s="197"/>
      <c r="C118" s="197"/>
      <c r="D118" s="197"/>
      <c r="E118" s="197"/>
      <c r="F118" s="197"/>
      <c r="G118" s="197"/>
      <c r="H118" s="230"/>
      <c r="I118" s="197"/>
      <c r="J118" s="197"/>
      <c r="K118" s="197"/>
      <c r="L118" s="197"/>
      <c r="M118" s="197"/>
      <c r="N118" s="197"/>
      <c r="O118" s="198"/>
      <c r="P118" s="199">
        <f t="shared" si="3"/>
        <v>0</v>
      </c>
      <c r="Q118" s="197"/>
    </row>
    <row r="119" spans="1:17" ht="15" customHeight="1">
      <c r="A119" s="196" t="s">
        <v>33</v>
      </c>
      <c r="B119" s="197">
        <f>+GETPIVOTDATA(" New-Less Than 2-Year",'Pivot Table for 1-11'!$A$3,"State","TN","SREB Type",2,"SREB Type2","Four-Year")+GETPIVOTDATA(" New-2 But Less Than 4-Year",'Pivot Table for 1-11'!$A$3,"State","TN","SREB Type",2,"SREB Type2","Four-Year")</f>
        <v>0</v>
      </c>
      <c r="C119" s="197">
        <f>+GETPIVOTDATA(" New-Associate's",'Pivot Table for 1-11'!$A$3,"State","TN","SREB Type",2,"SREB Type2","Four-Year")</f>
        <v>9</v>
      </c>
      <c r="D119" s="197">
        <f>+GETPIVOTDATA(" New-Bachelor's",'Pivot Table for 1-11'!$A$3,"State","TN","SREB Type",2,"SREB Type2","Four-Year")</f>
        <v>7573</v>
      </c>
      <c r="E119" s="197">
        <f>+GETPIVOTDATA(" New-Post-Bachelor's",'Pivot Table for 1-11'!$A$3,"State","TN","SREB Type",2,"SREB Type2","Four-Year")</f>
        <v>0</v>
      </c>
      <c r="F119" s="197">
        <f>+GETPIVOTDATA(" New-Total Master's#",'Pivot Table for 1-11'!$A$3,"State","TN","SREB Type",2,"SREB Type2","Four-Year")</f>
        <v>1866</v>
      </c>
      <c r="G119" s="197">
        <f>+GETPIVOTDATA(" New-Total Doctorates#",'Pivot Table for 1-11'!$A$3,"State","TN","SREB Type",2,"SREB Type2","Four-Year")</f>
        <v>295</v>
      </c>
      <c r="H119" s="230">
        <f>+GETPIVOTDATA(" New-Law",'Pivot Table for 1-11'!$A$3,"State","TN","SREB Type",2,"SREB Type2","Four-Year")</f>
        <v>0</v>
      </c>
      <c r="I119" s="197">
        <f>+GETPIVOTDATA(" New-Medicine",'Pivot Table for 1-11'!$A$3,"State","TN","SREB Type",2,"SREB Type2","Four-Year")</f>
        <v>69</v>
      </c>
      <c r="J119" s="197">
        <f>+GETPIVOTDATA(" New-Dentistry",'Pivot Table for 1-11'!$A$3,"State","TN","SREB Type",2,"SREB Type2","Four-Year")</f>
        <v>0</v>
      </c>
      <c r="K119" s="197">
        <f>+GETPIVOTDATA(" New-Pharmacy",'Pivot Table for 1-11'!$A$3,"State","TN","SREB Type",2,"SREB Type2","Four-Year")</f>
        <v>68</v>
      </c>
      <c r="L119" s="197">
        <f>+GETPIVOTDATA(" New-Optometry",'Pivot Table for 1-11'!$A$3,"State","TN","SREB Type",2,"SREB Type2","Four-Year")</f>
        <v>0</v>
      </c>
      <c r="M119" s="197">
        <f>+GETPIVOTDATA(" New-Osteopathic Medicine",'Pivot Table for 1-11'!$A$3,"State","TN","SREB Type",2,"SREB Type2","Four-Year")</f>
        <v>0</v>
      </c>
      <c r="N119" s="197">
        <f>+GETPIVOTDATA(" New-Veterinary Medicine",'Pivot Table for 1-11'!$A$3,"State","TN","SREB Type",2,"SREB Type2","Four-Year")</f>
        <v>0</v>
      </c>
      <c r="O119" s="198">
        <f>+GETPIVOTDATA(" New-Oth PP",'Pivot Table for 1-11'!$A$3,"State","TN","SREB Type",2,"SREB Type2","Four-Year")</f>
        <v>0</v>
      </c>
      <c r="P119" s="199">
        <f t="shared" si="3"/>
        <v>9880</v>
      </c>
      <c r="Q119" s="197"/>
    </row>
    <row r="120" spans="1:17" ht="15" customHeight="1">
      <c r="A120" s="196" t="s">
        <v>34</v>
      </c>
      <c r="B120" s="197">
        <f>+GETPIVOTDATA(" New-Less Than 2-Year",'Pivot Table for 1-11'!$A$3,"State","TX","SREB Type",2,"SREB Type2","Four-Year")+GETPIVOTDATA(" New-2 But Less Than 4-Year",'Pivot Table for 1-11'!$A$3,"State","TX","SREB Type",2,"SREB Type2","Four-Year")</f>
        <v>0</v>
      </c>
      <c r="C120" s="197">
        <f>+GETPIVOTDATA(" New-Associate's",'Pivot Table for 1-11'!$A$3,"State","TX","SREB Type",2,"SREB Type2","Four-Year")</f>
        <v>0</v>
      </c>
      <c r="D120" s="197">
        <f>+GETPIVOTDATA(" New-Bachelor's",'Pivot Table for 1-11'!$A$3,"State","TX","SREB Type",2,"SREB Type2","Four-Year")</f>
        <v>0</v>
      </c>
      <c r="E120" s="197">
        <f>+GETPIVOTDATA(" New-Post-Bachelor's",'Pivot Table for 1-11'!$A$3,"State","TX","SREB Type",2,"SREB Type2","Four-Year")</f>
        <v>0</v>
      </c>
      <c r="F120" s="197">
        <f>+GETPIVOTDATA(" New-Total Master's#",'Pivot Table for 1-11'!$A$3,"State","TX","SREB Type",2,"SREB Type2","Four-Year")</f>
        <v>3829</v>
      </c>
      <c r="G120" s="197">
        <f>+GETPIVOTDATA(" New-Total Doctorates#",'Pivot Table for 1-11'!$A$3,"State","TX","SREB Type",2,"SREB Type2","Four-Year")</f>
        <v>309</v>
      </c>
      <c r="H120" s="230">
        <f>+GETPIVOTDATA(" New-Law",'Pivot Table for 1-11'!$A$3,"State","TX","SREB Type",2,"SREB Type2","Four-Year")</f>
        <v>0</v>
      </c>
      <c r="I120" s="197">
        <f>+GETPIVOTDATA(" New-Medicine",'Pivot Table for 1-11'!$A$3,"State","TX","SREB Type",2,"SREB Type2","Four-Year")</f>
        <v>0</v>
      </c>
      <c r="J120" s="197">
        <f>+GETPIVOTDATA(" New-Dentistry",'Pivot Table for 1-11'!$A$3,"State","TX","SREB Type",2,"SREB Type2","Four-Year")</f>
        <v>0</v>
      </c>
      <c r="K120" s="197">
        <f>+GETPIVOTDATA(" New-Pharmacy",'Pivot Table for 1-11'!$A$3,"State","TX","SREB Type",2,"SREB Type2","Four-Year")</f>
        <v>0</v>
      </c>
      <c r="L120" s="197">
        <f>+GETPIVOTDATA(" New-Optometry",'Pivot Table for 1-11'!$A$3,"State","TX","SREB Type",2,"SREB Type2","Four-Year")</f>
        <v>0</v>
      </c>
      <c r="M120" s="197">
        <f>+GETPIVOTDATA(" New-Osteopathic Medicine",'Pivot Table for 1-11'!$A$3,"State","TX","SREB Type",2,"SREB Type2","Four-Year")</f>
        <v>0</v>
      </c>
      <c r="N120" s="197">
        <f>+GETPIVOTDATA(" New-Veterinary Medicine",'Pivot Table for 1-11'!$A$3,"State","TX","SREB Type",2,"SREB Type2","Four-Year")</f>
        <v>0</v>
      </c>
      <c r="O120" s="198">
        <f>+GETPIVOTDATA(" New-Oth PP",'Pivot Table for 1-11'!$A$3,"State","TX","SREB Type",2,"SREB Type2","Four-Year")</f>
        <v>162</v>
      </c>
      <c r="P120" s="199">
        <f t="shared" si="3"/>
        <v>4300</v>
      </c>
      <c r="Q120" s="197"/>
    </row>
    <row r="121" spans="1:17" ht="15" customHeight="1">
      <c r="A121" s="196" t="s">
        <v>35</v>
      </c>
      <c r="B121" s="197">
        <f>+GETPIVOTDATA(" New-Less Than 2-Year",'Pivot Table for 1-11'!$A$3,"State","VA","SREB Type",2,"SREB Type2","Four-Year")+GETPIVOTDATA(" New-2 But Less Than 4-Year",'Pivot Table for 1-11'!$A$3,"State","VA","SREB Type",2,"SREB Type2","Four-Year")</f>
        <v>0</v>
      </c>
      <c r="C121" s="197">
        <f>+GETPIVOTDATA(" New-Associate's",'Pivot Table for 1-11'!$A$3,"State","VA","SREB Type",2,"SREB Type2","Four-Year")</f>
        <v>0</v>
      </c>
      <c r="D121" s="197">
        <f>+GETPIVOTDATA(" New-Bachelor's",'Pivot Table for 1-11'!$A$3,"State","VA","SREB Type",2,"SREB Type2","Four-Year")</f>
        <v>1604</v>
      </c>
      <c r="E121" s="197">
        <f>+GETPIVOTDATA(" New-Post-Bachelor's",'Pivot Table for 1-11'!$A$3,"State","VA","SREB Type",2,"SREB Type2","Four-Year")</f>
        <v>24</v>
      </c>
      <c r="F121" s="197">
        <f>+GETPIVOTDATA(" New-Total Master's#",'Pivot Table for 1-11'!$A$3,"State","VA","SREB Type",2,"SREB Type2","Four-Year")</f>
        <v>745</v>
      </c>
      <c r="G121" s="197">
        <f>+GETPIVOTDATA(" New-Total Doctorates#",'Pivot Table for 1-11'!$A$3,"State","VA","SREB Type",2,"SREB Type2","Four-Year")</f>
        <v>96</v>
      </c>
      <c r="H121" s="230">
        <f>+GETPIVOTDATA(" New-Law",'Pivot Table for 1-11'!$A$3,"State","VA","SREB Type",2,"SREB Type2","Four-Year")</f>
        <v>0</v>
      </c>
      <c r="I121" s="197">
        <f>+GETPIVOTDATA(" New-Medicine",'Pivot Table for 1-11'!$A$3,"State","VA","SREB Type",2,"SREB Type2","Four-Year")</f>
        <v>0</v>
      </c>
      <c r="J121" s="197">
        <f>+GETPIVOTDATA(" New-Dentistry",'Pivot Table for 1-11'!$A$3,"State","VA","SREB Type",2,"SREB Type2","Four-Year")</f>
        <v>0</v>
      </c>
      <c r="K121" s="197">
        <f>+GETPIVOTDATA(" New-Pharmacy",'Pivot Table for 1-11'!$A$3,"State","VA","SREB Type",2,"SREB Type2","Four-Year")</f>
        <v>0</v>
      </c>
      <c r="L121" s="197">
        <f>+GETPIVOTDATA(" New-Optometry",'Pivot Table for 1-11'!$A$3,"State","VA","SREB Type",2,"SREB Type2","Four-Year")</f>
        <v>0</v>
      </c>
      <c r="M121" s="197">
        <f>+GETPIVOTDATA(" New-Osteopathic Medicine",'Pivot Table for 1-11'!$A$3,"State","VA","SREB Type",2,"SREB Type2","Four-Year")</f>
        <v>0</v>
      </c>
      <c r="N121" s="197">
        <f>+GETPIVOTDATA(" New-Veterinary Medicine",'Pivot Table for 1-11'!$A$3,"State","VA","SREB Type",2,"SREB Type2","Four-Year")</f>
        <v>0</v>
      </c>
      <c r="O121" s="198">
        <f>+GETPIVOTDATA(" New-Oth PP",'Pivot Table for 1-11'!$A$3,"State","VA","SREB Type",2,"SREB Type2","Four-Year")</f>
        <v>0</v>
      </c>
      <c r="P121" s="199">
        <f t="shared" si="3"/>
        <v>2469</v>
      </c>
      <c r="Q121" s="197"/>
    </row>
    <row r="122" spans="1:17" ht="15" customHeight="1">
      <c r="A122" s="200" t="s">
        <v>36</v>
      </c>
      <c r="B122" s="201">
        <f>+GETPIVOTDATA(" New-Less Than 2-Year",'Pivot Table for 1-11'!$A$3,"State","WV","SREB Type",2,"SREB Type2","Four-Year")+GETPIVOTDATA(" New-2 But Less Than 4-Year",'Pivot Table for 1-11'!$A$3,"State","WV","SREB Type",2,"SREB Type2","Four-Year")</f>
        <v>0</v>
      </c>
      <c r="C122" s="201">
        <f>+GETPIVOTDATA(" New-Associate's",'Pivot Table for 1-11'!$A$3,"State","WV","SREB Type",2,"SREB Type2","Four-Year")</f>
        <v>0</v>
      </c>
      <c r="D122" s="201">
        <f>+GETPIVOTDATA(" New-Bachelor's",'Pivot Table for 1-11'!$A$3,"State","WV","SREB Type",2,"SREB Type2","Four-Year")</f>
        <v>0</v>
      </c>
      <c r="E122" s="201">
        <f>+GETPIVOTDATA(" New-Post-Bachelor's",'Pivot Table for 1-11'!$A$3,"State","WV","SREB Type",2,"SREB Type2","Four-Year")</f>
        <v>0</v>
      </c>
      <c r="F122" s="201">
        <f>+GETPIVOTDATA(" New-Total Master's#",'Pivot Table for 1-11'!$A$3,"State","WV","SREB Type",2,"SREB Type2","Four-Year")</f>
        <v>0</v>
      </c>
      <c r="G122" s="201">
        <f>+GETPIVOTDATA(" New-Total Doctorates#",'Pivot Table for 1-11'!$A$3,"State","WV","SREB Type",2,"SREB Type2","Four-Year")</f>
        <v>0</v>
      </c>
      <c r="H122" s="318">
        <f>+GETPIVOTDATA(" New-Law",'Pivot Table for 1-11'!$A$3,"State","WV","SREB Type",2,"SREB Type2","Four-Year")</f>
        <v>0</v>
      </c>
      <c r="I122" s="201">
        <f>+GETPIVOTDATA(" New-Medicine",'Pivot Table for 1-11'!$A$3,"State","WV","SREB Type",2,"SREB Type2","Four-Year")</f>
        <v>0</v>
      </c>
      <c r="J122" s="201">
        <f>+GETPIVOTDATA(" New-Dentistry",'Pivot Table for 1-11'!$A$3,"State","WV","SREB Type",2,"SREB Type2","Four-Year")</f>
        <v>0</v>
      </c>
      <c r="K122" s="201">
        <f>+GETPIVOTDATA(" New-Pharmacy",'Pivot Table for 1-11'!$A$3,"State","WV","SREB Type",2,"SREB Type2","Four-Year")</f>
        <v>0</v>
      </c>
      <c r="L122" s="201">
        <f>+GETPIVOTDATA(" New-Optometry",'Pivot Table for 1-11'!$A$3,"State","WV","SREB Type",2,"SREB Type2","Four-Year")</f>
        <v>0</v>
      </c>
      <c r="M122" s="201">
        <f>+GETPIVOTDATA(" New-Osteopathic Medicine",'Pivot Table for 1-11'!$A$3,"State","WV","SREB Type",2,"SREB Type2","Four-Year")</f>
        <v>0</v>
      </c>
      <c r="N122" s="201">
        <f>+GETPIVOTDATA(" New-Veterinary Medicine",'Pivot Table for 1-11'!$A$3,"State","WV","SREB Type",2,"SREB Type2","Four-Year")</f>
        <v>0</v>
      </c>
      <c r="O122" s="319">
        <f>+GETPIVOTDATA(" New-Oth PP",'Pivot Table for 1-11'!$A$3,"State","WV","SREB Type",2,"SREB Type2","Four-Year")</f>
        <v>0</v>
      </c>
      <c r="P122" s="203">
        <f t="shared" si="3"/>
        <v>0</v>
      </c>
      <c r="Q122" s="197"/>
    </row>
    <row r="123" spans="1:17" ht="15" customHeight="1">
      <c r="B123" s="197"/>
      <c r="C123" s="197"/>
      <c r="D123" s="197"/>
      <c r="E123" s="197"/>
      <c r="F123" s="197"/>
      <c r="G123" s="197"/>
      <c r="H123" s="197"/>
      <c r="I123" s="197"/>
      <c r="J123" s="197"/>
      <c r="K123" s="197"/>
      <c r="L123" s="197"/>
      <c r="M123" s="197"/>
      <c r="N123" s="197"/>
      <c r="O123" s="197"/>
      <c r="P123" s="197"/>
      <c r="Q123" s="197"/>
    </row>
    <row r="124" spans="1:17" ht="24" customHeight="1">
      <c r="A124" s="545" t="s">
        <v>37</v>
      </c>
      <c r="B124" s="546"/>
      <c r="C124" s="546"/>
      <c r="D124" s="546"/>
      <c r="E124" s="546"/>
      <c r="F124" s="546"/>
      <c r="G124" s="546"/>
      <c r="H124" s="546"/>
      <c r="I124" s="546"/>
      <c r="J124" s="546"/>
      <c r="K124" s="546"/>
      <c r="L124" s="546"/>
      <c r="M124" s="546"/>
      <c r="N124" s="546"/>
      <c r="O124" s="546"/>
      <c r="P124" s="546"/>
      <c r="Q124" s="263"/>
    </row>
    <row r="125" spans="1:17">
      <c r="P125" s="204" t="s">
        <v>1178</v>
      </c>
      <c r="Q125" s="204"/>
    </row>
    <row r="126" spans="1:17" ht="18">
      <c r="A126" s="186" t="s">
        <v>47</v>
      </c>
      <c r="B126" s="187"/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  <c r="Q126" s="187" t="s">
        <v>1</v>
      </c>
    </row>
    <row r="127" spans="1:17" ht="15.75" customHeight="1">
      <c r="A127" s="188"/>
      <c r="B127" s="188"/>
      <c r="C127" s="188"/>
      <c r="D127" s="188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8"/>
      <c r="Q127" s="188"/>
    </row>
    <row r="128" spans="1:17" ht="15.5">
      <c r="A128" s="187" t="s">
        <v>2</v>
      </c>
      <c r="B128" s="187"/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  <c r="Q128" s="187" t="s">
        <v>1</v>
      </c>
    </row>
    <row r="129" spans="1:24" ht="15.5">
      <c r="A129" s="187" t="s">
        <v>1183</v>
      </c>
      <c r="B129" s="187"/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  <c r="Q129" s="187" t="s">
        <v>1</v>
      </c>
    </row>
    <row r="130" spans="1:24" ht="15.5">
      <c r="A130" s="189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  <c r="Q130" s="189"/>
    </row>
    <row r="131" spans="1:24" ht="15.5">
      <c r="A131" s="190"/>
      <c r="B131" s="190"/>
      <c r="C131" s="190"/>
      <c r="D131" s="190"/>
      <c r="E131" s="190"/>
      <c r="F131" s="190"/>
      <c r="G131" s="190"/>
      <c r="H131" s="225" t="s">
        <v>4</v>
      </c>
      <c r="I131" s="256"/>
      <c r="J131" s="256"/>
      <c r="K131" s="256"/>
      <c r="L131" s="256"/>
      <c r="M131" s="256"/>
      <c r="N131" s="256"/>
      <c r="O131" s="226"/>
      <c r="P131" s="192" t="s">
        <v>1</v>
      </c>
      <c r="Q131" s="189"/>
      <c r="R131" s="112"/>
      <c r="S131" s="112"/>
      <c r="X131" s="112"/>
    </row>
    <row r="132" spans="1:24" ht="41.25" customHeight="1">
      <c r="A132" s="193"/>
      <c r="B132" s="194" t="s">
        <v>5</v>
      </c>
      <c r="C132" s="194" t="s">
        <v>6</v>
      </c>
      <c r="D132" s="194" t="s">
        <v>7</v>
      </c>
      <c r="E132" s="194" t="s">
        <v>8</v>
      </c>
      <c r="F132" s="194" t="s">
        <v>9</v>
      </c>
      <c r="G132" s="194" t="s">
        <v>10</v>
      </c>
      <c r="H132" s="317" t="s">
        <v>11</v>
      </c>
      <c r="I132" s="194" t="s">
        <v>12</v>
      </c>
      <c r="J132" s="194" t="s">
        <v>13</v>
      </c>
      <c r="K132" s="194" t="s">
        <v>14</v>
      </c>
      <c r="L132" s="194" t="s">
        <v>15</v>
      </c>
      <c r="M132" s="194" t="s">
        <v>16</v>
      </c>
      <c r="N132" s="194" t="s">
        <v>17</v>
      </c>
      <c r="O132" s="228" t="s">
        <v>18</v>
      </c>
      <c r="P132" s="194" t="s">
        <v>19</v>
      </c>
      <c r="Q132" s="245"/>
    </row>
    <row r="133" spans="1:24" ht="15" customHeight="1">
      <c r="A133" s="196" t="s">
        <v>20</v>
      </c>
      <c r="B133" s="197">
        <f>+GETPIVOTDATA(" New-Less Than 2-Year",'Pivot Table for 1-11'!$A$3,"SREB Type",3,"SREB Type2","Four-Year")+GETPIVOTDATA(" New-2 But Less Than 4-Year",'Pivot Table for 1-11'!$A$3,"SREB Type",3,"SREB Type2","Four-Year")</f>
        <v>1589</v>
      </c>
      <c r="C133" s="197">
        <f>+GETPIVOTDATA(" New-Associate's",'Pivot Table for 1-11'!$A$3,"SREB Type",3,"SREB Type2","Four-Year")</f>
        <v>4199</v>
      </c>
      <c r="D133" s="197">
        <f>+GETPIVOTDATA(" New-Bachelor's",'Pivot Table for 1-11'!$A$3,"SREB Type",3,"SREB Type2","Four-Year")</f>
        <v>59269</v>
      </c>
      <c r="E133" s="197">
        <f>+GETPIVOTDATA(" New-Post-Bachelor's",'Pivot Table for 1-11'!$A$3,"SREB Type",3,"SREB Type2","Four-Year")</f>
        <v>1085</v>
      </c>
      <c r="F133" s="197">
        <f>+GETPIVOTDATA(" New-Total Master's#",'Pivot Table for 1-11'!$A$3,"SREB Type",3,"SREB Type2","Four-Year")</f>
        <v>34905</v>
      </c>
      <c r="G133" s="197">
        <f>+GETPIVOTDATA(" New-Total Doctorates#",'Pivot Table for 1-11'!$A$3,"SREB Type",3,"SREB Type2","Four-Year")</f>
        <v>1170</v>
      </c>
      <c r="H133" s="230">
        <f>+GETPIVOTDATA(" New-Law",'Pivot Table for 1-11'!$A$3,"SREB Type",3,"SREB Type2","Four-Year")</f>
        <v>442</v>
      </c>
      <c r="I133" s="197">
        <f>+GETPIVOTDATA(" New-Medicine",'Pivot Table for 1-11'!$A$3,"SREB Type",3,"SREB Type2","Four-Year")</f>
        <v>79</v>
      </c>
      <c r="J133" s="197">
        <f>+GETPIVOTDATA(" New-Dentistry",'Pivot Table for 1-11'!$A$3,"SREB Type",3,"SREB Type2","Four-Year")</f>
        <v>0</v>
      </c>
      <c r="K133" s="197">
        <f>+GETPIVOTDATA(" New-Pharmacy",'Pivot Table for 1-11'!$A$3,"SREB Type",3,"SREB Type2","Four-Year")</f>
        <v>335</v>
      </c>
      <c r="L133" s="197">
        <f>+GETPIVOTDATA(" New-Optometry",'Pivot Table for 1-11'!$A$3,"SREB Type",3,"SREB Type2","Four-Year")</f>
        <v>0</v>
      </c>
      <c r="M133" s="197">
        <f>+GETPIVOTDATA(" New-Osteopathic Medicine",'Pivot Table for 1-11'!$A$3,"SREB Type",3,"SREB Type2","Four-Year")</f>
        <v>0</v>
      </c>
      <c r="N133" s="197">
        <f>+GETPIVOTDATA(" New-Veterinary Medicine",'Pivot Table for 1-11'!$A$3,"SREB Type",3,"SREB Type2","Four-Year")</f>
        <v>0</v>
      </c>
      <c r="O133" s="198">
        <f>+GETPIVOTDATA(" New-Oth PP",'Pivot Table for 1-11'!$A$3,"SREB Type",3,"SREB Type2","Four-Year")</f>
        <v>506</v>
      </c>
      <c r="P133" s="199">
        <f>SUM(B133:O133)</f>
        <v>103579</v>
      </c>
      <c r="Q133" s="197"/>
    </row>
    <row r="134" spans="1:24" ht="15" customHeight="1">
      <c r="A134" s="196"/>
      <c r="B134" s="197"/>
      <c r="C134" s="197"/>
      <c r="D134" s="197"/>
      <c r="E134" s="197"/>
      <c r="F134" s="197"/>
      <c r="G134" s="197"/>
      <c r="H134" s="230"/>
      <c r="I134" s="197"/>
      <c r="J134" s="197"/>
      <c r="K134" s="197"/>
      <c r="L134" s="197"/>
      <c r="M134" s="197"/>
      <c r="N134" s="197"/>
      <c r="O134" s="198"/>
      <c r="P134" s="199"/>
      <c r="Q134" s="197"/>
    </row>
    <row r="135" spans="1:24" ht="15" customHeight="1">
      <c r="A135" s="196" t="s">
        <v>21</v>
      </c>
      <c r="B135" s="197">
        <f>GETPIVOTDATA(" New-Less Than 2-Year",'Pivot Table for 1-11'!$A$3,"State","AL","SREB Type",3,"SREB Type2","Four-Year")+GETPIVOTDATA(" New-2 But Less Than 4-Year",'Pivot Table for 1-11'!$A$3,"State","AL","SREB Type",3,"SREB Type2","Four-Year")</f>
        <v>2</v>
      </c>
      <c r="C135" s="197">
        <f>+GETPIVOTDATA(" New-Associate's",'Pivot Table for 1-11'!$A$3,"State","AL","SREB Type",3,"SREB Type2","Four-Year")</f>
        <v>319</v>
      </c>
      <c r="D135" s="197">
        <f>+GETPIVOTDATA(" New-Bachelor's",'Pivot Table for 1-11'!$A$3,"State","AL","SREB Type",3,"SREB Type2","Four-Year")</f>
        <v>6185</v>
      </c>
      <c r="E135" s="197">
        <f>+GETPIVOTDATA(" New-Post-Bachelor's",'Pivot Table for 1-11'!$A$3,"State","AL","SREB Type",3,"SREB Type2","Four-Year")</f>
        <v>52</v>
      </c>
      <c r="F135" s="197">
        <f>+GETPIVOTDATA(" New-Total Master's#",'Pivot Table for 1-11'!$A$3,"State","AL","SREB Type",3,"SREB Type2","Four-Year")</f>
        <v>2434</v>
      </c>
      <c r="G135" s="197">
        <f>+GETPIVOTDATA(" New-Total Doctorates#",'Pivot Table for 1-11'!$A$3,"State","AL","SREB Type",3,"SREB Type2","Four-Year")</f>
        <v>12</v>
      </c>
      <c r="H135" s="230">
        <f>+GETPIVOTDATA(" New-Law",'Pivot Table for 1-11'!$A$3,"State","AL","SREB Type",3,"SREB Type2","Four-Year")</f>
        <v>0</v>
      </c>
      <c r="I135" s="197">
        <f>+GETPIVOTDATA(" New-Medicine",'Pivot Table for 1-11'!$A$3,"State","AL","SREB Type",3,"SREB Type2","Four-Year")</f>
        <v>0</v>
      </c>
      <c r="J135" s="197">
        <f>+GETPIVOTDATA(" New-Dentistry",'Pivot Table for 1-11'!$A$3,"State","AL","SREB Type",3,"SREB Type2","Four-Year")</f>
        <v>0</v>
      </c>
      <c r="K135" s="197">
        <f>+GETPIVOTDATA(" New-Pharmacy",'Pivot Table for 1-11'!$A$3,"State","AL","SREB Type",3,"SREB Type2","Four-Year")</f>
        <v>0</v>
      </c>
      <c r="L135" s="197">
        <f>+GETPIVOTDATA(" New-Optometry",'Pivot Table for 1-11'!$A$3,"State","AL","SREB Type",3,"SREB Type2","Four-Year")</f>
        <v>0</v>
      </c>
      <c r="M135" s="197">
        <f>+GETPIVOTDATA(" New-Osteopathic Medicine",'Pivot Table for 1-11'!$A$3,"State","AL","SREB Type",3,"SREB Type2","Four-Year")</f>
        <v>0</v>
      </c>
      <c r="N135" s="197">
        <f>+GETPIVOTDATA(" New-Veterinary Medicine",'Pivot Table for 1-11'!$A$3,"State","AL","SREB Type",3,"SREB Type2","Four-Year")</f>
        <v>0</v>
      </c>
      <c r="O135" s="198">
        <f>+GETPIVOTDATA(" New-Oth PP",'Pivot Table for 1-11'!$A$3,"State","AL","SREB Type",3,"SREB Type2","Four-Year")</f>
        <v>31</v>
      </c>
      <c r="P135" s="199">
        <f t="shared" ref="P135:P153" si="4">SUM(B135:O135)</f>
        <v>9035</v>
      </c>
      <c r="Q135" s="197"/>
    </row>
    <row r="136" spans="1:24" ht="15" customHeight="1">
      <c r="A136" s="196" t="s">
        <v>22</v>
      </c>
      <c r="B136" s="197">
        <f>+GETPIVOTDATA(" New-Less Than 2-Year",'Pivot Table for 1-11'!$A$3,"State","AR","SREB Type",3,"SREB Type2","Four-Year")+GETPIVOTDATA(" New-2 But Less Than 4-Year",'Pivot Table for 1-11'!$A$3,"State","AR","SREB Type",3,"SREB Type2","Four-Year")</f>
        <v>977</v>
      </c>
      <c r="C136" s="197">
        <f>+GETPIVOTDATA(" New-Associate's",'Pivot Table for 1-11'!$A$3,"State","AR","SREB Type",3,"SREB Type2","Four-Year")</f>
        <v>1811</v>
      </c>
      <c r="D136" s="197">
        <f>+GETPIVOTDATA(" New-Bachelor's",'Pivot Table for 1-11'!$A$3,"State","AR","SREB Type",3,"SREB Type2","Four-Year")</f>
        <v>4820</v>
      </c>
      <c r="E136" s="197">
        <f>+GETPIVOTDATA(" New-Post-Bachelor's",'Pivot Table for 1-11'!$A$3,"State","AR","SREB Type",3,"SREB Type2","Four-Year")</f>
        <v>130</v>
      </c>
      <c r="F136" s="197">
        <f>+GETPIVOTDATA(" New-Total Master's#",'Pivot Table for 1-11'!$A$3,"State","AR","SREB Type",3,"SREB Type2","Four-Year")</f>
        <v>3169</v>
      </c>
      <c r="G136" s="197">
        <f>+GETPIVOTDATA(" New-Total Doctorates#",'Pivot Table for 1-11'!$A$3,"State","AR","SREB Type",3,"SREB Type2","Four-Year")</f>
        <v>50</v>
      </c>
      <c r="H136" s="230">
        <f>+GETPIVOTDATA(" New-Law",'Pivot Table for 1-11'!$A$3,"State","AR","SREB Type",3,"SREB Type2","Four-Year")</f>
        <v>0</v>
      </c>
      <c r="I136" s="197">
        <f>+GETPIVOTDATA(" New-Medicine",'Pivot Table for 1-11'!$A$3,"State","AR","SREB Type",3,"SREB Type2","Four-Year")</f>
        <v>0</v>
      </c>
      <c r="J136" s="197">
        <f>+GETPIVOTDATA(" New-Dentistry",'Pivot Table for 1-11'!$A$3,"State","AR","SREB Type",3,"SREB Type2","Four-Year")</f>
        <v>0</v>
      </c>
      <c r="K136" s="197">
        <f>+GETPIVOTDATA(" New-Pharmacy",'Pivot Table for 1-11'!$A$3,"State","AR","SREB Type",3,"SREB Type2","Four-Year")</f>
        <v>0</v>
      </c>
      <c r="L136" s="197">
        <f>+GETPIVOTDATA(" New-Optometry",'Pivot Table for 1-11'!$A$3,"State","AR","SREB Type",3,"SREB Type2","Four-Year")</f>
        <v>0</v>
      </c>
      <c r="M136" s="197">
        <f>+GETPIVOTDATA(" New-Osteopathic Medicine",'Pivot Table for 1-11'!$A$3,"State","AR","SREB Type",3,"SREB Type2","Four-Year")</f>
        <v>0</v>
      </c>
      <c r="N136" s="197">
        <f>+GETPIVOTDATA(" New-Veterinary Medicine",'Pivot Table for 1-11'!$A$3,"State","AR","SREB Type",3,"SREB Type2","Four-Year")</f>
        <v>0</v>
      </c>
      <c r="O136" s="198">
        <f>+GETPIVOTDATA(" New-Oth PP",'Pivot Table for 1-11'!$A$3,"State","AR","SREB Type",3,"SREB Type2","Four-Year")</f>
        <v>130</v>
      </c>
      <c r="P136" s="199">
        <f t="shared" si="4"/>
        <v>11087</v>
      </c>
      <c r="Q136" s="197"/>
    </row>
    <row r="137" spans="1:24" ht="15" customHeight="1">
      <c r="A137" s="196" t="s">
        <v>23</v>
      </c>
      <c r="B137" s="197">
        <f>+GETPIVOTDATA(" New-Less Than 2-Year",'Pivot Table for 1-11'!$A$3,"State","DE","SREB Type",3,"SREB Type2","Four-Year")+GETPIVOTDATA(" New-2 But Less Than 4-Year",'Pivot Table for 1-11'!$A$3,"State","DE","SREB Type",3,"SREB Type2","Four-Year")</f>
        <v>16</v>
      </c>
      <c r="C137" s="197">
        <f>+GETPIVOTDATA(" New-Associate's",'Pivot Table for 1-11'!$A$3,"State","DE","SREB Type",3,"SREB Type2","Four-Year")</f>
        <v>0</v>
      </c>
      <c r="D137" s="197">
        <f>+GETPIVOTDATA(" New-Bachelor's",'Pivot Table for 1-11'!$A$3,"State","DE","SREB Type",3,"SREB Type2","Four-Year")</f>
        <v>637</v>
      </c>
      <c r="E137" s="197">
        <f>+GETPIVOTDATA(" New-Post-Bachelor's",'Pivot Table for 1-11'!$A$3,"State","DE","SREB Type",3,"SREB Type2","Four-Year")</f>
        <v>0</v>
      </c>
      <c r="F137" s="197">
        <f>+GETPIVOTDATA(" New-Total Master's#",'Pivot Table for 1-11'!$A$3,"State","DE","SREB Type",3,"SREB Type2","Four-Year")</f>
        <v>111</v>
      </c>
      <c r="G137" s="197">
        <f>+GETPIVOTDATA(" New-Total Doctorates#",'Pivot Table for 1-11'!$A$3,"State","DE","SREB Type",3,"SREB Type2","Four-Year")</f>
        <v>14</v>
      </c>
      <c r="H137" s="230">
        <f>+GETPIVOTDATA(" New-Law",'Pivot Table for 1-11'!$A$3,"State","DE","SREB Type",3,"SREB Type2","Four-Year")</f>
        <v>0</v>
      </c>
      <c r="I137" s="197">
        <f>+GETPIVOTDATA(" New-Medicine",'Pivot Table for 1-11'!$A$3,"State","DE","SREB Type",3,"SREB Type2","Four-Year")</f>
        <v>0</v>
      </c>
      <c r="J137" s="197">
        <f>+GETPIVOTDATA(" New-Dentistry",'Pivot Table for 1-11'!$A$3,"State","DE","SREB Type",3,"SREB Type2","Four-Year")</f>
        <v>0</v>
      </c>
      <c r="K137" s="197">
        <f>+GETPIVOTDATA(" New-Pharmacy",'Pivot Table for 1-11'!$A$3,"State","DE","SREB Type",3,"SREB Type2","Four-Year")</f>
        <v>0</v>
      </c>
      <c r="L137" s="197">
        <f>+GETPIVOTDATA(" New-Optometry",'Pivot Table for 1-11'!$A$3,"State","DE","SREB Type",3,"SREB Type2","Four-Year")</f>
        <v>0</v>
      </c>
      <c r="M137" s="197">
        <f>+GETPIVOTDATA(" New-Osteopathic Medicine",'Pivot Table for 1-11'!$A$3,"State","DE","SREB Type",3,"SREB Type2","Four-Year")</f>
        <v>0</v>
      </c>
      <c r="N137" s="197">
        <f>+GETPIVOTDATA(" New-Veterinary Medicine",'Pivot Table for 1-11'!$A$3,"State","DE","SREB Type",3,"SREB Type2","Four-Year")</f>
        <v>0</v>
      </c>
      <c r="O137" s="198">
        <f>+GETPIVOTDATA(" New-Oth PP",'Pivot Table for 1-11'!$A$3,"State","DE","SREB Type",3,"SREB Type2","Four-Year")</f>
        <v>0</v>
      </c>
      <c r="P137" s="199">
        <f t="shared" si="4"/>
        <v>778</v>
      </c>
      <c r="Q137" s="197"/>
    </row>
    <row r="138" spans="1:24" ht="15" customHeight="1">
      <c r="A138" s="196" t="s">
        <v>24</v>
      </c>
      <c r="B138" s="197">
        <f>+GETPIVOTDATA(" New-Less Than 2-Year",'Pivot Table for 1-11'!$A$3,"State","FL","SREB Type",3,"SREB Type2","Four-Year")+GETPIVOTDATA(" New-2 But Less Than 4-Year",'Pivot Table for 1-11'!$A$3,"State","FL","SREB Type",3,"SREB Type2","Four-Year")</f>
        <v>0</v>
      </c>
      <c r="C138" s="197">
        <f>+GETPIVOTDATA(" New-Associate's",'Pivot Table for 1-11'!$A$3,"State","FL","SREB Type",3,"SREB Type2","Four-Year")</f>
        <v>0</v>
      </c>
      <c r="D138" s="197">
        <f>+GETPIVOTDATA(" New-Bachelor's",'Pivot Table for 1-11'!$A$3,"State","FL","SREB Type",3,"SREB Type2","Four-Year")</f>
        <v>0</v>
      </c>
      <c r="E138" s="197">
        <f>+GETPIVOTDATA(" New-Post-Bachelor's",'Pivot Table for 1-11'!$A$3,"State","FL","SREB Type",3,"SREB Type2","Four-Year")</f>
        <v>0</v>
      </c>
      <c r="F138" s="197">
        <f>+GETPIVOTDATA(" New-Total Master's#",'Pivot Table for 1-11'!$A$3,"State","FL","SREB Type",3,"SREB Type2","Four-Year")</f>
        <v>0</v>
      </c>
      <c r="G138" s="197">
        <f>+GETPIVOTDATA(" New-Total Doctorates#",'Pivot Table for 1-11'!$A$3,"State","FL","SREB Type",3,"SREB Type2","Four-Year")</f>
        <v>0</v>
      </c>
      <c r="H138" s="230">
        <f>+GETPIVOTDATA(" New-Law",'Pivot Table for 1-11'!$A$3,"State","FL","SREB Type",3,"SREB Type2","Four-Year")</f>
        <v>0</v>
      </c>
      <c r="I138" s="197">
        <f>+GETPIVOTDATA(" New-Medicine",'Pivot Table for 1-11'!$A$3,"State","FL","SREB Type",3,"SREB Type2","Four-Year")</f>
        <v>0</v>
      </c>
      <c r="J138" s="197">
        <f>+GETPIVOTDATA(" New-Dentistry",'Pivot Table for 1-11'!$A$3,"State","FL","SREB Type",3,"SREB Type2","Four-Year")</f>
        <v>0</v>
      </c>
      <c r="K138" s="197">
        <f>+GETPIVOTDATA(" New-Pharmacy",'Pivot Table for 1-11'!$A$3,"State","FL","SREB Type",3,"SREB Type2","Four-Year")</f>
        <v>0</v>
      </c>
      <c r="L138" s="197">
        <f>+GETPIVOTDATA(" New-Optometry",'Pivot Table for 1-11'!$A$3,"State","FL","SREB Type",3,"SREB Type2","Four-Year")</f>
        <v>0</v>
      </c>
      <c r="M138" s="197">
        <f>+GETPIVOTDATA(" New-Osteopathic Medicine",'Pivot Table for 1-11'!$A$3,"State","FL","SREB Type",3,"SREB Type2","Four-Year")</f>
        <v>0</v>
      </c>
      <c r="N138" s="197">
        <f>+GETPIVOTDATA(" New-Veterinary Medicine",'Pivot Table for 1-11'!$A$3,"State","FL","SREB Type",3,"SREB Type2","Four-Year")</f>
        <v>0</v>
      </c>
      <c r="O138" s="198">
        <f>+GETPIVOTDATA(" New-Oth PP",'Pivot Table for 1-11'!$A$3,"State","FL","SREB Type",3,"SREB Type2","Four-Year")</f>
        <v>0</v>
      </c>
      <c r="P138" s="199">
        <f t="shared" si="4"/>
        <v>0</v>
      </c>
      <c r="Q138" s="197"/>
    </row>
    <row r="139" spans="1:24" ht="15" customHeight="1">
      <c r="A139" s="196"/>
      <c r="B139" s="197"/>
      <c r="C139" s="197"/>
      <c r="D139" s="197"/>
      <c r="E139" s="197"/>
      <c r="F139" s="197"/>
      <c r="G139" s="197"/>
      <c r="H139" s="230"/>
      <c r="I139" s="197"/>
      <c r="J139" s="197"/>
      <c r="K139" s="197"/>
      <c r="L139" s="197"/>
      <c r="M139" s="197"/>
      <c r="N139" s="197"/>
      <c r="O139" s="198"/>
      <c r="P139" s="199"/>
      <c r="Q139" s="197"/>
    </row>
    <row r="140" spans="1:24" ht="15" customHeight="1">
      <c r="A140" s="196" t="s">
        <v>25</v>
      </c>
      <c r="B140" s="197">
        <f>+GETPIVOTDATA(" New-Less Than 2-Year",'Pivot Table for 1-11'!$A$3,"State","GA","SREB Type",3,"SREB Type2","Four-Year")+GETPIVOTDATA(" New-2 But Less Than 4-Year",'Pivot Table for 1-11'!$A$3,"State","GA","SREB Type",3,"SREB Type2","Four-Year")</f>
        <v>72</v>
      </c>
      <c r="C140" s="197">
        <f>+GETPIVOTDATA(" New-Associate's",'Pivot Table for 1-11'!$A$3,"State","GA","SREB Type",3,"SREB Type2","Four-Year")</f>
        <v>57</v>
      </c>
      <c r="D140" s="197">
        <f>+GETPIVOTDATA(" New-Bachelor's",'Pivot Table for 1-11'!$A$3,"State","GA","SREB Type",3,"SREB Type2","Four-Year")</f>
        <v>13703</v>
      </c>
      <c r="E140" s="197">
        <f>+GETPIVOTDATA(" New-Post-Bachelor's",'Pivot Table for 1-11'!$A$3,"State","GA","SREB Type",3,"SREB Type2","Four-Year")</f>
        <v>204</v>
      </c>
      <c r="F140" s="197">
        <f>+GETPIVOTDATA(" New-Total Master's#",'Pivot Table for 1-11'!$A$3,"State","GA","SREB Type",3,"SREB Type2","Four-Year")</f>
        <v>4356</v>
      </c>
      <c r="G140" s="197">
        <f>+GETPIVOTDATA(" New-Total Doctorates#",'Pivot Table for 1-11'!$A$3,"State","GA","SREB Type",3,"SREB Type2","Four-Year")</f>
        <v>228</v>
      </c>
      <c r="H140" s="230">
        <f>+GETPIVOTDATA(" New-Law",'Pivot Table for 1-11'!$A$3,"State","GA","SREB Type",3,"SREB Type2","Four-Year")</f>
        <v>0</v>
      </c>
      <c r="I140" s="197">
        <f>+GETPIVOTDATA(" New-Medicine",'Pivot Table for 1-11'!$A$3,"State","GA","SREB Type",3,"SREB Type2","Four-Year")</f>
        <v>0</v>
      </c>
      <c r="J140" s="197">
        <f>+GETPIVOTDATA(" New-Dentistry",'Pivot Table for 1-11'!$A$3,"State","GA","SREB Type",3,"SREB Type2","Four-Year")</f>
        <v>0</v>
      </c>
      <c r="K140" s="197">
        <f>+GETPIVOTDATA(" New-Pharmacy",'Pivot Table for 1-11'!$A$3,"State","GA","SREB Type",3,"SREB Type2","Four-Year")</f>
        <v>0</v>
      </c>
      <c r="L140" s="197">
        <f>+GETPIVOTDATA(" New-Optometry",'Pivot Table for 1-11'!$A$3,"State","GA","SREB Type",3,"SREB Type2","Four-Year")</f>
        <v>0</v>
      </c>
      <c r="M140" s="197">
        <f>+GETPIVOTDATA(" New-Osteopathic Medicine",'Pivot Table for 1-11'!$A$3,"State","GA","SREB Type",3,"SREB Type2","Four-Year")</f>
        <v>0</v>
      </c>
      <c r="N140" s="197">
        <f>+GETPIVOTDATA(" New-Veterinary Medicine",'Pivot Table for 1-11'!$A$3,"State","GA","SREB Type",3,"SREB Type2","Four-Year")</f>
        <v>0</v>
      </c>
      <c r="O140" s="198">
        <f>+GETPIVOTDATA(" New-Oth PP",'Pivot Table for 1-11'!$A$3,"State","GA","SREB Type",3,"SREB Type2","Four-Year")</f>
        <v>0</v>
      </c>
      <c r="P140" s="199">
        <f t="shared" si="4"/>
        <v>18620</v>
      </c>
      <c r="Q140" s="197"/>
    </row>
    <row r="141" spans="1:24" ht="15" customHeight="1">
      <c r="A141" s="196" t="s">
        <v>26</v>
      </c>
      <c r="B141" s="197">
        <f>+GETPIVOTDATA(" New-Less Than 2-Year",'Pivot Table for 1-11'!$A$3,"State","KY","SREB Type",3,"SREB Type2","Four-Year")+GETPIVOTDATA(" New-2 But Less Than 4-Year",'Pivot Table for 1-11'!$A$3,"State","KY","SREB Type",3,"SREB Type2","Four-Year")</f>
        <v>500</v>
      </c>
      <c r="C141" s="197">
        <f>+GETPIVOTDATA(" New-Associate's",'Pivot Table for 1-11'!$A$3,"State","KY","SREB Type",3,"SREB Type2","Four-Year")</f>
        <v>572</v>
      </c>
      <c r="D141" s="197">
        <f>+GETPIVOTDATA(" New-Bachelor's",'Pivot Table for 1-11'!$A$3,"State","KY","SREB Type",3,"SREB Type2","Four-Year")</f>
        <v>10696</v>
      </c>
      <c r="E141" s="197">
        <f>+GETPIVOTDATA(" New-Post-Bachelor's",'Pivot Table for 1-11'!$A$3,"State","KY","SREB Type",3,"SREB Type2","Four-Year")</f>
        <v>246</v>
      </c>
      <c r="F141" s="197">
        <f>+GETPIVOTDATA(" New-Total Master's#",'Pivot Table for 1-11'!$A$3,"State","KY","SREB Type",3,"SREB Type2","Four-Year")</f>
        <v>2878</v>
      </c>
      <c r="G141" s="197">
        <f>+GETPIVOTDATA(" New-Total Doctorates#",'Pivot Table for 1-11'!$A$3,"State","KY","SREB Type",3,"SREB Type2","Four-Year")</f>
        <v>0</v>
      </c>
      <c r="H141" s="230">
        <f>+GETPIVOTDATA(" New-Law",'Pivot Table for 1-11'!$A$3,"State","KY","SREB Type",3,"SREB Type2","Four-Year")</f>
        <v>115</v>
      </c>
      <c r="I141" s="197">
        <f>+GETPIVOTDATA(" New-Medicine",'Pivot Table for 1-11'!$A$3,"State","KY","SREB Type",3,"SREB Type2","Four-Year")</f>
        <v>0</v>
      </c>
      <c r="J141" s="197">
        <f>+GETPIVOTDATA(" New-Dentistry",'Pivot Table for 1-11'!$A$3,"State","KY","SREB Type",3,"SREB Type2","Four-Year")</f>
        <v>0</v>
      </c>
      <c r="K141" s="197">
        <f>+GETPIVOTDATA(" New-Pharmacy",'Pivot Table for 1-11'!$A$3,"State","KY","SREB Type",3,"SREB Type2","Four-Year")</f>
        <v>0</v>
      </c>
      <c r="L141" s="197">
        <f>+GETPIVOTDATA(" New-Optometry",'Pivot Table for 1-11'!$A$3,"State","KY","SREB Type",3,"SREB Type2","Four-Year")</f>
        <v>0</v>
      </c>
      <c r="M141" s="197">
        <f>+GETPIVOTDATA(" New-Osteopathic Medicine",'Pivot Table for 1-11'!$A$3,"State","KY","SREB Type",3,"SREB Type2","Four-Year")</f>
        <v>0</v>
      </c>
      <c r="N141" s="197">
        <f>+GETPIVOTDATA(" New-Veterinary Medicine",'Pivot Table for 1-11'!$A$3,"State","KY","SREB Type",3,"SREB Type2","Four-Year")</f>
        <v>0</v>
      </c>
      <c r="O141" s="198">
        <f>+GETPIVOTDATA(" New-Oth PP",'Pivot Table for 1-11'!$A$3,"State","KY","SREB Type",3,"SREB Type2","Four-Year")</f>
        <v>177</v>
      </c>
      <c r="P141" s="199">
        <f t="shared" si="4"/>
        <v>15184</v>
      </c>
      <c r="Q141" s="197"/>
    </row>
    <row r="142" spans="1:24" ht="15" customHeight="1">
      <c r="A142" s="196" t="s">
        <v>27</v>
      </c>
      <c r="B142" s="197">
        <f>+GETPIVOTDATA(" New-Less Than 2-Year",'Pivot Table for 1-11'!$A$3,"State","LA","SREB Type",3,"SREB Type2","Four-Year")+GETPIVOTDATA(" New-2 But Less Than 4-Year",'Pivot Table for 1-11'!$A$3,"State","LA","SREB Type",3,"SREB Type2","Four-Year")</f>
        <v>0</v>
      </c>
      <c r="C142" s="197">
        <f>+GETPIVOTDATA(" New-Associate's",'Pivot Table for 1-11'!$A$3,"State","LA","SREB Type",3,"SREB Type2","Four-Year")</f>
        <v>204</v>
      </c>
      <c r="D142" s="197">
        <f>+GETPIVOTDATA(" New-Bachelor's",'Pivot Table for 1-11'!$A$3,"State","LA","SREB Type",3,"SREB Type2","Four-Year")</f>
        <v>4776</v>
      </c>
      <c r="E142" s="197">
        <f>+GETPIVOTDATA(" New-Post-Bachelor's",'Pivot Table for 1-11'!$A$3,"State","LA","SREB Type",3,"SREB Type2","Four-Year")</f>
        <v>39</v>
      </c>
      <c r="F142" s="197">
        <f>+GETPIVOTDATA(" New-Total Master's#",'Pivot Table for 1-11'!$A$3,"State","LA","SREB Type",3,"SREB Type2","Four-Year")</f>
        <v>1155</v>
      </c>
      <c r="G142" s="197">
        <f>+GETPIVOTDATA(" New-Total Doctorates#",'Pivot Table for 1-11'!$A$3,"State","LA","SREB Type",3,"SREB Type2","Four-Year")</f>
        <v>58</v>
      </c>
      <c r="H142" s="230">
        <f>+GETPIVOTDATA(" New-Law",'Pivot Table for 1-11'!$A$3,"State","LA","SREB Type",3,"SREB Type2","Four-Year")</f>
        <v>0</v>
      </c>
      <c r="I142" s="197">
        <f>+GETPIVOTDATA(" New-Medicine",'Pivot Table for 1-11'!$A$3,"State","LA","SREB Type",3,"SREB Type2","Four-Year")</f>
        <v>0</v>
      </c>
      <c r="J142" s="197">
        <f>+GETPIVOTDATA(" New-Dentistry",'Pivot Table for 1-11'!$A$3,"State","LA","SREB Type",3,"SREB Type2","Four-Year")</f>
        <v>0</v>
      </c>
      <c r="K142" s="197">
        <f>+GETPIVOTDATA(" New-Pharmacy",'Pivot Table for 1-11'!$A$3,"State","LA","SREB Type",3,"SREB Type2","Four-Year")</f>
        <v>87</v>
      </c>
      <c r="L142" s="197">
        <f>+GETPIVOTDATA(" New-Optometry",'Pivot Table for 1-11'!$A$3,"State","LA","SREB Type",3,"SREB Type2","Four-Year")</f>
        <v>0</v>
      </c>
      <c r="M142" s="197">
        <f>+GETPIVOTDATA(" New-Osteopathic Medicine",'Pivot Table for 1-11'!$A$3,"State","LA","SREB Type",3,"SREB Type2","Four-Year")</f>
        <v>0</v>
      </c>
      <c r="N142" s="197">
        <f>+GETPIVOTDATA(" New-Veterinary Medicine",'Pivot Table for 1-11'!$A$3,"State","LA","SREB Type",3,"SREB Type2","Four-Year")</f>
        <v>0</v>
      </c>
      <c r="O142" s="198">
        <f>+GETPIVOTDATA(" New-Oth PP",'Pivot Table for 1-11'!$A$3,"State","LA","SREB Type",3,"SREB Type2","Four-Year")</f>
        <v>15</v>
      </c>
      <c r="P142" s="199">
        <f t="shared" si="4"/>
        <v>6334</v>
      </c>
      <c r="Q142" s="197"/>
    </row>
    <row r="143" spans="1:24" ht="15" customHeight="1">
      <c r="A143" s="196" t="s">
        <v>28</v>
      </c>
      <c r="B143" s="197">
        <f>+GETPIVOTDATA(" New-Less Than 2-Year",'Pivot Table for 1-11'!$A$3,"State","MD","SREB Type",3,"SREB Type2","Four-Year")+GETPIVOTDATA(" New-2 But Less Than 4-Year",'Pivot Table for 1-11'!$A$3,"State","MD","SREB Type",3,"SREB Type2","Four-Year")</f>
        <v>0</v>
      </c>
      <c r="C143" s="197">
        <f>+GETPIVOTDATA(" New-Associate's",'Pivot Table for 1-11'!$A$3,"State","MD","SREB Type",3,"SREB Type2","Four-Year")</f>
        <v>0</v>
      </c>
      <c r="D143" s="197">
        <f>+GETPIVOTDATA(" New-Bachelor's",'Pivot Table for 1-11'!$A$3,"State","MD","SREB Type",3,"SREB Type2","Four-Year")</f>
        <v>0</v>
      </c>
      <c r="E143" s="197">
        <f>+GETPIVOTDATA(" New-Post-Bachelor's",'Pivot Table for 1-11'!$A$3,"State","MD","SREB Type",3,"SREB Type2","Four-Year")</f>
        <v>0</v>
      </c>
      <c r="F143" s="197">
        <f>+GETPIVOTDATA(" New-Total Master's#",'Pivot Table for 1-11'!$A$3,"State","MD","SREB Type",3,"SREB Type2","Four-Year")</f>
        <v>0</v>
      </c>
      <c r="G143" s="197">
        <f>+GETPIVOTDATA(" New-Total Doctorates#",'Pivot Table for 1-11'!$A$3,"State","MD","SREB Type",3,"SREB Type2","Four-Year")</f>
        <v>0</v>
      </c>
      <c r="H143" s="230">
        <f>+GETPIVOTDATA(" New-Law",'Pivot Table for 1-11'!$A$3,"State","MD","SREB Type",3,"SREB Type2","Four-Year")</f>
        <v>0</v>
      </c>
      <c r="I143" s="197">
        <f>+GETPIVOTDATA(" New-Medicine",'Pivot Table for 1-11'!$A$3,"State","MD","SREB Type",3,"SREB Type2","Four-Year")</f>
        <v>0</v>
      </c>
      <c r="J143" s="197">
        <f>+GETPIVOTDATA(" New-Dentistry",'Pivot Table for 1-11'!$A$3,"State","MD","SREB Type",3,"SREB Type2","Four-Year")</f>
        <v>0</v>
      </c>
      <c r="K143" s="197">
        <f>+GETPIVOTDATA(" New-Pharmacy",'Pivot Table for 1-11'!$A$3,"State","MD","SREB Type",3,"SREB Type2","Four-Year")</f>
        <v>0</v>
      </c>
      <c r="L143" s="197">
        <f>+GETPIVOTDATA(" New-Optometry",'Pivot Table for 1-11'!$A$3,"State","MD","SREB Type",3,"SREB Type2","Four-Year")</f>
        <v>0</v>
      </c>
      <c r="M143" s="197">
        <f>+GETPIVOTDATA(" New-Osteopathic Medicine",'Pivot Table for 1-11'!$A$3,"State","MD","SREB Type",3,"SREB Type2","Four-Year")</f>
        <v>0</v>
      </c>
      <c r="N143" s="197">
        <f>+GETPIVOTDATA(" New-Veterinary Medicine",'Pivot Table for 1-11'!$A$3,"State","MD","SREB Type",3,"SREB Type2","Four-Year")</f>
        <v>0</v>
      </c>
      <c r="O143" s="198">
        <f>+GETPIVOTDATA(" New-Oth PP",'Pivot Table for 1-11'!$A$3,"State","MD","SREB Type",3,"SREB Type2","Four-Year")</f>
        <v>0</v>
      </c>
      <c r="P143" s="199">
        <f t="shared" si="4"/>
        <v>0</v>
      </c>
      <c r="Q143" s="197"/>
    </row>
    <row r="144" spans="1:24" ht="15" customHeight="1">
      <c r="A144" s="196"/>
      <c r="B144" s="197"/>
      <c r="C144" s="197"/>
      <c r="D144" s="197"/>
      <c r="E144" s="197"/>
      <c r="F144" s="197"/>
      <c r="G144" s="197"/>
      <c r="H144" s="230"/>
      <c r="I144" s="197"/>
      <c r="J144" s="197"/>
      <c r="K144" s="197"/>
      <c r="L144" s="197"/>
      <c r="M144" s="197"/>
      <c r="N144" s="197"/>
      <c r="O144" s="198"/>
      <c r="P144" s="199"/>
      <c r="Q144" s="197"/>
    </row>
    <row r="145" spans="1:17" ht="15" customHeight="1">
      <c r="A145" s="196" t="s">
        <v>29</v>
      </c>
      <c r="B145" s="197">
        <f>+GETPIVOTDATA(" New-Less Than 2-Year",'Pivot Table for 1-11'!$A$3,"State","MS","SREB Type",3,"SREB Type2","Four-Year")+GETPIVOTDATA(" New-2 But Less Than 4-Year",'Pivot Table for 1-11'!$A$3,"State","MS","SREB Type",3,"SREB Type2","Four-Year")</f>
        <v>0</v>
      </c>
      <c r="C145" s="197">
        <f>+GETPIVOTDATA(" New-Associate's",'Pivot Table for 1-11'!$A$3,"State","MS","SREB Type",3,"SREB Type2","Four-Year")</f>
        <v>0</v>
      </c>
      <c r="D145" s="197">
        <f>+GETPIVOTDATA(" New-Bachelor's",'Pivot Table for 1-11'!$A$3,"State","MS","SREB Type",3,"SREB Type2","Four-Year")</f>
        <v>0</v>
      </c>
      <c r="E145" s="197">
        <f>+GETPIVOTDATA(" New-Post-Bachelor's",'Pivot Table for 1-11'!$A$3,"State","MS","SREB Type",3,"SREB Type2","Four-Year")</f>
        <v>0</v>
      </c>
      <c r="F145" s="197">
        <f>+GETPIVOTDATA(" New-Total Master's#",'Pivot Table for 1-11'!$A$3,"State","MS","SREB Type",3,"SREB Type2","Four-Year")</f>
        <v>0</v>
      </c>
      <c r="G145" s="197">
        <f>+GETPIVOTDATA(" New-Total Doctorates#",'Pivot Table for 1-11'!$A$3,"State","MS","SREB Type",3,"SREB Type2","Four-Year")</f>
        <v>0</v>
      </c>
      <c r="H145" s="230">
        <f>+GETPIVOTDATA(" New-Law",'Pivot Table for 1-11'!$A$3,"State","MS","SREB Type",3,"SREB Type2","Four-Year")</f>
        <v>0</v>
      </c>
      <c r="I145" s="197">
        <f>+GETPIVOTDATA(" New-Medicine",'Pivot Table for 1-11'!$A$3,"State","MS","SREB Type",3,"SREB Type2","Four-Year")</f>
        <v>0</v>
      </c>
      <c r="J145" s="197">
        <f>+GETPIVOTDATA(" New-Dentistry",'Pivot Table for 1-11'!$A$3,"State","MS","SREB Type",3,"SREB Type2","Four-Year")</f>
        <v>0</v>
      </c>
      <c r="K145" s="197">
        <f>+GETPIVOTDATA(" New-Pharmacy",'Pivot Table for 1-11'!$A$3,"State","MS","SREB Type",3,"SREB Type2","Four-Year")</f>
        <v>0</v>
      </c>
      <c r="L145" s="197">
        <f>+GETPIVOTDATA(" New-Optometry",'Pivot Table for 1-11'!$A$3,"State","MS","SREB Type",3,"SREB Type2","Four-Year")</f>
        <v>0</v>
      </c>
      <c r="M145" s="197">
        <f>+GETPIVOTDATA(" New-Osteopathic Medicine",'Pivot Table for 1-11'!$A$3,"State","MS","SREB Type",3,"SREB Type2","Four-Year")</f>
        <v>0</v>
      </c>
      <c r="N145" s="197">
        <f>+GETPIVOTDATA(" New-Veterinary Medicine",'Pivot Table for 1-11'!$A$3,"State","MS","SREB Type",3,"SREB Type2","Four-Year")</f>
        <v>0</v>
      </c>
      <c r="O145" s="198">
        <f>+GETPIVOTDATA(" New-Oth PP",'Pivot Table for 1-11'!$A$3,"State","MS","SREB Type",3,"SREB Type2","Four-Year")</f>
        <v>0</v>
      </c>
      <c r="P145" s="199">
        <f t="shared" si="4"/>
        <v>0</v>
      </c>
      <c r="Q145" s="197"/>
    </row>
    <row r="146" spans="1:17" ht="15" customHeight="1">
      <c r="A146" s="196" t="s">
        <v>30</v>
      </c>
      <c r="B146" s="197">
        <f>+GETPIVOTDATA(" New-Less Than 2-Year",'Pivot Table for 1-11'!$A$3,"State","NC","SREB Type",3,"SREB Type2","Four-Year")+GETPIVOTDATA(" New-2 But Less Than 4-Year",'Pivot Table for 1-11'!$A$3,"State","NC","SREB Type",3,"SREB Type2","Four-Year")</f>
        <v>0</v>
      </c>
      <c r="C146" s="197">
        <f>+GETPIVOTDATA(" New-Associate's",'Pivot Table for 1-11'!$A$3,"State","NC","SREB Type",3,"SREB Type2","Four-Year")</f>
        <v>0</v>
      </c>
      <c r="D146" s="197">
        <f>+GETPIVOTDATA(" New-Bachelor's",'Pivot Table for 1-11'!$A$3,"State","NC","SREB Type",3,"SREB Type2","Four-Year")</f>
        <v>0</v>
      </c>
      <c r="E146" s="197">
        <f>+GETPIVOTDATA(" New-Post-Bachelor's",'Pivot Table for 1-11'!$A$3,"State","NC","SREB Type",3,"SREB Type2","Four-Year")</f>
        <v>274</v>
      </c>
      <c r="F146" s="197">
        <f>+GETPIVOTDATA(" New-Total Master's#",'Pivot Table for 1-11'!$A$3,"State","NC","SREB Type",3,"SREB Type2","Four-Year")</f>
        <v>3201</v>
      </c>
      <c r="G146" s="197">
        <f>+GETPIVOTDATA(" New-Total Doctorates#",'Pivot Table for 1-11'!$A$3,"State","NC","SREB Type",3,"SREB Type2","Four-Year")</f>
        <v>116</v>
      </c>
      <c r="H146" s="230">
        <f>+GETPIVOTDATA(" New-Law",'Pivot Table for 1-11'!$A$3,"State","NC","SREB Type",3,"SREB Type2","Four-Year")</f>
        <v>119</v>
      </c>
      <c r="I146" s="197">
        <f>+GETPIVOTDATA(" New-Medicine",'Pivot Table for 1-11'!$A$3,"State","NC","SREB Type",3,"SREB Type2","Four-Year")</f>
        <v>0</v>
      </c>
      <c r="J146" s="197">
        <f>+GETPIVOTDATA(" New-Dentistry",'Pivot Table for 1-11'!$A$3,"State","NC","SREB Type",3,"SREB Type2","Four-Year")</f>
        <v>0</v>
      </c>
      <c r="K146" s="197">
        <f>+GETPIVOTDATA(" New-Pharmacy",'Pivot Table for 1-11'!$A$3,"State","NC","SREB Type",3,"SREB Type2","Four-Year")</f>
        <v>0</v>
      </c>
      <c r="L146" s="197">
        <f>+GETPIVOTDATA(" New-Optometry",'Pivot Table for 1-11'!$A$3,"State","NC","SREB Type",3,"SREB Type2","Four-Year")</f>
        <v>0</v>
      </c>
      <c r="M146" s="197">
        <f>+GETPIVOTDATA(" New-Osteopathic Medicine",'Pivot Table for 1-11'!$A$3,"State","NC","SREB Type",3,"SREB Type2","Four-Year")</f>
        <v>0</v>
      </c>
      <c r="N146" s="197">
        <f>+GETPIVOTDATA(" New-Veterinary Medicine",'Pivot Table for 1-11'!$A$3,"State","NC","SREB Type",3,"SREB Type2","Four-Year")</f>
        <v>0</v>
      </c>
      <c r="O146" s="198">
        <f>+GETPIVOTDATA(" New-Oth PP",'Pivot Table for 1-11'!$A$3,"State","NC","SREB Type",3,"SREB Type2","Four-Year")</f>
        <v>46</v>
      </c>
      <c r="P146" s="199">
        <f t="shared" si="4"/>
        <v>3756</v>
      </c>
      <c r="Q146" s="197"/>
    </row>
    <row r="147" spans="1:17" ht="15" customHeight="1">
      <c r="A147" s="196" t="s">
        <v>31</v>
      </c>
      <c r="B147" s="197">
        <f>+GETPIVOTDATA(" New-Less Than 2-Year",'Pivot Table for 1-11'!$A$3,"State","OK","SREB Type",3,"SREB Type2","Four-Year")+GETPIVOTDATA(" New-2 But Less Than 4-Year",'Pivot Table for 1-11'!$A$3,"State","OK","SREB Type",3,"SREB Type2","Four-Year")</f>
        <v>0</v>
      </c>
      <c r="C147" s="197">
        <f>+GETPIVOTDATA(" New-Associate's",'Pivot Table for 1-11'!$A$3,"State","OK","SREB Type",3,"SREB Type2","Four-Year")</f>
        <v>0</v>
      </c>
      <c r="D147" s="197">
        <f>+GETPIVOTDATA(" New-Bachelor's",'Pivot Table for 1-11'!$A$3,"State","OK","SREB Type",3,"SREB Type2","Four-Year")</f>
        <v>0</v>
      </c>
      <c r="E147" s="197">
        <f>+GETPIVOTDATA(" New-Post-Bachelor's",'Pivot Table for 1-11'!$A$3,"State","OK","SREB Type",3,"SREB Type2","Four-Year")</f>
        <v>0</v>
      </c>
      <c r="F147" s="197">
        <f>+GETPIVOTDATA(" New-Total Master's#",'Pivot Table for 1-11'!$A$3,"State","OK","SREB Type",3,"SREB Type2","Four-Year")</f>
        <v>0</v>
      </c>
      <c r="G147" s="197">
        <f>+GETPIVOTDATA(" New-Total Doctorates#",'Pivot Table for 1-11'!$A$3,"State","OK","SREB Type",3,"SREB Type2","Four-Year")</f>
        <v>0</v>
      </c>
      <c r="H147" s="230">
        <f>+GETPIVOTDATA(" New-Law",'Pivot Table for 1-11'!$A$3,"State","OK","SREB Type",3,"SREB Type2","Four-Year")</f>
        <v>0</v>
      </c>
      <c r="I147" s="197">
        <f>+GETPIVOTDATA(" New-Medicine",'Pivot Table for 1-11'!$A$3,"State","OK","SREB Type",3,"SREB Type2","Four-Year")</f>
        <v>0</v>
      </c>
      <c r="J147" s="197">
        <f>+GETPIVOTDATA(" New-Dentistry",'Pivot Table for 1-11'!$A$3,"State","OK","SREB Type",3,"SREB Type2","Four-Year")</f>
        <v>0</v>
      </c>
      <c r="K147" s="197">
        <f>+GETPIVOTDATA(" New-Pharmacy",'Pivot Table for 1-11'!$A$3,"State","OK","SREB Type",3,"SREB Type2","Four-Year")</f>
        <v>0</v>
      </c>
      <c r="L147" s="197">
        <f>+GETPIVOTDATA(" New-Optometry",'Pivot Table for 1-11'!$A$3,"State","OK","SREB Type",3,"SREB Type2","Four-Year")</f>
        <v>0</v>
      </c>
      <c r="M147" s="197">
        <f>+GETPIVOTDATA(" New-Osteopathic Medicine",'Pivot Table for 1-11'!$A$3,"State","OK","SREB Type",3,"SREB Type2","Four-Year")</f>
        <v>0</v>
      </c>
      <c r="N147" s="197">
        <f>+GETPIVOTDATA(" New-Veterinary Medicine",'Pivot Table for 1-11'!$A$3,"State","OK","SREB Type",3,"SREB Type2","Four-Year")</f>
        <v>0</v>
      </c>
      <c r="O147" s="198">
        <f>+GETPIVOTDATA(" New-Oth PP",'Pivot Table for 1-11'!$A$3,"State","OK","SREB Type",3,"SREB Type2","Four-Year")</f>
        <v>0</v>
      </c>
      <c r="P147" s="199">
        <f t="shared" si="4"/>
        <v>0</v>
      </c>
      <c r="Q147" s="197"/>
    </row>
    <row r="148" spans="1:17" ht="15" customHeight="1">
      <c r="A148" s="196" t="s">
        <v>32</v>
      </c>
      <c r="B148" s="197">
        <f>+GETPIVOTDATA(" New-Less Than 2-Year",'Pivot Table for 1-11'!$A$3,"State","SC","SREB Type",3,"SREB Type2","Four-Year")+GETPIVOTDATA(" New-2 But Less Than 4-Year",'Pivot Table for 1-11'!$A$3,"State","SC","SREB Type",3,"SREB Type2","Four-Year")</f>
        <v>2</v>
      </c>
      <c r="C148" s="197">
        <f>+GETPIVOTDATA(" New-Associate's",'Pivot Table for 1-11'!$A$3,"State","SC","SREB Type",3,"SREB Type2","Four-Year")</f>
        <v>0</v>
      </c>
      <c r="D148" s="197">
        <f>+GETPIVOTDATA(" New-Bachelor's",'Pivot Table for 1-11'!$A$3,"State","SC","SREB Type",3,"SREB Type2","Four-Year")</f>
        <v>3876</v>
      </c>
      <c r="E148" s="197">
        <f>+GETPIVOTDATA(" New-Post-Bachelor's",'Pivot Table for 1-11'!$A$3,"State","SC","SREB Type",3,"SREB Type2","Four-Year")</f>
        <v>91</v>
      </c>
      <c r="F148" s="197">
        <f>+GETPIVOTDATA(" New-Total Master's#",'Pivot Table for 1-11'!$A$3,"State","SC","SREB Type",3,"SREB Type2","Four-Year")</f>
        <v>832</v>
      </c>
      <c r="G148" s="197">
        <f>+GETPIVOTDATA(" New-Total Doctorates#",'Pivot Table for 1-11'!$A$3,"State","SC","SREB Type",3,"SREB Type2","Four-Year")</f>
        <v>0</v>
      </c>
      <c r="H148" s="230">
        <f>+GETPIVOTDATA(" New-Law",'Pivot Table for 1-11'!$A$3,"State","SC","SREB Type",3,"SREB Type2","Four-Year")</f>
        <v>0</v>
      </c>
      <c r="I148" s="197">
        <f>+GETPIVOTDATA(" New-Medicine",'Pivot Table for 1-11'!$A$3,"State","SC","SREB Type",3,"SREB Type2","Four-Year")</f>
        <v>0</v>
      </c>
      <c r="J148" s="197">
        <f>+GETPIVOTDATA(" New-Dentistry",'Pivot Table for 1-11'!$A$3,"State","SC","SREB Type",3,"SREB Type2","Four-Year")</f>
        <v>0</v>
      </c>
      <c r="K148" s="197">
        <f>+GETPIVOTDATA(" New-Pharmacy",'Pivot Table for 1-11'!$A$3,"State","SC","SREB Type",3,"SREB Type2","Four-Year")</f>
        <v>0</v>
      </c>
      <c r="L148" s="197">
        <f>+GETPIVOTDATA(" New-Optometry",'Pivot Table for 1-11'!$A$3,"State","SC","SREB Type",3,"SREB Type2","Four-Year")</f>
        <v>0</v>
      </c>
      <c r="M148" s="197">
        <f>+GETPIVOTDATA(" New-Osteopathic Medicine",'Pivot Table for 1-11'!$A$3,"State","SC","SREB Type",3,"SREB Type2","Four-Year")</f>
        <v>0</v>
      </c>
      <c r="N148" s="197">
        <f>+GETPIVOTDATA(" New-Veterinary Medicine",'Pivot Table for 1-11'!$A$3,"State","SC","SREB Type",3,"SREB Type2","Four-Year")</f>
        <v>0</v>
      </c>
      <c r="O148" s="198">
        <f>+GETPIVOTDATA(" New-Oth PP",'Pivot Table for 1-11'!$A$3,"State","SC","SREB Type",3,"SREB Type2","Four-Year")</f>
        <v>0</v>
      </c>
      <c r="P148" s="199">
        <f t="shared" si="4"/>
        <v>4801</v>
      </c>
      <c r="Q148" s="197"/>
    </row>
    <row r="149" spans="1:17" ht="15" customHeight="1">
      <c r="A149" s="196"/>
      <c r="B149" s="197"/>
      <c r="C149" s="197"/>
      <c r="D149" s="197"/>
      <c r="E149" s="197"/>
      <c r="F149" s="197"/>
      <c r="G149" s="197"/>
      <c r="H149" s="230"/>
      <c r="I149" s="197"/>
      <c r="J149" s="197"/>
      <c r="K149" s="197"/>
      <c r="L149" s="197"/>
      <c r="M149" s="197"/>
      <c r="N149" s="197"/>
      <c r="O149" s="198"/>
      <c r="P149" s="199"/>
      <c r="Q149" s="197"/>
    </row>
    <row r="150" spans="1:17" ht="15" customHeight="1">
      <c r="A150" s="196" t="s">
        <v>33</v>
      </c>
      <c r="B150" s="197">
        <f>+GETPIVOTDATA(" New-Less Than 2-Year",'Pivot Table for 1-11'!$A$3,"State","TN","SREB Type",3,"SREB Type2","Four-Year")+GETPIVOTDATA(" New-2 But Less Than 4-Year",'Pivot Table for 1-11'!$A$3,"State","TN","SREB Type",3,"SREB Type2","Four-Year")</f>
        <v>0</v>
      </c>
      <c r="C150" s="197">
        <f>+GETPIVOTDATA(" New-Associate's",'Pivot Table for 1-11'!$A$3,"State","TN","SREB Type",3,"SREB Type2","Four-Year")</f>
        <v>1059</v>
      </c>
      <c r="D150" s="197">
        <f>+GETPIVOTDATA(" New-Bachelor's",'Pivot Table for 1-11'!$A$3,"State","TN","SREB Type",3,"SREB Type2","Four-Year")</f>
        <v>5712</v>
      </c>
      <c r="E150" s="197">
        <f>+GETPIVOTDATA(" New-Post-Bachelor's",'Pivot Table for 1-11'!$A$3,"State","TN","SREB Type",3,"SREB Type2","Four-Year")</f>
        <v>0</v>
      </c>
      <c r="F150" s="197">
        <f>+GETPIVOTDATA(" New-Total Master's#",'Pivot Table for 1-11'!$A$3,"State","TN","SREB Type",3,"SREB Type2","Four-Year")</f>
        <v>1258</v>
      </c>
      <c r="G150" s="197">
        <f>+GETPIVOTDATA(" New-Total Doctorates#",'Pivot Table for 1-11'!$A$3,"State","TN","SREB Type",3,"SREB Type2","Four-Year")</f>
        <v>119</v>
      </c>
      <c r="H150" s="230">
        <f>+GETPIVOTDATA(" New-Law",'Pivot Table for 1-11'!$A$3,"State","TN","SREB Type",3,"SREB Type2","Four-Year")</f>
        <v>0</v>
      </c>
      <c r="I150" s="197">
        <f>+GETPIVOTDATA(" New-Medicine",'Pivot Table for 1-11'!$A$3,"State","TN","SREB Type",3,"SREB Type2","Four-Year")</f>
        <v>0</v>
      </c>
      <c r="J150" s="197">
        <f>+GETPIVOTDATA(" New-Dentistry",'Pivot Table for 1-11'!$A$3,"State","TN","SREB Type",3,"SREB Type2","Four-Year")</f>
        <v>0</v>
      </c>
      <c r="K150" s="197">
        <f>+GETPIVOTDATA(" New-Pharmacy",'Pivot Table for 1-11'!$A$3,"State","TN","SREB Type",3,"SREB Type2","Four-Year")</f>
        <v>0</v>
      </c>
      <c r="L150" s="197">
        <f>+GETPIVOTDATA(" New-Optometry",'Pivot Table for 1-11'!$A$3,"State","TN","SREB Type",3,"SREB Type2","Four-Year")</f>
        <v>0</v>
      </c>
      <c r="M150" s="197">
        <f>+GETPIVOTDATA(" New-Osteopathic Medicine",'Pivot Table for 1-11'!$A$3,"State","TN","SREB Type",3,"SREB Type2","Four-Year")</f>
        <v>0</v>
      </c>
      <c r="N150" s="197">
        <f>+GETPIVOTDATA(" New-Veterinary Medicine",'Pivot Table for 1-11'!$A$3,"State","TN","SREB Type",3,"SREB Type2","Four-Year")</f>
        <v>0</v>
      </c>
      <c r="O150" s="198">
        <f>+GETPIVOTDATA(" New-Oth PP",'Pivot Table for 1-11'!$A$3,"State","TN","SREB Type",3,"SREB Type2","Four-Year")</f>
        <v>0</v>
      </c>
      <c r="P150" s="199">
        <f t="shared" si="4"/>
        <v>8148</v>
      </c>
      <c r="Q150" s="197"/>
    </row>
    <row r="151" spans="1:17" ht="15" customHeight="1">
      <c r="A151" s="196" t="s">
        <v>34</v>
      </c>
      <c r="B151" s="197">
        <f>+GETPIVOTDATA(" New-Less Than 2-Year",'Pivot Table for 1-11'!$A$3,"State","TX","SREB Type",3,"SREB Type2","Four-Year")+GETPIVOTDATA(" New-2 But Less Than 4-Year",'Pivot Table for 1-11'!$A$3,"State","TX","SREB Type",3,"SREB Type2","Four-Year")</f>
        <v>0</v>
      </c>
      <c r="C151" s="197">
        <f>+GETPIVOTDATA(" New-Associate's",'Pivot Table for 1-11'!$A$3,"State","TX","SREB Type",3,"SREB Type2","Four-Year")</f>
        <v>32</v>
      </c>
      <c r="D151" s="197">
        <f>+GETPIVOTDATA(" New-Bachelor's",'Pivot Table for 1-11'!$A$3,"State","TX","SREB Type",3,"SREB Type2","Four-Year")</f>
        <v>0</v>
      </c>
      <c r="E151" s="197">
        <f>+GETPIVOTDATA(" New-Post-Bachelor's",'Pivot Table for 1-11'!$A$3,"State","TX","SREB Type",3,"SREB Type2","Four-Year")</f>
        <v>0</v>
      </c>
      <c r="F151" s="197">
        <f>+GETPIVOTDATA(" New-Total Master's#",'Pivot Table for 1-11'!$A$3,"State","TX","SREB Type",3,"SREB Type2","Four-Year")</f>
        <v>13349</v>
      </c>
      <c r="G151" s="197">
        <f>+GETPIVOTDATA(" New-Total Doctorates#",'Pivot Table for 1-11'!$A$3,"State","TX","SREB Type",3,"SREB Type2","Four-Year")</f>
        <v>450</v>
      </c>
      <c r="H151" s="230">
        <f>+GETPIVOTDATA(" New-Law",'Pivot Table for 1-11'!$A$3,"State","TX","SREB Type",3,"SREB Type2","Four-Year")</f>
        <v>208</v>
      </c>
      <c r="I151" s="197">
        <f>+GETPIVOTDATA(" New-Medicine",'Pivot Table for 1-11'!$A$3,"State","TX","SREB Type",3,"SREB Type2","Four-Year")</f>
        <v>0</v>
      </c>
      <c r="J151" s="197">
        <f>+GETPIVOTDATA(" New-Dentistry",'Pivot Table for 1-11'!$A$3,"State","TX","SREB Type",3,"SREB Type2","Four-Year")</f>
        <v>0</v>
      </c>
      <c r="K151" s="197">
        <f>+GETPIVOTDATA(" New-Pharmacy",'Pivot Table for 1-11'!$A$3,"State","TX","SREB Type",3,"SREB Type2","Four-Year")</f>
        <v>177</v>
      </c>
      <c r="L151" s="197">
        <f>+GETPIVOTDATA(" New-Optometry",'Pivot Table for 1-11'!$A$3,"State","TX","SREB Type",3,"SREB Type2","Four-Year")</f>
        <v>0</v>
      </c>
      <c r="M151" s="197">
        <f>+GETPIVOTDATA(" New-Osteopathic Medicine",'Pivot Table for 1-11'!$A$3,"State","TX","SREB Type",3,"SREB Type2","Four-Year")</f>
        <v>0</v>
      </c>
      <c r="N151" s="197">
        <f>+GETPIVOTDATA(" New-Veterinary Medicine",'Pivot Table for 1-11'!$A$3,"State","TX","SREB Type",3,"SREB Type2","Four-Year")</f>
        <v>0</v>
      </c>
      <c r="O151" s="198">
        <f>+GETPIVOTDATA(" New-Oth PP",'Pivot Table for 1-11'!$A$3,"State","TX","SREB Type",3,"SREB Type2","Four-Year")</f>
        <v>34</v>
      </c>
      <c r="P151" s="199">
        <f t="shared" si="4"/>
        <v>14250</v>
      </c>
      <c r="Q151" s="197"/>
    </row>
    <row r="152" spans="1:17" ht="15" customHeight="1">
      <c r="A152" s="196" t="s">
        <v>35</v>
      </c>
      <c r="B152" s="197">
        <f>+GETPIVOTDATA(" New-Less Than 2-Year",'Pivot Table for 1-11'!$A$3,"State","VA","SREB Type",3,"SREB Type2","Four-Year")+GETPIVOTDATA(" New-2 But Less Than 4-Year",'Pivot Table for 1-11'!$A$3,"State","VA","SREB Type",3,"SREB Type2","Four-Year")</f>
        <v>20</v>
      </c>
      <c r="C152" s="197">
        <f>+GETPIVOTDATA(" New-Associate's",'Pivot Table for 1-11'!$A$3,"State","VA","SREB Type",3,"SREB Type2","Four-Year")</f>
        <v>31</v>
      </c>
      <c r="D152" s="197">
        <f>+GETPIVOTDATA(" New-Bachelor's",'Pivot Table for 1-11'!$A$3,"State","VA","SREB Type",3,"SREB Type2","Four-Year")</f>
        <v>7236</v>
      </c>
      <c r="E152" s="197">
        <f>+GETPIVOTDATA(" New-Post-Bachelor's",'Pivot Table for 1-11'!$A$3,"State","VA","SREB Type",3,"SREB Type2","Four-Year")</f>
        <v>49</v>
      </c>
      <c r="F152" s="197">
        <f>+GETPIVOTDATA(" New-Total Master's#",'Pivot Table for 1-11'!$A$3,"State","VA","SREB Type",3,"SREB Type2","Four-Year")</f>
        <v>1348</v>
      </c>
      <c r="G152" s="197">
        <f>+GETPIVOTDATA(" New-Total Doctorates#",'Pivot Table for 1-11'!$A$3,"State","VA","SREB Type",3,"SREB Type2","Four-Year")</f>
        <v>107</v>
      </c>
      <c r="H152" s="230">
        <f>+GETPIVOTDATA(" New-Law",'Pivot Table for 1-11'!$A$3,"State","VA","SREB Type",3,"SREB Type2","Four-Year")</f>
        <v>0</v>
      </c>
      <c r="I152" s="197">
        <f>+GETPIVOTDATA(" New-Medicine",'Pivot Table for 1-11'!$A$3,"State","VA","SREB Type",3,"SREB Type2","Four-Year")</f>
        <v>0</v>
      </c>
      <c r="J152" s="197">
        <f>+GETPIVOTDATA(" New-Dentistry",'Pivot Table for 1-11'!$A$3,"State","VA","SREB Type",3,"SREB Type2","Four-Year")</f>
        <v>0</v>
      </c>
      <c r="K152" s="197">
        <f>+GETPIVOTDATA(" New-Pharmacy",'Pivot Table for 1-11'!$A$3,"State","VA","SREB Type",3,"SREB Type2","Four-Year")</f>
        <v>0</v>
      </c>
      <c r="L152" s="197">
        <f>+GETPIVOTDATA(" New-Optometry",'Pivot Table for 1-11'!$A$3,"State","VA","SREB Type",3,"SREB Type2","Four-Year")</f>
        <v>0</v>
      </c>
      <c r="M152" s="197">
        <f>+GETPIVOTDATA(" New-Osteopathic Medicine",'Pivot Table for 1-11'!$A$3,"State","VA","SREB Type",3,"SREB Type2","Four-Year")</f>
        <v>0</v>
      </c>
      <c r="N152" s="197">
        <f>+GETPIVOTDATA(" New-Veterinary Medicine",'Pivot Table for 1-11'!$A$3,"State","VA","SREB Type",3,"SREB Type2","Four-Year")</f>
        <v>0</v>
      </c>
      <c r="O152" s="198">
        <f>+GETPIVOTDATA(" New-Oth PP",'Pivot Table for 1-11'!$A$3,"State","VA","SREB Type",3,"SREB Type2","Four-Year")</f>
        <v>0</v>
      </c>
      <c r="P152" s="199">
        <f t="shared" si="4"/>
        <v>8791</v>
      </c>
      <c r="Q152" s="197"/>
    </row>
    <row r="153" spans="1:17" ht="15" customHeight="1">
      <c r="A153" s="200" t="s">
        <v>36</v>
      </c>
      <c r="B153" s="201">
        <f>+GETPIVOTDATA(" New-Less Than 2-Year",'Pivot Table for 1-11'!$A$3,"State","WV","SREB Type",3,"SREB Type2","Four-Year")+GETPIVOTDATA(" New-2 But Less Than 4-Year",'Pivot Table for 1-11'!$A$3,"State","WV","SREB Type",3,"SREB Type2","Four-Year")</f>
        <v>0</v>
      </c>
      <c r="C153" s="201">
        <f>+GETPIVOTDATA(" New-Associate's",'Pivot Table for 1-11'!$A$3,"State","WV","SREB Type",3,"SREB Type2","Four-Year")</f>
        <v>114</v>
      </c>
      <c r="D153" s="201">
        <f>+GETPIVOTDATA(" New-Bachelor's",'Pivot Table for 1-11'!$A$3,"State","WV","SREB Type",3,"SREB Type2","Four-Year")</f>
        <v>1628</v>
      </c>
      <c r="E153" s="201">
        <f>+GETPIVOTDATA(" New-Post-Bachelor's",'Pivot Table for 1-11'!$A$3,"State","WV","SREB Type",3,"SREB Type2","Four-Year")</f>
        <v>0</v>
      </c>
      <c r="F153" s="201">
        <f>+GETPIVOTDATA(" New-Total Master's#",'Pivot Table for 1-11'!$A$3,"State","WV","SREB Type",3,"SREB Type2","Four-Year")</f>
        <v>814</v>
      </c>
      <c r="G153" s="201">
        <f>+GETPIVOTDATA(" New-Total Doctorates#",'Pivot Table for 1-11'!$A$3,"State","WV","SREB Type",3,"SREB Type2","Four-Year")</f>
        <v>16</v>
      </c>
      <c r="H153" s="318">
        <f>+GETPIVOTDATA(" New-Law",'Pivot Table for 1-11'!$A$3,"State","WV","SREB Type",3,"SREB Type2","Four-Year")</f>
        <v>0</v>
      </c>
      <c r="I153" s="201">
        <f>+GETPIVOTDATA(" New-Medicine",'Pivot Table for 1-11'!$A$3,"State","WV","SREB Type",3,"SREB Type2","Four-Year")</f>
        <v>79</v>
      </c>
      <c r="J153" s="201">
        <f>+GETPIVOTDATA(" New-Dentistry",'Pivot Table for 1-11'!$A$3,"State","WV","SREB Type",3,"SREB Type2","Four-Year")</f>
        <v>0</v>
      </c>
      <c r="K153" s="201">
        <f>+GETPIVOTDATA(" New-Pharmacy",'Pivot Table for 1-11'!$A$3,"State","WV","SREB Type",3,"SREB Type2","Four-Year")</f>
        <v>71</v>
      </c>
      <c r="L153" s="201">
        <f>+GETPIVOTDATA(" New-Optometry",'Pivot Table for 1-11'!$A$3,"State","WV","SREB Type",3,"SREB Type2","Four-Year")</f>
        <v>0</v>
      </c>
      <c r="M153" s="201">
        <f>+GETPIVOTDATA(" New-Osteopathic Medicine",'Pivot Table for 1-11'!$A$3,"State","WV","SREB Type",3,"SREB Type2","Four-Year")</f>
        <v>0</v>
      </c>
      <c r="N153" s="201">
        <f>+GETPIVOTDATA(" New-Veterinary Medicine",'Pivot Table for 1-11'!$A$3,"State","WV","SREB Type",3,"SREB Type2","Four-Year")</f>
        <v>0</v>
      </c>
      <c r="O153" s="319">
        <f>+GETPIVOTDATA(" New-Oth PP",'Pivot Table for 1-11'!$A$3,"State","WV","SREB Type",3,"SREB Type2","Four-Year")</f>
        <v>73</v>
      </c>
      <c r="P153" s="203">
        <f t="shared" si="4"/>
        <v>2795</v>
      </c>
      <c r="Q153" s="197"/>
    </row>
    <row r="154" spans="1:17">
      <c r="B154" s="197"/>
      <c r="C154" s="197"/>
      <c r="D154" s="197"/>
      <c r="E154" s="197"/>
      <c r="F154" s="197"/>
      <c r="G154" s="197"/>
      <c r="H154" s="197"/>
      <c r="I154" s="197"/>
      <c r="J154" s="197"/>
      <c r="K154" s="197"/>
      <c r="L154" s="197"/>
      <c r="M154" s="197"/>
      <c r="N154" s="197"/>
      <c r="O154" s="197"/>
      <c r="P154" s="197"/>
      <c r="Q154" s="197"/>
    </row>
    <row r="155" spans="1:17" ht="27.75" customHeight="1">
      <c r="A155" s="545" t="s">
        <v>37</v>
      </c>
      <c r="B155" s="546"/>
      <c r="C155" s="546"/>
      <c r="D155" s="546"/>
      <c r="E155" s="546"/>
      <c r="F155" s="546"/>
      <c r="G155" s="546"/>
      <c r="H155" s="546"/>
      <c r="I155" s="546"/>
      <c r="J155" s="546"/>
      <c r="K155" s="546"/>
      <c r="L155" s="546"/>
      <c r="M155" s="546"/>
      <c r="N155" s="546"/>
      <c r="O155" s="546"/>
      <c r="P155" s="546"/>
      <c r="Q155" s="263"/>
    </row>
    <row r="156" spans="1:17" ht="13.5" customHeight="1">
      <c r="B156" s="197"/>
      <c r="C156" s="197"/>
      <c r="D156" s="197"/>
      <c r="E156" s="197"/>
      <c r="F156" s="197"/>
      <c r="G156" s="197"/>
      <c r="H156" s="197"/>
      <c r="I156" s="197"/>
      <c r="J156" s="197"/>
      <c r="K156" s="197"/>
      <c r="L156" s="197"/>
      <c r="M156" s="197"/>
      <c r="N156" s="197"/>
      <c r="O156" s="197"/>
      <c r="P156" s="204" t="s">
        <v>1178</v>
      </c>
      <c r="Q156" s="204"/>
    </row>
    <row r="157" spans="1:17" ht="18">
      <c r="A157" s="186" t="s">
        <v>49</v>
      </c>
      <c r="B157" s="187"/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  <c r="Q157" s="187" t="s">
        <v>1</v>
      </c>
    </row>
    <row r="158" spans="1:17" ht="15.75" customHeight="1">
      <c r="A158" s="188"/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  <c r="O158" s="188"/>
      <c r="P158" s="188"/>
      <c r="Q158" s="188"/>
    </row>
    <row r="159" spans="1:17" ht="15.5">
      <c r="A159" s="187" t="s">
        <v>2</v>
      </c>
      <c r="B159" s="187"/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  <c r="Q159" s="187" t="s">
        <v>1</v>
      </c>
    </row>
    <row r="160" spans="1:17" ht="15.5">
      <c r="A160" s="187" t="s">
        <v>1184</v>
      </c>
      <c r="B160" s="187"/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  <c r="Q160" s="187" t="s">
        <v>1</v>
      </c>
    </row>
    <row r="161" spans="1:24" ht="15.5">
      <c r="A161" s="189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  <c r="Q161" s="189"/>
    </row>
    <row r="162" spans="1:24" ht="15.5">
      <c r="A162" s="190"/>
      <c r="B162" s="190"/>
      <c r="C162" s="190"/>
      <c r="D162" s="190"/>
      <c r="E162" s="190"/>
      <c r="F162" s="190"/>
      <c r="G162" s="190"/>
      <c r="H162" s="225" t="s">
        <v>4</v>
      </c>
      <c r="I162" s="256"/>
      <c r="J162" s="256"/>
      <c r="K162" s="256"/>
      <c r="L162" s="256"/>
      <c r="M162" s="256"/>
      <c r="N162" s="256"/>
      <c r="O162" s="226"/>
      <c r="P162" s="192" t="s">
        <v>1</v>
      </c>
      <c r="Q162" s="189"/>
      <c r="R162" s="112"/>
      <c r="S162" s="112"/>
      <c r="X162" s="112"/>
    </row>
    <row r="163" spans="1:24" ht="42" customHeight="1">
      <c r="A163" s="193"/>
      <c r="B163" s="194" t="s">
        <v>5</v>
      </c>
      <c r="C163" s="194" t="s">
        <v>6</v>
      </c>
      <c r="D163" s="194" t="s">
        <v>7</v>
      </c>
      <c r="E163" s="194" t="s">
        <v>8</v>
      </c>
      <c r="F163" s="194" t="s">
        <v>9</v>
      </c>
      <c r="G163" s="194" t="s">
        <v>10</v>
      </c>
      <c r="H163" s="317" t="s">
        <v>11</v>
      </c>
      <c r="I163" s="194" t="s">
        <v>12</v>
      </c>
      <c r="J163" s="194" t="s">
        <v>13</v>
      </c>
      <c r="K163" s="194" t="s">
        <v>14</v>
      </c>
      <c r="L163" s="194" t="s">
        <v>15</v>
      </c>
      <c r="M163" s="194" t="s">
        <v>16</v>
      </c>
      <c r="N163" s="194" t="s">
        <v>17</v>
      </c>
      <c r="O163" s="228" t="s">
        <v>51</v>
      </c>
      <c r="P163" s="194" t="s">
        <v>19</v>
      </c>
      <c r="Q163" s="245"/>
    </row>
    <row r="164" spans="1:24" ht="15" customHeight="1">
      <c r="A164" s="196" t="s">
        <v>20</v>
      </c>
      <c r="B164" s="197">
        <f>+GETPIVOTDATA(" New-Less Than 2-Year",'Pivot Table for 1-11'!$A$3,"SREB Type",4,"SREB Type2","Four-Year")+GETPIVOTDATA(" New-2 But Less Than 4-Year",'Pivot Table for 1-11'!$A$3,"SREB Type",4,"SREB Type2","Four-Year")</f>
        <v>772</v>
      </c>
      <c r="C164" s="197">
        <f>+GETPIVOTDATA(" New-Associate's",'Pivot Table for 1-11'!$A$3,"SREB Type",4,"SREB Type2","Four-Year")</f>
        <v>2961</v>
      </c>
      <c r="D164" s="197">
        <f>+GETPIVOTDATA(" New-Bachelor's",'Pivot Table for 1-11'!$A$3,"SREB Type",4,"SREB Type2","Four-Year")</f>
        <v>18970</v>
      </c>
      <c r="E164" s="197">
        <f>+GETPIVOTDATA(" New-Post-Bachelor's",'Pivot Table for 1-11'!$A$3,"SREB Type",4,"SREB Type2","Four-Year")</f>
        <v>350</v>
      </c>
      <c r="F164" s="197">
        <f>+GETPIVOTDATA(" New-Total Master's#",'Pivot Table for 1-11'!$A$3,"SREB Type",4,"SREB Type2","Four-Year")</f>
        <v>10010</v>
      </c>
      <c r="G164" s="197">
        <f>+GETPIVOTDATA(" New-Total Doctorates#",'Pivot Table for 1-11'!$A$3,"SREB Type",4,"SREB Type2","Four-Year")</f>
        <v>256</v>
      </c>
      <c r="H164" s="230">
        <f>+GETPIVOTDATA(" New-Law",'Pivot Table for 1-11'!$A$3,"SREB Type",4,"SREB Type2","Four-Year")</f>
        <v>88</v>
      </c>
      <c r="I164" s="197">
        <f>+GETPIVOTDATA(" New-Medicine",'Pivot Table for 1-11'!$A$3,"SREB Type",4,"SREB Type2","Four-Year")</f>
        <v>221</v>
      </c>
      <c r="J164" s="197">
        <f>+GETPIVOTDATA(" New-Dentistry",'Pivot Table for 1-11'!$A$3,"SREB Type",4,"SREB Type2","Four-Year")</f>
        <v>87</v>
      </c>
      <c r="K164" s="197">
        <f>+GETPIVOTDATA(" New-Pharmacy",'Pivot Table for 1-11'!$A$3,"SREB Type",4,"SREB Type2","Four-Year")</f>
        <v>0</v>
      </c>
      <c r="L164" s="197">
        <f>+GETPIVOTDATA(" New-Optometry",'Pivot Table for 1-11'!$A$3,"SREB Type",4,"SREB Type2","Four-Year")</f>
        <v>0</v>
      </c>
      <c r="M164" s="197">
        <f>+GETPIVOTDATA(" New-Osteopathic Medicine",'Pivot Table for 1-11'!$A$3,"SREB Type",4,"SREB Type2","Four-Year")</f>
        <v>0</v>
      </c>
      <c r="N164" s="197">
        <f>+GETPIVOTDATA(" New-Veterinary Medicine",'Pivot Table for 1-11'!$A$3,"SREB Type",4,"SREB Type2","Four-Year")</f>
        <v>0</v>
      </c>
      <c r="O164" s="198">
        <f>+GETPIVOTDATA(" New-Oth PP",'Pivot Table for 1-11'!$A$3,"SREB Type",4,"SREB Type2","Four-Year")</f>
        <v>53</v>
      </c>
      <c r="P164" s="199">
        <f>SUM(B164:O164)</f>
        <v>33768</v>
      </c>
      <c r="Q164" s="197"/>
    </row>
    <row r="165" spans="1:24" ht="15" customHeight="1">
      <c r="A165" s="196"/>
      <c r="B165" s="197"/>
      <c r="C165" s="197"/>
      <c r="D165" s="197"/>
      <c r="E165" s="197"/>
      <c r="F165" s="197"/>
      <c r="G165" s="197"/>
      <c r="H165" s="230"/>
      <c r="I165" s="197"/>
      <c r="J165" s="197"/>
      <c r="K165" s="197"/>
      <c r="L165" s="197"/>
      <c r="M165" s="197"/>
      <c r="N165" s="197"/>
      <c r="O165" s="198"/>
      <c r="P165" s="199"/>
      <c r="Q165" s="197"/>
    </row>
    <row r="166" spans="1:24" ht="15" customHeight="1">
      <c r="A166" s="196" t="s">
        <v>21</v>
      </c>
      <c r="B166" s="197">
        <f>GETPIVOTDATA(" New-Less Than 2-Year",'Pivot Table for 1-11'!$A$3,"State","AL","SREB Type",4,"SREB Type2","Four-Year")+GETPIVOTDATA(" New-2 But Less Than 4-Year",'Pivot Table for 1-11'!$A$3,"State","AL","SREB Type",4,"SREB Type2","Four-Year")</f>
        <v>0</v>
      </c>
      <c r="C166" s="197">
        <f>+GETPIVOTDATA(" New-Associate's",'Pivot Table for 1-11'!$A$3,"State","AL","SREB Type",4,"SREB Type2","Four-Year")</f>
        <v>29</v>
      </c>
      <c r="D166" s="197">
        <f>+GETPIVOTDATA(" New-Bachelor's",'Pivot Table for 1-11'!$A$3,"State","AL","SREB Type",4,"SREB Type2","Four-Year")</f>
        <v>873</v>
      </c>
      <c r="E166" s="197">
        <f>+GETPIVOTDATA(" New-Post-Bachelor's",'Pivot Table for 1-11'!$A$3,"State","AL","SREB Type",4,"SREB Type2","Four-Year")</f>
        <v>0</v>
      </c>
      <c r="F166" s="197">
        <f>+GETPIVOTDATA(" New-Total Master's#",'Pivot Table for 1-11'!$A$3,"State","AL","SREB Type",4,"SREB Type2","Four-Year")</f>
        <v>1163</v>
      </c>
      <c r="G166" s="197">
        <f>+GETPIVOTDATA(" New-Total Doctorates#",'Pivot Table for 1-11'!$A$3,"State","AL","SREB Type",4,"SREB Type2","Four-Year")</f>
        <v>9</v>
      </c>
      <c r="H166" s="230">
        <f>+GETPIVOTDATA(" New-Law",'Pivot Table for 1-11'!$A$3,"State","AL","SREB Type",4,"SREB Type2","Four-Year")</f>
        <v>0</v>
      </c>
      <c r="I166" s="197">
        <f>+GETPIVOTDATA(" New-Medicine",'Pivot Table for 1-11'!$A$3,"State","AL","SREB Type",4,"SREB Type2","Four-Year")</f>
        <v>0</v>
      </c>
      <c r="J166" s="197">
        <f>+GETPIVOTDATA(" New-Dentistry",'Pivot Table for 1-11'!$A$3,"State","AL","SREB Type",4,"SREB Type2","Four-Year")</f>
        <v>0</v>
      </c>
      <c r="K166" s="197">
        <f>+GETPIVOTDATA(" New-Pharmacy",'Pivot Table for 1-11'!$A$3,"State","AL","SREB Type",4,"SREB Type2","Four-Year")</f>
        <v>0</v>
      </c>
      <c r="L166" s="197">
        <f>+GETPIVOTDATA(" New-Optometry",'Pivot Table for 1-11'!$A$3,"State","AL","SREB Type",4,"SREB Type2","Four-Year")</f>
        <v>0</v>
      </c>
      <c r="M166" s="197">
        <f>+GETPIVOTDATA(" New-Osteopathic Medicine",'Pivot Table for 1-11'!$A$3,"State","AL","SREB Type",4,"SREB Type2","Four-Year")</f>
        <v>0</v>
      </c>
      <c r="N166" s="197">
        <f>+GETPIVOTDATA(" New-Veterinary Medicine",'Pivot Table for 1-11'!$A$3,"State","AL","SREB Type",4,"SREB Type2","Four-Year")</f>
        <v>0</v>
      </c>
      <c r="O166" s="198">
        <f>+GETPIVOTDATA(" New-Oth PP",'Pivot Table for 1-11'!$A$3,"State","AL","SREB Type",4,"SREB Type2","Four-Year")</f>
        <v>31</v>
      </c>
      <c r="P166" s="199">
        <f t="shared" ref="P166:P184" si="5">SUM(B166:O166)</f>
        <v>2105</v>
      </c>
      <c r="Q166" s="197"/>
    </row>
    <row r="167" spans="1:24" ht="15" customHeight="1">
      <c r="A167" s="196" t="s">
        <v>22</v>
      </c>
      <c r="B167" s="197">
        <f>+GETPIVOTDATA(" New-Less Than 2-Year",'Pivot Table for 1-11'!$A$3,"State","AR","SREB Type",4,"SREB Type2","Four-Year")+GETPIVOTDATA(" New-2 But Less Than 4-Year",'Pivot Table for 1-11'!$A$3,"State","AR","SREB Type",4,"SREB Type2","Four-Year")</f>
        <v>404</v>
      </c>
      <c r="C167" s="197">
        <f>+GETPIVOTDATA(" New-Associate's",'Pivot Table for 1-11'!$A$3,"State","AR","SREB Type",4,"SREB Type2","Four-Year")</f>
        <v>803</v>
      </c>
      <c r="D167" s="197">
        <f>+GETPIVOTDATA(" New-Bachelor's",'Pivot Table for 1-11'!$A$3,"State","AR","SREB Type",4,"SREB Type2","Four-Year")</f>
        <v>1390</v>
      </c>
      <c r="E167" s="197">
        <f>+GETPIVOTDATA(" New-Post-Bachelor's",'Pivot Table for 1-11'!$A$3,"State","AR","SREB Type",4,"SREB Type2","Four-Year")</f>
        <v>86</v>
      </c>
      <c r="F167" s="197">
        <f>+GETPIVOTDATA(" New-Total Master's#",'Pivot Table for 1-11'!$A$3,"State","AR","SREB Type",4,"SREB Type2","Four-Year")</f>
        <v>707</v>
      </c>
      <c r="G167" s="197">
        <f>+GETPIVOTDATA(" New-Total Doctorates#",'Pivot Table for 1-11'!$A$3,"State","AR","SREB Type",4,"SREB Type2","Four-Year")</f>
        <v>0</v>
      </c>
      <c r="H167" s="230">
        <f>+GETPIVOTDATA(" New-Law",'Pivot Table for 1-11'!$A$3,"State","AR","SREB Type",4,"SREB Type2","Four-Year")</f>
        <v>0</v>
      </c>
      <c r="I167" s="197">
        <f>+GETPIVOTDATA(" New-Medicine",'Pivot Table for 1-11'!$A$3,"State","AR","SREB Type",4,"SREB Type2","Four-Year")</f>
        <v>0</v>
      </c>
      <c r="J167" s="197">
        <f>+GETPIVOTDATA(" New-Dentistry",'Pivot Table for 1-11'!$A$3,"State","AR","SREB Type",4,"SREB Type2","Four-Year")</f>
        <v>0</v>
      </c>
      <c r="K167" s="197">
        <f>+GETPIVOTDATA(" New-Pharmacy",'Pivot Table for 1-11'!$A$3,"State","AR","SREB Type",4,"SREB Type2","Four-Year")</f>
        <v>0</v>
      </c>
      <c r="L167" s="197">
        <f>+GETPIVOTDATA(" New-Optometry",'Pivot Table for 1-11'!$A$3,"State","AR","SREB Type",4,"SREB Type2","Four-Year")</f>
        <v>0</v>
      </c>
      <c r="M167" s="197">
        <f>+GETPIVOTDATA(" New-Osteopathic Medicine",'Pivot Table for 1-11'!$A$3,"State","AR","SREB Type",4,"SREB Type2","Four-Year")</f>
        <v>0</v>
      </c>
      <c r="N167" s="197">
        <f>+GETPIVOTDATA(" New-Veterinary Medicine",'Pivot Table for 1-11'!$A$3,"State","AR","SREB Type",4,"SREB Type2","Four-Year")</f>
        <v>0</v>
      </c>
      <c r="O167" s="198">
        <f>+GETPIVOTDATA(" New-Oth PP",'Pivot Table for 1-11'!$A$3,"State","AR","SREB Type",4,"SREB Type2","Four-Year")</f>
        <v>0</v>
      </c>
      <c r="P167" s="199">
        <f t="shared" si="5"/>
        <v>3390</v>
      </c>
      <c r="Q167" s="197"/>
    </row>
    <row r="168" spans="1:24" ht="15" customHeight="1">
      <c r="A168" s="196" t="s">
        <v>23</v>
      </c>
      <c r="B168" s="197">
        <f>+GETPIVOTDATA(" New-Less Than 2-Year",'Pivot Table for 1-11'!$A$3,"State","DE","SREB Type",4,"SREB Type2","Four-Year")+GETPIVOTDATA(" New-2 But Less Than 4-Year",'Pivot Table for 1-11'!$A$3,"State","DE","SREB Type",4,"SREB Type2","Four-Year")</f>
        <v>0</v>
      </c>
      <c r="C168" s="197">
        <f>+GETPIVOTDATA(" New-Associate's",'Pivot Table for 1-11'!$A$3,"State","DE","SREB Type",4,"SREB Type2","Four-Year")</f>
        <v>0</v>
      </c>
      <c r="D168" s="197">
        <f>+GETPIVOTDATA(" New-Bachelor's",'Pivot Table for 1-11'!$A$3,"State","DE","SREB Type",4,"SREB Type2","Four-Year")</f>
        <v>0</v>
      </c>
      <c r="E168" s="197">
        <f>+GETPIVOTDATA(" New-Post-Bachelor's",'Pivot Table for 1-11'!$A$3,"State","DE","SREB Type",4,"SREB Type2","Four-Year")</f>
        <v>0</v>
      </c>
      <c r="F168" s="197">
        <f>+GETPIVOTDATA(" New-Total Master's#",'Pivot Table for 1-11'!$A$3,"State","DE","SREB Type",4,"SREB Type2","Four-Year")</f>
        <v>0</v>
      </c>
      <c r="G168" s="197">
        <f>+GETPIVOTDATA(" New-Total Doctorates#",'Pivot Table for 1-11'!$A$3,"State","DE","SREB Type",4,"SREB Type2","Four-Year")</f>
        <v>0</v>
      </c>
      <c r="H168" s="230">
        <f>+GETPIVOTDATA(" New-Law",'Pivot Table for 1-11'!$A$3,"State","DE","SREB Type",4,"SREB Type2","Four-Year")</f>
        <v>0</v>
      </c>
      <c r="I168" s="197">
        <f>+GETPIVOTDATA(" New-Medicine",'Pivot Table for 1-11'!$A$3,"State","DE","SREB Type",4,"SREB Type2","Four-Year")</f>
        <v>0</v>
      </c>
      <c r="J168" s="197">
        <f>+GETPIVOTDATA(" New-Dentistry",'Pivot Table for 1-11'!$A$3,"State","DE","SREB Type",4,"SREB Type2","Four-Year")</f>
        <v>0</v>
      </c>
      <c r="K168" s="197">
        <f>+GETPIVOTDATA(" New-Pharmacy",'Pivot Table for 1-11'!$A$3,"State","DE","SREB Type",4,"SREB Type2","Four-Year")</f>
        <v>0</v>
      </c>
      <c r="L168" s="197">
        <f>+GETPIVOTDATA(" New-Optometry",'Pivot Table for 1-11'!$A$3,"State","DE","SREB Type",4,"SREB Type2","Four-Year")</f>
        <v>0</v>
      </c>
      <c r="M168" s="197">
        <f>+GETPIVOTDATA(" New-Osteopathic Medicine",'Pivot Table for 1-11'!$A$3,"State","DE","SREB Type",4,"SREB Type2","Four-Year")</f>
        <v>0</v>
      </c>
      <c r="N168" s="197">
        <f>+GETPIVOTDATA(" New-Veterinary Medicine",'Pivot Table for 1-11'!$A$3,"State","DE","SREB Type",4,"SREB Type2","Four-Year")</f>
        <v>0</v>
      </c>
      <c r="O168" s="198">
        <f>+GETPIVOTDATA(" New-Oth PP",'Pivot Table for 1-11'!$A$3,"State","DE","SREB Type",4,"SREB Type2","Four-Year")</f>
        <v>0</v>
      </c>
      <c r="P168" s="199">
        <f t="shared" si="5"/>
        <v>0</v>
      </c>
      <c r="Q168" s="197"/>
    </row>
    <row r="169" spans="1:24" ht="15" customHeight="1">
      <c r="A169" s="196" t="s">
        <v>24</v>
      </c>
      <c r="B169" s="197">
        <f>+GETPIVOTDATA(" New-Less Than 2-Year",'Pivot Table for 1-11'!$A$3,"State","FL","SREB Type",4,"SREB Type2","Four-Year")+GETPIVOTDATA(" New-2 But Less Than 4-Year",'Pivot Table for 1-11'!$A$3,"State","FL","SREB Type",4,"SREB Type2","Four-Year")</f>
        <v>0</v>
      </c>
      <c r="C169" s="197">
        <f>+GETPIVOTDATA(" New-Associate's",'Pivot Table for 1-11'!$A$3,"State","FL","SREB Type",4,"SREB Type2","Four-Year")</f>
        <v>0</v>
      </c>
      <c r="D169" s="197">
        <f>+GETPIVOTDATA(" New-Bachelor's",'Pivot Table for 1-11'!$A$3,"State","FL","SREB Type",4,"SREB Type2","Four-Year")</f>
        <v>0</v>
      </c>
      <c r="E169" s="197">
        <f>+GETPIVOTDATA(" New-Post-Bachelor's",'Pivot Table for 1-11'!$A$3,"State","FL","SREB Type",4,"SREB Type2","Four-Year")</f>
        <v>0</v>
      </c>
      <c r="F169" s="197">
        <f>+GETPIVOTDATA(" New-Total Master's#",'Pivot Table for 1-11'!$A$3,"State","FL","SREB Type",4,"SREB Type2","Four-Year")</f>
        <v>0</v>
      </c>
      <c r="G169" s="197">
        <f>+GETPIVOTDATA(" New-Total Doctorates#",'Pivot Table for 1-11'!$A$3,"State","FL","SREB Type",4,"SREB Type2","Four-Year")</f>
        <v>0</v>
      </c>
      <c r="H169" s="230">
        <f>+GETPIVOTDATA(" New-Law",'Pivot Table for 1-11'!$A$3,"State","FL","SREB Type",4,"SREB Type2","Four-Year")</f>
        <v>0</v>
      </c>
      <c r="I169" s="197">
        <f>+GETPIVOTDATA(" New-Medicine",'Pivot Table for 1-11'!$A$3,"State","FL","SREB Type",4,"SREB Type2","Four-Year")</f>
        <v>0</v>
      </c>
      <c r="J169" s="197">
        <f>+GETPIVOTDATA(" New-Dentistry",'Pivot Table for 1-11'!$A$3,"State","FL","SREB Type",4,"SREB Type2","Four-Year")</f>
        <v>0</v>
      </c>
      <c r="K169" s="197">
        <f>+GETPIVOTDATA(" New-Pharmacy",'Pivot Table for 1-11'!$A$3,"State","FL","SREB Type",4,"SREB Type2","Four-Year")</f>
        <v>0</v>
      </c>
      <c r="L169" s="197">
        <f>+GETPIVOTDATA(" New-Optometry",'Pivot Table for 1-11'!$A$3,"State","FL","SREB Type",4,"SREB Type2","Four-Year")</f>
        <v>0</v>
      </c>
      <c r="M169" s="197">
        <f>+GETPIVOTDATA(" New-Osteopathic Medicine",'Pivot Table for 1-11'!$A$3,"State","FL","SREB Type",4,"SREB Type2","Four-Year")</f>
        <v>0</v>
      </c>
      <c r="N169" s="197">
        <f>+GETPIVOTDATA(" New-Veterinary Medicine",'Pivot Table for 1-11'!$A$3,"State","FL","SREB Type",4,"SREB Type2","Four-Year")</f>
        <v>0</v>
      </c>
      <c r="O169" s="198">
        <f>+GETPIVOTDATA(" New-Oth PP",'Pivot Table for 1-11'!$A$3,"State","FL","SREB Type",4,"SREB Type2","Four-Year")</f>
        <v>0</v>
      </c>
      <c r="P169" s="199">
        <f t="shared" si="5"/>
        <v>0</v>
      </c>
      <c r="Q169" s="197"/>
    </row>
    <row r="170" spans="1:24" ht="15" customHeight="1">
      <c r="A170" s="196"/>
      <c r="B170" s="197"/>
      <c r="C170" s="197"/>
      <c r="D170" s="197"/>
      <c r="E170" s="197"/>
      <c r="F170" s="197"/>
      <c r="G170" s="197"/>
      <c r="H170" s="230"/>
      <c r="I170" s="197"/>
      <c r="J170" s="197"/>
      <c r="K170" s="197"/>
      <c r="L170" s="197"/>
      <c r="M170" s="197"/>
      <c r="N170" s="197"/>
      <c r="O170" s="198"/>
      <c r="P170" s="199">
        <f t="shared" si="5"/>
        <v>0</v>
      </c>
      <c r="Q170" s="197"/>
    </row>
    <row r="171" spans="1:24" ht="15" customHeight="1">
      <c r="A171" s="196" t="s">
        <v>25</v>
      </c>
      <c r="B171" s="197">
        <f>+GETPIVOTDATA(" New-Less Than 2-Year",'Pivot Table for 1-11'!$A$3,"State","GA","SREB Type",4,"SREB Type2","Four-Year")+GETPIVOTDATA(" New-2 But Less Than 4-Year",'Pivot Table for 1-11'!$A$3,"State","GA","SREB Type",4,"SREB Type2","Four-Year")</f>
        <v>362</v>
      </c>
      <c r="C171" s="197">
        <f>+GETPIVOTDATA(" New-Associate's",'Pivot Table for 1-11'!$A$3,"State","GA","SREB Type",4,"SREB Type2","Four-Year")</f>
        <v>1500</v>
      </c>
      <c r="D171" s="197">
        <f>+GETPIVOTDATA(" New-Bachelor's",'Pivot Table for 1-11'!$A$3,"State","GA","SREB Type",4,"SREB Type2","Four-Year")</f>
        <v>7420</v>
      </c>
      <c r="E171" s="197">
        <f>+GETPIVOTDATA(" New-Post-Bachelor's",'Pivot Table for 1-11'!$A$3,"State","GA","SREB Type",4,"SREB Type2","Four-Year")</f>
        <v>180</v>
      </c>
      <c r="F171" s="197">
        <f>+GETPIVOTDATA(" New-Total Master's#",'Pivot Table for 1-11'!$A$3,"State","GA","SREB Type",4,"SREB Type2","Four-Year")</f>
        <v>2375</v>
      </c>
      <c r="G171" s="197">
        <f>+GETPIVOTDATA(" New-Total Doctorates#",'Pivot Table for 1-11'!$A$3,"State","GA","SREB Type",4,"SREB Type2","Four-Year")</f>
        <v>185</v>
      </c>
      <c r="H171" s="230">
        <f>+GETPIVOTDATA(" New-Law",'Pivot Table for 1-11'!$A$3,"State","GA","SREB Type",4,"SREB Type2","Four-Year")</f>
        <v>0</v>
      </c>
      <c r="I171" s="197">
        <f>+GETPIVOTDATA(" New-Medicine",'Pivot Table for 1-11'!$A$3,"State","GA","SREB Type",4,"SREB Type2","Four-Year")</f>
        <v>221</v>
      </c>
      <c r="J171" s="197">
        <f>+GETPIVOTDATA(" New-Dentistry",'Pivot Table for 1-11'!$A$3,"State","GA","SREB Type",4,"SREB Type2","Four-Year")</f>
        <v>87</v>
      </c>
      <c r="K171" s="197">
        <f>+GETPIVOTDATA(" New-Pharmacy",'Pivot Table for 1-11'!$A$3,"State","GA","SREB Type",4,"SREB Type2","Four-Year")</f>
        <v>0</v>
      </c>
      <c r="L171" s="197">
        <f>+GETPIVOTDATA(" New-Optometry",'Pivot Table for 1-11'!$A$3,"State","GA","SREB Type",4,"SREB Type2","Four-Year")</f>
        <v>0</v>
      </c>
      <c r="M171" s="197">
        <f>+GETPIVOTDATA(" New-Osteopathic Medicine",'Pivot Table for 1-11'!$A$3,"State","GA","SREB Type",4,"SREB Type2","Four-Year")</f>
        <v>0</v>
      </c>
      <c r="N171" s="197">
        <f>+GETPIVOTDATA(" New-Veterinary Medicine",'Pivot Table for 1-11'!$A$3,"State","GA","SREB Type",4,"SREB Type2","Four-Year")</f>
        <v>0</v>
      </c>
      <c r="O171" s="198">
        <f>+GETPIVOTDATA(" New-Oth PP",'Pivot Table for 1-11'!$A$3,"State","GA","SREB Type",4,"SREB Type2","Four-Year")</f>
        <v>0</v>
      </c>
      <c r="P171" s="199">
        <f t="shared" si="5"/>
        <v>12330</v>
      </c>
      <c r="Q171" s="197"/>
    </row>
    <row r="172" spans="1:24" ht="15" customHeight="1">
      <c r="A172" s="196" t="s">
        <v>26</v>
      </c>
      <c r="B172" s="197">
        <f>+GETPIVOTDATA(" New-Less Than 2-Year",'Pivot Table for 1-11'!$A$3,"State","KY","SREB Type",4,"SREB Type2","Four-Year")+GETPIVOTDATA(" New-2 But Less Than 4-Year",'Pivot Table for 1-11'!$A$3,"State","KY","SREB Type",4,"SREB Type2","Four-Year")</f>
        <v>6</v>
      </c>
      <c r="C172" s="197">
        <f>+GETPIVOTDATA(" New-Associate's",'Pivot Table for 1-11'!$A$3,"State","KY","SREB Type",4,"SREB Type2","Four-Year")</f>
        <v>32</v>
      </c>
      <c r="D172" s="197">
        <f>+GETPIVOTDATA(" New-Bachelor's",'Pivot Table for 1-11'!$A$3,"State","KY","SREB Type",4,"SREB Type2","Four-Year")</f>
        <v>137</v>
      </c>
      <c r="E172" s="197">
        <f>+GETPIVOTDATA(" New-Post-Bachelor's",'Pivot Table for 1-11'!$A$3,"State","KY","SREB Type",4,"SREB Type2","Four-Year")</f>
        <v>0</v>
      </c>
      <c r="F172" s="197">
        <f>+GETPIVOTDATA(" New-Total Master's#",'Pivot Table for 1-11'!$A$3,"State","KY","SREB Type",4,"SREB Type2","Four-Year")</f>
        <v>28</v>
      </c>
      <c r="G172" s="197">
        <f>+GETPIVOTDATA(" New-Total Doctorates#",'Pivot Table for 1-11'!$A$3,"State","KY","SREB Type",4,"SREB Type2","Four-Year")</f>
        <v>0</v>
      </c>
      <c r="H172" s="230">
        <f>+GETPIVOTDATA(" New-Law",'Pivot Table for 1-11'!$A$3,"State","KY","SREB Type",4,"SREB Type2","Four-Year")</f>
        <v>0</v>
      </c>
      <c r="I172" s="197">
        <f>+GETPIVOTDATA(" New-Medicine",'Pivot Table for 1-11'!$A$3,"State","KY","SREB Type",4,"SREB Type2","Four-Year")</f>
        <v>0</v>
      </c>
      <c r="J172" s="197">
        <f>+GETPIVOTDATA(" New-Dentistry",'Pivot Table for 1-11'!$A$3,"State","KY","SREB Type",4,"SREB Type2","Four-Year")</f>
        <v>0</v>
      </c>
      <c r="K172" s="197">
        <f>+GETPIVOTDATA(" New-Pharmacy",'Pivot Table for 1-11'!$A$3,"State","KY","SREB Type",4,"SREB Type2","Four-Year")</f>
        <v>0</v>
      </c>
      <c r="L172" s="197">
        <f>+GETPIVOTDATA(" New-Optometry",'Pivot Table for 1-11'!$A$3,"State","KY","SREB Type",4,"SREB Type2","Four-Year")</f>
        <v>0</v>
      </c>
      <c r="M172" s="197">
        <f>+GETPIVOTDATA(" New-Osteopathic Medicine",'Pivot Table for 1-11'!$A$3,"State","KY","SREB Type",4,"SREB Type2","Four-Year")</f>
        <v>0</v>
      </c>
      <c r="N172" s="197">
        <f>+GETPIVOTDATA(" New-Veterinary Medicine",'Pivot Table for 1-11'!$A$3,"State","KY","SREB Type",4,"SREB Type2","Four-Year")</f>
        <v>0</v>
      </c>
      <c r="O172" s="198">
        <f>+GETPIVOTDATA(" New-Oth PP",'Pivot Table for 1-11'!$A$3,"State","KY","SREB Type",4,"SREB Type2","Four-Year")</f>
        <v>2</v>
      </c>
      <c r="P172" s="199">
        <f t="shared" si="5"/>
        <v>205</v>
      </c>
      <c r="Q172" s="197"/>
    </row>
    <row r="173" spans="1:24" ht="14.5" customHeight="1">
      <c r="A173" s="196" t="s">
        <v>27</v>
      </c>
      <c r="B173" s="197">
        <f>+GETPIVOTDATA(" New-Less Than 2-Year",'Pivot Table for 1-11'!$A$3,"State","LA","SREB Type",4,"SREB Type2","Four-Year")+GETPIVOTDATA(" New-2 But Less Than 4-Year",'Pivot Table for 1-11'!$A$3,"State","LA","SREB Type",4,"SREB Type2","Four-Year")</f>
        <v>0</v>
      </c>
      <c r="C173" s="197">
        <f>+GETPIVOTDATA(" New-Associate's",'Pivot Table for 1-11'!$A$3,"State","LA","SREB Type",4,"SREB Type2","Four-Year")</f>
        <v>531</v>
      </c>
      <c r="D173" s="197">
        <f>+GETPIVOTDATA(" New-Bachelor's",'Pivot Table for 1-11'!$A$3,"State","LA","SREB Type",4,"SREB Type2","Four-Year")</f>
        <v>3218</v>
      </c>
      <c r="E173" s="197">
        <f>+GETPIVOTDATA(" New-Post-Bachelor's",'Pivot Table for 1-11'!$A$3,"State","LA","SREB Type",4,"SREB Type2","Four-Year")</f>
        <v>46</v>
      </c>
      <c r="F173" s="197">
        <f>+GETPIVOTDATA(" New-Total Master's#",'Pivot Table for 1-11'!$A$3,"State","LA","SREB Type",4,"SREB Type2","Four-Year")</f>
        <v>2973</v>
      </c>
      <c r="G173" s="197">
        <f>+GETPIVOTDATA(" New-Total Doctorates#",'Pivot Table for 1-11'!$A$3,"State","LA","SREB Type",4,"SREB Type2","Four-Year")</f>
        <v>16</v>
      </c>
      <c r="H173" s="230">
        <f>+GETPIVOTDATA(" New-Law",'Pivot Table for 1-11'!$A$3,"State","LA","SREB Type",4,"SREB Type2","Four-Year")</f>
        <v>0</v>
      </c>
      <c r="I173" s="197">
        <f>+GETPIVOTDATA(" New-Medicine",'Pivot Table for 1-11'!$A$3,"State","LA","SREB Type",4,"SREB Type2","Four-Year")</f>
        <v>0</v>
      </c>
      <c r="J173" s="197">
        <f>+GETPIVOTDATA(" New-Dentistry",'Pivot Table for 1-11'!$A$3,"State","LA","SREB Type",4,"SREB Type2","Four-Year")</f>
        <v>0</v>
      </c>
      <c r="K173" s="197">
        <f>+GETPIVOTDATA(" New-Pharmacy",'Pivot Table for 1-11'!$A$3,"State","LA","SREB Type",4,"SREB Type2","Four-Year")</f>
        <v>0</v>
      </c>
      <c r="L173" s="197">
        <f>+GETPIVOTDATA(" New-Optometry",'Pivot Table for 1-11'!$A$3,"State","LA","SREB Type",4,"SREB Type2","Four-Year")</f>
        <v>0</v>
      </c>
      <c r="M173" s="197">
        <f>+GETPIVOTDATA(" New-Osteopathic Medicine",'Pivot Table for 1-11'!$A$3,"State","LA","SREB Type",4,"SREB Type2","Four-Year")</f>
        <v>0</v>
      </c>
      <c r="N173" s="197">
        <f>+GETPIVOTDATA(" New-Veterinary Medicine",'Pivot Table for 1-11'!$A$3,"State","LA","SREB Type",4,"SREB Type2","Four-Year")</f>
        <v>0</v>
      </c>
      <c r="O173" s="198">
        <f>+GETPIVOTDATA(" New-Oth PP",'Pivot Table for 1-11'!$A$3,"State","LA","SREB Type",4,"SREB Type2","Four-Year")</f>
        <v>11</v>
      </c>
      <c r="P173" s="199">
        <f t="shared" si="5"/>
        <v>6795</v>
      </c>
      <c r="Q173" s="197"/>
    </row>
    <row r="174" spans="1:24" ht="15" customHeight="1">
      <c r="A174" s="196" t="s">
        <v>28</v>
      </c>
      <c r="B174" s="197">
        <f>+GETPIVOTDATA(" New-Less Than 2-Year",'Pivot Table for 1-11'!$A$3,"State","MD","SREB Type",4,"SREB Type2","Four-Year")+GETPIVOTDATA(" New-2 But Less Than 4-Year",'Pivot Table for 1-11'!$A$3,"State","MD","SREB Type",4,"SREB Type2","Four-Year")</f>
        <v>0</v>
      </c>
      <c r="C174" s="197">
        <f>+GETPIVOTDATA(" New-Associate's",'Pivot Table for 1-11'!$A$3,"State","MD","SREB Type",4,"SREB Type2","Four-Year")</f>
        <v>0</v>
      </c>
      <c r="D174" s="197">
        <f>+GETPIVOTDATA(" New-Bachelor's",'Pivot Table for 1-11'!$A$3,"State","MD","SREB Type",4,"SREB Type2","Four-Year")</f>
        <v>0</v>
      </c>
      <c r="E174" s="197">
        <f>+GETPIVOTDATA(" New-Post-Bachelor's",'Pivot Table for 1-11'!$A$3,"State","MD","SREB Type",4,"SREB Type2","Four-Year")</f>
        <v>0</v>
      </c>
      <c r="F174" s="197">
        <f>+GETPIVOTDATA(" New-Total Master's#",'Pivot Table for 1-11'!$A$3,"State","MD","SREB Type",4,"SREB Type2","Four-Year")</f>
        <v>0</v>
      </c>
      <c r="G174" s="197">
        <f>+GETPIVOTDATA(" New-Total Doctorates#",'Pivot Table for 1-11'!$A$3,"State","MD","SREB Type",4,"SREB Type2","Four-Year")</f>
        <v>0</v>
      </c>
      <c r="H174" s="230">
        <f>+GETPIVOTDATA(" New-Law",'Pivot Table for 1-11'!$A$3,"State","MD","SREB Type",4,"SREB Type2","Four-Year")</f>
        <v>0</v>
      </c>
      <c r="I174" s="197">
        <f>+GETPIVOTDATA(" New-Medicine",'Pivot Table for 1-11'!$A$3,"State","MD","SREB Type",4,"SREB Type2","Four-Year")</f>
        <v>0</v>
      </c>
      <c r="J174" s="197">
        <f>+GETPIVOTDATA(" New-Dentistry",'Pivot Table for 1-11'!$A$3,"State","MD","SREB Type",4,"SREB Type2","Four-Year")</f>
        <v>0</v>
      </c>
      <c r="K174" s="197">
        <f>+GETPIVOTDATA(" New-Pharmacy",'Pivot Table for 1-11'!$A$3,"State","MD","SREB Type",4,"SREB Type2","Four-Year")</f>
        <v>0</v>
      </c>
      <c r="L174" s="197">
        <f>+GETPIVOTDATA(" New-Optometry",'Pivot Table for 1-11'!$A$3,"State","MD","SREB Type",4,"SREB Type2","Four-Year")</f>
        <v>0</v>
      </c>
      <c r="M174" s="197">
        <f>+GETPIVOTDATA(" New-Osteopathic Medicine",'Pivot Table for 1-11'!$A$3,"State","MD","SREB Type",4,"SREB Type2","Four-Year")</f>
        <v>0</v>
      </c>
      <c r="N174" s="197">
        <f>+GETPIVOTDATA(" New-Veterinary Medicine",'Pivot Table for 1-11'!$A$3,"State","MD","SREB Type",4,"SREB Type2","Four-Year")</f>
        <v>0</v>
      </c>
      <c r="O174" s="198">
        <f>+GETPIVOTDATA(" New-Oth PP",'Pivot Table for 1-11'!$A$3,"State","MD","SREB Type",4,"SREB Type2","Four-Year")</f>
        <v>0</v>
      </c>
      <c r="P174" s="199">
        <f t="shared" si="5"/>
        <v>0</v>
      </c>
      <c r="Q174" s="197"/>
    </row>
    <row r="175" spans="1:24" ht="15" customHeight="1">
      <c r="A175" s="196"/>
      <c r="B175" s="197"/>
      <c r="C175" s="197"/>
      <c r="D175" s="197"/>
      <c r="E175" s="197"/>
      <c r="F175" s="197"/>
      <c r="G175" s="197"/>
      <c r="H175" s="230"/>
      <c r="I175" s="197"/>
      <c r="J175" s="197"/>
      <c r="K175" s="197"/>
      <c r="L175" s="197"/>
      <c r="M175" s="197"/>
      <c r="N175" s="197"/>
      <c r="O175" s="198"/>
      <c r="P175" s="199">
        <f t="shared" si="5"/>
        <v>0</v>
      </c>
      <c r="Q175" s="197"/>
    </row>
    <row r="176" spans="1:24" ht="15" customHeight="1">
      <c r="A176" s="196" t="s">
        <v>29</v>
      </c>
      <c r="B176" s="197">
        <f>+GETPIVOTDATA(" New-Less Than 2-Year",'Pivot Table for 1-11'!$A$3,"State","MS","SREB Type",4,"SREB Type2","Four-Year")+GETPIVOTDATA(" New-2 But Less Than 4-Year",'Pivot Table for 1-11'!$A$3,"State","MS","SREB Type",4,"SREB Type2","Four-Year")</f>
        <v>0</v>
      </c>
      <c r="C176" s="197">
        <f>+GETPIVOTDATA(" New-Associate's",'Pivot Table for 1-11'!$A$3,"State","MS","SREB Type",4,"SREB Type2","Four-Year")</f>
        <v>65</v>
      </c>
      <c r="D176" s="197">
        <f>+GETPIVOTDATA(" New-Bachelor's",'Pivot Table for 1-11'!$A$3,"State","MS","SREB Type",4,"SREB Type2","Four-Year")</f>
        <v>2140</v>
      </c>
      <c r="E176" s="197">
        <f>+GETPIVOTDATA(" New-Post-Bachelor's",'Pivot Table for 1-11'!$A$3,"State","MS","SREB Type",4,"SREB Type2","Four-Year")</f>
        <v>0</v>
      </c>
      <c r="F176" s="197">
        <f>+GETPIVOTDATA(" New-Total Master's#",'Pivot Table for 1-11'!$A$3,"State","MS","SREB Type",4,"SREB Type2","Four-Year")</f>
        <v>580</v>
      </c>
      <c r="G176" s="197">
        <f>+GETPIVOTDATA(" New-Total Doctorates#",'Pivot Table for 1-11'!$A$3,"State","MS","SREB Type",4,"SREB Type2","Four-Year")</f>
        <v>13</v>
      </c>
      <c r="H176" s="230">
        <f>+GETPIVOTDATA(" New-Law",'Pivot Table for 1-11'!$A$3,"State","MS","SREB Type",4,"SREB Type2","Four-Year")</f>
        <v>0</v>
      </c>
      <c r="I176" s="197">
        <f>+GETPIVOTDATA(" New-Medicine",'Pivot Table for 1-11'!$A$3,"State","MS","SREB Type",4,"SREB Type2","Four-Year")</f>
        <v>0</v>
      </c>
      <c r="J176" s="197">
        <f>+GETPIVOTDATA(" New-Dentistry",'Pivot Table for 1-11'!$A$3,"State","MS","SREB Type",4,"SREB Type2","Four-Year")</f>
        <v>0</v>
      </c>
      <c r="K176" s="197">
        <f>+GETPIVOTDATA(" New-Pharmacy",'Pivot Table for 1-11'!$A$3,"State","MS","SREB Type",4,"SREB Type2","Four-Year")</f>
        <v>0</v>
      </c>
      <c r="L176" s="197">
        <f>+GETPIVOTDATA(" New-Optometry",'Pivot Table for 1-11'!$A$3,"State","MS","SREB Type",4,"SREB Type2","Four-Year")</f>
        <v>0</v>
      </c>
      <c r="M176" s="197">
        <f>+GETPIVOTDATA(" New-Osteopathic Medicine",'Pivot Table for 1-11'!$A$3,"State","MS","SREB Type",4,"SREB Type2","Four-Year")</f>
        <v>0</v>
      </c>
      <c r="N176" s="197">
        <f>+GETPIVOTDATA(" New-Veterinary Medicine",'Pivot Table for 1-11'!$A$3,"State","MS","SREB Type",4,"SREB Type2","Four-Year")</f>
        <v>0</v>
      </c>
      <c r="O176" s="198">
        <f>+GETPIVOTDATA(" New-Oth PP",'Pivot Table for 1-11'!$A$3,"State","MS","SREB Type",4,"SREB Type2","Four-Year")</f>
        <v>9</v>
      </c>
      <c r="P176" s="199">
        <f t="shared" si="5"/>
        <v>2807</v>
      </c>
      <c r="Q176" s="197"/>
    </row>
    <row r="177" spans="1:17" ht="15" customHeight="1">
      <c r="A177" s="196" t="s">
        <v>30</v>
      </c>
      <c r="B177" s="197">
        <f>+GETPIVOTDATA(" New-Less Than 2-Year",'Pivot Table for 1-11'!$A$3,"State","NC","SREB Type",4,"SREB Type2","Four-Year")+GETPIVOTDATA(" New-2 But Less Than 4-Year",'Pivot Table for 1-11'!$A$3,"State","NC","SREB Type",4,"SREB Type2","Four-Year")</f>
        <v>0</v>
      </c>
      <c r="C177" s="197">
        <f>+GETPIVOTDATA(" New-Associate's",'Pivot Table for 1-11'!$A$3,"State","NC","SREB Type",4,"SREB Type2","Four-Year")</f>
        <v>0</v>
      </c>
      <c r="D177" s="197">
        <f>+GETPIVOTDATA(" New-Bachelor's",'Pivot Table for 1-11'!$A$3,"State","NC","SREB Type",4,"SREB Type2","Four-Year")</f>
        <v>0</v>
      </c>
      <c r="E177" s="197">
        <f>+GETPIVOTDATA(" New-Post-Bachelor's",'Pivot Table for 1-11'!$A$3,"State","NC","SREB Type",4,"SREB Type2","Four-Year")</f>
        <v>37</v>
      </c>
      <c r="F177" s="197">
        <f>+GETPIVOTDATA(" New-Total Master's#",'Pivot Table for 1-11'!$A$3,"State","NC","SREB Type",4,"SREB Type2","Four-Year")</f>
        <v>164</v>
      </c>
      <c r="G177" s="197">
        <f>+GETPIVOTDATA(" New-Total Doctorates#",'Pivot Table for 1-11'!$A$3,"State","NC","SREB Type",4,"SREB Type2","Four-Year")</f>
        <v>19</v>
      </c>
      <c r="H177" s="230">
        <f>+GETPIVOTDATA(" New-Law",'Pivot Table for 1-11'!$A$3,"State","NC","SREB Type",4,"SREB Type2","Four-Year")</f>
        <v>0</v>
      </c>
      <c r="I177" s="197">
        <f>+GETPIVOTDATA(" New-Medicine",'Pivot Table for 1-11'!$A$3,"State","NC","SREB Type",4,"SREB Type2","Four-Year")</f>
        <v>0</v>
      </c>
      <c r="J177" s="197">
        <f>+GETPIVOTDATA(" New-Dentistry",'Pivot Table for 1-11'!$A$3,"State","NC","SREB Type",4,"SREB Type2","Four-Year")</f>
        <v>0</v>
      </c>
      <c r="K177" s="197">
        <f>+GETPIVOTDATA(" New-Pharmacy",'Pivot Table for 1-11'!$A$3,"State","NC","SREB Type",4,"SREB Type2","Four-Year")</f>
        <v>0</v>
      </c>
      <c r="L177" s="197">
        <f>+GETPIVOTDATA(" New-Optometry",'Pivot Table for 1-11'!$A$3,"State","NC","SREB Type",4,"SREB Type2","Four-Year")</f>
        <v>0</v>
      </c>
      <c r="M177" s="197">
        <f>+GETPIVOTDATA(" New-Osteopathic Medicine",'Pivot Table for 1-11'!$A$3,"State","NC","SREB Type",4,"SREB Type2","Four-Year")</f>
        <v>0</v>
      </c>
      <c r="N177" s="197">
        <f>+GETPIVOTDATA(" New-Veterinary Medicine",'Pivot Table for 1-11'!$A$3,"State","NC","SREB Type",4,"SREB Type2","Four-Year")</f>
        <v>0</v>
      </c>
      <c r="O177" s="198">
        <f>+GETPIVOTDATA(" New-Oth PP",'Pivot Table for 1-11'!$A$3,"State","NC","SREB Type",4,"SREB Type2","Four-Year")</f>
        <v>0</v>
      </c>
      <c r="P177" s="199">
        <f t="shared" si="5"/>
        <v>220</v>
      </c>
      <c r="Q177" s="197"/>
    </row>
    <row r="178" spans="1:17" ht="15" customHeight="1">
      <c r="A178" s="196" t="s">
        <v>31</v>
      </c>
      <c r="B178" s="197">
        <f>+GETPIVOTDATA(" New-Less Than 2-Year",'Pivot Table for 1-11'!$A$3,"State","OK","SREB Type",4,"SREB Type2","Four-Year")+GETPIVOTDATA(" New-2 But Less Than 4-Year",'Pivot Table for 1-11'!$A$3,"State","OK","SREB Type",4,"SREB Type2","Four-Year")</f>
        <v>0</v>
      </c>
      <c r="C178" s="197">
        <f>+GETPIVOTDATA(" New-Associate's",'Pivot Table for 1-11'!$A$3,"State","OK","SREB Type",4,"SREB Type2","Four-Year")</f>
        <v>0</v>
      </c>
      <c r="D178" s="197">
        <f>+GETPIVOTDATA(" New-Bachelor's",'Pivot Table for 1-11'!$A$3,"State","OK","SREB Type",4,"SREB Type2","Four-Year")</f>
        <v>0</v>
      </c>
      <c r="E178" s="197">
        <f>+GETPIVOTDATA(" New-Post-Bachelor's",'Pivot Table for 1-11'!$A$3,"State","OK","SREB Type",4,"SREB Type2","Four-Year")</f>
        <v>0</v>
      </c>
      <c r="F178" s="197">
        <f>+GETPIVOTDATA(" New-Total Master's#",'Pivot Table for 1-11'!$A$3,"State","OK","SREB Type",4,"SREB Type2","Four-Year")</f>
        <v>0</v>
      </c>
      <c r="G178" s="197">
        <f>+GETPIVOTDATA(" New-Total Doctorates#",'Pivot Table for 1-11'!$A$3,"State","OK","SREB Type",4,"SREB Type2","Four-Year")</f>
        <v>0</v>
      </c>
      <c r="H178" s="230">
        <f>+GETPIVOTDATA(" New-Law",'Pivot Table for 1-11'!$A$3,"State","OK","SREB Type",4,"SREB Type2","Four-Year")</f>
        <v>0</v>
      </c>
      <c r="I178" s="197">
        <f>+GETPIVOTDATA(" New-Medicine",'Pivot Table for 1-11'!$A$3,"State","OK","SREB Type",4,"SREB Type2","Four-Year")</f>
        <v>0</v>
      </c>
      <c r="J178" s="197">
        <f>+GETPIVOTDATA(" New-Dentistry",'Pivot Table for 1-11'!$A$3,"State","OK","SREB Type",4,"SREB Type2","Four-Year")</f>
        <v>0</v>
      </c>
      <c r="K178" s="197">
        <f>+GETPIVOTDATA(" New-Pharmacy",'Pivot Table for 1-11'!$A$3,"State","OK","SREB Type",4,"SREB Type2","Four-Year")</f>
        <v>0</v>
      </c>
      <c r="L178" s="197">
        <f>+GETPIVOTDATA(" New-Optometry",'Pivot Table for 1-11'!$A$3,"State","OK","SREB Type",4,"SREB Type2","Four-Year")</f>
        <v>0</v>
      </c>
      <c r="M178" s="197">
        <f>+GETPIVOTDATA(" New-Osteopathic Medicine",'Pivot Table for 1-11'!$A$3,"State","OK","SREB Type",4,"SREB Type2","Four-Year")</f>
        <v>0</v>
      </c>
      <c r="N178" s="197">
        <f>+GETPIVOTDATA(" New-Veterinary Medicine",'Pivot Table for 1-11'!$A$3,"State","OK","SREB Type",4,"SREB Type2","Four-Year")</f>
        <v>0</v>
      </c>
      <c r="O178" s="198">
        <f>+GETPIVOTDATA(" New-Oth PP",'Pivot Table for 1-11'!$A$3,"State","OK","SREB Type",4,"SREB Type2","Four-Year")</f>
        <v>0</v>
      </c>
      <c r="P178" s="199">
        <f t="shared" si="5"/>
        <v>0</v>
      </c>
      <c r="Q178" s="197"/>
    </row>
    <row r="179" spans="1:17" ht="15" customHeight="1">
      <c r="A179" s="196" t="s">
        <v>32</v>
      </c>
      <c r="B179" s="197">
        <f>+GETPIVOTDATA(" New-Less Than 2-Year",'Pivot Table for 1-11'!$A$3,"State","SC","SREB Type",4,"SREB Type2","Four-Year")+GETPIVOTDATA(" New-2 But Less Than 4-Year",'Pivot Table for 1-11'!$A$3,"State","SC","SREB Type",4,"SREB Type2","Four-Year")</f>
        <v>0</v>
      </c>
      <c r="C179" s="197">
        <f>+GETPIVOTDATA(" New-Associate's",'Pivot Table for 1-11'!$A$3,"State","SC","SREB Type",4,"SREB Type2","Four-Year")</f>
        <v>0</v>
      </c>
      <c r="D179" s="197">
        <f>+GETPIVOTDATA(" New-Bachelor's",'Pivot Table for 1-11'!$A$3,"State","SC","SREB Type",4,"SREB Type2","Four-Year")</f>
        <v>1986</v>
      </c>
      <c r="E179" s="197">
        <f>+GETPIVOTDATA(" New-Post-Bachelor's",'Pivot Table for 1-11'!$A$3,"State","SC","SREB Type",4,"SREB Type2","Four-Year")</f>
        <v>1</v>
      </c>
      <c r="F179" s="197">
        <f>+GETPIVOTDATA(" New-Total Master's#",'Pivot Table for 1-11'!$A$3,"State","SC","SREB Type",4,"SREB Type2","Four-Year")</f>
        <v>289</v>
      </c>
      <c r="G179" s="197">
        <f>+GETPIVOTDATA(" New-Total Doctorates#",'Pivot Table for 1-11'!$A$3,"State","SC","SREB Type",4,"SREB Type2","Four-Year")</f>
        <v>1</v>
      </c>
      <c r="H179" s="230">
        <f>+GETPIVOTDATA(" New-Law",'Pivot Table for 1-11'!$A$3,"State","SC","SREB Type",4,"SREB Type2","Four-Year")</f>
        <v>0</v>
      </c>
      <c r="I179" s="197">
        <f>+GETPIVOTDATA(" New-Medicine",'Pivot Table for 1-11'!$A$3,"State","SC","SREB Type",4,"SREB Type2","Four-Year")</f>
        <v>0</v>
      </c>
      <c r="J179" s="197">
        <f>+GETPIVOTDATA(" New-Dentistry",'Pivot Table for 1-11'!$A$3,"State","SC","SREB Type",4,"SREB Type2","Four-Year")</f>
        <v>0</v>
      </c>
      <c r="K179" s="197">
        <f>+GETPIVOTDATA(" New-Pharmacy",'Pivot Table for 1-11'!$A$3,"State","SC","SREB Type",4,"SREB Type2","Four-Year")</f>
        <v>0</v>
      </c>
      <c r="L179" s="197">
        <f>+GETPIVOTDATA(" New-Optometry",'Pivot Table for 1-11'!$A$3,"State","SC","SREB Type",4,"SREB Type2","Four-Year")</f>
        <v>0</v>
      </c>
      <c r="M179" s="197">
        <f>+GETPIVOTDATA(" New-Osteopathic Medicine",'Pivot Table for 1-11'!$A$3,"State","SC","SREB Type",4,"SREB Type2","Four-Year")</f>
        <v>0</v>
      </c>
      <c r="N179" s="197">
        <f>+GETPIVOTDATA(" New-Veterinary Medicine",'Pivot Table for 1-11'!$A$3,"State","SC","SREB Type",4,"SREB Type2","Four-Year")</f>
        <v>0</v>
      </c>
      <c r="O179" s="198">
        <f>+GETPIVOTDATA(" New-Oth PP",'Pivot Table for 1-11'!$A$3,"State","SC","SREB Type",4,"SREB Type2","Four-Year")</f>
        <v>0</v>
      </c>
      <c r="P179" s="199">
        <f t="shared" si="5"/>
        <v>2277</v>
      </c>
      <c r="Q179" s="197"/>
    </row>
    <row r="180" spans="1:17" ht="15" customHeight="1">
      <c r="A180" s="196"/>
      <c r="B180" s="197"/>
      <c r="C180" s="197"/>
      <c r="D180" s="197"/>
      <c r="E180" s="197"/>
      <c r="F180" s="197"/>
      <c r="G180" s="197"/>
      <c r="H180" s="230"/>
      <c r="I180" s="197"/>
      <c r="J180" s="197"/>
      <c r="K180" s="197"/>
      <c r="L180" s="197"/>
      <c r="M180" s="197"/>
      <c r="N180" s="197"/>
      <c r="O180" s="198"/>
      <c r="P180" s="199"/>
      <c r="Q180" s="197"/>
    </row>
    <row r="181" spans="1:17" ht="15" customHeight="1">
      <c r="A181" s="196" t="s">
        <v>33</v>
      </c>
      <c r="B181" s="197">
        <f>+GETPIVOTDATA(" New-Less Than 2-Year",'Pivot Table for 1-11'!$A$3,"State","TN","SREB Type",4,"SREB Type2","Four-Year")+GETPIVOTDATA(" New-2 But Less Than 4-Year",'Pivot Table for 1-11'!$A$3,"State","TN","SREB Type",4,"SREB Type2","Four-Year")</f>
        <v>0</v>
      </c>
      <c r="C181" s="197">
        <f>+GETPIVOTDATA(" New-Associate's",'Pivot Table for 1-11'!$A$3,"State","TN","SREB Type",4,"SREB Type2","Four-Year")</f>
        <v>0</v>
      </c>
      <c r="D181" s="197">
        <f>+GETPIVOTDATA(" New-Bachelor's",'Pivot Table for 1-11'!$A$3,"State","TN","SREB Type",4,"SREB Type2","Four-Year")</f>
        <v>1096</v>
      </c>
      <c r="E181" s="197">
        <f>+GETPIVOTDATA(" New-Post-Bachelor's",'Pivot Table for 1-11'!$A$3,"State","TN","SREB Type",4,"SREB Type2","Four-Year")</f>
        <v>0</v>
      </c>
      <c r="F181" s="197">
        <f>+GETPIVOTDATA(" New-Total Master's#",'Pivot Table for 1-11'!$A$3,"State","TN","SREB Type",4,"SREB Type2","Four-Year")</f>
        <v>116</v>
      </c>
      <c r="G181" s="197">
        <f>+GETPIVOTDATA(" New-Total Doctorates#",'Pivot Table for 1-11'!$A$3,"State","TN","SREB Type",4,"SREB Type2","Four-Year")</f>
        <v>0</v>
      </c>
      <c r="H181" s="230">
        <f>+GETPIVOTDATA(" New-Law",'Pivot Table for 1-11'!$A$3,"State","TN","SREB Type",4,"SREB Type2","Four-Year")</f>
        <v>0</v>
      </c>
      <c r="I181" s="197">
        <f>+GETPIVOTDATA(" New-Medicine",'Pivot Table for 1-11'!$A$3,"State","TN","SREB Type",4,"SREB Type2","Four-Year")</f>
        <v>0</v>
      </c>
      <c r="J181" s="197">
        <f>+GETPIVOTDATA(" New-Dentistry",'Pivot Table for 1-11'!$A$3,"State","TN","SREB Type",4,"SREB Type2","Four-Year")</f>
        <v>0</v>
      </c>
      <c r="K181" s="197">
        <f>+GETPIVOTDATA(" New-Pharmacy",'Pivot Table for 1-11'!$A$3,"State","TN","SREB Type",4,"SREB Type2","Four-Year")</f>
        <v>0</v>
      </c>
      <c r="L181" s="197">
        <f>+GETPIVOTDATA(" New-Optometry",'Pivot Table for 1-11'!$A$3,"State","TN","SREB Type",4,"SREB Type2","Four-Year")</f>
        <v>0</v>
      </c>
      <c r="M181" s="197">
        <f>+GETPIVOTDATA(" New-Osteopathic Medicine",'Pivot Table for 1-11'!$A$3,"State","TN","SREB Type",4,"SREB Type2","Four-Year")</f>
        <v>0</v>
      </c>
      <c r="N181" s="197">
        <f>+GETPIVOTDATA(" New-Veterinary Medicine",'Pivot Table for 1-11'!$A$3,"State","TN","SREB Type",4,"SREB Type2","Four-Year")</f>
        <v>0</v>
      </c>
      <c r="O181" s="198"/>
      <c r="P181" s="199">
        <f t="shared" si="5"/>
        <v>1212</v>
      </c>
      <c r="Q181" s="197"/>
    </row>
    <row r="182" spans="1:17" ht="15" customHeight="1">
      <c r="A182" s="196" t="s">
        <v>34</v>
      </c>
      <c r="B182" s="197">
        <f>+GETPIVOTDATA(" New-Less Than 2-Year",'Pivot Table for 1-11'!$A$3,"State","TX","SREB Type",4,"SREB Type2","Four-Year")+GETPIVOTDATA(" New-2 But Less Than 4-Year",'Pivot Table for 1-11'!$A$3,"State","TX","SREB Type",4,"SREB Type2","Four-Year")</f>
        <v>0</v>
      </c>
      <c r="C182" s="197">
        <f>+GETPIVOTDATA(" New-Associate's",'Pivot Table for 1-11'!$A$3,"State","TX","SREB Type",4,"SREB Type2","Four-Year")</f>
        <v>0</v>
      </c>
      <c r="D182" s="197">
        <f>+GETPIVOTDATA(" New-Bachelor's",'Pivot Table for 1-11'!$A$3,"State","TX","SREB Type",4,"SREB Type2","Four-Year")</f>
        <v>0</v>
      </c>
      <c r="E182" s="197">
        <f>+GETPIVOTDATA(" New-Post-Bachelor's",'Pivot Table for 1-11'!$A$3,"State","TX","SREB Type",4,"SREB Type2","Four-Year")</f>
        <v>0</v>
      </c>
      <c r="F182" s="197">
        <f>+GETPIVOTDATA(" New-Total Master's#",'Pivot Table for 1-11'!$A$3,"State","TX","SREB Type",4,"SREB Type2","Four-Year")</f>
        <v>1465</v>
      </c>
      <c r="G182" s="197">
        <f>+GETPIVOTDATA(" New-Total Doctorates#",'Pivot Table for 1-11'!$A$3,"State","TX","SREB Type",4,"SREB Type2","Four-Year")</f>
        <v>7</v>
      </c>
      <c r="H182" s="230">
        <f>+GETPIVOTDATA(" New-Law",'Pivot Table for 1-11'!$A$3,"State","TX","SREB Type",4,"SREB Type2","Four-Year")</f>
        <v>88</v>
      </c>
      <c r="I182" s="197">
        <f>+GETPIVOTDATA(" New-Medicine",'Pivot Table for 1-11'!$A$3,"State","TX","SREB Type",4,"SREB Type2","Four-Year")</f>
        <v>0</v>
      </c>
      <c r="J182" s="197">
        <f>+GETPIVOTDATA(" New-Dentistry",'Pivot Table for 1-11'!$A$3,"State","TX","SREB Type",4,"SREB Type2","Four-Year")</f>
        <v>0</v>
      </c>
      <c r="K182" s="197">
        <f>+GETPIVOTDATA(" New-Pharmacy",'Pivot Table for 1-11'!$A$3,"State","TX","SREB Type",4,"SREB Type2","Four-Year")</f>
        <v>0</v>
      </c>
      <c r="L182" s="197">
        <f>+GETPIVOTDATA(" New-Optometry",'Pivot Table for 1-11'!$A$3,"State","TX","SREB Type",4,"SREB Type2","Four-Year")</f>
        <v>0</v>
      </c>
      <c r="M182" s="197">
        <f>+GETPIVOTDATA(" New-Osteopathic Medicine",'Pivot Table for 1-11'!$A$3,"State","TX","SREB Type",4,"SREB Type2","Four-Year")</f>
        <v>0</v>
      </c>
      <c r="N182" s="197">
        <f>+GETPIVOTDATA(" New-Veterinary Medicine",'Pivot Table for 1-11'!$A$3,"State","TX","SREB Type",4,"SREB Type2","Four-Year")</f>
        <v>0</v>
      </c>
      <c r="O182" s="198"/>
      <c r="P182" s="199">
        <f t="shared" si="5"/>
        <v>1560</v>
      </c>
      <c r="Q182" s="197"/>
    </row>
    <row r="183" spans="1:17" ht="15" customHeight="1">
      <c r="A183" s="196" t="s">
        <v>35</v>
      </c>
      <c r="B183" s="197">
        <f>+GETPIVOTDATA(" New-Less Than 2-Year",'Pivot Table for 1-11'!$A$3,"State","VA","SREB Type",4,"SREB Type2","Four-Year")+GETPIVOTDATA(" New-2 But Less Than 4-Year",'Pivot Table for 1-11'!$A$3,"State","VA","SREB Type",4,"SREB Type2","Four-Year")</f>
        <v>0</v>
      </c>
      <c r="C183" s="197">
        <f>+GETPIVOTDATA(" New-Associate's",'Pivot Table for 1-11'!$A$3,"State","VA","SREB Type",4,"SREB Type2","Four-Year")</f>
        <v>1</v>
      </c>
      <c r="D183" s="197">
        <f>+GETPIVOTDATA(" New-Bachelor's",'Pivot Table for 1-11'!$A$3,"State","VA","SREB Type",4,"SREB Type2","Four-Year")</f>
        <v>710</v>
      </c>
      <c r="E183" s="197">
        <f>+GETPIVOTDATA(" New-Post-Bachelor's",'Pivot Table for 1-11'!$A$3,"State","VA","SREB Type",4,"SREB Type2","Four-Year")</f>
        <v>0</v>
      </c>
      <c r="F183" s="197">
        <f>+GETPIVOTDATA(" New-Total Master's#",'Pivot Table for 1-11'!$A$3,"State","VA","SREB Type",4,"SREB Type2","Four-Year")</f>
        <v>150</v>
      </c>
      <c r="G183" s="197">
        <f>+GETPIVOTDATA(" New-Total Doctorates#",'Pivot Table for 1-11'!$A$3,"State","VA","SREB Type",4,"SREB Type2","Four-Year")</f>
        <v>6</v>
      </c>
      <c r="H183" s="230">
        <f>+GETPIVOTDATA(" New-Law",'Pivot Table for 1-11'!$A$3,"State","VA","SREB Type",4,"SREB Type2","Four-Year")</f>
        <v>0</v>
      </c>
      <c r="I183" s="197">
        <f>+GETPIVOTDATA(" New-Medicine",'Pivot Table for 1-11'!$A$3,"State","VA","SREB Type",4,"SREB Type2","Four-Year")</f>
        <v>0</v>
      </c>
      <c r="J183" s="197">
        <f>+GETPIVOTDATA(" New-Dentistry",'Pivot Table for 1-11'!$A$3,"State","VA","SREB Type",4,"SREB Type2","Four-Year")</f>
        <v>0</v>
      </c>
      <c r="K183" s="197">
        <f>+GETPIVOTDATA(" New-Pharmacy",'Pivot Table for 1-11'!$A$3,"State","VA","SREB Type",4,"SREB Type2","Four-Year")</f>
        <v>0</v>
      </c>
      <c r="L183" s="197">
        <f>+GETPIVOTDATA(" New-Optometry",'Pivot Table for 1-11'!$A$3,"State","VA","SREB Type",4,"SREB Type2","Four-Year")</f>
        <v>0</v>
      </c>
      <c r="M183" s="197">
        <f>+GETPIVOTDATA(" New-Osteopathic Medicine",'Pivot Table for 1-11'!$A$3,"State","VA","SREB Type",4,"SREB Type2","Four-Year")</f>
        <v>0</v>
      </c>
      <c r="N183" s="197">
        <f>+GETPIVOTDATA(" New-Veterinary Medicine",'Pivot Table for 1-11'!$A$3,"State","VA","SREB Type",4,"SREB Type2","Four-Year")</f>
        <v>0</v>
      </c>
      <c r="O183" s="198"/>
      <c r="P183" s="199">
        <f t="shared" si="5"/>
        <v>867</v>
      </c>
      <c r="Q183" s="197"/>
    </row>
    <row r="184" spans="1:17" ht="15" customHeight="1">
      <c r="A184" s="205" t="s">
        <v>36</v>
      </c>
      <c r="B184" s="201">
        <f>+GETPIVOTDATA(" New-Less Than 2-Year",'Pivot Table for 1-11'!$A$3,"State","WV","SREB Type",4,"SREB Type2","Four-Year")+GETPIVOTDATA(" New-2 But Less Than 4-Year",'Pivot Table for 1-11'!$A$3,"State","WV","SREB Type",4,"SREB Type2","Four-Year")</f>
        <v>0</v>
      </c>
      <c r="C184" s="201">
        <f>+GETPIVOTDATA(" New-Associate's",'Pivot Table for 1-11'!$A$3,"State","WV","SREB Type",4,"SREB Type2","Four-Year")</f>
        <v>0</v>
      </c>
      <c r="D184" s="201">
        <f>+GETPIVOTDATA(" New-Bachelor's",'Pivot Table for 1-11'!$A$3,"State","WV","SREB Type",4,"SREB Type2","Four-Year")</f>
        <v>0</v>
      </c>
      <c r="E184" s="201">
        <f>+GETPIVOTDATA(" New-Post-Bachelor's",'Pivot Table for 1-11'!$A$3,"State","WV","SREB Type",4,"SREB Type2","Four-Year")</f>
        <v>0</v>
      </c>
      <c r="F184" s="201">
        <f>+GETPIVOTDATA(" New-Total Master's#",'Pivot Table for 1-11'!$A$3,"State","WV","SREB Type",4,"SREB Type2","Four-Year")</f>
        <v>0</v>
      </c>
      <c r="G184" s="201">
        <f>+GETPIVOTDATA(" New-Total Doctorates#",'Pivot Table for 1-11'!$A$3,"State","WV","SREB Type",4,"SREB Type2","Four-Year")</f>
        <v>0</v>
      </c>
      <c r="H184" s="318">
        <f>+GETPIVOTDATA(" New-Law",'Pivot Table for 1-11'!$A$3,"State","WV","SREB Type",4,"SREB Type2","Four-Year")</f>
        <v>0</v>
      </c>
      <c r="I184" s="201">
        <f>+GETPIVOTDATA(" New-Medicine",'Pivot Table for 1-11'!$A$3,"State","WV","SREB Type",4,"SREB Type2","Four-Year")</f>
        <v>0</v>
      </c>
      <c r="J184" s="201">
        <f>+GETPIVOTDATA(" New-Dentistry",'Pivot Table for 1-11'!$A$3,"State","WV","SREB Type",4,"SREB Type2","Four-Year")</f>
        <v>0</v>
      </c>
      <c r="K184" s="201">
        <f>+GETPIVOTDATA(" New-Pharmacy",'Pivot Table for 1-11'!$A$3,"State","WV","SREB Type",4,"SREB Type2","Four-Year")</f>
        <v>0</v>
      </c>
      <c r="L184" s="201">
        <f>+GETPIVOTDATA(" New-Optometry",'Pivot Table for 1-11'!$A$3,"State","WV","SREB Type",4,"SREB Type2","Four-Year")</f>
        <v>0</v>
      </c>
      <c r="M184" s="201">
        <f>+GETPIVOTDATA(" New-Osteopathic Medicine",'Pivot Table for 1-11'!$A$3,"State","WV","SREB Type",4,"SREB Type2","Four-Year")</f>
        <v>0</v>
      </c>
      <c r="N184" s="201">
        <f>+GETPIVOTDATA(" New-Veterinary Medicine",'Pivot Table for 1-11'!$A$3,"State","WV","SREB Type",4,"SREB Type2","Four-Year")</f>
        <v>0</v>
      </c>
      <c r="O184" s="319"/>
      <c r="P184" s="203">
        <f t="shared" si="5"/>
        <v>0</v>
      </c>
      <c r="Q184" s="197"/>
    </row>
    <row r="185" spans="1:17">
      <c r="A185" s="197"/>
      <c r="B185" s="197"/>
      <c r="C185" s="197"/>
      <c r="D185" s="197"/>
      <c r="E185" s="197"/>
      <c r="F185" s="197"/>
      <c r="G185" s="197"/>
      <c r="H185" s="197"/>
      <c r="I185" s="197"/>
      <c r="J185" s="197"/>
      <c r="K185" s="197"/>
      <c r="L185" s="197"/>
      <c r="M185" s="197"/>
      <c r="N185" s="197"/>
      <c r="O185" s="197"/>
      <c r="P185" s="197"/>
      <c r="Q185" s="197"/>
    </row>
    <row r="186" spans="1:17" ht="27" customHeight="1">
      <c r="A186" s="545" t="s">
        <v>37</v>
      </c>
      <c r="B186" s="546"/>
      <c r="C186" s="546"/>
      <c r="D186" s="546"/>
      <c r="E186" s="546"/>
      <c r="F186" s="546"/>
      <c r="G186" s="546"/>
      <c r="H186" s="546"/>
      <c r="I186" s="546"/>
      <c r="J186" s="546"/>
      <c r="K186" s="546"/>
      <c r="L186" s="546"/>
      <c r="M186" s="546"/>
      <c r="N186" s="546"/>
      <c r="O186" s="546"/>
      <c r="P186" s="546"/>
      <c r="Q186" s="263"/>
    </row>
    <row r="187" spans="1:17">
      <c r="B187" s="197"/>
      <c r="C187" s="197"/>
      <c r="D187" s="197"/>
      <c r="E187" s="197"/>
      <c r="F187" s="197"/>
      <c r="G187" s="197"/>
      <c r="H187" s="197"/>
      <c r="I187" s="197"/>
      <c r="J187" s="197"/>
      <c r="K187" s="197"/>
      <c r="L187" s="197"/>
      <c r="M187" s="197"/>
      <c r="N187" s="197"/>
      <c r="O187" s="197"/>
      <c r="P187" s="204" t="s">
        <v>1178</v>
      </c>
      <c r="Q187" s="204"/>
    </row>
    <row r="188" spans="1:17" ht="18">
      <c r="A188" s="186" t="s">
        <v>52</v>
      </c>
      <c r="B188" s="187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  <c r="Q188" s="187" t="s">
        <v>1</v>
      </c>
    </row>
    <row r="189" spans="1:17" ht="15.75" customHeight="1">
      <c r="A189" s="188"/>
      <c r="B189" s="188"/>
      <c r="C189" s="188"/>
      <c r="D189" s="188"/>
      <c r="E189" s="188"/>
      <c r="F189" s="188"/>
      <c r="G189" s="188"/>
      <c r="H189" s="188"/>
      <c r="I189" s="188"/>
      <c r="J189" s="188"/>
      <c r="K189" s="188"/>
      <c r="L189" s="188"/>
      <c r="M189" s="188"/>
      <c r="N189" s="188"/>
      <c r="O189" s="188"/>
      <c r="P189" s="188"/>
      <c r="Q189" s="188"/>
    </row>
    <row r="190" spans="1:17" ht="15.5">
      <c r="A190" s="187" t="s">
        <v>2</v>
      </c>
      <c r="B190" s="187"/>
      <c r="C190" s="187"/>
      <c r="D190" s="187"/>
      <c r="E190" s="187"/>
      <c r="F190" s="187"/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  <c r="Q190" s="187" t="s">
        <v>1</v>
      </c>
    </row>
    <row r="191" spans="1:17" ht="15.5">
      <c r="A191" s="187" t="s">
        <v>1185</v>
      </c>
      <c r="B191" s="187"/>
      <c r="C191" s="187"/>
      <c r="D191" s="187"/>
      <c r="E191" s="187"/>
      <c r="F191" s="187"/>
      <c r="G191" s="187"/>
      <c r="H191" s="187"/>
      <c r="I191" s="187"/>
      <c r="J191" s="187"/>
      <c r="K191" s="187"/>
      <c r="L191" s="187"/>
      <c r="M191" s="187"/>
      <c r="N191" s="187"/>
      <c r="O191" s="187"/>
      <c r="P191" s="187"/>
      <c r="Q191" s="187" t="s">
        <v>1</v>
      </c>
    </row>
    <row r="192" spans="1:17" ht="15.5">
      <c r="A192" s="189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  <c r="Q192" s="189"/>
    </row>
    <row r="193" spans="1:24" ht="15.5">
      <c r="A193" s="190"/>
      <c r="B193" s="190"/>
      <c r="C193" s="190"/>
      <c r="D193" s="190"/>
      <c r="E193" s="190"/>
      <c r="F193" s="190"/>
      <c r="G193" s="190"/>
      <c r="H193" s="225" t="s">
        <v>4</v>
      </c>
      <c r="I193" s="256"/>
      <c r="J193" s="256"/>
      <c r="K193" s="256"/>
      <c r="L193" s="256"/>
      <c r="M193" s="256"/>
      <c r="N193" s="256"/>
      <c r="O193" s="226"/>
      <c r="P193" s="192" t="s">
        <v>1</v>
      </c>
      <c r="Q193" s="189"/>
      <c r="R193" s="112"/>
      <c r="S193" s="112"/>
      <c r="X193" s="112"/>
    </row>
    <row r="194" spans="1:24" ht="50.25" customHeight="1">
      <c r="A194" s="193"/>
      <c r="B194" s="194" t="s">
        <v>5</v>
      </c>
      <c r="C194" s="194" t="s">
        <v>6</v>
      </c>
      <c r="D194" s="194" t="s">
        <v>7</v>
      </c>
      <c r="E194" s="194" t="s">
        <v>8</v>
      </c>
      <c r="F194" s="194" t="s">
        <v>9</v>
      </c>
      <c r="G194" s="194" t="s">
        <v>10</v>
      </c>
      <c r="H194" s="317" t="s">
        <v>11</v>
      </c>
      <c r="I194" s="194" t="s">
        <v>12</v>
      </c>
      <c r="J194" s="194" t="s">
        <v>13</v>
      </c>
      <c r="K194" s="194" t="s">
        <v>14</v>
      </c>
      <c r="L194" s="194" t="s">
        <v>15</v>
      </c>
      <c r="M194" s="194" t="s">
        <v>16</v>
      </c>
      <c r="N194" s="194" t="s">
        <v>17</v>
      </c>
      <c r="O194" s="228" t="s">
        <v>51</v>
      </c>
      <c r="P194" s="194" t="s">
        <v>19</v>
      </c>
      <c r="Q194" s="245"/>
    </row>
    <row r="195" spans="1:24" ht="15" customHeight="1">
      <c r="A195" s="161" t="s">
        <v>20</v>
      </c>
      <c r="B195" s="197">
        <f>+GETPIVOTDATA(" New-Less Than 2-Year",'Pivot Table for 1-11'!$A$3,"SREB Type",5,"SREB Type2","Four-Year")+GETPIVOTDATA(" New-2 But Less Than 4-Year",'Pivot Table for 1-11'!$A$3,"SREB Type",5,"SREB Type2","Four-Year")</f>
        <v>66</v>
      </c>
      <c r="C195" s="197">
        <f>+GETPIVOTDATA(" New-Associate's",'Pivot Table for 1-11'!$A$3,"SREB Type",5,"SREB Type2","Four-Year")</f>
        <v>519</v>
      </c>
      <c r="D195" s="197">
        <f>+GETPIVOTDATA(" New-Bachelor's",'Pivot Table for 1-11'!$A$3,"SREB Type",5,"SREB Type2","Four-Year")</f>
        <v>8441</v>
      </c>
      <c r="E195" s="197">
        <f>+GETPIVOTDATA(" New-Post-Bachelor's",'Pivot Table for 1-11'!$A$3,"SREB Type",5,"SREB Type2","Four-Year")</f>
        <v>12</v>
      </c>
      <c r="F195" s="197">
        <f>+GETPIVOTDATA(" New-Total Master's#",'Pivot Table for 1-11'!$A$3,"SREB Type",5,"SREB Type2","Four-Year")</f>
        <v>2054</v>
      </c>
      <c r="G195" s="197">
        <f>+GETPIVOTDATA(" New-Total Doctorates#",'Pivot Table for 1-11'!$A$3,"SREB Type",5,"SREB Type2","Four-Year")</f>
        <v>17</v>
      </c>
      <c r="H195" s="230">
        <f>+GETPIVOTDATA(" New-Law",'Pivot Table for 1-11'!$A$3,"SREB Type",5,"SREB Type2","Four-Year")</f>
        <v>0</v>
      </c>
      <c r="I195" s="197">
        <f>+GETPIVOTDATA(" New-Medicine",'Pivot Table for 1-11'!$A$3,"SREB Type",5,"SREB Type2","Four-Year")</f>
        <v>0</v>
      </c>
      <c r="J195" s="197">
        <f>+GETPIVOTDATA(" New-Dentistry",'Pivot Table for 1-11'!$A$3,"SREB Type",5,"SREB Type2","Four-Year")</f>
        <v>0</v>
      </c>
      <c r="K195" s="197">
        <f>+GETPIVOTDATA(" New-Pharmacy",'Pivot Table for 1-11'!$A$3,"SREB Type",5,"SREB Type2","Four-Year")</f>
        <v>0</v>
      </c>
      <c r="L195" s="197">
        <f>+GETPIVOTDATA(" New-Optometry",'Pivot Table for 1-11'!$A$3,"SREB Type",5,"SREB Type2","Four-Year")</f>
        <v>0</v>
      </c>
      <c r="M195" s="197">
        <f>+GETPIVOTDATA(" New-Osteopathic Medicine",'Pivot Table for 1-11'!$A$3,"SREB Type",5,"SREB Type2","Four-Year")</f>
        <v>0</v>
      </c>
      <c r="N195" s="197">
        <f>+GETPIVOTDATA(" New-Veterinary Medicine",'Pivot Table for 1-11'!$A$3,"SREB Type",5,"SREB Type2","Four-Year")</f>
        <v>0</v>
      </c>
      <c r="O195" s="198">
        <f>+GETPIVOTDATA(" New-Oth PP",'Pivot Table for 1-11'!$A$3,"SREB Type",5,"SREB Type2","Four-Year")</f>
        <v>69</v>
      </c>
      <c r="P195" s="199">
        <f>SUM(B195:O195)</f>
        <v>11178</v>
      </c>
      <c r="Q195" s="197"/>
    </row>
    <row r="196" spans="1:24" ht="15" customHeight="1">
      <c r="A196" s="161"/>
      <c r="B196" s="197"/>
      <c r="C196" s="197"/>
      <c r="D196" s="197"/>
      <c r="E196" s="197"/>
      <c r="F196" s="197"/>
      <c r="G196" s="197"/>
      <c r="H196" s="230"/>
      <c r="I196" s="197"/>
      <c r="J196" s="197"/>
      <c r="K196" s="197"/>
      <c r="L196" s="197"/>
      <c r="M196" s="197"/>
      <c r="N196" s="197"/>
      <c r="O196" s="198"/>
      <c r="P196" s="199"/>
      <c r="Q196" s="197"/>
    </row>
    <row r="197" spans="1:24" ht="15" customHeight="1">
      <c r="A197" s="196" t="s">
        <v>21</v>
      </c>
      <c r="B197" s="197">
        <f>GETPIVOTDATA(" New-Less Than 2-Year",'Pivot Table for 1-11'!$A$3,"State","AL","SREB Type",5,"SREB Type2","Four-Year")+GETPIVOTDATA(" New-2 But Less Than 4-Year",'Pivot Table for 1-11'!$A$3,"State","AL","SREB Type",5,"SREB Type2","Four-Year")</f>
        <v>0</v>
      </c>
      <c r="C197" s="197">
        <f>+GETPIVOTDATA(" New-Associate's",'Pivot Table for 1-11'!$A$3,"State","AL","SREB Type",5,"SREB Type2","Four-Year")</f>
        <v>0</v>
      </c>
      <c r="D197" s="197">
        <f>+GETPIVOTDATA(" New-Bachelor's",'Pivot Table for 1-11'!$A$3,"State","AL","SREB Type",5,"SREB Type2","Four-Year")</f>
        <v>451</v>
      </c>
      <c r="E197" s="197">
        <f>+GETPIVOTDATA(" New-Post-Bachelor's",'Pivot Table for 1-11'!$A$3,"State","AL","SREB Type",5,"SREB Type2","Four-Year")</f>
        <v>0</v>
      </c>
      <c r="F197" s="197">
        <f>+GETPIVOTDATA(" New-Total Master's#",'Pivot Table for 1-11'!$A$3,"State","AL","SREB Type",5,"SREB Type2","Four-Year")</f>
        <v>128</v>
      </c>
      <c r="G197" s="197">
        <f>+GETPIVOTDATA(" New-Total Doctorates#",'Pivot Table for 1-11'!$A$3,"State","AL","SREB Type",5,"SREB Type2","Four-Year")</f>
        <v>0</v>
      </c>
      <c r="H197" s="230">
        <f>+GETPIVOTDATA(" New-Law",'Pivot Table for 1-11'!$A$3,"State","AL","SREB Type",5,"SREB Type2","Four-Year")</f>
        <v>0</v>
      </c>
      <c r="I197" s="197">
        <f>+GETPIVOTDATA(" New-Medicine",'Pivot Table for 1-11'!$A$3,"State","AL","SREB Type",5,"SREB Type2","Four-Year")</f>
        <v>0</v>
      </c>
      <c r="J197" s="197">
        <f>+GETPIVOTDATA(" New-Dentistry",'Pivot Table for 1-11'!$A$3,"State","AL","SREB Type",5,"SREB Type2","Four-Year")</f>
        <v>0</v>
      </c>
      <c r="K197" s="197">
        <f>+GETPIVOTDATA(" New-Pharmacy",'Pivot Table for 1-11'!$A$3,"State","AL","SREB Type",5,"SREB Type2","Four-Year")</f>
        <v>0</v>
      </c>
      <c r="L197" s="197">
        <f>+GETPIVOTDATA(" New-Optometry",'Pivot Table for 1-11'!$A$3,"State","AL","SREB Type",5,"SREB Type2","Four-Year")</f>
        <v>0</v>
      </c>
      <c r="M197" s="197">
        <f>+GETPIVOTDATA(" New-Osteopathic Medicine",'Pivot Table for 1-11'!$A$3,"State","AL","SREB Type",5,"SREB Type2","Four-Year")</f>
        <v>0</v>
      </c>
      <c r="N197" s="197">
        <f>+GETPIVOTDATA(" New-Veterinary Medicine",'Pivot Table for 1-11'!$A$3,"State","AL","SREB Type",5,"SREB Type2","Four-Year")</f>
        <v>0</v>
      </c>
      <c r="O197" s="198">
        <f>+GETPIVOTDATA(" New-Oth PP",'Pivot Table for 1-11'!$A$3,"State","AL","SREB Type",5,"SREB Type2","Four-Year")</f>
        <v>0</v>
      </c>
      <c r="P197" s="199">
        <f t="shared" ref="P197:P215" si="6">SUM(B197:O197)</f>
        <v>579</v>
      </c>
      <c r="Q197" s="197"/>
    </row>
    <row r="198" spans="1:24" ht="15" customHeight="1">
      <c r="A198" s="196" t="s">
        <v>22</v>
      </c>
      <c r="B198" s="197">
        <f>+GETPIVOTDATA(" New-Less Than 2-Year",'Pivot Table for 1-11'!$A$3,"State","AR","SREB Type",5,"SREB Type2","Four-Year")+GETPIVOTDATA(" New-2 But Less Than 4-Year",'Pivot Table for 1-11'!$A$3,"State","AR","SREB Type",5,"SREB Type2","Four-Year")</f>
        <v>0</v>
      </c>
      <c r="C198" s="197">
        <f>+GETPIVOTDATA(" New-Associate's",'Pivot Table for 1-11'!$A$3,"State","AR","SREB Type",5,"SREB Type2","Four-Year")</f>
        <v>0</v>
      </c>
      <c r="D198" s="197">
        <f>+GETPIVOTDATA(" New-Bachelor's",'Pivot Table for 1-11'!$A$3,"State","AR","SREB Type",5,"SREB Type2","Four-Year")</f>
        <v>0</v>
      </c>
      <c r="E198" s="197">
        <f>+GETPIVOTDATA(" New-Post-Bachelor's",'Pivot Table for 1-11'!$A$3,"State","AR","SREB Type",5,"SREB Type2","Four-Year")</f>
        <v>0</v>
      </c>
      <c r="F198" s="197">
        <f>+GETPIVOTDATA(" New-Total Master's#",'Pivot Table for 1-11'!$A$3,"State","AR","SREB Type",5,"SREB Type2","Four-Year")</f>
        <v>0</v>
      </c>
      <c r="G198" s="197">
        <f>+GETPIVOTDATA(" New-Total Doctorates#",'Pivot Table for 1-11'!$A$3,"State","AR","SREB Type",5,"SREB Type2","Four-Year")</f>
        <v>0</v>
      </c>
      <c r="H198" s="230">
        <f>+GETPIVOTDATA(" New-Law",'Pivot Table for 1-11'!$A$3,"State","AR","SREB Type",5,"SREB Type2","Four-Year")</f>
        <v>0</v>
      </c>
      <c r="I198" s="197">
        <f>+GETPIVOTDATA(" New-Medicine",'Pivot Table for 1-11'!$A$3,"State","AR","SREB Type",5,"SREB Type2","Four-Year")</f>
        <v>0</v>
      </c>
      <c r="J198" s="197">
        <f>+GETPIVOTDATA(" New-Dentistry",'Pivot Table for 1-11'!$A$3,"State","AR","SREB Type",5,"SREB Type2","Four-Year")</f>
        <v>0</v>
      </c>
      <c r="K198" s="197">
        <f>+GETPIVOTDATA(" New-Pharmacy",'Pivot Table for 1-11'!$A$3,"State","AR","SREB Type",5,"SREB Type2","Four-Year")</f>
        <v>0</v>
      </c>
      <c r="L198" s="197">
        <f>+GETPIVOTDATA(" New-Optometry",'Pivot Table for 1-11'!$A$3,"State","AR","SREB Type",5,"SREB Type2","Four-Year")</f>
        <v>0</v>
      </c>
      <c r="M198" s="197">
        <f>+GETPIVOTDATA(" New-Osteopathic Medicine",'Pivot Table for 1-11'!$A$3,"State","AR","SREB Type",5,"SREB Type2","Four-Year")</f>
        <v>0</v>
      </c>
      <c r="N198" s="197">
        <f>+GETPIVOTDATA(" New-Veterinary Medicine",'Pivot Table for 1-11'!$A$3,"State","AR","SREB Type",5,"SREB Type2","Four-Year")</f>
        <v>0</v>
      </c>
      <c r="O198" s="198">
        <f>+GETPIVOTDATA(" New-Oth PP",'Pivot Table for 1-11'!$A$3,"State","AR","SREB Type",5,"SREB Type2","Four-Year")</f>
        <v>0</v>
      </c>
      <c r="P198" s="199">
        <f t="shared" si="6"/>
        <v>0</v>
      </c>
      <c r="Q198" s="197"/>
    </row>
    <row r="199" spans="1:24" ht="15" customHeight="1">
      <c r="A199" s="196" t="s">
        <v>23</v>
      </c>
      <c r="B199" s="197">
        <f>+GETPIVOTDATA(" New-Less Than 2-Year",'Pivot Table for 1-11'!$A$3,"State","DE","SREB Type",5,"SREB Type2","Four-Year")+GETPIVOTDATA(" New-2 But Less Than 4-Year",'Pivot Table for 1-11'!$A$3,"State","DE","SREB Type",5,"SREB Type2","Four-Year")</f>
        <v>0</v>
      </c>
      <c r="C199" s="197">
        <f>+GETPIVOTDATA(" New-Associate's",'Pivot Table for 1-11'!$A$3,"State","DE","SREB Type",5,"SREB Type2","Four-Year")</f>
        <v>0</v>
      </c>
      <c r="D199" s="197">
        <f>+GETPIVOTDATA(" New-Bachelor's",'Pivot Table for 1-11'!$A$3,"State","DE","SREB Type",5,"SREB Type2","Four-Year")</f>
        <v>0</v>
      </c>
      <c r="E199" s="197">
        <f>+GETPIVOTDATA(" New-Post-Bachelor's",'Pivot Table for 1-11'!$A$3,"State","DE","SREB Type",5,"SREB Type2","Four-Year")</f>
        <v>0</v>
      </c>
      <c r="F199" s="197">
        <f>+GETPIVOTDATA(" New-Total Master's#",'Pivot Table for 1-11'!$A$3,"State","DE","SREB Type",5,"SREB Type2","Four-Year")</f>
        <v>0</v>
      </c>
      <c r="G199" s="197">
        <f>+GETPIVOTDATA(" New-Total Doctorates#",'Pivot Table for 1-11'!$A$3,"State","DE","SREB Type",5,"SREB Type2","Four-Year")</f>
        <v>0</v>
      </c>
      <c r="H199" s="230">
        <f>+GETPIVOTDATA(" New-Law",'Pivot Table for 1-11'!$A$3,"State","DE","SREB Type",5,"SREB Type2","Four-Year")</f>
        <v>0</v>
      </c>
      <c r="I199" s="197">
        <f>+GETPIVOTDATA(" New-Medicine",'Pivot Table for 1-11'!$A$3,"State","DE","SREB Type",5,"SREB Type2","Four-Year")</f>
        <v>0</v>
      </c>
      <c r="J199" s="197">
        <f>+GETPIVOTDATA(" New-Dentistry",'Pivot Table for 1-11'!$A$3,"State","DE","SREB Type",5,"SREB Type2","Four-Year")</f>
        <v>0</v>
      </c>
      <c r="K199" s="197">
        <f>+GETPIVOTDATA(" New-Pharmacy",'Pivot Table for 1-11'!$A$3,"State","DE","SREB Type",5,"SREB Type2","Four-Year")</f>
        <v>0</v>
      </c>
      <c r="L199" s="197">
        <f>+GETPIVOTDATA(" New-Optometry",'Pivot Table for 1-11'!$A$3,"State","DE","SREB Type",5,"SREB Type2","Four-Year")</f>
        <v>0</v>
      </c>
      <c r="M199" s="197">
        <f>+GETPIVOTDATA(" New-Osteopathic Medicine",'Pivot Table for 1-11'!$A$3,"State","DE","SREB Type",5,"SREB Type2","Four-Year")</f>
        <v>0</v>
      </c>
      <c r="N199" s="197">
        <f>+GETPIVOTDATA(" New-Veterinary Medicine",'Pivot Table for 1-11'!$A$3,"State","DE","SREB Type",5,"SREB Type2","Four-Year")</f>
        <v>0</v>
      </c>
      <c r="O199" s="198">
        <f>+GETPIVOTDATA(" New-Oth PP",'Pivot Table for 1-11'!$A$3,"State","DE","SREB Type",5,"SREB Type2","Four-Year")</f>
        <v>0</v>
      </c>
      <c r="P199" s="199">
        <f t="shared" si="6"/>
        <v>0</v>
      </c>
      <c r="Q199" s="197"/>
    </row>
    <row r="200" spans="1:24" ht="15" customHeight="1">
      <c r="A200" s="196" t="s">
        <v>24</v>
      </c>
      <c r="B200" s="197">
        <f>+GETPIVOTDATA(" New-Less Than 2-Year",'Pivot Table for 1-11'!$A$3,"State","FL","SREB Type",5,"SREB Type2","Four-Year")+GETPIVOTDATA(" New-2 But Less Than 4-Year",'Pivot Table for 1-11'!$A$3,"State","FL","SREB Type",5,"SREB Type2","Four-Year")</f>
        <v>0</v>
      </c>
      <c r="C200" s="197">
        <f>+GETPIVOTDATA(" New-Associate's",'Pivot Table for 1-11'!$A$3,"State","FL","SREB Type",5,"SREB Type2","Four-Year")</f>
        <v>0</v>
      </c>
      <c r="D200" s="197">
        <f>+GETPIVOTDATA(" New-Bachelor's",'Pivot Table for 1-11'!$A$3,"State","FL","SREB Type",5,"SREB Type2","Four-Year")</f>
        <v>0</v>
      </c>
      <c r="E200" s="197">
        <f>+GETPIVOTDATA(" New-Post-Bachelor's",'Pivot Table for 1-11'!$A$3,"State","FL","SREB Type",5,"SREB Type2","Four-Year")</f>
        <v>0</v>
      </c>
      <c r="F200" s="197">
        <f>+GETPIVOTDATA(" New-Total Master's#",'Pivot Table for 1-11'!$A$3,"State","FL","SREB Type",5,"SREB Type2","Four-Year")</f>
        <v>0</v>
      </c>
      <c r="G200" s="197">
        <f>+GETPIVOTDATA(" New-Total Doctorates#",'Pivot Table for 1-11'!$A$3,"State","FL","SREB Type",5,"SREB Type2","Four-Year")</f>
        <v>0</v>
      </c>
      <c r="H200" s="230">
        <f>+GETPIVOTDATA(" New-Law",'Pivot Table for 1-11'!$A$3,"State","FL","SREB Type",5,"SREB Type2","Four-Year")</f>
        <v>0</v>
      </c>
      <c r="I200" s="197">
        <f>+GETPIVOTDATA(" New-Medicine",'Pivot Table for 1-11'!$A$3,"State","FL","SREB Type",5,"SREB Type2","Four-Year")</f>
        <v>0</v>
      </c>
      <c r="J200" s="197">
        <f>+GETPIVOTDATA(" New-Dentistry",'Pivot Table for 1-11'!$A$3,"State","FL","SREB Type",5,"SREB Type2","Four-Year")</f>
        <v>0</v>
      </c>
      <c r="K200" s="197">
        <f>+GETPIVOTDATA(" New-Pharmacy",'Pivot Table for 1-11'!$A$3,"State","FL","SREB Type",5,"SREB Type2","Four-Year")</f>
        <v>0</v>
      </c>
      <c r="L200" s="197">
        <f>+GETPIVOTDATA(" New-Optometry",'Pivot Table for 1-11'!$A$3,"State","FL","SREB Type",5,"SREB Type2","Four-Year")</f>
        <v>0</v>
      </c>
      <c r="M200" s="197">
        <f>+GETPIVOTDATA(" New-Osteopathic Medicine",'Pivot Table for 1-11'!$A$3,"State","FL","SREB Type",5,"SREB Type2","Four-Year")</f>
        <v>0</v>
      </c>
      <c r="N200" s="197">
        <f>+GETPIVOTDATA(" New-Veterinary Medicine",'Pivot Table for 1-11'!$A$3,"State","FL","SREB Type",5,"SREB Type2","Four-Year")</f>
        <v>0</v>
      </c>
      <c r="O200" s="198">
        <f>+GETPIVOTDATA(" New-Oth PP",'Pivot Table for 1-11'!$A$3,"State","FL","SREB Type",5,"SREB Type2","Four-Year")</f>
        <v>0</v>
      </c>
      <c r="P200" s="199">
        <f t="shared" si="6"/>
        <v>0</v>
      </c>
      <c r="Q200" s="197"/>
    </row>
    <row r="201" spans="1:24" ht="15" customHeight="1">
      <c r="A201" s="196"/>
      <c r="B201" s="197"/>
      <c r="C201" s="197"/>
      <c r="D201" s="197"/>
      <c r="E201" s="197"/>
      <c r="F201" s="197"/>
      <c r="G201" s="197"/>
      <c r="H201" s="230"/>
      <c r="I201" s="197"/>
      <c r="J201" s="197"/>
      <c r="K201" s="197"/>
      <c r="L201" s="197"/>
      <c r="M201" s="197"/>
      <c r="N201" s="197"/>
      <c r="O201" s="198"/>
      <c r="P201" s="199">
        <f t="shared" si="6"/>
        <v>0</v>
      </c>
      <c r="Q201" s="197"/>
    </row>
    <row r="202" spans="1:24" ht="15" customHeight="1">
      <c r="A202" s="196" t="s">
        <v>25</v>
      </c>
      <c r="B202" s="197">
        <f>+GETPIVOTDATA(" New-Less Than 2-Year",'Pivot Table for 1-11'!$A$3,"State","GA","SREB Type",5,"SREB Type2","Four-Year")+GETPIVOTDATA(" New-2 But Less Than 4-Year",'Pivot Table for 1-11'!$A$3,"State","GA","SREB Type",5,"SREB Type2","Four-Year")</f>
        <v>39</v>
      </c>
      <c r="C202" s="197">
        <f>+GETPIVOTDATA(" New-Associate's",'Pivot Table for 1-11'!$A$3,"State","GA","SREB Type",5,"SREB Type2","Four-Year")</f>
        <v>323</v>
      </c>
      <c r="D202" s="197">
        <f>+GETPIVOTDATA(" New-Bachelor's",'Pivot Table for 1-11'!$A$3,"State","GA","SREB Type",5,"SREB Type2","Four-Year")</f>
        <v>1823</v>
      </c>
      <c r="E202" s="197">
        <f>+GETPIVOTDATA(" New-Post-Bachelor's",'Pivot Table for 1-11'!$A$3,"State","GA","SREB Type",5,"SREB Type2","Four-Year")</f>
        <v>12</v>
      </c>
      <c r="F202" s="197">
        <f>+GETPIVOTDATA(" New-Total Master's#",'Pivot Table for 1-11'!$A$3,"State","GA","SREB Type",5,"SREB Type2","Four-Year")</f>
        <v>279</v>
      </c>
      <c r="G202" s="197">
        <f>+GETPIVOTDATA(" New-Total Doctorates#",'Pivot Table for 1-11'!$A$3,"State","GA","SREB Type",5,"SREB Type2","Four-Year")</f>
        <v>0</v>
      </c>
      <c r="H202" s="230">
        <f>+GETPIVOTDATA(" New-Law",'Pivot Table for 1-11'!$A$3,"State","GA","SREB Type",5,"SREB Type2","Four-Year")</f>
        <v>0</v>
      </c>
      <c r="I202" s="197">
        <f>+GETPIVOTDATA(" New-Medicine",'Pivot Table for 1-11'!$A$3,"State","GA","SREB Type",5,"SREB Type2","Four-Year")</f>
        <v>0</v>
      </c>
      <c r="J202" s="197">
        <f>+GETPIVOTDATA(" New-Dentistry",'Pivot Table for 1-11'!$A$3,"State","GA","SREB Type",5,"SREB Type2","Four-Year")</f>
        <v>0</v>
      </c>
      <c r="K202" s="197">
        <f>+GETPIVOTDATA(" New-Pharmacy",'Pivot Table for 1-11'!$A$3,"State","GA","SREB Type",5,"SREB Type2","Four-Year")</f>
        <v>0</v>
      </c>
      <c r="L202" s="197">
        <f>+GETPIVOTDATA(" New-Optometry",'Pivot Table for 1-11'!$A$3,"State","GA","SREB Type",5,"SREB Type2","Four-Year")</f>
        <v>0</v>
      </c>
      <c r="M202" s="197">
        <f>+GETPIVOTDATA(" New-Osteopathic Medicine",'Pivot Table for 1-11'!$A$3,"State","GA","SREB Type",5,"SREB Type2","Four-Year")</f>
        <v>0</v>
      </c>
      <c r="N202" s="197">
        <f>+GETPIVOTDATA(" New-Veterinary Medicine",'Pivot Table for 1-11'!$A$3,"State","GA","SREB Type",5,"SREB Type2","Four-Year")</f>
        <v>0</v>
      </c>
      <c r="O202" s="198">
        <f>+GETPIVOTDATA(" New-Oth PP",'Pivot Table for 1-11'!$A$3,"State","GA","SREB Type",5,"SREB Type2","Four-Year")</f>
        <v>0</v>
      </c>
      <c r="P202" s="199">
        <f t="shared" si="6"/>
        <v>2476</v>
      </c>
      <c r="Q202" s="197"/>
    </row>
    <row r="203" spans="1:24" ht="15" customHeight="1">
      <c r="A203" s="196" t="s">
        <v>26</v>
      </c>
      <c r="B203" s="197">
        <f>+GETPIVOTDATA(" New-Less Than 2-Year",'Pivot Table for 1-11'!$A$3,"State","KY","SREB Type",5,"SREB Type2","Four-Year")+GETPIVOTDATA(" New-2 But Less Than 4-Year",'Pivot Table for 1-11'!$A$3,"State","KY","SREB Type",5,"SREB Type2","Four-Year")</f>
        <v>0</v>
      </c>
      <c r="C203" s="197">
        <f>+GETPIVOTDATA(" New-Associate's",'Pivot Table for 1-11'!$A$3,"State","KY","SREB Type",5,"SREB Type2","Four-Year")</f>
        <v>0</v>
      </c>
      <c r="D203" s="197">
        <f>+GETPIVOTDATA(" New-Bachelor's",'Pivot Table for 1-11'!$A$3,"State","KY","SREB Type",5,"SREB Type2","Four-Year")</f>
        <v>0</v>
      </c>
      <c r="E203" s="197">
        <f>+GETPIVOTDATA(" New-Post-Bachelor's",'Pivot Table for 1-11'!$A$3,"State","KY","SREB Type",5,"SREB Type2","Four-Year")</f>
        <v>0</v>
      </c>
      <c r="F203" s="197">
        <f>+GETPIVOTDATA(" New-Total Master's#",'Pivot Table for 1-11'!$A$3,"State","KY","SREB Type",5,"SREB Type2","Four-Year")</f>
        <v>0</v>
      </c>
      <c r="G203" s="197">
        <f>+GETPIVOTDATA(" New-Total Doctorates#",'Pivot Table for 1-11'!$A$3,"State","KY","SREB Type",5,"SREB Type2","Four-Year")</f>
        <v>0</v>
      </c>
      <c r="H203" s="230">
        <f>+GETPIVOTDATA(" New-Law",'Pivot Table for 1-11'!$A$3,"State","KY","SREB Type",5,"SREB Type2","Four-Year")</f>
        <v>0</v>
      </c>
      <c r="I203" s="197">
        <f>+GETPIVOTDATA(" New-Medicine",'Pivot Table for 1-11'!$A$3,"State","KY","SREB Type",5,"SREB Type2","Four-Year")</f>
        <v>0</v>
      </c>
      <c r="J203" s="197">
        <f>+GETPIVOTDATA(" New-Dentistry",'Pivot Table for 1-11'!$A$3,"State","KY","SREB Type",5,"SREB Type2","Four-Year")</f>
        <v>0</v>
      </c>
      <c r="K203" s="197">
        <f>+GETPIVOTDATA(" New-Pharmacy",'Pivot Table for 1-11'!$A$3,"State","KY","SREB Type",5,"SREB Type2","Four-Year")</f>
        <v>0</v>
      </c>
      <c r="L203" s="197">
        <f>+GETPIVOTDATA(" New-Optometry",'Pivot Table for 1-11'!$A$3,"State","KY","SREB Type",5,"SREB Type2","Four-Year")</f>
        <v>0</v>
      </c>
      <c r="M203" s="197">
        <f>+GETPIVOTDATA(" New-Osteopathic Medicine",'Pivot Table for 1-11'!$A$3,"State","KY","SREB Type",5,"SREB Type2","Four-Year")</f>
        <v>0</v>
      </c>
      <c r="N203" s="197">
        <f>+GETPIVOTDATA(" New-Veterinary Medicine",'Pivot Table for 1-11'!$A$3,"State","KY","SREB Type",5,"SREB Type2","Four-Year")</f>
        <v>0</v>
      </c>
      <c r="O203" s="198">
        <f>+GETPIVOTDATA(" New-Oth PP",'Pivot Table for 1-11'!$A$3,"State","KY","SREB Type",5,"SREB Type2","Four-Year")</f>
        <v>0</v>
      </c>
      <c r="P203" s="199">
        <f t="shared" si="6"/>
        <v>0</v>
      </c>
      <c r="Q203" s="197"/>
    </row>
    <row r="204" spans="1:24" ht="15" customHeight="1">
      <c r="A204" s="196" t="s">
        <v>27</v>
      </c>
      <c r="B204" s="197">
        <f>+GETPIVOTDATA(" New-Less Than 2-Year",'Pivot Table for 1-11'!$A$3,"State","LA","SREB Type",5,"SREB Type2","Four-Year")+GETPIVOTDATA(" New-2 But Less Than 4-Year",'Pivot Table for 1-11'!$A$3,"State","LA","SREB Type",5,"SREB Type2","Four-Year")</f>
        <v>0</v>
      </c>
      <c r="C204" s="197">
        <f>+GETPIVOTDATA(" New-Associate's",'Pivot Table for 1-11'!$A$3,"State","LA","SREB Type",5,"SREB Type2","Four-Year")</f>
        <v>15</v>
      </c>
      <c r="D204" s="197">
        <f>+GETPIVOTDATA(" New-Bachelor's",'Pivot Table for 1-11'!$A$3,"State","LA","SREB Type",5,"SREB Type2","Four-Year")</f>
        <v>263</v>
      </c>
      <c r="E204" s="197">
        <f>+GETPIVOTDATA(" New-Post-Bachelor's",'Pivot Table for 1-11'!$A$3,"State","LA","SREB Type",5,"SREB Type2","Four-Year")</f>
        <v>0</v>
      </c>
      <c r="F204" s="197">
        <f>+GETPIVOTDATA(" New-Total Master's#",'Pivot Table for 1-11'!$A$3,"State","LA","SREB Type",5,"SREB Type2","Four-Year")</f>
        <v>145</v>
      </c>
      <c r="G204" s="197">
        <f>+GETPIVOTDATA(" New-Total Doctorates#",'Pivot Table for 1-11'!$A$3,"State","LA","SREB Type",5,"SREB Type2","Four-Year")</f>
        <v>0</v>
      </c>
      <c r="H204" s="230">
        <f>+GETPIVOTDATA(" New-Law",'Pivot Table for 1-11'!$A$3,"State","LA","SREB Type",5,"SREB Type2","Four-Year")</f>
        <v>0</v>
      </c>
      <c r="I204" s="197">
        <f>+GETPIVOTDATA(" New-Medicine",'Pivot Table for 1-11'!$A$3,"State","LA","SREB Type",5,"SREB Type2","Four-Year")</f>
        <v>0</v>
      </c>
      <c r="J204" s="197">
        <f>+GETPIVOTDATA(" New-Dentistry",'Pivot Table for 1-11'!$A$3,"State","LA","SREB Type",5,"SREB Type2","Four-Year")</f>
        <v>0</v>
      </c>
      <c r="K204" s="197">
        <f>+GETPIVOTDATA(" New-Pharmacy",'Pivot Table for 1-11'!$A$3,"State","LA","SREB Type",5,"SREB Type2","Four-Year")</f>
        <v>0</v>
      </c>
      <c r="L204" s="197">
        <f>+GETPIVOTDATA(" New-Optometry",'Pivot Table for 1-11'!$A$3,"State","LA","SREB Type",5,"SREB Type2","Four-Year")</f>
        <v>0</v>
      </c>
      <c r="M204" s="197">
        <f>+GETPIVOTDATA(" New-Osteopathic Medicine",'Pivot Table for 1-11'!$A$3,"State","LA","SREB Type",5,"SREB Type2","Four-Year")</f>
        <v>0</v>
      </c>
      <c r="N204" s="197">
        <f>+GETPIVOTDATA(" New-Veterinary Medicine",'Pivot Table for 1-11'!$A$3,"State","LA","SREB Type",5,"SREB Type2","Four-Year")</f>
        <v>0</v>
      </c>
      <c r="O204" s="198">
        <f>+GETPIVOTDATA(" New-Oth PP",'Pivot Table for 1-11'!$A$3,"State","LA","SREB Type",5,"SREB Type2","Four-Year")</f>
        <v>0</v>
      </c>
      <c r="P204" s="199">
        <f t="shared" si="6"/>
        <v>423</v>
      </c>
      <c r="Q204" s="197"/>
    </row>
    <row r="205" spans="1:24" ht="15" customHeight="1">
      <c r="A205" s="196" t="s">
        <v>28</v>
      </c>
      <c r="B205" s="197">
        <f>+GETPIVOTDATA(" New-Less Than 2-Year",'Pivot Table for 1-11'!$A$3,"State","MD","SREB Type",5,"SREB Type2","Four-Year")+GETPIVOTDATA(" New-2 But Less Than 4-Year",'Pivot Table for 1-11'!$A$3,"State","MD","SREB Type",5,"SREB Type2","Four-Year")</f>
        <v>0</v>
      </c>
      <c r="C205" s="197">
        <f>+GETPIVOTDATA(" New-Associate's",'Pivot Table for 1-11'!$A$3,"State","MD","SREB Type",5,"SREB Type2","Four-Year")</f>
        <v>0</v>
      </c>
      <c r="D205" s="197">
        <f>+GETPIVOTDATA(" New-Bachelor's",'Pivot Table for 1-11'!$A$3,"State","MD","SREB Type",5,"SREB Type2","Four-Year")</f>
        <v>0</v>
      </c>
      <c r="E205" s="197">
        <f>+GETPIVOTDATA(" New-Post-Bachelor's",'Pivot Table for 1-11'!$A$3,"State","MD","SREB Type",5,"SREB Type2","Four-Year")</f>
        <v>0</v>
      </c>
      <c r="F205" s="197">
        <f>+GETPIVOTDATA(" New-Total Master's#",'Pivot Table for 1-11'!$A$3,"State","MD","SREB Type",5,"SREB Type2","Four-Year")</f>
        <v>0</v>
      </c>
      <c r="G205" s="197">
        <f>+GETPIVOTDATA(" New-Total Doctorates#",'Pivot Table for 1-11'!$A$3,"State","MD","SREB Type",5,"SREB Type2","Four-Year")</f>
        <v>0</v>
      </c>
      <c r="H205" s="230">
        <f>+GETPIVOTDATA(" New-Law",'Pivot Table for 1-11'!$A$3,"State","MD","SREB Type",5,"SREB Type2","Four-Year")</f>
        <v>0</v>
      </c>
      <c r="I205" s="197">
        <f>+GETPIVOTDATA(" New-Medicine",'Pivot Table for 1-11'!$A$3,"State","MD","SREB Type",5,"SREB Type2","Four-Year")</f>
        <v>0</v>
      </c>
      <c r="J205" s="197">
        <f>+GETPIVOTDATA(" New-Dentistry",'Pivot Table for 1-11'!$A$3,"State","MD","SREB Type",5,"SREB Type2","Four-Year")</f>
        <v>0</v>
      </c>
      <c r="K205" s="197">
        <f>+GETPIVOTDATA(" New-Pharmacy",'Pivot Table for 1-11'!$A$3,"State","MD","SREB Type",5,"SREB Type2","Four-Year")</f>
        <v>0</v>
      </c>
      <c r="L205" s="197">
        <f>+GETPIVOTDATA(" New-Optometry",'Pivot Table for 1-11'!$A$3,"State","MD","SREB Type",5,"SREB Type2","Four-Year")</f>
        <v>0</v>
      </c>
      <c r="M205" s="197">
        <f>+GETPIVOTDATA(" New-Osteopathic Medicine",'Pivot Table for 1-11'!$A$3,"State","MD","SREB Type",5,"SREB Type2","Four-Year")</f>
        <v>0</v>
      </c>
      <c r="N205" s="197">
        <f>+GETPIVOTDATA(" New-Veterinary Medicine",'Pivot Table for 1-11'!$A$3,"State","MD","SREB Type",5,"SREB Type2","Four-Year")</f>
        <v>0</v>
      </c>
      <c r="O205" s="198">
        <f>+GETPIVOTDATA(" New-Oth PP",'Pivot Table for 1-11'!$A$3,"State","MD","SREB Type",5,"SREB Type2","Four-Year")</f>
        <v>0</v>
      </c>
      <c r="P205" s="199">
        <f t="shared" si="6"/>
        <v>0</v>
      </c>
      <c r="Q205" s="197"/>
    </row>
    <row r="206" spans="1:24" ht="15" customHeight="1">
      <c r="A206" s="196"/>
      <c r="B206" s="197"/>
      <c r="C206" s="197"/>
      <c r="D206" s="197"/>
      <c r="E206" s="197"/>
      <c r="F206" s="197"/>
      <c r="G206" s="197"/>
      <c r="H206" s="230"/>
      <c r="I206" s="197"/>
      <c r="J206" s="197"/>
      <c r="K206" s="197"/>
      <c r="L206" s="197"/>
      <c r="M206" s="197"/>
      <c r="N206" s="197"/>
      <c r="O206" s="198"/>
      <c r="P206" s="199">
        <f t="shared" si="6"/>
        <v>0</v>
      </c>
      <c r="Q206" s="197"/>
    </row>
    <row r="207" spans="1:24" ht="15" customHeight="1">
      <c r="A207" s="196" t="s">
        <v>29</v>
      </c>
      <c r="B207" s="197">
        <f>+GETPIVOTDATA(" New-Less Than 2-Year",'Pivot Table for 1-11'!$A$3,"State","MS","SREB Type",5,"SREB Type2","Four-Year")+GETPIVOTDATA(" New-2 But Less Than 4-Year",'Pivot Table for 1-11'!$A$3,"State","MS","SREB Type",5,"SREB Type2","Four-Year")</f>
        <v>0</v>
      </c>
      <c r="C207" s="197">
        <f>+GETPIVOTDATA(" New-Associate's",'Pivot Table for 1-11'!$A$3,"State","MS","SREB Type",5,"SREB Type2","Four-Year")</f>
        <v>0</v>
      </c>
      <c r="D207" s="197">
        <f>+GETPIVOTDATA(" New-Bachelor's",'Pivot Table for 1-11'!$A$3,"State","MS","SREB Type",5,"SREB Type2","Four-Year")</f>
        <v>0</v>
      </c>
      <c r="E207" s="197">
        <f>+GETPIVOTDATA(" New-Post-Bachelor's",'Pivot Table for 1-11'!$A$3,"State","MS","SREB Type",5,"SREB Type2","Four-Year")</f>
        <v>0</v>
      </c>
      <c r="F207" s="197">
        <f>+GETPIVOTDATA(" New-Total Master's#",'Pivot Table for 1-11'!$A$3,"State","MS","SREB Type",5,"SREB Type2","Four-Year")</f>
        <v>0</v>
      </c>
      <c r="G207" s="197">
        <f>+GETPIVOTDATA(" New-Total Doctorates#",'Pivot Table for 1-11'!$A$3,"State","MS","SREB Type",5,"SREB Type2","Four-Year")</f>
        <v>0</v>
      </c>
      <c r="H207" s="230">
        <f>+GETPIVOTDATA(" New-Law",'Pivot Table for 1-11'!$A$3,"State","MS","SREB Type",5,"SREB Type2","Four-Year")</f>
        <v>0</v>
      </c>
      <c r="I207" s="197">
        <f>+GETPIVOTDATA(" New-Medicine",'Pivot Table for 1-11'!$A$3,"State","MS","SREB Type",5,"SREB Type2","Four-Year")</f>
        <v>0</v>
      </c>
      <c r="J207" s="197">
        <f>+GETPIVOTDATA(" New-Dentistry",'Pivot Table for 1-11'!$A$3,"State","MS","SREB Type",5,"SREB Type2","Four-Year")</f>
        <v>0</v>
      </c>
      <c r="K207" s="197">
        <f>+GETPIVOTDATA(" New-Pharmacy",'Pivot Table for 1-11'!$A$3,"State","MS","SREB Type",5,"SREB Type2","Four-Year")</f>
        <v>0</v>
      </c>
      <c r="L207" s="197">
        <f>+GETPIVOTDATA(" New-Optometry",'Pivot Table for 1-11'!$A$3,"State","MS","SREB Type",5,"SREB Type2","Four-Year")</f>
        <v>0</v>
      </c>
      <c r="M207" s="197">
        <f>+GETPIVOTDATA(" New-Osteopathic Medicine",'Pivot Table for 1-11'!$A$3,"State","MS","SREB Type",5,"SREB Type2","Four-Year")</f>
        <v>0</v>
      </c>
      <c r="N207" s="197">
        <f>+GETPIVOTDATA(" New-Veterinary Medicine",'Pivot Table for 1-11'!$A$3,"State","MS","SREB Type",5,"SREB Type2","Four-Year")</f>
        <v>0</v>
      </c>
      <c r="O207" s="198">
        <f>+GETPIVOTDATA(" New-Oth PP",'Pivot Table for 1-11'!$A$3,"State","MS","SREB Type",5,"SREB Type2","Four-Year")</f>
        <v>0</v>
      </c>
      <c r="P207" s="199">
        <f t="shared" si="6"/>
        <v>0</v>
      </c>
      <c r="Q207" s="197"/>
    </row>
    <row r="208" spans="1:24" ht="15" customHeight="1">
      <c r="A208" s="196" t="s">
        <v>30</v>
      </c>
      <c r="B208" s="197">
        <f>+GETPIVOTDATA(" New-Less Than 2-Year",'Pivot Table for 1-11'!$A$3,"State","NC","SREB Type",5,"SREB Type2","Four-Year")+GETPIVOTDATA(" New-2 But Less Than 4-Year",'Pivot Table for 1-11'!$A$3,"State","NC","SREB Type",5,"SREB Type2","Four-Year")</f>
        <v>0</v>
      </c>
      <c r="C208" s="197">
        <f>+GETPIVOTDATA(" New-Associate's",'Pivot Table for 1-11'!$A$3,"State","NC","SREB Type",5,"SREB Type2","Four-Year")</f>
        <v>0</v>
      </c>
      <c r="D208" s="197">
        <f>+GETPIVOTDATA(" New-Bachelor's",'Pivot Table for 1-11'!$A$3,"State","NC","SREB Type",5,"SREB Type2","Four-Year")</f>
        <v>0</v>
      </c>
      <c r="E208" s="197">
        <f>+GETPIVOTDATA(" New-Post-Bachelor's",'Pivot Table for 1-11'!$A$3,"State","NC","SREB Type",5,"SREB Type2","Four-Year")</f>
        <v>0</v>
      </c>
      <c r="F208" s="197">
        <f>+GETPIVOTDATA(" New-Total Master's#",'Pivot Table for 1-11'!$A$3,"State","NC","SREB Type",5,"SREB Type2","Four-Year")</f>
        <v>471</v>
      </c>
      <c r="G208" s="197">
        <f>+GETPIVOTDATA(" New-Total Doctorates#",'Pivot Table for 1-11'!$A$3,"State","NC","SREB Type",5,"SREB Type2","Four-Year")</f>
        <v>0</v>
      </c>
      <c r="H208" s="230">
        <f>+GETPIVOTDATA(" New-Law",'Pivot Table for 1-11'!$A$3,"State","NC","SREB Type",5,"SREB Type2","Four-Year")</f>
        <v>0</v>
      </c>
      <c r="I208" s="197">
        <f>+GETPIVOTDATA(" New-Medicine",'Pivot Table for 1-11'!$A$3,"State","NC","SREB Type",5,"SREB Type2","Four-Year")</f>
        <v>0</v>
      </c>
      <c r="J208" s="197">
        <f>+GETPIVOTDATA(" New-Dentistry",'Pivot Table for 1-11'!$A$3,"State","NC","SREB Type",5,"SREB Type2","Four-Year")</f>
        <v>0</v>
      </c>
      <c r="K208" s="197">
        <f>+GETPIVOTDATA(" New-Pharmacy",'Pivot Table for 1-11'!$A$3,"State","NC","SREB Type",5,"SREB Type2","Four-Year")</f>
        <v>0</v>
      </c>
      <c r="L208" s="197">
        <f>+GETPIVOTDATA(" New-Optometry",'Pivot Table for 1-11'!$A$3,"State","NC","SREB Type",5,"SREB Type2","Four-Year")</f>
        <v>0</v>
      </c>
      <c r="M208" s="197">
        <f>+GETPIVOTDATA(" New-Osteopathic Medicine",'Pivot Table for 1-11'!$A$3,"State","NC","SREB Type",5,"SREB Type2","Four-Year")</f>
        <v>0</v>
      </c>
      <c r="N208" s="197">
        <f>+GETPIVOTDATA(" New-Veterinary Medicine",'Pivot Table for 1-11'!$A$3,"State","NC","SREB Type",5,"SREB Type2","Four-Year")</f>
        <v>0</v>
      </c>
      <c r="O208" s="198">
        <f>+GETPIVOTDATA(" New-Oth PP",'Pivot Table for 1-11'!$A$3,"State","NC","SREB Type",5,"SREB Type2","Four-Year")</f>
        <v>58</v>
      </c>
      <c r="P208" s="199">
        <f t="shared" si="6"/>
        <v>529</v>
      </c>
      <c r="Q208" s="197"/>
    </row>
    <row r="209" spans="1:24" ht="15" customHeight="1">
      <c r="A209" s="196" t="s">
        <v>31</v>
      </c>
      <c r="B209" s="197">
        <f>+GETPIVOTDATA(" New-Less Than 2-Year",'Pivot Table for 1-11'!$A$3,"State","OK","SREB Type",5,"SREB Type2","Four-Year")+GETPIVOTDATA(" New-2 But Less Than 4-Year",'Pivot Table for 1-11'!$A$3,"State","OK","SREB Type",5,"SREB Type2","Four-Year")</f>
        <v>0</v>
      </c>
      <c r="C209" s="197">
        <f>+GETPIVOTDATA(" New-Associate's",'Pivot Table for 1-11'!$A$3,"State","OK","SREB Type",5,"SREB Type2","Four-Year")</f>
        <v>0</v>
      </c>
      <c r="D209" s="197">
        <f>+GETPIVOTDATA(" New-Bachelor's",'Pivot Table for 1-11'!$A$3,"State","OK","SREB Type",5,"SREB Type2","Four-Year")</f>
        <v>0</v>
      </c>
      <c r="E209" s="197">
        <f>+GETPIVOTDATA(" New-Post-Bachelor's",'Pivot Table for 1-11'!$A$3,"State","OK","SREB Type",5,"SREB Type2","Four-Year")</f>
        <v>0</v>
      </c>
      <c r="F209" s="197">
        <f>+GETPIVOTDATA(" New-Total Master's#",'Pivot Table for 1-11'!$A$3,"State","OK","SREB Type",5,"SREB Type2","Four-Year")</f>
        <v>0</v>
      </c>
      <c r="G209" s="197">
        <f>+GETPIVOTDATA(" New-Total Doctorates#",'Pivot Table for 1-11'!$A$3,"State","OK","SREB Type",5,"SREB Type2","Four-Year")</f>
        <v>0</v>
      </c>
      <c r="H209" s="230">
        <f>+GETPIVOTDATA(" New-Law",'Pivot Table for 1-11'!$A$3,"State","OK","SREB Type",5,"SREB Type2","Four-Year")</f>
        <v>0</v>
      </c>
      <c r="I209" s="197">
        <f>+GETPIVOTDATA(" New-Medicine",'Pivot Table for 1-11'!$A$3,"State","OK","SREB Type",5,"SREB Type2","Four-Year")</f>
        <v>0</v>
      </c>
      <c r="J209" s="197">
        <f>+GETPIVOTDATA(" New-Dentistry",'Pivot Table for 1-11'!$A$3,"State","OK","SREB Type",5,"SREB Type2","Four-Year")</f>
        <v>0</v>
      </c>
      <c r="K209" s="197">
        <f>+GETPIVOTDATA(" New-Pharmacy",'Pivot Table for 1-11'!$A$3,"State","OK","SREB Type",5,"SREB Type2","Four-Year")</f>
        <v>0</v>
      </c>
      <c r="L209" s="197">
        <f>+GETPIVOTDATA(" New-Optometry",'Pivot Table for 1-11'!$A$3,"State","OK","SREB Type",5,"SREB Type2","Four-Year")</f>
        <v>0</v>
      </c>
      <c r="M209" s="197">
        <f>+GETPIVOTDATA(" New-Osteopathic Medicine",'Pivot Table for 1-11'!$A$3,"State","OK","SREB Type",5,"SREB Type2","Four-Year")</f>
        <v>0</v>
      </c>
      <c r="N209" s="197">
        <f>+GETPIVOTDATA(" New-Veterinary Medicine",'Pivot Table for 1-11'!$A$3,"State","OK","SREB Type",5,"SREB Type2","Four-Year")</f>
        <v>0</v>
      </c>
      <c r="O209" s="198">
        <f>+GETPIVOTDATA(" New-Oth PP",'Pivot Table for 1-11'!$A$3,"State","OK","SREB Type",5,"SREB Type2","Four-Year")</f>
        <v>0</v>
      </c>
      <c r="P209" s="199">
        <f t="shared" si="6"/>
        <v>0</v>
      </c>
      <c r="Q209" s="197"/>
    </row>
    <row r="210" spans="1:24" ht="15" customHeight="1">
      <c r="A210" s="196" t="s">
        <v>32</v>
      </c>
      <c r="B210" s="197">
        <f>+GETPIVOTDATA(" New-Less Than 2-Year",'Pivot Table for 1-11'!$A$3,"State","SC","SREB Type",5,"SREB Type2","Four-Year")+GETPIVOTDATA(" New-2 But Less Than 4-Year",'Pivot Table for 1-11'!$A$3,"State","SC","SREB Type",5,"SREB Type2","Four-Year")</f>
        <v>0</v>
      </c>
      <c r="C210" s="197">
        <f>+GETPIVOTDATA(" New-Associate's",'Pivot Table for 1-11'!$A$3,"State","SC","SREB Type",5,"SREB Type2","Four-Year")</f>
        <v>0</v>
      </c>
      <c r="D210" s="197">
        <f>+GETPIVOTDATA(" New-Bachelor's",'Pivot Table for 1-11'!$A$3,"State","SC","SREB Type",5,"SREB Type2","Four-Year")</f>
        <v>873</v>
      </c>
      <c r="E210" s="197">
        <f>+GETPIVOTDATA(" New-Post-Bachelor's",'Pivot Table for 1-11'!$A$3,"State","SC","SREB Type",5,"SREB Type2","Four-Year")</f>
        <v>0</v>
      </c>
      <c r="F210" s="197">
        <f>+GETPIVOTDATA(" New-Total Master's#",'Pivot Table for 1-11'!$A$3,"State","SC","SREB Type",5,"SREB Type2","Four-Year")</f>
        <v>212</v>
      </c>
      <c r="G210" s="197">
        <f>+GETPIVOTDATA(" New-Total Doctorates#",'Pivot Table for 1-11'!$A$3,"State","SC","SREB Type",5,"SREB Type2","Four-Year")</f>
        <v>17</v>
      </c>
      <c r="H210" s="230">
        <f>+GETPIVOTDATA(" New-Law",'Pivot Table for 1-11'!$A$3,"State","SC","SREB Type",5,"SREB Type2","Four-Year")</f>
        <v>0</v>
      </c>
      <c r="I210" s="197">
        <f>+GETPIVOTDATA(" New-Medicine",'Pivot Table for 1-11'!$A$3,"State","SC","SREB Type",5,"SREB Type2","Four-Year")</f>
        <v>0</v>
      </c>
      <c r="J210" s="197">
        <f>+GETPIVOTDATA(" New-Dentistry",'Pivot Table for 1-11'!$A$3,"State","SC","SREB Type",5,"SREB Type2","Four-Year")</f>
        <v>0</v>
      </c>
      <c r="K210" s="197">
        <f>+GETPIVOTDATA(" New-Pharmacy",'Pivot Table for 1-11'!$A$3,"State","SC","SREB Type",5,"SREB Type2","Four-Year")</f>
        <v>0</v>
      </c>
      <c r="L210" s="197">
        <f>+GETPIVOTDATA(" New-Optometry",'Pivot Table for 1-11'!$A$3,"State","SC","SREB Type",5,"SREB Type2","Four-Year")</f>
        <v>0</v>
      </c>
      <c r="M210" s="197">
        <f>+GETPIVOTDATA(" New-Osteopathic Medicine",'Pivot Table for 1-11'!$A$3,"State","SC","SREB Type",5,"SREB Type2","Four-Year")</f>
        <v>0</v>
      </c>
      <c r="N210" s="197">
        <f>+GETPIVOTDATA(" New-Veterinary Medicine",'Pivot Table for 1-11'!$A$3,"State","SC","SREB Type",5,"SREB Type2","Four-Year")</f>
        <v>0</v>
      </c>
      <c r="O210" s="198">
        <f>+GETPIVOTDATA(" New-Oth PP",'Pivot Table for 1-11'!$A$3,"State","SC","SREB Type",5,"SREB Type2","Four-Year")</f>
        <v>3</v>
      </c>
      <c r="P210" s="199">
        <f t="shared" si="6"/>
        <v>1105</v>
      </c>
      <c r="Q210" s="197"/>
    </row>
    <row r="211" spans="1:24" ht="15" customHeight="1">
      <c r="A211" s="196"/>
      <c r="B211" s="197"/>
      <c r="C211" s="197"/>
      <c r="D211" s="197"/>
      <c r="E211" s="197"/>
      <c r="F211" s="197"/>
      <c r="G211" s="197"/>
      <c r="H211" s="230"/>
      <c r="I211" s="197"/>
      <c r="J211" s="197"/>
      <c r="K211" s="197"/>
      <c r="L211" s="197"/>
      <c r="M211" s="197"/>
      <c r="N211" s="197"/>
      <c r="O211" s="198"/>
      <c r="P211" s="199"/>
      <c r="Q211" s="197"/>
    </row>
    <row r="212" spans="1:24" ht="15" customHeight="1">
      <c r="A212" s="196" t="s">
        <v>33</v>
      </c>
      <c r="B212" s="197">
        <f>+GETPIVOTDATA(" New-Less Than 2-Year",'Pivot Table for 1-11'!$A$3,"State","TN","SREB Type",5,"SREB Type2","Four-Year")+GETPIVOTDATA(" New-2 But Less Than 4-Year",'Pivot Table for 1-11'!$A$3,"State","TN","SREB Type",5,"SREB Type2","Four-Year")</f>
        <v>0</v>
      </c>
      <c r="C212" s="197">
        <f>+GETPIVOTDATA(" New-Associate's",'Pivot Table for 1-11'!$A$3,"State","TN","SREB Type",5,"SREB Type2","Four-Year")</f>
        <v>0</v>
      </c>
      <c r="D212" s="197">
        <f>+GETPIVOTDATA(" New-Bachelor's",'Pivot Table for 1-11'!$A$3,"State","TN","SREB Type",5,"SREB Type2","Four-Year")</f>
        <v>0</v>
      </c>
      <c r="E212" s="197">
        <f>+GETPIVOTDATA(" New-Post-Bachelor's",'Pivot Table for 1-11'!$A$3,"State","TN","SREB Type",5,"SREB Type2","Four-Year")</f>
        <v>0</v>
      </c>
      <c r="F212" s="197">
        <f>+GETPIVOTDATA(" New-Total Master's#",'Pivot Table for 1-11'!$A$3,"State","TN","SREB Type",5,"SREB Type2","Four-Year")</f>
        <v>0</v>
      </c>
      <c r="G212" s="197">
        <f>+GETPIVOTDATA(" New-Total Doctorates#",'Pivot Table for 1-11'!$A$3,"State","TN","SREB Type",5,"SREB Type2","Four-Year")</f>
        <v>0</v>
      </c>
      <c r="H212" s="230">
        <f>+GETPIVOTDATA(" New-Law",'Pivot Table for 1-11'!$A$3,"State","TN","SREB Type",5,"SREB Type2","Four-Year")</f>
        <v>0</v>
      </c>
      <c r="I212" s="197">
        <f>+GETPIVOTDATA(" New-Medicine",'Pivot Table for 1-11'!$A$3,"State","TN","SREB Type",5,"SREB Type2","Four-Year")</f>
        <v>0</v>
      </c>
      <c r="J212" s="197">
        <f>+GETPIVOTDATA(" New-Dentistry",'Pivot Table for 1-11'!$A$3,"State","TN","SREB Type",5,"SREB Type2","Four-Year")</f>
        <v>0</v>
      </c>
      <c r="K212" s="197">
        <f>+GETPIVOTDATA(" New-Pharmacy",'Pivot Table for 1-11'!$A$3,"State","TN","SREB Type",5,"SREB Type2","Four-Year")</f>
        <v>0</v>
      </c>
      <c r="L212" s="197">
        <f>+GETPIVOTDATA(" New-Optometry",'Pivot Table for 1-11'!$A$3,"State","TN","SREB Type",5,"SREB Type2","Four-Year")</f>
        <v>0</v>
      </c>
      <c r="M212" s="197">
        <f>+GETPIVOTDATA(" New-Osteopathic Medicine",'Pivot Table for 1-11'!$A$3,"State","TN","SREB Type",5,"SREB Type2","Four-Year")</f>
        <v>0</v>
      </c>
      <c r="N212" s="197">
        <f>+GETPIVOTDATA(" New-Veterinary Medicine",'Pivot Table for 1-11'!$A$3,"State","TN","SREB Type",5,"SREB Type2","Four-Year")</f>
        <v>0</v>
      </c>
      <c r="O212" s="198">
        <f>+GETPIVOTDATA(" New-Oth PP",'Pivot Table for 1-11'!$A$3,"State","TN","SREB Type",5,"SREB Type2","Four-Year")</f>
        <v>0</v>
      </c>
      <c r="P212" s="199">
        <f t="shared" si="6"/>
        <v>0</v>
      </c>
      <c r="Q212" s="197"/>
    </row>
    <row r="213" spans="1:24" ht="15" customHeight="1">
      <c r="A213" s="196" t="s">
        <v>34</v>
      </c>
      <c r="B213" s="197">
        <f>+GETPIVOTDATA(" New-Less Than 2-Year",'Pivot Table for 1-11'!$A$3,"State","TX","SREB Type",5,"SREB Type2","Four-Year")+GETPIVOTDATA(" New-2 But Less Than 4-Year",'Pivot Table for 1-11'!$A$3,"State","TX","SREB Type",5,"SREB Type2","Four-Year")</f>
        <v>0</v>
      </c>
      <c r="C213" s="197">
        <f>+GETPIVOTDATA(" New-Associate's",'Pivot Table for 1-11'!$A$3,"State","TX","SREB Type",5,"SREB Type2","Four-Year")</f>
        <v>0</v>
      </c>
      <c r="D213" s="197">
        <f>+GETPIVOTDATA(" New-Bachelor's",'Pivot Table for 1-11'!$A$3,"State","TX","SREB Type",5,"SREB Type2","Four-Year")</f>
        <v>0</v>
      </c>
      <c r="E213" s="197">
        <f>+GETPIVOTDATA(" New-Post-Bachelor's",'Pivot Table for 1-11'!$A$3,"State","TX","SREB Type",5,"SREB Type2","Four-Year")</f>
        <v>0</v>
      </c>
      <c r="F213" s="197">
        <f>+GETPIVOTDATA(" New-Total Master's#",'Pivot Table for 1-11'!$A$3,"State","TX","SREB Type",5,"SREB Type2","Four-Year")</f>
        <v>75</v>
      </c>
      <c r="G213" s="197">
        <f>+GETPIVOTDATA(" New-Total Doctorates#",'Pivot Table for 1-11'!$A$3,"State","TX","SREB Type",5,"SREB Type2","Four-Year")</f>
        <v>0</v>
      </c>
      <c r="H213" s="230">
        <f>+GETPIVOTDATA(" New-Law",'Pivot Table for 1-11'!$A$3,"State","TX","SREB Type",5,"SREB Type2","Four-Year")</f>
        <v>0</v>
      </c>
      <c r="I213" s="197">
        <f>+GETPIVOTDATA(" New-Medicine",'Pivot Table for 1-11'!$A$3,"State","TX","SREB Type",5,"SREB Type2","Four-Year")</f>
        <v>0</v>
      </c>
      <c r="J213" s="197">
        <f>+GETPIVOTDATA(" New-Dentistry",'Pivot Table for 1-11'!$A$3,"State","TX","SREB Type",5,"SREB Type2","Four-Year")</f>
        <v>0</v>
      </c>
      <c r="K213" s="197">
        <f>+GETPIVOTDATA(" New-Pharmacy",'Pivot Table for 1-11'!$A$3,"State","TX","SREB Type",5,"SREB Type2","Four-Year")</f>
        <v>0</v>
      </c>
      <c r="L213" s="197">
        <f>+GETPIVOTDATA(" New-Optometry",'Pivot Table for 1-11'!$A$3,"State","TX","SREB Type",5,"SREB Type2","Four-Year")</f>
        <v>0</v>
      </c>
      <c r="M213" s="197">
        <f>+GETPIVOTDATA(" New-Osteopathic Medicine",'Pivot Table for 1-11'!$A$3,"State","TX","SREB Type",5,"SREB Type2","Four-Year")</f>
        <v>0</v>
      </c>
      <c r="N213" s="197">
        <f>+GETPIVOTDATA(" New-Veterinary Medicine",'Pivot Table for 1-11'!$A$3,"State","TX","SREB Type",5,"SREB Type2","Four-Year")</f>
        <v>0</v>
      </c>
      <c r="O213" s="198">
        <f>+GETPIVOTDATA(" New-Oth PP",'Pivot Table for 1-11'!$A$3,"State","TX","SREB Type",5,"SREB Type2","Four-Year")</f>
        <v>0</v>
      </c>
      <c r="P213" s="199">
        <f t="shared" si="6"/>
        <v>75</v>
      </c>
      <c r="Q213" s="197"/>
    </row>
    <row r="214" spans="1:24" ht="15" customHeight="1">
      <c r="A214" s="196" t="s">
        <v>35</v>
      </c>
      <c r="B214" s="197">
        <f>+GETPIVOTDATA(" New-Less Than 2-Year",'Pivot Table for 1-11'!$A$3,"State","VA","SREB Type",5,"SREB Type2","Four-Year")+GETPIVOTDATA(" New-2 But Less Than 4-Year",'Pivot Table for 1-11'!$A$3,"State","VA","SREB Type",5,"SREB Type2","Four-Year")</f>
        <v>27</v>
      </c>
      <c r="C214" s="197">
        <f>+GETPIVOTDATA(" New-Associate's",'Pivot Table for 1-11'!$A$3,"State","VA","SREB Type",5,"SREB Type2","Four-Year")</f>
        <v>0</v>
      </c>
      <c r="D214" s="197">
        <f>+GETPIVOTDATA(" New-Bachelor's",'Pivot Table for 1-11'!$A$3,"State","VA","SREB Type",5,"SREB Type2","Four-Year")</f>
        <v>2964</v>
      </c>
      <c r="E214" s="197">
        <f>+GETPIVOTDATA(" New-Post-Bachelor's",'Pivot Table for 1-11'!$A$3,"State","VA","SREB Type",5,"SREB Type2","Four-Year")</f>
        <v>0</v>
      </c>
      <c r="F214" s="197">
        <f>+GETPIVOTDATA(" New-Total Master's#",'Pivot Table for 1-11'!$A$3,"State","VA","SREB Type",5,"SREB Type2","Four-Year")</f>
        <v>394</v>
      </c>
      <c r="G214" s="197">
        <f>+GETPIVOTDATA(" New-Total Doctorates#",'Pivot Table for 1-11'!$A$3,"State","VA","SREB Type",5,"SREB Type2","Four-Year")</f>
        <v>0</v>
      </c>
      <c r="H214" s="230">
        <f>+GETPIVOTDATA(" New-Law",'Pivot Table for 1-11'!$A$3,"State","VA","SREB Type",5,"SREB Type2","Four-Year")</f>
        <v>0</v>
      </c>
      <c r="I214" s="197">
        <f>+GETPIVOTDATA(" New-Medicine",'Pivot Table for 1-11'!$A$3,"State","VA","SREB Type",5,"SREB Type2","Four-Year")</f>
        <v>0</v>
      </c>
      <c r="J214" s="197">
        <f>+GETPIVOTDATA(" New-Dentistry",'Pivot Table for 1-11'!$A$3,"State","VA","SREB Type",5,"SREB Type2","Four-Year")</f>
        <v>0</v>
      </c>
      <c r="K214" s="197">
        <f>+GETPIVOTDATA(" New-Pharmacy",'Pivot Table for 1-11'!$A$3,"State","VA","SREB Type",5,"SREB Type2","Four-Year")</f>
        <v>0</v>
      </c>
      <c r="L214" s="197">
        <f>+GETPIVOTDATA(" New-Optometry",'Pivot Table for 1-11'!$A$3,"State","VA","SREB Type",5,"SREB Type2","Four-Year")</f>
        <v>0</v>
      </c>
      <c r="M214" s="197">
        <f>+GETPIVOTDATA(" New-Osteopathic Medicine",'Pivot Table for 1-11'!$A$3,"State","VA","SREB Type",5,"SREB Type2","Four-Year")</f>
        <v>0</v>
      </c>
      <c r="N214" s="197">
        <f>+GETPIVOTDATA(" New-Veterinary Medicine",'Pivot Table for 1-11'!$A$3,"State","VA","SREB Type",5,"SREB Type2","Four-Year")</f>
        <v>0</v>
      </c>
      <c r="O214" s="198">
        <f>+GETPIVOTDATA(" New-Oth PP",'Pivot Table for 1-11'!$A$3,"State","VA","SREB Type",5,"SREB Type2","Four-Year")</f>
        <v>0</v>
      </c>
      <c r="P214" s="199">
        <f t="shared" si="6"/>
        <v>3385</v>
      </c>
      <c r="Q214" s="197"/>
    </row>
    <row r="215" spans="1:24" ht="15" customHeight="1">
      <c r="A215" s="205" t="s">
        <v>36</v>
      </c>
      <c r="B215" s="201">
        <f>+GETPIVOTDATA(" New-Less Than 2-Year",'Pivot Table for 1-11'!$A$3,"State","WV","SREB Type",5,"SREB Type2","Four-Year")+GETPIVOTDATA(" New-2 But Less Than 4-Year",'Pivot Table for 1-11'!$A$3,"State","WV","SREB Type",5,"SREB Type2","Four-Year")</f>
        <v>0</v>
      </c>
      <c r="C215" s="201">
        <f>+GETPIVOTDATA(" New-Associate's",'Pivot Table for 1-11'!$A$3,"State","WV","SREB Type",5,"SREB Type2","Four-Year")</f>
        <v>181</v>
      </c>
      <c r="D215" s="201">
        <f>+GETPIVOTDATA(" New-Bachelor's",'Pivot Table for 1-11'!$A$3,"State","WV","SREB Type",5,"SREB Type2","Four-Year")</f>
        <v>2067</v>
      </c>
      <c r="E215" s="201">
        <f>+GETPIVOTDATA(" New-Post-Bachelor's",'Pivot Table for 1-11'!$A$3,"State","WV","SREB Type",5,"SREB Type2","Four-Year")</f>
        <v>0</v>
      </c>
      <c r="F215" s="201">
        <f>+GETPIVOTDATA(" New-Total Master's#",'Pivot Table for 1-11'!$A$3,"State","WV","SREB Type",5,"SREB Type2","Four-Year")</f>
        <v>350</v>
      </c>
      <c r="G215" s="201">
        <f>+GETPIVOTDATA(" New-Total Doctorates#",'Pivot Table for 1-11'!$A$3,"State","WV","SREB Type",5,"SREB Type2","Four-Year")</f>
        <v>0</v>
      </c>
      <c r="H215" s="318">
        <f>+GETPIVOTDATA(" New-Law",'Pivot Table for 1-11'!$A$3,"State","WV","SREB Type",5,"SREB Type2","Four-Year")</f>
        <v>0</v>
      </c>
      <c r="I215" s="201">
        <f>+GETPIVOTDATA(" New-Medicine",'Pivot Table for 1-11'!$A$3,"State","WV","SREB Type",5,"SREB Type2","Four-Year")</f>
        <v>0</v>
      </c>
      <c r="J215" s="201">
        <f>+GETPIVOTDATA(" New-Dentistry",'Pivot Table for 1-11'!$A$3,"State","WV","SREB Type",5,"SREB Type2","Four-Year")</f>
        <v>0</v>
      </c>
      <c r="K215" s="201">
        <f>+GETPIVOTDATA(" New-Pharmacy",'Pivot Table for 1-11'!$A$3,"State","WV","SREB Type",5,"SREB Type2","Four-Year")</f>
        <v>0</v>
      </c>
      <c r="L215" s="201">
        <f>+GETPIVOTDATA(" New-Optometry",'Pivot Table for 1-11'!$A$3,"State","WV","SREB Type",5,"SREB Type2","Four-Year")</f>
        <v>0</v>
      </c>
      <c r="M215" s="201">
        <f>+GETPIVOTDATA(" New-Osteopathic Medicine",'Pivot Table for 1-11'!$A$3,"State","WV","SREB Type",5,"SREB Type2","Four-Year")</f>
        <v>0</v>
      </c>
      <c r="N215" s="201">
        <f>+GETPIVOTDATA(" New-Veterinary Medicine",'Pivot Table for 1-11'!$A$3,"State","WV","SREB Type",5,"SREB Type2","Four-Year")</f>
        <v>0</v>
      </c>
      <c r="O215" s="319">
        <f>+GETPIVOTDATA(" New-Oth PP",'Pivot Table for 1-11'!$A$3,"State","WV","SREB Type",5,"SREB Type2","Four-Year")</f>
        <v>8</v>
      </c>
      <c r="P215" s="203">
        <f t="shared" si="6"/>
        <v>2606</v>
      </c>
      <c r="Q215" s="197"/>
    </row>
    <row r="216" spans="1:24">
      <c r="B216" s="197"/>
      <c r="C216" s="197"/>
      <c r="D216" s="197"/>
      <c r="E216" s="197"/>
      <c r="F216" s="197"/>
      <c r="G216" s="197"/>
      <c r="H216" s="197"/>
      <c r="I216" s="197"/>
      <c r="J216" s="197"/>
      <c r="K216" s="197"/>
      <c r="L216" s="197"/>
      <c r="M216" s="197"/>
      <c r="N216" s="197"/>
      <c r="O216" s="197"/>
      <c r="P216" s="197"/>
      <c r="Q216" s="197"/>
    </row>
    <row r="217" spans="1:24" ht="24.75" customHeight="1">
      <c r="A217" s="545" t="s">
        <v>37</v>
      </c>
      <c r="B217" s="546"/>
      <c r="C217" s="546"/>
      <c r="D217" s="546"/>
      <c r="E217" s="546"/>
      <c r="F217" s="546"/>
      <c r="G217" s="546"/>
      <c r="H217" s="546"/>
      <c r="I217" s="546"/>
      <c r="J217" s="546"/>
      <c r="K217" s="546"/>
      <c r="L217" s="546"/>
      <c r="M217" s="546"/>
      <c r="N217" s="546"/>
      <c r="O217" s="546"/>
      <c r="P217" s="546"/>
      <c r="Q217" s="263"/>
    </row>
    <row r="218" spans="1:24" ht="15.5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204" t="s">
        <v>1178</v>
      </c>
      <c r="Q218" s="204"/>
    </row>
    <row r="219" spans="1:24" ht="18">
      <c r="A219" s="186" t="s">
        <v>54</v>
      </c>
      <c r="B219" s="187"/>
      <c r="C219" s="187"/>
      <c r="D219" s="187"/>
      <c r="E219" s="187"/>
      <c r="F219" s="187"/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  <c r="Q219" s="187" t="s">
        <v>1</v>
      </c>
    </row>
    <row r="220" spans="1:24" ht="15.75" customHeight="1">
      <c r="A220" s="188"/>
      <c r="B220" s="188"/>
      <c r="C220" s="188"/>
      <c r="D220" s="188"/>
      <c r="E220" s="188"/>
      <c r="F220" s="188"/>
      <c r="G220" s="188"/>
      <c r="H220" s="188"/>
      <c r="I220" s="188"/>
      <c r="J220" s="188"/>
      <c r="K220" s="188"/>
      <c r="L220" s="188"/>
      <c r="M220" s="188"/>
      <c r="N220" s="188"/>
      <c r="O220" s="188"/>
      <c r="P220" s="188"/>
      <c r="Q220" s="188"/>
    </row>
    <row r="221" spans="1:24" ht="15.5">
      <c r="A221" s="187" t="s">
        <v>2</v>
      </c>
      <c r="B221" s="187"/>
      <c r="C221" s="187"/>
      <c r="D221" s="187"/>
      <c r="E221" s="187"/>
      <c r="F221" s="187"/>
      <c r="G221" s="187"/>
      <c r="H221" s="187"/>
      <c r="I221" s="187"/>
      <c r="J221" s="187"/>
      <c r="K221" s="187"/>
      <c r="L221" s="187"/>
      <c r="M221" s="187"/>
      <c r="N221" s="187"/>
      <c r="O221" s="187"/>
      <c r="P221" s="187"/>
      <c r="Q221" s="187" t="s">
        <v>1</v>
      </c>
    </row>
    <row r="222" spans="1:24" ht="15.5">
      <c r="A222" s="187" t="s">
        <v>1186</v>
      </c>
      <c r="B222" s="187"/>
      <c r="C222" s="187"/>
      <c r="D222" s="187"/>
      <c r="E222" s="187"/>
      <c r="F222" s="187"/>
      <c r="G222" s="187"/>
      <c r="H222" s="187"/>
      <c r="I222" s="187"/>
      <c r="J222" s="187"/>
      <c r="K222" s="187"/>
      <c r="L222" s="187"/>
      <c r="M222" s="187"/>
      <c r="N222" s="187"/>
      <c r="O222" s="187"/>
      <c r="P222" s="187"/>
      <c r="Q222" s="187" t="s">
        <v>1</v>
      </c>
    </row>
    <row r="223" spans="1:24" ht="15.5">
      <c r="A223" s="189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  <c r="Q223" s="189"/>
    </row>
    <row r="224" spans="1:24" ht="15.5">
      <c r="A224" s="190"/>
      <c r="B224" s="190"/>
      <c r="C224" s="190"/>
      <c r="D224" s="190"/>
      <c r="E224" s="190"/>
      <c r="F224" s="190"/>
      <c r="G224" s="190"/>
      <c r="H224" s="225" t="s">
        <v>4</v>
      </c>
      <c r="I224" s="256"/>
      <c r="J224" s="256"/>
      <c r="K224" s="256"/>
      <c r="L224" s="256"/>
      <c r="M224" s="256"/>
      <c r="N224" s="256"/>
      <c r="O224" s="226"/>
      <c r="P224" s="192" t="s">
        <v>1</v>
      </c>
      <c r="Q224" s="189"/>
      <c r="R224" s="112"/>
      <c r="S224" s="112"/>
      <c r="X224" s="112"/>
    </row>
    <row r="225" spans="1:17" ht="39.75" customHeight="1">
      <c r="A225" s="193"/>
      <c r="B225" s="194" t="s">
        <v>5</v>
      </c>
      <c r="C225" s="194" t="s">
        <v>6</v>
      </c>
      <c r="D225" s="194" t="s">
        <v>7</v>
      </c>
      <c r="E225" s="194" t="s">
        <v>8</v>
      </c>
      <c r="F225" s="194" t="s">
        <v>9</v>
      </c>
      <c r="G225" s="194" t="s">
        <v>10</v>
      </c>
      <c r="H225" s="317" t="s">
        <v>11</v>
      </c>
      <c r="I225" s="194" t="s">
        <v>12</v>
      </c>
      <c r="J225" s="194" t="s">
        <v>13</v>
      </c>
      <c r="K225" s="194" t="s">
        <v>14</v>
      </c>
      <c r="L225" s="194" t="s">
        <v>15</v>
      </c>
      <c r="M225" s="194" t="s">
        <v>16</v>
      </c>
      <c r="N225" s="194" t="s">
        <v>17</v>
      </c>
      <c r="O225" s="228" t="s">
        <v>51</v>
      </c>
      <c r="P225" s="194" t="s">
        <v>19</v>
      </c>
      <c r="Q225" s="245"/>
    </row>
    <row r="226" spans="1:17" ht="15" customHeight="1">
      <c r="A226" s="196" t="s">
        <v>20</v>
      </c>
      <c r="B226" s="197">
        <f>+GETPIVOTDATA(" New-Less Than 2-Year",'Pivot Table for 1-11'!$A$3,"SREB Type",6,"SREB Type2","Four-Year")+GETPIVOTDATA(" New-2 But Less Than 4-Year",'Pivot Table for 1-11'!$A$3,"SREB Type",6,"SREB Type2","Four-Year")</f>
        <v>449</v>
      </c>
      <c r="C226" s="197">
        <f>+GETPIVOTDATA(" New-Associate's",'Pivot Table for 1-11'!$A$3,"SREB Type",6,"SREB Type2","Four-Year")</f>
        <v>1892</v>
      </c>
      <c r="D226" s="197">
        <f>+GETPIVOTDATA(" New-Bachelor's",'Pivot Table for 1-11'!$A$3,"SREB Type",6,"SREB Type2","Four-Year")</f>
        <v>9768</v>
      </c>
      <c r="E226" s="197">
        <f>+GETPIVOTDATA(" New-Post-Bachelor's",'Pivot Table for 1-11'!$A$3,"SREB Type",6,"SREB Type2","Four-Year")</f>
        <v>22</v>
      </c>
      <c r="F226" s="197">
        <f>+GETPIVOTDATA(" New-Total Master's#",'Pivot Table for 1-11'!$A$3,"SREB Type",6,"SREB Type2","Four-Year")</f>
        <v>309</v>
      </c>
      <c r="G226" s="197">
        <f>+GETPIVOTDATA(" New-Total Doctorates#",'Pivot Table for 1-11'!$A$3,"SREB Type",6,"SREB Type2","Four-Year")</f>
        <v>0</v>
      </c>
      <c r="H226" s="230">
        <f>+GETPIVOTDATA(" New-Law",'Pivot Table for 1-11'!$A$3,"SREB Type",6,"SREB Type2","Four-Year")</f>
        <v>0</v>
      </c>
      <c r="I226" s="197">
        <f>+GETPIVOTDATA(" New-Medicine",'Pivot Table for 1-11'!$A$3,"SREB Type",6,"SREB Type2","Four-Year")</f>
        <v>0</v>
      </c>
      <c r="J226" s="197">
        <f>+GETPIVOTDATA(" New-Dentistry",'Pivot Table for 1-11'!$A$3,"SREB Type",6,"SREB Type2","Four-Year")</f>
        <v>0</v>
      </c>
      <c r="K226" s="197">
        <f>+GETPIVOTDATA(" New-Pharmacy",'Pivot Table for 1-11'!$A$3,"SREB Type",6,"SREB Type2","Four-Year")</f>
        <v>0</v>
      </c>
      <c r="L226" s="197">
        <f>+GETPIVOTDATA(" New-Optometry",'Pivot Table for 1-11'!$A$3,"SREB Type",6,"SREB Type2","Four-Year")</f>
        <v>0</v>
      </c>
      <c r="M226" s="197">
        <f>+GETPIVOTDATA(" New-Osteopathic Medicine",'Pivot Table for 1-11'!$A$3,"SREB Type",6,"SREB Type2","Four-Year")</f>
        <v>0</v>
      </c>
      <c r="N226" s="197">
        <f>+GETPIVOTDATA(" New-Veterinary Medicine",'Pivot Table for 1-11'!$A$3,"SREB Type",6,"SREB Type2","Four-Year")</f>
        <v>0</v>
      </c>
      <c r="O226" s="198">
        <f>+GETPIVOTDATA(" New-Oth PP",'Pivot Table for 1-11'!$A$3,"SREB Type",6,"SREB Type2","Four-Year")</f>
        <v>0</v>
      </c>
      <c r="P226" s="199">
        <f>SUM(B226:O226)</f>
        <v>12440</v>
      </c>
      <c r="Q226" s="197"/>
    </row>
    <row r="227" spans="1:17" ht="15" customHeight="1">
      <c r="A227" s="196"/>
      <c r="B227" s="197"/>
      <c r="C227" s="197"/>
      <c r="D227" s="197"/>
      <c r="E227" s="197"/>
      <c r="F227" s="197"/>
      <c r="G227" s="197"/>
      <c r="H227" s="230"/>
      <c r="I227" s="197"/>
      <c r="J227" s="197"/>
      <c r="K227" s="197"/>
      <c r="L227" s="197"/>
      <c r="M227" s="197"/>
      <c r="N227" s="197"/>
      <c r="O227" s="198"/>
      <c r="P227" s="199"/>
      <c r="Q227" s="197"/>
    </row>
    <row r="228" spans="1:17" ht="15" customHeight="1">
      <c r="A228" s="196" t="s">
        <v>21</v>
      </c>
      <c r="B228" s="197">
        <f>GETPIVOTDATA(" New-Less Than 2-Year",'Pivot Table for 1-11'!$A$3,"State","AL","SREB Type",6,"SREB Type2","Four-Year")+GETPIVOTDATA(" New-2 But Less Than 4-Year",'Pivot Table for 1-11'!$A$3,"State","AL","SREB Type",6,"SREB Type2","Four-Year")</f>
        <v>30</v>
      </c>
      <c r="C228" s="197">
        <f>+GETPIVOTDATA(" New-Associate's",'Pivot Table for 1-11'!$A$3,"State","AL","SREB Type",6,"SREB Type2","Four-Year")</f>
        <v>0</v>
      </c>
      <c r="D228" s="197">
        <f>+GETPIVOTDATA(" New-Bachelor's",'Pivot Table for 1-11'!$A$3,"State","AL","SREB Type",6,"SREB Type2","Four-Year")</f>
        <v>684</v>
      </c>
      <c r="E228" s="197">
        <f>+GETPIVOTDATA(" New-Post-Bachelor's",'Pivot Table for 1-11'!$A$3,"State","AL","SREB Type",6,"SREB Type2","Four-Year")</f>
        <v>0</v>
      </c>
      <c r="F228" s="197">
        <f>+GETPIVOTDATA(" New-Total Master's#",'Pivot Table for 1-11'!$A$3,"State","AL","SREB Type",6,"SREB Type2","Four-Year")</f>
        <v>48</v>
      </c>
      <c r="G228" s="197">
        <f>+GETPIVOTDATA(" New-Total Doctorates#",'Pivot Table for 1-11'!$A$3,"State","AL","SREB Type",6,"SREB Type2","Four-Year")</f>
        <v>0</v>
      </c>
      <c r="H228" s="230">
        <f>+GETPIVOTDATA(" New-Law",'Pivot Table for 1-11'!$A$3,"State","AL","SREB Type",6,"SREB Type2","Four-Year")</f>
        <v>0</v>
      </c>
      <c r="I228" s="197">
        <f>+GETPIVOTDATA(" New-Medicine",'Pivot Table for 1-11'!$A$3,"State","AL","SREB Type",6,"SREB Type2","Four-Year")</f>
        <v>0</v>
      </c>
      <c r="J228" s="197">
        <f>+GETPIVOTDATA(" New-Dentistry",'Pivot Table for 1-11'!$A$3,"State","AL","SREB Type",6,"SREB Type2","Four-Year")</f>
        <v>0</v>
      </c>
      <c r="K228" s="197">
        <f>+GETPIVOTDATA(" New-Pharmacy",'Pivot Table for 1-11'!$A$3,"State","AL","SREB Type",6,"SREB Type2","Four-Year")</f>
        <v>0</v>
      </c>
      <c r="L228" s="197">
        <f>+GETPIVOTDATA(" New-Optometry",'Pivot Table for 1-11'!$A$3,"State","AL","SREB Type",6,"SREB Type2","Four-Year")</f>
        <v>0</v>
      </c>
      <c r="M228" s="197">
        <f>+GETPIVOTDATA(" New-Osteopathic Medicine",'Pivot Table for 1-11'!$A$3,"State","AL","SREB Type",6,"SREB Type2","Four-Year")</f>
        <v>0</v>
      </c>
      <c r="N228" s="197">
        <f>+GETPIVOTDATA(" New-Veterinary Medicine",'Pivot Table for 1-11'!$A$3,"State","AL","SREB Type",6,"SREB Type2","Four-Year")</f>
        <v>0</v>
      </c>
      <c r="O228" s="198">
        <f>+GETPIVOTDATA(" New-Oth PP",'Pivot Table for 1-11'!$A$3,"State","AL","SREB Type",6,"SREB Type2","Four-Year")</f>
        <v>0</v>
      </c>
      <c r="P228" s="199">
        <f t="shared" ref="P228:P246" si="7">SUM(B228:O228)</f>
        <v>762</v>
      </c>
      <c r="Q228" s="197"/>
    </row>
    <row r="229" spans="1:17" ht="15" customHeight="1">
      <c r="A229" s="196" t="s">
        <v>22</v>
      </c>
      <c r="B229" s="197">
        <f>+GETPIVOTDATA(" New-Less Than 2-Year",'Pivot Table for 1-11'!$A$3,"State","AR","SREB Type",6,"SREB Type2","Four-Year")+GETPIVOTDATA(" New-2 But Less Than 4-Year",'Pivot Table for 1-11'!$A$3,"State","AR","SREB Type",6,"SREB Type2","Four-Year")</f>
        <v>382</v>
      </c>
      <c r="C229" s="197">
        <f>+GETPIVOTDATA(" New-Associate's",'Pivot Table for 1-11'!$A$3,"State","AR","SREB Type",6,"SREB Type2","Four-Year")</f>
        <v>233</v>
      </c>
      <c r="D229" s="197">
        <f>+GETPIVOTDATA(" New-Bachelor's",'Pivot Table for 1-11'!$A$3,"State","AR","SREB Type",6,"SREB Type2","Four-Year")</f>
        <v>1283</v>
      </c>
      <c r="E229" s="197">
        <f>+GETPIVOTDATA(" New-Post-Bachelor's",'Pivot Table for 1-11'!$A$3,"State","AR","SREB Type",6,"SREB Type2","Four-Year")</f>
        <v>0</v>
      </c>
      <c r="F229" s="197">
        <f>+GETPIVOTDATA(" New-Total Master's#",'Pivot Table for 1-11'!$A$3,"State","AR","SREB Type",6,"SREB Type2","Four-Year")</f>
        <v>56</v>
      </c>
      <c r="G229" s="197">
        <f>+GETPIVOTDATA(" New-Total Doctorates#",'Pivot Table for 1-11'!$A$3,"State","AR","SREB Type",6,"SREB Type2","Four-Year")</f>
        <v>0</v>
      </c>
      <c r="H229" s="230">
        <f>+GETPIVOTDATA(" New-Law",'Pivot Table for 1-11'!$A$3,"State","AR","SREB Type",6,"SREB Type2","Four-Year")</f>
        <v>0</v>
      </c>
      <c r="I229" s="197">
        <f>+GETPIVOTDATA(" New-Medicine",'Pivot Table for 1-11'!$A$3,"State","AR","SREB Type",6,"SREB Type2","Four-Year")</f>
        <v>0</v>
      </c>
      <c r="J229" s="197">
        <f>+GETPIVOTDATA(" New-Dentistry",'Pivot Table for 1-11'!$A$3,"State","AR","SREB Type",6,"SREB Type2","Four-Year")</f>
        <v>0</v>
      </c>
      <c r="K229" s="197">
        <f>+GETPIVOTDATA(" New-Pharmacy",'Pivot Table for 1-11'!$A$3,"State","AR","SREB Type",6,"SREB Type2","Four-Year")</f>
        <v>0</v>
      </c>
      <c r="L229" s="197">
        <f>+GETPIVOTDATA(" New-Optometry",'Pivot Table for 1-11'!$A$3,"State","AR","SREB Type",6,"SREB Type2","Four-Year")</f>
        <v>0</v>
      </c>
      <c r="M229" s="197">
        <f>+GETPIVOTDATA(" New-Osteopathic Medicine",'Pivot Table for 1-11'!$A$3,"State","AR","SREB Type",6,"SREB Type2","Four-Year")</f>
        <v>0</v>
      </c>
      <c r="N229" s="197">
        <f>+GETPIVOTDATA(" New-Veterinary Medicine",'Pivot Table for 1-11'!$A$3,"State","AR","SREB Type",6,"SREB Type2","Four-Year")</f>
        <v>0</v>
      </c>
      <c r="O229" s="198">
        <f>+GETPIVOTDATA(" New-Oth PP",'Pivot Table for 1-11'!$A$3,"State","AR","SREB Type",6,"SREB Type2","Four-Year")</f>
        <v>0</v>
      </c>
      <c r="P229" s="199">
        <f t="shared" si="7"/>
        <v>1954</v>
      </c>
      <c r="Q229" s="197"/>
    </row>
    <row r="230" spans="1:17" ht="15" customHeight="1">
      <c r="A230" s="196" t="s">
        <v>23</v>
      </c>
      <c r="B230" s="197">
        <f>+GETPIVOTDATA(" New-Less Than 2-Year",'Pivot Table for 1-11'!$A$3,"State","DE","SREB Type",6,"SREB Type2","Four-Year")+GETPIVOTDATA(" New-2 But Less Than 4-Year",'Pivot Table for 1-11'!$A$3,"State","DE","SREB Type",6,"SREB Type2","Four-Year")</f>
        <v>0</v>
      </c>
      <c r="C230" s="197">
        <f>+GETPIVOTDATA(" New-Associate's",'Pivot Table for 1-11'!$A$3,"State","DE","SREB Type",6,"SREB Type2","Four-Year")</f>
        <v>0</v>
      </c>
      <c r="D230" s="197">
        <f>+GETPIVOTDATA(" New-Bachelor's",'Pivot Table for 1-11'!$A$3,"State","DE","SREB Type",6,"SREB Type2","Four-Year")</f>
        <v>0</v>
      </c>
      <c r="E230" s="197">
        <f>+GETPIVOTDATA(" New-Post-Bachelor's",'Pivot Table for 1-11'!$A$3,"State","DE","SREB Type",6,"SREB Type2","Four-Year")</f>
        <v>0</v>
      </c>
      <c r="F230" s="197">
        <f>+GETPIVOTDATA(" New-Total Master's#",'Pivot Table for 1-11'!$A$3,"State","DE","SREB Type",6,"SREB Type2","Four-Year")</f>
        <v>0</v>
      </c>
      <c r="G230" s="197">
        <f>+GETPIVOTDATA(" New-Total Doctorates#",'Pivot Table for 1-11'!$A$3,"State","DE","SREB Type",6,"SREB Type2","Four-Year")</f>
        <v>0</v>
      </c>
      <c r="H230" s="230">
        <f>+GETPIVOTDATA(" New-Law",'Pivot Table for 1-11'!$A$3,"State","DE","SREB Type",6,"SREB Type2","Four-Year")</f>
        <v>0</v>
      </c>
      <c r="I230" s="197">
        <f>+GETPIVOTDATA(" New-Medicine",'Pivot Table for 1-11'!$A$3,"State","DE","SREB Type",6,"SREB Type2","Four-Year")</f>
        <v>0</v>
      </c>
      <c r="J230" s="197">
        <f>+GETPIVOTDATA(" New-Dentistry",'Pivot Table for 1-11'!$A$3,"State","DE","SREB Type",6,"SREB Type2","Four-Year")</f>
        <v>0</v>
      </c>
      <c r="K230" s="197">
        <f>+GETPIVOTDATA(" New-Pharmacy",'Pivot Table for 1-11'!$A$3,"State","DE","SREB Type",6,"SREB Type2","Four-Year")</f>
        <v>0</v>
      </c>
      <c r="L230" s="197">
        <f>+GETPIVOTDATA(" New-Optometry",'Pivot Table for 1-11'!$A$3,"State","DE","SREB Type",6,"SREB Type2","Four-Year")</f>
        <v>0</v>
      </c>
      <c r="M230" s="197">
        <f>+GETPIVOTDATA(" New-Osteopathic Medicine",'Pivot Table for 1-11'!$A$3,"State","DE","SREB Type",6,"SREB Type2","Four-Year")</f>
        <v>0</v>
      </c>
      <c r="N230" s="197">
        <f>+GETPIVOTDATA(" New-Veterinary Medicine",'Pivot Table for 1-11'!$A$3,"State","DE","SREB Type",6,"SREB Type2","Four-Year")</f>
        <v>0</v>
      </c>
      <c r="O230" s="198">
        <f>+GETPIVOTDATA(" New-Oth PP",'Pivot Table for 1-11'!$A$3,"State","DE","SREB Type",6,"SREB Type2","Four-Year")</f>
        <v>0</v>
      </c>
      <c r="P230" s="199">
        <f t="shared" si="7"/>
        <v>0</v>
      </c>
      <c r="Q230" s="197"/>
    </row>
    <row r="231" spans="1:17" ht="15" customHeight="1">
      <c r="A231" s="196" t="s">
        <v>24</v>
      </c>
      <c r="B231" s="197">
        <f>+GETPIVOTDATA(" New-Less Than 2-Year",'Pivot Table for 1-11'!$A$3,"State","FL","SREB Type",6,"SREB Type2","Four-Year")+GETPIVOTDATA(" New-2 But Less Than 4-Year",'Pivot Table for 1-11'!$A$3,"State","FL","SREB Type",6,"SREB Type2","Four-Year")</f>
        <v>0</v>
      </c>
      <c r="C231" s="197">
        <f>+GETPIVOTDATA(" New-Associate's",'Pivot Table for 1-11'!$A$3,"State","FL","SREB Type",6,"SREB Type2","Four-Year")</f>
        <v>0</v>
      </c>
      <c r="D231" s="197">
        <f>+GETPIVOTDATA(" New-Bachelor's",'Pivot Table for 1-11'!$A$3,"State","FL","SREB Type",6,"SREB Type2","Four-Year")</f>
        <v>0</v>
      </c>
      <c r="E231" s="197">
        <f>+GETPIVOTDATA(" New-Post-Bachelor's",'Pivot Table for 1-11'!$A$3,"State","FL","SREB Type",6,"SREB Type2","Four-Year")</f>
        <v>0</v>
      </c>
      <c r="F231" s="197">
        <f>+GETPIVOTDATA(" New-Total Master's#",'Pivot Table for 1-11'!$A$3,"State","FL","SREB Type",6,"SREB Type2","Four-Year")</f>
        <v>0</v>
      </c>
      <c r="G231" s="197">
        <f>+GETPIVOTDATA(" New-Total Doctorates#",'Pivot Table for 1-11'!$A$3,"State","FL","SREB Type",6,"SREB Type2","Four-Year")</f>
        <v>0</v>
      </c>
      <c r="H231" s="230">
        <f>+GETPIVOTDATA(" New-Law",'Pivot Table for 1-11'!$A$3,"State","FL","SREB Type",6,"SREB Type2","Four-Year")</f>
        <v>0</v>
      </c>
      <c r="I231" s="197">
        <f>+GETPIVOTDATA(" New-Medicine",'Pivot Table for 1-11'!$A$3,"State","FL","SREB Type",6,"SREB Type2","Four-Year")</f>
        <v>0</v>
      </c>
      <c r="J231" s="197">
        <f>+GETPIVOTDATA(" New-Dentistry",'Pivot Table for 1-11'!$A$3,"State","FL","SREB Type",6,"SREB Type2","Four-Year")</f>
        <v>0</v>
      </c>
      <c r="K231" s="197">
        <f>+GETPIVOTDATA(" New-Pharmacy",'Pivot Table for 1-11'!$A$3,"State","FL","SREB Type",6,"SREB Type2","Four-Year")</f>
        <v>0</v>
      </c>
      <c r="L231" s="197">
        <f>+GETPIVOTDATA(" New-Optometry",'Pivot Table for 1-11'!$A$3,"State","FL","SREB Type",6,"SREB Type2","Four-Year")</f>
        <v>0</v>
      </c>
      <c r="M231" s="197">
        <f>+GETPIVOTDATA(" New-Osteopathic Medicine",'Pivot Table for 1-11'!$A$3,"State","FL","SREB Type",6,"SREB Type2","Four-Year")</f>
        <v>0</v>
      </c>
      <c r="N231" s="197">
        <f>+GETPIVOTDATA(" New-Veterinary Medicine",'Pivot Table for 1-11'!$A$3,"State","FL","SREB Type",6,"SREB Type2","Four-Year")</f>
        <v>0</v>
      </c>
      <c r="O231" s="198">
        <f>+GETPIVOTDATA(" New-Oth PP",'Pivot Table for 1-11'!$A$3,"State","FL","SREB Type",6,"SREB Type2","Four-Year")</f>
        <v>0</v>
      </c>
      <c r="P231" s="199">
        <f t="shared" si="7"/>
        <v>0</v>
      </c>
      <c r="Q231" s="197"/>
    </row>
    <row r="232" spans="1:17" ht="15" customHeight="1">
      <c r="A232" s="196"/>
      <c r="B232" s="197"/>
      <c r="C232" s="197"/>
      <c r="D232" s="197"/>
      <c r="E232" s="197"/>
      <c r="F232" s="197"/>
      <c r="G232" s="197"/>
      <c r="H232" s="230"/>
      <c r="I232" s="197"/>
      <c r="J232" s="197"/>
      <c r="K232" s="197"/>
      <c r="L232" s="197"/>
      <c r="M232" s="197"/>
      <c r="N232" s="197"/>
      <c r="O232" s="198"/>
      <c r="P232" s="199">
        <f t="shared" si="7"/>
        <v>0</v>
      </c>
      <c r="Q232" s="197"/>
    </row>
    <row r="233" spans="1:17" ht="15" customHeight="1">
      <c r="A233" s="196" t="s">
        <v>25</v>
      </c>
      <c r="B233" s="197">
        <f>+GETPIVOTDATA(" New-Less Than 2-Year",'Pivot Table for 1-11'!$A$3,"State","GA","SREB Type",6,"SREB Type2","Four-Year")+GETPIVOTDATA(" New-2 But Less Than 4-Year",'Pivot Table for 1-11'!$A$3,"State","GA","SREB Type",6,"SREB Type2","Four-Year")</f>
        <v>28</v>
      </c>
      <c r="C233" s="197">
        <f>+GETPIVOTDATA(" New-Associate's",'Pivot Table for 1-11'!$A$3,"State","GA","SREB Type",6,"SREB Type2","Four-Year")</f>
        <v>1238</v>
      </c>
      <c r="D233" s="197">
        <f>+GETPIVOTDATA(" New-Bachelor's",'Pivot Table for 1-11'!$A$3,"State","GA","SREB Type",6,"SREB Type2","Four-Year")</f>
        <v>2507</v>
      </c>
      <c r="E233" s="197">
        <f>+GETPIVOTDATA(" New-Post-Bachelor's",'Pivot Table for 1-11'!$A$3,"State","GA","SREB Type",6,"SREB Type2","Four-Year")</f>
        <v>0</v>
      </c>
      <c r="F233" s="197">
        <f>+GETPIVOTDATA(" New-Total Master's#",'Pivot Table for 1-11'!$A$3,"State","GA","SREB Type",6,"SREB Type2","Four-Year")</f>
        <v>0</v>
      </c>
      <c r="G233" s="197">
        <f>+GETPIVOTDATA(" New-Total Doctorates#",'Pivot Table for 1-11'!$A$3,"State","GA","SREB Type",6,"SREB Type2","Four-Year")</f>
        <v>0</v>
      </c>
      <c r="H233" s="230">
        <f>+GETPIVOTDATA(" New-Law",'Pivot Table for 1-11'!$A$3,"State","GA","SREB Type",6,"SREB Type2","Four-Year")</f>
        <v>0</v>
      </c>
      <c r="I233" s="197">
        <f>+GETPIVOTDATA(" New-Medicine",'Pivot Table for 1-11'!$A$3,"State","GA","SREB Type",6,"SREB Type2","Four-Year")</f>
        <v>0</v>
      </c>
      <c r="J233" s="197">
        <f>+GETPIVOTDATA(" New-Dentistry",'Pivot Table for 1-11'!$A$3,"State","GA","SREB Type",6,"SREB Type2","Four-Year")</f>
        <v>0</v>
      </c>
      <c r="K233" s="197">
        <f>+GETPIVOTDATA(" New-Pharmacy",'Pivot Table for 1-11'!$A$3,"State","GA","SREB Type",6,"SREB Type2","Four-Year")</f>
        <v>0</v>
      </c>
      <c r="L233" s="197">
        <f>+GETPIVOTDATA(" New-Optometry",'Pivot Table for 1-11'!$A$3,"State","GA","SREB Type",6,"SREB Type2","Four-Year")</f>
        <v>0</v>
      </c>
      <c r="M233" s="197">
        <f>+GETPIVOTDATA(" New-Osteopathic Medicine",'Pivot Table for 1-11'!$A$3,"State","GA","SREB Type",6,"SREB Type2","Four-Year")</f>
        <v>0</v>
      </c>
      <c r="N233" s="197">
        <f>+GETPIVOTDATA(" New-Veterinary Medicine",'Pivot Table for 1-11'!$A$3,"State","GA","SREB Type",6,"SREB Type2","Four-Year")</f>
        <v>0</v>
      </c>
      <c r="O233" s="198">
        <f>+GETPIVOTDATA(" New-Oth PP",'Pivot Table for 1-11'!$A$3,"State","GA","SREB Type",6,"SREB Type2","Four-Year")</f>
        <v>0</v>
      </c>
      <c r="P233" s="199">
        <f t="shared" si="7"/>
        <v>3773</v>
      </c>
      <c r="Q233" s="197"/>
    </row>
    <row r="234" spans="1:17" ht="15" customHeight="1">
      <c r="A234" s="196" t="s">
        <v>26</v>
      </c>
      <c r="B234" s="197">
        <f>+GETPIVOTDATA(" New-Less Than 2-Year",'Pivot Table for 1-11'!$A$3,"State","KY","SREB Type",6,"SREB Type2","Four-Year")+GETPIVOTDATA(" New-2 But Less Than 4-Year",'Pivot Table for 1-11'!$A$3,"State","KY","SREB Type",6,"SREB Type2","Four-Year")</f>
        <v>0</v>
      </c>
      <c r="C234" s="197">
        <f>+GETPIVOTDATA(" New-Associate's",'Pivot Table for 1-11'!$A$3,"State","KY","SREB Type",6,"SREB Type2","Four-Year")</f>
        <v>0</v>
      </c>
      <c r="D234" s="197">
        <f>+GETPIVOTDATA(" New-Bachelor's",'Pivot Table for 1-11'!$A$3,"State","KY","SREB Type",6,"SREB Type2","Four-Year")</f>
        <v>0</v>
      </c>
      <c r="E234" s="197">
        <f>+GETPIVOTDATA(" New-Post-Bachelor's",'Pivot Table for 1-11'!$A$3,"State","KY","SREB Type",6,"SREB Type2","Four-Year")</f>
        <v>0</v>
      </c>
      <c r="F234" s="197">
        <f>+GETPIVOTDATA(" New-Total Master's#",'Pivot Table for 1-11'!$A$3,"State","KY","SREB Type",6,"SREB Type2","Four-Year")</f>
        <v>0</v>
      </c>
      <c r="G234" s="197">
        <f>+GETPIVOTDATA(" New-Total Doctorates#",'Pivot Table for 1-11'!$A$3,"State","KY","SREB Type",6,"SREB Type2","Four-Year")</f>
        <v>0</v>
      </c>
      <c r="H234" s="230">
        <f>+GETPIVOTDATA(" New-Law",'Pivot Table for 1-11'!$A$3,"State","KY","SREB Type",6,"SREB Type2","Four-Year")</f>
        <v>0</v>
      </c>
      <c r="I234" s="197">
        <f>+GETPIVOTDATA(" New-Medicine",'Pivot Table for 1-11'!$A$3,"State","KY","SREB Type",6,"SREB Type2","Four-Year")</f>
        <v>0</v>
      </c>
      <c r="J234" s="197">
        <f>+GETPIVOTDATA(" New-Dentistry",'Pivot Table for 1-11'!$A$3,"State","KY","SREB Type",6,"SREB Type2","Four-Year")</f>
        <v>0</v>
      </c>
      <c r="K234" s="197">
        <f>+GETPIVOTDATA(" New-Pharmacy",'Pivot Table for 1-11'!$A$3,"State","KY","SREB Type",6,"SREB Type2","Four-Year")</f>
        <v>0</v>
      </c>
      <c r="L234" s="197">
        <f>+GETPIVOTDATA(" New-Optometry",'Pivot Table for 1-11'!$A$3,"State","KY","SREB Type",6,"SREB Type2","Four-Year")</f>
        <v>0</v>
      </c>
      <c r="M234" s="197">
        <f>+GETPIVOTDATA(" New-Osteopathic Medicine",'Pivot Table for 1-11'!$A$3,"State","KY","SREB Type",6,"SREB Type2","Four-Year")</f>
        <v>0</v>
      </c>
      <c r="N234" s="197">
        <f>+GETPIVOTDATA(" New-Veterinary Medicine",'Pivot Table for 1-11'!$A$3,"State","KY","SREB Type",6,"SREB Type2","Four-Year")</f>
        <v>0</v>
      </c>
      <c r="O234" s="198">
        <f>+GETPIVOTDATA(" New-Oth PP",'Pivot Table for 1-11'!$A$3,"State","KY","SREB Type",6,"SREB Type2","Four-Year")</f>
        <v>0</v>
      </c>
      <c r="P234" s="199">
        <f t="shared" si="7"/>
        <v>0</v>
      </c>
      <c r="Q234" s="197"/>
    </row>
    <row r="235" spans="1:17" ht="15" customHeight="1">
      <c r="A235" s="196" t="s">
        <v>27</v>
      </c>
      <c r="B235" s="197">
        <f>+GETPIVOTDATA(" New-Less Than 2-Year",'Pivot Table for 1-11'!$A$3,"State","LA","SREB Type",6,"SREB Type2","Four-Year")+GETPIVOTDATA(" New-2 But Less Than 4-Year",'Pivot Table for 1-11'!$A$3,"State","LA","SREB Type",6,"SREB Type2","Four-Year")</f>
        <v>4</v>
      </c>
      <c r="C235" s="197">
        <f>+GETPIVOTDATA(" New-Associate's",'Pivot Table for 1-11'!$A$3,"State","LA","SREB Type",6,"SREB Type2","Four-Year")</f>
        <v>125</v>
      </c>
      <c r="D235" s="197">
        <f>+GETPIVOTDATA(" New-Bachelor's",'Pivot Table for 1-11'!$A$3,"State","LA","SREB Type",6,"SREB Type2","Four-Year")</f>
        <v>443</v>
      </c>
      <c r="E235" s="197">
        <f>+GETPIVOTDATA(" New-Post-Bachelor's",'Pivot Table for 1-11'!$A$3,"State","LA","SREB Type",6,"SREB Type2","Four-Year")</f>
        <v>20</v>
      </c>
      <c r="F235" s="197">
        <f>+GETPIVOTDATA(" New-Total Master's#",'Pivot Table for 1-11'!$A$3,"State","LA","SREB Type",6,"SREB Type2","Four-Year")</f>
        <v>0</v>
      </c>
      <c r="G235" s="197">
        <f>+GETPIVOTDATA(" New-Total Doctorates#",'Pivot Table for 1-11'!$A$3,"State","LA","SREB Type",6,"SREB Type2","Four-Year")</f>
        <v>0</v>
      </c>
      <c r="H235" s="230">
        <f>+GETPIVOTDATA(" New-Law",'Pivot Table for 1-11'!$A$3,"State","LA","SREB Type",6,"SREB Type2","Four-Year")</f>
        <v>0</v>
      </c>
      <c r="I235" s="197">
        <f>+GETPIVOTDATA(" New-Medicine",'Pivot Table for 1-11'!$A$3,"State","LA","SREB Type",6,"SREB Type2","Four-Year")</f>
        <v>0</v>
      </c>
      <c r="J235" s="197">
        <f>+GETPIVOTDATA(" New-Dentistry",'Pivot Table for 1-11'!$A$3,"State","LA","SREB Type",6,"SREB Type2","Four-Year")</f>
        <v>0</v>
      </c>
      <c r="K235" s="197">
        <f>+GETPIVOTDATA(" New-Pharmacy",'Pivot Table for 1-11'!$A$3,"State","LA","SREB Type",6,"SREB Type2","Four-Year")</f>
        <v>0</v>
      </c>
      <c r="L235" s="197">
        <f>+GETPIVOTDATA(" New-Optometry",'Pivot Table for 1-11'!$A$3,"State","LA","SREB Type",6,"SREB Type2","Four-Year")</f>
        <v>0</v>
      </c>
      <c r="M235" s="197">
        <f>+GETPIVOTDATA(" New-Osteopathic Medicine",'Pivot Table for 1-11'!$A$3,"State","LA","SREB Type",6,"SREB Type2","Four-Year")</f>
        <v>0</v>
      </c>
      <c r="N235" s="197">
        <f>+GETPIVOTDATA(" New-Veterinary Medicine",'Pivot Table for 1-11'!$A$3,"State","LA","SREB Type",6,"SREB Type2","Four-Year")</f>
        <v>0</v>
      </c>
      <c r="O235" s="198">
        <f>+GETPIVOTDATA(" New-Oth PP",'Pivot Table for 1-11'!$A$3,"State","LA","SREB Type",6,"SREB Type2","Four-Year")</f>
        <v>0</v>
      </c>
      <c r="P235" s="199">
        <f t="shared" si="7"/>
        <v>592</v>
      </c>
      <c r="Q235" s="197"/>
    </row>
    <row r="236" spans="1:17" ht="15" customHeight="1">
      <c r="A236" s="196" t="s">
        <v>28</v>
      </c>
      <c r="B236" s="197">
        <f>+GETPIVOTDATA(" New-Less Than 2-Year",'Pivot Table for 1-11'!$A$3,"State","MD","SREB Type",6,"SREB Type2","Four-Year")+GETPIVOTDATA(" New-2 But Less Than 4-Year",'Pivot Table for 1-11'!$A$3,"State","MD","SREB Type",6,"SREB Type2","Four-Year")</f>
        <v>0</v>
      </c>
      <c r="C236" s="197">
        <f>+GETPIVOTDATA(" New-Associate's",'Pivot Table for 1-11'!$A$3,"State","MD","SREB Type",6,"SREB Type2","Four-Year")</f>
        <v>0</v>
      </c>
      <c r="D236" s="197">
        <f>+GETPIVOTDATA(" New-Bachelor's",'Pivot Table for 1-11'!$A$3,"State","MD","SREB Type",6,"SREB Type2","Four-Year")</f>
        <v>0</v>
      </c>
      <c r="E236" s="197">
        <f>+GETPIVOTDATA(" New-Post-Bachelor's",'Pivot Table for 1-11'!$A$3,"State","MD","SREB Type",6,"SREB Type2","Four-Year")</f>
        <v>0</v>
      </c>
      <c r="F236" s="197">
        <f>+GETPIVOTDATA(" New-Total Master's#",'Pivot Table for 1-11'!$A$3,"State","MD","SREB Type",6,"SREB Type2","Four-Year")</f>
        <v>0</v>
      </c>
      <c r="G236" s="197">
        <f>+GETPIVOTDATA(" New-Total Doctorates#",'Pivot Table for 1-11'!$A$3,"State","MD","SREB Type",6,"SREB Type2","Four-Year")</f>
        <v>0</v>
      </c>
      <c r="H236" s="230">
        <f>+GETPIVOTDATA(" New-Law",'Pivot Table for 1-11'!$A$3,"State","MD","SREB Type",6,"SREB Type2","Four-Year")</f>
        <v>0</v>
      </c>
      <c r="I236" s="197">
        <f>+GETPIVOTDATA(" New-Medicine",'Pivot Table for 1-11'!$A$3,"State","MD","SREB Type",6,"SREB Type2","Four-Year")</f>
        <v>0</v>
      </c>
      <c r="J236" s="197">
        <f>+GETPIVOTDATA(" New-Dentistry",'Pivot Table for 1-11'!$A$3,"State","MD","SREB Type",6,"SREB Type2","Four-Year")</f>
        <v>0</v>
      </c>
      <c r="K236" s="197">
        <f>+GETPIVOTDATA(" New-Pharmacy",'Pivot Table for 1-11'!$A$3,"State","MD","SREB Type",6,"SREB Type2","Four-Year")</f>
        <v>0</v>
      </c>
      <c r="L236" s="197">
        <f>+GETPIVOTDATA(" New-Optometry",'Pivot Table for 1-11'!$A$3,"State","MD","SREB Type",6,"SREB Type2","Four-Year")</f>
        <v>0</v>
      </c>
      <c r="M236" s="197">
        <f>+GETPIVOTDATA(" New-Osteopathic Medicine",'Pivot Table for 1-11'!$A$3,"State","MD","SREB Type",6,"SREB Type2","Four-Year")</f>
        <v>0</v>
      </c>
      <c r="N236" s="197">
        <f>+GETPIVOTDATA(" New-Veterinary Medicine",'Pivot Table for 1-11'!$A$3,"State","MD","SREB Type",6,"SREB Type2","Four-Year")</f>
        <v>0</v>
      </c>
      <c r="O236" s="198">
        <f>+GETPIVOTDATA(" New-Oth PP",'Pivot Table for 1-11'!$A$3,"State","MD","SREB Type",6,"SREB Type2","Four-Year")</f>
        <v>0</v>
      </c>
      <c r="P236" s="199">
        <f t="shared" si="7"/>
        <v>0</v>
      </c>
      <c r="Q236" s="197"/>
    </row>
    <row r="237" spans="1:17" ht="15" customHeight="1">
      <c r="A237" s="196"/>
      <c r="B237" s="197"/>
      <c r="C237" s="197"/>
      <c r="D237" s="197"/>
      <c r="E237" s="197"/>
      <c r="F237" s="197"/>
      <c r="G237" s="197"/>
      <c r="H237" s="230"/>
      <c r="I237" s="197"/>
      <c r="J237" s="197"/>
      <c r="K237" s="197"/>
      <c r="L237" s="197"/>
      <c r="M237" s="197"/>
      <c r="N237" s="197"/>
      <c r="O237" s="198"/>
      <c r="P237" s="199"/>
      <c r="Q237" s="197"/>
    </row>
    <row r="238" spans="1:17" ht="15" customHeight="1">
      <c r="A238" s="196" t="s">
        <v>29</v>
      </c>
      <c r="B238" s="197">
        <f>+GETPIVOTDATA(" New-Less Than 2-Year",'Pivot Table for 1-11'!$A$3,"State","MS","SREB Type",6,"SREB Type2","Four-Year")+GETPIVOTDATA(" New-2 But Less Than 4-Year",'Pivot Table for 1-11'!$A$3,"State","MS","SREB Type",6,"SREB Type2","Four-Year")</f>
        <v>0</v>
      </c>
      <c r="C238" s="197">
        <f>+GETPIVOTDATA(" New-Associate's",'Pivot Table for 1-11'!$A$3,"State","MS","SREB Type",6,"SREB Type2","Four-Year")</f>
        <v>0</v>
      </c>
      <c r="D238" s="197">
        <f>+GETPIVOTDATA(" New-Bachelor's",'Pivot Table for 1-11'!$A$3,"State","MS","SREB Type",6,"SREB Type2","Four-Year")</f>
        <v>0</v>
      </c>
      <c r="E238" s="197">
        <f>+GETPIVOTDATA(" New-Post-Bachelor's",'Pivot Table for 1-11'!$A$3,"State","MS","SREB Type",6,"SREB Type2","Four-Year")</f>
        <v>0</v>
      </c>
      <c r="F238" s="197">
        <f>+GETPIVOTDATA(" New-Total Master's#",'Pivot Table for 1-11'!$A$3,"State","MS","SREB Type",6,"SREB Type2","Four-Year")</f>
        <v>0</v>
      </c>
      <c r="G238" s="197">
        <f>+GETPIVOTDATA(" New-Total Doctorates#",'Pivot Table for 1-11'!$A$3,"State","MS","SREB Type",6,"SREB Type2","Four-Year")</f>
        <v>0</v>
      </c>
      <c r="H238" s="230">
        <f>+GETPIVOTDATA(" New-Law",'Pivot Table for 1-11'!$A$3,"State","MS","SREB Type",6,"SREB Type2","Four-Year")</f>
        <v>0</v>
      </c>
      <c r="I238" s="197">
        <f>+GETPIVOTDATA(" New-Medicine",'Pivot Table for 1-11'!$A$3,"State","MS","SREB Type",6,"SREB Type2","Four-Year")</f>
        <v>0</v>
      </c>
      <c r="J238" s="197">
        <f>+GETPIVOTDATA(" New-Dentistry",'Pivot Table for 1-11'!$A$3,"State","MS","SREB Type",6,"SREB Type2","Four-Year")</f>
        <v>0</v>
      </c>
      <c r="K238" s="197">
        <f>+GETPIVOTDATA(" New-Pharmacy",'Pivot Table for 1-11'!$A$3,"State","MS","SREB Type",6,"SREB Type2","Four-Year")</f>
        <v>0</v>
      </c>
      <c r="L238" s="197">
        <f>+GETPIVOTDATA(" New-Optometry",'Pivot Table for 1-11'!$A$3,"State","MS","SREB Type",6,"SREB Type2","Four-Year")</f>
        <v>0</v>
      </c>
      <c r="M238" s="197">
        <f>+GETPIVOTDATA(" New-Osteopathic Medicine",'Pivot Table for 1-11'!$A$3,"State","MS","SREB Type",6,"SREB Type2","Four-Year")</f>
        <v>0</v>
      </c>
      <c r="N238" s="197">
        <f>+GETPIVOTDATA(" New-Veterinary Medicine",'Pivot Table for 1-11'!$A$3,"State","MS","SREB Type",6,"SREB Type2","Four-Year")</f>
        <v>0</v>
      </c>
      <c r="O238" s="198">
        <f>+GETPIVOTDATA(" New-Oth PP",'Pivot Table for 1-11'!$A$3,"State","MS","SREB Type",6,"SREB Type2","Four-Year")</f>
        <v>0</v>
      </c>
      <c r="P238" s="199">
        <f t="shared" si="7"/>
        <v>0</v>
      </c>
      <c r="Q238" s="197"/>
    </row>
    <row r="239" spans="1:17" ht="15" customHeight="1">
      <c r="A239" s="196" t="s">
        <v>30</v>
      </c>
      <c r="B239" s="197">
        <f>+GETPIVOTDATA(" New-Less Than 2-Year",'Pivot Table for 1-11'!$A$3,"State","NC","SREB Type",6,"SREB Type2","Four-Year")+GETPIVOTDATA(" New-2 But Less Than 4-Year",'Pivot Table for 1-11'!$A$3,"State","NC","SREB Type",6,"SREB Type2","Four-Year")</f>
        <v>0</v>
      </c>
      <c r="C239" s="197">
        <f>+GETPIVOTDATA(" New-Associate's",'Pivot Table for 1-11'!$A$3,"State","NC","SREB Type",6,"SREB Type2","Four-Year")</f>
        <v>0</v>
      </c>
      <c r="D239" s="197">
        <f>+GETPIVOTDATA(" New-Bachelor's",'Pivot Table for 1-11'!$A$3,"State","NC","SREB Type",6,"SREB Type2","Four-Year")</f>
        <v>999</v>
      </c>
      <c r="E239" s="197">
        <f>+GETPIVOTDATA(" New-Post-Bachelor's",'Pivot Table for 1-11'!$A$3,"State","NC","SREB Type",6,"SREB Type2","Four-Year")</f>
        <v>0</v>
      </c>
      <c r="F239" s="197">
        <f>+GETPIVOTDATA(" New-Total Master's#",'Pivot Table for 1-11'!$A$3,"State","NC","SREB Type",6,"SREB Type2","Four-Year")</f>
        <v>27</v>
      </c>
      <c r="G239" s="197">
        <f>+GETPIVOTDATA(" New-Total Doctorates#",'Pivot Table for 1-11'!$A$3,"State","NC","SREB Type",6,"SREB Type2","Four-Year")</f>
        <v>0</v>
      </c>
      <c r="H239" s="230">
        <f>+GETPIVOTDATA(" New-Law",'Pivot Table for 1-11'!$A$3,"State","NC","SREB Type",6,"SREB Type2","Four-Year")</f>
        <v>0</v>
      </c>
      <c r="I239" s="197">
        <f>+GETPIVOTDATA(" New-Medicine",'Pivot Table for 1-11'!$A$3,"State","NC","SREB Type",6,"SREB Type2","Four-Year")</f>
        <v>0</v>
      </c>
      <c r="J239" s="197">
        <f>+GETPIVOTDATA(" New-Dentistry",'Pivot Table for 1-11'!$A$3,"State","NC","SREB Type",6,"SREB Type2","Four-Year")</f>
        <v>0</v>
      </c>
      <c r="K239" s="197">
        <f>+GETPIVOTDATA(" New-Pharmacy",'Pivot Table for 1-11'!$A$3,"State","NC","SREB Type",6,"SREB Type2","Four-Year")</f>
        <v>0</v>
      </c>
      <c r="L239" s="197">
        <f>+GETPIVOTDATA(" New-Optometry",'Pivot Table for 1-11'!$A$3,"State","NC","SREB Type",6,"SREB Type2","Four-Year")</f>
        <v>0</v>
      </c>
      <c r="M239" s="197">
        <f>+GETPIVOTDATA(" New-Osteopathic Medicine",'Pivot Table for 1-11'!$A$3,"State","NC","SREB Type",6,"SREB Type2","Four-Year")</f>
        <v>0</v>
      </c>
      <c r="N239" s="197">
        <f>+GETPIVOTDATA(" New-Veterinary Medicine",'Pivot Table for 1-11'!$A$3,"State","NC","SREB Type",6,"SREB Type2","Four-Year")</f>
        <v>0</v>
      </c>
      <c r="O239" s="198">
        <f>+GETPIVOTDATA(" New-Oth PP",'Pivot Table for 1-11'!$A$3,"State","NC","SREB Type",6,"SREB Type2","Four-Year")</f>
        <v>0</v>
      </c>
      <c r="P239" s="199">
        <f t="shared" si="7"/>
        <v>1026</v>
      </c>
      <c r="Q239" s="197"/>
    </row>
    <row r="240" spans="1:17" ht="15" customHeight="1">
      <c r="A240" s="196" t="s">
        <v>31</v>
      </c>
      <c r="B240" s="197">
        <f>+GETPIVOTDATA(" New-Less Than 2-Year",'Pivot Table for 1-11'!$A$3,"State","OK","SREB Type",6,"SREB Type2","Four-Year")+GETPIVOTDATA(" New-2 But Less Than 4-Year",'Pivot Table for 1-11'!$A$3,"State","OK","SREB Type",6,"SREB Type2","Four-Year")</f>
        <v>0</v>
      </c>
      <c r="C240" s="197">
        <f>+GETPIVOTDATA(" New-Associate's",'Pivot Table for 1-11'!$A$3,"State","OK","SREB Type",6,"SREB Type2","Four-Year")</f>
        <v>0</v>
      </c>
      <c r="D240" s="197">
        <f>+GETPIVOTDATA(" New-Bachelor's",'Pivot Table for 1-11'!$A$3,"State","OK","SREB Type",6,"SREB Type2","Four-Year")</f>
        <v>0</v>
      </c>
      <c r="E240" s="197">
        <f>+GETPIVOTDATA(" New-Post-Bachelor's",'Pivot Table for 1-11'!$A$3,"State","OK","SREB Type",6,"SREB Type2","Four-Year")</f>
        <v>0</v>
      </c>
      <c r="F240" s="197">
        <f>+GETPIVOTDATA(" New-Total Master's#",'Pivot Table for 1-11'!$A$3,"State","OK","SREB Type",6,"SREB Type2","Four-Year")</f>
        <v>0</v>
      </c>
      <c r="G240" s="197">
        <f>+GETPIVOTDATA(" New-Total Doctorates#",'Pivot Table for 1-11'!$A$3,"State","OK","SREB Type",6,"SREB Type2","Four-Year")</f>
        <v>0</v>
      </c>
      <c r="H240" s="230">
        <f>+GETPIVOTDATA(" New-Law",'Pivot Table for 1-11'!$A$3,"State","OK","SREB Type",6,"SREB Type2","Four-Year")</f>
        <v>0</v>
      </c>
      <c r="I240" s="197">
        <f>+GETPIVOTDATA(" New-Medicine",'Pivot Table for 1-11'!$A$3,"State","OK","SREB Type",6,"SREB Type2","Four-Year")</f>
        <v>0</v>
      </c>
      <c r="J240" s="197">
        <f>+GETPIVOTDATA(" New-Dentistry",'Pivot Table for 1-11'!$A$3,"State","OK","SREB Type",6,"SREB Type2","Four-Year")</f>
        <v>0</v>
      </c>
      <c r="K240" s="197">
        <f>+GETPIVOTDATA(" New-Pharmacy",'Pivot Table for 1-11'!$A$3,"State","OK","SREB Type",6,"SREB Type2","Four-Year")</f>
        <v>0</v>
      </c>
      <c r="L240" s="197">
        <f>+GETPIVOTDATA(" New-Optometry",'Pivot Table for 1-11'!$A$3,"State","OK","SREB Type",6,"SREB Type2","Four-Year")</f>
        <v>0</v>
      </c>
      <c r="M240" s="197">
        <f>+GETPIVOTDATA(" New-Osteopathic Medicine",'Pivot Table for 1-11'!$A$3,"State","OK","SREB Type",6,"SREB Type2","Four-Year")</f>
        <v>0</v>
      </c>
      <c r="N240" s="197">
        <f>+GETPIVOTDATA(" New-Veterinary Medicine",'Pivot Table for 1-11'!$A$3,"State","OK","SREB Type",6,"SREB Type2","Four-Year")</f>
        <v>0</v>
      </c>
      <c r="O240" s="198">
        <f>+GETPIVOTDATA(" New-Oth PP",'Pivot Table for 1-11'!$A$3,"State","OK","SREB Type",6,"SREB Type2","Four-Year")</f>
        <v>0</v>
      </c>
      <c r="P240" s="199">
        <f t="shared" si="7"/>
        <v>0</v>
      </c>
      <c r="Q240" s="197"/>
    </row>
    <row r="241" spans="1:43" ht="15" customHeight="1">
      <c r="A241" s="196" t="s">
        <v>32</v>
      </c>
      <c r="B241" s="197">
        <f>+GETPIVOTDATA(" New-Less Than 2-Year",'Pivot Table for 1-11'!$A$3,"State","SC","SREB Type",6,"SREB Type2","Four-Year")+GETPIVOTDATA(" New-2 But Less Than 4-Year",'Pivot Table for 1-11'!$A$3,"State","SC","SREB Type",6,"SREB Type2","Four-Year")</f>
        <v>5</v>
      </c>
      <c r="C241" s="197">
        <f>+GETPIVOTDATA(" New-Associate's",'Pivot Table for 1-11'!$A$3,"State","SC","SREB Type",6,"SREB Type2","Four-Year")</f>
        <v>0</v>
      </c>
      <c r="D241" s="197">
        <f>+GETPIVOTDATA(" New-Bachelor's",'Pivot Table for 1-11'!$A$3,"State","SC","SREB Type",6,"SREB Type2","Four-Year")</f>
        <v>2745</v>
      </c>
      <c r="E241" s="197">
        <f>+GETPIVOTDATA(" New-Post-Bachelor's",'Pivot Table for 1-11'!$A$3,"State","SC","SREB Type",6,"SREB Type2","Four-Year")</f>
        <v>2</v>
      </c>
      <c r="F241" s="197">
        <f>+GETPIVOTDATA(" New-Total Master's#",'Pivot Table for 1-11'!$A$3,"State","SC","SREB Type",6,"SREB Type2","Four-Year")</f>
        <v>117</v>
      </c>
      <c r="G241" s="197">
        <f>+GETPIVOTDATA(" New-Total Doctorates#",'Pivot Table for 1-11'!$A$3,"State","SC","SREB Type",6,"SREB Type2","Four-Year")</f>
        <v>0</v>
      </c>
      <c r="H241" s="230">
        <f>+GETPIVOTDATA(" New-Law",'Pivot Table for 1-11'!$A$3,"State","SC","SREB Type",6,"SREB Type2","Four-Year")</f>
        <v>0</v>
      </c>
      <c r="I241" s="197">
        <f>+GETPIVOTDATA(" New-Medicine",'Pivot Table for 1-11'!$A$3,"State","SC","SREB Type",6,"SREB Type2","Four-Year")</f>
        <v>0</v>
      </c>
      <c r="J241" s="197">
        <f>+GETPIVOTDATA(" New-Dentistry",'Pivot Table for 1-11'!$A$3,"State","SC","SREB Type",6,"SREB Type2","Four-Year")</f>
        <v>0</v>
      </c>
      <c r="K241" s="197">
        <f>+GETPIVOTDATA(" New-Pharmacy",'Pivot Table for 1-11'!$A$3,"State","SC","SREB Type",6,"SREB Type2","Four-Year")</f>
        <v>0</v>
      </c>
      <c r="L241" s="197">
        <f>+GETPIVOTDATA(" New-Optometry",'Pivot Table for 1-11'!$A$3,"State","SC","SREB Type",6,"SREB Type2","Four-Year")</f>
        <v>0</v>
      </c>
      <c r="M241" s="197">
        <f>+GETPIVOTDATA(" New-Osteopathic Medicine",'Pivot Table for 1-11'!$A$3,"State","SC","SREB Type",6,"SREB Type2","Four-Year")</f>
        <v>0</v>
      </c>
      <c r="N241" s="197">
        <f>+GETPIVOTDATA(" New-Veterinary Medicine",'Pivot Table for 1-11'!$A$3,"State","SC","SREB Type",6,"SREB Type2","Four-Year")</f>
        <v>0</v>
      </c>
      <c r="O241" s="198">
        <f>+GETPIVOTDATA(" New-Oth PP",'Pivot Table for 1-11'!$A$3,"State","SC","SREB Type",6,"SREB Type2","Four-Year")</f>
        <v>0</v>
      </c>
      <c r="P241" s="199">
        <f t="shared" si="7"/>
        <v>2869</v>
      </c>
      <c r="Q241" s="197"/>
    </row>
    <row r="242" spans="1:43" ht="15" customHeight="1">
      <c r="A242" s="196"/>
      <c r="B242" s="197"/>
      <c r="C242" s="197"/>
      <c r="D242" s="197"/>
      <c r="E242" s="197"/>
      <c r="F242" s="197"/>
      <c r="G242" s="197"/>
      <c r="H242" s="230"/>
      <c r="I242" s="197"/>
      <c r="J242" s="197"/>
      <c r="K242" s="197"/>
      <c r="L242" s="197"/>
      <c r="M242" s="197"/>
      <c r="N242" s="197"/>
      <c r="O242" s="198"/>
      <c r="P242" s="199"/>
      <c r="Q242" s="197"/>
    </row>
    <row r="243" spans="1:43" ht="15" customHeight="1">
      <c r="A243" s="196" t="s">
        <v>33</v>
      </c>
      <c r="B243" s="197">
        <f>+GETPIVOTDATA(" New-Less Than 2-Year",'Pivot Table for 1-11'!$A$3,"State","TN","SREB Type",6,"SREB Type2","Four-Year")+GETPIVOTDATA(" New-2 But Less Than 4-Year",'Pivot Table for 1-11'!$A$3,"State","TN","SREB Type",6,"SREB Type2","Four-Year")</f>
        <v>0</v>
      </c>
      <c r="C243" s="197">
        <f>+GETPIVOTDATA(" New-Associate's",'Pivot Table for 1-11'!$A$3,"State","TN","SREB Type",6,"SREB Type2","Four-Year")</f>
        <v>0</v>
      </c>
      <c r="D243" s="197">
        <f>+GETPIVOTDATA(" New-Bachelor's",'Pivot Table for 1-11'!$A$3,"State","TN","SREB Type",6,"SREB Type2","Four-Year")</f>
        <v>0</v>
      </c>
      <c r="E243" s="197">
        <f>+GETPIVOTDATA(" New-Post-Bachelor's",'Pivot Table for 1-11'!$A$3,"State","TN","SREB Type",6,"SREB Type2","Four-Year")</f>
        <v>0</v>
      </c>
      <c r="F243" s="197">
        <f>+GETPIVOTDATA(" New-Total Master's#",'Pivot Table for 1-11'!$A$3,"State","TN","SREB Type",6,"SREB Type2","Four-Year")</f>
        <v>0</v>
      </c>
      <c r="G243" s="197">
        <f>+GETPIVOTDATA(" New-Total Doctorates#",'Pivot Table for 1-11'!$A$3,"State","TN","SREB Type",6,"SREB Type2","Four-Year")</f>
        <v>0</v>
      </c>
      <c r="H243" s="230">
        <f>+GETPIVOTDATA(" New-Law",'Pivot Table for 1-11'!$A$3,"State","TN","SREB Type",6,"SREB Type2","Four-Year")</f>
        <v>0</v>
      </c>
      <c r="I243" s="197">
        <f>+GETPIVOTDATA(" New-Medicine",'Pivot Table for 1-11'!$A$3,"State","TN","SREB Type",6,"SREB Type2","Four-Year")</f>
        <v>0</v>
      </c>
      <c r="J243" s="197">
        <f>+GETPIVOTDATA(" New-Dentistry",'Pivot Table for 1-11'!$A$3,"State","TN","SREB Type",6,"SREB Type2","Four-Year")</f>
        <v>0</v>
      </c>
      <c r="K243" s="197">
        <f>+GETPIVOTDATA(" New-Pharmacy",'Pivot Table for 1-11'!$A$3,"State","TN","SREB Type",6,"SREB Type2","Four-Year")</f>
        <v>0</v>
      </c>
      <c r="L243" s="197">
        <f>+GETPIVOTDATA(" New-Optometry",'Pivot Table for 1-11'!$A$3,"State","TN","SREB Type",6,"SREB Type2","Four-Year")</f>
        <v>0</v>
      </c>
      <c r="M243" s="197">
        <f>+GETPIVOTDATA(" New-Osteopathic Medicine",'Pivot Table for 1-11'!$A$3,"State","TN","SREB Type",6,"SREB Type2","Four-Year")</f>
        <v>0</v>
      </c>
      <c r="N243" s="197">
        <f>+GETPIVOTDATA(" New-Veterinary Medicine",'Pivot Table for 1-11'!$A$3,"State","TN","SREB Type",6,"SREB Type2","Four-Year")</f>
        <v>0</v>
      </c>
      <c r="O243" s="198">
        <f>+GETPIVOTDATA(" New-Oth PP",'Pivot Table for 1-11'!$A$3,"State","TN","SREB Type",6,"SREB Type2","Four-Year")</f>
        <v>0</v>
      </c>
      <c r="P243" s="199">
        <f t="shared" si="7"/>
        <v>0</v>
      </c>
      <c r="Q243" s="197"/>
    </row>
    <row r="244" spans="1:43" ht="15" customHeight="1">
      <c r="A244" s="196" t="s">
        <v>34</v>
      </c>
      <c r="B244" s="197">
        <f>+GETPIVOTDATA(" New-Less Than 2-Year",'Pivot Table for 1-11'!$A$3,"State","TX","SREB Type",6,"SREB Type2","Four-Year")+GETPIVOTDATA(" New-2 But Less Than 4-Year",'Pivot Table for 1-11'!$A$3,"State","TX","SREB Type",6,"SREB Type2","Four-Year")</f>
        <v>0</v>
      </c>
      <c r="C244" s="197">
        <f>+GETPIVOTDATA(" New-Associate's",'Pivot Table for 1-11'!$A$3,"State","TX","SREB Type",6,"SREB Type2","Four-Year")</f>
        <v>0</v>
      </c>
      <c r="D244" s="197">
        <f>+GETPIVOTDATA(" New-Bachelor's",'Pivot Table for 1-11'!$A$3,"State","TX","SREB Type",6,"SREB Type2","Four-Year")</f>
        <v>0</v>
      </c>
      <c r="E244" s="197">
        <f>+GETPIVOTDATA(" New-Post-Bachelor's",'Pivot Table for 1-11'!$A$3,"State","TX","SREB Type",6,"SREB Type2","Four-Year")</f>
        <v>0</v>
      </c>
      <c r="F244" s="197">
        <f>+GETPIVOTDATA(" New-Total Master's#",'Pivot Table for 1-11'!$A$3,"State","TX","SREB Type",6,"SREB Type2","Four-Year")</f>
        <v>0</v>
      </c>
      <c r="G244" s="197">
        <f>+GETPIVOTDATA(" New-Total Doctorates#",'Pivot Table for 1-11'!$A$3,"State","TX","SREB Type",6,"SREB Type2","Four-Year")</f>
        <v>0</v>
      </c>
      <c r="H244" s="230">
        <f>+GETPIVOTDATA(" New-Law",'Pivot Table for 1-11'!$A$3,"State","TX","SREB Type",6,"SREB Type2","Four-Year")</f>
        <v>0</v>
      </c>
      <c r="I244" s="197">
        <f>+GETPIVOTDATA(" New-Medicine",'Pivot Table for 1-11'!$A$3,"State","TX","SREB Type",6,"SREB Type2","Four-Year")</f>
        <v>0</v>
      </c>
      <c r="J244" s="197">
        <f>+GETPIVOTDATA(" New-Dentistry",'Pivot Table for 1-11'!$A$3,"State","TX","SREB Type",6,"SREB Type2","Four-Year")</f>
        <v>0</v>
      </c>
      <c r="K244" s="197">
        <f>+GETPIVOTDATA(" New-Pharmacy",'Pivot Table for 1-11'!$A$3,"State","TX","SREB Type",6,"SREB Type2","Four-Year")</f>
        <v>0</v>
      </c>
      <c r="L244" s="197">
        <f>+GETPIVOTDATA(" New-Optometry",'Pivot Table for 1-11'!$A$3,"State","TX","SREB Type",6,"SREB Type2","Four-Year")</f>
        <v>0</v>
      </c>
      <c r="M244" s="197">
        <f>+GETPIVOTDATA(" New-Osteopathic Medicine",'Pivot Table for 1-11'!$A$3,"State","TX","SREB Type",6,"SREB Type2","Four-Year")</f>
        <v>0</v>
      </c>
      <c r="N244" s="197">
        <f>+GETPIVOTDATA(" New-Veterinary Medicine",'Pivot Table for 1-11'!$A$3,"State","TX","SREB Type",6,"SREB Type2","Four-Year")</f>
        <v>0</v>
      </c>
      <c r="O244" s="198">
        <f>+GETPIVOTDATA(" New-Oth PP",'Pivot Table for 1-11'!$A$3,"State","TX","SREB Type",6,"SREB Type2","Four-Year")</f>
        <v>0</v>
      </c>
      <c r="P244" s="199">
        <f t="shared" si="7"/>
        <v>0</v>
      </c>
      <c r="Q244" s="197"/>
    </row>
    <row r="245" spans="1:43" ht="15" customHeight="1">
      <c r="A245" s="196" t="s">
        <v>35</v>
      </c>
      <c r="B245" s="197">
        <f>+GETPIVOTDATA(" New-Less Than 2-Year",'Pivot Table for 1-11'!$A$3,"State","VA","SREB Type",6,"SREB Type2","Four-Year")+GETPIVOTDATA(" New-2 But Less Than 4-Year",'Pivot Table for 1-11'!$A$3,"State","VA","SREB Type",6,"SREB Type2","Four-Year")</f>
        <v>0</v>
      </c>
      <c r="C245" s="197">
        <f>+GETPIVOTDATA(" New-Associate's",'Pivot Table for 1-11'!$A$3,"State","VA","SREB Type",6,"SREB Type2","Four-Year")</f>
        <v>0</v>
      </c>
      <c r="D245" s="197">
        <f>+GETPIVOTDATA(" New-Bachelor's",'Pivot Table for 1-11'!$A$3,"State","VA","SREB Type",6,"SREB Type2","Four-Year")</f>
        <v>232</v>
      </c>
      <c r="E245" s="197">
        <f>+GETPIVOTDATA(" New-Post-Bachelor's",'Pivot Table for 1-11'!$A$3,"State","VA","SREB Type",6,"SREB Type2","Four-Year")</f>
        <v>0</v>
      </c>
      <c r="F245" s="197">
        <f>+GETPIVOTDATA(" New-Total Master's#",'Pivot Table for 1-11'!$A$3,"State","VA","SREB Type",6,"SREB Type2","Four-Year")</f>
        <v>0</v>
      </c>
      <c r="G245" s="197">
        <f>+GETPIVOTDATA(" New-Total Doctorates#",'Pivot Table for 1-11'!$A$3,"State","VA","SREB Type",6,"SREB Type2","Four-Year")</f>
        <v>0</v>
      </c>
      <c r="H245" s="230">
        <f>+GETPIVOTDATA(" New-Law",'Pivot Table for 1-11'!$A$3,"State","VA","SREB Type",6,"SREB Type2","Four-Year")</f>
        <v>0</v>
      </c>
      <c r="I245" s="197">
        <f>+GETPIVOTDATA(" New-Medicine",'Pivot Table for 1-11'!$A$3,"State","VA","SREB Type",6,"SREB Type2","Four-Year")</f>
        <v>0</v>
      </c>
      <c r="J245" s="197">
        <f>+GETPIVOTDATA(" New-Dentistry",'Pivot Table for 1-11'!$A$3,"State","VA","SREB Type",6,"SREB Type2","Four-Year")</f>
        <v>0</v>
      </c>
      <c r="K245" s="197">
        <f>+GETPIVOTDATA(" New-Pharmacy",'Pivot Table for 1-11'!$A$3,"State","VA","SREB Type",6,"SREB Type2","Four-Year")</f>
        <v>0</v>
      </c>
      <c r="L245" s="197">
        <f>+GETPIVOTDATA(" New-Optometry",'Pivot Table for 1-11'!$A$3,"State","VA","SREB Type",6,"SREB Type2","Four-Year")</f>
        <v>0</v>
      </c>
      <c r="M245" s="197">
        <f>+GETPIVOTDATA(" New-Osteopathic Medicine",'Pivot Table for 1-11'!$A$3,"State","VA","SREB Type",6,"SREB Type2","Four-Year")</f>
        <v>0</v>
      </c>
      <c r="N245" s="197">
        <f>+GETPIVOTDATA(" New-Veterinary Medicine",'Pivot Table for 1-11'!$A$3,"State","VA","SREB Type",6,"SREB Type2","Four-Year")</f>
        <v>0</v>
      </c>
      <c r="O245" s="198">
        <f>+GETPIVOTDATA(" New-Oth PP",'Pivot Table for 1-11'!$A$3,"State","VA","SREB Type",6,"SREB Type2","Four-Year")</f>
        <v>0</v>
      </c>
      <c r="P245" s="199">
        <f t="shared" si="7"/>
        <v>232</v>
      </c>
      <c r="Q245" s="197"/>
    </row>
    <row r="246" spans="1:43" ht="15" customHeight="1">
      <c r="A246" s="200" t="s">
        <v>36</v>
      </c>
      <c r="B246" s="201">
        <f>+GETPIVOTDATA(" New-Less Than 2-Year",'Pivot Table for 1-11'!$A$3,"State","WV","SREB Type",6,"SREB Type2","Four-Year")+GETPIVOTDATA(" New-2 But Less Than 4-Year",'Pivot Table for 1-11'!$A$3,"State","WV","SREB Type",6,"SREB Type2","Four-Year")</f>
        <v>0</v>
      </c>
      <c r="C246" s="201">
        <f>+GETPIVOTDATA(" New-Associate's",'Pivot Table for 1-11'!$A$3,"State","WV","SREB Type",6,"SREB Type2","Four-Year")</f>
        <v>296</v>
      </c>
      <c r="D246" s="201">
        <f>+GETPIVOTDATA(" New-Bachelor's",'Pivot Table for 1-11'!$A$3,"State","WV","SREB Type",6,"SREB Type2","Four-Year")</f>
        <v>875</v>
      </c>
      <c r="E246" s="201">
        <f>+GETPIVOTDATA(" New-Post-Bachelor's",'Pivot Table for 1-11'!$A$3,"State","WV","SREB Type",6,"SREB Type2","Four-Year")</f>
        <v>0</v>
      </c>
      <c r="F246" s="201">
        <f>+GETPIVOTDATA(" New-Total Master's#",'Pivot Table for 1-11'!$A$3,"State","WV","SREB Type",6,"SREB Type2","Four-Year")</f>
        <v>61</v>
      </c>
      <c r="G246" s="201">
        <f>+GETPIVOTDATA(" New-Total Doctorates#",'Pivot Table for 1-11'!$A$3,"State","WV","SREB Type",6,"SREB Type2","Four-Year")</f>
        <v>0</v>
      </c>
      <c r="H246" s="318">
        <f>+GETPIVOTDATA(" New-Law",'Pivot Table for 1-11'!$A$3,"State","WV","SREB Type",6,"SREB Type2","Four-Year")</f>
        <v>0</v>
      </c>
      <c r="I246" s="201">
        <f>+GETPIVOTDATA(" New-Medicine",'Pivot Table for 1-11'!$A$3,"State","WV","SREB Type",6,"SREB Type2","Four-Year")</f>
        <v>0</v>
      </c>
      <c r="J246" s="201">
        <f>+GETPIVOTDATA(" New-Dentistry",'Pivot Table for 1-11'!$A$3,"State","WV","SREB Type",6,"SREB Type2","Four-Year")</f>
        <v>0</v>
      </c>
      <c r="K246" s="201">
        <f>+GETPIVOTDATA(" New-Pharmacy",'Pivot Table for 1-11'!$A$3,"State","WV","SREB Type",6,"SREB Type2","Four-Year")</f>
        <v>0</v>
      </c>
      <c r="L246" s="201">
        <f>+GETPIVOTDATA(" New-Optometry",'Pivot Table for 1-11'!$A$3,"State","WV","SREB Type",6,"SREB Type2","Four-Year")</f>
        <v>0</v>
      </c>
      <c r="M246" s="201">
        <f>+GETPIVOTDATA(" New-Osteopathic Medicine",'Pivot Table for 1-11'!$A$3,"State","WV","SREB Type",6,"SREB Type2","Four-Year")</f>
        <v>0</v>
      </c>
      <c r="N246" s="201">
        <f>+GETPIVOTDATA(" New-Veterinary Medicine",'Pivot Table for 1-11'!$A$3,"State","WV","SREB Type",6,"SREB Type2","Four-Year")</f>
        <v>0</v>
      </c>
      <c r="O246" s="319">
        <f>+GETPIVOTDATA(" New-Oth PP",'Pivot Table for 1-11'!$A$3,"State","WV","SREB Type",6,"SREB Type2","Four-Year")</f>
        <v>0</v>
      </c>
      <c r="P246" s="203">
        <f t="shared" si="7"/>
        <v>1232</v>
      </c>
      <c r="Q246" s="197"/>
    </row>
    <row r="247" spans="1:43">
      <c r="B247" s="197"/>
      <c r="C247" s="197"/>
      <c r="D247" s="197"/>
      <c r="E247" s="197"/>
      <c r="F247" s="197"/>
      <c r="G247" s="197"/>
      <c r="H247" s="197"/>
      <c r="I247" s="197"/>
      <c r="J247" s="197"/>
      <c r="K247" s="197"/>
      <c r="L247" s="197"/>
      <c r="M247" s="197"/>
      <c r="N247" s="197"/>
      <c r="O247" s="197"/>
      <c r="P247" s="197"/>
      <c r="Q247" s="197"/>
    </row>
    <row r="248" spans="1:43" ht="29.25" customHeight="1">
      <c r="A248" s="545" t="s">
        <v>37</v>
      </c>
      <c r="B248" s="546"/>
      <c r="C248" s="546"/>
      <c r="D248" s="546"/>
      <c r="E248" s="546"/>
      <c r="F248" s="546"/>
      <c r="G248" s="546"/>
      <c r="H248" s="546"/>
      <c r="I248" s="546"/>
      <c r="J248" s="546"/>
      <c r="K248" s="546"/>
      <c r="L248" s="546"/>
      <c r="M248" s="546"/>
      <c r="N248" s="546"/>
      <c r="O248" s="546"/>
      <c r="P248" s="546"/>
      <c r="Q248" s="263"/>
    </row>
    <row r="249" spans="1:43" ht="15.5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204" t="s">
        <v>1178</v>
      </c>
      <c r="Q249" s="204"/>
    </row>
    <row r="250" spans="1:43" ht="18">
      <c r="A250" s="186" t="s">
        <v>56</v>
      </c>
      <c r="B250" s="187"/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 t="s">
        <v>1</v>
      </c>
      <c r="O250" s="187"/>
      <c r="P250" s="187"/>
      <c r="Q250" s="187" t="s">
        <v>1</v>
      </c>
    </row>
    <row r="251" spans="1:43" ht="15.75" customHeight="1">
      <c r="A251" s="188"/>
      <c r="B251" s="188"/>
      <c r="C251" s="188"/>
      <c r="D251" s="188"/>
      <c r="E251" s="188"/>
      <c r="F251" s="188"/>
      <c r="G251" s="188"/>
      <c r="H251" s="188"/>
      <c r="I251" s="188"/>
      <c r="J251" s="188"/>
      <c r="K251" s="188"/>
      <c r="L251" s="188"/>
      <c r="M251" s="188"/>
      <c r="N251" s="188" t="s">
        <v>1</v>
      </c>
      <c r="O251" s="188"/>
      <c r="P251" s="188"/>
      <c r="Q251" s="188"/>
    </row>
    <row r="252" spans="1:43" ht="15.5">
      <c r="A252" s="187" t="s">
        <v>2</v>
      </c>
      <c r="B252" s="187"/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 t="s">
        <v>1</v>
      </c>
      <c r="O252" s="187"/>
      <c r="P252" s="187"/>
      <c r="Q252" s="187" t="s">
        <v>1</v>
      </c>
    </row>
    <row r="253" spans="1:43" ht="15.5">
      <c r="A253" s="187" t="s">
        <v>1187</v>
      </c>
      <c r="B253" s="187"/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 t="s">
        <v>1</v>
      </c>
      <c r="O253" s="187"/>
      <c r="P253" s="187"/>
      <c r="Q253" s="65" t="s">
        <v>40</v>
      </c>
      <c r="R253" s="65" t="s">
        <v>40</v>
      </c>
    </row>
    <row r="254" spans="1:43">
      <c r="A254" s="188"/>
      <c r="B254" s="188"/>
      <c r="C254" s="188"/>
      <c r="D254" s="188"/>
      <c r="E254" s="188"/>
      <c r="F254" s="188"/>
      <c r="G254" s="188"/>
      <c r="H254" s="188"/>
      <c r="I254" s="188"/>
      <c r="N254" s="188" t="s">
        <v>1</v>
      </c>
      <c r="O254" s="188"/>
    </row>
    <row r="255" spans="1:43" ht="13">
      <c r="A255" s="206"/>
      <c r="B255" s="320" t="s">
        <v>58</v>
      </c>
      <c r="C255" s="320"/>
      <c r="D255" s="246"/>
      <c r="E255" s="247" t="s">
        <v>59</v>
      </c>
      <c r="F255" s="320"/>
      <c r="G255" s="246"/>
      <c r="H255" s="247" t="s">
        <v>60</v>
      </c>
      <c r="I255" s="246"/>
      <c r="J255" s="247" t="s">
        <v>61</v>
      </c>
      <c r="K255" s="246"/>
      <c r="L255" s="247" t="s">
        <v>62</v>
      </c>
      <c r="M255" s="320"/>
      <c r="N255" s="188" t="s">
        <v>1</v>
      </c>
      <c r="O255" s="188"/>
      <c r="Q255" s="112"/>
      <c r="R255" s="112"/>
      <c r="S255" s="112"/>
      <c r="AA255" s="248"/>
    </row>
    <row r="256" spans="1:43" ht="23.5">
      <c r="A256" s="193"/>
      <c r="B256" s="194" t="s">
        <v>5</v>
      </c>
      <c r="C256" s="194" t="s">
        <v>63</v>
      </c>
      <c r="D256" s="321" t="s">
        <v>64</v>
      </c>
      <c r="E256" s="317" t="s">
        <v>5</v>
      </c>
      <c r="F256" s="194" t="s">
        <v>63</v>
      </c>
      <c r="G256" s="321" t="s">
        <v>65</v>
      </c>
      <c r="H256" s="317" t="s">
        <v>5</v>
      </c>
      <c r="I256" s="321" t="s">
        <v>63</v>
      </c>
      <c r="J256" s="317" t="s">
        <v>5</v>
      </c>
      <c r="K256" s="321" t="s">
        <v>63</v>
      </c>
      <c r="L256" s="317" t="s">
        <v>5</v>
      </c>
      <c r="M256" s="194" t="s">
        <v>63</v>
      </c>
      <c r="N256" s="188"/>
      <c r="O256" s="188"/>
      <c r="Q256" s="249" t="s">
        <v>66</v>
      </c>
      <c r="R256" s="250" t="s">
        <v>41</v>
      </c>
      <c r="S256" s="249" t="s">
        <v>67</v>
      </c>
      <c r="V256" s="251"/>
      <c r="W256" s="251"/>
      <c r="X256" s="251"/>
      <c r="Y256" s="251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229"/>
      <c r="AM256" s="106"/>
      <c r="AN256" s="106"/>
      <c r="AO256" s="106"/>
      <c r="AP256" s="229"/>
      <c r="AQ256" s="106"/>
    </row>
    <row r="257" spans="1:42" ht="15" customHeight="1">
      <c r="A257" s="196" t="s">
        <v>20</v>
      </c>
      <c r="B257" s="197">
        <f>+GETPIVOTDATA(" New-Less Than 2-Year",'Pivot Table for 1-11'!$A$3,"SREB Type2","Two-Year")+GETPIVOTDATA(" New-2 But Less Than 4-Year",'Pivot Table for 1-11'!$A$3,"SREB Type2","Two-Year")</f>
        <v>185680</v>
      </c>
      <c r="C257" s="197">
        <f>+GETPIVOTDATA(" New-Associate's",'Pivot Table for 1-11'!$A$3,"SREB Type2","Two-Year")</f>
        <v>270921</v>
      </c>
      <c r="D257" s="197">
        <f>+GETPIVOTDATA(" New-Bachelor's",'Pivot Table for 1-11'!$A$3,"SREB Type2","Two-Year")</f>
        <v>604</v>
      </c>
      <c r="E257" s="322">
        <f>+GETPIVOTDATA(" New-Less Than 2-Year",'Pivot Table for 1-11'!$A$3,"SREB Type",7,"SREB Type2","Two-Year")+GETPIVOTDATA(" New-2 But Less Than 4-Year",'Pivot Table for 1-11'!$A$3,"SREB Type",7,"SREB Type2","Two-Year")</f>
        <v>39361</v>
      </c>
      <c r="F257" s="209">
        <f>+GETPIVOTDATA(" New-Associate's",'Pivot Table for 1-11'!$A$3,"SREB Type",7,"SREB Type2","Two-Year")</f>
        <v>72496</v>
      </c>
      <c r="G257" s="323">
        <f>+GETPIVOTDATA(" New-Bachelor's",'Pivot Table for 1-11'!$A$3,"SREB Type",7,"SREB Type2","Two-Year")</f>
        <v>553</v>
      </c>
      <c r="H257" s="322">
        <f>+GETPIVOTDATA(" New-Less Than 2-Year",'Pivot Table for 1-11'!$A$3,"SREB Type",8,"SREB Type2","Two-Year")+GETPIVOTDATA(" New-2 But Less Than 4-Year",'Pivot Table for 1-11'!$A$3,"SREB Type",8,"SREB Type2","Two-Year")</f>
        <v>60816</v>
      </c>
      <c r="I257" s="323">
        <f>+GETPIVOTDATA(" New-Associate's",'Pivot Table for 1-11'!$A$3,"SREB Type",8,"SREB Type2","Two-Year")</f>
        <v>117748</v>
      </c>
      <c r="J257" s="322">
        <f>+GETPIVOTDATA(" New-Less Than 2-Year",'Pivot Table for 1-11'!$A$3,"SREB Type",9,"SREB Type2","Two-Year")+GETPIVOTDATA(" New-2 But Less Than 4-Year",'Pivot Table for 1-11'!$A$3,"SREB Type",9,"SREB Type2","Two-Year")</f>
        <v>54474</v>
      </c>
      <c r="K257" s="323">
        <f>+GETPIVOTDATA(" New-Associate's",'Pivot Table for 1-11'!$A$3,"SREB Type",9,"SREB Type2","Two-Year")</f>
        <v>57025</v>
      </c>
      <c r="L257" s="197">
        <f>+GETPIVOTDATA(" New-Less Than 2-Year",'Pivot Table for 1-11'!$A$3,"SREB Type",10,"SREB Type2","Two-Year")+GETPIVOTDATA(" New-2 But Less Than 4-Year",'Pivot Table for 1-11'!$A$3,"SREB Type",10,"SREB Type2","Two-Year")</f>
        <v>31029</v>
      </c>
      <c r="M257" s="197">
        <f>+GETPIVOTDATA(" New-Associate's",'Pivot Table for 1-11'!$A$3,"SREB Type",10,"SREB Type2","Two-Year")</f>
        <v>23652</v>
      </c>
      <c r="N257" s="197"/>
      <c r="O257" s="197"/>
      <c r="Q257" s="233">
        <f>SUM(B257:D257)</f>
        <v>457205</v>
      </c>
      <c r="R257" s="252">
        <f>('New Tables 1-12'!Q257-'New Tables 1-12'!S257)/S257</f>
        <v>-2.8323259629525727E-2</v>
      </c>
      <c r="S257" s="233">
        <f>SUM('Old 1-12'!B257:D257)</f>
        <v>470532</v>
      </c>
      <c r="U257" s="196" t="s">
        <v>20</v>
      </c>
      <c r="V257" s="253"/>
      <c r="W257" s="253"/>
      <c r="X257" s="253"/>
      <c r="Y257" s="253"/>
      <c r="AL257" s="231"/>
      <c r="AP257" s="231"/>
    </row>
    <row r="258" spans="1:42" ht="15" customHeight="1">
      <c r="A258" s="196"/>
      <c r="B258" s="197"/>
      <c r="C258" s="197"/>
      <c r="D258" s="197"/>
      <c r="E258" s="230"/>
      <c r="F258" s="197"/>
      <c r="G258" s="198"/>
      <c r="H258" s="230"/>
      <c r="I258" s="198"/>
      <c r="J258" s="230"/>
      <c r="K258" s="198"/>
      <c r="L258" s="197"/>
      <c r="M258" s="197"/>
      <c r="N258" s="197"/>
      <c r="O258" s="197"/>
      <c r="P258" s="211"/>
      <c r="Q258" s="233"/>
      <c r="R258" s="252"/>
      <c r="S258" s="233"/>
      <c r="U258" s="196"/>
      <c r="V258" s="253"/>
      <c r="W258" s="253"/>
      <c r="X258" s="253"/>
      <c r="Y258" s="253"/>
      <c r="AL258" s="231"/>
      <c r="AP258" s="231"/>
    </row>
    <row r="259" spans="1:42" ht="15" customHeight="1">
      <c r="A259" s="196" t="s">
        <v>21</v>
      </c>
      <c r="B259" s="197">
        <f>+GETPIVOTDATA(" New-Less Than 2-Year",'Pivot Table for 1-11'!$A$3,"State","AL","SREB Type2","Two-Year")+GETPIVOTDATA(" New-2 But Less Than 4-Year",'Pivot Table for 1-11'!$A$3,"State","AL","SREB Type2","Two-Year")</f>
        <v>9996</v>
      </c>
      <c r="C259" s="197">
        <f>+GETPIVOTDATA(" New-Associate's",'Pivot Table for 1-11'!$A$3,"State","AL","SREB Type2","Two-Year")</f>
        <v>10135</v>
      </c>
      <c r="D259" s="197">
        <f>+GETPIVOTDATA(" New-Bachelor's",'Pivot Table for 1-11'!$A$3,"State","AL","SREB Type2","Two-Year")</f>
        <v>0</v>
      </c>
      <c r="E259" s="230">
        <f>+GETPIVOTDATA(" New-Less Than 2-Year",'Pivot Table for 1-11'!$A$3,"State","AL","SREB Type",7,"SREB Type2","Two-Year")+GETPIVOTDATA(" New-2 But Less Than 4-Year",'Pivot Table for 1-11'!$A$3,"State","AL","SREB Type",7,"SREB Type2","Two-Year")</f>
        <v>0</v>
      </c>
      <c r="F259" s="197">
        <f>+GETPIVOTDATA(" New-Associate's",'Pivot Table for 1-11'!$A$3,"State","AL","SREB Type",7,"SREB Type2","Two-Year")</f>
        <v>0</v>
      </c>
      <c r="G259" s="198">
        <f>+GETPIVOTDATA(" New-Bachelor's",'Pivot Table for 1-11'!$A$3,"State","AL","SREB Type",7,"SREB Type2","Two-Year")</f>
        <v>0</v>
      </c>
      <c r="H259" s="230">
        <f>+GETPIVOTDATA(" New-Less Than 2-Year",'Pivot Table for 1-11'!$A$3,"State","AL","SREB Type",8,"SREB Type2","Two-Year")+GETPIVOTDATA(" New-2 But Less Than 4-Year",'Pivot Table for 1-11'!$A$3,"State","AL","SREB Type",8,"SREB Type2","Two-Year")</f>
        <v>2192</v>
      </c>
      <c r="I259" s="198">
        <f>+GETPIVOTDATA(" New-Associate's",'Pivot Table for 1-11'!$A$3,"State","AL","SREB Type",8,"SREB Type2","Two-Year")</f>
        <v>2835</v>
      </c>
      <c r="J259" s="230">
        <f>+GETPIVOTDATA(" New-Less Than 2-Year",'Pivot Table for 1-11'!$A$3,"State","AL","SREB Type",9,"SREB Type2","Two-Year")+GETPIVOTDATA(" New-2 But Less Than 4-Year",'Pivot Table for 1-11'!$A$3,"State","AL","SREB Type",9,"SREB Type2","Two-Year")</f>
        <v>5662</v>
      </c>
      <c r="K259" s="198">
        <f>+GETPIVOTDATA(" New-Associate's",'Pivot Table for 1-11'!$A$3,"State","AL","SREB Type",9,"SREB Type2","Two-Year")</f>
        <v>5109</v>
      </c>
      <c r="L259" s="197">
        <f>+GETPIVOTDATA(" New-Less Than 2-Year",'Pivot Table for 1-11'!$A$3,"State","AL","SREB Type",10,"SREB Type2","Two-Year")+GETPIVOTDATA(" New-2 But Less Than 4-Year",'Pivot Table for 1-11'!$A$3,"State","AL","SREB Type",10,"SREB Type2","Two-Year")</f>
        <v>2142</v>
      </c>
      <c r="M259" s="197">
        <f>+GETPIVOTDATA(" New-Associate's",'Pivot Table for 1-11'!$A$3,"State","AL","SREB Type",10,"SREB Type2","Two-Year")</f>
        <v>2191</v>
      </c>
      <c r="N259" s="197"/>
      <c r="O259" s="197"/>
      <c r="Q259" s="233">
        <f>SUM(B259:D259)</f>
        <v>20131</v>
      </c>
      <c r="R259" s="252">
        <f>('New Tables 1-12'!Q259-'New Tables 1-12'!S259)/S259</f>
        <v>-3.1697931697931697E-2</v>
      </c>
      <c r="S259" s="233">
        <f>SUM('Old 1-12'!B259:D259)</f>
        <v>20790</v>
      </c>
      <c r="U259" s="196" t="s">
        <v>21</v>
      </c>
      <c r="V259" s="253"/>
      <c r="W259" s="253"/>
      <c r="X259" s="253"/>
      <c r="Y259" s="253"/>
      <c r="AA259" s="254"/>
      <c r="AL259" s="231"/>
      <c r="AP259" s="231"/>
    </row>
    <row r="260" spans="1:42" ht="15" customHeight="1">
      <c r="A260" s="196" t="s">
        <v>22</v>
      </c>
      <c r="B260" s="197">
        <f>+GETPIVOTDATA(" New-Less Than 2-Year",'Pivot Table for 1-11'!$A$3,"State","AR","SREB Type2","Two-Year")+GETPIVOTDATA(" New-2 But Less Than 4-Year",'Pivot Table for 1-11'!$A$3,"State","AR","SREB Type2","Two-Year")</f>
        <v>9482</v>
      </c>
      <c r="C260" s="197">
        <f>+GETPIVOTDATA(" New-Associate's",'Pivot Table for 1-11'!$A$3,"State","AR","SREB Type2","Two-Year")</f>
        <v>6438</v>
      </c>
      <c r="D260" s="197">
        <f>+GETPIVOTDATA(" New-Bachelor's",'Pivot Table for 1-11'!$A$3,"State","AR","SREB Type2","Two-Year")</f>
        <v>0</v>
      </c>
      <c r="E260" s="230">
        <f>+GETPIVOTDATA(" New-Less Than 2-Year",'Pivot Table for 1-11'!$A$3,"State","AR","SREB Type",7,"SREB Type2","Two-Year")+GETPIVOTDATA(" New-2 But Less Than 4-Year",'Pivot Table for 1-11'!$A$3,"State","AR","SREB Type",7,"SREB Type2","Two-Year")</f>
        <v>0</v>
      </c>
      <c r="F260" s="197">
        <f>+GETPIVOTDATA(" New-Associate's",'Pivot Table for 1-11'!$A$3,"State","AR","SREB Type",7,"SREB Type2","Two-Year")</f>
        <v>0</v>
      </c>
      <c r="G260" s="198">
        <f>+GETPIVOTDATA(" New-Bachelor's",'Pivot Table for 1-11'!$A$3,"State","AR","SREB Type",7,"SREB Type2","Two-Year")</f>
        <v>0</v>
      </c>
      <c r="H260" s="230">
        <f>+GETPIVOTDATA(" New-Less Than 2-Year",'Pivot Table for 1-11'!$A$3,"State","AR","SREB Type",8,"SREB Type2","Two-Year")+GETPIVOTDATA(" New-2 But Less Than 4-Year",'Pivot Table for 1-11'!$A$3,"State","AR","SREB Type",8,"SREB Type2","Two-Year")</f>
        <v>748</v>
      </c>
      <c r="I260" s="198">
        <f>+GETPIVOTDATA(" New-Associate's",'Pivot Table for 1-11'!$A$3,"State","AR","SREB Type",8,"SREB Type2","Two-Year")</f>
        <v>1001</v>
      </c>
      <c r="J260" s="230">
        <f>+GETPIVOTDATA(" New-Less Than 2-Year",'Pivot Table for 1-11'!$A$3,"State","AR","SREB Type",9,"SREB Type2","Two-Year")+GETPIVOTDATA(" New-2 But Less Than 4-Year",'Pivot Table for 1-11'!$A$3,"State","AR","SREB Type",9,"SREB Type2","Two-Year")</f>
        <v>1529</v>
      </c>
      <c r="K260" s="198">
        <f>+GETPIVOTDATA(" New-Associate's",'Pivot Table for 1-11'!$A$3,"State","AR","SREB Type",9,"SREB Type2","Two-Year")</f>
        <v>1473</v>
      </c>
      <c r="L260" s="197">
        <f>+GETPIVOTDATA(" New-Less Than 2-Year",'Pivot Table for 1-11'!$A$3,"State","AR","SREB Type",10,"SREB Type2","Two-Year")+GETPIVOTDATA(" New-2 But Less Than 4-Year",'Pivot Table for 1-11'!$A$3,"State","AR","SREB Type",10,"SREB Type2","Two-Year")</f>
        <v>7205</v>
      </c>
      <c r="M260" s="197">
        <f>+GETPIVOTDATA(" New-Associate's",'Pivot Table for 1-11'!$A$3,"State","AR","SREB Type",10,"SREB Type2","Two-Year")</f>
        <v>3964</v>
      </c>
      <c r="N260" s="197"/>
      <c r="O260" s="197"/>
      <c r="P260" s="211"/>
      <c r="Q260" s="233">
        <f>SUM(B260:D260)</f>
        <v>15920</v>
      </c>
      <c r="R260" s="252">
        <f>('New Tables 1-12'!Q260-'New Tables 1-12'!S260)/S260</f>
        <v>-8.2050394972034826E-2</v>
      </c>
      <c r="S260" s="233">
        <f>SUM('Old 1-12'!B260:D260)</f>
        <v>17343</v>
      </c>
      <c r="U260" s="196" t="s">
        <v>22</v>
      </c>
      <c r="V260" s="253"/>
      <c r="W260" s="253"/>
      <c r="X260" s="253"/>
      <c r="Y260" s="253"/>
      <c r="AL260" s="231"/>
      <c r="AP260" s="231"/>
    </row>
    <row r="261" spans="1:42" ht="15" customHeight="1">
      <c r="A261" s="196" t="s">
        <v>23</v>
      </c>
      <c r="B261" s="197">
        <f>+GETPIVOTDATA(" New-Less Than 2-Year",'Pivot Table for 1-11'!$A$3,"State","DE","SREB Type2","Two-Year")+GETPIVOTDATA(" New-2 But Less Than 4-Year",'Pivot Table for 1-11'!$A$3,"State","DE","SREB Type2","Two-Year")</f>
        <v>173</v>
      </c>
      <c r="C261" s="197">
        <f>+GETPIVOTDATA(" New-Associate's",'Pivot Table for 1-11'!$A$3,"State","DE","SREB Type2","Two-Year")</f>
        <v>1596</v>
      </c>
      <c r="D261" s="197">
        <f>+GETPIVOTDATA(" New-Bachelor's",'Pivot Table for 1-11'!$A$3,"State","DE","SREB Type2","Two-Year")</f>
        <v>51</v>
      </c>
      <c r="E261" s="230">
        <f>+GETPIVOTDATA(" New-Less Than 2-Year",'Pivot Table for 1-11'!$A$3,"State","DE","SREB Type",7,"SREB Type2","Two-Year")+GETPIVOTDATA(" New-2 But Less Than 4-Year",'Pivot Table for 1-11'!$A$3,"State","DE","SREB Type",7,"SREB Type2","Two-Year")</f>
        <v>0</v>
      </c>
      <c r="F261" s="197">
        <f>+GETPIVOTDATA(" New-Associate's",'Pivot Table for 1-11'!$A$3,"State","DE","SREB Type",7,"SREB Type2","Two-Year")</f>
        <v>0</v>
      </c>
      <c r="G261" s="198">
        <f>+GETPIVOTDATA(" New-Bachelor's",'Pivot Table for 1-11'!$A$3,"State","DE","SREB Type",7,"SREB Type2","Two-Year")</f>
        <v>0</v>
      </c>
      <c r="H261" s="230">
        <f>+GETPIVOTDATA(" New-Less Than 2-Year",'Pivot Table for 1-11'!$A$3,"State","DE","SREB Type",8,"SREB Type2","Two-Year")+GETPIVOTDATA(" New-2 But Less Than 4-Year",'Pivot Table for 1-11'!$A$3,"State","DE","SREB Type",8,"SREB Type2","Two-Year")</f>
        <v>0</v>
      </c>
      <c r="I261" s="198">
        <f>+GETPIVOTDATA(" New-Associate's",'Pivot Table for 1-11'!$A$3,"State","DE","SREB Type",8,"SREB Type2","Two-Year")</f>
        <v>0</v>
      </c>
      <c r="J261" s="230">
        <f>+GETPIVOTDATA(" New-Less Than 2-Year",'Pivot Table for 1-11'!$A$3,"State","DE","SREB Type",9,"SREB Type2","Two-Year")+GETPIVOTDATA(" New-2 But Less Than 4-Year",'Pivot Table for 1-11'!$A$3,"State","DE","SREB Type",9,"SREB Type2","Two-Year")</f>
        <v>173</v>
      </c>
      <c r="K261" s="198">
        <f>+GETPIVOTDATA(" New-Associate's",'Pivot Table for 1-11'!$A$3,"State","DE","SREB Type",9,"SREB Type2","Two-Year")</f>
        <v>1596</v>
      </c>
      <c r="L261" s="197">
        <f>+GETPIVOTDATA(" New-Less Than 2-Year",'Pivot Table for 1-11'!$A$3,"State","DE","SREB Type",10,"SREB Type2","Two-Year")+GETPIVOTDATA(" New-2 But Less Than 4-Year",'Pivot Table for 1-11'!$A$3,"State","DE","SREB Type",10,"SREB Type2","Two-Year")</f>
        <v>0</v>
      </c>
      <c r="M261" s="197">
        <f>+GETPIVOTDATA(" New-Associate's",'Pivot Table for 1-11'!$A$3,"State","DE","SREB Type",10,"SREB Type2","Two-Year")</f>
        <v>0</v>
      </c>
      <c r="N261" s="197"/>
      <c r="O261" s="197"/>
      <c r="P261" s="211"/>
      <c r="Q261" s="233">
        <f>SUM(B261:D261)</f>
        <v>1820</v>
      </c>
      <c r="R261" s="252">
        <f>('New Tables 1-12'!Q261-'New Tables 1-12'!S261)/S261</f>
        <v>-4.4117647058823532E-2</v>
      </c>
      <c r="S261" s="233">
        <f>SUM('Old 1-12'!B261:D261)</f>
        <v>1904</v>
      </c>
      <c r="U261" s="196" t="s">
        <v>23</v>
      </c>
      <c r="V261" s="253"/>
      <c r="W261" s="253"/>
      <c r="X261" s="253"/>
      <c r="Y261" s="253"/>
      <c r="AL261" s="231"/>
      <c r="AP261" s="231"/>
    </row>
    <row r="262" spans="1:42" ht="15" customHeight="1">
      <c r="A262" s="196" t="s">
        <v>24</v>
      </c>
      <c r="B262" s="197">
        <f>+GETPIVOTDATA(" New-Less Than 2-Year",'Pivot Table for 1-11'!$A$3,"State","FL","SREB Type2","Two-Year")+GETPIVOTDATA(" New-2 But Less Than 4-Year",'Pivot Table for 1-11'!$A$3,"State","FL","SREB Type2","Two-Year")</f>
        <v>39648</v>
      </c>
      <c r="C262" s="197">
        <f>+GETPIVOTDATA(" New-Associate's",'Pivot Table for 1-11'!$A$3,"State","FL","SREB Type2","Two-Year")</f>
        <v>72422</v>
      </c>
      <c r="D262" s="197">
        <f>+GETPIVOTDATA(" New-Bachelor's",'Pivot Table for 1-11'!$A$3,"State","FL","SREB Type2","Two-Year")</f>
        <v>0</v>
      </c>
      <c r="E262" s="230">
        <f>+GETPIVOTDATA(" New-Less Than 2-Year",'Pivot Table for 1-11'!$A$3,"State","FL","SREB Type",7,"SREB Type2","Two-Year")+GETPIVOTDATA(" New-2 But Less Than 4-Year",'Pivot Table for 1-11'!$A$3,"State","FL","SREB Type",7,"SREB Type2","Two-Year")</f>
        <v>36773</v>
      </c>
      <c r="F262" s="197">
        <f>+GETPIVOTDATA(" New-Associate's",'Pivot Table for 1-11'!$A$3,"State","FL","SREB Type",7,"SREB Type2","Two-Year")</f>
        <v>65132</v>
      </c>
      <c r="G262" s="198">
        <f>+GETPIVOTDATA(" New-Bachelor's",'Pivot Table for 1-11'!$A$3,"State","FL","SREB Type",7,"SREB Type2","Two-Year")</f>
        <v>0</v>
      </c>
      <c r="H262" s="230">
        <f>+GETPIVOTDATA(" New-Less Than 2-Year",'Pivot Table for 1-11'!$A$3,"State","FL","SREB Type",8,"SREB Type2","Two-Year")+GETPIVOTDATA(" New-2 But Less Than 4-Year",'Pivot Table for 1-11'!$A$3,"State","FL","SREB Type",8,"SREB Type2","Two-Year")</f>
        <v>2549</v>
      </c>
      <c r="I262" s="198">
        <f>+GETPIVOTDATA(" New-Associate's",'Pivot Table for 1-11'!$A$3,"State","FL","SREB Type",8,"SREB Type2","Two-Year")</f>
        <v>6907</v>
      </c>
      <c r="J262" s="230">
        <f>+GETPIVOTDATA(" New-Less Than 2-Year",'Pivot Table for 1-11'!$A$3,"State","FL","SREB Type",9,"SREB Type2","Two-Year")+GETPIVOTDATA(" New-2 But Less Than 4-Year",'Pivot Table for 1-11'!$A$3,"State","FL","SREB Type",9,"SREB Type2","Two-Year")</f>
        <v>0</v>
      </c>
      <c r="K262" s="198">
        <f>+GETPIVOTDATA(" New-Associate's",'Pivot Table for 1-11'!$A$3,"State","FL","SREB Type",9,"SREB Type2","Two-Year")</f>
        <v>0</v>
      </c>
      <c r="L262" s="197">
        <f>+GETPIVOTDATA(" New-Less Than 2-Year",'Pivot Table for 1-11'!$A$3,"State","FL","SREB Type",10,"SREB Type2","Two-Year")+GETPIVOTDATA(" New-2 But Less Than 4-Year",'Pivot Table for 1-11'!$A$3,"State","FL","SREB Type",10,"SREB Type2","Two-Year")</f>
        <v>326</v>
      </c>
      <c r="M262" s="197">
        <f>+GETPIVOTDATA(" New-Associate's",'Pivot Table for 1-11'!$A$3,"State","FL","SREB Type",10,"SREB Type2","Two-Year")</f>
        <v>383</v>
      </c>
      <c r="N262" s="197"/>
      <c r="O262" s="197"/>
      <c r="P262" s="211"/>
      <c r="Q262" s="233">
        <f>SUM(B262:D262)</f>
        <v>112070</v>
      </c>
      <c r="R262" s="252">
        <f>('New Tables 1-12'!Q262-'New Tables 1-12'!S262)/S262</f>
        <v>-8.960194963444354E-2</v>
      </c>
      <c r="S262" s="233">
        <f>SUM('Old 1-12'!B262:D262)</f>
        <v>123100</v>
      </c>
      <c r="U262" s="196" t="s">
        <v>24</v>
      </c>
      <c r="V262" s="253"/>
      <c r="W262" s="253"/>
      <c r="X262" s="253"/>
      <c r="Y262" s="253"/>
      <c r="AL262" s="231"/>
      <c r="AP262" s="231"/>
    </row>
    <row r="263" spans="1:42" ht="15" customHeight="1">
      <c r="A263" s="196"/>
      <c r="B263" s="197"/>
      <c r="C263" s="197"/>
      <c r="D263" s="197"/>
      <c r="E263" s="230"/>
      <c r="F263" s="197"/>
      <c r="G263" s="198"/>
      <c r="H263" s="230"/>
      <c r="I263" s="198"/>
      <c r="J263" s="230"/>
      <c r="K263" s="198"/>
      <c r="L263" s="197"/>
      <c r="M263" s="197"/>
      <c r="N263" s="197"/>
      <c r="O263" s="197"/>
      <c r="P263" s="211"/>
      <c r="Q263" s="233"/>
      <c r="R263" s="252"/>
      <c r="S263" s="233"/>
      <c r="U263" s="196"/>
      <c r="V263" s="253"/>
      <c r="W263" s="253"/>
      <c r="X263" s="253"/>
      <c r="Y263" s="253"/>
      <c r="AL263" s="231"/>
      <c r="AP263" s="231"/>
    </row>
    <row r="264" spans="1:42" ht="15" customHeight="1">
      <c r="A264" s="196" t="s">
        <v>25</v>
      </c>
      <c r="B264" s="197">
        <f>+GETPIVOTDATA(" New-Less Than 2-Year",'Pivot Table for 1-11'!$A$3,"State","GA","SREB Type2","Two-Year")+GETPIVOTDATA(" New-2 But Less Than 4-Year",'Pivot Table for 1-11'!$A$3,"State","GA","SREB Type2","Two-Year")</f>
        <v>0</v>
      </c>
      <c r="C264" s="197">
        <f>+GETPIVOTDATA(" New-Associate's",'Pivot Table for 1-11'!$A$3,"State","GA","SREB Type2","Two-Year")</f>
        <v>1592</v>
      </c>
      <c r="D264" s="197">
        <f>+GETPIVOTDATA(" New-Bachelor's",'Pivot Table for 1-11'!$A$3,"State","GA","SREB Type2","Two-Year")</f>
        <v>267</v>
      </c>
      <c r="E264" s="230">
        <f>+GETPIVOTDATA(" New-Less Than 2-Year",'Pivot Table for 1-11'!$A$3,"State","GA","SREB Type",7,"SREB Type2","Two-Year")+GETPIVOTDATA(" New-2 But Less Than 4-Year",'Pivot Table for 1-11'!$A$3,"State","GA","SREB Type",7,"SREB Type2","Two-Year")</f>
        <v>0</v>
      </c>
      <c r="F264" s="197">
        <f>+GETPIVOTDATA(" New-Associate's",'Pivot Table for 1-11'!$A$3,"State","GA","SREB Type",7,"SREB Type2","Two-Year")</f>
        <v>1592</v>
      </c>
      <c r="G264" s="198">
        <f>+GETPIVOTDATA(" New-Bachelor's",'Pivot Table for 1-11'!$A$3,"State","GA","SREB Type",7,"SREB Type2","Two-Year")</f>
        <v>267</v>
      </c>
      <c r="H264" s="230">
        <f>+GETPIVOTDATA(" New-Less Than 2-Year",'Pivot Table for 1-11'!$A$3,"State","GA","SREB Type",8,"SREB Type2","Two-Year")+GETPIVOTDATA(" New-2 But Less Than 4-Year",'Pivot Table for 1-11'!$A$3,"State","GA","SREB Type",8,"SREB Type2","Two-Year")</f>
        <v>0</v>
      </c>
      <c r="I264" s="198">
        <f>+GETPIVOTDATA(" New-Associate's",'Pivot Table for 1-11'!$A$3,"State","GA","SREB Type",8,"SREB Type2","Two-Year")</f>
        <v>0</v>
      </c>
      <c r="J264" s="230">
        <f>+GETPIVOTDATA(" New-Less Than 2-Year",'Pivot Table for 1-11'!$A$3,"State","GA","SREB Type",9,"SREB Type2","Two-Year")+GETPIVOTDATA(" New-2 But Less Than 4-Year",'Pivot Table for 1-11'!$A$3,"State","GA","SREB Type",9,"SREB Type2","Two-Year")</f>
        <v>0</v>
      </c>
      <c r="K264" s="198">
        <f>+GETPIVOTDATA(" New-Associate's",'Pivot Table for 1-11'!$A$3,"State","GA","SREB Type",9,"SREB Type2","Two-Year")</f>
        <v>0</v>
      </c>
      <c r="L264" s="197">
        <f>+GETPIVOTDATA(" New-Less Than 2-Year",'Pivot Table for 1-11'!$A$3,"State","GA","SREB Type",10,"SREB Type2","Two-Year")+GETPIVOTDATA(" New-2 But Less Than 4-Year",'Pivot Table for 1-11'!$A$3,"State","GA","SREB Type",10,"SREB Type2","Two-Year")</f>
        <v>0</v>
      </c>
      <c r="M264" s="197">
        <f>+GETPIVOTDATA(" New-Associate's",'Pivot Table for 1-11'!$A$3,"State","GA","SREB Type",10,"SREB Type2","Two-Year")</f>
        <v>0</v>
      </c>
      <c r="N264" s="197"/>
      <c r="O264" s="197"/>
      <c r="P264" s="211"/>
      <c r="Q264" s="233">
        <f>SUM(B264:D264)</f>
        <v>1859</v>
      </c>
      <c r="R264" s="252">
        <f>('New Tables 1-12'!Q264-'New Tables 1-12'!S264)/S264</f>
        <v>3.6231884057971016E-2</v>
      </c>
      <c r="S264" s="233">
        <f>SUM('Old 1-12'!B264:D264)</f>
        <v>1794</v>
      </c>
      <c r="U264" s="196" t="s">
        <v>25</v>
      </c>
      <c r="V264" s="253"/>
      <c r="W264" s="253"/>
      <c r="X264" s="253"/>
      <c r="Y264" s="253"/>
      <c r="AL264" s="231"/>
      <c r="AP264" s="231"/>
    </row>
    <row r="265" spans="1:42" ht="15" customHeight="1">
      <c r="A265" s="196" t="s">
        <v>26</v>
      </c>
      <c r="B265" s="197">
        <f>+GETPIVOTDATA(" New-Less Than 2-Year",'Pivot Table for 1-11'!$A$3,"State","KY","SREB Type2","Two-Year")+GETPIVOTDATA(" New-2 But Less Than 4-Year",'Pivot Table for 1-11'!$A$3,"State","KY","SREB Type2","Two-Year")</f>
        <v>24614</v>
      </c>
      <c r="C265" s="197">
        <f>+GETPIVOTDATA(" New-Associate's",'Pivot Table for 1-11'!$A$3,"State","KY","SREB Type2","Two-Year")</f>
        <v>8733</v>
      </c>
      <c r="D265" s="197">
        <f>+GETPIVOTDATA(" New-Bachelor's",'Pivot Table for 1-11'!$A$3,"State","KY","SREB Type2","Two-Year")</f>
        <v>0</v>
      </c>
      <c r="E265" s="230">
        <f>+GETPIVOTDATA(" New-Less Than 2-Year",'Pivot Table for 1-11'!$A$3,"State","KY","SREB Type",7,"SREB Type2","Two-Year")+GETPIVOTDATA(" New-2 But Less Than 4-Year",'Pivot Table for 1-11'!$A$3,"State","KY","SREB Type",7,"SREB Type2","Two-Year")</f>
        <v>0</v>
      </c>
      <c r="F265" s="197">
        <f>+GETPIVOTDATA(" New-Associate's",'Pivot Table for 1-11'!$A$3,"State","KY","SREB Type",7,"SREB Type2","Two-Year")</f>
        <v>0</v>
      </c>
      <c r="G265" s="198">
        <f>+GETPIVOTDATA(" New-Bachelor's",'Pivot Table for 1-11'!$A$3,"State","KY","SREB Type",7,"SREB Type2","Two-Year")</f>
        <v>0</v>
      </c>
      <c r="H265" s="230">
        <f>+GETPIVOTDATA(" New-Less Than 2-Year",'Pivot Table for 1-11'!$A$3,"State","KY","SREB Type",8,"SREB Type2","Two-Year")+GETPIVOTDATA(" New-2 But Less Than 4-Year",'Pivot Table for 1-11'!$A$3,"State","KY","SREB Type",8,"SREB Type2","Two-Year")</f>
        <v>6601</v>
      </c>
      <c r="I265" s="198">
        <f>+GETPIVOTDATA(" New-Associate's",'Pivot Table for 1-11'!$A$3,"State","KY","SREB Type",8,"SREB Type2","Two-Year")</f>
        <v>2614</v>
      </c>
      <c r="J265" s="230">
        <f>+GETPIVOTDATA(" New-Less Than 2-Year",'Pivot Table for 1-11'!$A$3,"State","KY","SREB Type",9,"SREB Type2","Two-Year")+GETPIVOTDATA(" New-2 But Less Than 4-Year",'Pivot Table for 1-11'!$A$3,"State","KY","SREB Type",9,"SREB Type2","Two-Year")</f>
        <v>11409</v>
      </c>
      <c r="K265" s="198">
        <f>+GETPIVOTDATA(" New-Associate's",'Pivot Table for 1-11'!$A$3,"State","KY","SREB Type",9,"SREB Type2","Two-Year")</f>
        <v>3870</v>
      </c>
      <c r="L265" s="197">
        <f>+GETPIVOTDATA(" New-Less Than 2-Year",'Pivot Table for 1-11'!$A$3,"State","KY","SREB Type",10,"SREB Type2","Two-Year")+GETPIVOTDATA(" New-2 But Less Than 4-Year",'Pivot Table for 1-11'!$A$3,"State","KY","SREB Type",10,"SREB Type2","Two-Year")</f>
        <v>6604</v>
      </c>
      <c r="M265" s="197">
        <f>+GETPIVOTDATA(" New-Associate's",'Pivot Table for 1-11'!$A$3,"State","KY","SREB Type",10,"SREB Type2","Two-Year")</f>
        <v>2249</v>
      </c>
      <c r="N265" s="197"/>
      <c r="O265" s="197"/>
      <c r="P265" s="211"/>
      <c r="Q265" s="233">
        <f>SUM(B265:D265)</f>
        <v>33347</v>
      </c>
      <c r="R265" s="252">
        <f>('New Tables 1-12'!Q265-'New Tables 1-12'!S265)/S265</f>
        <v>6.8437409887539644E-2</v>
      </c>
      <c r="S265" s="233">
        <f>SUM('Old 1-12'!B265:D265)</f>
        <v>31211</v>
      </c>
      <c r="U265" s="196" t="s">
        <v>26</v>
      </c>
      <c r="V265" s="253"/>
      <c r="W265" s="253"/>
      <c r="X265" s="253"/>
      <c r="Y265" s="253"/>
      <c r="AL265" s="231"/>
      <c r="AP265" s="231"/>
    </row>
    <row r="266" spans="1:42" ht="15" customHeight="1">
      <c r="A266" s="196" t="s">
        <v>27</v>
      </c>
      <c r="B266" s="197">
        <f>+GETPIVOTDATA(" New-Less Than 2-Year",'Pivot Table for 1-11'!$A$3,"State","LA","SREB Type2","Two-Year")+GETPIVOTDATA(" New-2 But Less Than 4-Year",'Pivot Table for 1-11'!$A$3,"State","LA","SREB Type2","Two-Year")</f>
        <v>8764</v>
      </c>
      <c r="C266" s="197">
        <f>+GETPIVOTDATA(" New-Associate's",'Pivot Table for 1-11'!$A$3,"State","LA","SREB Type2","Two-Year")</f>
        <v>4245</v>
      </c>
      <c r="D266" s="197">
        <f>+GETPIVOTDATA(" New-Bachelor's",'Pivot Table for 1-11'!$A$3,"State","LA","SREB Type2","Two-Year")</f>
        <v>0</v>
      </c>
      <c r="E266" s="230">
        <f>+GETPIVOTDATA(" New-Less Than 2-Year",'Pivot Table for 1-11'!$A$3,"State","LA","SREB Type",7,"SREB Type2","Two-Year")+GETPIVOTDATA(" New-2 But Less Than 4-Year",'Pivot Table for 1-11'!$A$3,"State","LA","SREB Type",7,"SREB Type2","Two-Year")</f>
        <v>0</v>
      </c>
      <c r="F266" s="197">
        <f>+GETPIVOTDATA(" New-Associate's",'Pivot Table for 1-11'!$A$3,"State","LA","SREB Type",7,"SREB Type2","Two-Year")</f>
        <v>0</v>
      </c>
      <c r="G266" s="198">
        <f>+GETPIVOTDATA(" New-Bachelor's",'Pivot Table for 1-11'!$A$3,"State","LA","SREB Type",7,"SREB Type2","Two-Year")</f>
        <v>0</v>
      </c>
      <c r="H266" s="230">
        <f>+GETPIVOTDATA(" New-Less Than 2-Year",'Pivot Table for 1-11'!$A$3,"State","LA","SREB Type",8,"SREB Type2","Two-Year")+GETPIVOTDATA(" New-2 But Less Than 4-Year",'Pivot Table for 1-11'!$A$3,"State","LA","SREB Type",8,"SREB Type2","Two-Year")</f>
        <v>3567</v>
      </c>
      <c r="I266" s="198">
        <f>+GETPIVOTDATA(" New-Associate's",'Pivot Table for 1-11'!$A$3,"State","LA","SREB Type",8,"SREB Type2","Two-Year")</f>
        <v>1703</v>
      </c>
      <c r="J266" s="230">
        <f>+GETPIVOTDATA(" New-Less Than 2-Year",'Pivot Table for 1-11'!$A$3,"State","LA","SREB Type",9,"SREB Type2","Two-Year")+GETPIVOTDATA(" New-2 But Less Than 4-Year",'Pivot Table for 1-11'!$A$3,"State","LA","SREB Type",9,"SREB Type2","Two-Year")</f>
        <v>3862</v>
      </c>
      <c r="K266" s="198">
        <f>+GETPIVOTDATA(" New-Associate's",'Pivot Table for 1-11'!$A$3,"State","LA","SREB Type",9,"SREB Type2","Two-Year")</f>
        <v>2023</v>
      </c>
      <c r="L266" s="197">
        <f>+GETPIVOTDATA(" New-Less Than 2-Year",'Pivot Table for 1-11'!$A$3,"State","LA","SREB Type",10,"SREB Type2","Two-Year")+GETPIVOTDATA(" New-2 But Less Than 4-Year",'Pivot Table for 1-11'!$A$3,"State","LA","SREB Type",10,"SREB Type2","Two-Year")</f>
        <v>1335</v>
      </c>
      <c r="M266" s="197">
        <f>+GETPIVOTDATA(" New-Associate's",'Pivot Table for 1-11'!$A$3,"State","LA","SREB Type",10,"SREB Type2","Two-Year")</f>
        <v>519</v>
      </c>
      <c r="N266" s="197"/>
      <c r="O266" s="197"/>
      <c r="P266" s="211"/>
      <c r="Q266" s="233">
        <f>SUM(B266:D266)</f>
        <v>13009</v>
      </c>
      <c r="R266" s="252">
        <f>('New Tables 1-12'!Q266-'New Tables 1-12'!S266)/S266</f>
        <v>0.11905376344086022</v>
      </c>
      <c r="S266" s="233">
        <f>SUM('Old 1-12'!B266:D266)</f>
        <v>11625</v>
      </c>
      <c r="U266" s="196" t="s">
        <v>27</v>
      </c>
      <c r="V266" s="253"/>
      <c r="W266" s="253"/>
      <c r="X266" s="253"/>
      <c r="Y266" s="253"/>
      <c r="AL266" s="231"/>
      <c r="AP266" s="231"/>
    </row>
    <row r="267" spans="1:42" ht="15" customHeight="1">
      <c r="A267" s="196" t="s">
        <v>28</v>
      </c>
      <c r="B267" s="197">
        <f>+GETPIVOTDATA(" New-Less Than 2-Year",'Pivot Table for 1-11'!$A$3,"State","MD","SREB Type2","Two-Year")+GETPIVOTDATA(" New-2 But Less Than 4-Year",'Pivot Table for 1-11'!$A$3,"State","MD","SREB Type2","Two-Year")</f>
        <v>0</v>
      </c>
      <c r="C267" s="197">
        <f>+GETPIVOTDATA(" New-Associate's",'Pivot Table for 1-11'!$A$3,"State","MD","SREB Type2","Two-Year")</f>
        <v>0</v>
      </c>
      <c r="D267" s="197">
        <f>+GETPIVOTDATA(" New-Bachelor's",'Pivot Table for 1-11'!$A$3,"State","MD","SREB Type2","Two-Year")</f>
        <v>0</v>
      </c>
      <c r="E267" s="230">
        <f>+GETPIVOTDATA(" New-Less Than 2-Year",'Pivot Table for 1-11'!$A$3,"State","MD","SREB Type",7,"SREB Type2","Two-Year")+GETPIVOTDATA(" New-2 But Less Than 4-Year",'Pivot Table for 1-11'!$A$3,"State","MD","SREB Type",7,"SREB Type2","Two-Year")</f>
        <v>0</v>
      </c>
      <c r="F267" s="197">
        <f>+GETPIVOTDATA(" New-Associate's",'Pivot Table for 1-11'!$A$3,"State","MD","SREB Type",7,"SREB Type2","Two-Year")</f>
        <v>0</v>
      </c>
      <c r="G267" s="198">
        <f>+GETPIVOTDATA(" New-Bachelor's",'Pivot Table for 1-11'!$A$3,"State","MD","SREB Type",7,"SREB Type2","Two-Year")</f>
        <v>0</v>
      </c>
      <c r="H267" s="230">
        <f>+GETPIVOTDATA(" New-Less Than 2-Year",'Pivot Table for 1-11'!$A$3,"State","MD","SREB Type",8,"SREB Type2","Two-Year")+GETPIVOTDATA(" New-2 But Less Than 4-Year",'Pivot Table for 1-11'!$A$3,"State","MD","SREB Type",8,"SREB Type2","Two-Year")</f>
        <v>0</v>
      </c>
      <c r="I267" s="198">
        <f>+GETPIVOTDATA(" New-Associate's",'Pivot Table for 1-11'!$A$3,"State","MD","SREB Type",8,"SREB Type2","Two-Year")</f>
        <v>0</v>
      </c>
      <c r="J267" s="230">
        <f>+GETPIVOTDATA(" New-Less Than 2-Year",'Pivot Table for 1-11'!$A$3,"State","MD","SREB Type",9,"SREB Type2","Two-Year")+GETPIVOTDATA(" New-2 But Less Than 4-Year",'Pivot Table for 1-11'!$A$3,"State","MD","SREB Type",9,"SREB Type2","Two-Year")</f>
        <v>0</v>
      </c>
      <c r="K267" s="198">
        <f>+GETPIVOTDATA(" New-Associate's",'Pivot Table for 1-11'!$A$3,"State","MD","SREB Type",9,"SREB Type2","Two-Year")</f>
        <v>0</v>
      </c>
      <c r="L267" s="197">
        <f>+GETPIVOTDATA(" New-Less Than 2-Year",'Pivot Table for 1-11'!$A$3,"State","MD","SREB Type",10,"SREB Type2","Two-Year")+GETPIVOTDATA(" New-2 But Less Than 4-Year",'Pivot Table for 1-11'!$A$3,"State","MD","SREB Type",10,"SREB Type2","Two-Year")</f>
        <v>0</v>
      </c>
      <c r="M267" s="197">
        <f>+GETPIVOTDATA(" New-Associate's",'Pivot Table for 1-11'!$A$3,"State","MD","SREB Type",10,"SREB Type2","Two-Year")</f>
        <v>0</v>
      </c>
      <c r="N267" s="197"/>
      <c r="O267" s="197"/>
      <c r="P267" s="211"/>
      <c r="Q267" s="233">
        <f>SUM(B267:D267)</f>
        <v>0</v>
      </c>
      <c r="R267" s="252" t="e">
        <f>('New Tables 1-12'!Q267-'New Tables 1-12'!S267)/S267</f>
        <v>#DIV/0!</v>
      </c>
      <c r="S267" s="233">
        <f>SUM('Old 1-12'!B267:D267)</f>
        <v>0</v>
      </c>
      <c r="U267" s="196" t="s">
        <v>28</v>
      </c>
      <c r="V267" s="253"/>
      <c r="W267" s="253"/>
      <c r="X267" s="253"/>
      <c r="Y267" s="253"/>
      <c r="AL267" s="231"/>
      <c r="AP267" s="231"/>
    </row>
    <row r="268" spans="1:42" ht="15" customHeight="1">
      <c r="A268" s="196"/>
      <c r="B268" s="197"/>
      <c r="C268" s="197"/>
      <c r="D268" s="197"/>
      <c r="E268" s="230"/>
      <c r="F268" s="197"/>
      <c r="G268" s="198"/>
      <c r="H268" s="230"/>
      <c r="I268" s="198"/>
      <c r="J268" s="230"/>
      <c r="K268" s="198"/>
      <c r="L268" s="197"/>
      <c r="M268" s="197"/>
      <c r="N268" s="197"/>
      <c r="O268" s="197"/>
      <c r="P268" s="211"/>
      <c r="Q268" s="233"/>
      <c r="R268" s="252"/>
      <c r="S268" s="233"/>
      <c r="U268" s="196"/>
      <c r="V268" s="253"/>
      <c r="W268" s="253"/>
      <c r="X268" s="253"/>
      <c r="Y268" s="253"/>
      <c r="AL268" s="231"/>
      <c r="AP268" s="231"/>
    </row>
    <row r="269" spans="1:42" ht="15" customHeight="1">
      <c r="A269" s="196" t="s">
        <v>29</v>
      </c>
      <c r="B269" s="197">
        <f>+GETPIVOTDATA(" New-Less Than 2-Year",'Pivot Table for 1-11'!$A$3,"State","MS","SREB Type2","Two-Year")+GETPIVOTDATA(" New-2 But Less Than 4-Year",'Pivot Table for 1-11'!$A$3,"State","MS","SREB Type2","Two-Year")</f>
        <v>0</v>
      </c>
      <c r="C269" s="197">
        <f>+GETPIVOTDATA(" New-Associate's",'Pivot Table for 1-11'!$A$3,"State","MS","SREB Type2","Two-Year")</f>
        <v>0</v>
      </c>
      <c r="D269" s="197">
        <f>+GETPIVOTDATA(" New-Bachelor's",'Pivot Table for 1-11'!$A$3,"State","MS","SREB Type2","Two-Year")</f>
        <v>0</v>
      </c>
      <c r="E269" s="230">
        <f>+GETPIVOTDATA(" New-Less Than 2-Year",'Pivot Table for 1-11'!$A$3,"State","MS","SREB Type",7,"SREB Type2","Two-Year")+GETPIVOTDATA(" New-2 But Less Than 4-Year",'Pivot Table for 1-11'!$A$3,"State","MS","SREB Type",7,"SREB Type2","Two-Year")</f>
        <v>0</v>
      </c>
      <c r="F269" s="197">
        <f>+GETPIVOTDATA(" New-Associate's",'Pivot Table for 1-11'!$A$3,"State","MS","SREB Type",7,"SREB Type2","Two-Year")</f>
        <v>0</v>
      </c>
      <c r="G269" s="198">
        <f>+GETPIVOTDATA(" New-Bachelor's",'Pivot Table for 1-11'!$A$3,"State","MS","SREB Type",7,"SREB Type2","Two-Year")</f>
        <v>0</v>
      </c>
      <c r="H269" s="230">
        <f>+GETPIVOTDATA(" New-Less Than 2-Year",'Pivot Table for 1-11'!$A$3,"State","MS","SREB Type",8,"SREB Type2","Two-Year")+GETPIVOTDATA(" New-2 But Less Than 4-Year",'Pivot Table for 1-11'!$A$3,"State","MS","SREB Type",8,"SREB Type2","Two-Year")</f>
        <v>0</v>
      </c>
      <c r="I269" s="198">
        <f>+GETPIVOTDATA(" New-Associate's",'Pivot Table for 1-11'!$A$3,"State","MS","SREB Type",8,"SREB Type2","Two-Year")</f>
        <v>0</v>
      </c>
      <c r="J269" s="230">
        <f>+GETPIVOTDATA(" New-Less Than 2-Year",'Pivot Table for 1-11'!$A$3,"State","MS","SREB Type",9,"SREB Type2","Two-Year")+GETPIVOTDATA(" New-2 But Less Than 4-Year",'Pivot Table for 1-11'!$A$3,"State","MS","SREB Type",9,"SREB Type2","Two-Year")</f>
        <v>0</v>
      </c>
      <c r="K269" s="198">
        <f>+GETPIVOTDATA(" New-Associate's",'Pivot Table for 1-11'!$A$3,"State","MS","SREB Type",9,"SREB Type2","Two-Year")</f>
        <v>0</v>
      </c>
      <c r="L269" s="197">
        <f>+GETPIVOTDATA(" New-Less Than 2-Year",'Pivot Table for 1-11'!$A$3,"State","MS","SREB Type",10,"SREB Type2","Two-Year")+GETPIVOTDATA(" New-2 But Less Than 4-Year",'Pivot Table for 1-11'!$A$3,"State","MS","SREB Type",10,"SREB Type2","Two-Year")</f>
        <v>0</v>
      </c>
      <c r="M269" s="197">
        <f>+GETPIVOTDATA(" New-Associate's",'Pivot Table for 1-11'!$A$3,"State","MS","SREB Type",10,"SREB Type2","Two-Year")</f>
        <v>0</v>
      </c>
      <c r="N269" s="197"/>
      <c r="O269" s="197"/>
      <c r="P269" s="211"/>
      <c r="Q269" s="233">
        <f>SUM(B269:D269)</f>
        <v>0</v>
      </c>
      <c r="R269" s="252" t="e">
        <f>('New Tables 1-12'!Q269-'New Tables 1-12'!S269)/S269</f>
        <v>#DIV/0!</v>
      </c>
      <c r="S269" s="233">
        <f>SUM('Old 1-12'!B269:D269)</f>
        <v>0</v>
      </c>
      <c r="U269" s="196" t="s">
        <v>29</v>
      </c>
      <c r="V269" s="253"/>
      <c r="W269" s="253"/>
      <c r="X269" s="253"/>
      <c r="Y269" s="253"/>
      <c r="AL269" s="231"/>
      <c r="AP269" s="231"/>
    </row>
    <row r="270" spans="1:42" ht="15" customHeight="1">
      <c r="A270" s="196" t="s">
        <v>30</v>
      </c>
      <c r="B270" s="197">
        <f>+GETPIVOTDATA(" New-Less Than 2-Year",'Pivot Table for 1-11'!$A$3,"State","NC","SREB Type2","Two-Year")+GETPIVOTDATA(" New-2 But Less Than 4-Year",'Pivot Table for 1-11'!$A$3,"State","NC","SREB Type2","Two-Year")</f>
        <v>33214</v>
      </c>
      <c r="C270" s="197">
        <f>+GETPIVOTDATA(" New-Associate's",'Pivot Table for 1-11'!$A$3,"State","NC","SREB Type2","Two-Year")</f>
        <v>32127</v>
      </c>
      <c r="D270" s="197">
        <f>+GETPIVOTDATA(" New-Bachelor's",'Pivot Table for 1-11'!$A$3,"State","NC","SREB Type2","Two-Year")</f>
        <v>0</v>
      </c>
      <c r="E270" s="230">
        <f>+GETPIVOTDATA(" New-Less Than 2-Year",'Pivot Table for 1-11'!$A$3,"State","NC","SREB Type",7,"SREB Type2","Two-Year")+GETPIVOTDATA(" New-2 But Less Than 4-Year",'Pivot Table for 1-11'!$A$3,"State","NC","SREB Type",7,"SREB Type2","Two-Year")</f>
        <v>0</v>
      </c>
      <c r="F270" s="197">
        <f>+GETPIVOTDATA(" New-Associate's",'Pivot Table for 1-11'!$A$3,"State","NC","SREB Type",7,"SREB Type2","Two-Year")</f>
        <v>0</v>
      </c>
      <c r="G270" s="198">
        <f>+GETPIVOTDATA(" New-Bachelor's",'Pivot Table for 1-11'!$A$3,"State","NC","SREB Type",7,"SREB Type2","Two-Year")</f>
        <v>0</v>
      </c>
      <c r="H270" s="230">
        <f>+GETPIVOTDATA(" New-Less Than 2-Year",'Pivot Table for 1-11'!$A$3,"State","NC","SREB Type",8,"SREB Type2","Two-Year")+GETPIVOTDATA(" New-2 But Less Than 4-Year",'Pivot Table for 1-11'!$A$3,"State","NC","SREB Type",8,"SREB Type2","Two-Year")</f>
        <v>14127</v>
      </c>
      <c r="I270" s="198">
        <f>+GETPIVOTDATA(" New-Associate's",'Pivot Table for 1-11'!$A$3,"State","NC","SREB Type",8,"SREB Type2","Two-Year")</f>
        <v>13999</v>
      </c>
      <c r="J270" s="230">
        <f>+GETPIVOTDATA(" New-Less Than 2-Year",'Pivot Table for 1-11'!$A$3,"State","NC","SREB Type",9,"SREB Type2","Two-Year")+GETPIVOTDATA(" New-2 But Less Than 4-Year",'Pivot Table for 1-11'!$A$3,"State","NC","SREB Type",9,"SREB Type2","Two-Year")</f>
        <v>13355</v>
      </c>
      <c r="K270" s="198">
        <f>+GETPIVOTDATA(" New-Associate's",'Pivot Table for 1-11'!$A$3,"State","NC","SREB Type",9,"SREB Type2","Two-Year")</f>
        <v>12068</v>
      </c>
      <c r="L270" s="197">
        <f>+GETPIVOTDATA(" New-Less Than 2-Year",'Pivot Table for 1-11'!$A$3,"State","NC","SREB Type",10,"SREB Type2","Two-Year")+GETPIVOTDATA(" New-2 But Less Than 4-Year",'Pivot Table for 1-11'!$A$3,"State","NC","SREB Type",10,"SREB Type2","Two-Year")</f>
        <v>5732</v>
      </c>
      <c r="M270" s="197">
        <f>+GETPIVOTDATA(" New-Associate's",'Pivot Table for 1-11'!$A$3,"State","NC","SREB Type",10,"SREB Type2","Two-Year")</f>
        <v>6060</v>
      </c>
      <c r="N270" s="197"/>
      <c r="O270" s="197"/>
      <c r="P270" s="211"/>
      <c r="Q270" s="233">
        <f>SUM(B270:D270)</f>
        <v>65341</v>
      </c>
      <c r="R270" s="252">
        <f>('New Tables 1-12'!Q270-'New Tables 1-12'!S270)/S270</f>
        <v>-4.3883039509972728E-3</v>
      </c>
      <c r="S270" s="233">
        <f>SUM('Old 1-12'!B270:D270)</f>
        <v>65629</v>
      </c>
      <c r="U270" s="196" t="s">
        <v>30</v>
      </c>
      <c r="V270" s="253"/>
      <c r="W270" s="253"/>
      <c r="X270" s="253"/>
      <c r="Y270" s="253"/>
      <c r="AL270" s="231"/>
      <c r="AP270" s="231"/>
    </row>
    <row r="271" spans="1:42" ht="15" customHeight="1">
      <c r="A271" s="196" t="s">
        <v>31</v>
      </c>
      <c r="B271" s="197">
        <f>+GETPIVOTDATA(" New-Less Than 2-Year",'Pivot Table for 1-11'!$A$3,"State","OK","SREB Type2","Two-Year")+GETPIVOTDATA(" New-2 But Less Than 4-Year",'Pivot Table for 1-11'!$A$3,"State","OK","SREB Type2","Two-Year")</f>
        <v>0</v>
      </c>
      <c r="C271" s="197">
        <f>+GETPIVOTDATA(" New-Associate's",'Pivot Table for 1-11'!$A$3,"State","OK","SREB Type2","Two-Year")</f>
        <v>0</v>
      </c>
      <c r="D271" s="197">
        <f>+GETPIVOTDATA(" New-Bachelor's",'Pivot Table for 1-11'!$A$3,"State","OK","SREB Type2","Two-Year")</f>
        <v>0</v>
      </c>
      <c r="E271" s="230">
        <f>+GETPIVOTDATA(" New-Less Than 2-Year",'Pivot Table for 1-11'!$A$3,"State","OK","SREB Type",7,"SREB Type2","Two-Year")+GETPIVOTDATA(" New-2 But Less Than 4-Year",'Pivot Table for 1-11'!$A$3,"State","OK","SREB Type",7,"SREB Type2","Two-Year")</f>
        <v>0</v>
      </c>
      <c r="F271" s="197">
        <f>+GETPIVOTDATA(" New-Associate's",'Pivot Table for 1-11'!$A$3,"State","OK","SREB Type",7,"SREB Type2","Two-Year")</f>
        <v>0</v>
      </c>
      <c r="G271" s="198">
        <f>+GETPIVOTDATA(" New-Bachelor's",'Pivot Table for 1-11'!$A$3,"State","OK","SREB Type",7,"SREB Type2","Two-Year")</f>
        <v>0</v>
      </c>
      <c r="H271" s="230">
        <f>+GETPIVOTDATA(" New-Less Than 2-Year",'Pivot Table for 1-11'!$A$3,"State","OK","SREB Type",8,"SREB Type2","Two-Year")+GETPIVOTDATA(" New-2 But Less Than 4-Year",'Pivot Table for 1-11'!$A$3,"State","OK","SREB Type",8,"SREB Type2","Two-Year")</f>
        <v>0</v>
      </c>
      <c r="I271" s="198">
        <f>+GETPIVOTDATA(" New-Associate's",'Pivot Table for 1-11'!$A$3,"State","OK","SREB Type",8,"SREB Type2","Two-Year")</f>
        <v>0</v>
      </c>
      <c r="J271" s="230">
        <f>+GETPIVOTDATA(" New-Less Than 2-Year",'Pivot Table for 1-11'!$A$3,"State","OK","SREB Type",9,"SREB Type2","Two-Year")+GETPIVOTDATA(" New-2 But Less Than 4-Year",'Pivot Table for 1-11'!$A$3,"State","OK","SREB Type",9,"SREB Type2","Two-Year")</f>
        <v>0</v>
      </c>
      <c r="K271" s="198">
        <f>+GETPIVOTDATA(" New-Associate's",'Pivot Table for 1-11'!$A$3,"State","OK","SREB Type",9,"SREB Type2","Two-Year")</f>
        <v>0</v>
      </c>
      <c r="L271" s="197">
        <f>+GETPIVOTDATA(" New-Less Than 2-Year",'Pivot Table for 1-11'!$A$3,"State","OK","SREB Type",10,"SREB Type2","Two-Year")+GETPIVOTDATA(" New-2 But Less Than 4-Year",'Pivot Table for 1-11'!$A$3,"State","OK","SREB Type",10,"SREB Type2","Two-Year")</f>
        <v>0</v>
      </c>
      <c r="M271" s="197">
        <f>+GETPIVOTDATA(" New-Associate's",'Pivot Table for 1-11'!$A$3,"State","OK","SREB Type",10,"SREB Type2","Two-Year")</f>
        <v>0</v>
      </c>
      <c r="N271" s="197"/>
      <c r="O271" s="197"/>
      <c r="P271" s="211"/>
      <c r="Q271" s="233">
        <f>SUM(B271:D271)</f>
        <v>0</v>
      </c>
      <c r="R271" s="252" t="e">
        <f>('New Tables 1-12'!Q271-'New Tables 1-12'!S271)/S271</f>
        <v>#DIV/0!</v>
      </c>
      <c r="S271" s="233">
        <f>SUM('Old 1-12'!B271:D271)</f>
        <v>0</v>
      </c>
      <c r="U271" s="196" t="s">
        <v>31</v>
      </c>
      <c r="V271" s="253"/>
      <c r="W271" s="253"/>
      <c r="X271" s="253"/>
      <c r="Y271" s="253"/>
      <c r="AL271" s="231"/>
      <c r="AP271" s="231"/>
    </row>
    <row r="272" spans="1:42" ht="15" customHeight="1">
      <c r="A272" s="196" t="s">
        <v>32</v>
      </c>
      <c r="B272" s="197">
        <f>+GETPIVOTDATA(" New-Less Than 2-Year",'Pivot Table for 1-11'!$A$3,"State","SC","SREB Type2","Two-Year")+GETPIVOTDATA(" New-2 But Less Than 4-Year",'Pivot Table for 1-11'!$A$3,"State","SC","SREB Type2","Two-Year")</f>
        <v>7710</v>
      </c>
      <c r="C272" s="197">
        <f>+GETPIVOTDATA(" New-Associate's",'Pivot Table for 1-11'!$A$3,"State","SC","SREB Type2","Two-Year")</f>
        <v>9869</v>
      </c>
      <c r="D272" s="197">
        <f>+GETPIVOTDATA(" New-Bachelor's",'Pivot Table for 1-11'!$A$3,"State","SC","SREB Type2","Two-Year")</f>
        <v>0</v>
      </c>
      <c r="E272" s="230">
        <f>+GETPIVOTDATA(" New-Less Than 2-Year",'Pivot Table for 1-11'!$A$3,"State","SC","SREB Type",7,"SREB Type2","Two-Year")+GETPIVOTDATA(" New-2 But Less Than 4-Year",'Pivot Table for 1-11'!$A$3,"State","SC","SREB Type",7,"SREB Type2","Two-Year")</f>
        <v>0</v>
      </c>
      <c r="F272" s="197">
        <f>+GETPIVOTDATA(" New-Associate's",'Pivot Table for 1-11'!$A$3,"State","SC","SREB Type",7,"SREB Type2","Two-Year")</f>
        <v>0</v>
      </c>
      <c r="G272" s="198">
        <f>+GETPIVOTDATA(" New-Bachelor's",'Pivot Table for 1-11'!$A$3,"State","SC","SREB Type",7,"SREB Type2","Two-Year")</f>
        <v>0</v>
      </c>
      <c r="H272" s="230">
        <f>+GETPIVOTDATA(" New-Less Than 2-Year",'Pivot Table for 1-11'!$A$3,"State","SC","SREB Type",8,"SREB Type2","Two-Year")+GETPIVOTDATA(" New-2 But Less Than 4-Year",'Pivot Table for 1-11'!$A$3,"State","SC","SREB Type",8,"SREB Type2","Two-Year")</f>
        <v>3049</v>
      </c>
      <c r="I272" s="198">
        <f>+GETPIVOTDATA(" New-Associate's",'Pivot Table for 1-11'!$A$3,"State","SC","SREB Type",8,"SREB Type2","Two-Year")</f>
        <v>4858</v>
      </c>
      <c r="J272" s="230">
        <f>+GETPIVOTDATA(" New-Less Than 2-Year",'Pivot Table for 1-11'!$A$3,"State","SC","SREB Type",9,"SREB Type2","Two-Year")+GETPIVOTDATA(" New-2 But Less Than 4-Year",'Pivot Table for 1-11'!$A$3,"State","SC","SREB Type",9,"SREB Type2","Two-Year")</f>
        <v>3744</v>
      </c>
      <c r="K272" s="198">
        <f>+GETPIVOTDATA(" New-Associate's",'Pivot Table for 1-11'!$A$3,"State","SC","SREB Type",9,"SREB Type2","Two-Year")</f>
        <v>3595</v>
      </c>
      <c r="L272" s="197">
        <f>+GETPIVOTDATA(" New-Less Than 2-Year",'Pivot Table for 1-11'!$A$3,"State","SC","SREB Type",10,"SREB Type2","Two-Year")+GETPIVOTDATA(" New-2 But Less Than 4-Year",'Pivot Table for 1-11'!$A$3,"State","SC","SREB Type",10,"SREB Type2","Two-Year")</f>
        <v>917</v>
      </c>
      <c r="M272" s="197">
        <f>+GETPIVOTDATA(" New-Associate's",'Pivot Table for 1-11'!$A$3,"State","SC","SREB Type",10,"SREB Type2","Two-Year")</f>
        <v>1416</v>
      </c>
      <c r="N272" s="197"/>
      <c r="O272" s="197"/>
      <c r="P272" s="211"/>
      <c r="Q272" s="233">
        <f>SUM(B272:D272)</f>
        <v>17579</v>
      </c>
      <c r="R272" s="252">
        <f>('New Tables 1-12'!Q272-'New Tables 1-12'!S272)/S272</f>
        <v>3.2965095780937828E-2</v>
      </c>
      <c r="S272" s="233">
        <f>SUM('Old 1-12'!B272:D272)</f>
        <v>17018</v>
      </c>
      <c r="U272" s="196" t="s">
        <v>32</v>
      </c>
      <c r="V272" s="253"/>
      <c r="W272" s="253"/>
      <c r="X272" s="253"/>
      <c r="Y272" s="253"/>
      <c r="AL272" s="231"/>
      <c r="AP272" s="231"/>
    </row>
    <row r="273" spans="1:42" ht="15" customHeight="1">
      <c r="A273" s="196"/>
      <c r="B273" s="197"/>
      <c r="C273" s="197"/>
      <c r="D273" s="197"/>
      <c r="E273" s="230"/>
      <c r="F273" s="197"/>
      <c r="G273" s="198"/>
      <c r="H273" s="230"/>
      <c r="I273" s="198"/>
      <c r="J273" s="230"/>
      <c r="K273" s="198"/>
      <c r="L273" s="197"/>
      <c r="M273" s="197"/>
      <c r="N273" s="197"/>
      <c r="O273" s="197"/>
      <c r="P273" s="211"/>
      <c r="Q273" s="233"/>
      <c r="R273" s="252"/>
      <c r="S273" s="233"/>
      <c r="U273" s="196"/>
      <c r="V273" s="253"/>
      <c r="W273" s="253"/>
      <c r="X273" s="253"/>
      <c r="Y273" s="253"/>
      <c r="AL273" s="231"/>
      <c r="AP273" s="231"/>
    </row>
    <row r="274" spans="1:42" ht="15" customHeight="1">
      <c r="A274" s="196" t="s">
        <v>33</v>
      </c>
      <c r="B274" s="197">
        <f>+GETPIVOTDATA(" New-Less Than 2-Year",'Pivot Table for 1-11'!$A$3,"State","TN","SREB Type2","Two-Year")+GETPIVOTDATA(" New-2 But Less Than 4-Year",'Pivot Table for 1-11'!$A$3,"State","TN","SREB Type2","Two-Year")</f>
        <v>0</v>
      </c>
      <c r="C274" s="197">
        <f>+GETPIVOTDATA(" New-Associate's",'Pivot Table for 1-11'!$A$3,"State","TN","SREB Type2","Two-Year")</f>
        <v>12297</v>
      </c>
      <c r="D274" s="197">
        <f>+GETPIVOTDATA(" New-Bachelor's",'Pivot Table for 1-11'!$A$3,"State","TN","SREB Type2","Two-Year")</f>
        <v>0</v>
      </c>
      <c r="E274" s="230">
        <f>+GETPIVOTDATA(" New-Less Than 2-Year",'Pivot Table for 1-11'!$A$3,"State","TN","SREB Type",7,"SREB Type2","Two-Year")+GETPIVOTDATA(" New-2 But Less Than 4-Year",'Pivot Table for 1-11'!$A$3,"State","TN","SREB Type",7,"SREB Type2","Two-Year")</f>
        <v>0</v>
      </c>
      <c r="F274" s="197">
        <f>+GETPIVOTDATA(" New-Associate's",'Pivot Table for 1-11'!$A$3,"State","TN","SREB Type",7,"SREB Type2","Two-Year")</f>
        <v>0</v>
      </c>
      <c r="G274" s="198">
        <f>+GETPIVOTDATA(" New-Bachelor's",'Pivot Table for 1-11'!$A$3,"State","TN","SREB Type",7,"SREB Type2","Two-Year")</f>
        <v>0</v>
      </c>
      <c r="H274" s="230">
        <f>+GETPIVOTDATA(" New-Less Than 2-Year",'Pivot Table for 1-11'!$A$3,"State","TN","SREB Type",8,"SREB Type2","Two-Year")+GETPIVOTDATA(" New-2 But Less Than 4-Year",'Pivot Table for 1-11'!$A$3,"State","TN","SREB Type",8,"SREB Type2","Two-Year")</f>
        <v>0</v>
      </c>
      <c r="I274" s="198">
        <f>+GETPIVOTDATA(" New-Associate's",'Pivot Table for 1-11'!$A$3,"State","TN","SREB Type",8,"SREB Type2","Two-Year")</f>
        <v>5922</v>
      </c>
      <c r="J274" s="230">
        <f>+GETPIVOTDATA(" New-Less Than 2-Year",'Pivot Table for 1-11'!$A$3,"State","TN","SREB Type",9,"SREB Type2","Two-Year")+GETPIVOTDATA(" New-2 But Less Than 4-Year",'Pivot Table for 1-11'!$A$3,"State","TN","SREB Type",9,"SREB Type2","Two-Year")</f>
        <v>0</v>
      </c>
      <c r="K274" s="198">
        <f>+GETPIVOTDATA(" New-Associate's",'Pivot Table for 1-11'!$A$3,"State","TN","SREB Type",9,"SREB Type2","Two-Year")</f>
        <v>6010</v>
      </c>
      <c r="L274" s="197">
        <f>+GETPIVOTDATA(" New-Less Than 2-Year",'Pivot Table for 1-11'!$A$3,"State","TN","SREB Type",10,"SREB Type2","Two-Year")+GETPIVOTDATA(" New-2 But Less Than 4-Year",'Pivot Table for 1-11'!$A$3,"State","TN","SREB Type",10,"SREB Type2","Two-Year")</f>
        <v>0</v>
      </c>
      <c r="M274" s="197">
        <f>+GETPIVOTDATA(" New-Associate's",'Pivot Table for 1-11'!$A$3,"State","TN","SREB Type",10,"SREB Type2","Two-Year")</f>
        <v>365</v>
      </c>
      <c r="N274" s="197"/>
      <c r="O274" s="197"/>
      <c r="P274" s="211"/>
      <c r="Q274" s="233">
        <f>SUM(B274:D274)</f>
        <v>12297</v>
      </c>
      <c r="R274" s="252">
        <f>('New Tables 1-12'!Q274-'New Tables 1-12'!S274)/S274</f>
        <v>6.8096933900807788E-2</v>
      </c>
      <c r="S274" s="233">
        <f>SUM('Old 1-12'!B274:D274)</f>
        <v>11513</v>
      </c>
      <c r="U274" s="196" t="s">
        <v>33</v>
      </c>
      <c r="V274" s="253"/>
      <c r="W274" s="253"/>
      <c r="X274" s="253"/>
      <c r="Y274" s="253"/>
      <c r="AL274" s="231"/>
      <c r="AP274" s="231"/>
    </row>
    <row r="275" spans="1:42" ht="15" customHeight="1">
      <c r="A275" s="196" t="s">
        <v>34</v>
      </c>
      <c r="B275" s="197">
        <f>+GETPIVOTDATA(" New-Less Than 2-Year",'Pivot Table for 1-11'!$A$3,"State","TX","SREB Type2","Two-Year")+GETPIVOTDATA(" New-2 But Less Than 4-Year",'Pivot Table for 1-11'!$A$3,"State","TX","SREB Type2","Two-Year")</f>
        <v>36652</v>
      </c>
      <c r="C275" s="197">
        <f>+GETPIVOTDATA(" New-Associate's",'Pivot Table for 1-11'!$A$3,"State","TX","SREB Type2","Two-Year")</f>
        <v>91369</v>
      </c>
      <c r="D275" s="197">
        <f>+GETPIVOTDATA(" New-Bachelor's",'Pivot Table for 1-11'!$A$3,"State","TX","SREB Type2","Two-Year")</f>
        <v>0</v>
      </c>
      <c r="E275" s="230">
        <f>+GETPIVOTDATA(" New-Less Than 2-Year",'Pivot Table for 1-11'!$A$3,"State","TX","SREB Type",7,"SREB Type2","Two-Year")+GETPIVOTDATA(" New-2 But Less Than 4-Year",'Pivot Table for 1-11'!$A$3,"State","TX","SREB Type",7,"SREB Type2","Two-Year")</f>
        <v>2483</v>
      </c>
      <c r="F275" s="197">
        <f>+GETPIVOTDATA(" New-Associate's",'Pivot Table for 1-11'!$A$3,"State","TX","SREB Type",7,"SREB Type2","Two-Year")</f>
        <v>5258</v>
      </c>
      <c r="G275" s="198">
        <f>+GETPIVOTDATA(" New-Bachelor's",'Pivot Table for 1-11'!$A$3,"State","TX","SREB Type",7,"SREB Type2","Two-Year")</f>
        <v>0</v>
      </c>
      <c r="H275" s="230">
        <f>+GETPIVOTDATA(" New-Less Than 2-Year",'Pivot Table for 1-11'!$A$3,"State","TX","SREB Type",8,"SREB Type2","Two-Year")+GETPIVOTDATA(" New-2 But Less Than 4-Year",'Pivot Table for 1-11'!$A$3,"State","TX","SREB Type",8,"SREB Type2","Two-Year")</f>
        <v>22543</v>
      </c>
      <c r="I275" s="198">
        <f>+GETPIVOTDATA(" New-Associate's",'Pivot Table for 1-11'!$A$3,"State","TX","SREB Type",8,"SREB Type2","Two-Year")</f>
        <v>67475</v>
      </c>
      <c r="J275" s="230">
        <f>+GETPIVOTDATA(" New-Less Than 2-Year",'Pivot Table for 1-11'!$A$3,"State","TX","SREB Type",9,"SREB Type2","Two-Year")+GETPIVOTDATA(" New-2 But Less Than 4-Year",'Pivot Table for 1-11'!$A$3,"State","TX","SREB Type",9,"SREB Type2","Two-Year")</f>
        <v>9697</v>
      </c>
      <c r="K275" s="198">
        <f>+GETPIVOTDATA(" New-Associate's",'Pivot Table for 1-11'!$A$3,"State","TX","SREB Type",9,"SREB Type2","Two-Year")</f>
        <v>16153</v>
      </c>
      <c r="L275" s="197">
        <f>+GETPIVOTDATA(" New-Less Than 2-Year",'Pivot Table for 1-11'!$A$3,"State","TX","SREB Type",10,"SREB Type2","Two-Year")+GETPIVOTDATA(" New-2 But Less Than 4-Year",'Pivot Table for 1-11'!$A$3,"State","TX","SREB Type",10,"SREB Type2","Two-Year")</f>
        <v>1929</v>
      </c>
      <c r="M275" s="197">
        <f>+GETPIVOTDATA(" New-Associate's",'Pivot Table for 1-11'!$A$3,"State","TX","SREB Type",10,"SREB Type2","Two-Year")</f>
        <v>2483</v>
      </c>
      <c r="N275" s="197"/>
      <c r="O275" s="197"/>
      <c r="P275" s="211"/>
      <c r="Q275" s="233">
        <f>SUM(B275:D275)</f>
        <v>128021</v>
      </c>
      <c r="R275" s="252">
        <f>('New Tables 1-12'!Q275-'New Tables 1-12'!S275)/S275</f>
        <v>-2.1418252142207411E-2</v>
      </c>
      <c r="S275" s="233">
        <f>SUM('Old 1-12'!B275:D275)</f>
        <v>130823</v>
      </c>
      <c r="U275" s="196" t="s">
        <v>34</v>
      </c>
      <c r="V275" s="253"/>
      <c r="W275" s="253"/>
      <c r="X275" s="253"/>
      <c r="Y275" s="253"/>
      <c r="AL275" s="231"/>
      <c r="AP275" s="231"/>
    </row>
    <row r="276" spans="1:42" ht="15" customHeight="1">
      <c r="A276" s="196" t="s">
        <v>35</v>
      </c>
      <c r="B276" s="197">
        <f>+GETPIVOTDATA(" New-Less Than 2-Year",'Pivot Table for 1-11'!$A$3,"State","VA","SREB Type2","Two-Year")+GETPIVOTDATA(" New-2 But Less Than 4-Year",'Pivot Table for 1-11'!$A$3,"State","VA","SREB Type2","Two-Year")</f>
        <v>13632</v>
      </c>
      <c r="C276" s="197">
        <f>+GETPIVOTDATA(" New-Associate's",'Pivot Table for 1-11'!$A$3,"State","VA","SREB Type2","Two-Year")</f>
        <v>17667</v>
      </c>
      <c r="D276" s="197">
        <f>+GETPIVOTDATA(" New-Bachelor's",'Pivot Table for 1-11'!$A$3,"State","VA","SREB Type2","Two-Year")</f>
        <v>0</v>
      </c>
      <c r="E276" s="230">
        <f>+GETPIVOTDATA(" New-Less Than 2-Year",'Pivot Table for 1-11'!$A$3,"State","VA","SREB Type",7,"SREB Type2","Two-Year")+GETPIVOTDATA(" New-2 But Less Than 4-Year",'Pivot Table for 1-11'!$A$3,"State","VA","SREB Type",7,"SREB Type2","Two-Year")</f>
        <v>0</v>
      </c>
      <c r="F276" s="197">
        <f>+GETPIVOTDATA(" New-Associate's",'Pivot Table for 1-11'!$A$3,"State","VA","SREB Type",7,"SREB Type2","Two-Year")</f>
        <v>0</v>
      </c>
      <c r="G276" s="198">
        <f>+GETPIVOTDATA(" New-Bachelor's",'Pivot Table for 1-11'!$A$3,"State","VA","SREB Type",7,"SREB Type2","Two-Year")</f>
        <v>0</v>
      </c>
      <c r="H276" s="230">
        <f>+GETPIVOTDATA(" New-Less Than 2-Year",'Pivot Table for 1-11'!$A$3,"State","VA","SREB Type",8,"SREB Type2","Two-Year")+GETPIVOTDATA(" New-2 But Less Than 4-Year",'Pivot Table for 1-11'!$A$3,"State","VA","SREB Type",8,"SREB Type2","Two-Year")</f>
        <v>5440</v>
      </c>
      <c r="I276" s="198">
        <f>+GETPIVOTDATA(" New-Associate's",'Pivot Table for 1-11'!$A$3,"State","VA","SREB Type",8,"SREB Type2","Two-Year")</f>
        <v>10434</v>
      </c>
      <c r="J276" s="230">
        <f>+GETPIVOTDATA(" New-Less Than 2-Year",'Pivot Table for 1-11'!$A$3,"State","VA","SREB Type",9,"SREB Type2","Two-Year")+GETPIVOTDATA(" New-2 But Less Than 4-Year",'Pivot Table for 1-11'!$A$3,"State","VA","SREB Type",9,"SREB Type2","Two-Year")</f>
        <v>4722</v>
      </c>
      <c r="K276" s="198">
        <f>+GETPIVOTDATA(" New-Associate's",'Pivot Table for 1-11'!$A$3,"State","VA","SREB Type",9,"SREB Type2","Two-Year")</f>
        <v>4759</v>
      </c>
      <c r="L276" s="197">
        <f>+GETPIVOTDATA(" New-Less Than 2-Year",'Pivot Table for 1-11'!$A$3,"State","VA","SREB Type",10,"SREB Type2","Two-Year")+GETPIVOTDATA(" New-2 But Less Than 4-Year",'Pivot Table for 1-11'!$A$3,"State","VA","SREB Type",10,"SREB Type2","Two-Year")</f>
        <v>3470</v>
      </c>
      <c r="M276" s="197">
        <f>+GETPIVOTDATA(" New-Associate's",'Pivot Table for 1-11'!$A$3,"State","VA","SREB Type",10,"SREB Type2","Two-Year")</f>
        <v>2474</v>
      </c>
      <c r="N276" s="197"/>
      <c r="O276" s="197"/>
      <c r="P276" s="211"/>
      <c r="Q276" s="233">
        <f>SUM(B276:D276)</f>
        <v>31299</v>
      </c>
      <c r="R276" s="252">
        <f>('New Tables 1-12'!Q276-'New Tables 1-12'!S276)/S276</f>
        <v>-4.5674909290483887E-2</v>
      </c>
      <c r="S276" s="233">
        <f>SUM('Old 1-12'!B276:D276)</f>
        <v>32797</v>
      </c>
      <c r="U276" s="196" t="s">
        <v>35</v>
      </c>
      <c r="V276" s="253"/>
      <c r="W276" s="253"/>
      <c r="X276" s="253"/>
      <c r="Y276" s="253"/>
      <c r="AL276" s="231"/>
      <c r="AP276" s="231"/>
    </row>
    <row r="277" spans="1:42" ht="15" customHeight="1">
      <c r="A277" s="200" t="s">
        <v>36</v>
      </c>
      <c r="B277" s="201">
        <f>+GETPIVOTDATA(" New-Less Than 2-Year",'Pivot Table for 1-11'!$A$3,"State","WV","SREB Type2","Two-Year")+GETPIVOTDATA(" New-2 But Less Than 4-Year",'Pivot Table for 1-11'!$A$3,"State","WV","SREB Type2","Two-Year")</f>
        <v>1795</v>
      </c>
      <c r="C277" s="201">
        <f>+GETPIVOTDATA(" New-Associate's",'Pivot Table for 1-11'!$A$3,"State","WV","SREB Type2","Two-Year")</f>
        <v>2431</v>
      </c>
      <c r="D277" s="201">
        <f>+GETPIVOTDATA(" New-Bachelor's",'Pivot Table for 1-11'!$A$3,"State","WV","SREB Type2","Two-Year")</f>
        <v>286</v>
      </c>
      <c r="E277" s="318">
        <f>+GETPIVOTDATA(" New-Less Than 2-Year",'Pivot Table for 1-11'!$A$3,"State","WV","SREB Type",7,"SREB Type2","Two-Year")+GETPIVOTDATA(" New-2 But Less Than 4-Year",'Pivot Table for 1-11'!$A$3,"State","WV","SREB Type",7,"SREB Type2","Two-Year")</f>
        <v>105</v>
      </c>
      <c r="F277" s="201">
        <f>+GETPIVOTDATA(" New-Associate's",'Pivot Table for 1-11'!$A$3,"State","WV","SREB Type",7,"SREB Type2","Two-Year")</f>
        <v>514</v>
      </c>
      <c r="G277" s="319">
        <f>+GETPIVOTDATA(" New-Bachelor's",'Pivot Table for 1-11'!$A$3,"State","WV","SREB Type",7,"SREB Type2","Two-Year")</f>
        <v>286</v>
      </c>
      <c r="H277" s="318">
        <f>+GETPIVOTDATA(" New-Less Than 2-Year",'Pivot Table for 1-11'!$A$3,"State","WV","SREB Type",8,"SREB Type2","Two-Year")+GETPIVOTDATA(" New-2 But Less Than 4-Year",'Pivot Table for 1-11'!$A$3,"State","WV","SREB Type",8,"SREB Type2","Two-Year")</f>
        <v>0</v>
      </c>
      <c r="I277" s="319">
        <f>+GETPIVOTDATA(" New-Associate's",'Pivot Table for 1-11'!$A$3,"State","WV","SREB Type",8,"SREB Type2","Two-Year")</f>
        <v>0</v>
      </c>
      <c r="J277" s="318">
        <f>+GETPIVOTDATA(" New-Less Than 2-Year",'Pivot Table for 1-11'!$A$3,"State","WV","SREB Type",9,"SREB Type2","Two-Year")+GETPIVOTDATA(" New-2 But Less Than 4-Year",'Pivot Table for 1-11'!$A$3,"State","WV","SREB Type",9,"SREB Type2","Two-Year")</f>
        <v>321</v>
      </c>
      <c r="K277" s="319">
        <f>+GETPIVOTDATA(" New-Associate's",'Pivot Table for 1-11'!$A$3,"State","WV","SREB Type",9,"SREB Type2","Two-Year")</f>
        <v>369</v>
      </c>
      <c r="L277" s="201">
        <f>+GETPIVOTDATA(" New-Less Than 2-Year",'Pivot Table for 1-11'!$A$3,"State","WV","SREB Type",10,"SREB Type2","Two-Year")+GETPIVOTDATA(" New-2 But Less Than 4-Year",'Pivot Table for 1-11'!$A$3,"State","WV","SREB Type",10,"SREB Type2","Two-Year")</f>
        <v>1369</v>
      </c>
      <c r="M277" s="201">
        <f>+GETPIVOTDATA(" New-Associate's",'Pivot Table for 1-11'!$A$3,"State","WV","SREB Type",10,"SREB Type2","Two-Year")</f>
        <v>1548</v>
      </c>
      <c r="N277" s="197"/>
      <c r="O277" s="197"/>
      <c r="Q277" s="233">
        <f>SUM(B277:D277)</f>
        <v>4512</v>
      </c>
      <c r="R277" s="252">
        <f>('New Tables 1-12'!Q277-'New Tables 1-12'!S277)/S277</f>
        <v>-9.4884653961885654E-2</v>
      </c>
      <c r="S277" s="233">
        <f>SUM('Old 1-12'!B277:D277)</f>
        <v>4985</v>
      </c>
      <c r="U277" s="196" t="s">
        <v>36</v>
      </c>
      <c r="V277" s="253"/>
      <c r="W277" s="253"/>
      <c r="X277" s="253"/>
      <c r="Y277" s="253"/>
      <c r="AL277" s="231"/>
      <c r="AP277" s="231"/>
    </row>
    <row r="278" spans="1:42" ht="15" customHeight="1">
      <c r="A278" s="223" t="s">
        <v>68</v>
      </c>
      <c r="B278" s="197"/>
      <c r="C278" s="197"/>
      <c r="D278" s="197"/>
      <c r="E278" s="197"/>
      <c r="F278" s="197"/>
      <c r="G278" s="197"/>
      <c r="H278" s="211"/>
      <c r="I278" s="211"/>
      <c r="J278" s="211"/>
      <c r="K278" s="211"/>
      <c r="L278" s="211"/>
      <c r="M278" s="211"/>
      <c r="N278" s="211"/>
      <c r="O278" s="211"/>
      <c r="W278" s="130"/>
    </row>
    <row r="279" spans="1:42" ht="15.75" customHeight="1">
      <c r="A279" s="545" t="s">
        <v>69</v>
      </c>
      <c r="B279" s="546"/>
      <c r="C279" s="546"/>
      <c r="D279" s="546"/>
      <c r="E279" s="546"/>
      <c r="F279" s="546"/>
      <c r="G279" s="546"/>
      <c r="H279" s="546"/>
      <c r="I279" s="546"/>
      <c r="J279" s="546"/>
      <c r="K279" s="546"/>
      <c r="L279" s="546"/>
      <c r="M279" s="546"/>
      <c r="N279" s="546"/>
      <c r="O279" s="546"/>
      <c r="P279" s="546"/>
      <c r="Q279" s="212"/>
    </row>
    <row r="280" spans="1:42" ht="15.5">
      <c r="A280" s="263"/>
      <c r="B280" s="263"/>
      <c r="C280" s="263"/>
      <c r="D280" s="263"/>
      <c r="E280" s="263"/>
      <c r="F280" s="263"/>
      <c r="G280" s="263"/>
      <c r="H280" s="263"/>
      <c r="I280" s="263"/>
      <c r="J280" s="263"/>
      <c r="K280" s="263"/>
      <c r="L280" s="263"/>
      <c r="M280" s="204" t="s">
        <v>1179</v>
      </c>
      <c r="N280" s="204"/>
      <c r="O280" s="204"/>
      <c r="P280" s="212"/>
      <c r="Q280" s="212"/>
    </row>
    <row r="281" spans="1:42" ht="18">
      <c r="A281" s="186" t="s">
        <v>70</v>
      </c>
      <c r="B281" s="187"/>
      <c r="C281" s="187"/>
      <c r="D281" s="187"/>
      <c r="E281" s="187"/>
      <c r="F281" s="187"/>
      <c r="G281" s="187"/>
      <c r="H281" s="187" t="s">
        <v>1</v>
      </c>
      <c r="I281" s="187"/>
      <c r="J281" s="187" t="s">
        <v>1</v>
      </c>
      <c r="K281" s="187"/>
      <c r="L281" s="187"/>
      <c r="M281" s="65" t="s">
        <v>1</v>
      </c>
      <c r="N281" s="187"/>
      <c r="O281" s="187"/>
      <c r="P281" s="187"/>
      <c r="Q281" s="187" t="s">
        <v>1</v>
      </c>
    </row>
    <row r="282" spans="1:42" ht="9" customHeight="1">
      <c r="A282" s="188"/>
      <c r="B282" s="188"/>
      <c r="C282" s="188"/>
      <c r="D282" s="188"/>
      <c r="E282" s="188"/>
      <c r="F282" s="188"/>
      <c r="G282" s="188"/>
      <c r="H282" s="188" t="s">
        <v>1</v>
      </c>
      <c r="I282" s="188"/>
      <c r="J282" s="188" t="s">
        <v>1</v>
      </c>
      <c r="K282" s="188"/>
      <c r="L282" s="188"/>
      <c r="M282" s="188"/>
      <c r="N282" s="188"/>
      <c r="O282" s="188"/>
      <c r="P282" s="188"/>
      <c r="Q282" s="188"/>
    </row>
    <row r="283" spans="1:42" ht="15.5">
      <c r="A283" s="187" t="s">
        <v>2</v>
      </c>
      <c r="B283" s="187"/>
      <c r="C283" s="187"/>
      <c r="D283" s="187"/>
      <c r="E283" s="187"/>
      <c r="F283" s="187"/>
      <c r="G283" s="187"/>
      <c r="H283" s="187" t="s">
        <v>1</v>
      </c>
      <c r="I283" s="187"/>
      <c r="J283" s="187" t="s">
        <v>1</v>
      </c>
      <c r="K283" s="187"/>
      <c r="L283" s="187"/>
      <c r="M283" s="187"/>
      <c r="N283" s="187"/>
      <c r="O283" s="187"/>
      <c r="P283" s="187"/>
      <c r="Q283" s="187" t="s">
        <v>1</v>
      </c>
    </row>
    <row r="284" spans="1:42" ht="15.5">
      <c r="A284" s="187" t="s">
        <v>1188</v>
      </c>
      <c r="B284" s="187"/>
      <c r="C284" s="187"/>
      <c r="D284" s="187"/>
      <c r="E284" s="187"/>
      <c r="F284" s="187"/>
      <c r="G284" s="187"/>
      <c r="H284" s="187" t="s">
        <v>1</v>
      </c>
      <c r="I284" s="187"/>
      <c r="J284" s="187" t="s">
        <v>1</v>
      </c>
      <c r="K284" s="187"/>
      <c r="L284" s="187"/>
      <c r="M284" s="187"/>
      <c r="N284" s="187"/>
      <c r="O284" s="187"/>
      <c r="P284" s="187"/>
      <c r="Q284" s="187" t="s">
        <v>1</v>
      </c>
    </row>
    <row r="285" spans="1:42" ht="9.75" customHeight="1">
      <c r="A285" s="188"/>
      <c r="B285" s="188"/>
      <c r="C285" s="188"/>
      <c r="D285" s="188"/>
      <c r="E285" s="188"/>
      <c r="F285" s="188"/>
      <c r="G285" s="188"/>
      <c r="H285" s="187" t="s">
        <v>1</v>
      </c>
      <c r="I285" s="187"/>
      <c r="Q285" s="65" t="s">
        <v>40</v>
      </c>
    </row>
    <row r="286" spans="1:42" ht="52.5" customHeight="1">
      <c r="A286" s="206"/>
      <c r="B286" s="324" t="s">
        <v>72</v>
      </c>
      <c r="C286" s="255"/>
      <c r="D286" s="324" t="s">
        <v>73</v>
      </c>
      <c r="E286" s="255"/>
      <c r="F286" s="324" t="s">
        <v>74</v>
      </c>
      <c r="G286" s="324"/>
      <c r="H286" s="187" t="s">
        <v>1</v>
      </c>
      <c r="I286" s="187"/>
      <c r="R286" s="112"/>
      <c r="S286" s="112"/>
      <c r="AA286" s="248"/>
    </row>
    <row r="287" spans="1:42" ht="36" customHeight="1">
      <c r="A287" s="193"/>
      <c r="B287" s="194" t="s">
        <v>5</v>
      </c>
      <c r="C287" s="194" t="s">
        <v>63</v>
      </c>
      <c r="D287" s="317" t="s">
        <v>5</v>
      </c>
      <c r="E287" s="194" t="s">
        <v>63</v>
      </c>
      <c r="F287" s="317" t="s">
        <v>5</v>
      </c>
      <c r="G287" s="194" t="s">
        <v>63</v>
      </c>
      <c r="H287" s="187" t="s">
        <v>1</v>
      </c>
      <c r="I287" s="187"/>
      <c r="Q287" s="325" t="s">
        <v>66</v>
      </c>
      <c r="R287" s="250" t="s">
        <v>41</v>
      </c>
      <c r="S287" s="325" t="s">
        <v>67</v>
      </c>
      <c r="AA287" s="106"/>
      <c r="AB287" s="106"/>
      <c r="AC287" s="106"/>
    </row>
    <row r="288" spans="1:42" ht="15" customHeight="1">
      <c r="A288" s="196" t="s">
        <v>20</v>
      </c>
      <c r="B288" s="197">
        <f>+GETPIVOTDATA(" New-Less Than 2-Year",'Pivot Table for 1-11'!$A$3,"SREB Type2","Technical")+GETPIVOTDATA(" New-2 But Less Than 4-Year",'Pivot Table for 1-11'!$A$3,"SREB Type2","Technical")</f>
        <v>73766</v>
      </c>
      <c r="C288" s="197">
        <f>+GETPIVOTDATA(" New-Associate's",'Pivot Table for 1-11'!$A$3,"SREB Type2","Technical")</f>
        <v>10324</v>
      </c>
      <c r="D288" s="322">
        <f>+GETPIVOTDATA(" New-Less Than 2-Year",'Pivot Table for 1-11'!$A$3,"SREB Type",12,"SREB Type2","Technical")+GETPIVOTDATA(" New-2 But Less Than 4-Year",'Pivot Table for 1-11'!$A$3,"SREB Type",12,"SREB Type2","Technical")</f>
        <v>54589</v>
      </c>
      <c r="E288" s="323">
        <f>+GETPIVOTDATA(" New-Associate's",'Pivot Table for 1-11'!$A$3,"SREB Type",12,"SREB Type2","Technical")</f>
        <v>10214</v>
      </c>
      <c r="F288" s="322">
        <f>+GETPIVOTDATA(" New-Less Than 2-Year",'Pivot Table for 1-11'!$A$3,"SREB Type",13,"SREB Type2","Technical")+GETPIVOTDATA(" New-2 But Less Than 4-Year",'Pivot Table for 1-11'!$A$3,"SREB Type",13,"SREB Type2","Technical")</f>
        <v>18216</v>
      </c>
      <c r="G288" s="209">
        <f>+GETPIVOTDATA(" New-Associate's",'Pivot Table for 1-11'!$A$3,"SREB Type",13,"SREB Type2","Technical")</f>
        <v>110</v>
      </c>
      <c r="H288" s="187" t="s">
        <v>1</v>
      </c>
      <c r="I288" s="187"/>
      <c r="Q288" s="233">
        <f t="shared" ref="Q288:Q308" si="8">SUM(B288:C288)</f>
        <v>84090</v>
      </c>
      <c r="R288" s="252">
        <f>('New Tables 1-12'!Q288-'New Tables 1-12'!S288)/S288</f>
        <v>-3.9090262970859985E-3</v>
      </c>
      <c r="S288" s="233">
        <f>SUM('Old 1-12'!B288:C288)</f>
        <v>84420</v>
      </c>
      <c r="T288" s="196" t="s">
        <v>20</v>
      </c>
    </row>
    <row r="289" spans="1:27" ht="15" customHeight="1">
      <c r="A289" s="196"/>
      <c r="B289" s="197"/>
      <c r="C289" s="197"/>
      <c r="D289" s="230"/>
      <c r="E289" s="198"/>
      <c r="F289" s="230"/>
      <c r="G289" s="197"/>
      <c r="H289" s="187" t="s">
        <v>1</v>
      </c>
      <c r="I289" s="187"/>
      <c r="Q289" s="233"/>
      <c r="R289" s="252"/>
      <c r="S289" s="233"/>
      <c r="T289" s="196"/>
    </row>
    <row r="290" spans="1:27" ht="15" customHeight="1">
      <c r="A290" s="196" t="s">
        <v>21</v>
      </c>
      <c r="B290" s="197">
        <f>+GETPIVOTDATA(" New-Less Than 2-Year",'Pivot Table for 1-11'!$A$3,"State","AL","SREB Type2","Technical")+GETPIVOTDATA(" New-2 But Less Than 4-Year",'Pivot Table for 1-11'!$A$3,"State","AL","SREB Type2","Technical")</f>
        <v>1038</v>
      </c>
      <c r="C290" s="197">
        <f>+GETPIVOTDATA(" New-Associate's",'Pivot Table for 1-11'!$A$3,"State","AL","SREB Type2","Technical")</f>
        <v>304</v>
      </c>
      <c r="D290" s="230">
        <f>+GETPIVOTDATA(" New-Less Than 2-Year",'Pivot Table for 1-11'!$A$3,"State","AL","SREB Type",12,"SREB Type2","Technical")+GETPIVOTDATA(" New-2 But Less Than 4-Year",'Pivot Table for 1-11'!$A$3,"State","AL","SREB Type",12,"SREB Type2","Technical")</f>
        <v>170</v>
      </c>
      <c r="E290" s="198">
        <f>+GETPIVOTDATA(" New-Associate's",'Pivot Table for 1-11'!$A$3,"State","AL","SREB Type",12,"SREB Type2","Technical")</f>
        <v>203</v>
      </c>
      <c r="F290" s="230">
        <f>+GETPIVOTDATA(" New-Less Than 2-Year",'Pivot Table for 1-11'!$A$3,"State","AL","SREB Type",13,"SREB Type2","Technical")+GETPIVOTDATA(" New-2 But Less Than 4-Year",'Pivot Table for 1-11'!$A$3,"State","AL","SREB Type",13,"SREB Type2","Technical")</f>
        <v>868</v>
      </c>
      <c r="G290" s="197">
        <f>+GETPIVOTDATA(" New-Associate's",'Pivot Table for 1-11'!$A$3,"State","AL","SREB Type",13,"SREB Type2","Technical")</f>
        <v>101</v>
      </c>
      <c r="H290" s="187" t="s">
        <v>1</v>
      </c>
      <c r="I290" s="187"/>
      <c r="Q290" s="233">
        <f t="shared" si="8"/>
        <v>1342</v>
      </c>
      <c r="R290" s="252">
        <f>('New Tables 1-12'!Q290-'New Tables 1-12'!S290)/S290</f>
        <v>-8.8315217391304351E-2</v>
      </c>
      <c r="S290" s="233">
        <f>SUM('Old 1-12'!B290:C290)</f>
        <v>1472</v>
      </c>
      <c r="T290" s="196" t="s">
        <v>21</v>
      </c>
      <c r="AA290" s="254"/>
    </row>
    <row r="291" spans="1:27" ht="15" customHeight="1">
      <c r="A291" s="196" t="s">
        <v>22</v>
      </c>
      <c r="B291" s="197">
        <f>+GETPIVOTDATA(" New-Less Than 2-Year",'Pivot Table for 1-11'!$A$3,"State","AR","SREB Type2","Technical")+GETPIVOTDATA(" New-2 But Less Than 4-Year",'Pivot Table for 1-11'!$A$3,"State","AR","SREB Type2","Technical")</f>
        <v>0</v>
      </c>
      <c r="C291" s="197">
        <f>+GETPIVOTDATA(" New-Associate's",'Pivot Table for 1-11'!$A$3,"State","AR","SREB Type2","Technical")</f>
        <v>0</v>
      </c>
      <c r="D291" s="230">
        <f>+GETPIVOTDATA(" New-Less Than 2-Year",'Pivot Table for 1-11'!$A$3,"State","AR","SREB Type",12,"SREB Type2","Technical")+GETPIVOTDATA(" New-2 But Less Than 4-Year",'Pivot Table for 1-11'!$A$3,"State","AR","SREB Type",12,"SREB Type2","Technical")</f>
        <v>0</v>
      </c>
      <c r="E291" s="198">
        <f>+GETPIVOTDATA(" New-Associate's",'Pivot Table for 1-11'!$A$3,"State","AR","SREB Type",12,"SREB Type2","Technical")</f>
        <v>0</v>
      </c>
      <c r="F291" s="230">
        <f>+GETPIVOTDATA(" New-Less Than 2-Year",'Pivot Table for 1-11'!$A$3,"State","AR","SREB Type",13,"SREB Type2","Technical")+GETPIVOTDATA(" New-2 But Less Than 4-Year",'Pivot Table for 1-11'!$A$3,"State","AR","SREB Type",13,"SREB Type2","Technical")</f>
        <v>0</v>
      </c>
      <c r="G291" s="197">
        <f>+GETPIVOTDATA(" New-Associate's",'Pivot Table for 1-11'!$A$3,"State","AR","SREB Type",13,"SREB Type2","Technical")</f>
        <v>0</v>
      </c>
      <c r="H291" s="187" t="s">
        <v>1</v>
      </c>
      <c r="I291" s="187"/>
      <c r="Q291" s="233">
        <f t="shared" si="8"/>
        <v>0</v>
      </c>
      <c r="R291" s="252" t="e">
        <f>('New Tables 1-12'!Q291-'New Tables 1-12'!S291)/S291</f>
        <v>#DIV/0!</v>
      </c>
      <c r="S291" s="233">
        <f>SUM('Old 1-12'!B291:C291)</f>
        <v>0</v>
      </c>
      <c r="T291" s="196" t="s">
        <v>22</v>
      </c>
    </row>
    <row r="292" spans="1:27" ht="15" customHeight="1">
      <c r="A292" s="196" t="s">
        <v>23</v>
      </c>
      <c r="B292" s="197">
        <f>+GETPIVOTDATA(" New-Less Than 2-Year",'Pivot Table for 1-11'!$A$3,"State","DE","SREB Type2","Technical")+GETPIVOTDATA(" New-2 But Less Than 4-Year",'Pivot Table for 1-11'!$A$3,"State","DE","SREB Type2","Technical")</f>
        <v>0</v>
      </c>
      <c r="C292" s="197">
        <f>+GETPIVOTDATA(" New-Associate's",'Pivot Table for 1-11'!$A$3,"State","DE","SREB Type2","Technical")</f>
        <v>0</v>
      </c>
      <c r="D292" s="230">
        <f>+GETPIVOTDATA(" New-Less Than 2-Year",'Pivot Table for 1-11'!$A$3,"State","DE","SREB Type",12,"SREB Type2","Technical")+GETPIVOTDATA(" New-2 But Less Than 4-Year",'Pivot Table for 1-11'!$A$3,"State","DE","SREB Type",12,"SREB Type2","Technical")</f>
        <v>0</v>
      </c>
      <c r="E292" s="198">
        <f>+GETPIVOTDATA(" New-Associate's",'Pivot Table for 1-11'!$A$3,"State","DE","SREB Type",12,"SREB Type2","Technical")</f>
        <v>0</v>
      </c>
      <c r="F292" s="230">
        <f>+GETPIVOTDATA(" New-Less Than 2-Year",'Pivot Table for 1-11'!$A$3,"State","DE","SREB Type",13,"SREB Type2","Technical")+GETPIVOTDATA(" New-2 But Less Than 4-Year",'Pivot Table for 1-11'!$A$3,"State","DE","SREB Type",13,"SREB Type2","Technical")</f>
        <v>0</v>
      </c>
      <c r="G292" s="197">
        <f>+GETPIVOTDATA(" New-Associate's",'Pivot Table for 1-11'!$A$3,"State","DE","SREB Type",13,"SREB Type2","Technical")</f>
        <v>0</v>
      </c>
      <c r="H292" s="187" t="s">
        <v>1</v>
      </c>
      <c r="I292" s="187"/>
      <c r="Q292" s="233">
        <f t="shared" si="8"/>
        <v>0</v>
      </c>
      <c r="R292" s="252" t="e">
        <f>('New Tables 1-12'!Q292-'New Tables 1-12'!S292)/S292</f>
        <v>#DIV/0!</v>
      </c>
      <c r="S292" s="233">
        <f>SUM('Old 1-12'!B292:C292)</f>
        <v>0</v>
      </c>
      <c r="T292" s="196" t="s">
        <v>23</v>
      </c>
    </row>
    <row r="293" spans="1:27" ht="15" customHeight="1">
      <c r="A293" s="196" t="s">
        <v>24</v>
      </c>
      <c r="B293" s="197">
        <f>+GETPIVOTDATA(" New-Less Than 2-Year",'Pivot Table for 1-11'!$A$3,"State","FL","SREB Type2","Technical")+GETPIVOTDATA(" New-2 But Less Than 4-Year",'Pivot Table for 1-11'!$A$3,"State","FL","SREB Type2","Technical")</f>
        <v>0</v>
      </c>
      <c r="C293" s="197">
        <f>+GETPIVOTDATA(" New-Associate's",'Pivot Table for 1-11'!$A$3,"State","FL","SREB Type2","Technical")</f>
        <v>0</v>
      </c>
      <c r="D293" s="230">
        <f>+GETPIVOTDATA(" New-Less Than 2-Year",'Pivot Table for 1-11'!$A$3,"State","FL","SREB Type",12,"SREB Type2","Technical")+GETPIVOTDATA(" New-2 But Less Than 4-Year",'Pivot Table for 1-11'!$A$3,"State","FL","SREB Type",12,"SREB Type2","Technical")</f>
        <v>0</v>
      </c>
      <c r="E293" s="198">
        <f>+GETPIVOTDATA(" New-Associate's",'Pivot Table for 1-11'!$A$3,"State","FL","SREB Type",12,"SREB Type2","Technical")</f>
        <v>0</v>
      </c>
      <c r="F293" s="230">
        <f>+GETPIVOTDATA(" New-Less Than 2-Year",'Pivot Table for 1-11'!$A$3,"State","FL","SREB Type",13,"SREB Type2","Technical")+GETPIVOTDATA(" New-2 But Less Than 4-Year",'Pivot Table for 1-11'!$A$3,"State","FL","SREB Type",13,"SREB Type2","Technical")</f>
        <v>0</v>
      </c>
      <c r="G293" s="197">
        <f>+GETPIVOTDATA(" New-Associate's",'Pivot Table for 1-11'!$A$3,"State","FL","SREB Type",13,"SREB Type2","Technical")</f>
        <v>0</v>
      </c>
      <c r="H293" s="187" t="s">
        <v>1</v>
      </c>
      <c r="I293" s="187"/>
      <c r="Q293" s="233">
        <f t="shared" si="8"/>
        <v>0</v>
      </c>
      <c r="R293" s="252" t="e">
        <f>('New Tables 1-12'!Q293-'New Tables 1-12'!S293)/S293</f>
        <v>#DIV/0!</v>
      </c>
      <c r="S293" s="233">
        <f>SUM('Old 1-12'!B293:C293)</f>
        <v>0</v>
      </c>
      <c r="T293" s="196" t="s">
        <v>24</v>
      </c>
    </row>
    <row r="294" spans="1:27" ht="15" customHeight="1">
      <c r="A294" s="196"/>
      <c r="B294" s="197"/>
      <c r="C294" s="197"/>
      <c r="D294" s="230"/>
      <c r="E294" s="198"/>
      <c r="F294" s="230"/>
      <c r="G294" s="197"/>
      <c r="H294" s="187" t="s">
        <v>1</v>
      </c>
      <c r="I294" s="187"/>
      <c r="Q294" s="233"/>
      <c r="R294" s="252"/>
      <c r="S294" s="233"/>
      <c r="T294" s="196"/>
    </row>
    <row r="295" spans="1:27" ht="15" customHeight="1">
      <c r="A295" s="196" t="s">
        <v>25</v>
      </c>
      <c r="B295" s="197">
        <f>+GETPIVOTDATA(" New-Less Than 2-Year",'Pivot Table for 1-11'!$A$3,"State","GA","SREB Type2","Technical")+GETPIVOTDATA(" New-2 But Less Than 4-Year",'Pivot Table for 1-11'!$A$3,"State","GA","SREB Type2","Technical")</f>
        <v>41929</v>
      </c>
      <c r="C295" s="197">
        <f>+GETPIVOTDATA(" New-Associate's",'Pivot Table for 1-11'!$A$3,"State","GA","SREB Type2","Technical")</f>
        <v>8009</v>
      </c>
      <c r="D295" s="230">
        <f>+GETPIVOTDATA(" New-Less Than 2-Year",'Pivot Table for 1-11'!$A$3,"State","GA","SREB Type",12,"SREB Type2","Technical")+GETPIVOTDATA(" New-2 But Less Than 4-Year",'Pivot Table for 1-11'!$A$3,"State","GA","SREB Type",12,"SREB Type2","Technical")</f>
        <v>41929</v>
      </c>
      <c r="E295" s="198">
        <f>+GETPIVOTDATA(" New-Associate's",'Pivot Table for 1-11'!$A$3,"State","GA","SREB Type",12,"SREB Type2","Technical")</f>
        <v>8009</v>
      </c>
      <c r="F295" s="230">
        <f>+GETPIVOTDATA(" New-Less Than 2-Year",'Pivot Table for 1-11'!$A$3,"State","GA","SREB Type",13,"SREB Type2","Technical")+GETPIVOTDATA(" New-2 But Less Than 4-Year",'Pivot Table for 1-11'!$A$3,"State","GA","SREB Type",13,"SREB Type2","Technical")</f>
        <v>0</v>
      </c>
      <c r="G295" s="197">
        <f>+GETPIVOTDATA(" New-Associate's",'Pivot Table for 1-11'!$A$3,"State","GA","SREB Type",13,"SREB Type2","Technical")</f>
        <v>0</v>
      </c>
      <c r="H295" s="187" t="s">
        <v>1</v>
      </c>
      <c r="I295" s="187"/>
      <c r="Q295" s="233">
        <f t="shared" si="8"/>
        <v>49938</v>
      </c>
      <c r="R295" s="252">
        <f>('New Tables 1-12'!Q295-'New Tables 1-12'!S295)/S295</f>
        <v>2.2075941237858234E-3</v>
      </c>
      <c r="S295" s="233">
        <f>SUM('Old 1-12'!B295:C295)</f>
        <v>49828</v>
      </c>
      <c r="T295" s="196" t="s">
        <v>25</v>
      </c>
    </row>
    <row r="296" spans="1:27" ht="15" customHeight="1">
      <c r="A296" s="196" t="s">
        <v>26</v>
      </c>
      <c r="B296" s="197">
        <f>+GETPIVOTDATA(" New-Less Than 2-Year",'Pivot Table for 1-11'!$A$3,"State","KY","SREB Type2","Technical")+GETPIVOTDATA(" New-2 But Less Than 4-Year",'Pivot Table for 1-11'!$A$3,"State","KY","SREB Type2","Technical")</f>
        <v>4711</v>
      </c>
      <c r="C296" s="197">
        <f>+GETPIVOTDATA(" New-Associate's",'Pivot Table for 1-11'!$A$3,"State","KY","SREB Type2","Technical")</f>
        <v>1233</v>
      </c>
      <c r="D296" s="230">
        <f>+GETPIVOTDATA(" New-Less Than 2-Year",'Pivot Table for 1-11'!$A$3,"State","KY","SREB Type",12,"SREB Type2","Technical")+GETPIVOTDATA(" New-2 But Less Than 4-Year",'Pivot Table for 1-11'!$A$3,"State","KY","SREB Type",12,"SREB Type2","Technical")</f>
        <v>4711</v>
      </c>
      <c r="E296" s="198">
        <f>+GETPIVOTDATA(" New-Associate's",'Pivot Table for 1-11'!$A$3,"State","KY","SREB Type",12,"SREB Type2","Technical")</f>
        <v>1233</v>
      </c>
      <c r="F296" s="230">
        <f>+GETPIVOTDATA(" New-Less Than 2-Year",'Pivot Table for 1-11'!$A$3,"State","KY","SREB Type",13,"SREB Type2","Technical")+GETPIVOTDATA(" New-2 But Less Than 4-Year",'Pivot Table for 1-11'!$A$3,"State","KY","SREB Type",13,"SREB Type2","Technical")</f>
        <v>0</v>
      </c>
      <c r="G296" s="197">
        <f>+GETPIVOTDATA(" New-Associate's",'Pivot Table for 1-11'!$A$3,"State","KY","SREB Type",13,"SREB Type2","Technical")</f>
        <v>0</v>
      </c>
      <c r="H296" s="187" t="s">
        <v>1</v>
      </c>
      <c r="I296" s="187"/>
      <c r="Q296" s="233">
        <f t="shared" si="8"/>
        <v>5944</v>
      </c>
      <c r="R296" s="252">
        <f>('New Tables 1-12'!Q296-'New Tables 1-12'!S296)/S296</f>
        <v>4.5631232043265172E-3</v>
      </c>
      <c r="S296" s="233">
        <f>SUM('Old 1-12'!B296:C296)</f>
        <v>5917</v>
      </c>
      <c r="T296" s="196" t="s">
        <v>26</v>
      </c>
    </row>
    <row r="297" spans="1:27" ht="15" customHeight="1">
      <c r="A297" s="196" t="s">
        <v>27</v>
      </c>
      <c r="B297" s="197">
        <f>+GETPIVOTDATA(" New-Less Than 2-Year",'Pivot Table for 1-11'!$A$3,"State","LA","SREB Type2","Technical")+GETPIVOTDATA(" New-2 But Less Than 4-Year",'Pivot Table for 1-11'!$A$3,"State","LA","SREB Type2","Technical")</f>
        <v>6501</v>
      </c>
      <c r="C297" s="197">
        <f>+GETPIVOTDATA(" New-Associate's",'Pivot Table for 1-11'!$A$3,"State","LA","SREB Type2","Technical")</f>
        <v>778</v>
      </c>
      <c r="D297" s="230">
        <f>+GETPIVOTDATA(" New-Less Than 2-Year",'Pivot Table for 1-11'!$A$3,"State","LA","SREB Type",12,"SREB Type2","Technical")+GETPIVOTDATA(" New-2 But Less Than 4-Year",'Pivot Table for 1-11'!$A$3,"State","LA","SREB Type",12,"SREB Type2","Technical")</f>
        <v>5641</v>
      </c>
      <c r="E297" s="198">
        <f>+GETPIVOTDATA(" New-Associate's",'Pivot Table for 1-11'!$A$3,"State","LA","SREB Type",12,"SREB Type2","Technical")</f>
        <v>769</v>
      </c>
      <c r="F297" s="230">
        <f>+GETPIVOTDATA(" New-Less Than 2-Year",'Pivot Table for 1-11'!$A$3,"State","LA","SREB Type",13,"SREB Type2","Technical")+GETPIVOTDATA(" New-2 But Less Than 4-Year",'Pivot Table for 1-11'!$A$3,"State","LA","SREB Type",13,"SREB Type2","Technical")</f>
        <v>860</v>
      </c>
      <c r="G297" s="197">
        <f>+GETPIVOTDATA(" New-Associate's",'Pivot Table for 1-11'!$A$3,"State","LA","SREB Type",13,"SREB Type2","Technical")</f>
        <v>9</v>
      </c>
      <c r="H297" s="187" t="s">
        <v>1</v>
      </c>
      <c r="I297" s="187"/>
      <c r="Q297" s="233">
        <f t="shared" si="8"/>
        <v>7279</v>
      </c>
      <c r="R297" s="252">
        <f>('New Tables 1-12'!Q297-'New Tables 1-12'!S297)/S297</f>
        <v>0.37132629992464206</v>
      </c>
      <c r="S297" s="233">
        <f>SUM('Old 1-12'!B297:C297)</f>
        <v>5308</v>
      </c>
      <c r="T297" s="196" t="s">
        <v>27</v>
      </c>
    </row>
    <row r="298" spans="1:27" ht="15" customHeight="1">
      <c r="A298" s="196" t="s">
        <v>28</v>
      </c>
      <c r="B298" s="197">
        <f>+GETPIVOTDATA(" New-Less Than 2-Year",'Pivot Table for 1-11'!$A$3,"State","MD","SREB Type2","Technical")+GETPIVOTDATA(" New-2 But Less Than 4-Year",'Pivot Table for 1-11'!$A$3,"State","MD","SREB Type2","Technical")</f>
        <v>0</v>
      </c>
      <c r="C298" s="197">
        <f>+GETPIVOTDATA(" New-Associate's",'Pivot Table for 1-11'!$A$3,"State","MD","SREB Type2","Technical")</f>
        <v>0</v>
      </c>
      <c r="D298" s="230">
        <f>+GETPIVOTDATA(" New-Less Than 2-Year",'Pivot Table for 1-11'!$A$3,"State","MD","SREB Type",12,"SREB Type2","Technical")+GETPIVOTDATA(" New-2 But Less Than 4-Year",'Pivot Table for 1-11'!$A$3,"State","MD","SREB Type",12,"SREB Type2","Technical")</f>
        <v>0</v>
      </c>
      <c r="E298" s="198">
        <f>+GETPIVOTDATA(" New-Associate's",'Pivot Table for 1-11'!$A$3,"State","MD","SREB Type",12,"SREB Type2","Technical")</f>
        <v>0</v>
      </c>
      <c r="F298" s="230">
        <f>+GETPIVOTDATA(" New-Less Than 2-Year",'Pivot Table for 1-11'!$A$3,"State","MD","SREB Type",13,"SREB Type2","Technical")+GETPIVOTDATA(" New-2 But Less Than 4-Year",'Pivot Table for 1-11'!$A$3,"State","MD","SREB Type",13,"SREB Type2","Technical")</f>
        <v>0</v>
      </c>
      <c r="G298" s="197">
        <f>+GETPIVOTDATA(" New-Associate's",'Pivot Table for 1-11'!$A$3,"State","MD","SREB Type",13,"SREB Type2","Technical")</f>
        <v>0</v>
      </c>
      <c r="H298" s="187" t="s">
        <v>1</v>
      </c>
      <c r="I298" s="187"/>
      <c r="Q298" s="233">
        <f t="shared" si="8"/>
        <v>0</v>
      </c>
      <c r="R298" s="252" t="e">
        <f>('New Tables 1-12'!Q298-'New Tables 1-12'!S298)/S298</f>
        <v>#DIV/0!</v>
      </c>
      <c r="S298" s="233">
        <f>SUM('Old 1-12'!B298:C298)</f>
        <v>0</v>
      </c>
      <c r="T298" s="196" t="s">
        <v>28</v>
      </c>
    </row>
    <row r="299" spans="1:27" ht="15" customHeight="1">
      <c r="A299" s="196"/>
      <c r="B299" s="197"/>
      <c r="C299" s="197"/>
      <c r="D299" s="230"/>
      <c r="E299" s="198"/>
      <c r="F299" s="230"/>
      <c r="G299" s="197"/>
      <c r="H299" s="187" t="s">
        <v>1</v>
      </c>
      <c r="I299" s="187"/>
      <c r="Q299" s="233"/>
      <c r="R299" s="252"/>
      <c r="S299" s="233"/>
      <c r="T299" s="196"/>
    </row>
    <row r="300" spans="1:27" ht="15" customHeight="1">
      <c r="A300" s="196" t="s">
        <v>29</v>
      </c>
      <c r="B300" s="197">
        <f>+GETPIVOTDATA(" New-Less Than 2-Year",'Pivot Table for 1-11'!$A$3,"State","MS","SREB Type2","Technical")+GETPIVOTDATA(" New-2 But Less Than 4-Year",'Pivot Table for 1-11'!$A$3,"State","MS","SREB Type2","Technical")</f>
        <v>0</v>
      </c>
      <c r="C300" s="197">
        <f>+GETPIVOTDATA(" New-Associate's",'Pivot Table for 1-11'!$A$3,"State","MS","SREB Type2","Technical")</f>
        <v>0</v>
      </c>
      <c r="D300" s="230">
        <f>+GETPIVOTDATA(" New-Less Than 2-Year",'Pivot Table for 1-11'!$A$3,"State","MS","SREB Type",12,"SREB Type2","Technical")+GETPIVOTDATA(" New-2 But Less Than 4-Year",'Pivot Table for 1-11'!$A$3,"State","MS","SREB Type",12,"SREB Type2","Technical")</f>
        <v>0</v>
      </c>
      <c r="E300" s="198">
        <f>+GETPIVOTDATA(" New-Associate's",'Pivot Table for 1-11'!$A$3,"State","MS","SREB Type",12,"SREB Type2","Technical")</f>
        <v>0</v>
      </c>
      <c r="F300" s="230">
        <f>+GETPIVOTDATA(" New-Less Than 2-Year",'Pivot Table for 1-11'!$A$3,"State","MS","SREB Type",13,"SREB Type2","Technical")+GETPIVOTDATA(" New-2 But Less Than 4-Year",'Pivot Table for 1-11'!$A$3,"State","MS","SREB Type",13,"SREB Type2","Technical")</f>
        <v>0</v>
      </c>
      <c r="G300" s="197">
        <f>+GETPIVOTDATA(" New-Associate's",'Pivot Table for 1-11'!$A$3,"State","MS","SREB Type",13,"SREB Type2","Technical")</f>
        <v>0</v>
      </c>
      <c r="H300" s="187" t="s">
        <v>1</v>
      </c>
      <c r="I300" s="187"/>
      <c r="Q300" s="233">
        <f t="shared" si="8"/>
        <v>0</v>
      </c>
      <c r="R300" s="252" t="e">
        <f>('New Tables 1-12'!Q300-'New Tables 1-12'!S300)/S300</f>
        <v>#DIV/0!</v>
      </c>
      <c r="S300" s="233">
        <f>SUM('Old 1-12'!B300:C300)</f>
        <v>0</v>
      </c>
      <c r="T300" s="196" t="s">
        <v>29</v>
      </c>
    </row>
    <row r="301" spans="1:27" ht="15" customHeight="1">
      <c r="A301" s="196" t="s">
        <v>30</v>
      </c>
      <c r="B301" s="197">
        <f>+GETPIVOTDATA(" New-Less Than 2-Year",'Pivot Table for 1-11'!$A$3,"State","NC","SREB Type2","Technical")+GETPIVOTDATA(" New-2 But Less Than 4-Year",'Pivot Table for 1-11'!$A$3,"State","NC","SREB Type2","Technical")</f>
        <v>0</v>
      </c>
      <c r="C301" s="197">
        <f>+GETPIVOTDATA(" New-Associate's",'Pivot Table for 1-11'!$A$3,"State","NC","SREB Type2","Technical")</f>
        <v>0</v>
      </c>
      <c r="D301" s="230">
        <f>+GETPIVOTDATA(" New-Less Than 2-Year",'Pivot Table for 1-11'!$A$3,"State","NC","SREB Type",12,"SREB Type2","Technical")+GETPIVOTDATA(" New-2 But Less Than 4-Year",'Pivot Table for 1-11'!$A$3,"State","NC","SREB Type",12,"SREB Type2","Technical")</f>
        <v>0</v>
      </c>
      <c r="E301" s="198">
        <f>+GETPIVOTDATA(" New-Associate's",'Pivot Table for 1-11'!$A$3,"State","NC","SREB Type",12,"SREB Type2","Technical")</f>
        <v>0</v>
      </c>
      <c r="F301" s="230">
        <f>+GETPIVOTDATA(" New-Less Than 2-Year",'Pivot Table for 1-11'!$A$3,"State","NC","SREB Type",13,"SREB Type2","Technical")+GETPIVOTDATA(" New-2 But Less Than 4-Year",'Pivot Table for 1-11'!$A$3,"State","NC","SREB Type",13,"SREB Type2","Technical")</f>
        <v>0</v>
      </c>
      <c r="G301" s="197">
        <f>+GETPIVOTDATA(" New-Associate's",'Pivot Table for 1-11'!$A$3,"State","NC","SREB Type",13,"SREB Type2","Technical")</f>
        <v>0</v>
      </c>
      <c r="H301" s="187" t="s">
        <v>1</v>
      </c>
      <c r="I301" s="187"/>
      <c r="Q301" s="233">
        <f t="shared" si="8"/>
        <v>0</v>
      </c>
      <c r="R301" s="252" t="e">
        <f>('New Tables 1-12'!Q301-'New Tables 1-12'!S301)/S301</f>
        <v>#DIV/0!</v>
      </c>
      <c r="S301" s="233">
        <f>SUM('Old 1-12'!B301:C301)</f>
        <v>0</v>
      </c>
      <c r="T301" s="196" t="s">
        <v>30</v>
      </c>
    </row>
    <row r="302" spans="1:27" ht="15" customHeight="1">
      <c r="A302" s="196" t="s">
        <v>31</v>
      </c>
      <c r="B302" s="197">
        <f>+GETPIVOTDATA(" New-Less Than 2-Year",'Pivot Table for 1-11'!$A$3,"State","OK","SREB Type2","Technical")+GETPIVOTDATA(" New-2 But Less Than 4-Year",'Pivot Table for 1-11'!$A$3,"State","OK","SREB Type2","Technical")</f>
        <v>12775</v>
      </c>
      <c r="C302" s="197">
        <f>+GETPIVOTDATA(" New-Associate's",'Pivot Table for 1-11'!$A$3,"State","OK","SREB Type2","Technical")</f>
        <v>0</v>
      </c>
      <c r="D302" s="230">
        <f>+GETPIVOTDATA(" New-Less Than 2-Year",'Pivot Table for 1-11'!$A$3,"State","OK","SREB Type",12,"SREB Type2","Technical")+GETPIVOTDATA(" New-2 But Less Than 4-Year",'Pivot Table for 1-11'!$A$3,"State","OK","SREB Type",12,"SREB Type2","Technical")</f>
        <v>2138</v>
      </c>
      <c r="E302" s="198">
        <f>+GETPIVOTDATA(" New-Associate's",'Pivot Table for 1-11'!$A$3,"State","OK","SREB Type",12,"SREB Type2","Technical")</f>
        <v>0</v>
      </c>
      <c r="F302" s="230">
        <f>+GETPIVOTDATA(" New-Less Than 2-Year",'Pivot Table for 1-11'!$A$3,"State","OK","SREB Type",13,"SREB Type2","Technical")+GETPIVOTDATA(" New-2 But Less Than 4-Year",'Pivot Table for 1-11'!$A$3,"State","OK","SREB Type",13,"SREB Type2","Technical")</f>
        <v>10637</v>
      </c>
      <c r="G302" s="197">
        <f>+GETPIVOTDATA(" New-Associate's",'Pivot Table for 1-11'!$A$3,"State","OK","SREB Type",13,"SREB Type2","Technical")</f>
        <v>0</v>
      </c>
      <c r="H302" s="187" t="s">
        <v>1</v>
      </c>
      <c r="I302" s="187"/>
      <c r="Q302" s="233">
        <f t="shared" si="8"/>
        <v>12775</v>
      </c>
      <c r="R302" s="252">
        <f>('New Tables 1-12'!Q302-'New Tables 1-12'!S302)/S302</f>
        <v>-4.7707789787551247E-2</v>
      </c>
      <c r="S302" s="233">
        <f>SUM('Old 1-12'!B302:C302)</f>
        <v>13415</v>
      </c>
      <c r="T302" s="196" t="s">
        <v>31</v>
      </c>
    </row>
    <row r="303" spans="1:27" ht="15" customHeight="1">
      <c r="A303" s="196" t="s">
        <v>32</v>
      </c>
      <c r="B303" s="197">
        <f>+GETPIVOTDATA(" New-Less Than 2-Year",'Pivot Table for 1-11'!$A$3,"State","SC","SREB Type2","Technical")+GETPIVOTDATA(" New-2 But Less Than 4-Year",'Pivot Table for 1-11'!$A$3,"State","SC","SREB Type2","Technical")</f>
        <v>0</v>
      </c>
      <c r="C303" s="197">
        <f>+GETPIVOTDATA(" New-Associate's",'Pivot Table for 1-11'!$A$3,"State","SC","SREB Type2","Technical")</f>
        <v>0</v>
      </c>
      <c r="D303" s="230">
        <f>+GETPIVOTDATA(" New-Less Than 2-Year",'Pivot Table for 1-11'!$A$3,"State","SC","SREB Type",12,"SREB Type2","Technical")+GETPIVOTDATA(" New-2 But Less Than 4-Year",'Pivot Table for 1-11'!$A$3,"State","SC","SREB Type",12,"SREB Type2","Technical")</f>
        <v>0</v>
      </c>
      <c r="E303" s="198">
        <f>+GETPIVOTDATA(" New-Associate's",'Pivot Table for 1-11'!$A$3,"State","SC","SREB Type",12,"SREB Type2","Technical")</f>
        <v>0</v>
      </c>
      <c r="F303" s="230">
        <f>+GETPIVOTDATA(" New-Less Than 2-Year",'Pivot Table for 1-11'!$A$3,"State","SC","SREB Type",13,"SREB Type2","Technical")+GETPIVOTDATA(" New-2 But Less Than 4-Year",'Pivot Table for 1-11'!$A$3,"State","SC","SREB Type",13,"SREB Type2","Technical")</f>
        <v>0</v>
      </c>
      <c r="G303" s="197">
        <f>+GETPIVOTDATA(" New-Associate's",'Pivot Table for 1-11'!$A$3,"State","SC","SREB Type",13,"SREB Type2","Technical")</f>
        <v>0</v>
      </c>
      <c r="H303" s="187" t="s">
        <v>1</v>
      </c>
      <c r="I303" s="187"/>
      <c r="Q303" s="233">
        <f t="shared" si="8"/>
        <v>0</v>
      </c>
      <c r="R303" s="252" t="e">
        <f>('New Tables 1-12'!Q303-'New Tables 1-12'!S303)/S303</f>
        <v>#DIV/0!</v>
      </c>
      <c r="S303" s="233">
        <f>SUM('Old 1-12'!B303:C303)</f>
        <v>0</v>
      </c>
      <c r="T303" s="196" t="s">
        <v>32</v>
      </c>
    </row>
    <row r="304" spans="1:27" ht="15" customHeight="1">
      <c r="A304" s="196"/>
      <c r="B304" s="197"/>
      <c r="C304" s="197"/>
      <c r="D304" s="230"/>
      <c r="E304" s="198"/>
      <c r="F304" s="230"/>
      <c r="G304" s="197"/>
      <c r="H304" s="187" t="s">
        <v>1</v>
      </c>
      <c r="I304" s="187"/>
      <c r="Q304" s="233"/>
      <c r="R304" s="252"/>
      <c r="S304" s="233"/>
      <c r="T304" s="196"/>
    </row>
    <row r="305" spans="1:43" ht="15" customHeight="1">
      <c r="A305" s="196" t="s">
        <v>33</v>
      </c>
      <c r="B305" s="197">
        <f>+GETPIVOTDATA(" New-Less Than 2-Year",'Pivot Table for 1-11'!$A$3,"State","TN","SREB Type2","Technical")+GETPIVOTDATA(" New-2 But Less Than 4-Year",'Pivot Table for 1-11'!$A$3,"State","TN","SREB Type2","Technical")</f>
        <v>5851</v>
      </c>
      <c r="C305" s="197">
        <f>+GETPIVOTDATA(" New-Associate's",'Pivot Table for 1-11'!$A$3,"State","TN","SREB Type2","Technical")</f>
        <v>0</v>
      </c>
      <c r="D305" s="230">
        <f>+GETPIVOTDATA(" New-Less Than 2-Year",'Pivot Table for 1-11'!$A$3,"State","TN","SREB Type",12,"SREB Type2","Technical")+GETPIVOTDATA(" New-2 But Less Than 4-Year",'Pivot Table for 1-11'!$A$3,"State","TN","SREB Type",12,"SREB Type2","Technical")</f>
        <v>0</v>
      </c>
      <c r="E305" s="198">
        <f>+GETPIVOTDATA(" New-Associate's",'Pivot Table for 1-11'!$A$3,"State","TN","SREB Type",12,"SREB Type2","Technical")</f>
        <v>0</v>
      </c>
      <c r="F305" s="230">
        <f>+GETPIVOTDATA(" New-Less Than 2-Year",'Pivot Table for 1-11'!$A$3,"State","TN","SREB Type",13,"SREB Type2","Technical")+GETPIVOTDATA(" New-2 But Less Than 4-Year",'Pivot Table for 1-11'!$A$3,"State","TN","SREB Type",13,"SREB Type2","Technical")</f>
        <v>5851</v>
      </c>
      <c r="G305" s="197">
        <f>+GETPIVOTDATA(" New-Associate's",'Pivot Table for 1-11'!$A$3,"State","TN","SREB Type",13,"SREB Type2","Technical")</f>
        <v>0</v>
      </c>
      <c r="H305" s="187" t="s">
        <v>1</v>
      </c>
      <c r="I305" s="187"/>
      <c r="Q305" s="233">
        <f t="shared" si="8"/>
        <v>5851</v>
      </c>
      <c r="R305" s="252">
        <f>('New Tables 1-12'!Q305-'New Tables 1-12'!S305)/S305</f>
        <v>-0.19385505648939103</v>
      </c>
      <c r="S305" s="233">
        <f>SUM('Old 1-12'!B305:C305)</f>
        <v>7258</v>
      </c>
      <c r="T305" s="196" t="s">
        <v>33</v>
      </c>
    </row>
    <row r="306" spans="1:43" ht="15" customHeight="1">
      <c r="A306" s="196" t="s">
        <v>34</v>
      </c>
      <c r="B306" s="197">
        <f>+GETPIVOTDATA(" New-Less Than 2-Year",'Pivot Table for 1-11'!$A$3,"State","TX","SREB Type2","Technical")+GETPIVOTDATA(" New-2 But Less Than 4-Year",'Pivot Table for 1-11'!$A$3,"State","TX","SREB Type2","Technical")</f>
        <v>0</v>
      </c>
      <c r="C306" s="197">
        <f>+GETPIVOTDATA(" New-Associate's",'Pivot Table for 1-11'!$A$3,"State","TX","SREB Type2","Technical")</f>
        <v>0</v>
      </c>
      <c r="D306" s="230">
        <f>+GETPIVOTDATA(" New-Less Than 2-Year",'Pivot Table for 1-11'!$A$3,"State","TX","SREB Type",12,"SREB Type2","Technical")+GETPIVOTDATA(" New-2 But Less Than 4-Year",'Pivot Table for 1-11'!$A$3,"State","TX","SREB Type",12,"SREB Type2","Technical")</f>
        <v>0</v>
      </c>
      <c r="E306" s="198">
        <f>+GETPIVOTDATA(" New-Associate's",'Pivot Table for 1-11'!$A$3,"State","TX","SREB Type",12,"SREB Type2","Technical")</f>
        <v>0</v>
      </c>
      <c r="F306" s="230">
        <f>+GETPIVOTDATA(" New-Less Than 2-Year",'Pivot Table for 1-11'!$A$3,"State","TX","SREB Type",13,"SREB Type2","Technical")+GETPIVOTDATA(" New-2 But Less Than 4-Year",'Pivot Table for 1-11'!$A$3,"State","TX","SREB Type",13,"SREB Type2","Technical")</f>
        <v>0</v>
      </c>
      <c r="G306" s="197">
        <f>+GETPIVOTDATA(" New-Associate's",'Pivot Table for 1-11'!$A$3,"State","TX","SREB Type",13,"SREB Type2","Technical")</f>
        <v>0</v>
      </c>
      <c r="H306" s="187" t="s">
        <v>1</v>
      </c>
      <c r="I306" s="187"/>
      <c r="Q306" s="233">
        <f t="shared" si="8"/>
        <v>0</v>
      </c>
      <c r="R306" s="252" t="e">
        <f>('New Tables 1-12'!Q306-'New Tables 1-12'!S306)/S306</f>
        <v>#DIV/0!</v>
      </c>
      <c r="S306" s="233">
        <f>SUM('Old 1-12'!B306:C306)</f>
        <v>0</v>
      </c>
      <c r="T306" s="196" t="s">
        <v>34</v>
      </c>
    </row>
    <row r="307" spans="1:43" ht="15" customHeight="1">
      <c r="A307" s="196" t="s">
        <v>35</v>
      </c>
      <c r="B307" s="197">
        <f>+GETPIVOTDATA(" New-Less Than 2-Year",'Pivot Table for 1-11'!$A$3,"State","VA","SREB Type2","Technical")+GETPIVOTDATA(" New-2 But Less Than 4-Year",'Pivot Table for 1-11'!$A$3,"State","VA","SREB Type2","Technical")</f>
        <v>0</v>
      </c>
      <c r="C307" s="197">
        <f>+GETPIVOTDATA(" New-Associate's",'Pivot Table for 1-11'!$A$3,"State","VA","SREB Type2","Technical")</f>
        <v>0</v>
      </c>
      <c r="D307" s="230">
        <f>+GETPIVOTDATA(" New-Less Than 2-Year",'Pivot Table for 1-11'!$A$3,"State","VA","SREB Type",12,"SREB Type2","Technical")+GETPIVOTDATA(" New-2 But Less Than 4-Year",'Pivot Table for 1-11'!$A$3,"State","VA","SREB Type",12,"SREB Type2","Technical")</f>
        <v>0</v>
      </c>
      <c r="E307" s="198">
        <f>+GETPIVOTDATA(" New-Associate's",'Pivot Table for 1-11'!$A$3,"State","VA","SREB Type",12,"SREB Type2","Technical")</f>
        <v>0</v>
      </c>
      <c r="F307" s="230">
        <f>+GETPIVOTDATA(" New-Less Than 2-Year",'Pivot Table for 1-11'!$A$3,"State","VA","SREB Type",13,"SREB Type2","Technical")+GETPIVOTDATA(" New-2 But Less Than 4-Year",'Pivot Table for 1-11'!$A$3,"State","VA","SREB Type",13,"SREB Type2","Technical")</f>
        <v>0</v>
      </c>
      <c r="G307" s="197">
        <f>+GETPIVOTDATA(" New-Associate's",'Pivot Table for 1-11'!$A$3,"State","VA","SREB Type",13,"SREB Type2","Technical")</f>
        <v>0</v>
      </c>
      <c r="H307" s="187" t="s">
        <v>1</v>
      </c>
      <c r="I307" s="187"/>
      <c r="Q307" s="233">
        <f t="shared" si="8"/>
        <v>0</v>
      </c>
      <c r="R307" s="252" t="e">
        <f>('New Tables 1-12'!Q307-'New Tables 1-12'!S307)/S307</f>
        <v>#DIV/0!</v>
      </c>
      <c r="S307" s="233">
        <f>SUM('Old 1-12'!B307:C307)</f>
        <v>0</v>
      </c>
      <c r="T307" s="196" t="s">
        <v>35</v>
      </c>
    </row>
    <row r="308" spans="1:43" ht="15" customHeight="1">
      <c r="A308" s="200" t="s">
        <v>36</v>
      </c>
      <c r="B308" s="201">
        <f>+GETPIVOTDATA(" New-Less Than 2-Year",'Pivot Table for 1-11'!$A$3,"State","WV","SREB Type2","Technical")+GETPIVOTDATA(" New-2 But Less Than 4-Year",'Pivot Table for 1-11'!$A$3,"State","WV","SREB Type2","Technical")</f>
        <v>961</v>
      </c>
      <c r="C308" s="201">
        <f>+GETPIVOTDATA(" New-Associate's",'Pivot Table for 1-11'!$A$3,"State","WV","SREB Type2","Technical")</f>
        <v>0</v>
      </c>
      <c r="D308" s="318">
        <f>+GETPIVOTDATA(" New-Less Than 2-Year",'Pivot Table for 1-11'!$A$3,"State","WV","SREB Type",12,"SREB Type2","Technical")+GETPIVOTDATA(" New-2 But Less Than 4-Year",'Pivot Table for 1-11'!$A$3,"State","WV","SREB Type",12,"SREB Type2","Technical")</f>
        <v>0</v>
      </c>
      <c r="E308" s="319">
        <f>+GETPIVOTDATA(" New-Associate's",'Pivot Table for 1-11'!$A$3,"State","WV","SREB Type",12,"SREB Type2","Technical")</f>
        <v>0</v>
      </c>
      <c r="F308" s="318">
        <f>+GETPIVOTDATA(" New-Less Than 2-Year",'Pivot Table for 1-11'!$A$3,"State","WV","SREB Type",13,"SREB Type2","Technical")+GETPIVOTDATA(" New-2 But Less Than 4-Year",'Pivot Table for 1-11'!$A$3,"State","WV","SREB Type",13,"SREB Type2","Technical")</f>
        <v>0</v>
      </c>
      <c r="G308" s="201">
        <f>+GETPIVOTDATA(" New-Associate's",'Pivot Table for 1-11'!$A$3,"State","WV","SREB Type",13,"SREB Type2","Technical")</f>
        <v>0</v>
      </c>
      <c r="H308" s="187" t="s">
        <v>1</v>
      </c>
      <c r="I308" s="187"/>
      <c r="L308" s="214"/>
      <c r="Q308" s="233">
        <f t="shared" si="8"/>
        <v>961</v>
      </c>
      <c r="R308" s="252">
        <f>('New Tables 1-12'!Q308-'New Tables 1-12'!S308)/S308</f>
        <v>-0.21358428805237317</v>
      </c>
      <c r="S308" s="233">
        <f>SUM('Old 1-12'!B308:C308)</f>
        <v>1222</v>
      </c>
      <c r="T308" s="200" t="s">
        <v>36</v>
      </c>
    </row>
    <row r="309" spans="1:43" ht="7.5" customHeight="1">
      <c r="A309" s="215"/>
      <c r="B309" s="216"/>
      <c r="C309" s="216"/>
      <c r="D309" s="216"/>
      <c r="E309" s="216"/>
      <c r="F309" s="217"/>
      <c r="G309" s="217"/>
      <c r="H309" s="187" t="s">
        <v>1</v>
      </c>
      <c r="I309" s="187"/>
      <c r="L309" s="214"/>
      <c r="R309" s="243"/>
      <c r="S309" s="243"/>
      <c r="V309" s="243"/>
      <c r="W309" s="130"/>
    </row>
    <row r="310" spans="1:43" ht="26.25" customHeight="1">
      <c r="A310" s="545" t="s">
        <v>69</v>
      </c>
      <c r="B310" s="546"/>
      <c r="C310" s="546"/>
      <c r="D310" s="546"/>
      <c r="E310" s="546"/>
      <c r="F310" s="546"/>
      <c r="G310" s="546"/>
      <c r="H310" s="264"/>
      <c r="I310" s="264"/>
      <c r="J310" s="264"/>
      <c r="K310" s="264"/>
      <c r="L310" s="264"/>
      <c r="M310" s="264"/>
      <c r="N310" s="264"/>
      <c r="O310" s="264"/>
      <c r="P310" s="264"/>
    </row>
    <row r="311" spans="1:43">
      <c r="G311" s="204" t="s">
        <v>1178</v>
      </c>
      <c r="N311" s="219"/>
      <c r="O311" s="204"/>
    </row>
    <row r="312" spans="1:43" ht="18">
      <c r="A312" s="186" t="s">
        <v>75</v>
      </c>
      <c r="B312" s="186"/>
      <c r="C312" s="186"/>
      <c r="D312" s="186"/>
      <c r="E312" s="186"/>
      <c r="F312" s="186"/>
      <c r="G312" s="186"/>
      <c r="H312" s="186"/>
      <c r="I312" s="186"/>
      <c r="J312" s="186"/>
      <c r="K312" s="186"/>
      <c r="L312" s="186"/>
      <c r="M312" s="186"/>
      <c r="N312" s="186"/>
      <c r="O312" s="186"/>
      <c r="P312" s="186"/>
      <c r="Q312" s="187" t="s">
        <v>1</v>
      </c>
    </row>
    <row r="313" spans="1:43">
      <c r="A313" s="220"/>
      <c r="B313" s="188"/>
      <c r="C313" s="188"/>
      <c r="D313" s="188"/>
      <c r="E313" s="188"/>
      <c r="F313" s="188"/>
      <c r="G313" s="188"/>
      <c r="H313" s="188"/>
      <c r="I313" s="188"/>
      <c r="J313" s="188"/>
      <c r="K313" s="188"/>
      <c r="L313" s="188"/>
      <c r="M313" s="188"/>
      <c r="N313" s="188"/>
      <c r="O313" s="188"/>
      <c r="P313" s="188"/>
      <c r="Q313" s="188"/>
    </row>
    <row r="314" spans="1:43" ht="15.5">
      <c r="A314" s="187" t="s">
        <v>2</v>
      </c>
      <c r="B314" s="187"/>
      <c r="C314" s="187"/>
      <c r="D314" s="187"/>
      <c r="E314" s="187"/>
      <c r="F314" s="187"/>
      <c r="G314" s="187"/>
      <c r="H314" s="187"/>
      <c r="I314" s="187"/>
      <c r="J314" s="187"/>
      <c r="K314" s="187"/>
      <c r="L314" s="187"/>
      <c r="M314" s="187"/>
      <c r="N314" s="187"/>
      <c r="O314" s="187"/>
      <c r="P314" s="187"/>
      <c r="Q314" s="187" t="s">
        <v>1</v>
      </c>
    </row>
    <row r="315" spans="1:43" ht="15.5">
      <c r="A315" s="187" t="s">
        <v>1189</v>
      </c>
      <c r="B315" s="187"/>
      <c r="C315" s="187"/>
      <c r="D315" s="187"/>
      <c r="E315" s="187"/>
      <c r="F315" s="187"/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  <c r="Q315" s="187" t="s">
        <v>1</v>
      </c>
    </row>
    <row r="316" spans="1:43" ht="15.5">
      <c r="A316" s="189"/>
      <c r="B316" s="189"/>
      <c r="C316" s="189"/>
      <c r="D316" s="189"/>
      <c r="E316" s="189"/>
      <c r="F316" s="189"/>
      <c r="G316" s="189"/>
      <c r="H316" s="189"/>
      <c r="I316" s="189"/>
      <c r="J316" s="189"/>
      <c r="K316" s="189"/>
      <c r="L316" s="189"/>
      <c r="M316" s="189"/>
      <c r="N316" s="189"/>
      <c r="O316" s="189"/>
      <c r="P316" s="189"/>
      <c r="Q316" s="189"/>
    </row>
    <row r="317" spans="1:43" ht="15.5">
      <c r="A317" s="190"/>
      <c r="B317" s="190"/>
      <c r="C317" s="190"/>
      <c r="D317" s="190"/>
      <c r="E317" s="190"/>
      <c r="F317" s="190"/>
      <c r="G317" s="190"/>
      <c r="H317" s="225" t="s">
        <v>4</v>
      </c>
      <c r="I317" s="256"/>
      <c r="J317" s="256"/>
      <c r="K317" s="256"/>
      <c r="L317" s="256"/>
      <c r="M317" s="256"/>
      <c r="N317" s="256"/>
      <c r="O317" s="226"/>
      <c r="P317" s="192" t="s">
        <v>1</v>
      </c>
      <c r="Q317" s="189"/>
      <c r="R317" s="112"/>
      <c r="S317" s="112"/>
      <c r="X317" s="112"/>
      <c r="AA317" s="248"/>
    </row>
    <row r="318" spans="1:43" ht="40.5" customHeight="1">
      <c r="A318" s="193"/>
      <c r="B318" s="194" t="s">
        <v>5</v>
      </c>
      <c r="C318" s="194" t="s">
        <v>6</v>
      </c>
      <c r="D318" s="194" t="s">
        <v>7</v>
      </c>
      <c r="E318" s="194" t="s">
        <v>8</v>
      </c>
      <c r="F318" s="194" t="s">
        <v>9</v>
      </c>
      <c r="G318" s="194" t="s">
        <v>10</v>
      </c>
      <c r="H318" s="317" t="s">
        <v>11</v>
      </c>
      <c r="I318" s="194" t="s">
        <v>12</v>
      </c>
      <c r="J318" s="194" t="s">
        <v>13</v>
      </c>
      <c r="K318" s="194" t="s">
        <v>14</v>
      </c>
      <c r="L318" s="194" t="s">
        <v>15</v>
      </c>
      <c r="M318" s="194" t="s">
        <v>16</v>
      </c>
      <c r="N318" s="194" t="s">
        <v>17</v>
      </c>
      <c r="O318" s="228" t="s">
        <v>51</v>
      </c>
      <c r="P318" s="194" t="s">
        <v>19</v>
      </c>
      <c r="Q318" s="245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229"/>
      <c r="AM318" s="106"/>
      <c r="AN318" s="106"/>
      <c r="AO318" s="106"/>
      <c r="AP318" s="229"/>
      <c r="AQ318" s="106"/>
    </row>
    <row r="319" spans="1:43" ht="15" customHeight="1">
      <c r="A319" s="196" t="s">
        <v>20</v>
      </c>
      <c r="B319" s="197">
        <f>GETPIVOTDATA(" New-Less Than 2-Year",'Pivot Table for 1-11'!$A$3,"SREB Type2","Specialized")+GETPIVOTDATA(" New-2 But Less Than 4-Year",'Pivot Table for 1-11'!$A$3,"SREB Type2","Specialized")</f>
        <v>418</v>
      </c>
      <c r="C319" s="197">
        <f>GETPIVOTDATA(" New-Associate's",'Pivot Table for 1-11'!$A$3,"SREB Type2","Specialized")</f>
        <v>264</v>
      </c>
      <c r="D319" s="197">
        <f>GETPIVOTDATA(" New-Bachelor's",'Pivot Table for 1-11'!$A$3,"SREB Type2","Specialized")</f>
        <v>1582</v>
      </c>
      <c r="E319" s="197">
        <f>GETPIVOTDATA(" New-Post-Bachelor's",'Pivot Table for 1-11'!$A$3,"SREB Type2","Specialized")</f>
        <v>32</v>
      </c>
      <c r="F319" s="197">
        <f>GETPIVOTDATA(" New-Total Master's#",'Pivot Table for 1-11'!$A$3,"SREB Type2","Specialized")</f>
        <v>3698</v>
      </c>
      <c r="G319" s="197">
        <f>GETPIVOTDATA(" New-Total Doctorates#",'Pivot Table for 1-11'!$A$3,"SREB Type2","Specialized")</f>
        <v>863</v>
      </c>
      <c r="H319" s="230">
        <f>GETPIVOTDATA(" New-Law",'Pivot Table for 1-11'!$A$3,"SREB Type2","Specialized")</f>
        <v>157</v>
      </c>
      <c r="I319" s="197">
        <f>GETPIVOTDATA(" New-Medicine",'Pivot Table for 1-11'!$A$3,"SREB Type2","Specialized")</f>
        <v>2133</v>
      </c>
      <c r="J319" s="197">
        <f>GETPIVOTDATA(" New-Dentistry",'Pivot Table for 1-11'!$A$3,"SREB Type2","Specialized")</f>
        <v>550</v>
      </c>
      <c r="K319" s="197">
        <f>GETPIVOTDATA(" New-Pharmacy",'Pivot Table for 1-11'!$A$3,"SREB Type2","Specialized")</f>
        <v>709</v>
      </c>
      <c r="L319" s="197">
        <f>GETPIVOTDATA(" New-Optometry",'Pivot Table for 1-11'!$A$3,"SREB Type2","Specialized")</f>
        <v>0</v>
      </c>
      <c r="M319" s="197">
        <f>GETPIVOTDATA(" New-Osteopathic Medicine",'Pivot Table for 1-11'!$A$3,"SREB Type2","Specialized")</f>
        <v>400</v>
      </c>
      <c r="N319" s="197">
        <f>GETPIVOTDATA(" New-Veterinary Medicine",'Pivot Table for 1-11'!$A$3,"SREB Type2","Specialized")</f>
        <v>0</v>
      </c>
      <c r="O319" s="198">
        <f>+GETPIVOTDATA(" New-Oth PP",'Pivot Table for 1-11'!$A$3,"SREB Type2","Specialized")</f>
        <v>476</v>
      </c>
      <c r="P319" s="199">
        <f>SUM(B319:O319)</f>
        <v>11282</v>
      </c>
      <c r="Q319" s="199"/>
      <c r="AL319" s="231"/>
      <c r="AP319" s="231"/>
    </row>
    <row r="320" spans="1:43" ht="15" customHeight="1">
      <c r="A320" s="196"/>
      <c r="B320" s="197"/>
      <c r="C320" s="197"/>
      <c r="D320" s="197"/>
      <c r="E320" s="197"/>
      <c r="F320" s="197"/>
      <c r="G320" s="197"/>
      <c r="H320" s="230"/>
      <c r="I320" s="197"/>
      <c r="J320" s="197"/>
      <c r="K320" s="197"/>
      <c r="L320" s="197"/>
      <c r="M320" s="197"/>
      <c r="N320" s="197"/>
      <c r="O320" s="198"/>
      <c r="P320" s="199"/>
      <c r="Q320" s="197"/>
      <c r="AL320" s="231"/>
      <c r="AP320" s="231"/>
    </row>
    <row r="321" spans="1:42" ht="15" customHeight="1">
      <c r="A321" s="196" t="s">
        <v>21</v>
      </c>
      <c r="B321" s="197">
        <f>GETPIVOTDATA(" New-Less Than 2-Year",'Pivot Table for 1-11'!$A$3,"State","AL","SREB Type2","Specialized")+GETPIVOTDATA(" New-2 But Less Than 4-Year",'Pivot Table for 1-11'!$A$3,"State","AL","SREB Type2","Specialized")</f>
        <v>0</v>
      </c>
      <c r="C321" s="197">
        <f>GETPIVOTDATA(" New-Associate's",'Pivot Table for 1-11'!$A$3,"State","AL","SREB Type2","Specialized")</f>
        <v>92</v>
      </c>
      <c r="D321" s="197">
        <f>GETPIVOTDATA(" New-Bachelor's",'Pivot Table for 1-11'!$A$3,"State","AL","SREB Type2","Specialized")</f>
        <v>0</v>
      </c>
      <c r="E321" s="197">
        <f>GETPIVOTDATA(" New-Post-Bachelor's",'Pivot Table for 1-11'!$A$3,"State","AL","SREB Type2","Specialized")</f>
        <v>0</v>
      </c>
      <c r="F321" s="197">
        <f>GETPIVOTDATA(" New-Total Master's#",'Pivot Table for 1-11'!$A$3,"State","AL","SREB Type2","Specialized")</f>
        <v>0</v>
      </c>
      <c r="G321" s="197">
        <f>GETPIVOTDATA(" New-Total Doctorates#",'Pivot Table for 1-11'!$A$3,"State","AL","SREB Type2","Specialized")</f>
        <v>0</v>
      </c>
      <c r="H321" s="230">
        <f>GETPIVOTDATA(" New-Law",'Pivot Table for 1-11'!$A$3,"State","AL","SREB Type2","Specialized")</f>
        <v>0</v>
      </c>
      <c r="I321" s="197">
        <f>GETPIVOTDATA(" New-Medicine",'Pivot Table for 1-11'!$A$3,"State","AL","SREB Type2","Specialized")</f>
        <v>0</v>
      </c>
      <c r="J321" s="197">
        <f>GETPIVOTDATA(" New-Dentistry",'Pivot Table for 1-11'!$A$3,"State","AL","SREB Type2","Specialized")</f>
        <v>0</v>
      </c>
      <c r="K321" s="197">
        <f>GETPIVOTDATA(" New-Pharmacy",'Pivot Table for 1-11'!$A$3,"State","AL","SREB Type2","Specialized")</f>
        <v>0</v>
      </c>
      <c r="L321" s="197">
        <f>GETPIVOTDATA(" New-Optometry",'Pivot Table for 1-11'!$A$3,"State","AL","SREB Type2","Specialized")</f>
        <v>0</v>
      </c>
      <c r="M321" s="197">
        <f>GETPIVOTDATA(" New-Osteopathic Medicine",'Pivot Table for 1-11'!$A$3,"State","AL","SREB Type2","Specialized")</f>
        <v>0</v>
      </c>
      <c r="N321" s="197">
        <f>GETPIVOTDATA(" New-Veterinary Medicine",'Pivot Table for 1-11'!$A$3,"State","AL","SREB Type2","Specialized")</f>
        <v>0</v>
      </c>
      <c r="O321" s="198">
        <f>+GETPIVOTDATA(" New-Oth PP",'Pivot Table for 1-11'!$A$3,"State","AL","SREB Type2","Specialized")</f>
        <v>0</v>
      </c>
      <c r="P321" s="199">
        <f t="shared" ref="P321:P339" si="9">SUM(B321:O321)</f>
        <v>92</v>
      </c>
      <c r="Q321" s="199"/>
      <c r="AA321" s="254"/>
      <c r="AL321" s="231"/>
      <c r="AP321" s="231"/>
    </row>
    <row r="322" spans="1:42" ht="15" customHeight="1">
      <c r="A322" s="196" t="s">
        <v>22</v>
      </c>
      <c r="B322" s="197">
        <f>GETPIVOTDATA(" New-Less Than 2-Year",'Pivot Table for 1-11'!$A$3,"State","AR","SREB Type2","Specialized")+GETPIVOTDATA(" New-2 But Less Than 4-Year",'Pivot Table for 1-11'!$A$3,"State","AR","SREB Type2","Specialized")</f>
        <v>0</v>
      </c>
      <c r="C322" s="197">
        <f>GETPIVOTDATA(" New-Associate's",'Pivot Table for 1-11'!$A$3,"State","AR","SREB Type2","Specialized")</f>
        <v>9</v>
      </c>
      <c r="D322" s="197">
        <f>GETPIVOTDATA(" New-Bachelor's",'Pivot Table for 1-11'!$A$3,"State","AR","SREB Type2","Specialized")</f>
        <v>246</v>
      </c>
      <c r="E322" s="197">
        <f>GETPIVOTDATA(" New-Post-Bachelor's",'Pivot Table for 1-11'!$A$3,"State","AR","SREB Type2","Specialized")</f>
        <v>32</v>
      </c>
      <c r="F322" s="197">
        <f>GETPIVOTDATA(" New-Total Master's#",'Pivot Table for 1-11'!$A$3,"State","AR","SREB Type2","Specialized")</f>
        <v>228</v>
      </c>
      <c r="G322" s="197">
        <f>GETPIVOTDATA(" New-Total Doctorates#",'Pivot Table for 1-11'!$A$3,"State","AR","SREB Type2","Specialized")</f>
        <v>40</v>
      </c>
      <c r="H322" s="230">
        <f>GETPIVOTDATA(" New-Law",'Pivot Table for 1-11'!$A$3,"State","AR","SREB Type2","Specialized")</f>
        <v>0</v>
      </c>
      <c r="I322" s="197">
        <f>GETPIVOTDATA(" New-Medicine",'Pivot Table for 1-11'!$A$3,"State","AR","SREB Type2","Specialized")</f>
        <v>164</v>
      </c>
      <c r="J322" s="197">
        <f>GETPIVOTDATA(" New-Dentistry",'Pivot Table for 1-11'!$A$3,"State","AR","SREB Type2","Specialized")</f>
        <v>0</v>
      </c>
      <c r="K322" s="197">
        <f>GETPIVOTDATA(" New-Pharmacy",'Pivot Table for 1-11'!$A$3,"State","AR","SREB Type2","Specialized")</f>
        <v>112</v>
      </c>
      <c r="L322" s="197">
        <f>GETPIVOTDATA(" New-Optometry",'Pivot Table for 1-11'!$A$3,"State","AR","SREB Type2","Specialized")</f>
        <v>0</v>
      </c>
      <c r="M322" s="197">
        <f>GETPIVOTDATA(" New-Osteopathic Medicine",'Pivot Table for 1-11'!$A$3,"State","AR","SREB Type2","Specialized")</f>
        <v>0</v>
      </c>
      <c r="N322" s="197">
        <f>GETPIVOTDATA(" New-Veterinary Medicine",'Pivot Table for 1-11'!$A$3,"State","AR","SREB Type2","Specialized")</f>
        <v>0</v>
      </c>
      <c r="O322" s="198">
        <f>+GETPIVOTDATA(" New-Oth PP",'Pivot Table for 1-11'!$A$3,"State","AR","SREB Type2","Specialized")</f>
        <v>44</v>
      </c>
      <c r="P322" s="199">
        <f t="shared" si="9"/>
        <v>875</v>
      </c>
      <c r="Q322" s="199"/>
      <c r="AL322" s="231"/>
      <c r="AP322" s="231"/>
    </row>
    <row r="323" spans="1:42" ht="15" customHeight="1">
      <c r="A323" s="196" t="s">
        <v>23</v>
      </c>
      <c r="B323" s="197">
        <f>GETPIVOTDATA(" New-Less Than 2-Year",'Pivot Table for 1-11'!$A$3,"State","DE","SREB Type2","Specialized")+GETPIVOTDATA(" New-2 But Less Than 4-Year",'Pivot Table for 1-11'!$A$3,"State","DE","SREB Type2","Specialized")</f>
        <v>0</v>
      </c>
      <c r="C323" s="197">
        <f>GETPIVOTDATA(" New-Associate's",'Pivot Table for 1-11'!$A$3,"State","DE","SREB Type2","Specialized")</f>
        <v>0</v>
      </c>
      <c r="D323" s="197">
        <f>GETPIVOTDATA(" New-Bachelor's",'Pivot Table for 1-11'!$A$3,"State","DE","SREB Type2","Specialized")</f>
        <v>0</v>
      </c>
      <c r="E323" s="197">
        <f>GETPIVOTDATA(" New-Post-Bachelor's",'Pivot Table for 1-11'!$A$3,"State","DE","SREB Type2","Specialized")</f>
        <v>0</v>
      </c>
      <c r="F323" s="197">
        <f>GETPIVOTDATA(" New-Total Master's#",'Pivot Table for 1-11'!$A$3,"State","DE","SREB Type2","Specialized")</f>
        <v>0</v>
      </c>
      <c r="G323" s="197">
        <f>GETPIVOTDATA(" New-Total Doctorates#",'Pivot Table for 1-11'!$A$3,"State","DE","SREB Type2","Specialized")</f>
        <v>0</v>
      </c>
      <c r="H323" s="230">
        <f>GETPIVOTDATA(" New-Law",'Pivot Table for 1-11'!$A$3,"State","DE","SREB Type2","Specialized")</f>
        <v>0</v>
      </c>
      <c r="I323" s="197">
        <f>GETPIVOTDATA(" New-Medicine",'Pivot Table for 1-11'!$A$3,"State","DE","SREB Type2","Specialized")</f>
        <v>0</v>
      </c>
      <c r="J323" s="197">
        <f>GETPIVOTDATA(" New-Dentistry",'Pivot Table for 1-11'!$A$3,"State","DE","SREB Type2","Specialized")</f>
        <v>0</v>
      </c>
      <c r="K323" s="197">
        <f>GETPIVOTDATA(" New-Pharmacy",'Pivot Table for 1-11'!$A$3,"State","DE","SREB Type2","Specialized")</f>
        <v>0</v>
      </c>
      <c r="L323" s="197">
        <f>GETPIVOTDATA(" New-Optometry",'Pivot Table for 1-11'!$A$3,"State","DE","SREB Type2","Specialized")</f>
        <v>0</v>
      </c>
      <c r="M323" s="197">
        <f>GETPIVOTDATA(" New-Osteopathic Medicine",'Pivot Table for 1-11'!$A$3,"State","DE","SREB Type2","Specialized")</f>
        <v>0</v>
      </c>
      <c r="N323" s="197">
        <f>GETPIVOTDATA(" New-Veterinary Medicine",'Pivot Table for 1-11'!$A$3,"State","DE","SREB Type2","Specialized")</f>
        <v>0</v>
      </c>
      <c r="O323" s="198">
        <f>+GETPIVOTDATA(" New-Oth PP",'Pivot Table for 1-11'!$A$3,"State","DE","SREB Type2","Specialized")</f>
        <v>0</v>
      </c>
      <c r="P323" s="199">
        <f t="shared" si="9"/>
        <v>0</v>
      </c>
      <c r="Q323" s="199"/>
      <c r="AL323" s="231"/>
      <c r="AP323" s="231"/>
    </row>
    <row r="324" spans="1:42" ht="15" customHeight="1">
      <c r="A324" s="196" t="s">
        <v>24</v>
      </c>
      <c r="B324" s="197">
        <f>GETPIVOTDATA(" New-Less Than 2-Year",'Pivot Table for 1-11'!$A$3,"State","FL","SREB Type2","Specialized")+GETPIVOTDATA(" New-2 But Less Than 4-Year",'Pivot Table for 1-11'!$A$3,"State","FL","SREB Type2","Specialized")</f>
        <v>0</v>
      </c>
      <c r="C324" s="197">
        <f>GETPIVOTDATA(" New-Associate's",'Pivot Table for 1-11'!$A$3,"State","FL","SREB Type2","Specialized")</f>
        <v>0</v>
      </c>
      <c r="D324" s="197">
        <f>GETPIVOTDATA(" New-Bachelor's",'Pivot Table for 1-11'!$A$3,"State","FL","SREB Type2","Specialized")</f>
        <v>0</v>
      </c>
      <c r="E324" s="197">
        <f>GETPIVOTDATA(" New-Post-Bachelor's",'Pivot Table for 1-11'!$A$3,"State","FL","SREB Type2","Specialized")</f>
        <v>0</v>
      </c>
      <c r="F324" s="197">
        <f>GETPIVOTDATA(" New-Total Master's#",'Pivot Table for 1-11'!$A$3,"State","FL","SREB Type2","Specialized")</f>
        <v>0</v>
      </c>
      <c r="G324" s="197">
        <f>GETPIVOTDATA(" New-Total Doctorates#",'Pivot Table for 1-11'!$A$3,"State","FL","SREB Type2","Specialized")</f>
        <v>0</v>
      </c>
      <c r="H324" s="230">
        <f>GETPIVOTDATA(" New-Law",'Pivot Table for 1-11'!$A$3,"State","FL","SREB Type2","Specialized")</f>
        <v>0</v>
      </c>
      <c r="I324" s="197">
        <f>GETPIVOTDATA(" New-Medicine",'Pivot Table for 1-11'!$A$3,"State","FL","SREB Type2","Specialized")</f>
        <v>0</v>
      </c>
      <c r="J324" s="197">
        <f>GETPIVOTDATA(" New-Dentistry",'Pivot Table for 1-11'!$A$3,"State","FL","SREB Type2","Specialized")</f>
        <v>0</v>
      </c>
      <c r="K324" s="197">
        <f>GETPIVOTDATA(" New-Pharmacy",'Pivot Table for 1-11'!$A$3,"State","FL","SREB Type2","Specialized")</f>
        <v>0</v>
      </c>
      <c r="L324" s="197">
        <f>GETPIVOTDATA(" New-Optometry",'Pivot Table for 1-11'!$A$3,"State","FL","SREB Type2","Specialized")</f>
        <v>0</v>
      </c>
      <c r="M324" s="197">
        <f>GETPIVOTDATA(" New-Osteopathic Medicine",'Pivot Table for 1-11'!$A$3,"State","FL","SREB Type2","Specialized")</f>
        <v>0</v>
      </c>
      <c r="N324" s="197">
        <f>GETPIVOTDATA(" New-Veterinary Medicine",'Pivot Table for 1-11'!$A$3,"State","FL","SREB Type2","Specialized")</f>
        <v>0</v>
      </c>
      <c r="O324" s="198">
        <f>+GETPIVOTDATA(" New-Oth PP",'Pivot Table for 1-11'!$A$3,"State","FL","SREB Type2","Specialized")</f>
        <v>0</v>
      </c>
      <c r="P324" s="199">
        <f t="shared" si="9"/>
        <v>0</v>
      </c>
      <c r="Q324" s="199"/>
      <c r="AL324" s="231"/>
      <c r="AP324" s="231"/>
    </row>
    <row r="325" spans="1:42" ht="15" customHeight="1">
      <c r="A325" s="196"/>
      <c r="B325" s="197"/>
      <c r="C325" s="197"/>
      <c r="D325" s="197"/>
      <c r="E325" s="197"/>
      <c r="F325" s="197"/>
      <c r="G325" s="197"/>
      <c r="H325" s="230"/>
      <c r="I325" s="197"/>
      <c r="J325" s="197"/>
      <c r="K325" s="197"/>
      <c r="L325" s="197"/>
      <c r="M325" s="197"/>
      <c r="N325" s="197"/>
      <c r="O325" s="198"/>
      <c r="P325" s="199"/>
      <c r="Q325" s="199"/>
      <c r="AL325" s="231"/>
      <c r="AP325" s="231"/>
    </row>
    <row r="326" spans="1:42" ht="15" customHeight="1">
      <c r="A326" s="196" t="s">
        <v>25</v>
      </c>
      <c r="B326" s="197">
        <f>GETPIVOTDATA(" New-Less Than 2-Year",'Pivot Table for 1-11'!$A$3,"State","GA","SREB Type2","Specialized")+GETPIVOTDATA(" New-2 But Less Than 4-Year",'Pivot Table for 1-11'!$A$3,"State","GA","SREB Type2","Specialized")</f>
        <v>0</v>
      </c>
      <c r="C326" s="197">
        <f>GETPIVOTDATA(" New-Associate's",'Pivot Table for 1-11'!$A$3,"State","GA","SREB Type2","Specialized")</f>
        <v>0</v>
      </c>
      <c r="D326" s="197">
        <f>GETPIVOTDATA(" New-Bachelor's",'Pivot Table for 1-11'!$A$3,"State","GA","SREB Type2","Specialized")</f>
        <v>0</v>
      </c>
      <c r="E326" s="197">
        <f>GETPIVOTDATA(" New-Post-Bachelor's",'Pivot Table for 1-11'!$A$3,"State","GA","SREB Type2","Specialized")</f>
        <v>0</v>
      </c>
      <c r="F326" s="197">
        <f>GETPIVOTDATA(" New-Total Master's#",'Pivot Table for 1-11'!$A$3,"State","GA","SREB Type2","Specialized")</f>
        <v>0</v>
      </c>
      <c r="G326" s="197">
        <f>GETPIVOTDATA(" New-Total Doctorates#",'Pivot Table for 1-11'!$A$3,"State","GA","SREB Type2","Specialized")</f>
        <v>0</v>
      </c>
      <c r="H326" s="230">
        <f>GETPIVOTDATA(" New-Law",'Pivot Table for 1-11'!$A$3,"State","GA","SREB Type2","Specialized")</f>
        <v>0</v>
      </c>
      <c r="I326" s="197">
        <f>GETPIVOTDATA(" New-Medicine",'Pivot Table for 1-11'!$A$3,"State","GA","SREB Type2","Specialized")</f>
        <v>0</v>
      </c>
      <c r="J326" s="197">
        <f>GETPIVOTDATA(" New-Dentistry",'Pivot Table for 1-11'!$A$3,"State","GA","SREB Type2","Specialized")</f>
        <v>0</v>
      </c>
      <c r="K326" s="197">
        <f>GETPIVOTDATA(" New-Pharmacy",'Pivot Table for 1-11'!$A$3,"State","GA","SREB Type2","Specialized")</f>
        <v>0</v>
      </c>
      <c r="L326" s="197">
        <f>GETPIVOTDATA(" New-Optometry",'Pivot Table for 1-11'!$A$3,"State","GA","SREB Type2","Specialized")</f>
        <v>0</v>
      </c>
      <c r="M326" s="197">
        <f>GETPIVOTDATA(" New-Osteopathic Medicine",'Pivot Table for 1-11'!$A$3,"State","GA","SREB Type2","Specialized")</f>
        <v>0</v>
      </c>
      <c r="N326" s="197">
        <f>GETPIVOTDATA(" New-Veterinary Medicine",'Pivot Table for 1-11'!$A$3,"State","GA","SREB Type2","Specialized")</f>
        <v>0</v>
      </c>
      <c r="O326" s="198">
        <f>+GETPIVOTDATA(" New-Oth PP",'Pivot Table for 1-11'!$A$3,"State","GA","SREB Type2","Specialized")</f>
        <v>0</v>
      </c>
      <c r="P326" s="199">
        <f t="shared" si="9"/>
        <v>0</v>
      </c>
      <c r="Q326" s="199"/>
      <c r="AL326" s="231"/>
      <c r="AP326" s="231"/>
    </row>
    <row r="327" spans="1:42" ht="15" customHeight="1">
      <c r="A327" s="196" t="s">
        <v>26</v>
      </c>
      <c r="B327" s="197">
        <f>GETPIVOTDATA(" New-Less Than 2-Year",'Pivot Table for 1-11'!$A$3,"State","KY","SREB Type2","Specialized")+GETPIVOTDATA(" New-2 But Less Than 4-Year",'Pivot Table for 1-11'!$A$3,"State","KY","SREB Type2","Specialized")</f>
        <v>0</v>
      </c>
      <c r="C327" s="197">
        <f>GETPIVOTDATA(" New-Associate's",'Pivot Table for 1-11'!$A$3,"State","KY","SREB Type2","Specialized")</f>
        <v>0</v>
      </c>
      <c r="D327" s="197">
        <f>GETPIVOTDATA(" New-Bachelor's",'Pivot Table for 1-11'!$A$3,"State","KY","SREB Type2","Specialized")</f>
        <v>0</v>
      </c>
      <c r="E327" s="197">
        <f>GETPIVOTDATA(" New-Post-Bachelor's",'Pivot Table for 1-11'!$A$3,"State","KY","SREB Type2","Specialized")</f>
        <v>0</v>
      </c>
      <c r="F327" s="197">
        <f>GETPIVOTDATA(" New-Total Master's#",'Pivot Table for 1-11'!$A$3,"State","KY","SREB Type2","Specialized")</f>
        <v>0</v>
      </c>
      <c r="G327" s="197">
        <f>GETPIVOTDATA(" New-Total Doctorates#",'Pivot Table for 1-11'!$A$3,"State","KY","SREB Type2","Specialized")</f>
        <v>0</v>
      </c>
      <c r="H327" s="230">
        <f>GETPIVOTDATA(" New-Law",'Pivot Table for 1-11'!$A$3,"State","KY","SREB Type2","Specialized")</f>
        <v>0</v>
      </c>
      <c r="I327" s="197">
        <f>GETPIVOTDATA(" New-Medicine",'Pivot Table for 1-11'!$A$3,"State","KY","SREB Type2","Specialized")</f>
        <v>0</v>
      </c>
      <c r="J327" s="197">
        <f>GETPIVOTDATA(" New-Dentistry",'Pivot Table for 1-11'!$A$3,"State","KY","SREB Type2","Specialized")</f>
        <v>0</v>
      </c>
      <c r="K327" s="197">
        <f>GETPIVOTDATA(" New-Pharmacy",'Pivot Table for 1-11'!$A$3,"State","KY","SREB Type2","Specialized")</f>
        <v>0</v>
      </c>
      <c r="L327" s="197">
        <f>GETPIVOTDATA(" New-Optometry",'Pivot Table for 1-11'!$A$3,"State","KY","SREB Type2","Specialized")</f>
        <v>0</v>
      </c>
      <c r="M327" s="197">
        <f>GETPIVOTDATA(" New-Osteopathic Medicine",'Pivot Table for 1-11'!$A$3,"State","KY","SREB Type2","Specialized")</f>
        <v>0</v>
      </c>
      <c r="N327" s="197">
        <f>GETPIVOTDATA(" New-Veterinary Medicine",'Pivot Table for 1-11'!$A$3,"State","KY","SREB Type2","Specialized")</f>
        <v>0</v>
      </c>
      <c r="O327" s="198">
        <f>+GETPIVOTDATA(" New-Oth PP",'Pivot Table for 1-11'!$A$3,"State","KY","SREB Type2","Specialized")</f>
        <v>0</v>
      </c>
      <c r="P327" s="199">
        <f t="shared" si="9"/>
        <v>0</v>
      </c>
      <c r="Q327" s="199"/>
      <c r="AL327" s="231"/>
      <c r="AP327" s="231"/>
    </row>
    <row r="328" spans="1:42" ht="15" customHeight="1">
      <c r="A328" s="196" t="s">
        <v>27</v>
      </c>
      <c r="B328" s="197">
        <f>GETPIVOTDATA(" New-Less Than 2-Year",'Pivot Table for 1-11'!$A$3,"State","LA","SREB Type2","Specialized")+GETPIVOTDATA(" New-2 But Less Than 4-Year",'Pivot Table for 1-11'!$A$3,"State","LA","SREB Type2","Specialized")</f>
        <v>0</v>
      </c>
      <c r="C328" s="197">
        <f>GETPIVOTDATA(" New-Associate's",'Pivot Table for 1-11'!$A$3,"State","LA","SREB Type2","Specialized")</f>
        <v>5</v>
      </c>
      <c r="D328" s="197">
        <f>GETPIVOTDATA(" New-Bachelor's",'Pivot Table for 1-11'!$A$3,"State","LA","SREB Type2","Specialized")</f>
        <v>346</v>
      </c>
      <c r="E328" s="197">
        <f>GETPIVOTDATA(" New-Post-Bachelor's",'Pivot Table for 1-11'!$A$3,"State","LA","SREB Type2","Specialized")</f>
        <v>0</v>
      </c>
      <c r="F328" s="197">
        <f>GETPIVOTDATA(" New-Total Master's#",'Pivot Table for 1-11'!$A$3,"State","LA","SREB Type2","Specialized")</f>
        <v>230</v>
      </c>
      <c r="G328" s="197">
        <f>GETPIVOTDATA(" New-Total Doctorates#",'Pivot Table for 1-11'!$A$3,"State","LA","SREB Type2","Specialized")</f>
        <v>22</v>
      </c>
      <c r="H328" s="230">
        <f>GETPIVOTDATA(" New-Law",'Pivot Table for 1-11'!$A$3,"State","LA","SREB Type2","Specialized")</f>
        <v>157</v>
      </c>
      <c r="I328" s="197">
        <f>GETPIVOTDATA(" New-Medicine",'Pivot Table for 1-11'!$A$3,"State","LA","SREB Type2","Specialized")</f>
        <v>316</v>
      </c>
      <c r="J328" s="197">
        <f>GETPIVOTDATA(" New-Dentistry",'Pivot Table for 1-11'!$A$3,"State","LA","SREB Type2","Specialized")</f>
        <v>66</v>
      </c>
      <c r="K328" s="197">
        <f>GETPIVOTDATA(" New-Pharmacy",'Pivot Table for 1-11'!$A$3,"State","LA","SREB Type2","Specialized")</f>
        <v>0</v>
      </c>
      <c r="L328" s="197">
        <f>GETPIVOTDATA(" New-Optometry",'Pivot Table for 1-11'!$A$3,"State","LA","SREB Type2","Specialized")</f>
        <v>0</v>
      </c>
      <c r="M328" s="197">
        <f>GETPIVOTDATA(" New-Osteopathic Medicine",'Pivot Table for 1-11'!$A$3,"State","LA","SREB Type2","Specialized")</f>
        <v>0</v>
      </c>
      <c r="N328" s="197">
        <f>GETPIVOTDATA(" New-Veterinary Medicine",'Pivot Table for 1-11'!$A$3,"State","LA","SREB Type2","Specialized")</f>
        <v>0</v>
      </c>
      <c r="O328" s="198">
        <f>+GETPIVOTDATA(" New-Oth PP",'Pivot Table for 1-11'!$A$3,"State","LA","SREB Type2","Specialized")</f>
        <v>136</v>
      </c>
      <c r="P328" s="199">
        <f t="shared" si="9"/>
        <v>1278</v>
      </c>
      <c r="Q328" s="199"/>
      <c r="AL328" s="231"/>
      <c r="AP328" s="231"/>
    </row>
    <row r="329" spans="1:42" ht="15" customHeight="1">
      <c r="A329" s="196" t="s">
        <v>28</v>
      </c>
      <c r="B329" s="197">
        <f>GETPIVOTDATA(" New-Less Than 2-Year",'Pivot Table for 1-11'!$A$3,"State","MD","SREB Type2","Specialized")+GETPIVOTDATA(" New-2 But Less Than 4-Year",'Pivot Table for 1-11'!$A$3,"State","MD","SREB Type2","Specialized")</f>
        <v>0</v>
      </c>
      <c r="C329" s="197">
        <f>GETPIVOTDATA(" New-Associate's",'Pivot Table for 1-11'!$A$3,"State","MD","SREB Type2","Specialized")</f>
        <v>0</v>
      </c>
      <c r="D329" s="197">
        <f>GETPIVOTDATA(" New-Bachelor's",'Pivot Table for 1-11'!$A$3,"State","MD","SREB Type2","Specialized")</f>
        <v>0</v>
      </c>
      <c r="E329" s="197">
        <f>GETPIVOTDATA(" New-Post-Bachelor's",'Pivot Table for 1-11'!$A$3,"State","MD","SREB Type2","Specialized")</f>
        <v>0</v>
      </c>
      <c r="F329" s="197">
        <f>GETPIVOTDATA(" New-Total Master's#",'Pivot Table for 1-11'!$A$3,"State","MD","SREB Type2","Specialized")</f>
        <v>0</v>
      </c>
      <c r="G329" s="197">
        <f>GETPIVOTDATA(" New-Total Doctorates#",'Pivot Table for 1-11'!$A$3,"State","MD","SREB Type2","Specialized")</f>
        <v>0</v>
      </c>
      <c r="H329" s="230">
        <f>GETPIVOTDATA(" New-Law",'Pivot Table for 1-11'!$A$3,"State","MD","SREB Type2","Specialized")</f>
        <v>0</v>
      </c>
      <c r="I329" s="197">
        <f>GETPIVOTDATA(" New-Medicine",'Pivot Table for 1-11'!$A$3,"State","MD","SREB Type2","Specialized")</f>
        <v>0</v>
      </c>
      <c r="J329" s="197">
        <f>GETPIVOTDATA(" New-Dentistry",'Pivot Table for 1-11'!$A$3,"State","MD","SREB Type2","Specialized")</f>
        <v>0</v>
      </c>
      <c r="K329" s="197">
        <f>GETPIVOTDATA(" New-Pharmacy",'Pivot Table for 1-11'!$A$3,"State","MD","SREB Type2","Specialized")</f>
        <v>0</v>
      </c>
      <c r="L329" s="197">
        <f>GETPIVOTDATA(" New-Optometry",'Pivot Table for 1-11'!$A$3,"State","MD","SREB Type2","Specialized")</f>
        <v>0</v>
      </c>
      <c r="M329" s="197">
        <f>GETPIVOTDATA(" New-Osteopathic Medicine",'Pivot Table for 1-11'!$A$3,"State","MD","SREB Type2","Specialized")</f>
        <v>0</v>
      </c>
      <c r="N329" s="197">
        <f>GETPIVOTDATA(" New-Veterinary Medicine",'Pivot Table for 1-11'!$A$3,"State","MD","SREB Type2","Specialized")</f>
        <v>0</v>
      </c>
      <c r="O329" s="198">
        <f>+GETPIVOTDATA(" New-Oth PP",'Pivot Table for 1-11'!$A$3,"State","MD","SREB Type2","Specialized")</f>
        <v>0</v>
      </c>
      <c r="P329" s="199">
        <f>SUM(B329:O329)</f>
        <v>0</v>
      </c>
      <c r="Q329" s="199"/>
      <c r="AL329" s="231"/>
      <c r="AP329" s="231"/>
    </row>
    <row r="330" spans="1:42" ht="10.5" customHeight="1">
      <c r="A330" s="196"/>
      <c r="B330" s="197"/>
      <c r="C330" s="197"/>
      <c r="D330" s="197"/>
      <c r="E330" s="197"/>
      <c r="F330" s="197"/>
      <c r="G330" s="197"/>
      <c r="H330" s="230"/>
      <c r="I330" s="197"/>
      <c r="J330" s="197"/>
      <c r="K330" s="197"/>
      <c r="L330" s="197"/>
      <c r="M330" s="197"/>
      <c r="N330" s="197"/>
      <c r="O330" s="198"/>
      <c r="P330" s="199">
        <f t="shared" si="9"/>
        <v>0</v>
      </c>
      <c r="Q330" s="199"/>
      <c r="AL330" s="231"/>
      <c r="AP330" s="231"/>
    </row>
    <row r="331" spans="1:42" ht="15" customHeight="1">
      <c r="A331" s="196" t="s">
        <v>29</v>
      </c>
      <c r="B331" s="197">
        <f>GETPIVOTDATA(" New-Less Than 2-Year",'Pivot Table for 1-11'!$A$3,"State","MS","SREB Type2","Specialized")+GETPIVOTDATA(" New-2 But Less Than 4-Year",'Pivot Table for 1-11'!$A$3,"State","MS","SREB Type2","Specialized")</f>
        <v>0</v>
      </c>
      <c r="C331" s="197">
        <f>GETPIVOTDATA(" New-Associate's",'Pivot Table for 1-11'!$A$3,"State","MS","SREB Type2","Specialized")</f>
        <v>0</v>
      </c>
      <c r="D331" s="197">
        <f>GETPIVOTDATA(" New-Bachelor's",'Pivot Table for 1-11'!$A$3,"State","MS","SREB Type2","Specialized")</f>
        <v>0</v>
      </c>
      <c r="E331" s="197">
        <f>GETPIVOTDATA(" New-Post-Bachelor's",'Pivot Table for 1-11'!$A$3,"State","MS","SREB Type2","Specialized")</f>
        <v>0</v>
      </c>
      <c r="F331" s="197">
        <f>GETPIVOTDATA(" New-Total Master's#",'Pivot Table for 1-11'!$A$3,"State","MS","SREB Type2","Specialized")</f>
        <v>0</v>
      </c>
      <c r="G331" s="197">
        <f>GETPIVOTDATA(" New-Total Doctorates#",'Pivot Table for 1-11'!$A$3,"State","MS","SREB Type2","Specialized")</f>
        <v>0</v>
      </c>
      <c r="H331" s="230">
        <f>GETPIVOTDATA(" New-Law",'Pivot Table for 1-11'!$A$3,"State","MS","SREB Type2","Specialized")</f>
        <v>0</v>
      </c>
      <c r="I331" s="197">
        <f>GETPIVOTDATA(" New-Medicine",'Pivot Table for 1-11'!$A$3,"State","MS","SREB Type2","Specialized")</f>
        <v>0</v>
      </c>
      <c r="J331" s="197">
        <f>GETPIVOTDATA(" New-Dentistry",'Pivot Table for 1-11'!$A$3,"State","MS","SREB Type2","Specialized")</f>
        <v>0</v>
      </c>
      <c r="K331" s="197">
        <f>GETPIVOTDATA(" New-Pharmacy",'Pivot Table for 1-11'!$A$3,"State","MS","SREB Type2","Specialized")</f>
        <v>0</v>
      </c>
      <c r="L331" s="197">
        <f>GETPIVOTDATA(" New-Optometry",'Pivot Table for 1-11'!$A$3,"State","MS","SREB Type2","Specialized")</f>
        <v>0</v>
      </c>
      <c r="M331" s="197">
        <f>GETPIVOTDATA(" New-Osteopathic Medicine",'Pivot Table for 1-11'!$A$3,"State","MS","SREB Type2","Specialized")</f>
        <v>0</v>
      </c>
      <c r="N331" s="197">
        <f>GETPIVOTDATA(" New-Veterinary Medicine",'Pivot Table for 1-11'!$A$3,"State","MS","SREB Type2","Specialized")</f>
        <v>0</v>
      </c>
      <c r="O331" s="198">
        <f>+GETPIVOTDATA(" New-Oth PP",'Pivot Table for 1-11'!$A$3,"State","MS","SREB Type2","Specialized")</f>
        <v>0</v>
      </c>
      <c r="P331" s="199">
        <f t="shared" si="9"/>
        <v>0</v>
      </c>
      <c r="Q331" s="199"/>
      <c r="AL331" s="231"/>
      <c r="AP331" s="231"/>
    </row>
    <row r="332" spans="1:42" ht="15" customHeight="1">
      <c r="A332" s="196" t="s">
        <v>30</v>
      </c>
      <c r="B332" s="197">
        <f>GETPIVOTDATA(" New-Less Than 2-Year",'Pivot Table for 1-11'!$A$3,"State","NC","SREB Type2","Specialized")+GETPIVOTDATA(" New-2 But Less Than 4-Year",'Pivot Table for 1-11'!$A$3,"State","NC","SREB Type2","Specialized")</f>
        <v>0</v>
      </c>
      <c r="C332" s="197">
        <f>GETPIVOTDATA(" New-Associate's",'Pivot Table for 1-11'!$A$3,"State","NC","SREB Type2","Specialized")</f>
        <v>0</v>
      </c>
      <c r="D332" s="197">
        <f>GETPIVOTDATA(" New-Bachelor's",'Pivot Table for 1-11'!$A$3,"State","NC","SREB Type2","Specialized")</f>
        <v>223</v>
      </c>
      <c r="E332" s="197">
        <f>GETPIVOTDATA(" New-Post-Bachelor's",'Pivot Table for 1-11'!$A$3,"State","NC","SREB Type2","Specialized")</f>
        <v>0</v>
      </c>
      <c r="F332" s="197">
        <f>GETPIVOTDATA(" New-Total Master's#",'Pivot Table for 1-11'!$A$3,"State","NC","SREB Type2","Specialized")</f>
        <v>58</v>
      </c>
      <c r="G332" s="197">
        <f>GETPIVOTDATA(" New-Total Doctorates#",'Pivot Table for 1-11'!$A$3,"State","NC","SREB Type2","Specialized")</f>
        <v>0</v>
      </c>
      <c r="H332" s="230">
        <f>GETPIVOTDATA(" New-Law",'Pivot Table for 1-11'!$A$3,"State","NC","SREB Type2","Specialized")</f>
        <v>0</v>
      </c>
      <c r="I332" s="197">
        <f>GETPIVOTDATA(" New-Medicine",'Pivot Table for 1-11'!$A$3,"State","NC","SREB Type2","Specialized")</f>
        <v>0</v>
      </c>
      <c r="J332" s="197">
        <f>GETPIVOTDATA(" New-Dentistry",'Pivot Table for 1-11'!$A$3,"State","NC","SREB Type2","Specialized")</f>
        <v>0</v>
      </c>
      <c r="K332" s="197">
        <f>GETPIVOTDATA(" New-Pharmacy",'Pivot Table for 1-11'!$A$3,"State","NC","SREB Type2","Specialized")</f>
        <v>0</v>
      </c>
      <c r="L332" s="197">
        <f>GETPIVOTDATA(" New-Optometry",'Pivot Table for 1-11'!$A$3,"State","NC","SREB Type2","Specialized")</f>
        <v>0</v>
      </c>
      <c r="M332" s="197">
        <f>GETPIVOTDATA(" New-Osteopathic Medicine",'Pivot Table for 1-11'!$A$3,"State","NC","SREB Type2","Specialized")</f>
        <v>0</v>
      </c>
      <c r="N332" s="197">
        <f>GETPIVOTDATA(" New-Veterinary Medicine",'Pivot Table for 1-11'!$A$3,"State","NC","SREB Type2","Specialized")</f>
        <v>0</v>
      </c>
      <c r="O332" s="198">
        <f>+GETPIVOTDATA(" New-Oth PP",'Pivot Table for 1-11'!$A$3,"State","NC","SREB Type2","Specialized")</f>
        <v>0</v>
      </c>
      <c r="P332" s="199">
        <f t="shared" si="9"/>
        <v>281</v>
      </c>
      <c r="Q332" s="199"/>
      <c r="AL332" s="231"/>
      <c r="AP332" s="231"/>
    </row>
    <row r="333" spans="1:42" ht="15" customHeight="1">
      <c r="A333" s="196" t="s">
        <v>31</v>
      </c>
      <c r="B333" s="197">
        <f>GETPIVOTDATA(" New-Less Than 2-Year",'Pivot Table for 1-11'!$A$3,"State","OK","SREB Type2","Specialized")+GETPIVOTDATA(" New-2 But Less Than 4-Year",'Pivot Table for 1-11'!$A$3,"State","OK","SREB Type2","Specialized")</f>
        <v>0</v>
      </c>
      <c r="C333" s="197">
        <f>GETPIVOTDATA(" New-Associate's",'Pivot Table for 1-11'!$A$3,"State","OK","SREB Type2","Specialized")</f>
        <v>0</v>
      </c>
      <c r="D333" s="197">
        <f>GETPIVOTDATA(" New-Bachelor's",'Pivot Table for 1-11'!$A$3,"State","OK","SREB Type2","Specialized")</f>
        <v>0</v>
      </c>
      <c r="E333" s="197">
        <f>GETPIVOTDATA(" New-Post-Bachelor's",'Pivot Table for 1-11'!$A$3,"State","OK","SREB Type2","Specialized")</f>
        <v>0</v>
      </c>
      <c r="F333" s="197">
        <f>GETPIVOTDATA(" New-Total Master's#",'Pivot Table for 1-11'!$A$3,"State","OK","SREB Type2","Specialized")</f>
        <v>0</v>
      </c>
      <c r="G333" s="197">
        <f>GETPIVOTDATA(" New-Total Doctorates#",'Pivot Table for 1-11'!$A$3,"State","OK","SREB Type2","Specialized")</f>
        <v>0</v>
      </c>
      <c r="H333" s="230">
        <f>GETPIVOTDATA(" New-Law",'Pivot Table for 1-11'!$A$3,"State","OK","SREB Type2","Specialized")</f>
        <v>0</v>
      </c>
      <c r="I333" s="197">
        <f>GETPIVOTDATA(" New-Medicine",'Pivot Table for 1-11'!$A$3,"State","OK","SREB Type2","Specialized")</f>
        <v>0</v>
      </c>
      <c r="J333" s="197">
        <f>GETPIVOTDATA(" New-Dentistry",'Pivot Table for 1-11'!$A$3,"State","OK","SREB Type2","Specialized")</f>
        <v>0</v>
      </c>
      <c r="K333" s="197">
        <f>GETPIVOTDATA(" New-Pharmacy",'Pivot Table for 1-11'!$A$3,"State","OK","SREB Type2","Specialized")</f>
        <v>0</v>
      </c>
      <c r="L333" s="197">
        <f>GETPIVOTDATA(" New-Optometry",'Pivot Table for 1-11'!$A$3,"State","OK","SREB Type2","Specialized")</f>
        <v>0</v>
      </c>
      <c r="M333" s="197">
        <f>GETPIVOTDATA(" New-Osteopathic Medicine",'Pivot Table for 1-11'!$A$3,"State","OK","SREB Type2","Specialized")</f>
        <v>0</v>
      </c>
      <c r="N333" s="197">
        <f>GETPIVOTDATA(" New-Veterinary Medicine",'Pivot Table for 1-11'!$A$3,"State","OK","SREB Type2","Specialized")</f>
        <v>0</v>
      </c>
      <c r="O333" s="198">
        <f>+GETPIVOTDATA(" New-Oth PP",'Pivot Table for 1-11'!$A$3,"State","OK","SREB Type2","Specialized")</f>
        <v>0</v>
      </c>
      <c r="P333" s="199">
        <f t="shared" si="9"/>
        <v>0</v>
      </c>
      <c r="Q333" s="199"/>
      <c r="AL333" s="231"/>
      <c r="AP333" s="231"/>
    </row>
    <row r="334" spans="1:42" ht="15" customHeight="1">
      <c r="A334" s="196" t="s">
        <v>32</v>
      </c>
      <c r="B334" s="197">
        <f>GETPIVOTDATA(" New-Less Than 2-Year",'Pivot Table for 1-11'!$A$3,"State","SC","SREB Type2","Specialized")+GETPIVOTDATA(" New-2 But Less Than 4-Year",'Pivot Table for 1-11'!$A$3,"State","SC","SREB Type2","Specialized")</f>
        <v>0</v>
      </c>
      <c r="C334" s="197">
        <f>GETPIVOTDATA(" New-Associate's",'Pivot Table for 1-11'!$A$3,"State","SC","SREB Type2","Specialized")</f>
        <v>0</v>
      </c>
      <c r="D334" s="197">
        <f>GETPIVOTDATA(" New-Bachelor's",'Pivot Table for 1-11'!$A$3,"State","SC","SREB Type2","Specialized")</f>
        <v>213</v>
      </c>
      <c r="E334" s="197">
        <f>GETPIVOTDATA(" New-Post-Bachelor's",'Pivot Table for 1-11'!$A$3,"State","SC","SREB Type2","Specialized")</f>
        <v>0</v>
      </c>
      <c r="F334" s="197">
        <f>GETPIVOTDATA(" New-Total Master's#",'Pivot Table for 1-11'!$A$3,"State","SC","SREB Type2","Specialized")</f>
        <v>257</v>
      </c>
      <c r="G334" s="197">
        <f>GETPIVOTDATA(" New-Total Doctorates#",'Pivot Table for 1-11'!$A$3,"State","SC","SREB Type2","Specialized")</f>
        <v>181</v>
      </c>
      <c r="H334" s="230">
        <f>GETPIVOTDATA(" New-Law",'Pivot Table for 1-11'!$A$3,"State","SC","SREB Type2","Specialized")</f>
        <v>0</v>
      </c>
      <c r="I334" s="197">
        <f>GETPIVOTDATA(" New-Medicine",'Pivot Table for 1-11'!$A$3,"State","SC","SREB Type2","Specialized")</f>
        <v>167</v>
      </c>
      <c r="J334" s="197">
        <f>GETPIVOTDATA(" New-Dentistry",'Pivot Table for 1-11'!$A$3,"State","SC","SREB Type2","Specialized")</f>
        <v>73</v>
      </c>
      <c r="K334" s="197">
        <f>GETPIVOTDATA(" New-Pharmacy",'Pivot Table for 1-11'!$A$3,"State","SC","SREB Type2","Specialized")</f>
        <v>85</v>
      </c>
      <c r="L334" s="197">
        <f>GETPIVOTDATA(" New-Optometry",'Pivot Table for 1-11'!$A$3,"State","SC","SREB Type2","Specialized")</f>
        <v>0</v>
      </c>
      <c r="M334" s="197">
        <f>GETPIVOTDATA(" New-Osteopathic Medicine",'Pivot Table for 1-11'!$A$3,"State","SC","SREB Type2","Specialized")</f>
        <v>0</v>
      </c>
      <c r="N334" s="197">
        <f>GETPIVOTDATA(" New-Veterinary Medicine",'Pivot Table for 1-11'!$A$3,"State","SC","SREB Type2","Specialized")</f>
        <v>0</v>
      </c>
      <c r="O334" s="198">
        <f>+GETPIVOTDATA(" New-Oth PP",'Pivot Table for 1-11'!$A$3,"State","SC","SREB Type2","Specialized")</f>
        <v>0</v>
      </c>
      <c r="P334" s="199">
        <f t="shared" si="9"/>
        <v>976</v>
      </c>
      <c r="Q334" s="199"/>
      <c r="AL334" s="231"/>
      <c r="AP334" s="231"/>
    </row>
    <row r="335" spans="1:42" ht="10.5" customHeight="1">
      <c r="A335" s="196"/>
      <c r="B335" s="197"/>
      <c r="C335" s="197"/>
      <c r="D335" s="197"/>
      <c r="E335" s="197"/>
      <c r="F335" s="197"/>
      <c r="G335" s="197"/>
      <c r="H335" s="230"/>
      <c r="I335" s="197"/>
      <c r="J335" s="197"/>
      <c r="K335" s="197"/>
      <c r="L335" s="197"/>
      <c r="M335" s="197"/>
      <c r="N335" s="197"/>
      <c r="O335" s="198"/>
      <c r="P335" s="199"/>
      <c r="Q335" s="199"/>
      <c r="AL335" s="231"/>
      <c r="AP335" s="231"/>
    </row>
    <row r="336" spans="1:42" ht="15" customHeight="1">
      <c r="A336" s="196" t="s">
        <v>33</v>
      </c>
      <c r="B336" s="197">
        <f>GETPIVOTDATA(" New-Less Than 2-Year",'Pivot Table for 1-11'!$A$3,"State","TN","SREB Type2","Specialized")+GETPIVOTDATA(" New-2 But Less Than 4-Year",'Pivot Table for 1-11'!$A$3,"State","TN","SREB Type2","Specialized")</f>
        <v>0</v>
      </c>
      <c r="C336" s="197">
        <f>GETPIVOTDATA(" New-Associate's",'Pivot Table for 1-11'!$A$3,"State","TN","SREB Type2","Specialized")</f>
        <v>0</v>
      </c>
      <c r="D336" s="197">
        <f>GETPIVOTDATA(" New-Bachelor's",'Pivot Table for 1-11'!$A$3,"State","TN","SREB Type2","Specialized")</f>
        <v>182</v>
      </c>
      <c r="E336" s="197">
        <f>GETPIVOTDATA(" New-Post-Bachelor's",'Pivot Table for 1-11'!$A$3,"State","TN","SREB Type2","Specialized")</f>
        <v>0</v>
      </c>
      <c r="F336" s="197">
        <f>GETPIVOTDATA(" New-Total Master's#",'Pivot Table for 1-11'!$A$3,"State","TN","SREB Type2","Specialized")</f>
        <v>213</v>
      </c>
      <c r="G336" s="197">
        <f>GETPIVOTDATA(" New-Total Doctorates#",'Pivot Table for 1-11'!$A$3,"State","TN","SREB Type2","Specialized")</f>
        <v>179</v>
      </c>
      <c r="H336" s="230">
        <f>GETPIVOTDATA(" New-Law",'Pivot Table for 1-11'!$A$3,"State","TN","SREB Type2","Specialized")</f>
        <v>0</v>
      </c>
      <c r="I336" s="197">
        <f>GETPIVOTDATA(" New-Medicine",'Pivot Table for 1-11'!$A$3,"State","TN","SREB Type2","Specialized")</f>
        <v>158</v>
      </c>
      <c r="J336" s="197">
        <f>GETPIVOTDATA(" New-Dentistry",'Pivot Table for 1-11'!$A$3,"State","TN","SREB Type2","Specialized")</f>
        <v>100</v>
      </c>
      <c r="K336" s="197">
        <f>GETPIVOTDATA(" New-Pharmacy",'Pivot Table for 1-11'!$A$3,"State","TN","SREB Type2","Specialized")</f>
        <v>155</v>
      </c>
      <c r="L336" s="197">
        <f>GETPIVOTDATA(" New-Optometry",'Pivot Table for 1-11'!$A$3,"State","TN","SREB Type2","Specialized")</f>
        <v>0</v>
      </c>
      <c r="M336" s="197">
        <f>GETPIVOTDATA(" New-Osteopathic Medicine",'Pivot Table for 1-11'!$A$3,"State","TN","SREB Type2","Specialized")</f>
        <v>0</v>
      </c>
      <c r="N336" s="197">
        <f>GETPIVOTDATA(" New-Veterinary Medicine",'Pivot Table for 1-11'!$A$3,"State","TN","SREB Type2","Specialized")</f>
        <v>0</v>
      </c>
      <c r="O336" s="198">
        <f>+GETPIVOTDATA(" New-Oth PP",'Pivot Table for 1-11'!$A$3,"State","TN","SREB Type2","Specialized")</f>
        <v>0</v>
      </c>
      <c r="P336" s="199">
        <f t="shared" si="9"/>
        <v>987</v>
      </c>
      <c r="Q336" s="199"/>
      <c r="AL336" s="231"/>
      <c r="AP336" s="231"/>
    </row>
    <row r="337" spans="1:42" ht="15" customHeight="1">
      <c r="A337" s="196" t="s">
        <v>34</v>
      </c>
      <c r="B337" s="197">
        <f>GETPIVOTDATA(" New-Less Than 2-Year",'Pivot Table for 1-11'!$A$3,"State","TX","SREB Type2","Specialized")+GETPIVOTDATA(" New-2 But Less Than 4-Year",'Pivot Table for 1-11'!$A$3,"State","TX","SREB Type2","Specialized")</f>
        <v>362</v>
      </c>
      <c r="C337" s="197">
        <f>GETPIVOTDATA(" New-Associate's",'Pivot Table for 1-11'!$A$3,"State","TX","SREB Type2","Specialized")</f>
        <v>158</v>
      </c>
      <c r="D337" s="197">
        <f>GETPIVOTDATA(" New-Bachelor's",'Pivot Table for 1-11'!$A$3,"State","TX","SREB Type2","Specialized")</f>
        <v>0</v>
      </c>
      <c r="E337" s="197">
        <f>GETPIVOTDATA(" New-Post-Bachelor's",'Pivot Table for 1-11'!$A$3,"State","TX","SREB Type2","Specialized")</f>
        <v>0</v>
      </c>
      <c r="F337" s="197">
        <f>GETPIVOTDATA(" New-Total Master's#",'Pivot Table for 1-11'!$A$3,"State","TX","SREB Type2","Specialized")</f>
        <v>2712</v>
      </c>
      <c r="G337" s="197">
        <f>GETPIVOTDATA(" New-Total Doctorates#",'Pivot Table for 1-11'!$A$3,"State","TX","SREB Type2","Specialized")</f>
        <v>441</v>
      </c>
      <c r="H337" s="230">
        <f>GETPIVOTDATA(" New-Law",'Pivot Table for 1-11'!$A$3,"State","TX","SREB Type2","Specialized")</f>
        <v>0</v>
      </c>
      <c r="I337" s="197">
        <f>GETPIVOTDATA(" New-Medicine",'Pivot Table for 1-11'!$A$3,"State","TX","SREB Type2","Specialized")</f>
        <v>1328</v>
      </c>
      <c r="J337" s="197">
        <f>GETPIVOTDATA(" New-Dentistry",'Pivot Table for 1-11'!$A$3,"State","TX","SREB Type2","Specialized")</f>
        <v>311</v>
      </c>
      <c r="K337" s="197">
        <f>GETPIVOTDATA(" New-Pharmacy",'Pivot Table for 1-11'!$A$3,"State","TX","SREB Type2","Specialized")</f>
        <v>357</v>
      </c>
      <c r="L337" s="197">
        <f>GETPIVOTDATA(" New-Optometry",'Pivot Table for 1-11'!$A$3,"State","TX","SREB Type2","Specialized")</f>
        <v>0</v>
      </c>
      <c r="M337" s="197">
        <f>GETPIVOTDATA(" New-Osteopathic Medicine",'Pivot Table for 1-11'!$A$3,"State","TX","SREB Type2","Specialized")</f>
        <v>206</v>
      </c>
      <c r="N337" s="197">
        <f>GETPIVOTDATA(" New-Veterinary Medicine",'Pivot Table for 1-11'!$A$3,"State","TX","SREB Type2","Specialized")</f>
        <v>0</v>
      </c>
      <c r="O337" s="198">
        <f>+GETPIVOTDATA(" New-Oth PP",'Pivot Table for 1-11'!$A$3,"State","TX","SREB Type2","Specialized")</f>
        <v>296</v>
      </c>
      <c r="P337" s="199">
        <f t="shared" si="9"/>
        <v>6171</v>
      </c>
      <c r="Q337" s="199"/>
      <c r="AL337" s="231"/>
      <c r="AP337" s="231"/>
    </row>
    <row r="338" spans="1:42" ht="15" customHeight="1">
      <c r="A338" s="196" t="s">
        <v>35</v>
      </c>
      <c r="B338" s="197">
        <f>GETPIVOTDATA(" New-Less Than 2-Year",'Pivot Table for 1-11'!$A$3,"State","VA","SREB Type2","Specialized")+GETPIVOTDATA(" New-2 But Less Than 4-Year",'Pivot Table for 1-11'!$A$3,"State","VA","SREB Type2","Specialized")</f>
        <v>0</v>
      </c>
      <c r="C338" s="197">
        <f>GETPIVOTDATA(" New-Associate's",'Pivot Table for 1-11'!$A$3,"State","VA","SREB Type2","Specialized")</f>
        <v>0</v>
      </c>
      <c r="D338" s="197">
        <f>GETPIVOTDATA(" New-Bachelor's",'Pivot Table for 1-11'!$A$3,"State","VA","SREB Type2","Specialized")</f>
        <v>372</v>
      </c>
      <c r="E338" s="197">
        <f>GETPIVOTDATA(" New-Post-Bachelor's",'Pivot Table for 1-11'!$A$3,"State","VA","SREB Type2","Specialized")</f>
        <v>0</v>
      </c>
      <c r="F338" s="197">
        <f>GETPIVOTDATA(" New-Total Master's#",'Pivot Table for 1-11'!$A$3,"State","VA","SREB Type2","Specialized")</f>
        <v>0</v>
      </c>
      <c r="G338" s="197">
        <f>GETPIVOTDATA(" New-Total Doctorates#",'Pivot Table for 1-11'!$A$3,"State","VA","SREB Type2","Specialized")</f>
        <v>0</v>
      </c>
      <c r="H338" s="230">
        <f>GETPIVOTDATA(" New-Law",'Pivot Table for 1-11'!$A$3,"State","VA","SREB Type2","Specialized")</f>
        <v>0</v>
      </c>
      <c r="I338" s="197">
        <f>GETPIVOTDATA(" New-Medicine",'Pivot Table for 1-11'!$A$3,"State","VA","SREB Type2","Specialized")</f>
        <v>0</v>
      </c>
      <c r="J338" s="197">
        <f>GETPIVOTDATA(" New-Dentistry",'Pivot Table for 1-11'!$A$3,"State","VA","SREB Type2","Specialized")</f>
        <v>0</v>
      </c>
      <c r="K338" s="197">
        <f>GETPIVOTDATA(" New-Pharmacy",'Pivot Table for 1-11'!$A$3,"State","VA","SREB Type2","Specialized")</f>
        <v>0</v>
      </c>
      <c r="L338" s="197">
        <f>GETPIVOTDATA(" New-Optometry",'Pivot Table for 1-11'!$A$3,"State","VA","SREB Type2","Specialized")</f>
        <v>0</v>
      </c>
      <c r="M338" s="197">
        <f>GETPIVOTDATA(" New-Osteopathic Medicine",'Pivot Table for 1-11'!$A$3,"State","VA","SREB Type2","Specialized")</f>
        <v>0</v>
      </c>
      <c r="N338" s="197">
        <f>GETPIVOTDATA(" New-Veterinary Medicine",'Pivot Table for 1-11'!$A$3,"State","VA","SREB Type2","Specialized")</f>
        <v>0</v>
      </c>
      <c r="O338" s="198">
        <f>+GETPIVOTDATA(" New-Oth PP",'Pivot Table for 1-11'!$A$3,"State","VA","SREB Type2","Specialized")</f>
        <v>0</v>
      </c>
      <c r="P338" s="199">
        <f t="shared" si="9"/>
        <v>372</v>
      </c>
      <c r="Q338" s="199"/>
      <c r="AL338" s="231"/>
      <c r="AP338" s="231"/>
    </row>
    <row r="339" spans="1:42" ht="15" customHeight="1">
      <c r="A339" s="200" t="s">
        <v>36</v>
      </c>
      <c r="B339" s="201">
        <f>GETPIVOTDATA(" New-Less Than 2-Year",'Pivot Table for 1-11'!$A$3,"State","WV","SREB Type2","Specialized")+GETPIVOTDATA(" New-2 But Less Than 4-Year",'Pivot Table for 1-11'!$A$3,"State","WV","SREB Type2","Specialized")</f>
        <v>56</v>
      </c>
      <c r="C339" s="201">
        <f>GETPIVOTDATA(" New-Associate's",'Pivot Table for 1-11'!$A$3,"State","WV","SREB Type2","Specialized")</f>
        <v>0</v>
      </c>
      <c r="D339" s="201">
        <f>GETPIVOTDATA(" New-Bachelor's",'Pivot Table for 1-11'!$A$3,"State","WV","SREB Type2","Specialized")</f>
        <v>0</v>
      </c>
      <c r="E339" s="201">
        <f>GETPIVOTDATA(" New-Post-Bachelor's",'Pivot Table for 1-11'!$A$3,"State","WV","SREB Type2","Specialized")</f>
        <v>0</v>
      </c>
      <c r="F339" s="201">
        <f>GETPIVOTDATA(" New-Total Master's#",'Pivot Table for 1-11'!$A$3,"State","WV","SREB Type2","Specialized")</f>
        <v>0</v>
      </c>
      <c r="G339" s="201">
        <f>GETPIVOTDATA(" New-Total Doctorates#",'Pivot Table for 1-11'!$A$3,"State","WV","SREB Type2","Specialized")</f>
        <v>0</v>
      </c>
      <c r="H339" s="318">
        <f>GETPIVOTDATA(" New-Law",'Pivot Table for 1-11'!$A$3,"State","WV","SREB Type2","Specialized")</f>
        <v>0</v>
      </c>
      <c r="I339" s="201">
        <f>GETPIVOTDATA(" New-Medicine",'Pivot Table for 1-11'!$A$3,"State","WV","SREB Type2","Specialized")</f>
        <v>0</v>
      </c>
      <c r="J339" s="201">
        <f>GETPIVOTDATA(" New-Dentistry",'Pivot Table for 1-11'!$A$3,"State","WV","SREB Type2","Specialized")</f>
        <v>0</v>
      </c>
      <c r="K339" s="201">
        <f>GETPIVOTDATA(" New-Pharmacy",'Pivot Table for 1-11'!$A$3,"State","WV","SREB Type2","Specialized")</f>
        <v>0</v>
      </c>
      <c r="L339" s="201">
        <f>GETPIVOTDATA(" New-Optometry",'Pivot Table for 1-11'!$A$3,"State","WV","SREB Type2","Specialized")</f>
        <v>0</v>
      </c>
      <c r="M339" s="201">
        <f>GETPIVOTDATA(" New-Osteopathic Medicine",'Pivot Table for 1-11'!$A$3,"State","WV","SREB Type2","Specialized")</f>
        <v>194</v>
      </c>
      <c r="N339" s="201">
        <f>GETPIVOTDATA(" New-Veterinary Medicine",'Pivot Table for 1-11'!$A$3,"State","WV","SREB Type2","Specialized")</f>
        <v>0</v>
      </c>
      <c r="O339" s="319">
        <f>+GETPIVOTDATA(" New-Oth PP",'Pivot Table for 1-11'!$A$3,"State","WV","SREB Type2","Specialized")</f>
        <v>0</v>
      </c>
      <c r="P339" s="203">
        <f t="shared" si="9"/>
        <v>250</v>
      </c>
      <c r="Q339" s="199"/>
      <c r="AL339" s="231"/>
      <c r="AP339" s="231"/>
    </row>
    <row r="340" spans="1:42" ht="24" customHeight="1">
      <c r="A340" s="545" t="s">
        <v>37</v>
      </c>
      <c r="B340" s="546"/>
      <c r="C340" s="546"/>
      <c r="D340" s="546"/>
      <c r="E340" s="546"/>
      <c r="F340" s="546"/>
      <c r="G340" s="546"/>
      <c r="H340" s="546"/>
      <c r="I340" s="546"/>
      <c r="J340" s="546"/>
      <c r="K340" s="546"/>
      <c r="L340" s="546"/>
      <c r="M340" s="546"/>
      <c r="N340" s="546"/>
      <c r="O340" s="546"/>
      <c r="P340" s="546"/>
      <c r="Q340" s="263"/>
    </row>
    <row r="341" spans="1:42">
      <c r="O341" s="204"/>
      <c r="P341" s="204"/>
      <c r="Q341" s="204"/>
    </row>
    <row r="342" spans="1:42" ht="18">
      <c r="A342" s="186" t="s">
        <v>77</v>
      </c>
      <c r="B342" s="186"/>
      <c r="C342" s="186"/>
      <c r="D342" s="186"/>
      <c r="E342" s="186"/>
      <c r="F342" s="186"/>
      <c r="G342" s="186"/>
      <c r="H342" s="221" t="s">
        <v>1</v>
      </c>
      <c r="I342" s="221"/>
      <c r="J342" s="221"/>
      <c r="K342" s="221"/>
      <c r="L342" s="221"/>
      <c r="M342" s="221"/>
      <c r="N342" s="221"/>
      <c r="O342" s="221"/>
      <c r="P342" s="221"/>
      <c r="Q342" s="221"/>
    </row>
    <row r="343" spans="1:42" ht="6.75" customHeight="1">
      <c r="A343" s="188"/>
      <c r="B343" s="188"/>
      <c r="C343" s="188"/>
      <c r="D343" s="188"/>
      <c r="E343" s="188"/>
      <c r="F343" s="188"/>
      <c r="G343" s="188"/>
      <c r="H343" s="188"/>
      <c r="I343" s="188"/>
      <c r="J343" s="188"/>
      <c r="K343" s="188"/>
    </row>
    <row r="344" spans="1:42" ht="15.5">
      <c r="A344" s="187" t="s">
        <v>78</v>
      </c>
      <c r="B344" s="187"/>
      <c r="C344" s="187"/>
      <c r="D344" s="187"/>
      <c r="E344" s="187"/>
      <c r="F344" s="187"/>
      <c r="G344" s="187"/>
      <c r="H344" s="187" t="s">
        <v>1</v>
      </c>
      <c r="I344" s="187"/>
      <c r="J344" s="187"/>
      <c r="K344" s="187"/>
      <c r="L344" s="189"/>
      <c r="M344" s="189"/>
      <c r="N344" s="189"/>
      <c r="O344" s="189"/>
      <c r="P344" s="189"/>
      <c r="Q344" s="189"/>
    </row>
    <row r="345" spans="1:42" ht="15.5">
      <c r="A345" s="187" t="s">
        <v>79</v>
      </c>
      <c r="B345" s="187"/>
      <c r="C345" s="187"/>
      <c r="D345" s="187"/>
      <c r="E345" s="187"/>
      <c r="F345" s="187"/>
      <c r="G345" s="187"/>
      <c r="H345" s="187" t="s">
        <v>1</v>
      </c>
      <c r="I345" s="187"/>
      <c r="J345" s="187"/>
      <c r="K345" s="187"/>
      <c r="L345" s="189"/>
      <c r="M345" s="189"/>
      <c r="N345" s="189"/>
      <c r="O345" s="189"/>
      <c r="P345" s="189"/>
      <c r="Q345" s="189"/>
    </row>
    <row r="346" spans="1:42" ht="15.5">
      <c r="A346" s="187" t="s">
        <v>1190</v>
      </c>
      <c r="B346" s="187"/>
      <c r="C346" s="187"/>
      <c r="D346" s="187"/>
      <c r="E346" s="187"/>
      <c r="F346" s="187"/>
      <c r="G346" s="187"/>
      <c r="H346" s="187" t="s">
        <v>1</v>
      </c>
      <c r="I346" s="187"/>
      <c r="J346" s="187"/>
      <c r="K346" s="187"/>
      <c r="L346" s="189"/>
      <c r="M346" s="189"/>
      <c r="N346" s="189"/>
      <c r="O346" s="189"/>
      <c r="P346" s="189"/>
      <c r="Q346" s="189"/>
    </row>
    <row r="347" spans="1:42" ht="36.5" customHeight="1">
      <c r="A347" s="189"/>
      <c r="B347" s="543" t="s">
        <v>1223</v>
      </c>
      <c r="C347" s="544"/>
      <c r="D347" s="544"/>
      <c r="E347" s="544"/>
      <c r="F347" s="544"/>
      <c r="G347" s="187"/>
      <c r="H347" s="187"/>
      <c r="I347" s="187"/>
      <c r="J347" s="187"/>
      <c r="K347" s="187"/>
      <c r="L347" s="187"/>
      <c r="M347" s="189"/>
      <c r="N347" s="189"/>
      <c r="O347" s="189"/>
      <c r="P347" s="204" t="s">
        <v>1178</v>
      </c>
      <c r="Q347" s="189"/>
    </row>
  </sheetData>
  <mergeCells count="12">
    <mergeCell ref="B347:F347"/>
    <mergeCell ref="A186:P186"/>
    <mergeCell ref="A30:P30"/>
    <mergeCell ref="A61:P61"/>
    <mergeCell ref="A93:P93"/>
    <mergeCell ref="A124:P124"/>
    <mergeCell ref="A155:P155"/>
    <mergeCell ref="A217:P217"/>
    <mergeCell ref="A248:P248"/>
    <mergeCell ref="A279:P279"/>
    <mergeCell ref="A310:G310"/>
    <mergeCell ref="A340:P340"/>
  </mergeCells>
  <printOptions horizontalCentered="1"/>
  <pageMargins left="0.5" right="0.33750000000000002" top="0.75" bottom="0.75" header="0.75" footer="0.5"/>
  <pageSetup scale="87" firstPageNumber="2" orientation="landscape" useFirstPageNumber="1" r:id="rId1"/>
  <headerFooter alignWithMargins="0">
    <oddHeader>&amp;R&amp;"Arial,Regular"&amp;8SREB-State Data Exchange</oddHeader>
    <oddFooter>&amp;C&amp;"Arial,Regular"&amp;10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4A2997-9C21-4974-9402-655F17DC7FDC}">
  <sheetPr codeName="Sheet9">
    <tabColor rgb="FFFFFF00"/>
  </sheetPr>
  <dimension ref="A3:U17011"/>
  <sheetViews>
    <sheetView workbookViewId="0">
      <selection activeCell="A25" sqref="A1:XFD1048576"/>
    </sheetView>
  </sheetViews>
  <sheetFormatPr defaultColWidth="6" defaultRowHeight="12.5"/>
  <cols>
    <col min="1" max="1" width="6" style="161"/>
    <col min="2" max="2" width="20.69140625" style="65" customWidth="1"/>
    <col min="3" max="3" width="12.69140625" style="65" customWidth="1"/>
    <col min="4" max="4" width="12.69140625" style="130" customWidth="1"/>
    <col min="5" max="8" width="12.69140625" style="65" customWidth="1"/>
    <col min="9" max="9" width="13.23046875" style="65" customWidth="1"/>
    <col min="10" max="13" width="10.23046875" style="65" customWidth="1"/>
    <col min="14" max="14" width="13" style="65" customWidth="1"/>
    <col min="15" max="16" width="10.3046875" style="65" customWidth="1"/>
    <col min="17" max="17" width="13.23046875" style="65" customWidth="1"/>
    <col min="18" max="18" width="12" style="65" customWidth="1"/>
    <col min="19" max="19" width="9.765625" style="65" customWidth="1"/>
    <col min="20" max="20" width="7.23046875" style="65" customWidth="1"/>
    <col min="21" max="21" width="10.23046875" style="65" customWidth="1"/>
    <col min="22" max="22" width="6.69140625" style="65" bestFit="1" customWidth="1"/>
    <col min="23" max="16384" width="6" style="65"/>
  </cols>
  <sheetData>
    <row r="3" spans="1:21">
      <c r="B3" s="161"/>
      <c r="D3" s="65"/>
    </row>
    <row r="4" spans="1:21">
      <c r="B4" s="161"/>
      <c r="D4" s="65"/>
    </row>
    <row r="5" spans="1:21">
      <c r="D5" s="65"/>
    </row>
    <row r="6" spans="1:21">
      <c r="A6" s="163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</row>
    <row r="7" spans="1:21" ht="13" thickBot="1">
      <c r="A7" s="179"/>
      <c r="C7" s="141"/>
      <c r="D7" s="141"/>
      <c r="E7" s="141"/>
      <c r="F7" s="141"/>
      <c r="G7" s="141"/>
      <c r="H7" s="141"/>
      <c r="I7" s="141"/>
      <c r="J7" s="141"/>
      <c r="K7" s="141"/>
      <c r="L7" s="141"/>
      <c r="M7" s="141"/>
      <c r="N7" s="141"/>
      <c r="O7" s="141"/>
      <c r="P7" s="141"/>
      <c r="Q7" s="141"/>
      <c r="R7" s="141"/>
      <c r="S7" s="141"/>
      <c r="T7" s="141"/>
      <c r="U7" s="141"/>
    </row>
    <row r="8" spans="1:21" s="149" customFormat="1" ht="13.5" thickBot="1">
      <c r="A8" s="180"/>
      <c r="B8" s="181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82"/>
      <c r="Q8" s="146"/>
      <c r="R8" s="146"/>
      <c r="S8" s="146"/>
      <c r="T8" s="146"/>
      <c r="U8" s="146"/>
    </row>
    <row r="9" spans="1:21">
      <c r="A9" s="163"/>
      <c r="C9" s="141"/>
      <c r="D9" s="141"/>
      <c r="E9" s="141"/>
      <c r="F9" s="141"/>
      <c r="G9" s="141"/>
      <c r="H9" s="141"/>
      <c r="I9" s="141"/>
      <c r="J9" s="141"/>
      <c r="K9" s="141"/>
      <c r="L9" s="141"/>
      <c r="M9" s="141"/>
      <c r="N9" s="141"/>
      <c r="O9" s="141"/>
      <c r="P9" s="141"/>
      <c r="Q9" s="141"/>
      <c r="R9" s="141"/>
      <c r="S9" s="141"/>
      <c r="T9" s="141"/>
      <c r="U9" s="141"/>
    </row>
    <row r="10" spans="1:21" ht="13" thickBot="1">
      <c r="A10" s="179"/>
      <c r="C10" s="141"/>
      <c r="D10" s="141"/>
      <c r="E10" s="141"/>
      <c r="F10" s="141"/>
      <c r="G10" s="141"/>
      <c r="H10" s="141"/>
      <c r="I10" s="141"/>
      <c r="J10" s="141"/>
      <c r="K10" s="141"/>
      <c r="L10" s="141"/>
      <c r="M10" s="141"/>
      <c r="N10" s="141"/>
      <c r="O10" s="141"/>
      <c r="P10" s="141"/>
      <c r="Q10" s="141"/>
      <c r="R10" s="141"/>
      <c r="S10" s="141"/>
      <c r="T10" s="141"/>
      <c r="U10" s="141"/>
    </row>
    <row r="11" spans="1:21" s="149" customFormat="1" ht="13.5" thickBot="1">
      <c r="A11" s="180"/>
      <c r="B11" s="181"/>
      <c r="C11" s="146"/>
      <c r="D11" s="146"/>
      <c r="E11" s="146"/>
      <c r="F11" s="146"/>
      <c r="G11" s="182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</row>
    <row r="12" spans="1:21">
      <c r="A12" s="163"/>
      <c r="C12" s="141"/>
      <c r="D12" s="141"/>
      <c r="E12" s="141"/>
      <c r="F12" s="141"/>
      <c r="G12" s="141"/>
      <c r="H12" s="141"/>
      <c r="I12" s="141"/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</row>
    <row r="13" spans="1:21" ht="13" thickBot="1">
      <c r="A13" s="179"/>
      <c r="C13" s="141"/>
      <c r="D13" s="141"/>
      <c r="E13" s="141"/>
      <c r="F13" s="141"/>
      <c r="G13" s="141"/>
      <c r="H13" s="141"/>
      <c r="I13" s="141"/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</row>
    <row r="14" spans="1:21" s="149" customFormat="1" ht="13.5" thickBot="1">
      <c r="A14" s="180"/>
      <c r="B14" s="181"/>
      <c r="C14" s="146"/>
      <c r="D14" s="146"/>
      <c r="E14" s="146"/>
      <c r="F14" s="146"/>
      <c r="G14" s="146"/>
      <c r="H14" s="146"/>
      <c r="I14" s="146"/>
      <c r="J14" s="146"/>
      <c r="K14" s="182"/>
      <c r="L14" s="146"/>
      <c r="M14" s="146"/>
      <c r="N14" s="146"/>
      <c r="O14" s="146"/>
      <c r="P14" s="146"/>
      <c r="Q14" s="146"/>
      <c r="R14" s="146"/>
      <c r="S14" s="146"/>
      <c r="T14" s="146"/>
      <c r="U14" s="146"/>
    </row>
    <row r="15" spans="1:21">
      <c r="A15" s="163"/>
      <c r="C15" s="141"/>
      <c r="D15" s="141"/>
      <c r="E15" s="141"/>
      <c r="F15" s="141"/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</row>
    <row r="16" spans="1:21">
      <c r="A16" s="179"/>
      <c r="C16" s="141"/>
      <c r="D16" s="141"/>
      <c r="E16" s="141"/>
      <c r="F16" s="141"/>
      <c r="G16" s="141"/>
      <c r="H16" s="141"/>
      <c r="I16" s="141"/>
      <c r="J16" s="141"/>
      <c r="K16" s="141"/>
      <c r="L16" s="141"/>
      <c r="M16" s="141"/>
      <c r="N16" s="141"/>
      <c r="O16" s="141"/>
      <c r="P16" s="141"/>
      <c r="Q16" s="141"/>
      <c r="R16" s="141"/>
      <c r="S16" s="141"/>
      <c r="T16" s="141"/>
      <c r="U16" s="141"/>
    </row>
    <row r="17" spans="1:21" s="149" customFormat="1" ht="13">
      <c r="A17" s="180"/>
      <c r="B17" s="181"/>
      <c r="C17" s="146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</row>
    <row r="18" spans="1:21">
      <c r="A18" s="163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</row>
    <row r="19" spans="1:21">
      <c r="A19" s="179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</row>
    <row r="20" spans="1:21" s="149" customFormat="1" ht="13">
      <c r="A20" s="180"/>
      <c r="B20" s="181"/>
      <c r="C20" s="146"/>
      <c r="D20" s="146"/>
      <c r="E20" s="146"/>
      <c r="F20" s="146"/>
      <c r="G20" s="146"/>
      <c r="H20" s="146"/>
      <c r="I20" s="146"/>
      <c r="J20" s="146"/>
      <c r="K20" s="146"/>
      <c r="L20" s="146"/>
      <c r="M20" s="146"/>
      <c r="N20" s="146"/>
      <c r="O20" s="146"/>
      <c r="P20" s="146"/>
      <c r="Q20" s="146"/>
      <c r="R20" s="146"/>
      <c r="S20" s="146"/>
      <c r="T20" s="146"/>
      <c r="U20" s="146"/>
    </row>
    <row r="21" spans="1:21">
      <c r="A21" s="163"/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</row>
    <row r="22" spans="1:21" ht="13" thickBot="1">
      <c r="A22" s="179"/>
      <c r="C22" s="141"/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</row>
    <row r="23" spans="1:21" s="149" customFormat="1" ht="13.5" thickBot="1">
      <c r="A23" s="180"/>
      <c r="B23" s="181"/>
      <c r="C23" s="146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82"/>
      <c r="P23" s="146"/>
      <c r="Q23" s="146"/>
      <c r="R23" s="146"/>
      <c r="S23" s="146"/>
      <c r="T23" s="146"/>
      <c r="U23" s="146"/>
    </row>
    <row r="24" spans="1:21">
      <c r="A24" s="163"/>
      <c r="C24" s="141"/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</row>
    <row r="25" spans="1:21" ht="13" thickBot="1">
      <c r="A25" s="179"/>
      <c r="C25" s="141"/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</row>
    <row r="26" spans="1:21" s="149" customFormat="1" ht="13.5" thickBot="1">
      <c r="A26" s="180"/>
      <c r="B26" s="181"/>
      <c r="C26" s="146"/>
      <c r="D26" s="146"/>
      <c r="E26" s="146"/>
      <c r="F26" s="146"/>
      <c r="G26" s="146"/>
      <c r="H26" s="146"/>
      <c r="I26" s="146"/>
      <c r="J26" s="146"/>
      <c r="K26" s="146"/>
      <c r="L26" s="182"/>
      <c r="M26" s="182"/>
      <c r="N26" s="146"/>
      <c r="O26" s="182"/>
      <c r="P26" s="146"/>
      <c r="Q26" s="146"/>
      <c r="R26" s="146"/>
      <c r="S26" s="146"/>
      <c r="T26" s="146"/>
      <c r="U26" s="146"/>
    </row>
    <row r="27" spans="1:21">
      <c r="A27" s="163"/>
      <c r="C27" s="141"/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</row>
    <row r="28" spans="1:21">
      <c r="A28" s="179"/>
      <c r="C28" s="141"/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</row>
    <row r="29" spans="1:21" s="149" customFormat="1" ht="13">
      <c r="A29" s="180"/>
      <c r="B29" s="181"/>
      <c r="C29" s="146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</row>
    <row r="30" spans="1:21">
      <c r="A30" s="163"/>
      <c r="C30" s="141"/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</row>
    <row r="31" spans="1:21" ht="13" thickBot="1">
      <c r="A31" s="179"/>
      <c r="C31" s="141"/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</row>
    <row r="32" spans="1:21" s="149" customFormat="1" ht="13.5" thickBot="1">
      <c r="A32" s="180"/>
      <c r="B32" s="181"/>
      <c r="C32" s="146"/>
      <c r="D32" s="146"/>
      <c r="E32" s="146"/>
      <c r="F32" s="146"/>
      <c r="G32" s="182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</row>
    <row r="33" spans="1:21">
      <c r="A33" s="163"/>
      <c r="C33" s="141"/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</row>
    <row r="34" spans="1:21" ht="13" thickBot="1">
      <c r="A34" s="179"/>
      <c r="C34" s="141"/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</row>
    <row r="35" spans="1:21" s="149" customFormat="1" ht="13.5" thickBot="1">
      <c r="A35" s="180"/>
      <c r="B35" s="181"/>
      <c r="C35" s="146"/>
      <c r="D35" s="146"/>
      <c r="E35" s="146"/>
      <c r="F35" s="146"/>
      <c r="G35" s="146"/>
      <c r="H35" s="146"/>
      <c r="I35" s="146"/>
      <c r="J35" s="146"/>
      <c r="K35" s="182"/>
      <c r="L35" s="146"/>
      <c r="M35" s="146"/>
      <c r="N35" s="146"/>
      <c r="O35" s="146"/>
      <c r="P35" s="146"/>
      <c r="Q35" s="146"/>
      <c r="R35" s="146"/>
      <c r="S35" s="146"/>
      <c r="T35" s="146"/>
      <c r="U35" s="146"/>
    </row>
    <row r="36" spans="1:21">
      <c r="A36" s="163"/>
      <c r="C36" s="141"/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</row>
    <row r="37" spans="1:21" ht="13" thickBot="1">
      <c r="A37" s="179"/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</row>
    <row r="38" spans="1:21" s="149" customFormat="1" ht="13.5" thickBot="1">
      <c r="A38" s="180"/>
      <c r="B38" s="181"/>
      <c r="C38" s="146"/>
      <c r="D38" s="146"/>
      <c r="E38" s="146"/>
      <c r="F38" s="146"/>
      <c r="G38" s="146"/>
      <c r="H38" s="146"/>
      <c r="I38" s="146"/>
      <c r="J38" s="182"/>
      <c r="K38" s="182"/>
      <c r="L38" s="146"/>
      <c r="M38" s="146"/>
      <c r="N38" s="146"/>
      <c r="O38" s="146"/>
      <c r="P38" s="146"/>
      <c r="Q38" s="146"/>
      <c r="R38" s="146"/>
      <c r="S38" s="146"/>
      <c r="T38" s="146"/>
      <c r="U38" s="146"/>
    </row>
    <row r="39" spans="1:21">
      <c r="A39" s="163"/>
      <c r="C39" s="141"/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</row>
    <row r="40" spans="1:21">
      <c r="A40" s="179"/>
      <c r="C40" s="141"/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</row>
    <row r="41" spans="1:21" s="149" customFormat="1" ht="13">
      <c r="A41" s="180"/>
      <c r="B41" s="181"/>
      <c r="C41" s="146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</row>
    <row r="42" spans="1:21">
      <c r="A42" s="163"/>
      <c r="C42" s="141"/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</row>
    <row r="43" spans="1:21">
      <c r="A43" s="179"/>
      <c r="C43" s="141"/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</row>
    <row r="44" spans="1:21" s="149" customFormat="1" ht="13">
      <c r="A44" s="180"/>
      <c r="B44" s="181"/>
      <c r="C44" s="146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</row>
    <row r="45" spans="1:21">
      <c r="A45" s="163"/>
      <c r="C45" s="141"/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</row>
    <row r="46" spans="1:21">
      <c r="A46" s="179"/>
      <c r="C46" s="141"/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</row>
    <row r="47" spans="1:21" s="149" customFormat="1" ht="13">
      <c r="A47" s="180"/>
      <c r="B47" s="181"/>
      <c r="C47" s="146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</row>
    <row r="48" spans="1:21">
      <c r="A48" s="163"/>
      <c r="C48" s="141"/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</row>
    <row r="49" spans="1:21">
      <c r="A49" s="179"/>
      <c r="C49" s="141"/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</row>
    <row r="50" spans="1:21" s="149" customFormat="1" ht="13">
      <c r="A50" s="180"/>
      <c r="B50" s="181"/>
      <c r="C50" s="146"/>
      <c r="D50" s="146"/>
      <c r="E50" s="146"/>
      <c r="F50" s="146"/>
      <c r="G50" s="146"/>
      <c r="H50" s="146"/>
      <c r="I50" s="146"/>
      <c r="J50" s="146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</row>
    <row r="51" spans="1:21">
      <c r="A51" s="163"/>
      <c r="C51" s="141"/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</row>
    <row r="52" spans="1:21" ht="13" thickBot="1">
      <c r="A52" s="179"/>
      <c r="C52" s="141"/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</row>
    <row r="53" spans="1:21" s="149" customFormat="1" ht="13.5" thickBot="1">
      <c r="A53" s="180"/>
      <c r="B53" s="181"/>
      <c r="C53" s="146"/>
      <c r="D53" s="146"/>
      <c r="E53" s="146"/>
      <c r="F53" s="146"/>
      <c r="G53" s="146"/>
      <c r="H53" s="146"/>
      <c r="I53" s="146"/>
      <c r="J53" s="146"/>
      <c r="K53" s="146"/>
      <c r="L53" s="146"/>
      <c r="M53" s="182"/>
      <c r="N53" s="146"/>
      <c r="O53" s="146"/>
      <c r="P53" s="146"/>
      <c r="Q53" s="146"/>
      <c r="R53" s="146"/>
      <c r="S53" s="182"/>
      <c r="T53" s="146"/>
      <c r="U53" s="146"/>
    </row>
    <row r="54" spans="1:21">
      <c r="A54" s="163"/>
      <c r="C54" s="141"/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</row>
    <row r="55" spans="1:21">
      <c r="A55" s="179"/>
      <c r="C55" s="141"/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</row>
    <row r="56" spans="1:21" s="149" customFormat="1" ht="13">
      <c r="A56" s="180"/>
      <c r="B56" s="181"/>
      <c r="C56" s="146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</row>
    <row r="57" spans="1:21">
      <c r="A57" s="183"/>
      <c r="B57" s="161"/>
      <c r="C57" s="172"/>
      <c r="D57" s="172"/>
      <c r="E57" s="172"/>
      <c r="F57" s="172"/>
      <c r="G57" s="172"/>
      <c r="H57" s="172"/>
      <c r="I57" s="172"/>
      <c r="J57" s="172"/>
      <c r="K57" s="172"/>
      <c r="L57" s="172"/>
      <c r="M57" s="172"/>
      <c r="N57" s="172"/>
      <c r="O57" s="172"/>
      <c r="P57" s="172"/>
      <c r="Q57" s="172"/>
      <c r="R57" s="172"/>
      <c r="S57" s="172"/>
      <c r="T57" s="172"/>
      <c r="U57" s="172"/>
    </row>
    <row r="58" spans="1:21">
      <c r="A58" s="183"/>
      <c r="B58" s="161"/>
      <c r="C58" s="172"/>
      <c r="D58" s="172"/>
      <c r="E58" s="172"/>
      <c r="F58" s="172"/>
      <c r="G58" s="172"/>
      <c r="H58" s="172"/>
      <c r="I58" s="172"/>
      <c r="J58" s="172"/>
      <c r="K58" s="172"/>
      <c r="L58" s="172"/>
      <c r="M58" s="172"/>
      <c r="N58" s="172"/>
      <c r="O58" s="172"/>
      <c r="P58" s="172"/>
      <c r="Q58" s="172"/>
      <c r="R58" s="172"/>
      <c r="S58" s="172"/>
      <c r="T58" s="172"/>
      <c r="U58" s="172"/>
    </row>
    <row r="59" spans="1:21" s="149" customFormat="1" ht="13">
      <c r="A59" s="183"/>
      <c r="B59" s="161"/>
      <c r="C59" s="184"/>
      <c r="D59" s="184"/>
      <c r="E59" s="184"/>
      <c r="F59" s="184"/>
      <c r="G59" s="184"/>
      <c r="H59" s="184"/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184"/>
    </row>
    <row r="60" spans="1:21">
      <c r="A60" s="65"/>
      <c r="D60" s="65"/>
    </row>
    <row r="61" spans="1:21">
      <c r="A61" s="65"/>
      <c r="D61" s="65"/>
    </row>
    <row r="62" spans="1:21" s="149" customFormat="1" ht="13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</row>
    <row r="63" spans="1:21">
      <c r="A63" s="65"/>
      <c r="D63" s="65"/>
    </row>
    <row r="64" spans="1:21">
      <c r="A64" s="65"/>
      <c r="D64" s="65"/>
    </row>
    <row r="65" spans="1:21" s="149" customFormat="1" ht="13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</row>
    <row r="66" spans="1:21">
      <c r="A66" s="65"/>
      <c r="D66" s="65"/>
    </row>
    <row r="67" spans="1:21">
      <c r="A67" s="65"/>
      <c r="D67" s="65"/>
    </row>
    <row r="68" spans="1:21" s="149" customFormat="1" ht="13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</row>
    <row r="69" spans="1:21">
      <c r="A69" s="65"/>
      <c r="D69" s="65"/>
    </row>
    <row r="70" spans="1:21">
      <c r="A70" s="65"/>
      <c r="D70" s="65"/>
    </row>
    <row r="71" spans="1:21" s="149" customFormat="1" ht="13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</row>
    <row r="72" spans="1:21">
      <c r="A72" s="65"/>
      <c r="D72" s="65"/>
    </row>
    <row r="73" spans="1:21">
      <c r="A73" s="65"/>
      <c r="D73" s="65"/>
    </row>
    <row r="74" spans="1:21" s="149" customFormat="1" ht="13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</row>
    <row r="75" spans="1:21">
      <c r="A75" s="65"/>
      <c r="D75" s="65"/>
    </row>
    <row r="76" spans="1:21">
      <c r="A76" s="65"/>
      <c r="D76" s="65"/>
    </row>
    <row r="77" spans="1:21" s="149" customFormat="1" ht="13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</row>
    <row r="78" spans="1:21">
      <c r="A78" s="65"/>
      <c r="D78" s="65"/>
    </row>
    <row r="79" spans="1:21">
      <c r="A79" s="65"/>
      <c r="D79" s="65"/>
    </row>
    <row r="80" spans="1:21" s="149" customFormat="1" ht="13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</row>
    <row r="81" spans="1:21">
      <c r="A81" s="65"/>
      <c r="D81" s="65"/>
    </row>
    <row r="82" spans="1:21">
      <c r="A82" s="65"/>
      <c r="D82" s="65"/>
    </row>
    <row r="83" spans="1:21" s="149" customFormat="1" ht="13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</row>
    <row r="84" spans="1:21">
      <c r="A84" s="65"/>
      <c r="D84" s="65"/>
    </row>
    <row r="85" spans="1:21">
      <c r="A85" s="65"/>
      <c r="D85" s="65"/>
    </row>
    <row r="86" spans="1:21" s="149" customFormat="1" ht="13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</row>
    <row r="87" spans="1:21">
      <c r="A87" s="65"/>
      <c r="D87" s="65"/>
    </row>
    <row r="88" spans="1:21">
      <c r="A88" s="65"/>
      <c r="D88" s="65"/>
    </row>
    <row r="89" spans="1:21" s="149" customFormat="1" ht="13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</row>
    <row r="90" spans="1:21">
      <c r="A90" s="65"/>
      <c r="D90" s="65"/>
    </row>
    <row r="91" spans="1:21">
      <c r="A91" s="65"/>
      <c r="D91" s="65"/>
    </row>
    <row r="92" spans="1:21" s="149" customFormat="1" ht="13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</row>
    <row r="93" spans="1:21">
      <c r="A93" s="65"/>
      <c r="D93" s="65"/>
    </row>
    <row r="94" spans="1:21">
      <c r="A94" s="65"/>
      <c r="D94" s="65"/>
    </row>
    <row r="95" spans="1:21" s="149" customFormat="1" ht="13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</row>
    <row r="96" spans="1:21">
      <c r="A96" s="65"/>
      <c r="D96" s="65"/>
    </row>
    <row r="97" spans="1:21">
      <c r="A97" s="65"/>
      <c r="D97" s="65"/>
    </row>
    <row r="98" spans="1:21" s="149" customFormat="1" ht="13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</row>
    <row r="99" spans="1:21">
      <c r="A99" s="65"/>
      <c r="D99" s="65"/>
    </row>
    <row r="100" spans="1:21">
      <c r="A100" s="65"/>
      <c r="D100" s="65"/>
    </row>
    <row r="101" spans="1:21" s="149" customFormat="1" ht="13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</row>
    <row r="102" spans="1:21">
      <c r="A102" s="65"/>
      <c r="D102" s="65"/>
    </row>
    <row r="103" spans="1:21">
      <c r="A103" s="65"/>
      <c r="D103" s="65"/>
    </row>
    <row r="104" spans="1:21" s="149" customFormat="1" ht="13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</row>
    <row r="105" spans="1:21">
      <c r="A105" s="65"/>
      <c r="D105" s="65"/>
    </row>
    <row r="106" spans="1:21">
      <c r="A106" s="65"/>
      <c r="D106" s="65"/>
    </row>
    <row r="107" spans="1:21" s="149" customFormat="1" ht="13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</row>
    <row r="108" spans="1:21">
      <c r="A108" s="65"/>
      <c r="D108" s="65"/>
    </row>
    <row r="109" spans="1:21">
      <c r="A109" s="65"/>
      <c r="D109" s="65"/>
    </row>
    <row r="110" spans="1:21" s="149" customFormat="1" ht="13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</row>
    <row r="111" spans="1:21">
      <c r="A111" s="65"/>
      <c r="D111" s="65"/>
    </row>
    <row r="112" spans="1:21">
      <c r="A112" s="65"/>
      <c r="D112" s="65"/>
    </row>
    <row r="113" spans="1:21" s="149" customFormat="1" ht="13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</row>
    <row r="114" spans="1:21">
      <c r="A114" s="65"/>
      <c r="D114" s="65"/>
    </row>
    <row r="115" spans="1:21">
      <c r="A115" s="65"/>
      <c r="D115" s="65"/>
    </row>
    <row r="116" spans="1:21" s="149" customFormat="1" ht="13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</row>
    <row r="117" spans="1:21">
      <c r="A117" s="65"/>
      <c r="D117" s="65"/>
    </row>
    <row r="118" spans="1:21">
      <c r="A118" s="65"/>
      <c r="D118" s="65"/>
    </row>
    <row r="119" spans="1:21" s="149" customFormat="1" ht="13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</row>
    <row r="120" spans="1:21">
      <c r="A120" s="65"/>
      <c r="D120" s="65"/>
    </row>
    <row r="121" spans="1:21">
      <c r="A121" s="65"/>
      <c r="D121" s="65"/>
    </row>
    <row r="122" spans="1:21" s="149" customFormat="1" ht="13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</row>
    <row r="123" spans="1:21">
      <c r="A123" s="65"/>
      <c r="D123" s="65"/>
    </row>
    <row r="124" spans="1:21">
      <c r="A124" s="65"/>
      <c r="D124" s="65"/>
    </row>
    <row r="125" spans="1:21" s="149" customFormat="1" ht="13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</row>
    <row r="126" spans="1:21">
      <c r="A126" s="65"/>
      <c r="D126" s="65"/>
    </row>
    <row r="127" spans="1:21">
      <c r="A127" s="65"/>
      <c r="D127" s="65"/>
    </row>
    <row r="128" spans="1:21" s="149" customFormat="1" ht="13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</row>
    <row r="129" spans="1:21">
      <c r="A129" s="65"/>
      <c r="D129" s="65"/>
    </row>
    <row r="130" spans="1:21">
      <c r="A130" s="65"/>
      <c r="D130" s="65"/>
    </row>
    <row r="131" spans="1:21" s="149" customFormat="1" ht="13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</row>
    <row r="132" spans="1:21">
      <c r="A132" s="65"/>
      <c r="D132" s="65"/>
    </row>
    <row r="133" spans="1:21">
      <c r="A133" s="65"/>
      <c r="D133" s="65"/>
    </row>
    <row r="134" spans="1:21" s="149" customFormat="1" ht="13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</row>
    <row r="135" spans="1:21">
      <c r="A135" s="65"/>
      <c r="D135" s="65"/>
    </row>
    <row r="136" spans="1:21">
      <c r="A136" s="65"/>
      <c r="D136" s="65"/>
    </row>
    <row r="137" spans="1:21" s="149" customFormat="1" ht="13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</row>
    <row r="138" spans="1:21">
      <c r="A138" s="65"/>
      <c r="D138" s="65"/>
    </row>
    <row r="139" spans="1:21">
      <c r="A139" s="65"/>
      <c r="D139" s="65"/>
    </row>
    <row r="140" spans="1:21" s="149" customFormat="1" ht="13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</row>
    <row r="141" spans="1:21">
      <c r="A141" s="65"/>
      <c r="D141" s="65"/>
    </row>
    <row r="142" spans="1:21">
      <c r="A142" s="65"/>
      <c r="D142" s="65"/>
    </row>
    <row r="143" spans="1:21" s="149" customFormat="1" ht="13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</row>
    <row r="144" spans="1:21">
      <c r="A144" s="65"/>
      <c r="D144" s="65"/>
    </row>
    <row r="145" spans="1:21">
      <c r="A145" s="65"/>
      <c r="D145" s="65"/>
    </row>
    <row r="146" spans="1:21" s="149" customFormat="1" ht="13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</row>
    <row r="147" spans="1:21">
      <c r="A147" s="65"/>
      <c r="D147" s="65"/>
    </row>
    <row r="148" spans="1:21">
      <c r="A148" s="65"/>
      <c r="D148" s="65"/>
    </row>
    <row r="149" spans="1:21" s="149" customFormat="1" ht="13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</row>
    <row r="150" spans="1:21">
      <c r="A150" s="65"/>
      <c r="D150" s="65"/>
    </row>
    <row r="151" spans="1:21">
      <c r="A151" s="65"/>
      <c r="D151" s="65"/>
    </row>
    <row r="152" spans="1:21" s="149" customFormat="1" ht="13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</row>
    <row r="153" spans="1:21">
      <c r="A153" s="65"/>
      <c r="D153" s="65"/>
    </row>
    <row r="154" spans="1:21">
      <c r="A154" s="65"/>
      <c r="D154" s="65"/>
    </row>
    <row r="155" spans="1:21" s="149" customFormat="1" ht="13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</row>
    <row r="156" spans="1:21">
      <c r="A156" s="65"/>
      <c r="D156" s="65"/>
    </row>
    <row r="157" spans="1:21">
      <c r="A157" s="65"/>
      <c r="D157" s="65"/>
    </row>
    <row r="158" spans="1:21" s="149" customFormat="1" ht="13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</row>
    <row r="159" spans="1:21">
      <c r="A159" s="65"/>
      <c r="D159" s="65"/>
    </row>
    <row r="160" spans="1:21">
      <c r="A160" s="65"/>
      <c r="D160" s="65"/>
    </row>
    <row r="161" spans="1:21" s="149" customFormat="1" ht="13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</row>
    <row r="162" spans="1:21">
      <c r="A162" s="65"/>
      <c r="D162" s="65"/>
    </row>
    <row r="163" spans="1:21">
      <c r="A163" s="65"/>
      <c r="D163" s="65"/>
    </row>
    <row r="164" spans="1:21" s="149" customFormat="1" ht="13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</row>
    <row r="165" spans="1:21">
      <c r="A165" s="65"/>
      <c r="D165" s="65"/>
    </row>
    <row r="166" spans="1:21">
      <c r="A166" s="65"/>
      <c r="D166" s="65"/>
    </row>
    <row r="167" spans="1:21" s="149" customFormat="1" ht="13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</row>
    <row r="168" spans="1:21">
      <c r="A168" s="65"/>
      <c r="D168" s="65"/>
    </row>
    <row r="169" spans="1:21">
      <c r="A169" s="65"/>
      <c r="D169" s="65"/>
    </row>
    <row r="170" spans="1:21" s="149" customFormat="1" ht="13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</row>
    <row r="171" spans="1:21">
      <c r="A171" s="65"/>
      <c r="D171" s="65"/>
    </row>
    <row r="172" spans="1:21">
      <c r="A172" s="65"/>
      <c r="D172" s="65"/>
    </row>
    <row r="173" spans="1:21" s="149" customFormat="1" ht="13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</row>
    <row r="174" spans="1:21">
      <c r="A174" s="65"/>
      <c r="D174" s="65"/>
    </row>
    <row r="175" spans="1:21">
      <c r="A175" s="65"/>
      <c r="D175" s="65"/>
    </row>
    <row r="176" spans="1:21" s="149" customFormat="1" ht="13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</row>
    <row r="177" spans="1:21">
      <c r="A177" s="65"/>
      <c r="D177" s="65"/>
    </row>
    <row r="178" spans="1:21">
      <c r="A178" s="65"/>
      <c r="D178" s="65"/>
    </row>
    <row r="179" spans="1:21" s="149" customFormat="1" ht="13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</row>
    <row r="180" spans="1:21">
      <c r="A180" s="65"/>
      <c r="D180" s="65"/>
    </row>
    <row r="181" spans="1:21">
      <c r="A181" s="65"/>
      <c r="D181" s="65"/>
    </row>
    <row r="182" spans="1:21" s="149" customFormat="1" ht="13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</row>
    <row r="183" spans="1:21">
      <c r="A183" s="65"/>
      <c r="D183" s="65"/>
    </row>
    <row r="184" spans="1:21">
      <c r="A184" s="65"/>
      <c r="D184" s="65"/>
    </row>
    <row r="185" spans="1:21" s="149" customFormat="1" ht="13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</row>
    <row r="186" spans="1:21">
      <c r="A186" s="65"/>
      <c r="D186" s="65"/>
    </row>
    <row r="187" spans="1:21">
      <c r="A187" s="65"/>
      <c r="D187" s="65"/>
    </row>
    <row r="188" spans="1:21" s="149" customFormat="1" ht="13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</row>
    <row r="189" spans="1:21">
      <c r="A189" s="65"/>
      <c r="D189" s="65"/>
    </row>
    <row r="190" spans="1:21">
      <c r="A190" s="65"/>
      <c r="D190" s="65"/>
    </row>
    <row r="191" spans="1:21" s="149" customFormat="1" ht="13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</row>
    <row r="192" spans="1:21">
      <c r="A192" s="65"/>
      <c r="D192" s="65"/>
    </row>
    <row r="193" spans="1:21">
      <c r="A193" s="65"/>
      <c r="D193" s="65"/>
    </row>
    <row r="194" spans="1:21" s="149" customFormat="1" ht="13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</row>
    <row r="195" spans="1:21">
      <c r="A195" s="65"/>
      <c r="D195" s="65"/>
    </row>
    <row r="196" spans="1:21">
      <c r="A196" s="65"/>
      <c r="D196" s="65"/>
    </row>
    <row r="197" spans="1:21" s="149" customFormat="1" ht="13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</row>
    <row r="198" spans="1:21">
      <c r="A198" s="65"/>
      <c r="D198" s="65"/>
    </row>
    <row r="199" spans="1:21">
      <c r="A199" s="65"/>
      <c r="D199" s="65"/>
    </row>
    <row r="200" spans="1:21" s="149" customFormat="1" ht="13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</row>
    <row r="201" spans="1:21">
      <c r="A201" s="65"/>
      <c r="D201" s="65"/>
    </row>
    <row r="202" spans="1:21">
      <c r="A202" s="65"/>
      <c r="D202" s="65"/>
    </row>
    <row r="203" spans="1:21" s="149" customFormat="1" ht="13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</row>
    <row r="204" spans="1:21">
      <c r="A204" s="65"/>
      <c r="D204" s="65"/>
    </row>
    <row r="205" spans="1:21">
      <c r="A205" s="65"/>
      <c r="D205" s="65"/>
    </row>
    <row r="206" spans="1:21" s="149" customFormat="1" ht="13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</row>
    <row r="207" spans="1:21">
      <c r="A207" s="65"/>
      <c r="D207" s="65"/>
    </row>
    <row r="208" spans="1:21">
      <c r="A208" s="65"/>
      <c r="D208" s="65"/>
    </row>
    <row r="209" spans="1:21" s="149" customFormat="1" ht="13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</row>
    <row r="210" spans="1:21">
      <c r="A210" s="65"/>
      <c r="D210" s="65"/>
    </row>
    <row r="211" spans="1:21">
      <c r="A211" s="65"/>
      <c r="D211" s="65"/>
    </row>
    <row r="212" spans="1:21" s="149" customFormat="1" ht="13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</row>
    <row r="213" spans="1:21">
      <c r="A213" s="65"/>
      <c r="D213" s="65"/>
    </row>
    <row r="214" spans="1:21">
      <c r="A214" s="65"/>
      <c r="D214" s="65"/>
    </row>
    <row r="215" spans="1:21" s="149" customFormat="1" ht="13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</row>
    <row r="216" spans="1:21">
      <c r="A216" s="65"/>
      <c r="D216" s="65"/>
    </row>
    <row r="217" spans="1:21">
      <c r="A217" s="65"/>
      <c r="D217" s="65"/>
    </row>
    <row r="218" spans="1:21" s="149" customFormat="1" ht="13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</row>
    <row r="219" spans="1:21">
      <c r="A219" s="65"/>
      <c r="D219" s="65"/>
    </row>
    <row r="220" spans="1:21">
      <c r="A220" s="65"/>
      <c r="D220" s="65"/>
    </row>
    <row r="221" spans="1:21" s="149" customFormat="1" ht="13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</row>
    <row r="222" spans="1:21">
      <c r="A222" s="65"/>
      <c r="D222" s="65"/>
    </row>
    <row r="223" spans="1:21">
      <c r="A223" s="65"/>
      <c r="D223" s="65"/>
    </row>
    <row r="224" spans="1:21" s="149" customFormat="1" ht="13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</row>
    <row r="225" spans="1:21">
      <c r="A225" s="65"/>
      <c r="D225" s="65"/>
    </row>
    <row r="226" spans="1:21">
      <c r="A226" s="65"/>
      <c r="D226" s="65"/>
    </row>
    <row r="227" spans="1:21" s="149" customFormat="1" ht="13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</row>
    <row r="228" spans="1:21">
      <c r="A228" s="65"/>
      <c r="D228" s="65"/>
    </row>
    <row r="229" spans="1:21">
      <c r="A229" s="65"/>
      <c r="D229" s="65"/>
    </row>
    <row r="230" spans="1:21" s="149" customFormat="1" ht="13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</row>
    <row r="231" spans="1:21">
      <c r="A231" s="65"/>
      <c r="D231" s="65"/>
    </row>
    <row r="232" spans="1:21">
      <c r="A232" s="65"/>
      <c r="D232" s="65"/>
    </row>
    <row r="233" spans="1:21" s="149" customFormat="1" ht="13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</row>
    <row r="234" spans="1:21">
      <c r="A234" s="65"/>
      <c r="D234" s="65"/>
    </row>
    <row r="235" spans="1:21">
      <c r="A235" s="65"/>
      <c r="D235" s="65"/>
    </row>
    <row r="236" spans="1:21" s="149" customFormat="1" ht="13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</row>
    <row r="237" spans="1:21">
      <c r="A237" s="65"/>
      <c r="D237" s="65"/>
    </row>
    <row r="238" spans="1:21">
      <c r="A238" s="65"/>
      <c r="D238" s="65"/>
    </row>
    <row r="239" spans="1:21" s="149" customFormat="1" ht="13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</row>
    <row r="240" spans="1:21">
      <c r="A240" s="65"/>
      <c r="D240" s="65"/>
    </row>
    <row r="241" spans="1:21">
      <c r="A241" s="65"/>
      <c r="D241" s="65"/>
    </row>
    <row r="242" spans="1:21" s="149" customFormat="1" ht="13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</row>
    <row r="243" spans="1:21">
      <c r="A243" s="65"/>
      <c r="D243" s="65"/>
    </row>
    <row r="244" spans="1:21">
      <c r="A244" s="65"/>
      <c r="D244" s="65"/>
    </row>
    <row r="245" spans="1:21" s="149" customFormat="1" ht="13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</row>
    <row r="246" spans="1:21">
      <c r="A246" s="65"/>
      <c r="D246" s="65"/>
    </row>
    <row r="247" spans="1:21">
      <c r="A247" s="65"/>
      <c r="D247" s="65"/>
    </row>
    <row r="248" spans="1:21" s="149" customFormat="1" ht="13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</row>
    <row r="249" spans="1:21">
      <c r="A249" s="65"/>
      <c r="D249" s="65"/>
    </row>
    <row r="250" spans="1:21">
      <c r="A250" s="65"/>
      <c r="D250" s="65"/>
    </row>
    <row r="251" spans="1:21" s="149" customFormat="1" ht="13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</row>
    <row r="252" spans="1:21">
      <c r="A252" s="65"/>
      <c r="D252" s="65"/>
    </row>
    <row r="253" spans="1:21">
      <c r="A253" s="65"/>
      <c r="D253" s="65"/>
    </row>
    <row r="254" spans="1:21" s="149" customFormat="1" ht="13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</row>
    <row r="255" spans="1:21">
      <c r="A255" s="65"/>
      <c r="D255" s="65"/>
    </row>
    <row r="256" spans="1:21">
      <c r="A256" s="65"/>
      <c r="D256" s="65"/>
    </row>
    <row r="257" spans="1:21" s="149" customFormat="1" ht="13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</row>
    <row r="258" spans="1:21">
      <c r="A258" s="65"/>
      <c r="D258" s="65"/>
    </row>
    <row r="259" spans="1:21">
      <c r="A259" s="65"/>
      <c r="D259" s="65"/>
    </row>
    <row r="260" spans="1:21" s="149" customFormat="1" ht="13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</row>
    <row r="261" spans="1:21">
      <c r="A261" s="65"/>
      <c r="D261" s="65"/>
    </row>
    <row r="262" spans="1:21">
      <c r="A262" s="65"/>
      <c r="D262" s="65"/>
    </row>
    <row r="263" spans="1:21" s="149" customFormat="1" ht="13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</row>
    <row r="264" spans="1:21">
      <c r="A264" s="65"/>
      <c r="D264" s="65"/>
    </row>
    <row r="265" spans="1:21">
      <c r="A265" s="65"/>
      <c r="D265" s="65"/>
    </row>
    <row r="266" spans="1:21" s="149" customFormat="1" ht="13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</row>
    <row r="267" spans="1:21">
      <c r="A267" s="65"/>
      <c r="D267" s="65"/>
    </row>
    <row r="268" spans="1:21">
      <c r="A268" s="65"/>
      <c r="D268" s="65"/>
    </row>
    <row r="269" spans="1:21" s="149" customFormat="1" ht="13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</row>
    <row r="270" spans="1:21">
      <c r="A270" s="65"/>
      <c r="D270" s="65"/>
    </row>
    <row r="271" spans="1:21">
      <c r="A271" s="65"/>
      <c r="D271" s="65"/>
    </row>
    <row r="272" spans="1:21" s="149" customFormat="1" ht="13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</row>
    <row r="273" spans="1:21">
      <c r="A273" s="65"/>
      <c r="D273" s="65"/>
    </row>
    <row r="274" spans="1:21">
      <c r="A274" s="65"/>
      <c r="D274" s="65"/>
    </row>
    <row r="275" spans="1:21" s="149" customFormat="1" ht="13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</row>
    <row r="276" spans="1:21">
      <c r="A276" s="65"/>
      <c r="D276" s="65"/>
    </row>
    <row r="277" spans="1:21">
      <c r="A277" s="65"/>
      <c r="D277" s="65"/>
    </row>
    <row r="278" spans="1:21" s="149" customFormat="1" ht="13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</row>
    <row r="279" spans="1:21">
      <c r="A279" s="65"/>
      <c r="D279" s="65"/>
    </row>
    <row r="280" spans="1:21">
      <c r="A280" s="65"/>
      <c r="D280" s="65"/>
    </row>
    <row r="281" spans="1:21" s="149" customFormat="1" ht="13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</row>
    <row r="282" spans="1:21">
      <c r="A282" s="65"/>
      <c r="D282" s="65"/>
    </row>
    <row r="283" spans="1:21">
      <c r="A283" s="65"/>
      <c r="D283" s="65"/>
    </row>
    <row r="284" spans="1:21" s="149" customFormat="1" ht="13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</row>
    <row r="285" spans="1:21">
      <c r="A285" s="65"/>
      <c r="D285" s="65"/>
    </row>
    <row r="286" spans="1:21">
      <c r="A286" s="65"/>
      <c r="D286" s="65"/>
    </row>
    <row r="287" spans="1:21" s="149" customFormat="1" ht="13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</row>
    <row r="288" spans="1:21">
      <c r="A288" s="65"/>
      <c r="D288" s="65"/>
    </row>
    <row r="289" spans="1:21">
      <c r="A289" s="65"/>
      <c r="D289" s="65"/>
    </row>
    <row r="290" spans="1:21" s="149" customFormat="1" ht="13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</row>
    <row r="291" spans="1:21">
      <c r="A291" s="65"/>
      <c r="D291" s="65"/>
    </row>
    <row r="292" spans="1:21">
      <c r="A292" s="65"/>
      <c r="D292" s="65"/>
    </row>
    <row r="293" spans="1:21" s="149" customFormat="1" ht="13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</row>
    <row r="294" spans="1:21">
      <c r="A294" s="65"/>
      <c r="D294" s="65"/>
    </row>
    <row r="295" spans="1:21">
      <c r="A295" s="65"/>
      <c r="D295" s="65"/>
    </row>
    <row r="296" spans="1:21" s="149" customFormat="1" ht="13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</row>
    <row r="297" spans="1:21">
      <c r="A297" s="65"/>
      <c r="D297" s="65"/>
    </row>
    <row r="298" spans="1:21">
      <c r="A298" s="65"/>
      <c r="D298" s="65"/>
    </row>
    <row r="299" spans="1:21" s="149" customFormat="1" ht="13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</row>
    <row r="300" spans="1:21">
      <c r="A300" s="65"/>
      <c r="D300" s="65"/>
    </row>
    <row r="301" spans="1:21">
      <c r="A301" s="65"/>
      <c r="D301" s="65"/>
    </row>
    <row r="302" spans="1:21" s="149" customFormat="1" ht="13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</row>
    <row r="303" spans="1:21">
      <c r="A303" s="65"/>
      <c r="D303" s="65"/>
    </row>
    <row r="304" spans="1:21">
      <c r="A304" s="65"/>
      <c r="D304" s="65"/>
    </row>
    <row r="305" spans="1:21" s="149" customFormat="1" ht="13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</row>
    <row r="306" spans="1:21">
      <c r="A306" s="65"/>
      <c r="D306" s="65"/>
    </row>
    <row r="307" spans="1:21">
      <c r="A307" s="65"/>
      <c r="D307" s="65"/>
    </row>
    <row r="308" spans="1:21" s="149" customFormat="1" ht="13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</row>
    <row r="309" spans="1:21">
      <c r="A309" s="65"/>
      <c r="D309" s="65"/>
    </row>
    <row r="310" spans="1:21">
      <c r="A310" s="65"/>
      <c r="D310" s="65"/>
    </row>
    <row r="311" spans="1:21" s="149" customFormat="1" ht="13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</row>
    <row r="312" spans="1:21">
      <c r="A312" s="65"/>
      <c r="D312" s="65"/>
    </row>
    <row r="313" spans="1:21">
      <c r="A313" s="65"/>
      <c r="D313" s="65"/>
    </row>
    <row r="314" spans="1:21" s="149" customFormat="1" ht="13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</row>
    <row r="315" spans="1:21">
      <c r="A315" s="65"/>
      <c r="D315" s="65"/>
    </row>
    <row r="316" spans="1:21">
      <c r="A316" s="65"/>
      <c r="D316" s="65"/>
    </row>
    <row r="317" spans="1:21" s="149" customFormat="1" ht="13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</row>
    <row r="318" spans="1:21">
      <c r="A318" s="65"/>
      <c r="D318" s="65"/>
    </row>
    <row r="319" spans="1:21">
      <c r="A319" s="65"/>
      <c r="D319" s="65"/>
    </row>
    <row r="320" spans="1:21" s="149" customFormat="1" ht="13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</row>
    <row r="321" spans="1:21">
      <c r="A321" s="65"/>
      <c r="D321" s="65"/>
    </row>
    <row r="322" spans="1:21">
      <c r="A322" s="65"/>
      <c r="D322" s="65"/>
    </row>
    <row r="323" spans="1:21" s="149" customFormat="1" ht="13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</row>
    <row r="324" spans="1:21">
      <c r="A324" s="65"/>
      <c r="D324" s="65"/>
    </row>
    <row r="325" spans="1:21">
      <c r="A325" s="65"/>
      <c r="D325" s="65"/>
    </row>
    <row r="326" spans="1:21" s="149" customFormat="1" ht="13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</row>
    <row r="327" spans="1:21">
      <c r="A327" s="65"/>
      <c r="D327" s="65"/>
    </row>
    <row r="328" spans="1:21">
      <c r="A328" s="65"/>
      <c r="D328" s="65"/>
    </row>
    <row r="329" spans="1:21" s="149" customFormat="1" ht="13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</row>
    <row r="330" spans="1:21">
      <c r="A330" s="65"/>
      <c r="D330" s="65"/>
    </row>
    <row r="331" spans="1:21">
      <c r="A331" s="65"/>
      <c r="D331" s="65"/>
    </row>
    <row r="332" spans="1:21" s="149" customFormat="1" ht="13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</row>
    <row r="333" spans="1:21">
      <c r="A333" s="65"/>
      <c r="D333" s="65"/>
    </row>
    <row r="334" spans="1:21">
      <c r="A334" s="65"/>
      <c r="D334" s="65"/>
    </row>
    <row r="335" spans="1:21" s="149" customFormat="1" ht="13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</row>
    <row r="336" spans="1:21">
      <c r="A336" s="65"/>
      <c r="D336" s="65"/>
    </row>
    <row r="337" spans="1:21">
      <c r="A337" s="65"/>
      <c r="D337" s="65"/>
    </row>
    <row r="338" spans="1:21" s="149" customFormat="1" ht="13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</row>
    <row r="339" spans="1:21">
      <c r="A339" s="65"/>
      <c r="D339" s="65"/>
    </row>
    <row r="340" spans="1:21">
      <c r="A340" s="65"/>
      <c r="D340" s="65"/>
    </row>
    <row r="341" spans="1:21" s="149" customFormat="1" ht="13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</row>
    <row r="342" spans="1:21">
      <c r="A342" s="65"/>
      <c r="D342" s="65"/>
    </row>
    <row r="343" spans="1:21">
      <c r="A343" s="65"/>
      <c r="D343" s="65"/>
    </row>
    <row r="344" spans="1:21" s="149" customFormat="1" ht="13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</row>
    <row r="345" spans="1:21">
      <c r="A345" s="65"/>
      <c r="D345" s="65"/>
    </row>
    <row r="346" spans="1:21">
      <c r="A346" s="65"/>
      <c r="D346" s="65"/>
    </row>
    <row r="347" spans="1:21" s="149" customFormat="1" ht="13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</row>
    <row r="348" spans="1:21">
      <c r="A348" s="65"/>
      <c r="D348" s="65"/>
    </row>
    <row r="349" spans="1:21">
      <c r="A349" s="65"/>
      <c r="D349" s="65"/>
    </row>
    <row r="350" spans="1:21" s="149" customFormat="1" ht="13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</row>
    <row r="351" spans="1:21">
      <c r="A351" s="65"/>
      <c r="D351" s="65"/>
    </row>
    <row r="352" spans="1:21">
      <c r="A352" s="65"/>
      <c r="D352" s="65"/>
    </row>
    <row r="353" spans="1:21" s="149" customFormat="1" ht="13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</row>
    <row r="354" spans="1:21">
      <c r="A354" s="65"/>
      <c r="D354" s="65"/>
    </row>
    <row r="355" spans="1:21">
      <c r="A355" s="65"/>
      <c r="D355" s="65"/>
    </row>
    <row r="356" spans="1:21" s="149" customFormat="1" ht="13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</row>
    <row r="357" spans="1:21">
      <c r="A357" s="65"/>
      <c r="D357" s="65"/>
    </row>
    <row r="358" spans="1:21">
      <c r="A358" s="65"/>
      <c r="D358" s="65"/>
    </row>
    <row r="359" spans="1:21" s="149" customFormat="1" ht="13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</row>
    <row r="360" spans="1:21">
      <c r="A360" s="65"/>
      <c r="D360" s="65"/>
    </row>
    <row r="361" spans="1:21">
      <c r="A361" s="65"/>
      <c r="D361" s="65"/>
    </row>
    <row r="362" spans="1:21" s="149" customFormat="1" ht="13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</row>
    <row r="363" spans="1:21">
      <c r="A363" s="65"/>
      <c r="D363" s="65"/>
    </row>
    <row r="364" spans="1:21">
      <c r="A364" s="65"/>
      <c r="D364" s="65"/>
    </row>
    <row r="365" spans="1:21" s="149" customFormat="1" ht="13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</row>
    <row r="366" spans="1:21">
      <c r="A366" s="65"/>
      <c r="D366" s="65"/>
    </row>
    <row r="367" spans="1:21">
      <c r="A367" s="65"/>
      <c r="D367" s="65"/>
    </row>
    <row r="368" spans="1:21" s="149" customFormat="1" ht="13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</row>
    <row r="369" spans="1:21">
      <c r="A369" s="65"/>
      <c r="D369" s="65"/>
    </row>
    <row r="370" spans="1:21">
      <c r="A370" s="65"/>
      <c r="D370" s="65"/>
    </row>
    <row r="371" spans="1:21" s="149" customFormat="1" ht="13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</row>
    <row r="372" spans="1:21">
      <c r="A372" s="65"/>
      <c r="D372" s="65"/>
    </row>
    <row r="373" spans="1:21">
      <c r="A373" s="65"/>
      <c r="D373" s="65"/>
    </row>
    <row r="374" spans="1:21" s="149" customFormat="1" ht="13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</row>
    <row r="375" spans="1:21">
      <c r="A375" s="65"/>
      <c r="D375" s="65"/>
    </row>
    <row r="376" spans="1:21">
      <c r="A376" s="65"/>
      <c r="D376" s="65"/>
    </row>
    <row r="377" spans="1:21" s="149" customFormat="1" ht="13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</row>
    <row r="378" spans="1:21">
      <c r="A378" s="65"/>
      <c r="D378" s="65"/>
    </row>
    <row r="379" spans="1:21">
      <c r="A379" s="65"/>
      <c r="D379" s="65"/>
    </row>
    <row r="380" spans="1:21" s="149" customFormat="1" ht="13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</row>
    <row r="381" spans="1:21">
      <c r="A381" s="65"/>
      <c r="D381" s="65"/>
    </row>
    <row r="382" spans="1:21">
      <c r="A382" s="65"/>
      <c r="D382" s="65"/>
    </row>
    <row r="383" spans="1:21" s="149" customFormat="1" ht="13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</row>
    <row r="384" spans="1:21">
      <c r="A384" s="65"/>
      <c r="D384" s="65"/>
    </row>
    <row r="385" spans="1:21">
      <c r="A385" s="65"/>
      <c r="D385" s="65"/>
    </row>
    <row r="386" spans="1:21" s="149" customFormat="1" ht="13">
      <c r="A386" s="65"/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</row>
    <row r="387" spans="1:21">
      <c r="A387" s="65"/>
      <c r="D387" s="65"/>
    </row>
    <row r="388" spans="1:21">
      <c r="A388" s="65"/>
      <c r="D388" s="65"/>
    </row>
    <row r="389" spans="1:21" s="149" customFormat="1" ht="13">
      <c r="A389" s="65"/>
      <c r="B389" s="65"/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</row>
    <row r="390" spans="1:21">
      <c r="A390" s="65"/>
      <c r="D390" s="65"/>
    </row>
    <row r="391" spans="1:21">
      <c r="A391" s="65"/>
      <c r="D391" s="65"/>
    </row>
    <row r="392" spans="1:21" s="149" customFormat="1" ht="13">
      <c r="A392" s="65"/>
      <c r="B392" s="65"/>
      <c r="C392" s="65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</row>
    <row r="393" spans="1:21">
      <c r="A393" s="65"/>
      <c r="D393" s="65"/>
    </row>
    <row r="394" spans="1:21">
      <c r="A394" s="65"/>
      <c r="D394" s="65"/>
    </row>
    <row r="395" spans="1:21" s="149" customFormat="1" ht="13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</row>
    <row r="396" spans="1:21">
      <c r="A396" s="65"/>
      <c r="D396" s="65"/>
    </row>
    <row r="397" spans="1:21">
      <c r="A397" s="65"/>
      <c r="D397" s="65"/>
    </row>
    <row r="398" spans="1:21" s="149" customFormat="1" ht="13">
      <c r="A398" s="65"/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</row>
    <row r="399" spans="1:21">
      <c r="A399" s="65"/>
      <c r="D399" s="65"/>
    </row>
    <row r="400" spans="1:21">
      <c r="A400" s="65"/>
      <c r="D400" s="65"/>
    </row>
    <row r="401" spans="1:21" s="149" customFormat="1" ht="13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</row>
    <row r="402" spans="1:21">
      <c r="A402" s="65"/>
      <c r="D402" s="65"/>
    </row>
    <row r="403" spans="1:21">
      <c r="A403" s="65"/>
      <c r="D403" s="65"/>
    </row>
    <row r="404" spans="1:21" s="149" customFormat="1" ht="13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</row>
    <row r="405" spans="1:21">
      <c r="A405" s="65"/>
      <c r="D405" s="65"/>
    </row>
    <row r="406" spans="1:21">
      <c r="A406" s="65"/>
      <c r="D406" s="65"/>
    </row>
    <row r="407" spans="1:21" s="149" customFormat="1" ht="13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</row>
    <row r="408" spans="1:21">
      <c r="A408" s="65"/>
      <c r="D408" s="65"/>
    </row>
    <row r="409" spans="1:21">
      <c r="A409" s="65"/>
      <c r="D409" s="65"/>
    </row>
    <row r="410" spans="1:21" s="149" customFormat="1" ht="13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</row>
    <row r="411" spans="1:21">
      <c r="A411" s="65"/>
      <c r="D411" s="65"/>
    </row>
    <row r="412" spans="1:21">
      <c r="A412" s="65"/>
      <c r="D412" s="65"/>
    </row>
    <row r="413" spans="1:21" s="149" customFormat="1" ht="13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</row>
    <row r="414" spans="1:21">
      <c r="A414" s="65"/>
      <c r="D414" s="65"/>
    </row>
    <row r="415" spans="1:21">
      <c r="A415" s="65"/>
      <c r="D415" s="65"/>
    </row>
    <row r="416" spans="1:21" s="149" customFormat="1" ht="13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</row>
    <row r="417" spans="1:21">
      <c r="A417" s="65"/>
      <c r="D417" s="65"/>
    </row>
    <row r="418" spans="1:21">
      <c r="A418" s="65"/>
      <c r="D418" s="65"/>
    </row>
    <row r="419" spans="1:21" s="149" customFormat="1" ht="13">
      <c r="A419" s="65"/>
      <c r="B419" s="65"/>
      <c r="C419" s="65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</row>
    <row r="420" spans="1:21">
      <c r="A420" s="65"/>
      <c r="D420" s="65"/>
    </row>
    <row r="421" spans="1:21">
      <c r="A421" s="65"/>
      <c r="D421" s="65"/>
    </row>
    <row r="422" spans="1:21" s="149" customFormat="1" ht="13">
      <c r="A422" s="65"/>
      <c r="B422" s="65"/>
      <c r="C422" s="65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</row>
    <row r="423" spans="1:21">
      <c r="A423" s="65"/>
      <c r="D423" s="65"/>
    </row>
    <row r="424" spans="1:21">
      <c r="A424" s="65"/>
      <c r="D424" s="65"/>
    </row>
    <row r="425" spans="1:21" s="149" customFormat="1" ht="13">
      <c r="A425" s="65"/>
      <c r="B425" s="65"/>
      <c r="C425" s="65"/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</row>
    <row r="426" spans="1:21">
      <c r="A426" s="65"/>
      <c r="D426" s="65"/>
    </row>
    <row r="427" spans="1:21">
      <c r="A427" s="65"/>
      <c r="D427" s="65"/>
    </row>
    <row r="428" spans="1:21" s="149" customFormat="1" ht="13">
      <c r="A428" s="65"/>
      <c r="B428" s="65"/>
      <c r="C428" s="65"/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</row>
    <row r="429" spans="1:21">
      <c r="A429" s="65"/>
      <c r="D429" s="65"/>
    </row>
    <row r="430" spans="1:21">
      <c r="A430" s="65"/>
      <c r="D430" s="65"/>
    </row>
    <row r="431" spans="1:21" s="149" customFormat="1" ht="13">
      <c r="A431" s="65"/>
      <c r="B431" s="65"/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</row>
    <row r="432" spans="1:21">
      <c r="A432" s="65"/>
      <c r="D432" s="65"/>
    </row>
    <row r="433" spans="1:21">
      <c r="A433" s="65"/>
      <c r="D433" s="65"/>
    </row>
    <row r="434" spans="1:21" s="149" customFormat="1" ht="13">
      <c r="A434" s="65"/>
      <c r="B434" s="65"/>
      <c r="C434" s="65"/>
      <c r="D434" s="65"/>
      <c r="E434" s="65"/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</row>
    <row r="435" spans="1:21">
      <c r="A435" s="65"/>
      <c r="D435" s="65"/>
    </row>
    <row r="436" spans="1:21">
      <c r="A436" s="65"/>
      <c r="D436" s="65"/>
    </row>
    <row r="437" spans="1:21" s="149" customFormat="1" ht="13">
      <c r="A437" s="65"/>
      <c r="B437" s="65"/>
      <c r="C437" s="65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</row>
    <row r="438" spans="1:21">
      <c r="A438" s="65"/>
      <c r="D438" s="65"/>
    </row>
    <row r="439" spans="1:21">
      <c r="A439" s="65"/>
      <c r="D439" s="65"/>
    </row>
    <row r="440" spans="1:21" s="149" customFormat="1" ht="13">
      <c r="A440" s="65"/>
      <c r="B440" s="65"/>
      <c r="C440" s="65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</row>
    <row r="441" spans="1:21">
      <c r="A441" s="65"/>
      <c r="D441" s="65"/>
    </row>
    <row r="442" spans="1:21">
      <c r="A442" s="65"/>
      <c r="D442" s="65"/>
    </row>
    <row r="443" spans="1:21" s="149" customFormat="1" ht="13">
      <c r="A443" s="65"/>
      <c r="B443" s="65"/>
      <c r="C443" s="65"/>
      <c r="D443" s="65"/>
      <c r="E443" s="65"/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</row>
    <row r="444" spans="1:21">
      <c r="A444" s="65"/>
      <c r="D444" s="65"/>
    </row>
    <row r="445" spans="1:21">
      <c r="A445" s="65"/>
      <c r="D445" s="65"/>
    </row>
    <row r="446" spans="1:21" s="149" customFormat="1" ht="13">
      <c r="A446" s="65"/>
      <c r="B446" s="65"/>
      <c r="C446" s="65"/>
      <c r="D446" s="65"/>
      <c r="E446" s="65"/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</row>
    <row r="447" spans="1:21">
      <c r="A447" s="65"/>
      <c r="D447" s="65"/>
    </row>
    <row r="448" spans="1:21">
      <c r="A448" s="65"/>
      <c r="D448" s="65"/>
    </row>
    <row r="449" spans="1:21" s="149" customFormat="1" ht="13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</row>
    <row r="450" spans="1:21">
      <c r="A450" s="65"/>
      <c r="D450" s="65"/>
    </row>
    <row r="451" spans="1:21">
      <c r="A451" s="65"/>
      <c r="D451" s="65"/>
    </row>
    <row r="452" spans="1:21" s="149" customFormat="1" ht="13">
      <c r="A452" s="65"/>
      <c r="B452" s="65"/>
      <c r="C452" s="65"/>
      <c r="D452" s="65"/>
      <c r="E452" s="65"/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</row>
    <row r="453" spans="1:21">
      <c r="A453" s="65"/>
      <c r="D453" s="65"/>
    </row>
    <row r="454" spans="1:21">
      <c r="A454" s="65"/>
      <c r="D454" s="65"/>
    </row>
    <row r="455" spans="1:21" s="149" customFormat="1" ht="13">
      <c r="A455" s="65"/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</row>
    <row r="456" spans="1:21">
      <c r="A456" s="65"/>
      <c r="D456" s="65"/>
    </row>
    <row r="457" spans="1:21">
      <c r="A457" s="65"/>
      <c r="D457" s="65"/>
    </row>
    <row r="458" spans="1:21" s="149" customFormat="1" ht="13">
      <c r="A458" s="65"/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</row>
    <row r="459" spans="1:21">
      <c r="A459" s="65"/>
      <c r="D459" s="65"/>
    </row>
    <row r="460" spans="1:21">
      <c r="A460" s="65"/>
      <c r="D460" s="65"/>
    </row>
    <row r="461" spans="1:21" s="149" customFormat="1" ht="13">
      <c r="A461" s="65"/>
      <c r="B461" s="65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</row>
    <row r="462" spans="1:21">
      <c r="A462" s="65"/>
      <c r="D462" s="65"/>
    </row>
    <row r="463" spans="1:21">
      <c r="A463" s="65"/>
      <c r="D463" s="65"/>
    </row>
    <row r="464" spans="1:21" s="149" customFormat="1" ht="13">
      <c r="A464" s="65"/>
      <c r="B464" s="65"/>
      <c r="C464" s="65"/>
      <c r="D464" s="65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</row>
    <row r="465" spans="1:21">
      <c r="A465" s="65"/>
      <c r="D465" s="65"/>
    </row>
    <row r="466" spans="1:21">
      <c r="A466" s="65"/>
      <c r="D466" s="65"/>
    </row>
    <row r="467" spans="1:21" s="149" customFormat="1" ht="13">
      <c r="A467" s="65"/>
      <c r="B467" s="65"/>
      <c r="C467" s="65"/>
      <c r="D467" s="65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</row>
    <row r="468" spans="1:21">
      <c r="A468" s="65"/>
      <c r="D468" s="65"/>
    </row>
    <row r="469" spans="1:21">
      <c r="A469" s="65"/>
      <c r="D469" s="65"/>
    </row>
    <row r="470" spans="1:21" s="149" customFormat="1" ht="13">
      <c r="A470" s="65"/>
      <c r="B470" s="65"/>
      <c r="C470" s="65"/>
      <c r="D470" s="65"/>
      <c r="E470" s="65"/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</row>
    <row r="471" spans="1:21">
      <c r="A471" s="65"/>
      <c r="D471" s="65"/>
    </row>
    <row r="472" spans="1:21">
      <c r="A472" s="65"/>
      <c r="D472" s="65"/>
    </row>
    <row r="473" spans="1:21" s="149" customFormat="1" ht="13">
      <c r="A473" s="65"/>
      <c r="B473" s="65"/>
      <c r="C473" s="65"/>
      <c r="D473" s="65"/>
      <c r="E473" s="65"/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</row>
    <row r="474" spans="1:21">
      <c r="A474" s="65"/>
      <c r="D474" s="65"/>
    </row>
    <row r="475" spans="1:21">
      <c r="A475" s="65"/>
      <c r="D475" s="65"/>
    </row>
    <row r="476" spans="1:21" s="149" customFormat="1" ht="13">
      <c r="A476" s="65"/>
      <c r="B476" s="65"/>
      <c r="C476" s="65"/>
      <c r="D476" s="65"/>
      <c r="E476" s="65"/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</row>
    <row r="477" spans="1:21">
      <c r="A477" s="65"/>
      <c r="D477" s="65"/>
    </row>
    <row r="478" spans="1:21">
      <c r="A478" s="65"/>
      <c r="D478" s="65"/>
    </row>
    <row r="479" spans="1:21" s="149" customFormat="1" ht="13">
      <c r="A479" s="65"/>
      <c r="B479" s="65"/>
      <c r="C479" s="65"/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</row>
    <row r="480" spans="1:21">
      <c r="A480" s="65"/>
      <c r="D480" s="65"/>
    </row>
    <row r="481" spans="1:21">
      <c r="A481" s="65"/>
      <c r="D481" s="65"/>
    </row>
    <row r="482" spans="1:21" s="149" customFormat="1" ht="13">
      <c r="A482" s="65"/>
      <c r="B482" s="65"/>
      <c r="C482" s="65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</row>
    <row r="483" spans="1:21">
      <c r="A483" s="65"/>
      <c r="D483" s="65"/>
    </row>
    <row r="484" spans="1:21">
      <c r="A484" s="65"/>
      <c r="D484" s="65"/>
    </row>
    <row r="485" spans="1:21" s="149" customFormat="1" ht="13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</row>
    <row r="486" spans="1:21">
      <c r="A486" s="65"/>
      <c r="D486" s="65"/>
    </row>
    <row r="487" spans="1:21">
      <c r="A487" s="65"/>
      <c r="D487" s="65"/>
    </row>
    <row r="488" spans="1:21" s="149" customFormat="1" ht="13">
      <c r="A488" s="65"/>
      <c r="B488" s="65"/>
      <c r="C488" s="65"/>
      <c r="D488" s="65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</row>
    <row r="489" spans="1:21">
      <c r="A489" s="65"/>
      <c r="D489" s="65"/>
    </row>
    <row r="490" spans="1:21">
      <c r="A490" s="65"/>
      <c r="D490" s="65"/>
    </row>
    <row r="491" spans="1:21" s="149" customFormat="1" ht="13">
      <c r="A491" s="65"/>
      <c r="B491" s="65"/>
      <c r="C491" s="65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</row>
    <row r="492" spans="1:21">
      <c r="A492" s="65"/>
      <c r="D492" s="65"/>
    </row>
    <row r="493" spans="1:21">
      <c r="A493" s="65"/>
      <c r="D493" s="65"/>
    </row>
    <row r="494" spans="1:21" s="149" customFormat="1" ht="13">
      <c r="A494" s="65"/>
      <c r="B494" s="65"/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</row>
    <row r="495" spans="1:21">
      <c r="A495" s="65"/>
      <c r="D495" s="65"/>
    </row>
    <row r="496" spans="1:21">
      <c r="A496" s="65"/>
      <c r="D496" s="65"/>
    </row>
    <row r="497" spans="1:21" s="149" customFormat="1" ht="13">
      <c r="A497" s="65"/>
      <c r="B497" s="65"/>
      <c r="C497" s="65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</row>
    <row r="498" spans="1:21">
      <c r="A498" s="65"/>
      <c r="D498" s="65"/>
    </row>
    <row r="499" spans="1:21">
      <c r="A499" s="65"/>
      <c r="D499" s="65"/>
    </row>
    <row r="500" spans="1:21" s="149" customFormat="1" ht="13">
      <c r="A500" s="65"/>
      <c r="B500" s="65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</row>
    <row r="501" spans="1:21">
      <c r="A501" s="65"/>
      <c r="D501" s="65"/>
    </row>
    <row r="502" spans="1:21">
      <c r="A502" s="65"/>
      <c r="D502" s="65"/>
    </row>
    <row r="503" spans="1:21" s="149" customFormat="1" ht="13">
      <c r="A503" s="65"/>
      <c r="B503" s="65"/>
      <c r="C503" s="65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</row>
    <row r="504" spans="1:21">
      <c r="A504" s="65"/>
      <c r="D504" s="65"/>
    </row>
    <row r="505" spans="1:21">
      <c r="A505" s="65"/>
      <c r="D505" s="65"/>
    </row>
    <row r="506" spans="1:21" s="149" customFormat="1" ht="13">
      <c r="A506" s="65"/>
      <c r="B506" s="65"/>
      <c r="C506" s="65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</row>
    <row r="507" spans="1:21">
      <c r="A507" s="65"/>
      <c r="D507" s="65"/>
    </row>
    <row r="508" spans="1:21">
      <c r="A508" s="65"/>
      <c r="D508" s="65"/>
    </row>
    <row r="509" spans="1:21" s="149" customFormat="1" ht="13">
      <c r="A509" s="65"/>
      <c r="B509" s="65"/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</row>
    <row r="510" spans="1:21">
      <c r="A510" s="65"/>
      <c r="D510" s="65"/>
    </row>
    <row r="511" spans="1:21">
      <c r="A511" s="65"/>
      <c r="D511" s="65"/>
    </row>
    <row r="512" spans="1:21" s="149" customFormat="1" ht="13">
      <c r="A512" s="65"/>
      <c r="B512" s="65"/>
      <c r="C512" s="65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</row>
    <row r="513" spans="1:21">
      <c r="A513" s="65"/>
      <c r="D513" s="65"/>
    </row>
    <row r="514" spans="1:21">
      <c r="A514" s="65"/>
      <c r="D514" s="65"/>
    </row>
    <row r="515" spans="1:21" s="149" customFormat="1" ht="13">
      <c r="A515" s="65"/>
      <c r="B515" s="65"/>
      <c r="C515" s="65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</row>
    <row r="516" spans="1:21">
      <c r="A516" s="65"/>
      <c r="D516" s="65"/>
    </row>
    <row r="517" spans="1:21">
      <c r="A517" s="65"/>
      <c r="D517" s="65"/>
    </row>
    <row r="518" spans="1:21" s="149" customFormat="1" ht="13">
      <c r="A518" s="65"/>
      <c r="B518" s="65"/>
      <c r="C518" s="65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</row>
    <row r="519" spans="1:21">
      <c r="A519" s="65"/>
      <c r="D519" s="65"/>
    </row>
    <row r="520" spans="1:21">
      <c r="A520" s="65"/>
      <c r="D520" s="65"/>
    </row>
    <row r="521" spans="1:21" s="149" customFormat="1" ht="13">
      <c r="A521" s="65"/>
      <c r="B521" s="65"/>
      <c r="C521" s="65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</row>
    <row r="522" spans="1:21">
      <c r="A522" s="65"/>
      <c r="D522" s="65"/>
    </row>
    <row r="523" spans="1:21">
      <c r="A523" s="65"/>
      <c r="D523" s="65"/>
    </row>
    <row r="524" spans="1:21" s="149" customFormat="1" ht="13">
      <c r="A524" s="65"/>
      <c r="B524" s="65"/>
      <c r="C524" s="65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</row>
    <row r="525" spans="1:21">
      <c r="A525" s="65"/>
      <c r="D525" s="65"/>
    </row>
    <row r="526" spans="1:21">
      <c r="A526" s="65"/>
      <c r="D526" s="65"/>
    </row>
    <row r="527" spans="1:21" s="149" customFormat="1" ht="13">
      <c r="A527" s="65"/>
      <c r="B527" s="65"/>
      <c r="C527" s="65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</row>
    <row r="528" spans="1:21">
      <c r="A528" s="65"/>
      <c r="D528" s="65"/>
    </row>
    <row r="529" spans="1:21">
      <c r="A529" s="65"/>
      <c r="D529" s="65"/>
    </row>
    <row r="530" spans="1:21" s="149" customFormat="1" ht="13">
      <c r="A530" s="65"/>
      <c r="B530" s="65"/>
      <c r="C530" s="65"/>
      <c r="D530" s="65"/>
      <c r="E530" s="65"/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</row>
    <row r="531" spans="1:21">
      <c r="A531" s="65"/>
      <c r="D531" s="65"/>
    </row>
    <row r="532" spans="1:21">
      <c r="A532" s="65"/>
      <c r="D532" s="65"/>
    </row>
    <row r="533" spans="1:21" s="149" customFormat="1" ht="13">
      <c r="A533" s="65"/>
      <c r="B533" s="65"/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</row>
    <row r="534" spans="1:21">
      <c r="A534" s="65"/>
      <c r="D534" s="65"/>
    </row>
    <row r="535" spans="1:21">
      <c r="A535" s="65"/>
      <c r="D535" s="65"/>
    </row>
    <row r="536" spans="1:21" s="149" customFormat="1" ht="13">
      <c r="A536" s="65"/>
      <c r="B536" s="65"/>
      <c r="C536" s="65"/>
      <c r="D536" s="65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</row>
    <row r="537" spans="1:21">
      <c r="A537" s="65"/>
      <c r="D537" s="65"/>
    </row>
    <row r="538" spans="1:21">
      <c r="A538" s="65"/>
      <c r="D538" s="65"/>
    </row>
    <row r="539" spans="1:21" s="149" customFormat="1" ht="13">
      <c r="A539" s="65"/>
      <c r="B539" s="65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</row>
    <row r="540" spans="1:21">
      <c r="A540" s="65"/>
      <c r="D540" s="65"/>
    </row>
    <row r="541" spans="1:21">
      <c r="A541" s="65"/>
      <c r="D541" s="65"/>
    </row>
    <row r="542" spans="1:21" s="149" customFormat="1" ht="13">
      <c r="A542" s="65"/>
      <c r="B542" s="65"/>
      <c r="C542" s="65"/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</row>
    <row r="543" spans="1:21">
      <c r="A543" s="65"/>
      <c r="D543" s="65"/>
    </row>
    <row r="544" spans="1:21">
      <c r="A544" s="65"/>
      <c r="D544" s="65"/>
    </row>
    <row r="545" spans="1:21" s="149" customFormat="1" ht="13">
      <c r="A545" s="65"/>
      <c r="B545" s="65"/>
      <c r="C545" s="65"/>
      <c r="D545" s="65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</row>
    <row r="546" spans="1:21">
      <c r="A546" s="65"/>
      <c r="D546" s="65"/>
    </row>
    <row r="547" spans="1:21">
      <c r="A547" s="65"/>
      <c r="D547" s="65"/>
    </row>
    <row r="548" spans="1:21" s="149" customFormat="1" ht="13">
      <c r="A548" s="65"/>
      <c r="B548" s="65"/>
      <c r="C548" s="65"/>
      <c r="D548" s="65"/>
      <c r="E548" s="65"/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</row>
    <row r="549" spans="1:21">
      <c r="A549" s="65"/>
      <c r="D549" s="65"/>
    </row>
    <row r="550" spans="1:21">
      <c r="A550" s="65"/>
      <c r="D550" s="65"/>
    </row>
    <row r="551" spans="1:21" s="149" customFormat="1" ht="13">
      <c r="A551" s="65"/>
      <c r="B551" s="65"/>
      <c r="C551" s="65"/>
      <c r="D551" s="65"/>
      <c r="E551" s="65"/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</row>
    <row r="552" spans="1:21">
      <c r="A552" s="65"/>
      <c r="D552" s="65"/>
    </row>
    <row r="553" spans="1:21">
      <c r="A553" s="65"/>
      <c r="D553" s="65"/>
    </row>
    <row r="554" spans="1:21" s="149" customFormat="1" ht="13">
      <c r="A554" s="65"/>
      <c r="B554" s="65"/>
      <c r="C554" s="65"/>
      <c r="D554" s="65"/>
      <c r="E554" s="65"/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</row>
    <row r="555" spans="1:21">
      <c r="A555" s="65"/>
      <c r="D555" s="65"/>
    </row>
    <row r="556" spans="1:21">
      <c r="A556" s="65"/>
      <c r="D556" s="65"/>
    </row>
    <row r="557" spans="1:21" s="149" customFormat="1" ht="13">
      <c r="A557" s="65"/>
      <c r="B557" s="65"/>
      <c r="C557" s="65"/>
      <c r="D557" s="65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</row>
    <row r="558" spans="1:21">
      <c r="A558" s="65"/>
      <c r="D558" s="65"/>
    </row>
    <row r="559" spans="1:21">
      <c r="A559" s="65"/>
      <c r="D559" s="65"/>
    </row>
    <row r="560" spans="1:21" s="149" customFormat="1" ht="13">
      <c r="A560" s="65"/>
      <c r="B560" s="65"/>
      <c r="C560" s="65"/>
      <c r="D560" s="65"/>
      <c r="E560" s="65"/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</row>
    <row r="561" spans="1:21">
      <c r="A561" s="65"/>
      <c r="D561" s="65"/>
    </row>
    <row r="562" spans="1:21">
      <c r="A562" s="65"/>
      <c r="D562" s="65"/>
    </row>
    <row r="563" spans="1:21" s="149" customFormat="1" ht="13">
      <c r="A563" s="65"/>
      <c r="B563" s="65"/>
      <c r="C563" s="65"/>
      <c r="D563" s="65"/>
      <c r="E563" s="65"/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</row>
    <row r="564" spans="1:21">
      <c r="A564" s="65"/>
      <c r="D564" s="65"/>
    </row>
    <row r="565" spans="1:21">
      <c r="A565" s="65"/>
      <c r="D565" s="65"/>
    </row>
    <row r="566" spans="1:21" s="149" customFormat="1" ht="13">
      <c r="A566" s="65"/>
      <c r="B566" s="65"/>
      <c r="C566" s="65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</row>
    <row r="567" spans="1:21">
      <c r="A567" s="65"/>
      <c r="D567" s="65"/>
    </row>
    <row r="568" spans="1:21">
      <c r="A568" s="65"/>
      <c r="D568" s="65"/>
    </row>
    <row r="569" spans="1:21" s="149" customFormat="1" ht="13">
      <c r="A569" s="65"/>
      <c r="B569" s="65"/>
      <c r="C569" s="65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</row>
    <row r="570" spans="1:21">
      <c r="A570" s="65"/>
      <c r="D570" s="65"/>
    </row>
    <row r="571" spans="1:21">
      <c r="A571" s="65"/>
      <c r="D571" s="65"/>
    </row>
    <row r="572" spans="1:21" s="149" customFormat="1" ht="13">
      <c r="A572" s="65"/>
      <c r="B572" s="65"/>
      <c r="C572" s="65"/>
      <c r="D572" s="65"/>
      <c r="E572" s="65"/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</row>
    <row r="573" spans="1:21">
      <c r="A573" s="65"/>
      <c r="D573" s="65"/>
    </row>
    <row r="574" spans="1:21">
      <c r="A574" s="65"/>
      <c r="D574" s="65"/>
    </row>
    <row r="575" spans="1:21" s="149" customFormat="1" ht="13">
      <c r="A575" s="65"/>
      <c r="B575" s="65"/>
      <c r="C575" s="65"/>
      <c r="D575" s="65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</row>
    <row r="576" spans="1:21">
      <c r="A576" s="65"/>
      <c r="D576" s="65"/>
    </row>
    <row r="577" spans="1:21">
      <c r="A577" s="65"/>
      <c r="D577" s="65"/>
    </row>
    <row r="578" spans="1:21" s="149" customFormat="1" ht="13">
      <c r="A578" s="65"/>
      <c r="B578" s="65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</row>
    <row r="579" spans="1:21">
      <c r="A579" s="65"/>
      <c r="D579" s="65"/>
    </row>
    <row r="580" spans="1:21">
      <c r="A580" s="65"/>
      <c r="D580" s="65"/>
    </row>
    <row r="581" spans="1:21" s="149" customFormat="1" ht="13">
      <c r="A581" s="65"/>
      <c r="B581" s="65"/>
      <c r="C581" s="65"/>
      <c r="D581" s="65"/>
      <c r="E581" s="65"/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</row>
    <row r="582" spans="1:21">
      <c r="A582" s="65"/>
      <c r="D582" s="65"/>
    </row>
    <row r="583" spans="1:21">
      <c r="A583" s="65"/>
      <c r="D583" s="65"/>
    </row>
    <row r="584" spans="1:21" s="149" customFormat="1" ht="13">
      <c r="A584" s="65"/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</row>
    <row r="585" spans="1:21">
      <c r="A585" s="65"/>
      <c r="D585" s="65"/>
    </row>
    <row r="586" spans="1:21">
      <c r="A586" s="65"/>
      <c r="D586" s="65"/>
    </row>
    <row r="587" spans="1:21" s="149" customFormat="1" ht="13">
      <c r="A587" s="65"/>
      <c r="B587" s="65"/>
      <c r="C587" s="65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</row>
    <row r="588" spans="1:21">
      <c r="A588" s="65"/>
      <c r="D588" s="65"/>
    </row>
    <row r="589" spans="1:21">
      <c r="A589" s="65"/>
      <c r="D589" s="65"/>
    </row>
    <row r="590" spans="1:21" s="149" customFormat="1" ht="13">
      <c r="A590" s="65"/>
      <c r="B590" s="65"/>
      <c r="C590" s="65"/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</row>
    <row r="591" spans="1:21">
      <c r="A591" s="65"/>
      <c r="D591" s="65"/>
    </row>
    <row r="592" spans="1:21">
      <c r="A592" s="65"/>
      <c r="D592" s="65"/>
    </row>
    <row r="593" spans="1:21" s="149" customFormat="1" ht="13">
      <c r="A593" s="65"/>
      <c r="B593" s="65"/>
      <c r="C593" s="65"/>
      <c r="D593" s="65"/>
      <c r="E593" s="65"/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</row>
    <row r="594" spans="1:21">
      <c r="A594" s="65"/>
      <c r="D594" s="65"/>
    </row>
    <row r="595" spans="1:21">
      <c r="A595" s="65"/>
      <c r="D595" s="65"/>
    </row>
    <row r="596" spans="1:21" s="149" customFormat="1" ht="13">
      <c r="A596" s="65"/>
      <c r="B596" s="65"/>
      <c r="C596" s="65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</row>
    <row r="597" spans="1:21">
      <c r="A597" s="65"/>
      <c r="D597" s="65"/>
    </row>
    <row r="598" spans="1:21">
      <c r="A598" s="65"/>
      <c r="D598" s="65"/>
    </row>
    <row r="599" spans="1:21" s="149" customFormat="1" ht="13">
      <c r="A599" s="65"/>
      <c r="B599" s="65"/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</row>
    <row r="600" spans="1:21">
      <c r="A600" s="65"/>
      <c r="D600" s="65"/>
    </row>
    <row r="601" spans="1:21">
      <c r="A601" s="65"/>
      <c r="D601" s="65"/>
    </row>
    <row r="602" spans="1:21" s="149" customFormat="1" ht="13">
      <c r="A602" s="65"/>
      <c r="B602" s="65"/>
      <c r="C602" s="65"/>
      <c r="D602" s="65"/>
      <c r="E602" s="65"/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</row>
    <row r="603" spans="1:21">
      <c r="A603" s="65"/>
      <c r="D603" s="65"/>
    </row>
    <row r="604" spans="1:21">
      <c r="A604" s="65"/>
      <c r="D604" s="65"/>
    </row>
    <row r="605" spans="1:21" s="149" customFormat="1" ht="13">
      <c r="A605" s="65"/>
      <c r="B605" s="65"/>
      <c r="C605" s="65"/>
      <c r="D605" s="65"/>
      <c r="E605" s="65"/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</row>
    <row r="606" spans="1:21">
      <c r="A606" s="65"/>
      <c r="D606" s="65"/>
    </row>
    <row r="607" spans="1:21">
      <c r="A607" s="65"/>
      <c r="D607" s="65"/>
    </row>
    <row r="608" spans="1:21" s="149" customFormat="1" ht="13">
      <c r="A608" s="65"/>
      <c r="B608" s="65"/>
      <c r="C608" s="65"/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</row>
    <row r="609" spans="1:21">
      <c r="A609" s="65"/>
      <c r="D609" s="65"/>
    </row>
    <row r="610" spans="1:21">
      <c r="A610" s="65"/>
      <c r="D610" s="65"/>
    </row>
    <row r="611" spans="1:21" s="149" customFormat="1" ht="13">
      <c r="A611" s="65"/>
      <c r="B611" s="65"/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</row>
    <row r="612" spans="1:21">
      <c r="A612" s="65"/>
      <c r="D612" s="65"/>
    </row>
    <row r="613" spans="1:21">
      <c r="A613" s="65"/>
      <c r="D613" s="65"/>
    </row>
    <row r="614" spans="1:21" s="149" customFormat="1" ht="13">
      <c r="A614" s="65"/>
      <c r="B614" s="65"/>
      <c r="C614" s="65"/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</row>
    <row r="615" spans="1:21">
      <c r="A615" s="65"/>
      <c r="D615" s="65"/>
    </row>
    <row r="616" spans="1:21">
      <c r="A616" s="65"/>
      <c r="D616" s="65"/>
    </row>
    <row r="617" spans="1:21" s="149" customFormat="1" ht="13">
      <c r="A617" s="65"/>
      <c r="B617" s="65"/>
      <c r="C617" s="65"/>
      <c r="D617" s="65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</row>
    <row r="618" spans="1:21">
      <c r="A618" s="65"/>
      <c r="D618" s="65"/>
    </row>
    <row r="619" spans="1:21">
      <c r="A619" s="65"/>
      <c r="D619" s="65"/>
    </row>
    <row r="620" spans="1:21" s="149" customFormat="1" ht="13">
      <c r="A620" s="65"/>
      <c r="B620" s="65"/>
      <c r="C620" s="65"/>
      <c r="D620" s="65"/>
      <c r="E620" s="65"/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</row>
    <row r="621" spans="1:21">
      <c r="A621" s="65"/>
      <c r="D621" s="65"/>
    </row>
    <row r="622" spans="1:21">
      <c r="A622" s="65"/>
      <c r="D622" s="65"/>
    </row>
    <row r="623" spans="1:21" s="149" customFormat="1" ht="13">
      <c r="A623" s="65"/>
      <c r="B623" s="65"/>
      <c r="C623" s="65"/>
      <c r="D623" s="65"/>
      <c r="E623" s="65"/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</row>
    <row r="624" spans="1:21">
      <c r="A624" s="65"/>
      <c r="D624" s="65"/>
    </row>
    <row r="625" spans="1:21">
      <c r="A625" s="65"/>
      <c r="D625" s="65"/>
    </row>
    <row r="626" spans="1:21" s="149" customFormat="1" ht="13">
      <c r="A626" s="65"/>
      <c r="B626" s="65"/>
      <c r="C626" s="65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</row>
    <row r="627" spans="1:21">
      <c r="A627" s="65"/>
      <c r="D627" s="65"/>
    </row>
    <row r="628" spans="1:21">
      <c r="A628" s="65"/>
      <c r="D628" s="65"/>
    </row>
    <row r="629" spans="1:21" s="149" customFormat="1" ht="13">
      <c r="A629" s="65"/>
      <c r="B629" s="65"/>
      <c r="C629" s="65"/>
      <c r="D629" s="65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</row>
    <row r="630" spans="1:21">
      <c r="A630" s="65"/>
      <c r="D630" s="65"/>
    </row>
    <row r="631" spans="1:21">
      <c r="A631" s="65"/>
      <c r="D631" s="65"/>
    </row>
    <row r="632" spans="1:21" s="149" customFormat="1" ht="13">
      <c r="A632" s="65"/>
      <c r="B632" s="65"/>
      <c r="C632" s="65"/>
      <c r="D632" s="65"/>
      <c r="E632" s="65"/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</row>
    <row r="633" spans="1:21">
      <c r="A633" s="65"/>
      <c r="D633" s="65"/>
    </row>
    <row r="634" spans="1:21">
      <c r="A634" s="65"/>
      <c r="D634" s="65"/>
    </row>
    <row r="635" spans="1:21" s="149" customFormat="1" ht="13">
      <c r="A635" s="65"/>
      <c r="B635" s="65"/>
      <c r="C635" s="65"/>
      <c r="D635" s="65"/>
      <c r="E635" s="65"/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</row>
    <row r="636" spans="1:21">
      <c r="A636" s="65"/>
      <c r="D636" s="65"/>
    </row>
    <row r="637" spans="1:21">
      <c r="A637" s="65"/>
      <c r="D637" s="65"/>
    </row>
    <row r="638" spans="1:21" s="149" customFormat="1" ht="13">
      <c r="A638" s="65"/>
      <c r="B638" s="65"/>
      <c r="C638" s="65"/>
      <c r="D638" s="65"/>
      <c r="E638" s="65"/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</row>
    <row r="639" spans="1:21">
      <c r="A639" s="65"/>
      <c r="D639" s="65"/>
    </row>
    <row r="640" spans="1:21">
      <c r="A640" s="65"/>
      <c r="D640" s="65"/>
    </row>
    <row r="641" spans="1:21" s="149" customFormat="1" ht="13">
      <c r="A641" s="65"/>
      <c r="B641" s="65"/>
      <c r="C641" s="65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</row>
    <row r="642" spans="1:21">
      <c r="A642" s="65"/>
      <c r="D642" s="65"/>
    </row>
    <row r="643" spans="1:21">
      <c r="A643" s="65"/>
      <c r="D643" s="65"/>
    </row>
    <row r="644" spans="1:21" s="149" customFormat="1" ht="13">
      <c r="A644" s="65"/>
      <c r="B644" s="65"/>
      <c r="C644" s="65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</row>
    <row r="645" spans="1:21">
      <c r="A645" s="65"/>
      <c r="D645" s="65"/>
    </row>
    <row r="646" spans="1:21">
      <c r="A646" s="65"/>
      <c r="D646" s="65"/>
    </row>
    <row r="647" spans="1:21" s="149" customFormat="1" ht="13">
      <c r="A647" s="65"/>
      <c r="B647" s="65"/>
      <c r="C647" s="65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</row>
    <row r="648" spans="1:21">
      <c r="A648" s="65"/>
      <c r="D648" s="65"/>
    </row>
    <row r="649" spans="1:21">
      <c r="A649" s="65"/>
      <c r="D649" s="65"/>
    </row>
    <row r="650" spans="1:21" s="149" customFormat="1" ht="13">
      <c r="A650" s="65"/>
      <c r="B650" s="65"/>
      <c r="C650" s="65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</row>
    <row r="651" spans="1:21">
      <c r="A651" s="65"/>
      <c r="D651" s="65"/>
    </row>
    <row r="652" spans="1:21">
      <c r="A652" s="65"/>
      <c r="D652" s="65"/>
    </row>
    <row r="653" spans="1:21" s="149" customFormat="1" ht="13">
      <c r="A653" s="65"/>
      <c r="B653" s="65"/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</row>
    <row r="654" spans="1:21">
      <c r="A654" s="65"/>
      <c r="D654" s="65"/>
    </row>
    <row r="655" spans="1:21">
      <c r="A655" s="65"/>
      <c r="D655" s="65"/>
    </row>
    <row r="656" spans="1:21" s="149" customFormat="1" ht="13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</row>
    <row r="657" spans="1:21">
      <c r="A657" s="65"/>
      <c r="D657" s="65"/>
    </row>
    <row r="658" spans="1:21">
      <c r="A658" s="65"/>
      <c r="D658" s="65"/>
    </row>
    <row r="659" spans="1:21" s="149" customFormat="1" ht="13">
      <c r="A659" s="65"/>
      <c r="B659" s="65"/>
      <c r="C659" s="65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</row>
    <row r="660" spans="1:21">
      <c r="A660" s="65"/>
      <c r="D660" s="65"/>
    </row>
    <row r="661" spans="1:21">
      <c r="A661" s="65"/>
      <c r="D661" s="65"/>
    </row>
    <row r="662" spans="1:21" s="149" customFormat="1" ht="13">
      <c r="A662" s="65"/>
      <c r="B662" s="65"/>
      <c r="C662" s="65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</row>
    <row r="663" spans="1:21">
      <c r="A663" s="65"/>
      <c r="D663" s="65"/>
    </row>
    <row r="664" spans="1:21">
      <c r="A664" s="65"/>
      <c r="D664" s="65"/>
    </row>
    <row r="665" spans="1:21" s="149" customFormat="1" ht="13">
      <c r="A665" s="65"/>
      <c r="B665" s="65"/>
      <c r="C665" s="65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</row>
    <row r="666" spans="1:21">
      <c r="A666" s="65"/>
      <c r="D666" s="65"/>
    </row>
    <row r="667" spans="1:21">
      <c r="A667" s="65"/>
      <c r="D667" s="65"/>
    </row>
    <row r="668" spans="1:21" s="149" customFormat="1" ht="13">
      <c r="A668" s="65"/>
      <c r="B668" s="65"/>
      <c r="C668" s="65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</row>
    <row r="669" spans="1:21">
      <c r="A669" s="65"/>
      <c r="D669" s="65"/>
    </row>
    <row r="670" spans="1:21">
      <c r="A670" s="65"/>
      <c r="D670" s="65"/>
    </row>
    <row r="671" spans="1:21" s="149" customFormat="1" ht="13">
      <c r="A671" s="65"/>
      <c r="B671" s="65"/>
      <c r="C671" s="65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</row>
    <row r="672" spans="1:21">
      <c r="A672" s="65"/>
      <c r="D672" s="65"/>
    </row>
    <row r="673" spans="1:21">
      <c r="A673" s="65"/>
      <c r="D673" s="65"/>
    </row>
    <row r="674" spans="1:21" s="149" customFormat="1" ht="13">
      <c r="A674" s="65"/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</row>
    <row r="675" spans="1:21">
      <c r="A675" s="65"/>
      <c r="D675" s="65"/>
    </row>
    <row r="676" spans="1:21">
      <c r="A676" s="65"/>
      <c r="D676" s="65"/>
    </row>
    <row r="677" spans="1:21" s="149" customFormat="1" ht="13">
      <c r="A677" s="65"/>
      <c r="B677" s="65"/>
      <c r="C677" s="65"/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</row>
    <row r="678" spans="1:21">
      <c r="A678" s="65"/>
      <c r="D678" s="65"/>
    </row>
    <row r="679" spans="1:21">
      <c r="A679" s="65"/>
      <c r="D679" s="65"/>
    </row>
    <row r="680" spans="1:21" s="149" customFormat="1" ht="13">
      <c r="A680" s="65"/>
      <c r="B680" s="65"/>
      <c r="C680" s="65"/>
      <c r="D680" s="65"/>
      <c r="E680" s="65"/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</row>
    <row r="681" spans="1:21">
      <c r="A681" s="65"/>
      <c r="D681" s="65"/>
    </row>
    <row r="682" spans="1:21">
      <c r="A682" s="65"/>
      <c r="D682" s="65"/>
    </row>
    <row r="683" spans="1:21" s="149" customFormat="1" ht="13">
      <c r="A683" s="65"/>
      <c r="B683" s="65"/>
      <c r="C683" s="65"/>
      <c r="D683" s="65"/>
      <c r="E683" s="65"/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</row>
    <row r="684" spans="1:21">
      <c r="A684" s="65"/>
      <c r="D684" s="65"/>
    </row>
    <row r="685" spans="1:21">
      <c r="A685" s="65"/>
      <c r="D685" s="65"/>
    </row>
    <row r="686" spans="1:21" s="149" customFormat="1" ht="13">
      <c r="A686" s="65"/>
      <c r="B686" s="65"/>
      <c r="C686" s="65"/>
      <c r="D686" s="65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</row>
    <row r="687" spans="1:21">
      <c r="A687" s="65"/>
      <c r="D687" s="65"/>
    </row>
    <row r="688" spans="1:21">
      <c r="A688" s="65"/>
      <c r="D688" s="65"/>
    </row>
    <row r="689" spans="1:21" s="149" customFormat="1" ht="13">
      <c r="A689" s="65"/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</row>
    <row r="690" spans="1:21">
      <c r="A690" s="65"/>
      <c r="D690" s="65"/>
    </row>
    <row r="691" spans="1:21">
      <c r="A691" s="65"/>
      <c r="D691" s="65"/>
    </row>
    <row r="692" spans="1:21" s="149" customFormat="1" ht="13">
      <c r="A692" s="65"/>
      <c r="B692" s="65"/>
      <c r="C692" s="65"/>
      <c r="D692" s="65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</row>
    <row r="693" spans="1:21">
      <c r="A693" s="65"/>
      <c r="D693" s="65"/>
    </row>
    <row r="694" spans="1:21">
      <c r="A694" s="65"/>
      <c r="D694" s="65"/>
    </row>
    <row r="695" spans="1:21" s="149" customFormat="1" ht="13">
      <c r="A695" s="65"/>
      <c r="B695" s="65"/>
      <c r="C695" s="65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</row>
    <row r="696" spans="1:21">
      <c r="A696" s="65"/>
      <c r="D696" s="65"/>
    </row>
    <row r="697" spans="1:21">
      <c r="A697" s="65"/>
      <c r="D697" s="65"/>
    </row>
    <row r="698" spans="1:21" s="149" customFormat="1" ht="13">
      <c r="A698" s="65"/>
      <c r="B698" s="65"/>
      <c r="C698" s="65"/>
      <c r="D698" s="65"/>
      <c r="E698" s="65"/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</row>
    <row r="699" spans="1:21">
      <c r="A699" s="65"/>
      <c r="D699" s="65"/>
    </row>
    <row r="700" spans="1:21">
      <c r="A700" s="65"/>
      <c r="D700" s="65"/>
    </row>
    <row r="701" spans="1:21" s="149" customFormat="1" ht="13">
      <c r="A701" s="65"/>
      <c r="B701" s="65"/>
      <c r="C701" s="65"/>
      <c r="D701" s="65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</row>
    <row r="702" spans="1:21">
      <c r="A702" s="65"/>
      <c r="D702" s="65"/>
    </row>
    <row r="703" spans="1:21">
      <c r="A703" s="65"/>
      <c r="D703" s="65"/>
    </row>
    <row r="704" spans="1:21" s="149" customFormat="1" ht="13">
      <c r="A704" s="65"/>
      <c r="B704" s="65"/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</row>
    <row r="705" spans="1:21">
      <c r="A705" s="65"/>
      <c r="D705" s="65"/>
    </row>
    <row r="706" spans="1:21">
      <c r="A706" s="65"/>
      <c r="D706" s="65"/>
    </row>
    <row r="707" spans="1:21" s="149" customFormat="1" ht="13">
      <c r="A707" s="65"/>
      <c r="B707" s="65"/>
      <c r="C707" s="65"/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</row>
    <row r="708" spans="1:21">
      <c r="A708" s="65"/>
      <c r="D708" s="65"/>
    </row>
    <row r="709" spans="1:21">
      <c r="A709" s="65"/>
      <c r="D709" s="65"/>
    </row>
    <row r="710" spans="1:21" s="149" customFormat="1" ht="13">
      <c r="A710" s="65"/>
      <c r="B710" s="65"/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</row>
    <row r="711" spans="1:21">
      <c r="A711" s="65"/>
      <c r="D711" s="65"/>
    </row>
    <row r="712" spans="1:21">
      <c r="A712" s="65"/>
      <c r="D712" s="65"/>
    </row>
    <row r="713" spans="1:21" s="149" customFormat="1" ht="13">
      <c r="A713" s="65"/>
      <c r="B713" s="65"/>
      <c r="C713" s="65"/>
      <c r="D713" s="65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</row>
    <row r="714" spans="1:21">
      <c r="A714" s="65"/>
      <c r="D714" s="65"/>
    </row>
    <row r="715" spans="1:21">
      <c r="A715" s="65"/>
      <c r="D715" s="65"/>
    </row>
    <row r="716" spans="1:21" s="149" customFormat="1" ht="13">
      <c r="A716" s="65"/>
      <c r="B716" s="65"/>
      <c r="C716" s="65"/>
      <c r="D716" s="65"/>
      <c r="E716" s="65"/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</row>
    <row r="717" spans="1:21">
      <c r="A717" s="65"/>
      <c r="D717" s="65"/>
    </row>
    <row r="718" spans="1:21">
      <c r="A718" s="65"/>
      <c r="D718" s="65"/>
    </row>
    <row r="719" spans="1:21" s="149" customFormat="1" ht="13">
      <c r="A719" s="65"/>
      <c r="B719" s="65"/>
      <c r="C719" s="65"/>
      <c r="D719" s="65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</row>
    <row r="720" spans="1:21">
      <c r="A720" s="65"/>
      <c r="D720" s="65"/>
    </row>
    <row r="721" spans="1:21">
      <c r="A721" s="65"/>
      <c r="D721" s="65"/>
    </row>
    <row r="722" spans="1:21" s="149" customFormat="1" ht="13">
      <c r="A722" s="65"/>
      <c r="B722" s="65"/>
      <c r="C722" s="65"/>
      <c r="D722" s="65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</row>
    <row r="723" spans="1:21">
      <c r="A723" s="65"/>
      <c r="D723" s="65"/>
    </row>
    <row r="724" spans="1:21">
      <c r="A724" s="65"/>
      <c r="D724" s="65"/>
    </row>
    <row r="725" spans="1:21" s="149" customFormat="1" ht="13">
      <c r="A725" s="65"/>
      <c r="B725" s="65"/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</row>
    <row r="726" spans="1:21">
      <c r="A726" s="65"/>
      <c r="D726" s="65"/>
    </row>
    <row r="727" spans="1:21">
      <c r="A727" s="65"/>
      <c r="D727" s="65"/>
    </row>
    <row r="728" spans="1:21" s="149" customFormat="1" ht="13">
      <c r="A728" s="65"/>
      <c r="B728" s="65"/>
      <c r="C728" s="65"/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</row>
    <row r="729" spans="1:21">
      <c r="A729" s="65"/>
      <c r="D729" s="65"/>
    </row>
    <row r="730" spans="1:21">
      <c r="A730" s="65"/>
      <c r="D730" s="65"/>
    </row>
    <row r="731" spans="1:21" s="149" customFormat="1" ht="13">
      <c r="A731" s="65"/>
      <c r="B731" s="65"/>
      <c r="C731" s="65"/>
      <c r="D731" s="65"/>
      <c r="E731" s="65"/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</row>
    <row r="732" spans="1:21">
      <c r="A732" s="65"/>
      <c r="D732" s="65"/>
    </row>
    <row r="733" spans="1:21">
      <c r="A733" s="65"/>
      <c r="D733" s="65"/>
    </row>
    <row r="734" spans="1:21" s="149" customFormat="1" ht="13">
      <c r="A734" s="65"/>
      <c r="B734" s="65"/>
      <c r="C734" s="65"/>
      <c r="D734" s="65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</row>
    <row r="735" spans="1:21">
      <c r="A735" s="65"/>
      <c r="D735" s="65"/>
    </row>
    <row r="736" spans="1:21">
      <c r="A736" s="65"/>
      <c r="D736" s="65"/>
    </row>
    <row r="737" spans="1:21" s="149" customFormat="1" ht="13">
      <c r="A737" s="65"/>
      <c r="B737" s="65"/>
      <c r="C737" s="65"/>
      <c r="D737" s="65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</row>
    <row r="738" spans="1:21">
      <c r="A738" s="65"/>
      <c r="D738" s="65"/>
    </row>
    <row r="739" spans="1:21">
      <c r="A739" s="65"/>
      <c r="D739" s="65"/>
    </row>
    <row r="740" spans="1:21" s="149" customFormat="1" ht="13">
      <c r="A740" s="65"/>
      <c r="B740" s="65"/>
      <c r="C740" s="65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</row>
    <row r="741" spans="1:21">
      <c r="A741" s="65"/>
      <c r="D741" s="65"/>
    </row>
    <row r="742" spans="1:21">
      <c r="A742" s="65"/>
      <c r="D742" s="65"/>
    </row>
    <row r="743" spans="1:21" s="149" customFormat="1" ht="13">
      <c r="A743" s="65"/>
      <c r="B743" s="65"/>
      <c r="C743" s="65"/>
      <c r="D743" s="65"/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</row>
    <row r="744" spans="1:21">
      <c r="A744" s="65"/>
      <c r="D744" s="65"/>
    </row>
    <row r="745" spans="1:21">
      <c r="A745" s="65"/>
      <c r="D745" s="65"/>
    </row>
    <row r="746" spans="1:21" s="149" customFormat="1" ht="13">
      <c r="A746" s="65"/>
      <c r="B746" s="65"/>
      <c r="C746" s="65"/>
      <c r="D746" s="65"/>
      <c r="E746" s="65"/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</row>
    <row r="747" spans="1:21">
      <c r="A747" s="65"/>
      <c r="D747" s="65"/>
    </row>
    <row r="748" spans="1:21">
      <c r="A748" s="65"/>
      <c r="D748" s="65"/>
    </row>
    <row r="749" spans="1:21" s="149" customFormat="1" ht="13">
      <c r="A749" s="65"/>
      <c r="B749" s="65"/>
      <c r="C749" s="65"/>
      <c r="D749" s="65"/>
      <c r="E749" s="65"/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</row>
    <row r="750" spans="1:21">
      <c r="A750" s="65"/>
      <c r="D750" s="65"/>
    </row>
    <row r="751" spans="1:21">
      <c r="A751" s="65"/>
      <c r="D751" s="65"/>
    </row>
    <row r="752" spans="1:21" s="149" customFormat="1" ht="13">
      <c r="A752" s="65"/>
      <c r="B752" s="65"/>
      <c r="C752" s="65"/>
      <c r="D752" s="65"/>
      <c r="E752" s="65"/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</row>
    <row r="753" spans="1:21">
      <c r="A753" s="65"/>
      <c r="D753" s="65"/>
    </row>
    <row r="754" spans="1:21">
      <c r="A754" s="65"/>
      <c r="D754" s="65"/>
    </row>
    <row r="755" spans="1:21" s="149" customFormat="1" ht="13">
      <c r="A755" s="65"/>
      <c r="B755" s="65"/>
      <c r="C755" s="65"/>
      <c r="D755" s="65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</row>
    <row r="756" spans="1:21">
      <c r="A756" s="65"/>
      <c r="D756" s="65"/>
    </row>
    <row r="757" spans="1:21">
      <c r="A757" s="65"/>
      <c r="D757" s="65"/>
    </row>
    <row r="758" spans="1:21" s="149" customFormat="1" ht="13">
      <c r="A758" s="65"/>
      <c r="B758" s="65"/>
      <c r="C758" s="65"/>
      <c r="D758" s="65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</row>
    <row r="759" spans="1:21">
      <c r="A759" s="65"/>
      <c r="D759" s="65"/>
    </row>
    <row r="760" spans="1:21">
      <c r="A760" s="65"/>
      <c r="D760" s="65"/>
    </row>
    <row r="761" spans="1:21" s="149" customFormat="1" ht="13">
      <c r="A761" s="65"/>
      <c r="B761" s="65"/>
      <c r="C761" s="65"/>
      <c r="D761" s="65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</row>
    <row r="762" spans="1:21">
      <c r="A762" s="65"/>
      <c r="D762" s="65"/>
    </row>
    <row r="763" spans="1:21">
      <c r="A763" s="65"/>
      <c r="D763" s="65"/>
    </row>
    <row r="764" spans="1:21" s="149" customFormat="1" ht="13">
      <c r="A764" s="65"/>
      <c r="B764" s="65"/>
      <c r="C764" s="65"/>
      <c r="D764" s="65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</row>
    <row r="765" spans="1:21">
      <c r="A765" s="65"/>
      <c r="D765" s="65"/>
    </row>
    <row r="766" spans="1:21">
      <c r="A766" s="65"/>
      <c r="D766" s="65"/>
    </row>
    <row r="767" spans="1:21" s="149" customFormat="1" ht="13">
      <c r="A767" s="65"/>
      <c r="B767" s="65"/>
      <c r="C767" s="65"/>
      <c r="D767" s="65"/>
      <c r="E767" s="65"/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</row>
    <row r="768" spans="1:21">
      <c r="A768" s="65"/>
      <c r="D768" s="65"/>
    </row>
    <row r="769" spans="1:21">
      <c r="A769" s="65"/>
      <c r="D769" s="65"/>
    </row>
    <row r="770" spans="1:21" s="149" customFormat="1" ht="13">
      <c r="A770" s="65"/>
      <c r="B770" s="65"/>
      <c r="C770" s="65"/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</row>
    <row r="771" spans="1:21">
      <c r="A771" s="65"/>
      <c r="D771" s="65"/>
    </row>
    <row r="772" spans="1:21">
      <c r="A772" s="65"/>
      <c r="D772" s="65"/>
    </row>
    <row r="773" spans="1:21" s="149" customFormat="1" ht="13">
      <c r="A773" s="65"/>
      <c r="B773" s="65"/>
      <c r="C773" s="65"/>
      <c r="D773" s="65"/>
      <c r="E773" s="65"/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</row>
    <row r="774" spans="1:21">
      <c r="A774" s="65"/>
      <c r="D774" s="65"/>
    </row>
    <row r="775" spans="1:21">
      <c r="A775" s="65"/>
      <c r="D775" s="65"/>
    </row>
    <row r="776" spans="1:21" s="149" customFormat="1" ht="13">
      <c r="A776" s="65"/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</row>
    <row r="777" spans="1:21">
      <c r="A777" s="65"/>
      <c r="D777" s="65"/>
    </row>
    <row r="778" spans="1:21">
      <c r="A778" s="65"/>
      <c r="D778" s="65"/>
    </row>
    <row r="779" spans="1:21" s="149" customFormat="1" ht="13">
      <c r="A779" s="65"/>
      <c r="B779" s="65"/>
      <c r="C779" s="65"/>
      <c r="D779" s="65"/>
      <c r="E779" s="65"/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</row>
    <row r="780" spans="1:21">
      <c r="A780" s="65"/>
      <c r="D780" s="65"/>
    </row>
    <row r="781" spans="1:21">
      <c r="A781" s="65"/>
      <c r="D781" s="65"/>
    </row>
    <row r="782" spans="1:21" s="149" customFormat="1" ht="13">
      <c r="A782" s="65"/>
      <c r="B782" s="65"/>
      <c r="C782" s="65"/>
      <c r="D782" s="65"/>
      <c r="E782" s="65"/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</row>
    <row r="783" spans="1:21">
      <c r="A783" s="65"/>
      <c r="D783" s="65"/>
    </row>
    <row r="784" spans="1:21">
      <c r="A784" s="65"/>
      <c r="D784" s="65"/>
    </row>
    <row r="785" spans="1:21" s="149" customFormat="1" ht="13">
      <c r="A785" s="65"/>
      <c r="B785" s="65"/>
      <c r="C785" s="65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</row>
    <row r="786" spans="1:21">
      <c r="A786" s="65"/>
      <c r="D786" s="65"/>
    </row>
    <row r="787" spans="1:21">
      <c r="A787" s="65"/>
      <c r="D787" s="65"/>
    </row>
    <row r="788" spans="1:21" s="149" customFormat="1" ht="13">
      <c r="A788" s="65"/>
      <c r="B788" s="65"/>
      <c r="C788" s="65"/>
      <c r="D788" s="65"/>
      <c r="E788" s="65"/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</row>
    <row r="789" spans="1:21">
      <c r="A789" s="65"/>
      <c r="D789" s="65"/>
    </row>
    <row r="790" spans="1:21">
      <c r="A790" s="65"/>
      <c r="D790" s="65"/>
    </row>
    <row r="791" spans="1:21" s="149" customFormat="1" ht="13">
      <c r="A791" s="65"/>
      <c r="B791" s="65"/>
      <c r="C791" s="65"/>
      <c r="D791" s="65"/>
      <c r="E791" s="65"/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</row>
    <row r="792" spans="1:21">
      <c r="A792" s="65"/>
      <c r="D792" s="65"/>
    </row>
    <row r="793" spans="1:21">
      <c r="A793" s="65"/>
      <c r="D793" s="65"/>
    </row>
    <row r="794" spans="1:21" s="149" customFormat="1" ht="13">
      <c r="A794" s="65"/>
      <c r="B794" s="65"/>
      <c r="C794" s="65"/>
      <c r="D794" s="65"/>
      <c r="E794" s="65"/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</row>
    <row r="795" spans="1:21">
      <c r="A795" s="65"/>
      <c r="D795" s="65"/>
    </row>
    <row r="796" spans="1:21">
      <c r="A796" s="65"/>
      <c r="D796" s="65"/>
    </row>
    <row r="797" spans="1:21" s="149" customFormat="1" ht="13">
      <c r="A797" s="65"/>
      <c r="B797" s="65"/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</row>
    <row r="798" spans="1:21">
      <c r="A798" s="65"/>
      <c r="D798" s="65"/>
    </row>
    <row r="799" spans="1:21">
      <c r="A799" s="65"/>
      <c r="D799" s="65"/>
    </row>
    <row r="800" spans="1:21" s="149" customFormat="1" ht="13">
      <c r="A800" s="65"/>
      <c r="B800" s="65"/>
      <c r="C800" s="65"/>
      <c r="D800" s="65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</row>
    <row r="801" spans="1:21">
      <c r="A801" s="65"/>
      <c r="D801" s="65"/>
    </row>
    <row r="802" spans="1:21">
      <c r="A802" s="65"/>
      <c r="D802" s="65"/>
    </row>
    <row r="803" spans="1:21" s="149" customFormat="1" ht="13">
      <c r="A803" s="65"/>
      <c r="B803" s="65"/>
      <c r="C803" s="65"/>
      <c r="D803" s="65"/>
      <c r="E803" s="65"/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</row>
    <row r="804" spans="1:21">
      <c r="A804" s="65"/>
      <c r="D804" s="65"/>
    </row>
    <row r="805" spans="1:21">
      <c r="A805" s="65"/>
      <c r="D805" s="65"/>
    </row>
    <row r="806" spans="1:21" s="149" customFormat="1" ht="13">
      <c r="A806" s="65"/>
      <c r="B806" s="65"/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</row>
    <row r="807" spans="1:21">
      <c r="A807" s="65"/>
      <c r="D807" s="65"/>
    </row>
    <row r="808" spans="1:21">
      <c r="A808" s="65"/>
      <c r="D808" s="65"/>
    </row>
    <row r="809" spans="1:21" s="149" customFormat="1" ht="13">
      <c r="A809" s="65"/>
      <c r="B809" s="65"/>
      <c r="C809" s="65"/>
      <c r="D809" s="65"/>
      <c r="E809" s="65"/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</row>
    <row r="810" spans="1:21">
      <c r="A810" s="65"/>
      <c r="D810" s="65"/>
    </row>
    <row r="811" spans="1:21">
      <c r="A811" s="65"/>
      <c r="D811" s="65"/>
    </row>
    <row r="812" spans="1:21" s="149" customFormat="1" ht="13">
      <c r="A812" s="65"/>
      <c r="B812" s="65"/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</row>
    <row r="813" spans="1:21">
      <c r="A813" s="65"/>
      <c r="D813" s="65"/>
    </row>
    <row r="814" spans="1:21">
      <c r="A814" s="65"/>
      <c r="D814" s="65"/>
    </row>
    <row r="815" spans="1:21" s="149" customFormat="1" ht="13">
      <c r="A815" s="65"/>
      <c r="B815" s="65"/>
      <c r="C815" s="65"/>
      <c r="D815" s="65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</row>
    <row r="816" spans="1:21">
      <c r="A816" s="65"/>
      <c r="D816" s="65"/>
    </row>
    <row r="817" spans="1:21">
      <c r="A817" s="65"/>
      <c r="D817" s="65"/>
    </row>
    <row r="818" spans="1:21" s="149" customFormat="1" ht="13">
      <c r="A818" s="65"/>
      <c r="B818" s="65"/>
      <c r="C818" s="65"/>
      <c r="D818" s="65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</row>
    <row r="819" spans="1:21">
      <c r="A819" s="65"/>
      <c r="D819" s="65"/>
    </row>
    <row r="820" spans="1:21">
      <c r="A820" s="65"/>
      <c r="D820" s="65"/>
    </row>
    <row r="821" spans="1:21" s="149" customFormat="1" ht="13">
      <c r="A821" s="65"/>
      <c r="B821" s="65"/>
      <c r="C821" s="65"/>
      <c r="D821" s="65"/>
      <c r="E821" s="65"/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</row>
    <row r="822" spans="1:21">
      <c r="A822" s="65"/>
      <c r="D822" s="65"/>
    </row>
    <row r="823" spans="1:21">
      <c r="A823" s="65"/>
      <c r="D823" s="65"/>
    </row>
    <row r="824" spans="1:21" s="149" customFormat="1" ht="13">
      <c r="A824" s="65"/>
      <c r="B824" s="65"/>
      <c r="C824" s="65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</row>
    <row r="825" spans="1:21">
      <c r="A825" s="65"/>
      <c r="D825" s="65"/>
    </row>
    <row r="826" spans="1:21">
      <c r="A826" s="65"/>
      <c r="D826" s="65"/>
    </row>
    <row r="827" spans="1:21" s="149" customFormat="1" ht="13">
      <c r="A827" s="65"/>
      <c r="B827" s="65"/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</row>
    <row r="828" spans="1:21">
      <c r="A828" s="65"/>
      <c r="D828" s="65"/>
    </row>
    <row r="829" spans="1:21">
      <c r="A829" s="65"/>
      <c r="D829" s="65"/>
    </row>
    <row r="830" spans="1:21" s="149" customFormat="1" ht="13">
      <c r="A830" s="65"/>
      <c r="B830" s="65"/>
      <c r="C830" s="65"/>
      <c r="D830" s="65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</row>
    <row r="831" spans="1:21">
      <c r="A831" s="65"/>
      <c r="D831" s="65"/>
    </row>
    <row r="832" spans="1:21">
      <c r="A832" s="65"/>
      <c r="D832" s="65"/>
    </row>
    <row r="833" spans="1:21" s="149" customFormat="1" ht="13">
      <c r="A833" s="65"/>
      <c r="B833" s="65"/>
      <c r="C833" s="65"/>
      <c r="D833" s="65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</row>
    <row r="834" spans="1:21">
      <c r="A834" s="65"/>
      <c r="D834" s="65"/>
    </row>
    <row r="835" spans="1:21">
      <c r="A835" s="65"/>
      <c r="D835" s="65"/>
    </row>
    <row r="836" spans="1:21" s="149" customFormat="1" ht="13">
      <c r="A836" s="65"/>
      <c r="B836" s="65"/>
      <c r="C836" s="65"/>
      <c r="D836" s="65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</row>
    <row r="837" spans="1:21">
      <c r="A837" s="65"/>
      <c r="D837" s="65"/>
    </row>
    <row r="838" spans="1:21">
      <c r="A838" s="65"/>
      <c r="D838" s="65"/>
    </row>
    <row r="839" spans="1:21" s="149" customFormat="1" ht="13">
      <c r="A839" s="65"/>
      <c r="B839" s="65"/>
      <c r="C839" s="65"/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</row>
    <row r="840" spans="1:21">
      <c r="A840" s="65"/>
      <c r="D840" s="65"/>
    </row>
    <row r="841" spans="1:21">
      <c r="A841" s="65"/>
      <c r="D841" s="65"/>
    </row>
    <row r="842" spans="1:21" s="149" customFormat="1" ht="13">
      <c r="A842" s="65"/>
      <c r="B842" s="65"/>
      <c r="C842" s="65"/>
      <c r="D842" s="65"/>
      <c r="E842" s="65"/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</row>
    <row r="843" spans="1:21">
      <c r="A843" s="65"/>
      <c r="D843" s="65"/>
    </row>
    <row r="844" spans="1:21">
      <c r="A844" s="65"/>
      <c r="D844" s="65"/>
    </row>
    <row r="845" spans="1:21" s="149" customFormat="1" ht="13">
      <c r="A845" s="65"/>
      <c r="B845" s="65"/>
      <c r="C845" s="65"/>
      <c r="D845" s="65"/>
      <c r="E845" s="65"/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</row>
    <row r="846" spans="1:21">
      <c r="A846" s="65"/>
      <c r="D846" s="65"/>
    </row>
    <row r="847" spans="1:21">
      <c r="A847" s="65"/>
      <c r="D847" s="65"/>
    </row>
    <row r="848" spans="1:21" s="149" customFormat="1" ht="13">
      <c r="A848" s="65"/>
      <c r="B848" s="65"/>
      <c r="C848" s="65"/>
      <c r="D848" s="65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</row>
    <row r="849" spans="1:21">
      <c r="A849" s="65"/>
      <c r="D849" s="65"/>
    </row>
    <row r="850" spans="1:21">
      <c r="A850" s="65"/>
      <c r="D850" s="65"/>
    </row>
    <row r="851" spans="1:21" s="149" customFormat="1" ht="13">
      <c r="A851" s="65"/>
      <c r="B851" s="65"/>
      <c r="C851" s="65"/>
      <c r="D851" s="65"/>
      <c r="E851" s="65"/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</row>
    <row r="852" spans="1:21">
      <c r="A852" s="65"/>
      <c r="D852" s="65"/>
    </row>
    <row r="853" spans="1:21">
      <c r="A853" s="65"/>
      <c r="D853" s="65"/>
    </row>
    <row r="854" spans="1:21" s="149" customFormat="1" ht="13">
      <c r="A854" s="65"/>
      <c r="B854" s="65"/>
      <c r="C854" s="65"/>
      <c r="D854" s="65"/>
      <c r="E854" s="65"/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</row>
    <row r="855" spans="1:21">
      <c r="A855" s="65"/>
      <c r="D855" s="65"/>
    </row>
    <row r="856" spans="1:21">
      <c r="A856" s="65"/>
      <c r="D856" s="65"/>
    </row>
    <row r="857" spans="1:21" s="149" customFormat="1" ht="13">
      <c r="A857" s="65"/>
      <c r="B857" s="65"/>
      <c r="C857" s="65"/>
      <c r="D857" s="65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</row>
    <row r="858" spans="1:21">
      <c r="A858" s="65"/>
      <c r="D858" s="65"/>
    </row>
    <row r="859" spans="1:21">
      <c r="A859" s="65"/>
      <c r="D859" s="65"/>
    </row>
    <row r="860" spans="1:21" s="149" customFormat="1" ht="13">
      <c r="A860" s="65"/>
      <c r="B860" s="65"/>
      <c r="C860" s="65"/>
      <c r="D860" s="65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</row>
    <row r="861" spans="1:21">
      <c r="A861" s="65"/>
      <c r="D861" s="65"/>
    </row>
    <row r="862" spans="1:21">
      <c r="A862" s="65"/>
      <c r="D862" s="65"/>
    </row>
    <row r="863" spans="1:21" s="149" customFormat="1" ht="13">
      <c r="A863" s="65"/>
      <c r="B863" s="65"/>
      <c r="C863" s="65"/>
      <c r="D863" s="65"/>
      <c r="E863" s="65"/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</row>
    <row r="864" spans="1:21">
      <c r="A864" s="65"/>
      <c r="D864" s="65"/>
    </row>
    <row r="865" spans="1:21">
      <c r="A865" s="65"/>
      <c r="D865" s="65"/>
    </row>
    <row r="866" spans="1:21" s="149" customFormat="1" ht="13">
      <c r="A866" s="65"/>
      <c r="B866" s="65"/>
      <c r="C866" s="65"/>
      <c r="D866" s="65"/>
      <c r="E866" s="65"/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</row>
    <row r="867" spans="1:21">
      <c r="A867" s="65"/>
      <c r="D867" s="65"/>
    </row>
    <row r="868" spans="1:21">
      <c r="A868" s="65"/>
      <c r="D868" s="65"/>
    </row>
    <row r="869" spans="1:21" s="149" customFormat="1" ht="13">
      <c r="A869" s="65"/>
      <c r="B869" s="65"/>
      <c r="C869" s="65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</row>
    <row r="870" spans="1:21">
      <c r="A870" s="65"/>
      <c r="D870" s="65"/>
    </row>
    <row r="871" spans="1:21">
      <c r="A871" s="65"/>
      <c r="D871" s="65"/>
    </row>
    <row r="872" spans="1:21" s="149" customFormat="1" ht="13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</row>
    <row r="873" spans="1:21">
      <c r="A873" s="65"/>
      <c r="D873" s="65"/>
    </row>
    <row r="874" spans="1:21">
      <c r="A874" s="65"/>
      <c r="D874" s="65"/>
    </row>
    <row r="875" spans="1:21">
      <c r="A875" s="65"/>
      <c r="D875" s="65"/>
    </row>
    <row r="876" spans="1:21">
      <c r="A876" s="65"/>
      <c r="D876" s="65"/>
    </row>
    <row r="877" spans="1:21">
      <c r="A877" s="65"/>
      <c r="D877" s="65"/>
    </row>
    <row r="878" spans="1:21">
      <c r="A878" s="65"/>
      <c r="D878" s="65"/>
    </row>
    <row r="879" spans="1:21">
      <c r="A879" s="65"/>
      <c r="D879" s="65"/>
    </row>
    <row r="880" spans="1:21">
      <c r="A880" s="65"/>
      <c r="D880" s="65"/>
    </row>
    <row r="881" s="65" customFormat="1"/>
    <row r="882" s="65" customFormat="1"/>
    <row r="883" s="65" customFormat="1"/>
    <row r="884" s="65" customFormat="1"/>
    <row r="885" s="65" customFormat="1"/>
    <row r="886" s="65" customFormat="1"/>
    <row r="887" s="65" customFormat="1"/>
    <row r="888" s="65" customFormat="1"/>
    <row r="889" s="65" customFormat="1"/>
    <row r="890" s="65" customFormat="1"/>
    <row r="891" s="65" customFormat="1"/>
    <row r="892" s="65" customFormat="1"/>
    <row r="893" s="65" customFormat="1"/>
    <row r="894" s="65" customFormat="1"/>
    <row r="895" s="65" customFormat="1"/>
    <row r="896" s="65" customFormat="1"/>
    <row r="897" s="65" customFormat="1"/>
    <row r="898" s="65" customFormat="1"/>
    <row r="899" s="65" customFormat="1"/>
    <row r="900" s="65" customFormat="1"/>
    <row r="901" s="65" customFormat="1"/>
    <row r="902" s="65" customFormat="1"/>
    <row r="903" s="65" customFormat="1"/>
    <row r="904" s="65" customFormat="1"/>
    <row r="905" s="65" customFormat="1"/>
    <row r="906" s="65" customFormat="1"/>
    <row r="907" s="65" customFormat="1"/>
    <row r="908" s="65" customFormat="1"/>
    <row r="909" s="65" customFormat="1"/>
    <row r="910" s="65" customFormat="1"/>
    <row r="911" s="65" customFormat="1"/>
    <row r="912" s="65" customFormat="1"/>
    <row r="913" s="65" customFormat="1"/>
    <row r="914" s="65" customFormat="1"/>
    <row r="915" s="65" customFormat="1"/>
    <row r="916" s="65" customFormat="1"/>
    <row r="917" s="65" customFormat="1"/>
    <row r="918" s="65" customFormat="1"/>
    <row r="919" s="65" customFormat="1"/>
    <row r="920" s="65" customFormat="1"/>
    <row r="921" s="65" customFormat="1"/>
    <row r="922" s="65" customFormat="1"/>
    <row r="923" s="65" customFormat="1"/>
    <row r="924" s="65" customFormat="1"/>
    <row r="925" s="65" customFormat="1"/>
    <row r="926" s="65" customFormat="1"/>
    <row r="927" s="65" customFormat="1"/>
    <row r="928" s="65" customFormat="1"/>
    <row r="929" s="65" customFormat="1"/>
    <row r="930" s="65" customFormat="1"/>
    <row r="931" s="65" customFormat="1"/>
    <row r="932" s="65" customFormat="1"/>
    <row r="933" s="65" customFormat="1"/>
    <row r="934" s="65" customFormat="1"/>
    <row r="935" s="65" customFormat="1"/>
    <row r="936" s="65" customFormat="1"/>
    <row r="937" s="65" customFormat="1"/>
    <row r="938" s="65" customFormat="1"/>
    <row r="939" s="65" customFormat="1"/>
    <row r="940" s="65" customFormat="1"/>
    <row r="941" s="65" customFormat="1"/>
    <row r="942" s="65" customFormat="1"/>
    <row r="943" s="65" customFormat="1"/>
    <row r="944" s="65" customFormat="1"/>
    <row r="945" s="65" customFormat="1"/>
    <row r="946" s="65" customFormat="1"/>
    <row r="947" s="65" customFormat="1"/>
    <row r="948" s="65" customFormat="1"/>
    <row r="949" s="65" customFormat="1"/>
    <row r="950" s="65" customFormat="1"/>
    <row r="951" s="65" customFormat="1"/>
    <row r="952" s="65" customFormat="1"/>
    <row r="953" s="65" customFormat="1"/>
    <row r="954" s="65" customFormat="1"/>
    <row r="955" s="65" customFormat="1"/>
    <row r="956" s="65" customFormat="1"/>
    <row r="957" s="65" customFormat="1"/>
    <row r="958" s="65" customFormat="1"/>
    <row r="959" s="65" customFormat="1"/>
    <row r="960" s="65" customFormat="1"/>
    <row r="961" s="65" customFormat="1"/>
    <row r="962" s="65" customFormat="1"/>
    <row r="963" s="65" customFormat="1"/>
    <row r="964" s="65" customFormat="1"/>
    <row r="965" s="65" customFormat="1"/>
    <row r="966" s="65" customFormat="1"/>
    <row r="967" s="65" customFormat="1"/>
    <row r="968" s="65" customFormat="1"/>
    <row r="969" s="65" customFormat="1"/>
    <row r="970" s="65" customFormat="1"/>
    <row r="971" s="65" customFormat="1"/>
    <row r="972" s="65" customFormat="1"/>
    <row r="973" s="65" customFormat="1"/>
    <row r="974" s="65" customFormat="1"/>
    <row r="975" s="65" customFormat="1"/>
    <row r="976" s="65" customFormat="1"/>
    <row r="977" s="65" customFormat="1"/>
    <row r="978" s="65" customFormat="1"/>
    <row r="979" s="65" customFormat="1"/>
    <row r="980" s="65" customFormat="1"/>
    <row r="981" s="65" customFormat="1"/>
    <row r="982" s="65" customFormat="1"/>
    <row r="983" s="65" customFormat="1"/>
    <row r="984" s="65" customFormat="1"/>
    <row r="985" s="65" customFormat="1"/>
    <row r="986" s="65" customFormat="1"/>
    <row r="987" s="65" customFormat="1"/>
    <row r="988" s="65" customFormat="1"/>
    <row r="989" s="65" customFormat="1"/>
    <row r="990" s="65" customFormat="1"/>
    <row r="991" s="65" customFormat="1"/>
    <row r="992" s="65" customFormat="1"/>
    <row r="993" s="65" customFormat="1"/>
    <row r="994" s="65" customFormat="1"/>
    <row r="995" s="65" customFormat="1"/>
    <row r="996" s="65" customFormat="1"/>
    <row r="997" s="65" customFormat="1"/>
    <row r="998" s="65" customFormat="1"/>
    <row r="999" s="65" customFormat="1"/>
    <row r="1000" s="65" customFormat="1"/>
    <row r="1001" s="65" customFormat="1"/>
    <row r="1002" s="65" customFormat="1"/>
    <row r="1003" s="65" customFormat="1"/>
    <row r="1004" s="65" customFormat="1"/>
    <row r="1005" s="65" customFormat="1"/>
    <row r="1006" s="65" customFormat="1"/>
    <row r="1007" s="65" customFormat="1"/>
    <row r="1008" s="65" customFormat="1"/>
    <row r="1009" s="65" customFormat="1"/>
    <row r="1010" s="65" customFormat="1"/>
    <row r="1011" s="65" customFormat="1"/>
    <row r="1012" s="65" customFormat="1"/>
    <row r="1013" s="65" customFormat="1"/>
    <row r="1014" s="65" customFormat="1"/>
    <row r="1015" s="65" customFormat="1"/>
    <row r="1016" s="65" customFormat="1"/>
    <row r="1017" s="65" customFormat="1"/>
    <row r="1018" s="65" customFormat="1"/>
    <row r="1019" s="65" customFormat="1"/>
    <row r="1020" s="65" customFormat="1"/>
    <row r="1021" s="65" customFormat="1"/>
    <row r="1022" s="65" customFormat="1"/>
    <row r="1023" s="65" customFormat="1"/>
    <row r="1024" s="65" customFormat="1"/>
    <row r="1025" s="65" customFormat="1"/>
    <row r="1026" s="65" customFormat="1"/>
    <row r="1027" s="65" customFormat="1"/>
    <row r="1028" s="65" customFormat="1"/>
    <row r="1029" s="65" customFormat="1"/>
    <row r="1030" s="65" customFormat="1"/>
    <row r="1031" s="65" customFormat="1"/>
    <row r="1032" s="65" customFormat="1"/>
    <row r="1033" s="65" customFormat="1"/>
    <row r="1034" s="65" customFormat="1"/>
    <row r="1035" s="65" customFormat="1"/>
    <row r="1036" s="65" customFormat="1"/>
    <row r="1037" s="65" customFormat="1"/>
    <row r="1038" s="65" customFormat="1"/>
    <row r="1039" s="65" customFormat="1"/>
    <row r="1040" s="65" customFormat="1"/>
    <row r="1041" s="65" customFormat="1"/>
    <row r="1042" s="65" customFormat="1"/>
    <row r="1043" s="65" customFormat="1"/>
    <row r="1044" s="65" customFormat="1"/>
    <row r="1045" s="65" customFormat="1"/>
    <row r="1046" s="65" customFormat="1"/>
    <row r="1047" s="65" customFormat="1"/>
    <row r="1048" s="65" customFormat="1"/>
    <row r="1049" s="65" customFormat="1"/>
    <row r="1050" s="65" customFormat="1"/>
    <row r="1051" s="65" customFormat="1"/>
    <row r="1052" s="65" customFormat="1"/>
    <row r="1053" s="65" customFormat="1"/>
    <row r="1054" s="65" customFormat="1"/>
    <row r="1055" s="65" customFormat="1"/>
    <row r="1056" s="65" customFormat="1"/>
    <row r="1057" s="65" customFormat="1"/>
    <row r="1058" s="65" customFormat="1"/>
    <row r="1059" s="65" customFormat="1"/>
    <row r="1060" s="65" customFormat="1"/>
    <row r="1061" s="65" customFormat="1"/>
    <row r="1062" s="65" customFormat="1"/>
    <row r="1063" s="65" customFormat="1"/>
    <row r="1064" s="65" customFormat="1"/>
    <row r="1065" s="65" customFormat="1"/>
    <row r="1066" s="65" customFormat="1"/>
    <row r="1067" s="65" customFormat="1"/>
    <row r="1068" s="65" customFormat="1"/>
    <row r="1069" s="65" customFormat="1"/>
    <row r="1070" s="65" customFormat="1"/>
    <row r="1071" s="65" customFormat="1"/>
    <row r="1072" s="65" customFormat="1"/>
    <row r="1073" s="65" customFormat="1"/>
    <row r="1074" s="65" customFormat="1"/>
    <row r="1075" s="65" customFormat="1"/>
    <row r="1076" s="65" customFormat="1"/>
    <row r="1077" s="65" customFormat="1"/>
    <row r="1078" s="65" customFormat="1"/>
    <row r="1079" s="65" customFormat="1"/>
    <row r="1080" s="65" customFormat="1"/>
    <row r="1081" s="65" customFormat="1"/>
    <row r="1082" s="65" customFormat="1"/>
    <row r="1083" s="65" customFormat="1"/>
    <row r="1084" s="65" customFormat="1"/>
    <row r="1085" s="65" customFormat="1"/>
    <row r="1086" s="65" customFormat="1"/>
    <row r="1087" s="65" customFormat="1"/>
    <row r="1088" s="65" customFormat="1"/>
    <row r="1089" s="65" customFormat="1"/>
    <row r="1090" s="65" customFormat="1"/>
    <row r="1091" s="65" customFormat="1"/>
    <row r="1092" s="65" customFormat="1"/>
    <row r="1093" s="65" customFormat="1"/>
    <row r="1094" s="65" customFormat="1"/>
    <row r="1095" s="65" customFormat="1"/>
    <row r="1096" s="65" customFormat="1"/>
    <row r="1097" s="65" customFormat="1"/>
    <row r="1098" s="65" customFormat="1"/>
    <row r="1099" s="65" customFormat="1"/>
    <row r="1100" s="65" customFormat="1"/>
    <row r="1101" s="65" customFormat="1"/>
    <row r="1102" s="65" customFormat="1"/>
    <row r="1103" s="65" customFormat="1"/>
    <row r="1104" s="65" customFormat="1"/>
    <row r="1105" s="65" customFormat="1"/>
    <row r="1106" s="65" customFormat="1"/>
    <row r="1107" s="65" customFormat="1"/>
    <row r="1108" s="65" customFormat="1"/>
    <row r="1109" s="65" customFormat="1"/>
    <row r="1110" s="65" customFormat="1"/>
    <row r="1111" s="65" customFormat="1"/>
    <row r="1112" s="65" customFormat="1"/>
    <row r="1113" s="65" customFormat="1"/>
    <row r="1114" s="65" customFormat="1"/>
    <row r="1115" s="65" customFormat="1"/>
    <row r="1116" s="65" customFormat="1"/>
    <row r="1117" s="65" customFormat="1"/>
    <row r="1118" s="65" customFormat="1"/>
    <row r="1119" s="65" customFormat="1"/>
    <row r="1120" s="65" customFormat="1"/>
    <row r="1121" s="65" customFormat="1"/>
    <row r="1122" s="65" customFormat="1"/>
    <row r="1123" s="65" customFormat="1"/>
    <row r="1124" s="65" customFormat="1"/>
    <row r="1125" s="65" customFormat="1"/>
    <row r="1126" s="65" customFormat="1"/>
    <row r="1127" s="65" customFormat="1"/>
    <row r="1128" s="65" customFormat="1"/>
    <row r="1129" s="65" customFormat="1"/>
    <row r="1130" s="65" customFormat="1"/>
    <row r="1131" s="65" customFormat="1"/>
    <row r="1132" s="65" customFormat="1"/>
    <row r="1133" s="65" customFormat="1"/>
    <row r="1134" s="65" customFormat="1"/>
    <row r="1135" s="65" customFormat="1"/>
    <row r="1136" s="65" customFormat="1"/>
    <row r="1137" s="65" customFormat="1"/>
    <row r="1138" s="65" customFormat="1"/>
    <row r="1139" s="65" customFormat="1"/>
    <row r="1140" s="65" customFormat="1"/>
    <row r="1141" s="65" customFormat="1"/>
    <row r="1142" s="65" customFormat="1"/>
    <row r="1143" s="65" customFormat="1"/>
    <row r="1144" s="65" customFormat="1"/>
    <row r="1145" s="65" customFormat="1"/>
    <row r="1146" s="65" customFormat="1"/>
    <row r="1147" s="65" customFormat="1"/>
    <row r="1148" s="65" customFormat="1"/>
    <row r="1149" s="65" customFormat="1"/>
    <row r="1150" s="65" customFormat="1"/>
    <row r="1151" s="65" customFormat="1"/>
    <row r="1152" s="65" customFormat="1"/>
    <row r="1153" s="65" customFormat="1"/>
    <row r="1154" s="65" customFormat="1"/>
    <row r="1155" s="65" customFormat="1"/>
    <row r="1156" s="65" customFormat="1"/>
    <row r="1157" s="65" customFormat="1"/>
    <row r="1158" s="65" customFormat="1"/>
    <row r="1159" s="65" customFormat="1"/>
    <row r="1160" s="65" customFormat="1"/>
    <row r="1161" s="65" customFormat="1"/>
    <row r="1162" s="65" customFormat="1"/>
    <row r="1163" s="65" customFormat="1"/>
    <row r="1164" s="65" customFormat="1"/>
    <row r="1165" s="65" customFormat="1"/>
    <row r="1166" s="65" customFormat="1"/>
    <row r="1167" s="65" customFormat="1"/>
    <row r="1168" s="65" customFormat="1"/>
    <row r="1169" s="65" customFormat="1"/>
    <row r="1170" s="65" customFormat="1"/>
    <row r="1171" s="65" customFormat="1"/>
    <row r="1172" s="65" customFormat="1"/>
    <row r="1173" s="65" customFormat="1"/>
    <row r="1174" s="65" customFormat="1"/>
    <row r="1175" s="65" customFormat="1"/>
    <row r="1176" s="65" customFormat="1"/>
    <row r="1177" s="65" customFormat="1"/>
    <row r="1178" s="65" customFormat="1"/>
    <row r="1179" s="65" customFormat="1"/>
    <row r="1180" s="65" customFormat="1"/>
    <row r="1181" s="65" customFormat="1"/>
    <row r="1182" s="65" customFormat="1"/>
    <row r="1183" s="65" customFormat="1"/>
    <row r="1184" s="65" customFormat="1"/>
    <row r="1185" s="65" customFormat="1"/>
    <row r="1186" s="65" customFormat="1"/>
    <row r="1187" s="65" customFormat="1"/>
    <row r="1188" s="65" customFormat="1"/>
    <row r="1189" s="65" customFormat="1"/>
    <row r="1190" s="65" customFormat="1"/>
    <row r="1191" s="65" customFormat="1"/>
    <row r="1192" s="65" customFormat="1"/>
    <row r="1193" s="65" customFormat="1"/>
    <row r="1194" s="65" customFormat="1"/>
    <row r="1195" s="65" customFormat="1"/>
    <row r="1196" s="65" customFormat="1"/>
    <row r="1197" s="65" customFormat="1"/>
    <row r="1198" s="65" customFormat="1"/>
    <row r="1199" s="65" customFormat="1"/>
    <row r="1200" s="65" customFormat="1"/>
    <row r="1201" s="65" customFormat="1"/>
    <row r="1202" s="65" customFormat="1"/>
    <row r="1203" s="65" customFormat="1"/>
    <row r="1204" s="65" customFormat="1"/>
    <row r="1205" s="65" customFormat="1"/>
    <row r="1206" s="65" customFormat="1"/>
    <row r="1207" s="65" customFormat="1"/>
    <row r="1208" s="65" customFormat="1"/>
    <row r="1209" s="65" customFormat="1"/>
    <row r="1210" s="65" customFormat="1"/>
    <row r="1211" s="65" customFormat="1"/>
    <row r="1212" s="65" customFormat="1"/>
    <row r="1213" s="65" customFormat="1"/>
    <row r="1214" s="65" customFormat="1"/>
    <row r="1215" s="65" customFormat="1"/>
    <row r="1216" s="65" customFormat="1"/>
    <row r="1217" s="65" customFormat="1"/>
    <row r="1218" s="65" customFormat="1"/>
    <row r="1219" s="65" customFormat="1"/>
    <row r="1220" s="65" customFormat="1"/>
    <row r="1221" s="65" customFormat="1"/>
    <row r="1222" s="65" customFormat="1"/>
    <row r="1223" s="65" customFormat="1"/>
    <row r="1224" s="65" customFormat="1"/>
    <row r="1225" s="65" customFormat="1"/>
    <row r="1226" s="65" customFormat="1"/>
    <row r="1227" s="65" customFormat="1"/>
    <row r="1228" s="65" customFormat="1"/>
    <row r="1229" s="65" customFormat="1"/>
    <row r="1230" s="65" customFormat="1"/>
    <row r="1231" s="65" customFormat="1"/>
    <row r="1232" s="65" customFormat="1"/>
    <row r="1233" s="65" customFormat="1"/>
    <row r="1234" s="65" customFormat="1"/>
    <row r="1235" s="65" customFormat="1"/>
    <row r="1236" s="65" customFormat="1"/>
    <row r="1237" s="65" customFormat="1"/>
    <row r="1238" s="65" customFormat="1"/>
    <row r="1239" s="65" customFormat="1"/>
    <row r="1240" s="65" customFormat="1"/>
    <row r="1241" s="65" customFormat="1"/>
    <row r="1242" s="65" customFormat="1"/>
    <row r="1243" s="65" customFormat="1"/>
    <row r="1244" s="65" customFormat="1"/>
    <row r="1245" s="65" customFormat="1"/>
    <row r="1246" s="65" customFormat="1"/>
    <row r="1247" s="65" customFormat="1"/>
    <row r="1248" s="65" customFormat="1"/>
    <row r="1249" s="65" customFormat="1"/>
    <row r="1250" s="65" customFormat="1"/>
    <row r="1251" s="65" customFormat="1"/>
    <row r="1252" s="65" customFormat="1"/>
    <row r="1253" s="65" customFormat="1"/>
    <row r="1254" s="65" customFormat="1"/>
    <row r="1255" s="65" customFormat="1"/>
    <row r="1256" s="65" customFormat="1"/>
    <row r="1257" s="65" customFormat="1"/>
    <row r="1258" s="65" customFormat="1"/>
    <row r="1259" s="65" customFormat="1"/>
    <row r="1260" s="65" customFormat="1"/>
    <row r="1261" s="65" customFormat="1"/>
    <row r="1262" s="65" customFormat="1"/>
    <row r="1263" s="65" customFormat="1"/>
    <row r="1264" s="65" customFormat="1"/>
    <row r="1265" s="65" customFormat="1"/>
    <row r="1266" s="65" customFormat="1"/>
    <row r="1267" s="65" customFormat="1"/>
    <row r="1268" s="65" customFormat="1"/>
    <row r="1269" s="65" customFormat="1"/>
    <row r="1270" s="65" customFormat="1"/>
    <row r="1271" s="65" customFormat="1"/>
    <row r="1272" s="65" customFormat="1"/>
    <row r="1273" s="65" customFormat="1"/>
    <row r="1274" s="65" customFormat="1"/>
    <row r="1275" s="65" customFormat="1"/>
    <row r="1276" s="65" customFormat="1"/>
    <row r="1277" s="65" customFormat="1"/>
    <row r="1278" s="65" customFormat="1"/>
    <row r="1279" s="65" customFormat="1"/>
    <row r="1280" s="65" customFormat="1"/>
    <row r="1281" s="65" customFormat="1"/>
    <row r="1282" s="65" customFormat="1"/>
    <row r="1283" s="65" customFormat="1"/>
    <row r="1284" s="65" customFormat="1"/>
    <row r="1285" s="65" customFormat="1"/>
    <row r="1286" s="65" customFormat="1"/>
    <row r="1287" s="65" customFormat="1"/>
    <row r="1288" s="65" customFormat="1"/>
    <row r="1289" s="65" customFormat="1"/>
    <row r="1290" s="65" customFormat="1"/>
    <row r="1291" s="65" customFormat="1"/>
    <row r="1292" s="65" customFormat="1"/>
    <row r="1293" s="65" customFormat="1"/>
    <row r="1294" s="65" customFormat="1"/>
    <row r="1295" s="65" customFormat="1"/>
    <row r="1296" s="65" customFormat="1"/>
    <row r="1297" s="65" customFormat="1"/>
    <row r="1298" s="65" customFormat="1"/>
    <row r="1299" s="65" customFormat="1"/>
    <row r="1300" s="65" customFormat="1"/>
    <row r="1301" s="65" customFormat="1"/>
    <row r="1302" s="65" customFormat="1"/>
    <row r="1303" s="65" customFormat="1"/>
    <row r="1304" s="65" customFormat="1"/>
    <row r="1305" s="65" customFormat="1"/>
    <row r="1306" s="65" customFormat="1"/>
    <row r="1307" s="65" customFormat="1"/>
    <row r="1308" s="65" customFormat="1"/>
    <row r="1309" s="65" customFormat="1"/>
    <row r="1310" s="65" customFormat="1"/>
    <row r="1311" s="65" customFormat="1"/>
    <row r="1312" s="65" customFormat="1"/>
    <row r="1313" s="65" customFormat="1"/>
    <row r="1314" s="65" customFormat="1"/>
    <row r="1315" s="65" customFormat="1"/>
    <row r="1316" s="65" customFormat="1"/>
    <row r="1317" s="65" customFormat="1"/>
    <row r="1318" s="65" customFormat="1"/>
    <row r="1319" s="65" customFormat="1"/>
    <row r="1320" s="65" customFormat="1"/>
    <row r="1321" s="65" customFormat="1"/>
    <row r="1322" s="65" customFormat="1"/>
    <row r="1323" s="65" customFormat="1"/>
    <row r="1324" s="65" customFormat="1"/>
    <row r="1325" s="65" customFormat="1"/>
    <row r="1326" s="65" customFormat="1"/>
    <row r="1327" s="65" customFormat="1"/>
    <row r="1328" s="65" customFormat="1"/>
    <row r="1329" s="65" customFormat="1"/>
    <row r="1330" s="65" customFormat="1"/>
    <row r="1331" s="65" customFormat="1"/>
    <row r="1332" s="65" customFormat="1"/>
    <row r="1333" s="65" customFormat="1"/>
    <row r="1334" s="65" customFormat="1"/>
    <row r="1335" s="65" customFormat="1"/>
    <row r="1336" s="65" customFormat="1"/>
    <row r="1337" s="65" customFormat="1"/>
    <row r="1338" s="65" customFormat="1"/>
    <row r="1339" s="65" customFormat="1"/>
    <row r="1340" s="65" customFormat="1"/>
    <row r="1341" s="65" customFormat="1"/>
    <row r="1342" s="65" customFormat="1"/>
    <row r="1343" s="65" customFormat="1"/>
    <row r="1344" s="65" customFormat="1"/>
    <row r="1345" s="65" customFormat="1"/>
    <row r="1346" s="65" customFormat="1"/>
    <row r="1347" s="65" customFormat="1"/>
    <row r="1348" s="65" customFormat="1"/>
    <row r="1349" s="65" customFormat="1"/>
    <row r="1350" s="65" customFormat="1"/>
    <row r="1351" s="65" customFormat="1"/>
    <row r="1352" s="65" customFormat="1"/>
    <row r="1353" s="65" customFormat="1"/>
    <row r="1354" s="65" customFormat="1"/>
    <row r="1355" s="65" customFormat="1"/>
    <row r="1356" s="65" customFormat="1"/>
    <row r="1357" s="65" customFormat="1"/>
    <row r="1358" s="65" customFormat="1"/>
    <row r="1359" s="65" customFormat="1"/>
    <row r="1360" s="65" customFormat="1"/>
    <row r="1361" s="65" customFormat="1"/>
    <row r="1362" s="65" customFormat="1"/>
    <row r="1363" s="65" customFormat="1"/>
    <row r="1364" s="65" customFormat="1"/>
    <row r="1365" s="65" customFormat="1"/>
    <row r="1366" s="65" customFormat="1"/>
    <row r="1367" s="65" customFormat="1"/>
    <row r="1368" s="65" customFormat="1"/>
    <row r="1369" s="65" customFormat="1"/>
    <row r="1370" s="65" customFormat="1"/>
    <row r="1371" s="65" customFormat="1"/>
    <row r="1372" s="65" customFormat="1"/>
    <row r="1373" s="65" customFormat="1"/>
    <row r="1374" s="65" customFormat="1"/>
    <row r="1375" s="65" customFormat="1"/>
    <row r="1376" s="65" customFormat="1"/>
    <row r="1377" s="65" customFormat="1"/>
    <row r="1378" s="65" customFormat="1"/>
    <row r="1379" s="65" customFormat="1"/>
    <row r="1380" s="65" customFormat="1"/>
    <row r="1381" s="65" customFormat="1"/>
    <row r="1382" s="65" customFormat="1"/>
    <row r="1383" s="65" customFormat="1"/>
    <row r="1384" s="65" customFormat="1"/>
    <row r="1385" s="65" customFormat="1"/>
    <row r="1386" s="65" customFormat="1"/>
    <row r="1387" s="65" customFormat="1"/>
    <row r="1388" s="65" customFormat="1"/>
    <row r="1389" s="65" customFormat="1"/>
    <row r="1390" s="65" customFormat="1"/>
    <row r="1391" s="65" customFormat="1"/>
    <row r="1392" s="65" customFormat="1"/>
    <row r="1393" s="65" customFormat="1"/>
    <row r="1394" s="65" customFormat="1"/>
    <row r="1395" s="65" customFormat="1"/>
    <row r="1396" s="65" customFormat="1"/>
    <row r="1397" s="65" customFormat="1"/>
    <row r="1398" s="65" customFormat="1"/>
    <row r="1399" s="65" customFormat="1"/>
    <row r="1400" s="65" customFormat="1"/>
    <row r="1401" s="65" customFormat="1"/>
    <row r="1402" s="65" customFormat="1"/>
    <row r="1403" s="65" customFormat="1"/>
    <row r="1404" s="65" customFormat="1"/>
    <row r="1405" s="65" customFormat="1"/>
    <row r="1406" s="65" customFormat="1"/>
    <row r="1407" s="65" customFormat="1"/>
    <row r="1408" s="65" customFormat="1"/>
    <row r="1409" s="65" customFormat="1"/>
    <row r="1410" s="65" customFormat="1"/>
    <row r="1411" s="65" customFormat="1"/>
    <row r="1412" s="65" customFormat="1"/>
    <row r="1413" s="65" customFormat="1"/>
    <row r="1414" s="65" customFormat="1"/>
    <row r="1415" s="65" customFormat="1"/>
    <row r="1416" s="65" customFormat="1"/>
    <row r="1417" s="65" customFormat="1"/>
    <row r="1418" s="65" customFormat="1"/>
    <row r="1419" s="65" customFormat="1"/>
    <row r="1420" s="65" customFormat="1"/>
    <row r="1421" s="65" customFormat="1"/>
    <row r="1422" s="65" customFormat="1"/>
    <row r="1423" s="65" customFormat="1"/>
    <row r="1424" s="65" customFormat="1"/>
    <row r="1425" s="65" customFormat="1"/>
    <row r="1426" s="65" customFormat="1"/>
    <row r="1427" s="65" customFormat="1"/>
    <row r="1428" s="65" customFormat="1"/>
    <row r="1429" s="65" customFormat="1"/>
    <row r="1430" s="65" customFormat="1"/>
    <row r="1431" s="65" customFormat="1"/>
    <row r="1432" s="65" customFormat="1"/>
    <row r="1433" s="65" customFormat="1"/>
    <row r="1434" s="65" customFormat="1"/>
    <row r="1435" s="65" customFormat="1"/>
    <row r="1436" s="65" customFormat="1"/>
    <row r="1437" s="65" customFormat="1"/>
    <row r="1438" s="65" customFormat="1"/>
    <row r="1439" s="65" customFormat="1"/>
    <row r="1440" s="65" customFormat="1"/>
    <row r="1441" s="65" customFormat="1"/>
    <row r="1442" s="65" customFormat="1"/>
    <row r="1443" s="65" customFormat="1"/>
    <row r="1444" s="65" customFormat="1"/>
    <row r="1445" s="65" customFormat="1"/>
    <row r="1446" s="65" customFormat="1"/>
    <row r="1447" s="65" customFormat="1"/>
    <row r="1448" s="65" customFormat="1"/>
    <row r="1449" s="65" customFormat="1"/>
    <row r="1450" s="65" customFormat="1"/>
    <row r="1451" s="65" customFormat="1"/>
    <row r="1452" s="65" customFormat="1"/>
    <row r="1453" s="65" customFormat="1"/>
    <row r="1454" s="65" customFormat="1"/>
    <row r="1455" s="65" customFormat="1"/>
    <row r="1456" s="65" customFormat="1"/>
    <row r="1457" s="65" customFormat="1"/>
    <row r="1458" s="65" customFormat="1"/>
    <row r="1459" s="65" customFormat="1"/>
    <row r="1460" s="65" customFormat="1"/>
    <row r="1461" s="65" customFormat="1"/>
    <row r="1462" s="65" customFormat="1"/>
    <row r="1463" s="65" customFormat="1"/>
    <row r="1464" s="65" customFormat="1"/>
    <row r="1465" s="65" customFormat="1"/>
    <row r="1466" s="65" customFormat="1"/>
    <row r="1467" s="65" customFormat="1"/>
    <row r="1468" s="65" customFormat="1"/>
    <row r="1469" s="65" customFormat="1"/>
    <row r="1470" s="65" customFormat="1"/>
    <row r="1471" s="65" customFormat="1"/>
    <row r="1472" s="65" customFormat="1"/>
    <row r="1473" s="65" customFormat="1"/>
    <row r="1474" s="65" customFormat="1"/>
    <row r="1475" s="65" customFormat="1"/>
    <row r="1476" s="65" customFormat="1"/>
    <row r="1477" s="65" customFormat="1"/>
    <row r="1478" s="65" customFormat="1"/>
    <row r="1479" s="65" customFormat="1"/>
    <row r="1480" s="65" customFormat="1"/>
    <row r="1481" s="65" customFormat="1"/>
    <row r="1482" s="65" customFormat="1"/>
    <row r="1483" s="65" customFormat="1"/>
    <row r="1484" s="65" customFormat="1"/>
    <row r="1485" s="65" customFormat="1"/>
    <row r="1486" s="65" customFormat="1"/>
    <row r="1487" s="65" customFormat="1"/>
    <row r="1488" s="65" customFormat="1"/>
    <row r="1489" s="65" customFormat="1"/>
    <row r="1490" s="65" customFormat="1"/>
    <row r="1491" s="65" customFormat="1"/>
    <row r="1492" s="65" customFormat="1"/>
    <row r="1493" s="65" customFormat="1"/>
    <row r="1494" s="65" customFormat="1"/>
    <row r="1495" s="65" customFormat="1"/>
    <row r="1496" s="65" customFormat="1"/>
    <row r="1497" s="65" customFormat="1"/>
    <row r="1498" s="65" customFormat="1"/>
    <row r="1499" s="65" customFormat="1"/>
    <row r="1500" s="65" customFormat="1"/>
    <row r="1501" s="65" customFormat="1"/>
    <row r="1502" s="65" customFormat="1"/>
    <row r="1503" s="65" customFormat="1"/>
    <row r="1504" s="65" customFormat="1"/>
    <row r="1505" s="65" customFormat="1"/>
    <row r="1506" s="65" customFormat="1"/>
    <row r="1507" s="65" customFormat="1"/>
    <row r="1508" s="65" customFormat="1"/>
    <row r="1509" s="65" customFormat="1"/>
    <row r="1510" s="65" customFormat="1"/>
    <row r="1511" s="65" customFormat="1"/>
    <row r="1512" s="65" customFormat="1"/>
    <row r="1513" s="65" customFormat="1"/>
    <row r="1514" s="65" customFormat="1"/>
    <row r="1515" s="65" customFormat="1"/>
    <row r="1516" s="65" customFormat="1"/>
    <row r="1517" s="65" customFormat="1"/>
    <row r="1518" s="65" customFormat="1"/>
    <row r="1519" s="65" customFormat="1"/>
    <row r="1520" s="65" customFormat="1"/>
    <row r="1521" s="65" customFormat="1"/>
    <row r="1522" s="65" customFormat="1"/>
    <row r="1523" s="65" customFormat="1"/>
    <row r="1524" s="65" customFormat="1"/>
    <row r="1525" s="65" customFormat="1"/>
    <row r="1526" s="65" customFormat="1"/>
    <row r="1527" s="65" customFormat="1"/>
    <row r="1528" s="65" customFormat="1"/>
    <row r="1529" s="65" customFormat="1"/>
    <row r="1530" s="65" customFormat="1"/>
    <row r="1531" s="65" customFormat="1"/>
    <row r="1532" s="65" customFormat="1"/>
    <row r="1533" s="65" customFormat="1"/>
    <row r="1534" s="65" customFormat="1"/>
    <row r="1535" s="65" customFormat="1"/>
    <row r="1536" s="65" customFormat="1"/>
    <row r="1537" s="65" customFormat="1"/>
    <row r="1538" s="65" customFormat="1"/>
    <row r="1539" s="65" customFormat="1"/>
    <row r="1540" s="65" customFormat="1"/>
    <row r="1541" s="65" customFormat="1"/>
    <row r="1542" s="65" customFormat="1"/>
    <row r="1543" s="65" customFormat="1"/>
    <row r="1544" s="65" customFormat="1"/>
    <row r="1545" s="65" customFormat="1"/>
    <row r="1546" s="65" customFormat="1"/>
    <row r="1547" s="65" customFormat="1"/>
    <row r="1548" s="65" customFormat="1"/>
    <row r="1549" s="65" customFormat="1"/>
    <row r="1550" s="65" customFormat="1"/>
    <row r="1551" s="65" customFormat="1"/>
    <row r="1552" s="65" customFormat="1"/>
    <row r="1553" s="65" customFormat="1"/>
    <row r="1554" s="65" customFormat="1"/>
    <row r="1555" s="65" customFormat="1"/>
    <row r="1556" s="65" customFormat="1"/>
    <row r="1557" s="65" customFormat="1"/>
    <row r="1558" s="65" customFormat="1"/>
    <row r="1559" s="65" customFormat="1"/>
    <row r="1560" s="65" customFormat="1"/>
    <row r="1561" s="65" customFormat="1"/>
    <row r="1562" s="65" customFormat="1"/>
    <row r="1563" s="65" customFormat="1"/>
    <row r="1564" s="65" customFormat="1"/>
    <row r="1565" s="65" customFormat="1"/>
    <row r="1566" s="65" customFormat="1"/>
    <row r="1567" s="65" customFormat="1"/>
    <row r="1568" s="65" customFormat="1"/>
    <row r="1569" s="65" customFormat="1"/>
    <row r="1570" s="65" customFormat="1"/>
    <row r="1571" s="65" customFormat="1"/>
    <row r="1572" s="65" customFormat="1"/>
    <row r="1573" s="65" customFormat="1"/>
    <row r="1574" s="65" customFormat="1"/>
    <row r="1575" s="65" customFormat="1"/>
    <row r="1576" s="65" customFormat="1"/>
    <row r="1577" s="65" customFormat="1"/>
    <row r="1578" s="65" customFormat="1"/>
    <row r="1579" s="65" customFormat="1"/>
    <row r="1580" s="65" customFormat="1"/>
    <row r="1581" s="65" customFormat="1"/>
    <row r="1582" s="65" customFormat="1"/>
    <row r="1583" s="65" customFormat="1"/>
    <row r="1584" s="65" customFormat="1"/>
    <row r="1585" s="65" customFormat="1"/>
    <row r="1586" s="65" customFormat="1"/>
    <row r="1587" s="65" customFormat="1"/>
    <row r="1588" s="65" customFormat="1"/>
    <row r="1589" s="65" customFormat="1"/>
    <row r="1590" s="65" customFormat="1"/>
    <row r="1591" s="65" customFormat="1"/>
    <row r="1592" s="65" customFormat="1"/>
    <row r="1593" s="65" customFormat="1"/>
    <row r="1594" s="65" customFormat="1"/>
    <row r="1595" s="65" customFormat="1"/>
    <row r="1596" s="65" customFormat="1"/>
    <row r="1597" s="65" customFormat="1"/>
    <row r="1598" s="65" customFormat="1"/>
    <row r="1599" s="65" customFormat="1"/>
    <row r="1600" s="65" customFormat="1"/>
    <row r="1601" s="65" customFormat="1"/>
    <row r="1602" s="65" customFormat="1"/>
    <row r="1603" s="65" customFormat="1"/>
    <row r="1604" s="65" customFormat="1"/>
    <row r="1605" s="65" customFormat="1"/>
    <row r="1606" s="65" customFormat="1"/>
    <row r="1607" s="65" customFormat="1"/>
    <row r="1608" s="65" customFormat="1"/>
    <row r="1609" s="65" customFormat="1"/>
    <row r="1610" s="65" customFormat="1"/>
    <row r="1611" s="65" customFormat="1"/>
    <row r="1612" s="65" customFormat="1"/>
    <row r="1613" s="65" customFormat="1"/>
    <row r="1614" s="65" customFormat="1"/>
    <row r="1615" s="65" customFormat="1"/>
    <row r="1616" s="65" customFormat="1"/>
    <row r="1617" s="65" customFormat="1"/>
    <row r="1618" s="65" customFormat="1"/>
    <row r="1619" s="65" customFormat="1"/>
    <row r="1620" s="65" customFormat="1"/>
    <row r="1621" s="65" customFormat="1"/>
    <row r="1622" s="65" customFormat="1"/>
    <row r="1623" s="65" customFormat="1"/>
    <row r="1624" s="65" customFormat="1"/>
    <row r="1625" s="65" customFormat="1"/>
    <row r="1626" s="65" customFormat="1"/>
    <row r="1627" s="65" customFormat="1"/>
    <row r="1628" s="65" customFormat="1"/>
    <row r="1629" s="65" customFormat="1"/>
    <row r="1630" s="65" customFormat="1"/>
    <row r="1631" s="65" customFormat="1"/>
    <row r="1632" s="65" customFormat="1"/>
    <row r="1633" s="65" customFormat="1"/>
    <row r="1634" s="65" customFormat="1"/>
    <row r="1635" s="65" customFormat="1"/>
    <row r="1636" s="65" customFormat="1"/>
    <row r="1637" s="65" customFormat="1"/>
    <row r="1638" s="65" customFormat="1"/>
    <row r="1639" s="65" customFormat="1"/>
    <row r="1640" s="65" customFormat="1"/>
    <row r="1641" s="65" customFormat="1"/>
    <row r="1642" s="65" customFormat="1"/>
    <row r="1643" s="65" customFormat="1"/>
    <row r="1644" s="65" customFormat="1"/>
    <row r="1645" s="65" customFormat="1"/>
    <row r="1646" s="65" customFormat="1"/>
    <row r="1647" s="65" customFormat="1"/>
    <row r="1648" s="65" customFormat="1"/>
    <row r="1649" s="65" customFormat="1"/>
    <row r="1650" s="65" customFormat="1"/>
    <row r="1651" s="65" customFormat="1"/>
    <row r="1652" s="65" customFormat="1"/>
    <row r="1653" s="65" customFormat="1"/>
    <row r="1654" s="65" customFormat="1"/>
    <row r="1655" s="65" customFormat="1"/>
    <row r="1656" s="65" customFormat="1"/>
    <row r="1657" s="65" customFormat="1"/>
    <row r="1658" s="65" customFormat="1"/>
    <row r="1659" s="65" customFormat="1"/>
    <row r="1660" s="65" customFormat="1"/>
    <row r="1661" s="65" customFormat="1"/>
    <row r="1662" s="65" customFormat="1"/>
    <row r="1663" s="65" customFormat="1"/>
    <row r="1664" s="65" customFormat="1"/>
    <row r="1665" s="65" customFormat="1"/>
    <row r="1666" s="65" customFormat="1"/>
    <row r="1667" s="65" customFormat="1"/>
    <row r="1668" s="65" customFormat="1"/>
    <row r="1669" s="65" customFormat="1"/>
    <row r="1670" s="65" customFormat="1"/>
    <row r="1671" s="65" customFormat="1"/>
    <row r="1672" s="65" customFormat="1"/>
    <row r="1673" s="65" customFormat="1"/>
    <row r="1674" s="65" customFormat="1"/>
    <row r="1675" s="65" customFormat="1"/>
    <row r="1676" s="65" customFormat="1"/>
    <row r="1677" s="65" customFormat="1"/>
    <row r="1678" s="65" customFormat="1"/>
    <row r="1679" s="65" customFormat="1"/>
    <row r="1680" s="65" customFormat="1"/>
    <row r="1681" s="65" customFormat="1"/>
    <row r="1682" s="65" customFormat="1"/>
    <row r="1683" s="65" customFormat="1"/>
    <row r="1684" s="65" customFormat="1"/>
    <row r="1685" s="65" customFormat="1"/>
    <row r="1686" s="65" customFormat="1"/>
    <row r="1687" s="65" customFormat="1"/>
    <row r="1688" s="65" customFormat="1"/>
    <row r="1689" s="65" customFormat="1"/>
    <row r="1690" s="65" customFormat="1"/>
    <row r="1691" s="65" customFormat="1"/>
    <row r="1692" s="65" customFormat="1"/>
    <row r="1693" s="65" customFormat="1"/>
    <row r="1694" s="65" customFormat="1"/>
    <row r="1695" s="65" customFormat="1"/>
    <row r="1696" s="65" customFormat="1"/>
    <row r="1697" s="65" customFormat="1"/>
    <row r="1698" s="65" customFormat="1"/>
    <row r="1699" s="65" customFormat="1"/>
    <row r="1700" s="65" customFormat="1"/>
    <row r="1701" s="65" customFormat="1"/>
    <row r="1702" s="65" customFormat="1"/>
    <row r="1703" s="65" customFormat="1"/>
    <row r="1704" s="65" customFormat="1"/>
    <row r="1705" s="65" customFormat="1"/>
    <row r="1706" s="65" customFormat="1"/>
    <row r="1707" s="65" customFormat="1"/>
    <row r="1708" s="65" customFormat="1"/>
    <row r="1709" s="65" customFormat="1"/>
    <row r="1710" s="65" customFormat="1"/>
    <row r="1711" s="65" customFormat="1"/>
    <row r="1712" s="65" customFormat="1"/>
    <row r="1713" s="65" customFormat="1"/>
    <row r="1714" s="65" customFormat="1"/>
    <row r="1715" s="65" customFormat="1"/>
    <row r="1716" s="65" customFormat="1"/>
    <row r="1717" s="65" customFormat="1"/>
    <row r="1718" s="65" customFormat="1"/>
    <row r="1719" s="65" customFormat="1"/>
    <row r="1720" s="65" customFormat="1"/>
    <row r="1721" s="65" customFormat="1"/>
    <row r="1722" s="65" customFormat="1"/>
    <row r="1723" s="65" customFormat="1"/>
    <row r="1724" s="65" customFormat="1"/>
    <row r="1725" s="65" customFormat="1"/>
    <row r="1726" s="65" customFormat="1"/>
    <row r="1727" s="65" customFormat="1"/>
    <row r="1728" s="65" customFormat="1"/>
    <row r="1729" s="65" customFormat="1"/>
    <row r="1730" s="65" customFormat="1"/>
    <row r="1731" s="65" customFormat="1"/>
    <row r="1732" s="65" customFormat="1"/>
    <row r="1733" s="65" customFormat="1"/>
    <row r="1734" s="65" customFormat="1"/>
    <row r="1735" s="65" customFormat="1"/>
    <row r="1736" s="65" customFormat="1"/>
    <row r="1737" s="65" customFormat="1"/>
    <row r="1738" s="65" customFormat="1"/>
    <row r="1739" s="65" customFormat="1"/>
    <row r="1740" s="65" customFormat="1"/>
    <row r="1741" s="65" customFormat="1"/>
    <row r="1742" s="65" customFormat="1"/>
    <row r="1743" s="65" customFormat="1"/>
    <row r="1744" s="65" customFormat="1"/>
    <row r="1745" s="65" customFormat="1"/>
    <row r="1746" s="65" customFormat="1"/>
    <row r="1747" s="65" customFormat="1"/>
    <row r="1748" s="65" customFormat="1"/>
    <row r="1749" s="65" customFormat="1"/>
    <row r="1750" s="65" customFormat="1"/>
    <row r="1751" s="65" customFormat="1"/>
    <row r="1752" s="65" customFormat="1"/>
    <row r="1753" s="65" customFormat="1"/>
    <row r="1754" s="65" customFormat="1"/>
    <row r="1755" s="65" customFormat="1"/>
    <row r="1756" s="65" customFormat="1"/>
    <row r="1757" s="65" customFormat="1"/>
    <row r="1758" s="65" customFormat="1"/>
    <row r="1759" s="65" customFormat="1"/>
    <row r="1760" s="65" customFormat="1"/>
    <row r="1761" s="65" customFormat="1"/>
    <row r="1762" s="65" customFormat="1"/>
    <row r="1763" s="65" customFormat="1"/>
    <row r="1764" s="65" customFormat="1"/>
    <row r="1765" s="65" customFormat="1"/>
    <row r="1766" s="65" customFormat="1"/>
    <row r="1767" s="65" customFormat="1"/>
    <row r="1768" s="65" customFormat="1"/>
    <row r="1769" s="65" customFormat="1"/>
    <row r="1770" s="65" customFormat="1"/>
    <row r="1771" s="65" customFormat="1"/>
    <row r="1772" s="65" customFormat="1"/>
    <row r="1773" s="65" customFormat="1"/>
    <row r="1774" s="65" customFormat="1"/>
    <row r="1775" s="65" customFormat="1"/>
    <row r="1776" s="65" customFormat="1"/>
    <row r="1777" s="65" customFormat="1"/>
    <row r="1778" s="65" customFormat="1"/>
    <row r="1779" s="65" customFormat="1"/>
    <row r="1780" s="65" customFormat="1"/>
    <row r="1781" s="65" customFormat="1"/>
    <row r="1782" s="65" customFormat="1"/>
    <row r="1783" s="65" customFormat="1"/>
    <row r="1784" s="65" customFormat="1"/>
    <row r="1785" s="65" customFormat="1"/>
    <row r="1786" s="65" customFormat="1"/>
    <row r="1787" s="65" customFormat="1"/>
    <row r="1788" s="65" customFormat="1"/>
    <row r="1789" s="65" customFormat="1"/>
    <row r="1790" s="65" customFormat="1"/>
    <row r="1791" s="65" customFormat="1"/>
    <row r="1792" s="65" customFormat="1"/>
    <row r="1793" s="65" customFormat="1"/>
    <row r="1794" s="65" customFormat="1"/>
    <row r="1795" s="65" customFormat="1"/>
    <row r="1796" s="65" customFormat="1"/>
    <row r="1797" s="65" customFormat="1"/>
    <row r="1798" s="65" customFormat="1"/>
    <row r="1799" s="65" customFormat="1"/>
    <row r="1800" s="65" customFormat="1"/>
    <row r="1801" s="65" customFormat="1"/>
    <row r="1802" s="65" customFormat="1"/>
    <row r="1803" s="65" customFormat="1"/>
    <row r="1804" s="65" customFormat="1"/>
    <row r="1805" s="65" customFormat="1"/>
    <row r="1806" s="65" customFormat="1"/>
    <row r="1807" s="65" customFormat="1"/>
    <row r="1808" s="65" customFormat="1"/>
    <row r="1809" s="65" customFormat="1"/>
    <row r="1810" s="65" customFormat="1"/>
    <row r="1811" s="65" customFormat="1"/>
    <row r="1812" s="65" customFormat="1"/>
    <row r="1813" s="65" customFormat="1"/>
    <row r="1814" s="65" customFormat="1"/>
    <row r="1815" s="65" customFormat="1"/>
    <row r="1816" s="65" customFormat="1"/>
    <row r="1817" s="65" customFormat="1"/>
    <row r="1818" s="65" customFormat="1"/>
    <row r="1819" s="65" customFormat="1"/>
    <row r="1820" s="65" customFormat="1"/>
    <row r="1821" s="65" customFormat="1"/>
    <row r="1822" s="65" customFormat="1"/>
    <row r="1823" s="65" customFormat="1"/>
    <row r="1824" s="65" customFormat="1"/>
    <row r="1825" s="65" customFormat="1"/>
    <row r="1826" s="65" customFormat="1"/>
    <row r="1827" s="65" customFormat="1"/>
    <row r="1828" s="65" customFormat="1"/>
    <row r="1829" s="65" customFormat="1"/>
    <row r="1830" s="65" customFormat="1"/>
    <row r="1831" s="65" customFormat="1"/>
    <row r="1832" s="65" customFormat="1"/>
    <row r="1833" s="65" customFormat="1"/>
    <row r="1834" s="65" customFormat="1"/>
    <row r="1835" s="65" customFormat="1"/>
    <row r="1836" s="65" customFormat="1"/>
    <row r="1837" s="65" customFormat="1"/>
    <row r="1838" s="65" customFormat="1"/>
    <row r="1839" s="65" customFormat="1"/>
    <row r="1840" s="65" customFormat="1"/>
    <row r="1841" s="65" customFormat="1"/>
    <row r="1842" s="65" customFormat="1"/>
    <row r="1843" s="65" customFormat="1"/>
    <row r="1844" s="65" customFormat="1"/>
    <row r="1845" s="65" customFormat="1"/>
    <row r="1846" s="65" customFormat="1"/>
    <row r="1847" s="65" customFormat="1"/>
    <row r="1848" s="65" customFormat="1"/>
    <row r="1849" s="65" customFormat="1"/>
    <row r="1850" s="65" customFormat="1"/>
    <row r="1851" s="65" customFormat="1"/>
    <row r="1852" s="65" customFormat="1"/>
    <row r="1853" s="65" customFormat="1"/>
    <row r="1854" s="65" customFormat="1"/>
    <row r="1855" s="65" customFormat="1"/>
    <row r="1856" s="65" customFormat="1"/>
    <row r="1857" s="65" customFormat="1"/>
    <row r="1858" s="65" customFormat="1"/>
    <row r="1859" s="65" customFormat="1"/>
    <row r="1860" s="65" customFormat="1"/>
    <row r="1861" s="65" customFormat="1"/>
    <row r="1862" s="65" customFormat="1"/>
    <row r="1863" s="65" customFormat="1"/>
    <row r="1864" s="65" customFormat="1"/>
    <row r="1865" s="65" customFormat="1"/>
    <row r="1866" s="65" customFormat="1"/>
    <row r="1867" s="65" customFormat="1"/>
    <row r="1868" s="65" customFormat="1"/>
    <row r="1869" s="65" customFormat="1"/>
    <row r="1870" s="65" customFormat="1"/>
    <row r="1871" s="65" customFormat="1"/>
    <row r="1872" s="65" customFormat="1"/>
    <row r="1873" s="65" customFormat="1"/>
    <row r="1874" s="65" customFormat="1"/>
    <row r="1875" s="65" customFormat="1"/>
    <row r="1876" s="65" customFormat="1"/>
    <row r="1877" s="65" customFormat="1"/>
    <row r="1878" s="65" customFormat="1"/>
    <row r="1879" s="65" customFormat="1"/>
    <row r="1880" s="65" customFormat="1"/>
    <row r="1881" s="65" customFormat="1"/>
    <row r="1882" s="65" customFormat="1"/>
    <row r="1883" s="65" customFormat="1"/>
    <row r="1884" s="65" customFormat="1"/>
    <row r="1885" s="65" customFormat="1"/>
    <row r="1886" s="65" customFormat="1"/>
    <row r="1887" s="65" customFormat="1"/>
    <row r="1888" s="65" customFormat="1"/>
    <row r="1889" s="65" customFormat="1"/>
    <row r="1890" s="65" customFormat="1"/>
    <row r="1891" s="65" customFormat="1"/>
    <row r="1892" s="65" customFormat="1"/>
    <row r="1893" s="65" customFormat="1"/>
    <row r="1894" s="65" customFormat="1"/>
    <row r="1895" s="65" customFormat="1"/>
    <row r="1896" s="65" customFormat="1"/>
    <row r="1897" s="65" customFormat="1"/>
    <row r="1898" s="65" customFormat="1"/>
    <row r="1899" s="65" customFormat="1"/>
    <row r="1900" s="65" customFormat="1"/>
    <row r="1901" s="65" customFormat="1"/>
    <row r="1902" s="65" customFormat="1"/>
    <row r="1903" s="65" customFormat="1"/>
    <row r="1904" s="65" customFormat="1"/>
    <row r="1905" s="65" customFormat="1"/>
    <row r="1906" s="65" customFormat="1"/>
    <row r="1907" s="65" customFormat="1"/>
    <row r="1908" s="65" customFormat="1"/>
    <row r="1909" s="65" customFormat="1"/>
    <row r="1910" s="65" customFormat="1"/>
    <row r="1911" s="65" customFormat="1"/>
    <row r="1912" s="65" customFormat="1"/>
    <row r="1913" s="65" customFormat="1"/>
    <row r="1914" s="65" customFormat="1"/>
    <row r="1915" s="65" customFormat="1"/>
    <row r="1916" s="65" customFormat="1"/>
    <row r="1917" s="65" customFormat="1"/>
    <row r="1918" s="65" customFormat="1"/>
    <row r="1919" s="65" customFormat="1"/>
    <row r="1920" s="65" customFormat="1"/>
    <row r="1921" s="65" customFormat="1"/>
    <row r="1922" s="65" customFormat="1"/>
    <row r="1923" s="65" customFormat="1"/>
    <row r="1924" s="65" customFormat="1"/>
    <row r="1925" s="65" customFormat="1"/>
    <row r="1926" s="65" customFormat="1"/>
    <row r="1927" s="65" customFormat="1"/>
    <row r="1928" s="65" customFormat="1"/>
    <row r="1929" s="65" customFormat="1"/>
    <row r="1930" s="65" customFormat="1"/>
    <row r="1931" s="65" customFormat="1"/>
    <row r="1932" s="65" customFormat="1"/>
    <row r="1933" s="65" customFormat="1"/>
    <row r="1934" s="65" customFormat="1"/>
    <row r="1935" s="65" customFormat="1"/>
    <row r="1936" s="65" customFormat="1"/>
    <row r="1937" s="65" customFormat="1"/>
    <row r="1938" s="65" customFormat="1"/>
    <row r="1939" s="65" customFormat="1"/>
    <row r="1940" s="65" customFormat="1"/>
    <row r="1941" s="65" customFormat="1"/>
    <row r="1942" s="65" customFormat="1"/>
    <row r="1943" s="65" customFormat="1"/>
    <row r="1944" s="65" customFormat="1"/>
    <row r="1945" s="65" customFormat="1"/>
    <row r="1946" s="65" customFormat="1"/>
    <row r="1947" s="65" customFormat="1"/>
    <row r="1948" s="65" customFormat="1"/>
    <row r="1949" s="65" customFormat="1"/>
    <row r="1950" s="65" customFormat="1"/>
    <row r="1951" s="65" customFormat="1"/>
    <row r="1952" s="65" customFormat="1"/>
    <row r="1953" s="65" customFormat="1"/>
    <row r="1954" s="65" customFormat="1"/>
    <row r="1955" s="65" customFormat="1"/>
    <row r="1956" s="65" customFormat="1"/>
    <row r="1957" s="65" customFormat="1"/>
    <row r="1958" s="65" customFormat="1"/>
    <row r="1959" s="65" customFormat="1"/>
    <row r="1960" s="65" customFormat="1"/>
    <row r="1961" s="65" customFormat="1"/>
    <row r="1962" s="65" customFormat="1"/>
    <row r="1963" s="65" customFormat="1"/>
    <row r="1964" s="65" customFormat="1"/>
    <row r="1965" s="65" customFormat="1"/>
    <row r="1966" s="65" customFormat="1"/>
    <row r="1967" s="65" customFormat="1"/>
    <row r="1968" s="65" customFormat="1"/>
    <row r="1969" s="65" customFormat="1"/>
    <row r="1970" s="65" customFormat="1"/>
    <row r="1971" s="65" customFormat="1"/>
    <row r="1972" s="65" customFormat="1"/>
    <row r="1973" s="65" customFormat="1"/>
    <row r="1974" s="65" customFormat="1"/>
    <row r="1975" s="65" customFormat="1"/>
    <row r="1976" s="65" customFormat="1"/>
    <row r="1977" s="65" customFormat="1"/>
    <row r="1978" s="65" customFormat="1"/>
    <row r="1979" s="65" customFormat="1"/>
    <row r="1980" s="65" customFormat="1"/>
    <row r="1981" s="65" customFormat="1"/>
    <row r="1982" s="65" customFormat="1"/>
    <row r="1983" s="65" customFormat="1"/>
    <row r="1984" s="65" customFormat="1"/>
    <row r="1985" s="65" customFormat="1"/>
    <row r="1986" s="65" customFormat="1"/>
    <row r="1987" s="65" customFormat="1"/>
    <row r="1988" s="65" customFormat="1"/>
    <row r="1989" s="65" customFormat="1"/>
    <row r="1990" s="65" customFormat="1"/>
    <row r="1991" s="65" customFormat="1"/>
    <row r="1992" s="65" customFormat="1"/>
    <row r="1993" s="65" customFormat="1"/>
    <row r="1994" s="65" customFormat="1"/>
    <row r="1995" s="65" customFormat="1"/>
    <row r="1996" s="65" customFormat="1"/>
    <row r="1997" s="65" customFormat="1"/>
    <row r="1998" s="65" customFormat="1"/>
    <row r="1999" s="65" customFormat="1"/>
    <row r="2000" s="65" customFormat="1"/>
    <row r="2001" s="65" customFormat="1"/>
    <row r="2002" s="65" customFormat="1"/>
    <row r="2003" s="65" customFormat="1"/>
    <row r="2004" s="65" customFormat="1"/>
    <row r="2005" s="65" customFormat="1"/>
    <row r="2006" s="65" customFormat="1"/>
    <row r="2007" s="65" customFormat="1"/>
    <row r="2008" s="65" customFormat="1"/>
    <row r="2009" s="65" customFormat="1"/>
    <row r="2010" s="65" customFormat="1"/>
    <row r="2011" s="65" customFormat="1"/>
    <row r="2012" s="65" customFormat="1"/>
    <row r="2013" s="65" customFormat="1"/>
    <row r="2014" s="65" customFormat="1"/>
    <row r="2015" s="65" customFormat="1"/>
    <row r="2016" s="65" customFormat="1"/>
    <row r="2017" s="65" customFormat="1"/>
    <row r="2018" s="65" customFormat="1"/>
    <row r="2019" s="65" customFormat="1"/>
    <row r="2020" s="65" customFormat="1"/>
    <row r="2021" s="65" customFormat="1"/>
    <row r="2022" s="65" customFormat="1"/>
    <row r="2023" s="65" customFormat="1"/>
    <row r="2024" s="65" customFormat="1"/>
    <row r="2025" s="65" customFormat="1"/>
    <row r="2026" s="65" customFormat="1"/>
    <row r="2027" s="65" customFormat="1"/>
    <row r="2028" s="65" customFormat="1"/>
    <row r="2029" s="65" customFormat="1"/>
    <row r="2030" s="65" customFormat="1"/>
    <row r="2031" s="65" customFormat="1"/>
    <row r="2032" s="65" customFormat="1"/>
    <row r="2033" s="65" customFormat="1"/>
    <row r="2034" s="65" customFormat="1"/>
    <row r="2035" s="65" customFormat="1"/>
    <row r="2036" s="65" customFormat="1"/>
    <row r="2037" s="65" customFormat="1"/>
    <row r="2038" s="65" customFormat="1"/>
    <row r="2039" s="65" customFormat="1"/>
    <row r="2040" s="65" customFormat="1"/>
    <row r="2041" s="65" customFormat="1"/>
    <row r="2042" s="65" customFormat="1"/>
    <row r="2043" s="65" customFormat="1"/>
    <row r="2044" s="65" customFormat="1"/>
    <row r="2045" s="65" customFormat="1"/>
    <row r="2046" s="65" customFormat="1"/>
    <row r="2047" s="65" customFormat="1"/>
    <row r="2048" s="65" customFormat="1"/>
    <row r="2049" s="65" customFormat="1"/>
    <row r="2050" s="65" customFormat="1"/>
    <row r="2051" s="65" customFormat="1"/>
    <row r="2052" s="65" customFormat="1"/>
    <row r="2053" s="65" customFormat="1"/>
    <row r="2054" s="65" customFormat="1"/>
    <row r="2055" s="65" customFormat="1"/>
    <row r="2056" s="65" customFormat="1"/>
    <row r="2057" s="65" customFormat="1"/>
    <row r="2058" s="65" customFormat="1"/>
    <row r="2059" s="65" customFormat="1"/>
    <row r="2060" s="65" customFormat="1"/>
    <row r="2061" s="65" customFormat="1"/>
    <row r="2062" s="65" customFormat="1"/>
    <row r="2063" s="65" customFormat="1"/>
    <row r="2064" s="65" customFormat="1"/>
    <row r="2065" s="65" customFormat="1"/>
    <row r="2066" s="65" customFormat="1"/>
    <row r="2067" s="65" customFormat="1"/>
    <row r="2068" s="65" customFormat="1"/>
    <row r="2069" s="65" customFormat="1"/>
    <row r="2070" s="65" customFormat="1"/>
    <row r="2071" s="65" customFormat="1"/>
    <row r="2072" s="65" customFormat="1"/>
    <row r="2073" s="65" customFormat="1"/>
    <row r="2074" s="65" customFormat="1"/>
    <row r="2075" s="65" customFormat="1"/>
    <row r="2076" s="65" customFormat="1"/>
    <row r="2077" s="65" customFormat="1"/>
    <row r="2078" s="65" customFormat="1"/>
    <row r="2079" s="65" customFormat="1"/>
    <row r="2080" s="65" customFormat="1"/>
    <row r="2081" s="65" customFormat="1"/>
    <row r="2082" s="65" customFormat="1"/>
    <row r="2083" s="65" customFormat="1"/>
    <row r="2084" s="65" customFormat="1"/>
    <row r="2085" s="65" customFormat="1"/>
    <row r="2086" s="65" customFormat="1"/>
    <row r="2087" s="65" customFormat="1"/>
    <row r="2088" s="65" customFormat="1"/>
    <row r="2089" s="65" customFormat="1"/>
    <row r="2090" s="65" customFormat="1"/>
    <row r="2091" s="65" customFormat="1"/>
    <row r="2092" s="65" customFormat="1"/>
    <row r="2093" s="65" customFormat="1"/>
    <row r="2094" s="65" customFormat="1"/>
    <row r="2095" s="65" customFormat="1"/>
    <row r="2096" s="65" customFormat="1"/>
    <row r="2097" s="65" customFormat="1"/>
    <row r="2098" s="65" customFormat="1"/>
    <row r="2099" s="65" customFormat="1"/>
    <row r="2100" s="65" customFormat="1"/>
    <row r="2101" s="65" customFormat="1"/>
    <row r="2102" s="65" customFormat="1"/>
    <row r="2103" s="65" customFormat="1"/>
    <row r="2104" s="65" customFormat="1"/>
    <row r="2105" s="65" customFormat="1"/>
    <row r="2106" s="65" customFormat="1"/>
    <row r="2107" s="65" customFormat="1"/>
    <row r="2108" s="65" customFormat="1"/>
    <row r="2109" s="65" customFormat="1"/>
    <row r="2110" s="65" customFormat="1"/>
    <row r="2111" s="65" customFormat="1"/>
    <row r="2112" s="65" customFormat="1"/>
    <row r="2113" s="65" customFormat="1"/>
    <row r="2114" s="65" customFormat="1"/>
    <row r="2115" s="65" customFormat="1"/>
    <row r="2116" s="65" customFormat="1"/>
    <row r="2117" s="65" customFormat="1"/>
    <row r="2118" s="65" customFormat="1"/>
    <row r="2119" s="65" customFormat="1"/>
    <row r="2120" s="65" customFormat="1"/>
    <row r="2121" s="65" customFormat="1"/>
    <row r="2122" s="65" customFormat="1"/>
    <row r="2123" s="65" customFormat="1"/>
    <row r="2124" s="65" customFormat="1"/>
    <row r="2125" s="65" customFormat="1"/>
    <row r="2126" s="65" customFormat="1"/>
    <row r="2127" s="65" customFormat="1"/>
    <row r="2128" s="65" customFormat="1"/>
    <row r="2129" s="65" customFormat="1"/>
    <row r="2130" s="65" customFormat="1"/>
    <row r="2131" s="65" customFormat="1"/>
    <row r="2132" s="65" customFormat="1"/>
    <row r="2133" s="65" customFormat="1"/>
    <row r="2134" s="65" customFormat="1"/>
    <row r="2135" s="65" customFormat="1"/>
    <row r="2136" s="65" customFormat="1"/>
    <row r="2137" s="65" customFormat="1"/>
    <row r="2138" s="65" customFormat="1"/>
    <row r="2139" s="65" customFormat="1"/>
    <row r="2140" s="65" customFormat="1"/>
    <row r="2141" s="65" customFormat="1"/>
    <row r="2142" s="65" customFormat="1"/>
    <row r="2143" s="65" customFormat="1"/>
    <row r="2144" s="65" customFormat="1"/>
    <row r="2145" s="65" customFormat="1"/>
    <row r="2146" s="65" customFormat="1"/>
    <row r="2147" s="65" customFormat="1"/>
    <row r="2148" s="65" customFormat="1"/>
    <row r="2149" s="65" customFormat="1"/>
    <row r="2150" s="65" customFormat="1"/>
    <row r="2151" s="65" customFormat="1"/>
    <row r="2152" s="65" customFormat="1"/>
    <row r="2153" s="65" customFormat="1"/>
    <row r="2154" s="65" customFormat="1"/>
    <row r="2155" s="65" customFormat="1"/>
    <row r="2156" s="65" customFormat="1"/>
    <row r="2157" s="65" customFormat="1"/>
    <row r="2158" s="65" customFormat="1"/>
    <row r="2159" s="65" customFormat="1"/>
    <row r="2160" s="65" customFormat="1"/>
    <row r="2161" s="65" customFormat="1"/>
    <row r="2162" s="65" customFormat="1"/>
    <row r="2163" s="65" customFormat="1"/>
    <row r="2164" s="65" customFormat="1"/>
    <row r="2165" s="65" customFormat="1"/>
    <row r="2166" s="65" customFormat="1"/>
    <row r="2167" s="65" customFormat="1"/>
    <row r="2168" s="65" customFormat="1"/>
    <row r="2169" s="65" customFormat="1"/>
    <row r="2170" s="65" customFormat="1"/>
    <row r="2171" s="65" customFormat="1"/>
    <row r="2172" s="65" customFormat="1"/>
    <row r="2173" s="65" customFormat="1"/>
    <row r="2174" s="65" customFormat="1"/>
    <row r="2175" s="65" customFormat="1"/>
    <row r="2176" s="65" customFormat="1"/>
    <row r="2177" s="65" customFormat="1"/>
    <row r="2178" s="65" customFormat="1"/>
    <row r="2179" s="65" customFormat="1"/>
    <row r="2180" s="65" customFormat="1"/>
    <row r="2181" s="65" customFormat="1"/>
    <row r="2182" s="65" customFormat="1"/>
    <row r="2183" s="65" customFormat="1"/>
    <row r="2184" s="65" customFormat="1"/>
    <row r="2185" s="65" customFormat="1"/>
    <row r="2186" s="65" customFormat="1"/>
    <row r="2187" s="65" customFormat="1"/>
    <row r="2188" s="65" customFormat="1"/>
    <row r="2189" s="65" customFormat="1"/>
    <row r="2190" s="65" customFormat="1"/>
    <row r="2191" s="65" customFormat="1"/>
    <row r="2192" s="65" customFormat="1"/>
    <row r="2193" s="65" customFormat="1"/>
    <row r="2194" s="65" customFormat="1"/>
    <row r="2195" s="65" customFormat="1"/>
    <row r="2196" s="65" customFormat="1"/>
    <row r="2197" s="65" customFormat="1"/>
    <row r="2198" s="65" customFormat="1"/>
    <row r="2199" s="65" customFormat="1"/>
    <row r="2200" s="65" customFormat="1"/>
    <row r="2201" s="65" customFormat="1"/>
    <row r="2202" s="65" customFormat="1"/>
    <row r="2203" s="65" customFormat="1"/>
    <row r="2204" s="65" customFormat="1"/>
    <row r="2205" s="65" customFormat="1"/>
    <row r="2206" s="65" customFormat="1"/>
    <row r="2207" s="65" customFormat="1"/>
    <row r="2208" s="65" customFormat="1"/>
    <row r="2209" s="65" customFormat="1"/>
    <row r="2210" s="65" customFormat="1"/>
    <row r="2211" s="65" customFormat="1"/>
    <row r="2212" s="65" customFormat="1"/>
    <row r="2213" s="65" customFormat="1"/>
    <row r="2214" s="65" customFormat="1"/>
    <row r="2215" s="65" customFormat="1"/>
    <row r="2216" s="65" customFormat="1"/>
    <row r="2217" s="65" customFormat="1"/>
    <row r="2218" s="65" customFormat="1"/>
    <row r="2219" s="65" customFormat="1"/>
    <row r="2220" s="65" customFormat="1"/>
    <row r="2221" s="65" customFormat="1"/>
    <row r="2222" s="65" customFormat="1"/>
    <row r="2223" s="65" customFormat="1"/>
    <row r="2224" s="65" customFormat="1"/>
    <row r="2225" s="65" customFormat="1"/>
    <row r="2226" s="65" customFormat="1"/>
    <row r="2227" s="65" customFormat="1"/>
    <row r="2228" s="65" customFormat="1"/>
    <row r="2229" s="65" customFormat="1"/>
    <row r="2230" s="65" customFormat="1"/>
    <row r="2231" s="65" customFormat="1"/>
    <row r="2232" s="65" customFormat="1"/>
    <row r="2233" s="65" customFormat="1"/>
    <row r="2234" s="65" customFormat="1"/>
    <row r="2235" s="65" customFormat="1"/>
    <row r="2236" s="65" customFormat="1"/>
    <row r="2237" s="65" customFormat="1"/>
    <row r="2238" s="65" customFormat="1"/>
    <row r="2239" s="65" customFormat="1"/>
    <row r="2240" s="65" customFormat="1"/>
    <row r="2241" s="65" customFormat="1"/>
    <row r="2242" s="65" customFormat="1"/>
    <row r="2243" s="65" customFormat="1"/>
    <row r="2244" s="65" customFormat="1"/>
    <row r="2245" s="65" customFormat="1"/>
    <row r="2246" s="65" customFormat="1"/>
    <row r="2247" s="65" customFormat="1"/>
    <row r="2248" s="65" customFormat="1"/>
    <row r="2249" s="65" customFormat="1"/>
    <row r="2250" s="65" customFormat="1"/>
    <row r="2251" s="65" customFormat="1"/>
    <row r="2252" s="65" customFormat="1"/>
    <row r="2253" s="65" customFormat="1"/>
    <row r="2254" s="65" customFormat="1"/>
    <row r="2255" s="65" customFormat="1"/>
    <row r="2256" s="65" customFormat="1"/>
    <row r="2257" s="65" customFormat="1"/>
    <row r="2258" s="65" customFormat="1"/>
    <row r="2259" s="65" customFormat="1"/>
    <row r="2260" s="65" customFormat="1"/>
    <row r="2261" s="65" customFormat="1"/>
    <row r="2262" s="65" customFormat="1"/>
    <row r="2263" s="65" customFormat="1"/>
    <row r="2264" s="65" customFormat="1"/>
    <row r="2265" s="65" customFormat="1"/>
    <row r="2266" s="65" customFormat="1"/>
    <row r="2267" s="65" customFormat="1"/>
    <row r="2268" s="65" customFormat="1"/>
    <row r="2269" s="65" customFormat="1"/>
    <row r="2270" s="65" customFormat="1"/>
    <row r="2271" s="65" customFormat="1"/>
    <row r="2272" s="65" customFormat="1"/>
    <row r="2273" s="65" customFormat="1"/>
    <row r="2274" s="65" customFormat="1"/>
    <row r="2275" s="65" customFormat="1"/>
    <row r="2276" s="65" customFormat="1"/>
    <row r="2277" s="65" customFormat="1"/>
    <row r="2278" s="65" customFormat="1"/>
    <row r="2279" s="65" customFormat="1"/>
    <row r="2280" s="65" customFormat="1"/>
    <row r="2281" s="65" customFormat="1"/>
    <row r="2282" s="65" customFormat="1"/>
    <row r="2283" s="65" customFormat="1"/>
    <row r="2284" s="65" customFormat="1"/>
    <row r="2285" s="65" customFormat="1"/>
    <row r="2286" s="65" customFormat="1"/>
    <row r="2287" s="65" customFormat="1"/>
    <row r="2288" s="65" customFormat="1"/>
    <row r="2289" s="65" customFormat="1"/>
    <row r="2290" s="65" customFormat="1"/>
    <row r="2291" s="65" customFormat="1"/>
    <row r="2292" s="65" customFormat="1"/>
    <row r="2293" s="65" customFormat="1"/>
    <row r="2294" s="65" customFormat="1"/>
    <row r="2295" s="65" customFormat="1"/>
    <row r="2296" s="65" customFormat="1"/>
    <row r="2297" s="65" customFormat="1"/>
    <row r="2298" s="65" customFormat="1"/>
    <row r="2299" s="65" customFormat="1"/>
    <row r="2300" s="65" customFormat="1"/>
    <row r="2301" s="65" customFormat="1"/>
    <row r="2302" s="65" customFormat="1"/>
    <row r="2303" s="65" customFormat="1"/>
    <row r="2304" s="65" customFormat="1"/>
    <row r="2305" s="65" customFormat="1"/>
    <row r="2306" s="65" customFormat="1"/>
    <row r="2307" s="65" customFormat="1"/>
    <row r="2308" s="65" customFormat="1"/>
    <row r="2309" s="65" customFormat="1"/>
    <row r="2310" s="65" customFormat="1"/>
    <row r="2311" s="65" customFormat="1"/>
    <row r="2312" s="65" customFormat="1"/>
    <row r="2313" s="65" customFormat="1"/>
    <row r="2314" s="65" customFormat="1"/>
    <row r="2315" s="65" customFormat="1"/>
    <row r="2316" s="65" customFormat="1"/>
    <row r="2317" s="65" customFormat="1"/>
    <row r="2318" s="65" customFormat="1"/>
    <row r="2319" s="65" customFormat="1"/>
    <row r="2320" s="65" customFormat="1"/>
    <row r="2321" s="65" customFormat="1"/>
    <row r="2322" s="65" customFormat="1"/>
    <row r="2323" s="65" customFormat="1"/>
    <row r="2324" s="65" customFormat="1"/>
    <row r="2325" s="65" customFormat="1"/>
    <row r="2326" s="65" customFormat="1"/>
    <row r="2327" s="65" customFormat="1"/>
    <row r="2328" s="65" customFormat="1"/>
    <row r="2329" s="65" customFormat="1"/>
    <row r="2330" s="65" customFormat="1"/>
    <row r="2331" s="65" customFormat="1"/>
    <row r="2332" s="65" customFormat="1"/>
    <row r="2333" s="65" customFormat="1"/>
    <row r="2334" s="65" customFormat="1"/>
    <row r="2335" s="65" customFormat="1"/>
    <row r="2336" s="65" customFormat="1"/>
    <row r="2337" s="65" customFormat="1"/>
    <row r="2338" s="65" customFormat="1"/>
    <row r="2339" s="65" customFormat="1"/>
    <row r="2340" s="65" customFormat="1"/>
    <row r="2341" s="65" customFormat="1"/>
    <row r="2342" s="65" customFormat="1"/>
    <row r="2343" s="65" customFormat="1"/>
    <row r="2344" s="65" customFormat="1"/>
    <row r="2345" s="65" customFormat="1"/>
    <row r="2346" s="65" customFormat="1"/>
    <row r="2347" s="65" customFormat="1"/>
    <row r="2348" s="65" customFormat="1"/>
    <row r="2349" s="65" customFormat="1"/>
    <row r="2350" s="65" customFormat="1"/>
    <row r="2351" s="65" customFormat="1"/>
    <row r="2352" s="65" customFormat="1"/>
    <row r="2353" s="65" customFormat="1"/>
    <row r="2354" s="65" customFormat="1"/>
    <row r="2355" s="65" customFormat="1"/>
    <row r="2356" s="65" customFormat="1"/>
    <row r="2357" s="65" customFormat="1"/>
    <row r="2358" s="65" customFormat="1"/>
    <row r="2359" s="65" customFormat="1"/>
    <row r="2360" s="65" customFormat="1"/>
    <row r="2361" s="65" customFormat="1"/>
    <row r="2362" s="65" customFormat="1"/>
    <row r="2363" s="65" customFormat="1"/>
    <row r="2364" s="65" customFormat="1"/>
    <row r="2365" s="65" customFormat="1"/>
    <row r="2366" s="65" customFormat="1"/>
    <row r="2367" s="65" customFormat="1"/>
    <row r="2368" s="65" customFormat="1"/>
    <row r="2369" s="65" customFormat="1"/>
    <row r="2370" s="65" customFormat="1"/>
    <row r="2371" s="65" customFormat="1"/>
    <row r="2372" s="65" customFormat="1"/>
    <row r="2373" s="65" customFormat="1"/>
    <row r="2374" s="65" customFormat="1"/>
    <row r="2375" s="65" customFormat="1"/>
    <row r="2376" s="65" customFormat="1"/>
    <row r="2377" s="65" customFormat="1"/>
    <row r="2378" s="65" customFormat="1"/>
    <row r="2379" s="65" customFormat="1"/>
    <row r="2380" s="65" customFormat="1"/>
    <row r="2381" s="65" customFormat="1"/>
    <row r="2382" s="65" customFormat="1"/>
    <row r="2383" s="65" customFormat="1"/>
    <row r="2384" s="65" customFormat="1"/>
    <row r="2385" s="65" customFormat="1"/>
    <row r="2386" s="65" customFormat="1"/>
    <row r="2387" s="65" customFormat="1"/>
    <row r="2388" s="65" customFormat="1"/>
    <row r="2389" s="65" customFormat="1"/>
    <row r="2390" s="65" customFormat="1"/>
    <row r="2391" s="65" customFormat="1"/>
    <row r="2392" s="65" customFormat="1"/>
    <row r="2393" s="65" customFormat="1"/>
    <row r="2394" s="65" customFormat="1"/>
    <row r="2395" s="65" customFormat="1"/>
    <row r="2396" s="65" customFormat="1"/>
    <row r="2397" s="65" customFormat="1"/>
    <row r="2398" s="65" customFormat="1"/>
    <row r="2399" s="65" customFormat="1"/>
    <row r="2400" s="65" customFormat="1"/>
    <row r="2401" s="65" customFormat="1"/>
    <row r="2402" s="65" customFormat="1"/>
    <row r="2403" s="65" customFormat="1"/>
    <row r="2404" s="65" customFormat="1"/>
    <row r="2405" s="65" customFormat="1"/>
    <row r="2406" s="65" customFormat="1"/>
    <row r="2407" s="65" customFormat="1"/>
    <row r="2408" s="65" customFormat="1"/>
    <row r="2409" s="65" customFormat="1"/>
    <row r="2410" s="65" customFormat="1"/>
    <row r="2411" s="65" customFormat="1"/>
    <row r="2412" s="65" customFormat="1"/>
    <row r="2413" s="65" customFormat="1"/>
    <row r="2414" s="65" customFormat="1"/>
    <row r="2415" s="65" customFormat="1"/>
    <row r="2416" s="65" customFormat="1"/>
    <row r="2417" s="65" customFormat="1"/>
    <row r="2418" s="65" customFormat="1"/>
    <row r="2419" s="65" customFormat="1"/>
    <row r="2420" s="65" customFormat="1"/>
    <row r="2421" s="65" customFormat="1"/>
    <row r="2422" s="65" customFormat="1"/>
    <row r="2423" s="65" customFormat="1"/>
    <row r="2424" s="65" customFormat="1"/>
    <row r="2425" s="65" customFormat="1"/>
    <row r="2426" s="65" customFormat="1"/>
    <row r="2427" s="65" customFormat="1"/>
    <row r="2428" s="65" customFormat="1"/>
    <row r="2429" s="65" customFormat="1"/>
    <row r="2430" s="65" customFormat="1"/>
    <row r="2431" s="65" customFormat="1"/>
    <row r="2432" s="65" customFormat="1"/>
    <row r="2433" s="65" customFormat="1"/>
    <row r="2434" s="65" customFormat="1"/>
    <row r="2435" s="65" customFormat="1"/>
    <row r="2436" s="65" customFormat="1"/>
    <row r="2437" s="65" customFormat="1"/>
    <row r="2438" s="65" customFormat="1"/>
    <row r="2439" s="65" customFormat="1"/>
    <row r="2440" s="65" customFormat="1"/>
    <row r="2441" s="65" customFormat="1"/>
    <row r="2442" s="65" customFormat="1"/>
    <row r="2443" s="65" customFormat="1"/>
    <row r="2444" s="65" customFormat="1"/>
    <row r="2445" s="65" customFormat="1"/>
    <row r="2446" s="65" customFormat="1"/>
    <row r="2447" s="65" customFormat="1"/>
    <row r="2448" s="65" customFormat="1"/>
    <row r="2449" s="65" customFormat="1"/>
    <row r="2450" s="65" customFormat="1"/>
    <row r="2451" s="65" customFormat="1"/>
    <row r="2452" s="65" customFormat="1"/>
    <row r="2453" s="65" customFormat="1"/>
    <row r="2454" s="65" customFormat="1"/>
    <row r="2455" s="65" customFormat="1"/>
    <row r="2456" s="65" customFormat="1"/>
    <row r="2457" s="65" customFormat="1"/>
    <row r="2458" s="65" customFormat="1"/>
    <row r="2459" s="65" customFormat="1"/>
    <row r="2460" s="65" customFormat="1"/>
    <row r="2461" s="65" customFormat="1"/>
    <row r="2462" s="65" customFormat="1"/>
    <row r="2463" s="65" customFormat="1"/>
    <row r="2464" s="65" customFormat="1"/>
    <row r="2465" s="65" customFormat="1"/>
    <row r="2466" s="65" customFormat="1"/>
    <row r="2467" s="65" customFormat="1"/>
    <row r="2468" s="65" customFormat="1"/>
    <row r="2469" s="65" customFormat="1"/>
    <row r="2470" s="65" customFormat="1"/>
    <row r="2471" s="65" customFormat="1"/>
    <row r="2472" s="65" customFormat="1"/>
    <row r="2473" s="65" customFormat="1"/>
    <row r="2474" s="65" customFormat="1"/>
    <row r="2475" s="65" customFormat="1"/>
    <row r="2476" s="65" customFormat="1"/>
    <row r="2477" s="65" customFormat="1"/>
    <row r="2478" s="65" customFormat="1"/>
    <row r="2479" s="65" customFormat="1"/>
    <row r="2480" s="65" customFormat="1"/>
    <row r="2481" s="65" customFormat="1"/>
    <row r="2482" s="65" customFormat="1"/>
    <row r="2483" s="65" customFormat="1"/>
    <row r="2484" s="65" customFormat="1"/>
    <row r="2485" s="65" customFormat="1"/>
    <row r="2486" s="65" customFormat="1"/>
    <row r="2487" s="65" customFormat="1"/>
    <row r="2488" s="65" customFormat="1"/>
    <row r="2489" s="65" customFormat="1"/>
    <row r="2490" s="65" customFormat="1"/>
    <row r="2491" s="65" customFormat="1"/>
    <row r="2492" s="65" customFormat="1"/>
    <row r="2493" s="65" customFormat="1"/>
    <row r="2494" s="65" customFormat="1"/>
    <row r="2495" s="65" customFormat="1"/>
    <row r="2496" s="65" customFormat="1"/>
    <row r="2497" s="65" customFormat="1"/>
    <row r="2498" s="65" customFormat="1"/>
    <row r="2499" s="65" customFormat="1"/>
    <row r="2500" s="65" customFormat="1"/>
    <row r="2501" s="65" customFormat="1"/>
    <row r="2502" s="65" customFormat="1"/>
    <row r="2503" s="65" customFormat="1"/>
    <row r="2504" s="65" customFormat="1"/>
    <row r="2505" s="65" customFormat="1"/>
    <row r="2506" s="65" customFormat="1"/>
    <row r="2507" s="65" customFormat="1"/>
    <row r="2508" s="65" customFormat="1"/>
    <row r="2509" s="65" customFormat="1"/>
    <row r="2510" s="65" customFormat="1"/>
    <row r="2511" s="65" customFormat="1"/>
    <row r="2512" s="65" customFormat="1"/>
    <row r="2513" s="65" customFormat="1"/>
    <row r="2514" s="65" customFormat="1"/>
    <row r="2515" s="65" customFormat="1"/>
    <row r="2516" s="65" customFormat="1"/>
    <row r="2517" s="65" customFormat="1"/>
    <row r="2518" s="65" customFormat="1"/>
    <row r="2519" s="65" customFormat="1"/>
    <row r="2520" s="65" customFormat="1"/>
    <row r="2521" s="65" customFormat="1"/>
    <row r="2522" s="65" customFormat="1"/>
    <row r="2523" s="65" customFormat="1"/>
    <row r="2524" s="65" customFormat="1"/>
    <row r="2525" s="65" customFormat="1"/>
    <row r="2526" s="65" customFormat="1"/>
    <row r="2527" s="65" customFormat="1"/>
    <row r="2528" s="65" customFormat="1"/>
    <row r="2529" s="65" customFormat="1"/>
    <row r="2530" s="65" customFormat="1"/>
    <row r="2531" s="65" customFormat="1"/>
    <row r="2532" s="65" customFormat="1"/>
    <row r="2533" s="65" customFormat="1"/>
    <row r="2534" s="65" customFormat="1"/>
    <row r="2535" s="65" customFormat="1"/>
    <row r="2536" s="65" customFormat="1"/>
    <row r="2537" s="65" customFormat="1"/>
    <row r="2538" s="65" customFormat="1"/>
    <row r="2539" s="65" customFormat="1"/>
    <row r="2540" s="65" customFormat="1"/>
    <row r="2541" s="65" customFormat="1"/>
    <row r="2542" s="65" customFormat="1"/>
    <row r="2543" s="65" customFormat="1"/>
    <row r="2544" s="65" customFormat="1"/>
    <row r="2545" s="65" customFormat="1"/>
    <row r="2546" s="65" customFormat="1"/>
    <row r="2547" s="65" customFormat="1"/>
    <row r="2548" s="65" customFormat="1"/>
    <row r="2549" s="65" customFormat="1"/>
    <row r="2550" s="65" customFormat="1"/>
    <row r="2551" s="65" customFormat="1"/>
    <row r="2552" s="65" customFormat="1"/>
    <row r="2553" s="65" customFormat="1"/>
    <row r="2554" s="65" customFormat="1"/>
    <row r="2555" s="65" customFormat="1"/>
    <row r="2556" s="65" customFormat="1"/>
    <row r="2557" s="65" customFormat="1"/>
    <row r="2558" s="65" customFormat="1"/>
    <row r="2559" s="65" customFormat="1"/>
    <row r="2560" s="65" customFormat="1"/>
    <row r="2561" s="65" customFormat="1"/>
    <row r="2562" s="65" customFormat="1"/>
    <row r="2563" s="65" customFormat="1"/>
    <row r="2564" s="65" customFormat="1"/>
    <row r="2565" s="65" customFormat="1"/>
    <row r="2566" s="65" customFormat="1"/>
    <row r="2567" s="65" customFormat="1"/>
    <row r="2568" s="65" customFormat="1"/>
    <row r="2569" s="65" customFormat="1"/>
    <row r="2570" s="65" customFormat="1"/>
    <row r="2571" s="65" customFormat="1"/>
    <row r="2572" s="65" customFormat="1"/>
    <row r="2573" s="65" customFormat="1"/>
    <row r="2574" s="65" customFormat="1"/>
    <row r="2575" s="65" customFormat="1"/>
    <row r="2576" s="65" customFormat="1"/>
    <row r="2577" s="65" customFormat="1"/>
    <row r="2578" s="65" customFormat="1"/>
    <row r="2579" s="65" customFormat="1"/>
    <row r="2580" s="65" customFormat="1"/>
    <row r="2581" s="65" customFormat="1"/>
    <row r="2582" s="65" customFormat="1"/>
    <row r="2583" s="65" customFormat="1"/>
    <row r="2584" s="65" customFormat="1"/>
    <row r="2585" s="65" customFormat="1"/>
    <row r="2586" s="65" customFormat="1"/>
    <row r="2587" s="65" customFormat="1"/>
    <row r="2588" s="65" customFormat="1"/>
    <row r="2589" s="65" customFormat="1"/>
    <row r="2590" s="65" customFormat="1"/>
    <row r="2591" s="65" customFormat="1"/>
    <row r="2592" s="65" customFormat="1"/>
    <row r="2593" s="65" customFormat="1"/>
    <row r="2594" s="65" customFormat="1"/>
    <row r="2595" s="65" customFormat="1"/>
    <row r="2596" s="65" customFormat="1"/>
    <row r="2597" s="65" customFormat="1"/>
    <row r="2598" s="65" customFormat="1"/>
    <row r="2599" s="65" customFormat="1"/>
    <row r="2600" s="65" customFormat="1"/>
    <row r="2601" s="65" customFormat="1"/>
    <row r="2602" s="65" customFormat="1"/>
    <row r="2603" s="65" customFormat="1"/>
    <row r="2604" s="65" customFormat="1"/>
    <row r="2605" s="65" customFormat="1"/>
    <row r="2606" s="65" customFormat="1"/>
    <row r="2607" s="65" customFormat="1"/>
    <row r="2608" s="65" customFormat="1"/>
    <row r="2609" s="65" customFormat="1"/>
    <row r="2610" s="65" customFormat="1"/>
    <row r="2611" s="65" customFormat="1"/>
    <row r="2612" s="65" customFormat="1"/>
    <row r="2613" s="65" customFormat="1"/>
    <row r="2614" s="65" customFormat="1"/>
    <row r="2615" s="65" customFormat="1"/>
    <row r="2616" s="65" customFormat="1"/>
    <row r="2617" s="65" customFormat="1"/>
    <row r="2618" s="65" customFormat="1"/>
    <row r="2619" s="65" customFormat="1"/>
    <row r="2620" s="65" customFormat="1"/>
    <row r="2621" s="65" customFormat="1"/>
    <row r="2622" s="65" customFormat="1"/>
    <row r="2623" s="65" customFormat="1"/>
    <row r="2624" s="65" customFormat="1"/>
    <row r="2625" s="65" customFormat="1"/>
    <row r="2626" s="65" customFormat="1"/>
    <row r="2627" s="65" customFormat="1"/>
    <row r="2628" s="65" customFormat="1"/>
    <row r="2629" s="65" customFormat="1"/>
    <row r="2630" s="65" customFormat="1"/>
    <row r="2631" s="65" customFormat="1"/>
    <row r="2632" s="65" customFormat="1"/>
    <row r="2633" s="65" customFormat="1"/>
    <row r="2634" s="65" customFormat="1"/>
    <row r="2635" s="65" customFormat="1"/>
    <row r="2636" s="65" customFormat="1"/>
    <row r="2637" s="65" customFormat="1"/>
    <row r="2638" s="65" customFormat="1"/>
    <row r="2639" s="65" customFormat="1"/>
    <row r="2640" s="65" customFormat="1"/>
    <row r="2641" s="65" customFormat="1"/>
    <row r="2642" s="65" customFormat="1"/>
    <row r="2643" s="65" customFormat="1"/>
    <row r="2644" s="65" customFormat="1"/>
    <row r="2645" s="65" customFormat="1"/>
    <row r="2646" s="65" customFormat="1"/>
    <row r="2647" s="65" customFormat="1"/>
    <row r="2648" s="65" customFormat="1"/>
    <row r="2649" s="65" customFormat="1"/>
    <row r="2650" s="65" customFormat="1"/>
    <row r="2651" s="65" customFormat="1"/>
    <row r="2652" s="65" customFormat="1"/>
    <row r="2653" s="65" customFormat="1"/>
    <row r="2654" s="65" customFormat="1"/>
    <row r="2655" s="65" customFormat="1"/>
    <row r="2656" s="65" customFormat="1"/>
    <row r="2657" s="65" customFormat="1"/>
    <row r="2658" s="65" customFormat="1"/>
    <row r="2659" s="65" customFormat="1"/>
    <row r="2660" s="65" customFormat="1"/>
    <row r="2661" s="65" customFormat="1"/>
    <row r="2662" s="65" customFormat="1"/>
    <row r="2663" s="65" customFormat="1"/>
    <row r="2664" s="65" customFormat="1"/>
    <row r="2665" s="65" customFormat="1"/>
    <row r="2666" s="65" customFormat="1"/>
    <row r="2667" s="65" customFormat="1"/>
    <row r="2668" s="65" customFormat="1"/>
    <row r="2669" s="65" customFormat="1"/>
    <row r="2670" s="65" customFormat="1"/>
    <row r="2671" s="65" customFormat="1"/>
    <row r="2672" s="65" customFormat="1"/>
    <row r="2673" s="65" customFormat="1"/>
    <row r="2674" s="65" customFormat="1"/>
    <row r="2675" s="65" customFormat="1"/>
    <row r="2676" s="65" customFormat="1"/>
    <row r="2677" s="65" customFormat="1"/>
    <row r="2678" s="65" customFormat="1"/>
    <row r="2679" s="65" customFormat="1"/>
    <row r="2680" s="65" customFormat="1"/>
    <row r="2681" s="65" customFormat="1"/>
    <row r="2682" s="65" customFormat="1"/>
    <row r="2683" s="65" customFormat="1"/>
    <row r="2684" s="65" customFormat="1"/>
    <row r="2685" s="65" customFormat="1"/>
    <row r="2686" s="65" customFormat="1"/>
    <row r="2687" s="65" customFormat="1"/>
    <row r="2688" s="65" customFormat="1"/>
    <row r="2689" s="65" customFormat="1"/>
    <row r="2690" s="65" customFormat="1"/>
    <row r="2691" s="65" customFormat="1"/>
    <row r="2692" s="65" customFormat="1"/>
    <row r="2693" s="65" customFormat="1"/>
    <row r="2694" s="65" customFormat="1"/>
    <row r="2695" s="65" customFormat="1"/>
    <row r="2696" s="65" customFormat="1"/>
    <row r="2697" s="65" customFormat="1"/>
    <row r="2698" s="65" customFormat="1"/>
    <row r="2699" s="65" customFormat="1"/>
    <row r="2700" s="65" customFormat="1"/>
    <row r="2701" s="65" customFormat="1"/>
    <row r="2702" s="65" customFormat="1"/>
    <row r="2703" s="65" customFormat="1"/>
    <row r="2704" s="65" customFormat="1"/>
    <row r="2705" s="65" customFormat="1"/>
    <row r="2706" s="65" customFormat="1"/>
    <row r="2707" s="65" customFormat="1"/>
    <row r="2708" s="65" customFormat="1"/>
    <row r="2709" s="65" customFormat="1"/>
    <row r="2710" s="65" customFormat="1"/>
    <row r="2711" s="65" customFormat="1"/>
    <row r="2712" s="65" customFormat="1"/>
    <row r="2713" s="65" customFormat="1"/>
    <row r="2714" s="65" customFormat="1"/>
    <row r="2715" s="65" customFormat="1"/>
    <row r="2716" s="65" customFormat="1"/>
    <row r="2717" s="65" customFormat="1"/>
    <row r="2718" s="65" customFormat="1"/>
    <row r="2719" s="65" customFormat="1"/>
    <row r="2720" s="65" customFormat="1"/>
    <row r="2721" s="65" customFormat="1"/>
    <row r="2722" s="65" customFormat="1"/>
    <row r="2723" s="65" customFormat="1"/>
    <row r="2724" s="65" customFormat="1"/>
    <row r="2725" s="65" customFormat="1"/>
    <row r="2726" s="65" customFormat="1"/>
    <row r="2727" s="65" customFormat="1"/>
    <row r="2728" s="65" customFormat="1"/>
    <row r="2729" s="65" customFormat="1"/>
    <row r="2730" s="65" customFormat="1"/>
    <row r="2731" s="65" customFormat="1"/>
    <row r="2732" s="65" customFormat="1"/>
    <row r="2733" s="65" customFormat="1"/>
    <row r="2734" s="65" customFormat="1"/>
    <row r="2735" s="65" customFormat="1"/>
    <row r="2736" s="65" customFormat="1"/>
    <row r="2737" s="65" customFormat="1"/>
    <row r="2738" s="65" customFormat="1"/>
    <row r="2739" s="65" customFormat="1"/>
    <row r="2740" s="65" customFormat="1"/>
    <row r="2741" s="65" customFormat="1"/>
    <row r="2742" s="65" customFormat="1"/>
    <row r="2743" s="65" customFormat="1"/>
    <row r="2744" s="65" customFormat="1"/>
    <row r="2745" s="65" customFormat="1"/>
    <row r="2746" s="65" customFormat="1"/>
    <row r="2747" s="65" customFormat="1"/>
    <row r="2748" s="65" customFormat="1"/>
    <row r="2749" s="65" customFormat="1"/>
    <row r="2750" s="65" customFormat="1"/>
    <row r="2751" s="65" customFormat="1"/>
    <row r="2752" s="65" customFormat="1"/>
    <row r="2753" s="65" customFormat="1"/>
    <row r="2754" s="65" customFormat="1"/>
    <row r="2755" s="65" customFormat="1"/>
    <row r="2756" s="65" customFormat="1"/>
    <row r="2757" s="65" customFormat="1"/>
    <row r="2758" s="65" customFormat="1"/>
    <row r="2759" s="65" customFormat="1"/>
    <row r="2760" s="65" customFormat="1"/>
    <row r="2761" s="65" customFormat="1"/>
    <row r="2762" s="65" customFormat="1"/>
    <row r="2763" s="65" customFormat="1"/>
    <row r="2764" s="65" customFormat="1"/>
    <row r="2765" s="65" customFormat="1"/>
    <row r="2766" s="65" customFormat="1"/>
    <row r="2767" s="65" customFormat="1"/>
    <row r="2768" s="65" customFormat="1"/>
    <row r="2769" s="65" customFormat="1"/>
    <row r="2770" s="65" customFormat="1"/>
    <row r="2771" s="65" customFormat="1"/>
    <row r="2772" s="65" customFormat="1"/>
    <row r="2773" s="65" customFormat="1"/>
    <row r="2774" s="65" customFormat="1"/>
    <row r="2775" s="65" customFormat="1"/>
    <row r="2776" s="65" customFormat="1"/>
    <row r="2777" s="65" customFormat="1"/>
    <row r="2778" s="65" customFormat="1"/>
    <row r="2779" s="65" customFormat="1"/>
    <row r="2780" s="65" customFormat="1"/>
    <row r="2781" s="65" customFormat="1"/>
    <row r="2782" s="65" customFormat="1"/>
    <row r="2783" s="65" customFormat="1"/>
    <row r="2784" s="65" customFormat="1"/>
    <row r="2785" s="65" customFormat="1"/>
    <row r="2786" s="65" customFormat="1"/>
    <row r="2787" s="65" customFormat="1"/>
    <row r="2788" s="65" customFormat="1"/>
    <row r="2789" s="65" customFormat="1"/>
    <row r="2790" s="65" customFormat="1"/>
    <row r="2791" s="65" customFormat="1"/>
    <row r="2792" s="65" customFormat="1"/>
    <row r="2793" s="65" customFormat="1"/>
    <row r="2794" s="65" customFormat="1"/>
    <row r="2795" s="65" customFormat="1"/>
    <row r="2796" s="65" customFormat="1"/>
    <row r="2797" s="65" customFormat="1"/>
    <row r="2798" s="65" customFormat="1"/>
    <row r="2799" s="65" customFormat="1"/>
    <row r="2800" s="65" customFormat="1"/>
    <row r="2801" s="65" customFormat="1"/>
    <row r="2802" s="65" customFormat="1"/>
    <row r="2803" s="65" customFormat="1"/>
    <row r="2804" s="65" customFormat="1"/>
    <row r="2805" s="65" customFormat="1"/>
    <row r="2806" s="65" customFormat="1"/>
    <row r="2807" s="65" customFormat="1"/>
    <row r="2808" s="65" customFormat="1"/>
    <row r="2809" s="65" customFormat="1"/>
    <row r="2810" s="65" customFormat="1"/>
    <row r="2811" s="65" customFormat="1"/>
    <row r="2812" s="65" customFormat="1"/>
    <row r="2813" s="65" customFormat="1"/>
    <row r="2814" s="65" customFormat="1"/>
    <row r="2815" s="65" customFormat="1"/>
    <row r="2816" s="65" customFormat="1"/>
    <row r="2817" s="65" customFormat="1"/>
    <row r="2818" s="65" customFormat="1"/>
    <row r="2819" s="65" customFormat="1"/>
    <row r="2820" s="65" customFormat="1"/>
    <row r="2821" s="65" customFormat="1"/>
    <row r="2822" s="65" customFormat="1"/>
    <row r="2823" s="65" customFormat="1"/>
    <row r="2824" s="65" customFormat="1"/>
    <row r="2825" s="65" customFormat="1"/>
    <row r="2826" s="65" customFormat="1"/>
    <row r="2827" s="65" customFormat="1"/>
    <row r="2828" s="65" customFormat="1"/>
    <row r="2829" s="65" customFormat="1"/>
    <row r="2830" s="65" customFormat="1"/>
    <row r="2831" s="65" customFormat="1"/>
    <row r="2832" s="65" customFormat="1"/>
    <row r="2833" s="65" customFormat="1"/>
    <row r="2834" s="65" customFormat="1"/>
    <row r="2835" s="65" customFormat="1"/>
    <row r="2836" s="65" customFormat="1"/>
    <row r="2837" s="65" customFormat="1"/>
    <row r="2838" s="65" customFormat="1"/>
    <row r="2839" s="65" customFormat="1"/>
    <row r="2840" s="65" customFormat="1"/>
    <row r="2841" s="65" customFormat="1"/>
    <row r="2842" s="65" customFormat="1"/>
    <row r="2843" s="65" customFormat="1"/>
    <row r="2844" s="65" customFormat="1"/>
    <row r="2845" s="65" customFormat="1"/>
    <row r="2846" s="65" customFormat="1"/>
    <row r="2847" s="65" customFormat="1"/>
    <row r="2848" s="65" customFormat="1"/>
    <row r="2849" s="65" customFormat="1"/>
    <row r="2850" s="65" customFormat="1"/>
    <row r="2851" s="65" customFormat="1"/>
    <row r="2852" s="65" customFormat="1"/>
    <row r="2853" s="65" customFormat="1"/>
    <row r="2854" s="65" customFormat="1"/>
    <row r="2855" s="65" customFormat="1"/>
    <row r="2856" s="65" customFormat="1"/>
    <row r="2857" s="65" customFormat="1"/>
    <row r="2858" s="65" customFormat="1"/>
    <row r="2859" s="65" customFormat="1"/>
    <row r="2860" s="65" customFormat="1"/>
    <row r="2861" s="65" customFormat="1"/>
    <row r="2862" s="65" customFormat="1"/>
    <row r="2863" s="65" customFormat="1"/>
    <row r="2864" s="65" customFormat="1"/>
    <row r="2865" s="65" customFormat="1"/>
    <row r="2866" s="65" customFormat="1"/>
    <row r="2867" s="65" customFormat="1"/>
    <row r="2868" s="65" customFormat="1"/>
    <row r="2869" s="65" customFormat="1"/>
    <row r="2870" s="65" customFormat="1"/>
    <row r="2871" s="65" customFormat="1"/>
    <row r="2872" s="65" customFormat="1"/>
    <row r="2873" s="65" customFormat="1"/>
    <row r="2874" s="65" customFormat="1"/>
    <row r="2875" s="65" customFormat="1"/>
    <row r="2876" s="65" customFormat="1"/>
    <row r="2877" s="65" customFormat="1"/>
    <row r="2878" s="65" customFormat="1"/>
    <row r="2879" s="65" customFormat="1"/>
    <row r="2880" s="65" customFormat="1"/>
    <row r="2881" s="65" customFormat="1"/>
    <row r="2882" s="65" customFormat="1"/>
    <row r="2883" s="65" customFormat="1"/>
    <row r="2884" s="65" customFormat="1"/>
    <row r="2885" s="65" customFormat="1"/>
    <row r="2886" s="65" customFormat="1"/>
    <row r="2887" s="65" customFormat="1"/>
    <row r="2888" s="65" customFormat="1"/>
    <row r="2889" s="65" customFormat="1"/>
    <row r="2890" s="65" customFormat="1"/>
    <row r="2891" s="65" customFormat="1"/>
    <row r="2892" s="65" customFormat="1"/>
    <row r="2893" s="65" customFormat="1"/>
    <row r="2894" s="65" customFormat="1"/>
    <row r="2895" s="65" customFormat="1"/>
    <row r="2896" s="65" customFormat="1"/>
    <row r="2897" s="65" customFormat="1"/>
    <row r="2898" s="65" customFormat="1"/>
    <row r="2899" s="65" customFormat="1"/>
    <row r="2900" s="65" customFormat="1"/>
    <row r="2901" s="65" customFormat="1"/>
    <row r="2902" s="65" customFormat="1"/>
    <row r="2903" s="65" customFormat="1"/>
    <row r="2904" s="65" customFormat="1"/>
    <row r="2905" s="65" customFormat="1"/>
    <row r="2906" s="65" customFormat="1"/>
    <row r="2907" s="65" customFormat="1"/>
    <row r="2908" s="65" customFormat="1"/>
    <row r="2909" s="65" customFormat="1"/>
    <row r="2910" s="65" customFormat="1"/>
    <row r="2911" s="65" customFormat="1"/>
    <row r="2912" s="65" customFormat="1"/>
    <row r="2913" s="65" customFormat="1"/>
    <row r="2914" s="65" customFormat="1"/>
    <row r="2915" s="65" customFormat="1"/>
    <row r="2916" s="65" customFormat="1"/>
    <row r="2917" s="65" customFormat="1"/>
    <row r="2918" s="65" customFormat="1"/>
    <row r="2919" s="65" customFormat="1"/>
    <row r="2920" s="65" customFormat="1"/>
    <row r="2921" s="65" customFormat="1"/>
    <row r="2922" s="65" customFormat="1"/>
    <row r="2923" s="65" customFormat="1"/>
    <row r="2924" s="65" customFormat="1"/>
    <row r="2925" s="65" customFormat="1"/>
    <row r="2926" s="65" customFormat="1"/>
    <row r="2927" s="65" customFormat="1"/>
    <row r="2928" s="65" customFormat="1"/>
    <row r="2929" s="65" customFormat="1"/>
    <row r="2930" s="65" customFormat="1"/>
    <row r="2931" s="65" customFormat="1"/>
    <row r="2932" s="65" customFormat="1"/>
    <row r="2933" s="65" customFormat="1"/>
    <row r="2934" s="65" customFormat="1"/>
    <row r="2935" s="65" customFormat="1"/>
    <row r="2936" s="65" customFormat="1"/>
    <row r="2937" s="65" customFormat="1"/>
    <row r="2938" s="65" customFormat="1"/>
    <row r="2939" s="65" customFormat="1"/>
    <row r="2940" s="65" customFormat="1"/>
    <row r="2941" s="65" customFormat="1"/>
    <row r="2942" s="65" customFormat="1"/>
    <row r="2943" s="65" customFormat="1"/>
    <row r="2944" s="65" customFormat="1"/>
    <row r="2945" s="65" customFormat="1"/>
    <row r="2946" s="65" customFormat="1"/>
    <row r="2947" s="65" customFormat="1"/>
    <row r="2948" s="65" customFormat="1"/>
    <row r="2949" s="65" customFormat="1"/>
    <row r="2950" s="65" customFormat="1"/>
    <row r="2951" s="65" customFormat="1"/>
    <row r="2952" s="65" customFormat="1"/>
    <row r="2953" s="65" customFormat="1"/>
    <row r="2954" s="65" customFormat="1"/>
    <row r="2955" s="65" customFormat="1"/>
    <row r="2956" s="65" customFormat="1"/>
    <row r="2957" s="65" customFormat="1"/>
    <row r="2958" s="65" customFormat="1"/>
    <row r="2959" s="65" customFormat="1"/>
    <row r="2960" s="65" customFormat="1"/>
    <row r="2961" s="65" customFormat="1"/>
    <row r="2962" s="65" customFormat="1"/>
    <row r="2963" s="65" customFormat="1"/>
    <row r="2964" s="65" customFormat="1"/>
    <row r="2965" s="65" customFormat="1"/>
    <row r="2966" s="65" customFormat="1"/>
    <row r="2967" s="65" customFormat="1"/>
    <row r="2968" s="65" customFormat="1"/>
    <row r="2969" s="65" customFormat="1"/>
    <row r="2970" s="65" customFormat="1"/>
    <row r="2971" s="65" customFormat="1"/>
    <row r="2972" s="65" customFormat="1"/>
    <row r="2973" s="65" customFormat="1"/>
    <row r="2974" s="65" customFormat="1"/>
    <row r="2975" s="65" customFormat="1"/>
    <row r="2976" s="65" customFormat="1"/>
    <row r="2977" s="65" customFormat="1"/>
    <row r="2978" s="65" customFormat="1"/>
    <row r="2979" s="65" customFormat="1"/>
    <row r="2980" s="65" customFormat="1"/>
    <row r="2981" s="65" customFormat="1"/>
    <row r="2982" s="65" customFormat="1"/>
    <row r="2983" s="65" customFormat="1"/>
    <row r="2984" s="65" customFormat="1"/>
    <row r="2985" s="65" customFormat="1"/>
    <row r="2986" s="65" customFormat="1"/>
    <row r="2987" s="65" customFormat="1"/>
    <row r="2988" s="65" customFormat="1"/>
    <row r="2989" s="65" customFormat="1"/>
    <row r="2990" s="65" customFormat="1"/>
    <row r="2991" s="65" customFormat="1"/>
    <row r="2992" s="65" customFormat="1"/>
    <row r="2993" s="65" customFormat="1"/>
    <row r="2994" s="65" customFormat="1"/>
    <row r="2995" s="65" customFormat="1"/>
    <row r="2996" s="65" customFormat="1"/>
    <row r="2997" s="65" customFormat="1"/>
    <row r="2998" s="65" customFormat="1"/>
    <row r="2999" s="65" customFormat="1"/>
    <row r="3000" s="65" customFormat="1"/>
    <row r="3001" s="65" customFormat="1"/>
    <row r="3002" s="65" customFormat="1"/>
    <row r="3003" s="65" customFormat="1"/>
    <row r="3004" s="65" customFormat="1"/>
    <row r="3005" s="65" customFormat="1"/>
    <row r="3006" s="65" customFormat="1"/>
    <row r="3007" s="65" customFormat="1"/>
    <row r="3008" s="65" customFormat="1"/>
    <row r="3009" s="65" customFormat="1"/>
    <row r="3010" s="65" customFormat="1"/>
    <row r="3011" s="65" customFormat="1"/>
    <row r="3012" s="65" customFormat="1"/>
    <row r="3013" s="65" customFormat="1"/>
    <row r="3014" s="65" customFormat="1"/>
    <row r="3015" s="65" customFormat="1"/>
    <row r="3016" s="65" customFormat="1"/>
    <row r="3017" s="65" customFormat="1"/>
    <row r="3018" s="65" customFormat="1"/>
    <row r="3019" s="65" customFormat="1"/>
    <row r="3020" s="65" customFormat="1"/>
    <row r="3021" s="65" customFormat="1"/>
    <row r="3022" s="65" customFormat="1"/>
    <row r="3023" s="65" customFormat="1"/>
    <row r="3024" s="65" customFormat="1"/>
    <row r="3025" s="65" customFormat="1"/>
    <row r="3026" s="65" customFormat="1"/>
    <row r="3027" s="65" customFormat="1"/>
    <row r="3028" s="65" customFormat="1"/>
    <row r="3029" s="65" customFormat="1"/>
    <row r="3030" s="65" customFormat="1"/>
    <row r="3031" s="65" customFormat="1"/>
    <row r="3032" s="65" customFormat="1"/>
    <row r="3033" s="65" customFormat="1"/>
    <row r="3034" s="65" customFormat="1"/>
    <row r="3035" s="65" customFormat="1"/>
    <row r="3036" s="65" customFormat="1"/>
    <row r="3037" s="65" customFormat="1"/>
    <row r="3038" s="65" customFormat="1"/>
    <row r="3039" s="65" customFormat="1"/>
    <row r="3040" s="65" customFormat="1"/>
    <row r="3041" s="65" customFormat="1"/>
    <row r="3042" s="65" customFormat="1"/>
    <row r="3043" s="65" customFormat="1"/>
    <row r="3044" s="65" customFormat="1"/>
    <row r="3045" s="65" customFormat="1"/>
    <row r="3046" s="65" customFormat="1"/>
    <row r="3047" s="65" customFormat="1"/>
    <row r="3048" s="65" customFormat="1"/>
    <row r="3049" s="65" customFormat="1"/>
    <row r="3050" s="65" customFormat="1"/>
    <row r="3051" s="65" customFormat="1"/>
    <row r="3052" s="65" customFormat="1"/>
    <row r="3053" s="65" customFormat="1"/>
    <row r="3054" s="65" customFormat="1"/>
    <row r="3055" s="65" customFormat="1"/>
    <row r="3056" s="65" customFormat="1"/>
    <row r="3057" s="65" customFormat="1"/>
    <row r="3058" s="65" customFormat="1"/>
    <row r="3059" s="65" customFormat="1"/>
    <row r="3060" s="65" customFormat="1"/>
    <row r="3061" s="65" customFormat="1"/>
    <row r="3062" s="65" customFormat="1"/>
    <row r="3063" s="65" customFormat="1"/>
    <row r="3064" s="65" customFormat="1"/>
    <row r="3065" s="65" customFormat="1"/>
    <row r="3066" s="65" customFormat="1"/>
    <row r="3067" s="65" customFormat="1"/>
    <row r="3068" s="65" customFormat="1"/>
    <row r="3069" s="65" customFormat="1"/>
    <row r="3070" s="65" customFormat="1"/>
    <row r="3071" s="65" customFormat="1"/>
    <row r="3072" s="65" customFormat="1"/>
    <row r="3073" s="65" customFormat="1"/>
    <row r="3074" s="65" customFormat="1"/>
    <row r="3075" s="65" customFormat="1"/>
    <row r="3076" s="65" customFormat="1"/>
    <row r="3077" s="65" customFormat="1"/>
    <row r="3078" s="65" customFormat="1"/>
    <row r="3079" s="65" customFormat="1"/>
    <row r="3080" s="65" customFormat="1"/>
    <row r="3081" s="65" customFormat="1"/>
    <row r="3082" s="65" customFormat="1"/>
    <row r="3083" s="65" customFormat="1"/>
    <row r="3084" s="65" customFormat="1"/>
    <row r="3085" s="65" customFormat="1"/>
    <row r="3086" s="65" customFormat="1"/>
    <row r="3087" s="65" customFormat="1"/>
    <row r="3088" s="65" customFormat="1"/>
    <row r="3089" s="65" customFormat="1"/>
    <row r="3090" s="65" customFormat="1"/>
    <row r="3091" s="65" customFormat="1"/>
    <row r="3092" s="65" customFormat="1"/>
    <row r="3093" s="65" customFormat="1"/>
    <row r="3094" s="65" customFormat="1"/>
    <row r="3095" s="65" customFormat="1"/>
    <row r="3096" s="65" customFormat="1"/>
    <row r="3097" s="65" customFormat="1"/>
    <row r="3098" s="65" customFormat="1"/>
    <row r="3099" s="65" customFormat="1"/>
    <row r="3100" s="65" customFormat="1"/>
    <row r="3101" s="65" customFormat="1"/>
    <row r="3102" s="65" customFormat="1"/>
    <row r="3103" s="65" customFormat="1"/>
    <row r="3104" s="65" customFormat="1"/>
    <row r="3105" s="65" customFormat="1"/>
    <row r="3106" s="65" customFormat="1"/>
    <row r="3107" s="65" customFormat="1"/>
    <row r="3108" s="65" customFormat="1"/>
    <row r="3109" s="65" customFormat="1"/>
    <row r="3110" s="65" customFormat="1"/>
    <row r="3111" s="65" customFormat="1"/>
    <row r="3112" s="65" customFormat="1"/>
    <row r="3113" s="65" customFormat="1"/>
    <row r="3114" s="65" customFormat="1"/>
    <row r="3115" s="65" customFormat="1"/>
    <row r="3116" s="65" customFormat="1"/>
    <row r="3117" s="65" customFormat="1"/>
    <row r="3118" s="65" customFormat="1"/>
    <row r="3119" s="65" customFormat="1"/>
    <row r="3120" s="65" customFormat="1"/>
    <row r="3121" s="65" customFormat="1"/>
    <row r="3122" s="65" customFormat="1"/>
    <row r="3123" s="65" customFormat="1"/>
    <row r="3124" s="65" customFormat="1"/>
    <row r="3125" s="65" customFormat="1"/>
    <row r="3126" s="65" customFormat="1"/>
    <row r="3127" s="65" customFormat="1"/>
    <row r="3128" s="65" customFormat="1"/>
    <row r="3129" s="65" customFormat="1"/>
    <row r="3130" s="65" customFormat="1"/>
    <row r="3131" s="65" customFormat="1"/>
    <row r="3132" s="65" customFormat="1"/>
    <row r="3133" s="65" customFormat="1"/>
    <row r="3134" s="65" customFormat="1"/>
    <row r="3135" s="65" customFormat="1"/>
    <row r="3136" s="65" customFormat="1"/>
    <row r="3137" s="65" customFormat="1"/>
    <row r="3138" s="65" customFormat="1"/>
    <row r="3139" s="65" customFormat="1"/>
    <row r="3140" s="65" customFormat="1"/>
    <row r="3141" s="65" customFormat="1"/>
    <row r="3142" s="65" customFormat="1"/>
    <row r="3143" s="65" customFormat="1"/>
    <row r="3144" s="65" customFormat="1"/>
    <row r="3145" s="65" customFormat="1"/>
    <row r="3146" s="65" customFormat="1"/>
    <row r="3147" s="65" customFormat="1"/>
    <row r="3148" s="65" customFormat="1"/>
    <row r="3149" s="65" customFormat="1"/>
    <row r="3150" s="65" customFormat="1"/>
    <row r="3151" s="65" customFormat="1"/>
    <row r="3152" s="65" customFormat="1"/>
    <row r="3153" s="65" customFormat="1"/>
    <row r="3154" s="65" customFormat="1"/>
    <row r="3155" s="65" customFormat="1"/>
    <row r="3156" s="65" customFormat="1"/>
    <row r="3157" s="65" customFormat="1"/>
    <row r="3158" s="65" customFormat="1"/>
    <row r="3159" s="65" customFormat="1"/>
    <row r="3160" s="65" customFormat="1"/>
    <row r="3161" s="65" customFormat="1"/>
    <row r="3162" s="65" customFormat="1"/>
    <row r="3163" s="65" customFormat="1"/>
    <row r="3164" s="65" customFormat="1"/>
    <row r="3165" s="65" customFormat="1"/>
    <row r="3166" s="65" customFormat="1"/>
    <row r="3167" s="65" customFormat="1"/>
    <row r="3168" s="65" customFormat="1"/>
    <row r="3169" s="65" customFormat="1"/>
    <row r="3170" s="65" customFormat="1"/>
    <row r="3171" s="65" customFormat="1"/>
    <row r="3172" s="65" customFormat="1"/>
    <row r="3173" s="65" customFormat="1"/>
    <row r="3174" s="65" customFormat="1"/>
    <row r="3175" s="65" customFormat="1"/>
    <row r="3176" s="65" customFormat="1"/>
    <row r="3177" s="65" customFormat="1"/>
    <row r="3178" s="65" customFormat="1"/>
    <row r="3179" s="65" customFormat="1"/>
    <row r="3180" s="65" customFormat="1"/>
    <row r="3181" s="65" customFormat="1"/>
    <row r="3182" s="65" customFormat="1"/>
    <row r="3183" s="65" customFormat="1"/>
    <row r="3184" s="65" customFormat="1"/>
    <row r="3185" s="65" customFormat="1"/>
    <row r="3186" s="65" customFormat="1"/>
    <row r="3187" s="65" customFormat="1"/>
    <row r="3188" s="65" customFormat="1"/>
    <row r="3189" s="65" customFormat="1"/>
    <row r="3190" s="65" customFormat="1"/>
    <row r="3191" s="65" customFormat="1"/>
    <row r="3192" s="65" customFormat="1"/>
    <row r="3193" s="65" customFormat="1"/>
    <row r="3194" s="65" customFormat="1"/>
    <row r="3195" s="65" customFormat="1"/>
    <row r="3196" s="65" customFormat="1"/>
    <row r="3197" s="65" customFormat="1"/>
    <row r="3198" s="65" customFormat="1"/>
    <row r="3199" s="65" customFormat="1"/>
    <row r="3200" s="65" customFormat="1"/>
    <row r="3201" s="65" customFormat="1"/>
    <row r="3202" s="65" customFormat="1"/>
    <row r="3203" s="65" customFormat="1"/>
    <row r="3204" s="65" customFormat="1"/>
    <row r="3205" s="65" customFormat="1"/>
    <row r="3206" s="65" customFormat="1"/>
    <row r="3207" s="65" customFormat="1"/>
    <row r="3208" s="65" customFormat="1"/>
    <row r="3209" s="65" customFormat="1"/>
    <row r="3210" s="65" customFormat="1"/>
    <row r="3211" s="65" customFormat="1"/>
    <row r="3212" s="65" customFormat="1"/>
    <row r="3213" s="65" customFormat="1"/>
    <row r="3214" s="65" customFormat="1"/>
    <row r="3215" s="65" customFormat="1"/>
    <row r="3216" s="65" customFormat="1"/>
    <row r="3217" s="65" customFormat="1"/>
    <row r="3218" s="65" customFormat="1"/>
    <row r="3219" s="65" customFormat="1"/>
    <row r="3220" s="65" customFormat="1"/>
    <row r="3221" s="65" customFormat="1"/>
    <row r="3222" s="65" customFormat="1"/>
    <row r="3223" s="65" customFormat="1"/>
    <row r="3224" s="65" customFormat="1"/>
    <row r="3225" s="65" customFormat="1"/>
    <row r="3226" s="65" customFormat="1"/>
    <row r="3227" s="65" customFormat="1"/>
    <row r="3228" s="65" customFormat="1"/>
    <row r="3229" s="65" customFormat="1"/>
    <row r="3230" s="65" customFormat="1"/>
    <row r="3231" s="65" customFormat="1"/>
    <row r="3232" s="65" customFormat="1"/>
    <row r="3233" s="65" customFormat="1"/>
    <row r="3234" s="65" customFormat="1"/>
    <row r="3235" s="65" customFormat="1"/>
    <row r="3236" s="65" customFormat="1"/>
    <row r="3237" s="65" customFormat="1"/>
    <row r="3238" s="65" customFormat="1"/>
    <row r="3239" s="65" customFormat="1"/>
    <row r="3240" s="65" customFormat="1"/>
    <row r="3241" s="65" customFormat="1"/>
    <row r="3242" s="65" customFormat="1"/>
    <row r="3243" s="65" customFormat="1"/>
    <row r="3244" s="65" customFormat="1"/>
    <row r="3245" s="65" customFormat="1"/>
    <row r="3246" s="65" customFormat="1"/>
    <row r="3247" s="65" customFormat="1"/>
    <row r="3248" s="65" customFormat="1"/>
    <row r="3249" s="65" customFormat="1"/>
    <row r="3250" s="65" customFormat="1"/>
    <row r="3251" s="65" customFormat="1"/>
    <row r="3252" s="65" customFormat="1"/>
    <row r="3253" s="65" customFormat="1"/>
    <row r="3254" s="65" customFormat="1"/>
    <row r="3255" s="65" customFormat="1"/>
    <row r="3256" s="65" customFormat="1"/>
    <row r="3257" s="65" customFormat="1"/>
    <row r="3258" s="65" customFormat="1"/>
    <row r="3259" s="65" customFormat="1"/>
    <row r="3260" s="65" customFormat="1"/>
    <row r="3261" s="65" customFormat="1"/>
    <row r="3262" s="65" customFormat="1"/>
    <row r="3263" s="65" customFormat="1"/>
    <row r="3264" s="65" customFormat="1"/>
    <row r="3265" s="65" customFormat="1"/>
    <row r="3266" s="65" customFormat="1"/>
    <row r="3267" s="65" customFormat="1"/>
    <row r="3268" s="65" customFormat="1"/>
    <row r="3269" s="65" customFormat="1"/>
    <row r="3270" s="65" customFormat="1"/>
    <row r="3271" s="65" customFormat="1"/>
    <row r="3272" s="65" customFormat="1"/>
    <row r="3273" s="65" customFormat="1"/>
    <row r="3274" s="65" customFormat="1"/>
    <row r="3275" s="65" customFormat="1"/>
    <row r="3276" s="65" customFormat="1"/>
    <row r="3277" s="65" customFormat="1"/>
    <row r="3278" s="65" customFormat="1"/>
    <row r="3279" s="65" customFormat="1"/>
    <row r="3280" s="65" customFormat="1"/>
    <row r="3281" s="65" customFormat="1"/>
    <row r="3282" s="65" customFormat="1"/>
    <row r="3283" s="65" customFormat="1"/>
    <row r="3284" s="65" customFormat="1"/>
    <row r="3285" s="65" customFormat="1"/>
    <row r="3286" s="65" customFormat="1"/>
    <row r="3287" s="65" customFormat="1"/>
    <row r="3288" s="65" customFormat="1"/>
    <row r="3289" s="65" customFormat="1"/>
    <row r="3290" s="65" customFormat="1"/>
    <row r="3291" s="65" customFormat="1"/>
    <row r="3292" s="65" customFormat="1"/>
    <row r="3293" s="65" customFormat="1"/>
    <row r="3294" s="65" customFormat="1"/>
    <row r="3295" s="65" customFormat="1"/>
    <row r="3296" s="65" customFormat="1"/>
    <row r="3297" s="65" customFormat="1"/>
    <row r="3298" s="65" customFormat="1"/>
    <row r="3299" s="65" customFormat="1"/>
    <row r="3300" s="65" customFormat="1"/>
    <row r="3301" s="65" customFormat="1"/>
    <row r="3302" s="65" customFormat="1"/>
    <row r="3303" s="65" customFormat="1"/>
    <row r="3304" s="65" customFormat="1"/>
    <row r="3305" s="65" customFormat="1"/>
    <row r="3306" s="65" customFormat="1"/>
    <row r="3307" s="65" customFormat="1"/>
    <row r="3308" s="65" customFormat="1"/>
    <row r="3309" s="65" customFormat="1"/>
    <row r="3310" s="65" customFormat="1"/>
    <row r="3311" s="65" customFormat="1"/>
    <row r="3312" s="65" customFormat="1"/>
    <row r="3313" s="65" customFormat="1"/>
    <row r="3314" s="65" customFormat="1"/>
    <row r="3315" s="65" customFormat="1"/>
    <row r="3316" s="65" customFormat="1"/>
    <row r="3317" s="65" customFormat="1"/>
    <row r="3318" s="65" customFormat="1"/>
    <row r="3319" s="65" customFormat="1"/>
    <row r="3320" s="65" customFormat="1"/>
    <row r="3321" s="65" customFormat="1"/>
    <row r="3322" s="65" customFormat="1"/>
    <row r="3323" s="65" customFormat="1"/>
    <row r="3324" s="65" customFormat="1"/>
    <row r="3325" s="65" customFormat="1"/>
    <row r="3326" s="65" customFormat="1"/>
    <row r="3327" s="65" customFormat="1"/>
    <row r="3328" s="65" customFormat="1"/>
    <row r="3329" s="65" customFormat="1"/>
    <row r="3330" s="65" customFormat="1"/>
    <row r="3331" s="65" customFormat="1"/>
    <row r="3332" s="65" customFormat="1"/>
    <row r="3333" s="65" customFormat="1"/>
    <row r="3334" s="65" customFormat="1"/>
    <row r="3335" s="65" customFormat="1"/>
    <row r="3336" s="65" customFormat="1"/>
    <row r="3337" s="65" customFormat="1"/>
    <row r="3338" s="65" customFormat="1"/>
    <row r="3339" s="65" customFormat="1"/>
    <row r="3340" s="65" customFormat="1"/>
    <row r="3341" s="65" customFormat="1"/>
    <row r="3342" s="65" customFormat="1"/>
    <row r="3343" s="65" customFormat="1"/>
    <row r="3344" s="65" customFormat="1"/>
    <row r="3345" s="65" customFormat="1"/>
    <row r="3346" s="65" customFormat="1"/>
    <row r="3347" s="65" customFormat="1"/>
    <row r="3348" s="65" customFormat="1"/>
    <row r="3349" s="65" customFormat="1"/>
    <row r="3350" s="65" customFormat="1"/>
    <row r="3351" s="65" customFormat="1"/>
    <row r="3352" s="65" customFormat="1"/>
    <row r="3353" s="65" customFormat="1"/>
    <row r="3354" s="65" customFormat="1"/>
    <row r="3355" s="65" customFormat="1"/>
    <row r="3356" s="65" customFormat="1"/>
    <row r="3357" s="65" customFormat="1"/>
    <row r="3358" s="65" customFormat="1"/>
    <row r="3359" s="65" customFormat="1"/>
    <row r="3360" s="65" customFormat="1"/>
    <row r="3361" s="65" customFormat="1"/>
    <row r="3362" s="65" customFormat="1"/>
    <row r="3363" s="65" customFormat="1"/>
    <row r="3364" s="65" customFormat="1"/>
    <row r="3365" s="65" customFormat="1"/>
    <row r="3366" s="65" customFormat="1"/>
    <row r="3367" s="65" customFormat="1"/>
    <row r="3368" s="65" customFormat="1"/>
    <row r="3369" s="65" customFormat="1"/>
    <row r="3370" s="65" customFormat="1"/>
    <row r="3371" s="65" customFormat="1"/>
    <row r="3372" s="65" customFormat="1"/>
    <row r="3373" s="65" customFormat="1"/>
    <row r="3374" s="65" customFormat="1"/>
    <row r="3375" s="65" customFormat="1"/>
    <row r="3376" s="65" customFormat="1"/>
    <row r="3377" s="65" customFormat="1"/>
    <row r="3378" s="65" customFormat="1"/>
    <row r="3379" s="65" customFormat="1"/>
    <row r="3380" s="65" customFormat="1"/>
    <row r="3381" s="65" customFormat="1"/>
    <row r="3382" s="65" customFormat="1"/>
    <row r="3383" s="65" customFormat="1"/>
    <row r="3384" s="65" customFormat="1"/>
    <row r="3385" s="65" customFormat="1"/>
    <row r="3386" s="65" customFormat="1"/>
    <row r="3387" s="65" customFormat="1"/>
    <row r="3388" s="65" customFormat="1"/>
    <row r="3389" s="65" customFormat="1"/>
    <row r="3390" s="65" customFormat="1"/>
    <row r="3391" s="65" customFormat="1"/>
    <row r="3392" s="65" customFormat="1"/>
    <row r="3393" s="65" customFormat="1"/>
    <row r="3394" s="65" customFormat="1"/>
    <row r="3395" s="65" customFormat="1"/>
    <row r="3396" s="65" customFormat="1"/>
    <row r="3397" s="65" customFormat="1"/>
    <row r="3398" s="65" customFormat="1"/>
    <row r="3399" s="65" customFormat="1"/>
    <row r="3400" s="65" customFormat="1"/>
    <row r="3401" s="65" customFormat="1"/>
    <row r="3402" s="65" customFormat="1"/>
    <row r="3403" s="65" customFormat="1"/>
    <row r="3404" s="65" customFormat="1"/>
    <row r="3405" s="65" customFormat="1"/>
    <row r="3406" s="65" customFormat="1"/>
    <row r="3407" s="65" customFormat="1"/>
    <row r="3408" s="65" customFormat="1"/>
    <row r="3409" s="65" customFormat="1"/>
    <row r="3410" s="65" customFormat="1"/>
    <row r="3411" s="65" customFormat="1"/>
    <row r="3412" s="65" customFormat="1"/>
    <row r="3413" s="65" customFormat="1"/>
    <row r="3414" s="65" customFormat="1"/>
    <row r="3415" s="65" customFormat="1"/>
    <row r="3416" s="65" customFormat="1"/>
    <row r="3417" s="65" customFormat="1"/>
    <row r="3418" s="65" customFormat="1"/>
    <row r="3419" s="65" customFormat="1"/>
    <row r="3420" s="65" customFormat="1"/>
    <row r="3421" s="65" customFormat="1"/>
    <row r="3422" s="65" customFormat="1"/>
    <row r="3423" s="65" customFormat="1"/>
    <row r="3424" s="65" customFormat="1"/>
    <row r="3425" s="65" customFormat="1"/>
    <row r="3426" s="65" customFormat="1"/>
    <row r="3427" s="65" customFormat="1"/>
    <row r="3428" s="65" customFormat="1"/>
    <row r="3429" s="65" customFormat="1"/>
    <row r="3430" s="65" customFormat="1"/>
    <row r="3431" s="65" customFormat="1"/>
    <row r="3432" s="65" customFormat="1"/>
    <row r="3433" s="65" customFormat="1"/>
    <row r="3434" s="65" customFormat="1"/>
    <row r="3435" s="65" customFormat="1"/>
    <row r="3436" s="65" customFormat="1"/>
    <row r="3437" s="65" customFormat="1"/>
    <row r="3438" s="65" customFormat="1"/>
    <row r="3439" s="65" customFormat="1"/>
    <row r="3440" s="65" customFormat="1"/>
    <row r="3441" s="65" customFormat="1"/>
    <row r="3442" s="65" customFormat="1"/>
    <row r="3443" s="65" customFormat="1"/>
    <row r="3444" s="65" customFormat="1"/>
    <row r="3445" s="65" customFormat="1"/>
    <row r="3446" s="65" customFormat="1"/>
    <row r="3447" s="65" customFormat="1"/>
    <row r="3448" s="65" customFormat="1"/>
    <row r="3449" s="65" customFormat="1"/>
    <row r="3450" s="65" customFormat="1"/>
    <row r="3451" s="65" customFormat="1"/>
    <row r="3452" s="65" customFormat="1"/>
    <row r="3453" s="65" customFormat="1"/>
    <row r="3454" s="65" customFormat="1"/>
    <row r="3455" s="65" customFormat="1"/>
    <row r="3456" s="65" customFormat="1"/>
    <row r="3457" s="65" customFormat="1"/>
    <row r="3458" s="65" customFormat="1"/>
    <row r="3459" s="65" customFormat="1"/>
    <row r="3460" s="65" customFormat="1"/>
    <row r="3461" s="65" customFormat="1"/>
    <row r="3462" s="65" customFormat="1"/>
    <row r="3463" s="65" customFormat="1"/>
    <row r="3464" s="65" customFormat="1"/>
    <row r="3465" s="65" customFormat="1"/>
    <row r="3466" s="65" customFormat="1"/>
    <row r="3467" s="65" customFormat="1"/>
    <row r="3468" s="65" customFormat="1"/>
    <row r="3469" s="65" customFormat="1"/>
    <row r="3470" s="65" customFormat="1"/>
    <row r="3471" s="65" customFormat="1"/>
    <row r="3472" s="65" customFormat="1"/>
    <row r="3473" s="65" customFormat="1"/>
    <row r="3474" s="65" customFormat="1"/>
    <row r="3475" s="65" customFormat="1"/>
    <row r="3476" s="65" customFormat="1"/>
    <row r="3477" s="65" customFormat="1"/>
    <row r="3478" s="65" customFormat="1"/>
    <row r="3479" s="65" customFormat="1"/>
    <row r="3480" s="65" customFormat="1"/>
    <row r="3481" s="65" customFormat="1"/>
    <row r="3482" s="65" customFormat="1"/>
    <row r="3483" s="65" customFormat="1"/>
    <row r="3484" s="65" customFormat="1"/>
    <row r="3485" s="65" customFormat="1"/>
    <row r="3486" s="65" customFormat="1"/>
    <row r="3487" s="65" customFormat="1"/>
    <row r="3488" s="65" customFormat="1"/>
    <row r="3489" s="65" customFormat="1"/>
    <row r="3490" s="65" customFormat="1"/>
    <row r="3491" s="65" customFormat="1"/>
    <row r="3492" s="65" customFormat="1"/>
    <row r="3493" s="65" customFormat="1"/>
    <row r="3494" s="65" customFormat="1"/>
    <row r="3495" s="65" customFormat="1"/>
    <row r="3496" s="65" customFormat="1"/>
    <row r="3497" s="65" customFormat="1"/>
    <row r="3498" s="65" customFormat="1"/>
    <row r="3499" s="65" customFormat="1"/>
    <row r="3500" s="65" customFormat="1"/>
    <row r="3501" s="65" customFormat="1"/>
    <row r="3502" s="65" customFormat="1"/>
    <row r="3503" s="65" customFormat="1"/>
    <row r="3504" s="65" customFormat="1"/>
    <row r="3505" s="65" customFormat="1"/>
    <row r="3506" s="65" customFormat="1"/>
    <row r="3507" s="65" customFormat="1"/>
    <row r="3508" s="65" customFormat="1"/>
    <row r="3509" s="65" customFormat="1"/>
    <row r="3510" s="65" customFormat="1"/>
    <row r="3511" s="65" customFormat="1"/>
    <row r="3512" s="65" customFormat="1"/>
    <row r="3513" s="65" customFormat="1"/>
    <row r="3514" s="65" customFormat="1"/>
    <row r="3515" s="65" customFormat="1"/>
    <row r="3516" s="65" customFormat="1"/>
    <row r="3517" s="65" customFormat="1"/>
    <row r="3518" s="65" customFormat="1"/>
    <row r="3519" s="65" customFormat="1"/>
    <row r="3520" s="65" customFormat="1"/>
    <row r="3521" s="65" customFormat="1"/>
    <row r="3522" s="65" customFormat="1"/>
    <row r="3523" s="65" customFormat="1"/>
    <row r="3524" s="65" customFormat="1"/>
    <row r="3525" s="65" customFormat="1"/>
    <row r="3526" s="65" customFormat="1"/>
    <row r="3527" s="65" customFormat="1"/>
    <row r="3528" s="65" customFormat="1"/>
    <row r="3529" s="65" customFormat="1"/>
    <row r="3530" s="65" customFormat="1"/>
    <row r="3531" s="65" customFormat="1"/>
    <row r="3532" s="65" customFormat="1"/>
    <row r="3533" s="65" customFormat="1"/>
    <row r="3534" s="65" customFormat="1"/>
    <row r="3535" s="65" customFormat="1"/>
    <row r="3536" s="65" customFormat="1"/>
    <row r="3537" s="65" customFormat="1"/>
    <row r="3538" s="65" customFormat="1"/>
    <row r="3539" s="65" customFormat="1"/>
    <row r="3540" s="65" customFormat="1"/>
    <row r="3541" s="65" customFormat="1"/>
    <row r="3542" s="65" customFormat="1"/>
    <row r="3543" s="65" customFormat="1"/>
    <row r="3544" s="65" customFormat="1"/>
    <row r="3545" s="65" customFormat="1"/>
    <row r="3546" s="65" customFormat="1"/>
    <row r="3547" s="65" customFormat="1"/>
    <row r="3548" s="65" customFormat="1"/>
    <row r="3549" s="65" customFormat="1"/>
    <row r="3550" s="65" customFormat="1"/>
    <row r="3551" s="65" customFormat="1"/>
    <row r="3552" s="65" customFormat="1"/>
    <row r="3553" s="65" customFormat="1"/>
    <row r="3554" s="65" customFormat="1"/>
    <row r="3555" s="65" customFormat="1"/>
    <row r="3556" s="65" customFormat="1"/>
    <row r="3557" s="65" customFormat="1"/>
    <row r="3558" s="65" customFormat="1"/>
    <row r="3559" s="65" customFormat="1"/>
    <row r="3560" s="65" customFormat="1"/>
    <row r="3561" s="65" customFormat="1"/>
    <row r="3562" s="65" customFormat="1"/>
    <row r="3563" s="65" customFormat="1"/>
    <row r="3564" s="65" customFormat="1"/>
    <row r="3565" s="65" customFormat="1"/>
    <row r="3566" s="65" customFormat="1"/>
    <row r="3567" s="65" customFormat="1"/>
    <row r="3568" s="65" customFormat="1"/>
    <row r="3569" s="65" customFormat="1"/>
    <row r="3570" s="65" customFormat="1"/>
    <row r="3571" s="65" customFormat="1"/>
    <row r="3572" s="65" customFormat="1"/>
    <row r="3573" s="65" customFormat="1"/>
    <row r="3574" s="65" customFormat="1"/>
    <row r="3575" s="65" customFormat="1"/>
    <row r="3576" s="65" customFormat="1"/>
    <row r="3577" s="65" customFormat="1"/>
    <row r="3578" s="65" customFormat="1"/>
    <row r="3579" s="65" customFormat="1"/>
    <row r="3580" s="65" customFormat="1"/>
    <row r="3581" s="65" customFormat="1"/>
    <row r="3582" s="65" customFormat="1"/>
    <row r="3583" s="65" customFormat="1"/>
    <row r="3584" s="65" customFormat="1"/>
    <row r="3585" s="65" customFormat="1"/>
    <row r="3586" s="65" customFormat="1"/>
    <row r="3587" s="65" customFormat="1"/>
    <row r="3588" s="65" customFormat="1"/>
    <row r="3589" s="65" customFormat="1"/>
    <row r="3590" s="65" customFormat="1"/>
    <row r="3591" s="65" customFormat="1"/>
    <row r="3592" s="65" customFormat="1"/>
    <row r="3593" s="65" customFormat="1"/>
    <row r="3594" s="65" customFormat="1"/>
    <row r="3595" s="65" customFormat="1"/>
    <row r="3596" s="65" customFormat="1"/>
    <row r="3597" s="65" customFormat="1"/>
    <row r="3598" s="65" customFormat="1"/>
    <row r="3599" s="65" customFormat="1"/>
    <row r="3600" s="65" customFormat="1"/>
    <row r="3601" s="65" customFormat="1"/>
    <row r="3602" s="65" customFormat="1"/>
    <row r="3603" s="65" customFormat="1"/>
    <row r="3604" s="65" customFormat="1"/>
    <row r="3605" s="65" customFormat="1"/>
    <row r="3606" s="65" customFormat="1"/>
    <row r="3607" s="65" customFormat="1"/>
    <row r="3608" s="65" customFormat="1"/>
    <row r="3609" s="65" customFormat="1"/>
    <row r="3610" s="65" customFormat="1"/>
    <row r="3611" s="65" customFormat="1"/>
    <row r="3612" s="65" customFormat="1"/>
    <row r="3613" s="65" customFormat="1"/>
    <row r="3614" s="65" customFormat="1"/>
    <row r="3615" s="65" customFormat="1"/>
    <row r="3616" s="65" customFormat="1"/>
    <row r="3617" s="65" customFormat="1"/>
    <row r="3618" s="65" customFormat="1"/>
    <row r="3619" s="65" customFormat="1"/>
    <row r="3620" s="65" customFormat="1"/>
    <row r="3621" s="65" customFormat="1"/>
    <row r="3622" s="65" customFormat="1"/>
    <row r="3623" s="65" customFormat="1"/>
    <row r="3624" s="65" customFormat="1"/>
    <row r="3625" s="65" customFormat="1"/>
    <row r="3626" s="65" customFormat="1"/>
    <row r="3627" s="65" customFormat="1"/>
    <row r="3628" s="65" customFormat="1"/>
    <row r="3629" s="65" customFormat="1"/>
    <row r="3630" s="65" customFormat="1"/>
    <row r="3631" s="65" customFormat="1"/>
    <row r="3632" s="65" customFormat="1"/>
    <row r="3633" s="65" customFormat="1"/>
    <row r="3634" s="65" customFormat="1"/>
    <row r="3635" s="65" customFormat="1"/>
    <row r="3636" s="65" customFormat="1"/>
    <row r="3637" s="65" customFormat="1"/>
    <row r="3638" s="65" customFormat="1"/>
    <row r="3639" s="65" customFormat="1"/>
    <row r="3640" s="65" customFormat="1"/>
    <row r="3641" s="65" customFormat="1"/>
    <row r="3642" s="65" customFormat="1"/>
    <row r="3643" s="65" customFormat="1"/>
    <row r="3644" s="65" customFormat="1"/>
    <row r="3645" s="65" customFormat="1"/>
    <row r="3646" s="65" customFormat="1"/>
    <row r="3647" s="65" customFormat="1"/>
    <row r="3648" s="65" customFormat="1"/>
    <row r="3649" s="65" customFormat="1"/>
    <row r="3650" s="65" customFormat="1"/>
    <row r="3651" s="65" customFormat="1"/>
    <row r="3652" s="65" customFormat="1"/>
    <row r="3653" s="65" customFormat="1"/>
    <row r="3654" s="65" customFormat="1"/>
    <row r="3655" s="65" customFormat="1"/>
    <row r="3656" s="65" customFormat="1"/>
    <row r="3657" s="65" customFormat="1"/>
    <row r="3658" s="65" customFormat="1"/>
    <row r="3659" s="65" customFormat="1"/>
    <row r="3660" s="65" customFormat="1"/>
    <row r="3661" s="65" customFormat="1"/>
    <row r="3662" s="65" customFormat="1"/>
    <row r="3663" s="65" customFormat="1"/>
    <row r="3664" s="65" customFormat="1"/>
    <row r="3665" s="65" customFormat="1"/>
    <row r="3666" s="65" customFormat="1"/>
    <row r="3667" s="65" customFormat="1"/>
    <row r="3668" s="65" customFormat="1"/>
    <row r="3669" s="65" customFormat="1"/>
    <row r="3670" s="65" customFormat="1"/>
    <row r="3671" s="65" customFormat="1"/>
    <row r="3672" s="65" customFormat="1"/>
    <row r="3673" s="65" customFormat="1"/>
    <row r="3674" s="65" customFormat="1"/>
    <row r="3675" s="65" customFormat="1"/>
    <row r="3676" s="65" customFormat="1"/>
    <row r="3677" s="65" customFormat="1"/>
    <row r="3678" s="65" customFormat="1"/>
    <row r="3679" s="65" customFormat="1"/>
    <row r="3680" s="65" customFormat="1"/>
    <row r="3681" s="65" customFormat="1"/>
    <row r="3682" s="65" customFormat="1"/>
    <row r="3683" s="65" customFormat="1"/>
    <row r="3684" s="65" customFormat="1"/>
    <row r="3685" s="65" customFormat="1"/>
    <row r="3686" s="65" customFormat="1"/>
    <row r="3687" s="65" customFormat="1"/>
    <row r="3688" s="65" customFormat="1"/>
    <row r="3689" s="65" customFormat="1"/>
    <row r="3690" s="65" customFormat="1"/>
    <row r="3691" s="65" customFormat="1"/>
    <row r="3692" s="65" customFormat="1"/>
    <row r="3693" s="65" customFormat="1"/>
    <row r="3694" s="65" customFormat="1"/>
    <row r="3695" s="65" customFormat="1"/>
    <row r="3696" s="65" customFormat="1"/>
    <row r="3697" s="65" customFormat="1"/>
    <row r="3698" s="65" customFormat="1"/>
    <row r="3699" s="65" customFormat="1"/>
    <row r="3700" s="65" customFormat="1"/>
    <row r="3701" s="65" customFormat="1"/>
    <row r="3702" s="65" customFormat="1"/>
    <row r="3703" s="65" customFormat="1"/>
    <row r="3704" s="65" customFormat="1"/>
    <row r="3705" s="65" customFormat="1"/>
    <row r="3706" s="65" customFormat="1"/>
    <row r="3707" s="65" customFormat="1"/>
    <row r="3708" s="65" customFormat="1"/>
    <row r="3709" s="65" customFormat="1"/>
    <row r="3710" s="65" customFormat="1"/>
    <row r="3711" s="65" customFormat="1"/>
    <row r="3712" s="65" customFormat="1"/>
    <row r="3713" s="65" customFormat="1"/>
    <row r="3714" s="65" customFormat="1"/>
    <row r="3715" s="65" customFormat="1"/>
    <row r="3716" s="65" customFormat="1"/>
    <row r="3717" s="65" customFormat="1"/>
    <row r="3718" s="65" customFormat="1"/>
    <row r="3719" s="65" customFormat="1"/>
    <row r="3720" s="65" customFormat="1"/>
    <row r="3721" s="65" customFormat="1"/>
    <row r="3722" s="65" customFormat="1"/>
    <row r="3723" s="65" customFormat="1"/>
    <row r="3724" s="65" customFormat="1"/>
    <row r="3725" s="65" customFormat="1"/>
    <row r="3726" s="65" customFormat="1"/>
    <row r="3727" s="65" customFormat="1"/>
    <row r="3728" s="65" customFormat="1"/>
    <row r="3729" s="65" customFormat="1"/>
    <row r="3730" s="65" customFormat="1"/>
    <row r="3731" s="65" customFormat="1"/>
    <row r="3732" s="65" customFormat="1"/>
    <row r="3733" s="65" customFormat="1"/>
    <row r="3734" s="65" customFormat="1"/>
    <row r="3735" s="65" customFormat="1"/>
    <row r="3736" s="65" customFormat="1"/>
    <row r="3737" s="65" customFormat="1"/>
    <row r="3738" s="65" customFormat="1"/>
    <row r="3739" s="65" customFormat="1"/>
    <row r="3740" s="65" customFormat="1"/>
    <row r="3741" s="65" customFormat="1"/>
    <row r="3742" s="65" customFormat="1"/>
    <row r="3743" s="65" customFormat="1"/>
    <row r="3744" s="65" customFormat="1"/>
    <row r="3745" s="65" customFormat="1"/>
    <row r="3746" s="65" customFormat="1"/>
    <row r="3747" s="65" customFormat="1"/>
    <row r="3748" s="65" customFormat="1"/>
    <row r="3749" s="65" customFormat="1"/>
    <row r="3750" s="65" customFormat="1"/>
    <row r="3751" s="65" customFormat="1"/>
    <row r="3752" s="65" customFormat="1"/>
    <row r="3753" s="65" customFormat="1"/>
    <row r="3754" s="65" customFormat="1"/>
    <row r="3755" s="65" customFormat="1"/>
    <row r="3756" s="65" customFormat="1"/>
    <row r="3757" s="65" customFormat="1"/>
    <row r="3758" s="65" customFormat="1"/>
    <row r="3759" s="65" customFormat="1"/>
    <row r="3760" s="65" customFormat="1"/>
    <row r="3761" s="65" customFormat="1"/>
    <row r="3762" s="65" customFormat="1"/>
    <row r="3763" s="65" customFormat="1"/>
    <row r="3764" s="65" customFormat="1"/>
    <row r="3765" s="65" customFormat="1"/>
    <row r="3766" s="65" customFormat="1"/>
    <row r="3767" s="65" customFormat="1"/>
    <row r="3768" s="65" customFormat="1"/>
    <row r="3769" s="65" customFormat="1"/>
    <row r="3770" s="65" customFormat="1"/>
    <row r="3771" s="65" customFormat="1"/>
    <row r="3772" s="65" customFormat="1"/>
    <row r="3773" s="65" customFormat="1"/>
    <row r="3774" s="65" customFormat="1"/>
    <row r="3775" s="65" customFormat="1"/>
    <row r="3776" s="65" customFormat="1"/>
    <row r="3777" s="65" customFormat="1"/>
    <row r="3778" s="65" customFormat="1"/>
    <row r="3779" s="65" customFormat="1"/>
    <row r="3780" s="65" customFormat="1"/>
    <row r="3781" s="65" customFormat="1"/>
    <row r="3782" s="65" customFormat="1"/>
    <row r="3783" s="65" customFormat="1"/>
    <row r="3784" s="65" customFormat="1"/>
    <row r="3785" s="65" customFormat="1"/>
    <row r="3786" s="65" customFormat="1"/>
    <row r="3787" s="65" customFormat="1"/>
    <row r="3788" s="65" customFormat="1"/>
    <row r="3789" s="65" customFormat="1"/>
    <row r="3790" s="65" customFormat="1"/>
    <row r="3791" s="65" customFormat="1"/>
    <row r="3792" s="65" customFormat="1"/>
    <row r="3793" s="65" customFormat="1"/>
    <row r="3794" s="65" customFormat="1"/>
    <row r="3795" s="65" customFormat="1"/>
    <row r="3796" s="65" customFormat="1"/>
    <row r="3797" s="65" customFormat="1"/>
    <row r="3798" s="65" customFormat="1"/>
    <row r="3799" s="65" customFormat="1"/>
    <row r="3800" s="65" customFormat="1"/>
    <row r="3801" s="65" customFormat="1"/>
    <row r="3802" s="65" customFormat="1"/>
    <row r="3803" s="65" customFormat="1"/>
    <row r="3804" s="65" customFormat="1"/>
    <row r="3805" s="65" customFormat="1"/>
    <row r="3806" s="65" customFormat="1"/>
    <row r="3807" s="65" customFormat="1"/>
    <row r="3808" s="65" customFormat="1"/>
    <row r="3809" s="65" customFormat="1"/>
    <row r="3810" s="65" customFormat="1"/>
    <row r="3811" s="65" customFormat="1"/>
    <row r="3812" s="65" customFormat="1"/>
    <row r="3813" s="65" customFormat="1"/>
    <row r="3814" s="65" customFormat="1"/>
    <row r="3815" s="65" customFormat="1"/>
    <row r="3816" s="65" customFormat="1"/>
    <row r="3817" s="65" customFormat="1"/>
    <row r="3818" s="65" customFormat="1"/>
    <row r="3819" s="65" customFormat="1"/>
    <row r="3820" s="65" customFormat="1"/>
    <row r="3821" s="65" customFormat="1"/>
    <row r="3822" s="65" customFormat="1"/>
    <row r="3823" s="65" customFormat="1"/>
    <row r="3824" s="65" customFormat="1"/>
    <row r="3825" s="65" customFormat="1"/>
    <row r="3826" s="65" customFormat="1"/>
    <row r="3827" s="65" customFormat="1"/>
    <row r="3828" s="65" customFormat="1"/>
    <row r="3829" s="65" customFormat="1"/>
    <row r="3830" s="65" customFormat="1"/>
    <row r="3831" s="65" customFormat="1"/>
    <row r="3832" s="65" customFormat="1"/>
    <row r="3833" s="65" customFormat="1"/>
    <row r="3834" s="65" customFormat="1"/>
    <row r="3835" s="65" customFormat="1"/>
    <row r="3836" s="65" customFormat="1"/>
    <row r="3837" s="65" customFormat="1"/>
    <row r="3838" s="65" customFormat="1"/>
    <row r="3839" s="65" customFormat="1"/>
    <row r="3840" s="65" customFormat="1"/>
    <row r="3841" s="65" customFormat="1"/>
    <row r="3842" s="65" customFormat="1"/>
    <row r="3843" s="65" customFormat="1"/>
    <row r="3844" s="65" customFormat="1"/>
    <row r="3845" s="65" customFormat="1"/>
    <row r="3846" s="65" customFormat="1"/>
    <row r="3847" s="65" customFormat="1"/>
    <row r="3848" s="65" customFormat="1"/>
    <row r="3849" s="65" customFormat="1"/>
    <row r="3850" s="65" customFormat="1"/>
    <row r="3851" s="65" customFormat="1"/>
    <row r="3852" s="65" customFormat="1"/>
    <row r="3853" s="65" customFormat="1"/>
    <row r="3854" s="65" customFormat="1"/>
    <row r="3855" s="65" customFormat="1"/>
    <row r="3856" s="65" customFormat="1"/>
    <row r="3857" s="65" customFormat="1"/>
    <row r="3858" s="65" customFormat="1"/>
    <row r="3859" s="65" customFormat="1"/>
    <row r="3860" s="65" customFormat="1"/>
    <row r="3861" s="65" customFormat="1"/>
    <row r="3862" s="65" customFormat="1"/>
    <row r="3863" s="65" customFormat="1"/>
    <row r="3864" s="65" customFormat="1"/>
    <row r="3865" s="65" customFormat="1"/>
    <row r="3866" s="65" customFormat="1"/>
    <row r="3867" s="65" customFormat="1"/>
    <row r="3868" s="65" customFormat="1"/>
    <row r="3869" s="65" customFormat="1"/>
    <row r="3870" s="65" customFormat="1"/>
    <row r="3871" s="65" customFormat="1"/>
    <row r="3872" s="65" customFormat="1"/>
    <row r="3873" s="65" customFormat="1"/>
    <row r="3874" s="65" customFormat="1"/>
    <row r="3875" s="65" customFormat="1"/>
    <row r="3876" s="65" customFormat="1"/>
    <row r="3877" s="65" customFormat="1"/>
    <row r="3878" s="65" customFormat="1"/>
    <row r="3879" s="65" customFormat="1"/>
    <row r="3880" s="65" customFormat="1"/>
    <row r="3881" s="65" customFormat="1"/>
    <row r="3882" s="65" customFormat="1"/>
    <row r="3883" s="65" customFormat="1"/>
    <row r="3884" s="65" customFormat="1"/>
    <row r="3885" s="65" customFormat="1"/>
    <row r="3886" s="65" customFormat="1"/>
    <row r="3887" s="65" customFormat="1"/>
    <row r="3888" s="65" customFormat="1"/>
    <row r="3889" s="65" customFormat="1"/>
    <row r="3890" s="65" customFormat="1"/>
    <row r="3891" s="65" customFormat="1"/>
    <row r="3892" s="65" customFormat="1"/>
    <row r="3893" s="65" customFormat="1"/>
    <row r="3894" s="65" customFormat="1"/>
    <row r="3895" s="65" customFormat="1"/>
    <row r="3896" s="65" customFormat="1"/>
    <row r="3897" s="65" customFormat="1"/>
    <row r="3898" s="65" customFormat="1"/>
    <row r="3899" s="65" customFormat="1"/>
    <row r="3900" s="65" customFormat="1"/>
    <row r="3901" s="65" customFormat="1"/>
    <row r="3902" s="65" customFormat="1"/>
    <row r="3903" s="65" customFormat="1"/>
    <row r="3904" s="65" customFormat="1"/>
    <row r="3905" s="65" customFormat="1"/>
    <row r="3906" s="65" customFormat="1"/>
    <row r="3907" s="65" customFormat="1"/>
    <row r="3908" s="65" customFormat="1"/>
    <row r="3909" s="65" customFormat="1"/>
    <row r="3910" s="65" customFormat="1"/>
    <row r="3911" s="65" customFormat="1"/>
    <row r="3912" s="65" customFormat="1"/>
    <row r="3913" s="65" customFormat="1"/>
    <row r="3914" s="65" customFormat="1"/>
    <row r="3915" s="65" customFormat="1"/>
    <row r="3916" s="65" customFormat="1"/>
    <row r="3917" s="65" customFormat="1"/>
    <row r="3918" s="65" customFormat="1"/>
    <row r="3919" s="65" customFormat="1"/>
    <row r="3920" s="65" customFormat="1"/>
    <row r="3921" s="65" customFormat="1"/>
    <row r="3922" s="65" customFormat="1"/>
    <row r="3923" s="65" customFormat="1"/>
    <row r="3924" s="65" customFormat="1"/>
    <row r="3925" s="65" customFormat="1"/>
    <row r="3926" s="65" customFormat="1"/>
    <row r="3927" s="65" customFormat="1"/>
    <row r="3928" s="65" customFormat="1"/>
    <row r="3929" s="65" customFormat="1"/>
    <row r="3930" s="65" customFormat="1"/>
    <row r="3931" s="65" customFormat="1"/>
    <row r="3932" s="65" customFormat="1"/>
    <row r="3933" s="65" customFormat="1"/>
    <row r="3934" s="65" customFormat="1"/>
    <row r="3935" s="65" customFormat="1"/>
    <row r="3936" s="65" customFormat="1"/>
    <row r="3937" s="65" customFormat="1"/>
    <row r="3938" s="65" customFormat="1"/>
    <row r="3939" s="65" customFormat="1"/>
    <row r="3940" s="65" customFormat="1"/>
    <row r="3941" s="65" customFormat="1"/>
    <row r="3942" s="65" customFormat="1"/>
    <row r="3943" s="65" customFormat="1"/>
    <row r="3944" s="65" customFormat="1"/>
    <row r="3945" s="65" customFormat="1"/>
    <row r="3946" s="65" customFormat="1"/>
    <row r="3947" s="65" customFormat="1"/>
    <row r="3948" s="65" customFormat="1"/>
    <row r="3949" s="65" customFormat="1"/>
    <row r="3950" s="65" customFormat="1"/>
    <row r="3951" s="65" customFormat="1"/>
    <row r="3952" s="65" customFormat="1"/>
    <row r="3953" s="65" customFormat="1"/>
    <row r="3954" s="65" customFormat="1"/>
    <row r="3955" s="65" customFormat="1"/>
    <row r="3956" s="65" customFormat="1"/>
    <row r="3957" s="65" customFormat="1"/>
    <row r="3958" s="65" customFormat="1"/>
    <row r="3959" s="65" customFormat="1"/>
    <row r="3960" s="65" customFormat="1"/>
    <row r="3961" s="65" customFormat="1"/>
    <row r="3962" s="65" customFormat="1"/>
    <row r="3963" s="65" customFormat="1"/>
    <row r="3964" s="65" customFormat="1"/>
    <row r="3965" s="65" customFormat="1"/>
    <row r="3966" s="65" customFormat="1"/>
    <row r="3967" s="65" customFormat="1"/>
    <row r="3968" s="65" customFormat="1"/>
    <row r="3969" s="65" customFormat="1"/>
    <row r="3970" s="65" customFormat="1"/>
    <row r="3971" s="65" customFormat="1"/>
    <row r="3972" s="65" customFormat="1"/>
    <row r="3973" s="65" customFormat="1"/>
    <row r="3974" s="65" customFormat="1"/>
    <row r="3975" s="65" customFormat="1"/>
    <row r="3976" s="65" customFormat="1"/>
    <row r="3977" s="65" customFormat="1"/>
    <row r="3978" s="65" customFormat="1"/>
    <row r="3979" s="65" customFormat="1"/>
    <row r="3980" s="65" customFormat="1"/>
    <row r="3981" s="65" customFormat="1"/>
    <row r="3982" s="65" customFormat="1"/>
    <row r="3983" s="65" customFormat="1"/>
    <row r="3984" s="65" customFormat="1"/>
    <row r="3985" s="65" customFormat="1"/>
    <row r="3986" s="65" customFormat="1"/>
    <row r="3987" s="65" customFormat="1"/>
    <row r="3988" s="65" customFormat="1"/>
    <row r="3989" s="65" customFormat="1"/>
    <row r="3990" s="65" customFormat="1"/>
    <row r="3991" s="65" customFormat="1"/>
    <row r="3992" s="65" customFormat="1"/>
    <row r="3993" s="65" customFormat="1"/>
    <row r="3994" s="65" customFormat="1"/>
    <row r="3995" s="65" customFormat="1"/>
    <row r="3996" s="65" customFormat="1"/>
    <row r="3997" s="65" customFormat="1"/>
    <row r="3998" s="65" customFormat="1"/>
    <row r="3999" s="65" customFormat="1"/>
    <row r="4000" s="65" customFormat="1"/>
    <row r="4001" s="65" customFormat="1"/>
    <row r="4002" s="65" customFormat="1"/>
    <row r="4003" s="65" customFormat="1"/>
    <row r="4004" s="65" customFormat="1"/>
    <row r="4005" s="65" customFormat="1"/>
    <row r="4006" s="65" customFormat="1"/>
    <row r="4007" s="65" customFormat="1"/>
    <row r="4008" s="65" customFormat="1"/>
    <row r="4009" s="65" customFormat="1"/>
    <row r="4010" s="65" customFormat="1"/>
    <row r="4011" s="65" customFormat="1"/>
    <row r="4012" s="65" customFormat="1"/>
    <row r="4013" s="65" customFormat="1"/>
    <row r="4014" s="65" customFormat="1"/>
    <row r="4015" s="65" customFormat="1"/>
    <row r="4016" s="65" customFormat="1"/>
    <row r="4017" s="65" customFormat="1"/>
    <row r="4018" s="65" customFormat="1"/>
    <row r="4019" s="65" customFormat="1"/>
    <row r="4020" s="65" customFormat="1"/>
    <row r="4021" s="65" customFormat="1"/>
    <row r="4022" s="65" customFormat="1"/>
    <row r="4023" s="65" customFormat="1"/>
    <row r="4024" s="65" customFormat="1"/>
    <row r="4025" s="65" customFormat="1"/>
    <row r="4026" s="65" customFormat="1"/>
    <row r="4027" s="65" customFormat="1"/>
    <row r="4028" s="65" customFormat="1"/>
    <row r="4029" s="65" customFormat="1"/>
    <row r="4030" s="65" customFormat="1"/>
    <row r="4031" s="65" customFormat="1"/>
    <row r="4032" s="65" customFormat="1"/>
    <row r="4033" s="65" customFormat="1"/>
    <row r="4034" s="65" customFormat="1"/>
    <row r="4035" s="65" customFormat="1"/>
    <row r="4036" s="65" customFormat="1"/>
    <row r="4037" s="65" customFormat="1"/>
    <row r="4038" s="65" customFormat="1"/>
    <row r="4039" s="65" customFormat="1"/>
    <row r="4040" s="65" customFormat="1"/>
    <row r="4041" s="65" customFormat="1"/>
    <row r="4042" s="65" customFormat="1"/>
    <row r="4043" s="65" customFormat="1"/>
    <row r="4044" s="65" customFormat="1"/>
    <row r="4045" s="65" customFormat="1"/>
    <row r="4046" s="65" customFormat="1"/>
    <row r="4047" s="65" customFormat="1"/>
    <row r="4048" s="65" customFormat="1"/>
    <row r="4049" s="65" customFormat="1"/>
    <row r="4050" s="65" customFormat="1"/>
    <row r="4051" s="65" customFormat="1"/>
    <row r="4052" s="65" customFormat="1"/>
    <row r="4053" s="65" customFormat="1"/>
    <row r="4054" s="65" customFormat="1"/>
    <row r="4055" s="65" customFormat="1"/>
    <row r="4056" s="65" customFormat="1"/>
    <row r="4057" s="65" customFormat="1"/>
    <row r="4058" s="65" customFormat="1"/>
    <row r="4059" s="65" customFormat="1"/>
    <row r="4060" s="65" customFormat="1"/>
    <row r="4061" s="65" customFormat="1"/>
    <row r="4062" s="65" customFormat="1"/>
    <row r="4063" s="65" customFormat="1"/>
    <row r="4064" s="65" customFormat="1"/>
    <row r="4065" s="65" customFormat="1"/>
    <row r="4066" s="65" customFormat="1"/>
    <row r="4067" s="65" customFormat="1"/>
    <row r="4068" s="65" customFormat="1"/>
    <row r="4069" s="65" customFormat="1"/>
    <row r="4070" s="65" customFormat="1"/>
    <row r="4071" s="65" customFormat="1"/>
    <row r="4072" s="65" customFormat="1"/>
    <row r="4073" s="65" customFormat="1"/>
    <row r="4074" s="65" customFormat="1"/>
    <row r="4075" s="65" customFormat="1"/>
    <row r="4076" s="65" customFormat="1"/>
    <row r="4077" s="65" customFormat="1"/>
    <row r="4078" s="65" customFormat="1"/>
    <row r="4079" s="65" customFormat="1"/>
    <row r="4080" s="65" customFormat="1"/>
    <row r="4081" s="65" customFormat="1"/>
    <row r="4082" s="65" customFormat="1"/>
    <row r="4083" s="65" customFormat="1"/>
    <row r="4084" s="65" customFormat="1"/>
    <row r="4085" s="65" customFormat="1"/>
    <row r="4086" s="65" customFormat="1"/>
    <row r="4087" s="65" customFormat="1"/>
    <row r="4088" s="65" customFormat="1"/>
    <row r="4089" s="65" customFormat="1"/>
    <row r="4090" s="65" customFormat="1"/>
    <row r="4091" s="65" customFormat="1"/>
    <row r="4092" s="65" customFormat="1"/>
    <row r="4093" s="65" customFormat="1"/>
    <row r="4094" s="65" customFormat="1"/>
    <row r="4095" s="65" customFormat="1"/>
    <row r="4096" s="65" customFormat="1"/>
    <row r="4097" s="65" customFormat="1"/>
    <row r="4098" s="65" customFormat="1"/>
    <row r="4099" s="65" customFormat="1"/>
    <row r="4100" s="65" customFormat="1"/>
    <row r="4101" s="65" customFormat="1"/>
    <row r="4102" s="65" customFormat="1"/>
    <row r="4103" s="65" customFormat="1"/>
    <row r="4104" s="65" customFormat="1"/>
    <row r="4105" s="65" customFormat="1"/>
    <row r="4106" s="65" customFormat="1"/>
    <row r="4107" s="65" customFormat="1"/>
    <row r="4108" s="65" customFormat="1"/>
    <row r="4109" s="65" customFormat="1"/>
    <row r="4110" s="65" customFormat="1"/>
    <row r="4111" s="65" customFormat="1"/>
    <row r="4112" s="65" customFormat="1"/>
    <row r="4113" s="65" customFormat="1"/>
    <row r="4114" s="65" customFormat="1"/>
    <row r="4115" s="65" customFormat="1"/>
    <row r="4116" s="65" customFormat="1"/>
    <row r="4117" s="65" customFormat="1"/>
    <row r="4118" s="65" customFormat="1"/>
    <row r="4119" s="65" customFormat="1"/>
    <row r="4120" s="65" customFormat="1"/>
    <row r="4121" s="65" customFormat="1"/>
    <row r="4122" s="65" customFormat="1"/>
    <row r="4123" s="65" customFormat="1"/>
    <row r="4124" s="65" customFormat="1"/>
    <row r="4125" s="65" customFormat="1"/>
    <row r="4126" s="65" customFormat="1"/>
    <row r="4127" s="65" customFormat="1"/>
    <row r="4128" s="65" customFormat="1"/>
    <row r="4129" s="65" customFormat="1"/>
    <row r="4130" s="65" customFormat="1"/>
    <row r="4131" s="65" customFormat="1"/>
    <row r="4132" s="65" customFormat="1"/>
    <row r="4133" s="65" customFormat="1"/>
    <row r="4134" s="65" customFormat="1"/>
    <row r="4135" s="65" customFormat="1"/>
    <row r="4136" s="65" customFormat="1"/>
    <row r="4137" s="65" customFormat="1"/>
    <row r="4138" s="65" customFormat="1"/>
    <row r="4139" s="65" customFormat="1"/>
    <row r="4140" s="65" customFormat="1"/>
    <row r="4141" s="65" customFormat="1"/>
    <row r="4142" s="65" customFormat="1"/>
    <row r="4143" s="65" customFormat="1"/>
    <row r="4144" s="65" customFormat="1"/>
    <row r="4145" s="65" customFormat="1"/>
    <row r="4146" s="65" customFormat="1"/>
    <row r="4147" s="65" customFormat="1"/>
    <row r="4148" s="65" customFormat="1"/>
    <row r="4149" s="65" customFormat="1"/>
    <row r="4150" s="65" customFormat="1"/>
    <row r="4151" s="65" customFormat="1"/>
    <row r="4152" s="65" customFormat="1"/>
    <row r="4153" s="65" customFormat="1"/>
    <row r="4154" s="65" customFormat="1"/>
    <row r="4155" s="65" customFormat="1"/>
    <row r="4156" s="65" customFormat="1"/>
    <row r="4157" s="65" customFormat="1"/>
    <row r="4158" s="65" customFormat="1"/>
    <row r="4159" s="65" customFormat="1"/>
    <row r="4160" s="65" customFormat="1"/>
    <row r="4161" s="65" customFormat="1"/>
    <row r="4162" s="65" customFormat="1"/>
    <row r="4163" s="65" customFormat="1"/>
    <row r="4164" s="65" customFormat="1"/>
    <row r="4165" s="65" customFormat="1"/>
    <row r="4166" s="65" customFormat="1"/>
    <row r="4167" s="65" customFormat="1"/>
    <row r="4168" s="65" customFormat="1"/>
    <row r="4169" s="65" customFormat="1"/>
    <row r="4170" s="65" customFormat="1"/>
    <row r="4171" s="65" customFormat="1"/>
    <row r="4172" s="65" customFormat="1"/>
    <row r="4173" s="65" customFormat="1"/>
    <row r="4174" s="65" customFormat="1"/>
    <row r="4175" s="65" customFormat="1"/>
    <row r="4176" s="65" customFormat="1"/>
    <row r="4177" s="65" customFormat="1"/>
    <row r="4178" s="65" customFormat="1"/>
    <row r="4179" s="65" customFormat="1"/>
    <row r="4180" s="65" customFormat="1"/>
    <row r="4181" s="65" customFormat="1"/>
    <row r="4182" s="65" customFormat="1"/>
    <row r="4183" s="65" customFormat="1"/>
    <row r="4184" s="65" customFormat="1"/>
    <row r="4185" s="65" customFormat="1"/>
    <row r="4186" s="65" customFormat="1"/>
    <row r="4187" s="65" customFormat="1"/>
    <row r="4188" s="65" customFormat="1"/>
    <row r="4189" s="65" customFormat="1"/>
    <row r="4190" s="65" customFormat="1"/>
    <row r="4191" s="65" customFormat="1"/>
    <row r="4192" s="65" customFormat="1"/>
    <row r="4193" s="65" customFormat="1"/>
    <row r="4194" s="65" customFormat="1"/>
    <row r="4195" s="65" customFormat="1"/>
    <row r="4196" s="65" customFormat="1"/>
    <row r="4197" s="65" customFormat="1"/>
    <row r="4198" s="65" customFormat="1"/>
    <row r="4199" s="65" customFormat="1"/>
    <row r="4200" s="65" customFormat="1"/>
    <row r="4201" s="65" customFormat="1"/>
    <row r="4202" s="65" customFormat="1"/>
    <row r="4203" s="65" customFormat="1"/>
    <row r="4204" s="65" customFormat="1"/>
    <row r="4205" s="65" customFormat="1"/>
    <row r="4206" s="65" customFormat="1"/>
    <row r="4207" s="65" customFormat="1"/>
    <row r="4208" s="65" customFormat="1"/>
    <row r="4209" s="65" customFormat="1"/>
    <row r="4210" s="65" customFormat="1"/>
    <row r="4211" s="65" customFormat="1"/>
    <row r="4212" s="65" customFormat="1"/>
    <row r="4213" s="65" customFormat="1"/>
    <row r="4214" s="65" customFormat="1"/>
    <row r="4215" s="65" customFormat="1"/>
    <row r="4216" s="65" customFormat="1"/>
    <row r="4217" s="65" customFormat="1"/>
    <row r="4218" s="65" customFormat="1"/>
    <row r="4219" s="65" customFormat="1"/>
    <row r="4220" s="65" customFormat="1"/>
    <row r="4221" s="65" customFormat="1"/>
    <row r="4222" s="65" customFormat="1"/>
    <row r="4223" s="65" customFormat="1"/>
    <row r="4224" s="65" customFormat="1"/>
    <row r="4225" s="65" customFormat="1"/>
    <row r="4226" s="65" customFormat="1"/>
    <row r="4227" s="65" customFormat="1"/>
    <row r="4228" s="65" customFormat="1"/>
    <row r="4229" s="65" customFormat="1"/>
    <row r="4230" s="65" customFormat="1"/>
    <row r="4231" s="65" customFormat="1"/>
    <row r="4232" s="65" customFormat="1"/>
    <row r="4233" s="65" customFormat="1"/>
    <row r="4234" s="65" customFormat="1"/>
    <row r="4235" s="65" customFormat="1"/>
    <row r="4236" s="65" customFormat="1"/>
    <row r="4237" s="65" customFormat="1"/>
    <row r="4238" s="65" customFormat="1"/>
    <row r="4239" s="65" customFormat="1"/>
    <row r="4240" s="65" customFormat="1"/>
    <row r="4241" s="65" customFormat="1"/>
    <row r="4242" s="65" customFormat="1"/>
    <row r="4243" s="65" customFormat="1"/>
    <row r="4244" s="65" customFormat="1"/>
    <row r="4245" s="65" customFormat="1"/>
    <row r="4246" s="65" customFormat="1"/>
    <row r="4247" s="65" customFormat="1"/>
    <row r="4248" s="65" customFormat="1"/>
    <row r="4249" s="65" customFormat="1"/>
    <row r="4250" s="65" customFormat="1"/>
    <row r="4251" s="65" customFormat="1"/>
    <row r="4252" s="65" customFormat="1"/>
    <row r="4253" s="65" customFormat="1"/>
    <row r="4254" s="65" customFormat="1"/>
    <row r="4255" s="65" customFormat="1"/>
    <row r="4256" s="65" customFormat="1"/>
    <row r="4257" s="65" customFormat="1"/>
    <row r="4258" s="65" customFormat="1"/>
    <row r="4259" s="65" customFormat="1"/>
    <row r="4260" s="65" customFormat="1"/>
    <row r="4261" s="65" customFormat="1"/>
    <row r="4262" s="65" customFormat="1"/>
    <row r="4263" s="65" customFormat="1"/>
    <row r="4264" s="65" customFormat="1"/>
    <row r="4265" s="65" customFormat="1"/>
    <row r="4266" s="65" customFormat="1"/>
    <row r="4267" s="65" customFormat="1"/>
    <row r="4268" s="65" customFormat="1"/>
    <row r="4269" s="65" customFormat="1"/>
    <row r="4270" s="65" customFormat="1"/>
    <row r="4271" s="65" customFormat="1"/>
    <row r="4272" s="65" customFormat="1"/>
    <row r="4273" s="65" customFormat="1"/>
    <row r="4274" s="65" customFormat="1"/>
    <row r="4275" s="65" customFormat="1"/>
    <row r="4276" s="65" customFormat="1"/>
    <row r="4277" s="65" customFormat="1"/>
    <row r="4278" s="65" customFormat="1"/>
    <row r="4279" s="65" customFormat="1"/>
    <row r="4280" s="65" customFormat="1"/>
    <row r="4281" s="65" customFormat="1"/>
    <row r="4282" s="65" customFormat="1"/>
    <row r="4283" s="65" customFormat="1"/>
    <row r="4284" s="65" customFormat="1"/>
    <row r="4285" s="65" customFormat="1"/>
    <row r="4286" s="65" customFormat="1"/>
    <row r="4287" s="65" customFormat="1"/>
    <row r="4288" s="65" customFormat="1"/>
    <row r="4289" s="65" customFormat="1"/>
    <row r="4290" s="65" customFormat="1"/>
    <row r="4291" s="65" customFormat="1"/>
    <row r="4292" s="65" customFormat="1"/>
    <row r="4293" s="65" customFormat="1"/>
    <row r="4294" s="65" customFormat="1"/>
    <row r="4295" s="65" customFormat="1"/>
    <row r="4296" s="65" customFormat="1"/>
    <row r="4297" s="65" customFormat="1"/>
    <row r="4298" s="65" customFormat="1"/>
    <row r="4299" s="65" customFormat="1"/>
    <row r="4300" s="65" customFormat="1"/>
    <row r="4301" s="65" customFormat="1"/>
    <row r="4302" s="65" customFormat="1"/>
    <row r="4303" s="65" customFormat="1"/>
    <row r="4304" s="65" customFormat="1"/>
    <row r="4305" s="65" customFormat="1"/>
    <row r="4306" s="65" customFormat="1"/>
    <row r="4307" s="65" customFormat="1"/>
    <row r="4308" s="65" customFormat="1"/>
    <row r="4309" s="65" customFormat="1"/>
    <row r="4310" s="65" customFormat="1"/>
    <row r="4311" s="65" customFormat="1"/>
    <row r="4312" s="65" customFormat="1"/>
    <row r="4313" s="65" customFormat="1"/>
    <row r="4314" s="65" customFormat="1"/>
    <row r="4315" s="65" customFormat="1"/>
    <row r="4316" s="65" customFormat="1"/>
    <row r="4317" s="65" customFormat="1"/>
    <row r="4318" s="65" customFormat="1"/>
    <row r="4319" s="65" customFormat="1"/>
    <row r="4320" s="65" customFormat="1"/>
    <row r="4321" s="65" customFormat="1"/>
    <row r="4322" s="65" customFormat="1"/>
    <row r="4323" s="65" customFormat="1"/>
    <row r="4324" s="65" customFormat="1"/>
    <row r="4325" s="65" customFormat="1"/>
    <row r="4326" s="65" customFormat="1"/>
    <row r="4327" s="65" customFormat="1"/>
    <row r="4328" s="65" customFormat="1"/>
    <row r="4329" s="65" customFormat="1"/>
    <row r="4330" s="65" customFormat="1"/>
    <row r="4331" s="65" customFormat="1"/>
    <row r="4332" s="65" customFormat="1"/>
    <row r="4333" s="65" customFormat="1"/>
    <row r="4334" s="65" customFormat="1"/>
    <row r="4335" s="65" customFormat="1"/>
    <row r="4336" s="65" customFormat="1"/>
    <row r="4337" s="65" customFormat="1"/>
    <row r="4338" s="65" customFormat="1"/>
    <row r="4339" s="65" customFormat="1"/>
    <row r="4340" s="65" customFormat="1"/>
    <row r="4341" s="65" customFormat="1"/>
    <row r="4342" s="65" customFormat="1"/>
    <row r="4343" s="65" customFormat="1"/>
    <row r="4344" s="65" customFormat="1"/>
    <row r="4345" s="65" customFormat="1"/>
    <row r="4346" s="65" customFormat="1"/>
    <row r="4347" s="65" customFormat="1"/>
    <row r="4348" s="65" customFormat="1"/>
    <row r="4349" s="65" customFormat="1"/>
    <row r="4350" s="65" customFormat="1"/>
    <row r="4351" s="65" customFormat="1"/>
    <row r="4352" s="65" customFormat="1"/>
    <row r="4353" s="65" customFormat="1"/>
    <row r="4354" s="65" customFormat="1"/>
    <row r="4355" s="65" customFormat="1"/>
    <row r="4356" s="65" customFormat="1"/>
    <row r="4357" s="65" customFormat="1"/>
    <row r="4358" s="65" customFormat="1"/>
    <row r="4359" s="65" customFormat="1"/>
    <row r="4360" s="65" customFormat="1"/>
    <row r="4361" s="65" customFormat="1"/>
    <row r="4362" s="65" customFormat="1"/>
    <row r="4363" s="65" customFormat="1"/>
    <row r="4364" s="65" customFormat="1"/>
    <row r="4365" s="65" customFormat="1"/>
    <row r="4366" s="65" customFormat="1"/>
    <row r="4367" s="65" customFormat="1"/>
    <row r="4368" s="65" customFormat="1"/>
    <row r="4369" s="65" customFormat="1"/>
    <row r="4370" s="65" customFormat="1"/>
    <row r="4371" s="65" customFormat="1"/>
    <row r="4372" s="65" customFormat="1"/>
    <row r="4373" s="65" customFormat="1"/>
    <row r="4374" s="65" customFormat="1"/>
    <row r="4375" s="65" customFormat="1"/>
    <row r="4376" s="65" customFormat="1"/>
    <row r="4377" s="65" customFormat="1"/>
    <row r="4378" s="65" customFormat="1"/>
    <row r="4379" s="65" customFormat="1"/>
    <row r="4380" s="65" customFormat="1"/>
    <row r="4381" s="65" customFormat="1"/>
    <row r="4382" s="65" customFormat="1"/>
    <row r="4383" s="65" customFormat="1"/>
    <row r="4384" s="65" customFormat="1"/>
    <row r="4385" s="65" customFormat="1"/>
    <row r="4386" s="65" customFormat="1"/>
    <row r="4387" s="65" customFormat="1"/>
    <row r="4388" s="65" customFormat="1"/>
    <row r="4389" s="65" customFormat="1"/>
    <row r="4390" s="65" customFormat="1"/>
    <row r="4391" s="65" customFormat="1"/>
    <row r="4392" s="65" customFormat="1"/>
    <row r="4393" s="65" customFormat="1"/>
    <row r="4394" s="65" customFormat="1"/>
    <row r="4395" s="65" customFormat="1"/>
    <row r="4396" s="65" customFormat="1"/>
    <row r="4397" s="65" customFormat="1"/>
    <row r="4398" s="65" customFormat="1"/>
    <row r="4399" s="65" customFormat="1"/>
    <row r="4400" s="65" customFormat="1"/>
    <row r="4401" s="65" customFormat="1"/>
    <row r="4402" s="65" customFormat="1"/>
    <row r="4403" s="65" customFormat="1"/>
    <row r="4404" s="65" customFormat="1"/>
    <row r="4405" s="65" customFormat="1"/>
    <row r="4406" s="65" customFormat="1"/>
    <row r="4407" s="65" customFormat="1"/>
    <row r="4408" s="65" customFormat="1"/>
    <row r="4409" s="65" customFormat="1"/>
    <row r="4410" s="65" customFormat="1"/>
    <row r="4411" s="65" customFormat="1"/>
    <row r="4412" s="65" customFormat="1"/>
    <row r="4413" s="65" customFormat="1"/>
    <row r="4414" s="65" customFormat="1"/>
    <row r="4415" s="65" customFormat="1"/>
    <row r="4416" s="65" customFormat="1"/>
    <row r="4417" s="65" customFormat="1"/>
    <row r="4418" s="65" customFormat="1"/>
    <row r="4419" s="65" customFormat="1"/>
    <row r="4420" s="65" customFormat="1"/>
    <row r="4421" s="65" customFormat="1"/>
    <row r="4422" s="65" customFormat="1"/>
    <row r="4423" s="65" customFormat="1"/>
    <row r="4424" s="65" customFormat="1"/>
    <row r="4425" s="65" customFormat="1"/>
    <row r="4426" s="65" customFormat="1"/>
    <row r="4427" s="65" customFormat="1"/>
    <row r="4428" s="65" customFormat="1"/>
    <row r="4429" s="65" customFormat="1"/>
    <row r="4430" s="65" customFormat="1"/>
    <row r="4431" s="65" customFormat="1"/>
    <row r="4432" s="65" customFormat="1"/>
    <row r="4433" s="65" customFormat="1"/>
    <row r="4434" s="65" customFormat="1"/>
    <row r="4435" s="65" customFormat="1"/>
    <row r="4436" s="65" customFormat="1"/>
    <row r="4437" s="65" customFormat="1"/>
    <row r="4438" s="65" customFormat="1"/>
    <row r="4439" s="65" customFormat="1"/>
    <row r="4440" s="65" customFormat="1"/>
    <row r="4441" s="65" customFormat="1"/>
    <row r="4442" s="65" customFormat="1"/>
    <row r="4443" s="65" customFormat="1"/>
    <row r="4444" s="65" customFormat="1"/>
    <row r="4445" s="65" customFormat="1"/>
    <row r="4446" s="65" customFormat="1"/>
    <row r="4447" s="65" customFormat="1"/>
    <row r="4448" s="65" customFormat="1"/>
    <row r="4449" s="65" customFormat="1"/>
    <row r="4450" s="65" customFormat="1"/>
    <row r="4451" s="65" customFormat="1"/>
    <row r="4452" s="65" customFormat="1"/>
    <row r="4453" s="65" customFormat="1"/>
    <row r="4454" s="65" customFormat="1"/>
    <row r="4455" s="65" customFormat="1"/>
    <row r="4456" s="65" customFormat="1"/>
    <row r="4457" s="65" customFormat="1"/>
    <row r="4458" s="65" customFormat="1"/>
    <row r="4459" s="65" customFormat="1"/>
    <row r="4460" s="65" customFormat="1"/>
    <row r="4461" s="65" customFormat="1"/>
    <row r="4462" s="65" customFormat="1"/>
    <row r="4463" s="65" customFormat="1"/>
    <row r="4464" s="65" customFormat="1"/>
    <row r="4465" s="65" customFormat="1"/>
    <row r="4466" s="65" customFormat="1"/>
    <row r="4467" s="65" customFormat="1"/>
    <row r="4468" s="65" customFormat="1"/>
    <row r="4469" s="65" customFormat="1"/>
    <row r="4470" s="65" customFormat="1"/>
    <row r="4471" s="65" customFormat="1"/>
    <row r="4472" s="65" customFormat="1"/>
    <row r="4473" s="65" customFormat="1"/>
    <row r="4474" s="65" customFormat="1"/>
    <row r="4475" s="65" customFormat="1"/>
    <row r="4476" s="65" customFormat="1"/>
    <row r="4477" s="65" customFormat="1"/>
    <row r="4478" s="65" customFormat="1"/>
    <row r="4479" s="65" customFormat="1"/>
    <row r="4480" s="65" customFormat="1"/>
    <row r="4481" s="65" customFormat="1"/>
    <row r="4482" s="65" customFormat="1"/>
    <row r="4483" s="65" customFormat="1"/>
    <row r="4484" s="65" customFormat="1"/>
    <row r="4485" s="65" customFormat="1"/>
    <row r="4486" s="65" customFormat="1"/>
    <row r="4487" s="65" customFormat="1"/>
    <row r="4488" s="65" customFormat="1"/>
    <row r="4489" s="65" customFormat="1"/>
    <row r="4490" s="65" customFormat="1"/>
    <row r="4491" s="65" customFormat="1"/>
    <row r="4492" s="65" customFormat="1"/>
    <row r="4493" s="65" customFormat="1"/>
    <row r="4494" s="65" customFormat="1"/>
    <row r="4495" s="65" customFormat="1"/>
    <row r="4496" s="65" customFormat="1"/>
    <row r="4497" s="65" customFormat="1"/>
    <row r="4498" s="65" customFormat="1"/>
    <row r="4499" s="65" customFormat="1"/>
    <row r="4500" s="65" customFormat="1"/>
    <row r="4501" s="65" customFormat="1"/>
    <row r="4502" s="65" customFormat="1"/>
    <row r="4503" s="65" customFormat="1"/>
    <row r="4504" s="65" customFormat="1"/>
    <row r="4505" s="65" customFormat="1"/>
    <row r="4506" s="65" customFormat="1"/>
    <row r="4507" s="65" customFormat="1"/>
    <row r="4508" s="65" customFormat="1"/>
    <row r="4509" s="65" customFormat="1"/>
    <row r="4510" s="65" customFormat="1"/>
    <row r="4511" s="65" customFormat="1"/>
    <row r="4512" s="65" customFormat="1"/>
    <row r="4513" s="65" customFormat="1"/>
    <row r="4514" s="65" customFormat="1"/>
    <row r="4515" s="65" customFormat="1"/>
    <row r="4516" s="65" customFormat="1"/>
    <row r="4517" s="65" customFormat="1"/>
    <row r="4518" s="65" customFormat="1"/>
    <row r="4519" s="65" customFormat="1"/>
    <row r="4520" s="65" customFormat="1"/>
    <row r="4521" s="65" customFormat="1"/>
    <row r="4522" s="65" customFormat="1"/>
    <row r="4523" s="65" customFormat="1"/>
    <row r="4524" s="65" customFormat="1"/>
    <row r="4525" s="65" customFormat="1"/>
    <row r="4526" s="65" customFormat="1"/>
    <row r="4527" s="65" customFormat="1"/>
    <row r="4528" s="65" customFormat="1"/>
    <row r="4529" s="65" customFormat="1"/>
    <row r="4530" s="65" customFormat="1"/>
    <row r="4531" s="65" customFormat="1"/>
    <row r="4532" s="65" customFormat="1"/>
    <row r="4533" s="65" customFormat="1"/>
    <row r="4534" s="65" customFormat="1"/>
    <row r="4535" s="65" customFormat="1"/>
    <row r="4536" s="65" customFormat="1"/>
    <row r="4537" s="65" customFormat="1"/>
    <row r="4538" s="65" customFormat="1"/>
    <row r="4539" s="65" customFormat="1"/>
    <row r="4540" s="65" customFormat="1"/>
    <row r="4541" s="65" customFormat="1"/>
    <row r="4542" s="65" customFormat="1"/>
    <row r="4543" s="65" customFormat="1"/>
    <row r="4544" s="65" customFormat="1"/>
    <row r="4545" s="65" customFormat="1"/>
    <row r="4546" s="65" customFormat="1"/>
    <row r="4547" s="65" customFormat="1"/>
    <row r="4548" s="65" customFormat="1"/>
    <row r="4549" s="65" customFormat="1"/>
    <row r="4550" s="65" customFormat="1"/>
    <row r="4551" s="65" customFormat="1"/>
    <row r="4552" s="65" customFormat="1"/>
    <row r="4553" s="65" customFormat="1"/>
    <row r="4554" s="65" customFormat="1"/>
    <row r="4555" s="65" customFormat="1"/>
    <row r="4556" s="65" customFormat="1"/>
    <row r="4557" s="65" customFormat="1"/>
    <row r="4558" s="65" customFormat="1"/>
    <row r="4559" s="65" customFormat="1"/>
    <row r="4560" s="65" customFormat="1"/>
    <row r="4561" s="65" customFormat="1"/>
    <row r="4562" s="65" customFormat="1"/>
    <row r="4563" s="65" customFormat="1"/>
    <row r="4564" s="65" customFormat="1"/>
    <row r="4565" s="65" customFormat="1"/>
    <row r="4566" s="65" customFormat="1"/>
    <row r="4567" s="65" customFormat="1"/>
    <row r="4568" s="65" customFormat="1"/>
    <row r="4569" s="65" customFormat="1"/>
    <row r="4570" s="65" customFormat="1"/>
    <row r="4571" s="65" customFormat="1"/>
    <row r="4572" s="65" customFormat="1"/>
    <row r="4573" s="65" customFormat="1"/>
    <row r="4574" s="65" customFormat="1"/>
    <row r="4575" s="65" customFormat="1"/>
    <row r="4576" s="65" customFormat="1"/>
    <row r="4577" s="65" customFormat="1"/>
    <row r="4578" s="65" customFormat="1"/>
    <row r="4579" s="65" customFormat="1"/>
    <row r="4580" s="65" customFormat="1"/>
    <row r="4581" s="65" customFormat="1"/>
    <row r="4582" s="65" customFormat="1"/>
    <row r="4583" s="65" customFormat="1"/>
    <row r="4584" s="65" customFormat="1"/>
    <row r="4585" s="65" customFormat="1"/>
    <row r="4586" s="65" customFormat="1"/>
    <row r="4587" s="65" customFormat="1"/>
    <row r="4588" s="65" customFormat="1"/>
    <row r="4589" s="65" customFormat="1"/>
    <row r="4590" s="65" customFormat="1"/>
    <row r="4591" s="65" customFormat="1"/>
    <row r="4592" s="65" customFormat="1"/>
    <row r="4593" s="65" customFormat="1"/>
    <row r="4594" s="65" customFormat="1"/>
    <row r="4595" s="65" customFormat="1"/>
    <row r="4596" s="65" customFormat="1"/>
    <row r="4597" s="65" customFormat="1"/>
    <row r="4598" s="65" customFormat="1"/>
    <row r="4599" s="65" customFormat="1"/>
    <row r="4600" s="65" customFormat="1"/>
    <row r="4601" s="65" customFormat="1"/>
    <row r="4602" s="65" customFormat="1"/>
    <row r="4603" s="65" customFormat="1"/>
    <row r="4604" s="65" customFormat="1"/>
    <row r="4605" s="65" customFormat="1"/>
    <row r="4606" s="65" customFormat="1"/>
    <row r="4607" s="65" customFormat="1"/>
    <row r="4608" s="65" customFormat="1"/>
    <row r="4609" s="65" customFormat="1"/>
    <row r="4610" s="65" customFormat="1"/>
    <row r="4611" s="65" customFormat="1"/>
    <row r="4612" s="65" customFormat="1"/>
    <row r="4613" s="65" customFormat="1"/>
    <row r="4614" s="65" customFormat="1"/>
    <row r="4615" s="65" customFormat="1"/>
    <row r="4616" s="65" customFormat="1"/>
    <row r="4617" s="65" customFormat="1"/>
    <row r="4618" s="65" customFormat="1"/>
    <row r="4619" s="65" customFormat="1"/>
    <row r="4620" s="65" customFormat="1"/>
    <row r="4621" s="65" customFormat="1"/>
    <row r="4622" s="65" customFormat="1"/>
    <row r="4623" s="65" customFormat="1"/>
    <row r="4624" s="65" customFormat="1"/>
    <row r="4625" s="65" customFormat="1"/>
    <row r="4626" s="65" customFormat="1"/>
    <row r="4627" s="65" customFormat="1"/>
    <row r="4628" s="65" customFormat="1"/>
    <row r="4629" s="65" customFormat="1"/>
    <row r="4630" s="65" customFormat="1"/>
    <row r="4631" s="65" customFormat="1"/>
    <row r="4632" s="65" customFormat="1"/>
    <row r="4633" s="65" customFormat="1"/>
    <row r="4634" s="65" customFormat="1"/>
    <row r="4635" s="65" customFormat="1"/>
    <row r="4636" s="65" customFormat="1"/>
    <row r="4637" s="65" customFormat="1"/>
    <row r="4638" s="65" customFormat="1"/>
    <row r="4639" s="65" customFormat="1"/>
    <row r="4640" s="65" customFormat="1"/>
    <row r="4641" s="65" customFormat="1"/>
    <row r="4642" s="65" customFormat="1"/>
    <row r="4643" s="65" customFormat="1"/>
    <row r="4644" s="65" customFormat="1"/>
    <row r="4645" s="65" customFormat="1"/>
    <row r="4646" s="65" customFormat="1"/>
    <row r="4647" s="65" customFormat="1"/>
    <row r="4648" s="65" customFormat="1"/>
    <row r="4649" s="65" customFormat="1"/>
    <row r="4650" s="65" customFormat="1"/>
    <row r="4651" s="65" customFormat="1"/>
    <row r="4652" s="65" customFormat="1"/>
    <row r="4653" s="65" customFormat="1"/>
    <row r="4654" s="65" customFormat="1"/>
    <row r="4655" s="65" customFormat="1"/>
    <row r="4656" s="65" customFormat="1"/>
    <row r="4657" s="65" customFormat="1"/>
    <row r="4658" s="65" customFormat="1"/>
    <row r="4659" s="65" customFormat="1"/>
    <row r="4660" s="65" customFormat="1"/>
    <row r="4661" s="65" customFormat="1"/>
    <row r="4662" s="65" customFormat="1"/>
    <row r="4663" s="65" customFormat="1"/>
    <row r="4664" s="65" customFormat="1"/>
    <row r="4665" s="65" customFormat="1"/>
    <row r="4666" s="65" customFormat="1"/>
    <row r="4667" s="65" customFormat="1"/>
    <row r="4668" s="65" customFormat="1"/>
    <row r="4669" s="65" customFormat="1"/>
    <row r="4670" s="65" customFormat="1"/>
    <row r="4671" s="65" customFormat="1"/>
    <row r="4672" s="65" customFormat="1"/>
    <row r="4673" s="65" customFormat="1"/>
    <row r="4674" s="65" customFormat="1"/>
    <row r="4675" s="65" customFormat="1"/>
    <row r="4676" s="65" customFormat="1"/>
    <row r="4677" s="65" customFormat="1"/>
    <row r="4678" s="65" customFormat="1"/>
    <row r="4679" s="65" customFormat="1"/>
    <row r="4680" s="65" customFormat="1"/>
    <row r="4681" s="65" customFormat="1"/>
    <row r="4682" s="65" customFormat="1"/>
    <row r="4683" s="65" customFormat="1"/>
    <row r="4684" s="65" customFormat="1"/>
    <row r="4685" s="65" customFormat="1"/>
    <row r="4686" s="65" customFormat="1"/>
    <row r="4687" s="65" customFormat="1"/>
    <row r="4688" s="65" customFormat="1"/>
    <row r="4689" s="65" customFormat="1"/>
    <row r="4690" s="65" customFormat="1"/>
    <row r="4691" s="65" customFormat="1"/>
    <row r="4692" s="65" customFormat="1"/>
    <row r="4693" s="65" customFormat="1"/>
    <row r="4694" s="65" customFormat="1"/>
    <row r="4695" s="65" customFormat="1"/>
    <row r="4696" s="65" customFormat="1"/>
    <row r="4697" s="65" customFormat="1"/>
    <row r="4698" s="65" customFormat="1"/>
    <row r="4699" s="65" customFormat="1"/>
    <row r="4700" s="65" customFormat="1"/>
    <row r="4701" s="65" customFormat="1"/>
    <row r="4702" s="65" customFormat="1"/>
    <row r="4703" s="65" customFormat="1"/>
    <row r="4704" s="65" customFormat="1"/>
    <row r="4705" s="65" customFormat="1"/>
    <row r="4706" s="65" customFormat="1"/>
    <row r="4707" s="65" customFormat="1"/>
    <row r="4708" s="65" customFormat="1"/>
    <row r="4709" s="65" customFormat="1"/>
    <row r="4710" s="65" customFormat="1"/>
    <row r="4711" s="65" customFormat="1"/>
    <row r="4712" s="65" customFormat="1"/>
    <row r="4713" s="65" customFormat="1"/>
    <row r="4714" s="65" customFormat="1"/>
    <row r="4715" s="65" customFormat="1"/>
    <row r="4716" s="65" customFormat="1"/>
    <row r="4717" s="65" customFormat="1"/>
    <row r="4718" s="65" customFormat="1"/>
    <row r="4719" s="65" customFormat="1"/>
    <row r="4720" s="65" customFormat="1"/>
    <row r="4721" s="65" customFormat="1"/>
    <row r="4722" s="65" customFormat="1"/>
    <row r="4723" s="65" customFormat="1"/>
    <row r="4724" s="65" customFormat="1"/>
    <row r="4725" s="65" customFormat="1"/>
    <row r="4726" s="65" customFormat="1"/>
    <row r="4727" s="65" customFormat="1"/>
    <row r="4728" s="65" customFormat="1"/>
    <row r="4729" s="65" customFormat="1"/>
    <row r="4730" s="65" customFormat="1"/>
    <row r="4731" s="65" customFormat="1"/>
    <row r="4732" s="65" customFormat="1"/>
    <row r="4733" s="65" customFormat="1"/>
    <row r="4734" s="65" customFormat="1"/>
    <row r="4735" s="65" customFormat="1"/>
    <row r="4736" s="65" customFormat="1"/>
    <row r="4737" s="65" customFormat="1"/>
    <row r="4738" s="65" customFormat="1"/>
    <row r="4739" s="65" customFormat="1"/>
    <row r="4740" s="65" customFormat="1"/>
    <row r="4741" s="65" customFormat="1"/>
    <row r="4742" s="65" customFormat="1"/>
    <row r="4743" s="65" customFormat="1"/>
    <row r="4744" s="65" customFormat="1"/>
    <row r="4745" s="65" customFormat="1"/>
    <row r="4746" s="65" customFormat="1"/>
    <row r="4747" s="65" customFormat="1"/>
    <row r="4748" s="65" customFormat="1"/>
    <row r="4749" s="65" customFormat="1"/>
    <row r="4750" s="65" customFormat="1"/>
    <row r="4751" s="65" customFormat="1"/>
    <row r="4752" s="65" customFormat="1"/>
    <row r="4753" s="65" customFormat="1"/>
    <row r="4754" s="65" customFormat="1"/>
    <row r="4755" s="65" customFormat="1"/>
    <row r="4756" s="65" customFormat="1"/>
    <row r="4757" s="65" customFormat="1"/>
    <row r="4758" s="65" customFormat="1"/>
    <row r="4759" s="65" customFormat="1"/>
    <row r="4760" s="65" customFormat="1"/>
    <row r="4761" s="65" customFormat="1"/>
    <row r="4762" s="65" customFormat="1"/>
    <row r="4763" s="65" customFormat="1"/>
    <row r="4764" s="65" customFormat="1"/>
    <row r="4765" s="65" customFormat="1"/>
    <row r="4766" s="65" customFormat="1"/>
    <row r="4767" s="65" customFormat="1"/>
    <row r="4768" s="65" customFormat="1"/>
    <row r="4769" s="65" customFormat="1"/>
    <row r="4770" s="65" customFormat="1"/>
    <row r="4771" s="65" customFormat="1"/>
    <row r="4772" s="65" customFormat="1"/>
    <row r="4773" s="65" customFormat="1"/>
    <row r="4774" s="65" customFormat="1"/>
    <row r="4775" s="65" customFormat="1"/>
    <row r="4776" s="65" customFormat="1"/>
    <row r="4777" s="65" customFormat="1"/>
    <row r="4778" s="65" customFormat="1"/>
    <row r="4779" s="65" customFormat="1"/>
    <row r="4780" s="65" customFormat="1"/>
    <row r="4781" s="65" customFormat="1"/>
    <row r="4782" s="65" customFormat="1"/>
    <row r="4783" s="65" customFormat="1"/>
    <row r="4784" s="65" customFormat="1"/>
    <row r="4785" s="65" customFormat="1"/>
    <row r="4786" s="65" customFormat="1"/>
    <row r="4787" s="65" customFormat="1"/>
    <row r="4788" s="65" customFormat="1"/>
    <row r="4789" s="65" customFormat="1"/>
    <row r="4790" s="65" customFormat="1"/>
    <row r="4791" s="65" customFormat="1"/>
    <row r="4792" s="65" customFormat="1"/>
    <row r="4793" s="65" customFormat="1"/>
    <row r="4794" s="65" customFormat="1"/>
    <row r="4795" s="65" customFormat="1"/>
    <row r="4796" s="65" customFormat="1"/>
    <row r="4797" s="65" customFormat="1"/>
    <row r="4798" s="65" customFormat="1"/>
    <row r="4799" s="65" customFormat="1"/>
    <row r="4800" s="65" customFormat="1"/>
    <row r="4801" s="65" customFormat="1"/>
    <row r="4802" s="65" customFormat="1"/>
    <row r="4803" s="65" customFormat="1"/>
    <row r="4804" s="65" customFormat="1"/>
    <row r="4805" s="65" customFormat="1"/>
    <row r="4806" s="65" customFormat="1"/>
    <row r="4807" s="65" customFormat="1"/>
    <row r="4808" s="65" customFormat="1"/>
    <row r="4809" s="65" customFormat="1"/>
    <row r="4810" s="65" customFormat="1"/>
    <row r="4811" s="65" customFormat="1"/>
    <row r="4812" s="65" customFormat="1"/>
    <row r="4813" s="65" customFormat="1"/>
    <row r="4814" s="65" customFormat="1"/>
    <row r="4815" s="65" customFormat="1"/>
    <row r="4816" s="65" customFormat="1"/>
    <row r="4817" s="65" customFormat="1"/>
    <row r="4818" s="65" customFormat="1"/>
    <row r="4819" s="65" customFormat="1"/>
    <row r="4820" s="65" customFormat="1"/>
    <row r="4821" s="65" customFormat="1"/>
    <row r="4822" s="65" customFormat="1"/>
    <row r="4823" s="65" customFormat="1"/>
    <row r="4824" s="65" customFormat="1"/>
    <row r="4825" s="65" customFormat="1"/>
    <row r="4826" s="65" customFormat="1"/>
    <row r="4827" s="65" customFormat="1"/>
    <row r="4828" s="65" customFormat="1"/>
    <row r="4829" s="65" customFormat="1"/>
    <row r="4830" s="65" customFormat="1"/>
    <row r="4831" s="65" customFormat="1"/>
    <row r="4832" s="65" customFormat="1"/>
    <row r="4833" s="65" customFormat="1"/>
    <row r="4834" s="65" customFormat="1"/>
    <row r="4835" s="65" customFormat="1"/>
    <row r="4836" s="65" customFormat="1"/>
    <row r="4837" s="65" customFormat="1"/>
    <row r="4838" s="65" customFormat="1"/>
    <row r="4839" s="65" customFormat="1"/>
    <row r="4840" s="65" customFormat="1"/>
    <row r="4841" s="65" customFormat="1"/>
    <row r="4842" s="65" customFormat="1"/>
    <row r="4843" s="65" customFormat="1"/>
    <row r="4844" s="65" customFormat="1"/>
    <row r="4845" s="65" customFormat="1"/>
    <row r="4846" s="65" customFormat="1"/>
    <row r="4847" s="65" customFormat="1"/>
    <row r="4848" s="65" customFormat="1"/>
    <row r="4849" s="65" customFormat="1"/>
    <row r="4850" s="65" customFormat="1"/>
    <row r="4851" s="65" customFormat="1"/>
    <row r="4852" s="65" customFormat="1"/>
    <row r="4853" s="65" customFormat="1"/>
    <row r="4854" s="65" customFormat="1"/>
    <row r="4855" s="65" customFormat="1"/>
    <row r="4856" s="65" customFormat="1"/>
    <row r="4857" s="65" customFormat="1"/>
    <row r="4858" s="65" customFormat="1"/>
    <row r="4859" s="65" customFormat="1"/>
    <row r="4860" s="65" customFormat="1"/>
    <row r="4861" s="65" customFormat="1"/>
    <row r="4862" s="65" customFormat="1"/>
    <row r="4863" s="65" customFormat="1"/>
    <row r="4864" s="65" customFormat="1"/>
    <row r="4865" s="65" customFormat="1"/>
    <row r="4866" s="65" customFormat="1"/>
    <row r="4867" s="65" customFormat="1"/>
    <row r="4868" s="65" customFormat="1"/>
    <row r="4869" s="65" customFormat="1"/>
    <row r="4870" s="65" customFormat="1"/>
    <row r="4871" s="65" customFormat="1"/>
    <row r="4872" s="65" customFormat="1"/>
    <row r="4873" s="65" customFormat="1"/>
    <row r="4874" s="65" customFormat="1"/>
    <row r="4875" s="65" customFormat="1"/>
    <row r="4876" s="65" customFormat="1"/>
    <row r="4877" s="65" customFormat="1"/>
    <row r="4878" s="65" customFormat="1"/>
    <row r="4879" s="65" customFormat="1"/>
    <row r="4880" s="65" customFormat="1"/>
    <row r="4881" s="65" customFormat="1"/>
    <row r="4882" s="65" customFormat="1"/>
    <row r="4883" s="65" customFormat="1"/>
    <row r="4884" s="65" customFormat="1"/>
    <row r="4885" s="65" customFormat="1"/>
    <row r="4886" s="65" customFormat="1"/>
    <row r="4887" s="65" customFormat="1"/>
    <row r="4888" s="65" customFormat="1"/>
    <row r="4889" s="65" customFormat="1"/>
    <row r="4890" s="65" customFormat="1"/>
    <row r="4891" s="65" customFormat="1"/>
    <row r="4892" s="65" customFormat="1"/>
    <row r="4893" s="65" customFormat="1"/>
    <row r="4894" s="65" customFormat="1"/>
    <row r="4895" s="65" customFormat="1"/>
    <row r="4896" s="65" customFormat="1"/>
    <row r="4897" s="65" customFormat="1"/>
    <row r="4898" s="65" customFormat="1"/>
    <row r="4899" s="65" customFormat="1"/>
    <row r="4900" s="65" customFormat="1"/>
    <row r="4901" s="65" customFormat="1"/>
    <row r="4902" s="65" customFormat="1"/>
    <row r="4903" s="65" customFormat="1"/>
    <row r="4904" s="65" customFormat="1"/>
    <row r="4905" s="65" customFormat="1"/>
    <row r="4906" s="65" customFormat="1"/>
    <row r="4907" s="65" customFormat="1"/>
    <row r="4908" s="65" customFormat="1"/>
    <row r="4909" s="65" customFormat="1"/>
    <row r="4910" s="65" customFormat="1"/>
    <row r="4911" s="65" customFormat="1"/>
    <row r="4912" s="65" customFormat="1"/>
    <row r="4913" s="65" customFormat="1"/>
    <row r="4914" s="65" customFormat="1"/>
    <row r="4915" s="65" customFormat="1"/>
    <row r="4916" s="65" customFormat="1"/>
    <row r="4917" s="65" customFormat="1"/>
    <row r="4918" s="65" customFormat="1"/>
    <row r="4919" s="65" customFormat="1"/>
    <row r="4920" s="65" customFormat="1"/>
    <row r="4921" s="65" customFormat="1"/>
    <row r="4922" s="65" customFormat="1"/>
    <row r="4923" s="65" customFormat="1"/>
    <row r="4924" s="65" customFormat="1"/>
    <row r="4925" s="65" customFormat="1"/>
    <row r="4926" s="65" customFormat="1"/>
    <row r="4927" s="65" customFormat="1"/>
    <row r="4928" s="65" customFormat="1"/>
    <row r="4929" s="65" customFormat="1"/>
    <row r="4930" s="65" customFormat="1"/>
    <row r="4931" s="65" customFormat="1"/>
    <row r="4932" s="65" customFormat="1"/>
    <row r="4933" s="65" customFormat="1"/>
    <row r="4934" s="65" customFormat="1"/>
    <row r="4935" s="65" customFormat="1"/>
    <row r="4936" s="65" customFormat="1"/>
    <row r="4937" s="65" customFormat="1"/>
    <row r="4938" s="65" customFormat="1"/>
    <row r="4939" s="65" customFormat="1"/>
    <row r="4940" s="65" customFormat="1"/>
    <row r="4941" s="65" customFormat="1"/>
    <row r="4942" s="65" customFormat="1"/>
    <row r="4943" s="65" customFormat="1"/>
    <row r="4944" s="65" customFormat="1"/>
    <row r="4945" s="65" customFormat="1"/>
    <row r="4946" s="65" customFormat="1"/>
    <row r="4947" s="65" customFormat="1"/>
    <row r="4948" s="65" customFormat="1"/>
    <row r="4949" s="65" customFormat="1"/>
    <row r="4950" s="65" customFormat="1"/>
    <row r="4951" s="65" customFormat="1"/>
    <row r="4952" s="65" customFormat="1"/>
    <row r="4953" s="65" customFormat="1"/>
    <row r="4954" s="65" customFormat="1"/>
    <row r="4955" s="65" customFormat="1"/>
    <row r="4956" s="65" customFormat="1"/>
    <row r="4957" s="65" customFormat="1"/>
    <row r="4958" s="65" customFormat="1"/>
    <row r="4959" s="65" customFormat="1"/>
    <row r="4960" s="65" customFormat="1"/>
    <row r="4961" s="65" customFormat="1"/>
    <row r="4962" s="65" customFormat="1"/>
    <row r="4963" s="65" customFormat="1"/>
    <row r="4964" s="65" customFormat="1"/>
    <row r="4965" s="65" customFormat="1"/>
    <row r="4966" s="65" customFormat="1"/>
    <row r="4967" s="65" customFormat="1"/>
    <row r="4968" s="65" customFormat="1"/>
    <row r="4969" s="65" customFormat="1"/>
    <row r="4970" s="65" customFormat="1"/>
    <row r="4971" s="65" customFormat="1"/>
    <row r="4972" s="65" customFormat="1"/>
    <row r="4973" s="65" customFormat="1"/>
    <row r="4974" s="65" customFormat="1"/>
    <row r="4975" s="65" customFormat="1"/>
    <row r="4976" s="65" customFormat="1"/>
    <row r="4977" s="65" customFormat="1"/>
    <row r="4978" s="65" customFormat="1"/>
    <row r="4979" s="65" customFormat="1"/>
    <row r="4980" s="65" customFormat="1"/>
    <row r="4981" s="65" customFormat="1"/>
    <row r="4982" s="65" customFormat="1"/>
    <row r="4983" s="65" customFormat="1"/>
    <row r="4984" s="65" customFormat="1"/>
    <row r="4985" s="65" customFormat="1"/>
    <row r="4986" s="65" customFormat="1"/>
    <row r="4987" s="65" customFormat="1"/>
    <row r="4988" s="65" customFormat="1"/>
    <row r="4989" s="65" customFormat="1"/>
    <row r="4990" s="65" customFormat="1"/>
    <row r="4991" s="65" customFormat="1"/>
    <row r="4992" s="65" customFormat="1"/>
    <row r="4993" s="65" customFormat="1"/>
    <row r="4994" s="65" customFormat="1"/>
    <row r="4995" s="65" customFormat="1"/>
    <row r="4996" s="65" customFormat="1"/>
    <row r="4997" s="65" customFormat="1"/>
    <row r="4998" s="65" customFormat="1"/>
    <row r="4999" s="65" customFormat="1"/>
    <row r="5000" s="65" customFormat="1"/>
    <row r="5001" s="65" customFormat="1"/>
    <row r="5002" s="65" customFormat="1"/>
    <row r="5003" s="65" customFormat="1"/>
    <row r="5004" s="65" customFormat="1"/>
    <row r="5005" s="65" customFormat="1"/>
    <row r="5006" s="65" customFormat="1"/>
    <row r="5007" s="65" customFormat="1"/>
    <row r="5008" s="65" customFormat="1"/>
    <row r="5009" s="65" customFormat="1"/>
    <row r="5010" s="65" customFormat="1"/>
    <row r="5011" s="65" customFormat="1"/>
    <row r="5012" s="65" customFormat="1"/>
    <row r="5013" s="65" customFormat="1"/>
    <row r="5014" s="65" customFormat="1"/>
    <row r="5015" s="65" customFormat="1"/>
    <row r="5016" s="65" customFormat="1"/>
    <row r="5017" s="65" customFormat="1"/>
    <row r="5018" s="65" customFormat="1"/>
    <row r="5019" s="65" customFormat="1"/>
    <row r="5020" s="65" customFormat="1"/>
    <row r="5021" s="65" customFormat="1"/>
    <row r="5022" s="65" customFormat="1"/>
    <row r="5023" s="65" customFormat="1"/>
    <row r="5024" s="65" customFormat="1"/>
    <row r="5025" s="65" customFormat="1"/>
    <row r="5026" s="65" customFormat="1"/>
    <row r="5027" s="65" customFormat="1"/>
    <row r="5028" s="65" customFormat="1"/>
    <row r="5029" s="65" customFormat="1"/>
    <row r="5030" s="65" customFormat="1"/>
    <row r="5031" s="65" customFormat="1"/>
    <row r="5032" s="65" customFormat="1"/>
    <row r="5033" s="65" customFormat="1"/>
    <row r="5034" s="65" customFormat="1"/>
    <row r="5035" s="65" customFormat="1"/>
    <row r="5036" s="65" customFormat="1"/>
    <row r="5037" s="65" customFormat="1"/>
    <row r="5038" s="65" customFormat="1"/>
    <row r="5039" s="65" customFormat="1"/>
    <row r="5040" s="65" customFormat="1"/>
    <row r="5041" s="65" customFormat="1"/>
    <row r="5042" s="65" customFormat="1"/>
    <row r="5043" s="65" customFormat="1"/>
    <row r="5044" s="65" customFormat="1"/>
    <row r="5045" s="65" customFormat="1"/>
    <row r="5046" s="65" customFormat="1"/>
    <row r="5047" s="65" customFormat="1"/>
    <row r="5048" s="65" customFormat="1"/>
    <row r="5049" s="65" customFormat="1"/>
    <row r="5050" s="65" customFormat="1"/>
    <row r="5051" s="65" customFormat="1"/>
    <row r="5052" s="65" customFormat="1"/>
    <row r="5053" s="65" customFormat="1"/>
    <row r="5054" s="65" customFormat="1"/>
    <row r="5055" s="65" customFormat="1"/>
    <row r="5056" s="65" customFormat="1"/>
    <row r="5057" s="65" customFormat="1"/>
    <row r="5058" s="65" customFormat="1"/>
    <row r="5059" s="65" customFormat="1"/>
    <row r="5060" s="65" customFormat="1"/>
    <row r="5061" s="65" customFormat="1"/>
    <row r="5062" s="65" customFormat="1"/>
    <row r="5063" s="65" customFormat="1"/>
    <row r="5064" s="65" customFormat="1"/>
    <row r="5065" s="65" customFormat="1"/>
    <row r="5066" s="65" customFormat="1"/>
    <row r="5067" s="65" customFormat="1"/>
    <row r="5068" s="65" customFormat="1"/>
    <row r="5069" s="65" customFormat="1"/>
    <row r="5070" s="65" customFormat="1"/>
    <row r="5071" s="65" customFormat="1"/>
    <row r="5072" s="65" customFormat="1"/>
    <row r="5073" s="65" customFormat="1"/>
    <row r="5074" s="65" customFormat="1"/>
    <row r="5075" s="65" customFormat="1"/>
    <row r="5076" s="65" customFormat="1"/>
    <row r="5077" s="65" customFormat="1"/>
    <row r="5078" s="65" customFormat="1"/>
    <row r="5079" s="65" customFormat="1"/>
    <row r="5080" s="65" customFormat="1"/>
    <row r="5081" s="65" customFormat="1"/>
    <row r="5082" s="65" customFormat="1"/>
    <row r="5083" s="65" customFormat="1"/>
    <row r="5084" s="65" customFormat="1"/>
    <row r="5085" s="65" customFormat="1"/>
    <row r="5086" s="65" customFormat="1"/>
    <row r="5087" s="65" customFormat="1"/>
    <row r="5088" s="65" customFormat="1"/>
    <row r="5089" s="65" customFormat="1"/>
    <row r="5090" s="65" customFormat="1"/>
    <row r="5091" s="65" customFormat="1"/>
    <row r="5092" s="65" customFormat="1"/>
    <row r="5093" s="65" customFormat="1"/>
    <row r="5094" s="65" customFormat="1"/>
    <row r="5095" s="65" customFormat="1"/>
    <row r="5096" s="65" customFormat="1"/>
    <row r="5097" s="65" customFormat="1"/>
    <row r="5098" s="65" customFormat="1"/>
    <row r="5099" s="65" customFormat="1"/>
    <row r="5100" s="65" customFormat="1"/>
    <row r="5101" s="65" customFormat="1"/>
    <row r="5102" s="65" customFormat="1"/>
    <row r="5103" s="65" customFormat="1"/>
    <row r="5104" s="65" customFormat="1"/>
    <row r="5105" s="65" customFormat="1"/>
    <row r="5106" s="65" customFormat="1"/>
    <row r="5107" s="65" customFormat="1"/>
    <row r="5108" s="65" customFormat="1"/>
    <row r="5109" s="65" customFormat="1"/>
    <row r="5110" s="65" customFormat="1"/>
    <row r="5111" s="65" customFormat="1"/>
    <row r="5112" s="65" customFormat="1"/>
    <row r="5113" s="65" customFormat="1"/>
    <row r="5114" s="65" customFormat="1"/>
    <row r="5115" s="65" customFormat="1"/>
    <row r="5116" s="65" customFormat="1"/>
    <row r="5117" s="65" customFormat="1"/>
    <row r="5118" s="65" customFormat="1"/>
    <row r="5119" s="65" customFormat="1"/>
    <row r="5120" s="65" customFormat="1"/>
    <row r="5121" s="65" customFormat="1"/>
    <row r="5122" s="65" customFormat="1"/>
    <row r="5123" s="65" customFormat="1"/>
    <row r="5124" s="65" customFormat="1"/>
    <row r="5125" s="65" customFormat="1"/>
    <row r="5126" s="65" customFormat="1"/>
    <row r="5127" s="65" customFormat="1"/>
    <row r="5128" s="65" customFormat="1"/>
    <row r="5129" s="65" customFormat="1"/>
    <row r="5130" s="65" customFormat="1"/>
    <row r="5131" s="65" customFormat="1"/>
    <row r="5132" s="65" customFormat="1"/>
    <row r="5133" s="65" customFormat="1"/>
    <row r="5134" s="65" customFormat="1"/>
    <row r="5135" s="65" customFormat="1"/>
    <row r="5136" s="65" customFormat="1"/>
    <row r="5137" s="65" customFormat="1"/>
    <row r="5138" s="65" customFormat="1"/>
    <row r="5139" s="65" customFormat="1"/>
    <row r="5140" s="65" customFormat="1"/>
    <row r="5141" s="65" customFormat="1"/>
    <row r="5142" s="65" customFormat="1"/>
    <row r="5143" s="65" customFormat="1"/>
    <row r="5144" s="65" customFormat="1"/>
    <row r="5145" s="65" customFormat="1"/>
    <row r="5146" s="65" customFormat="1"/>
    <row r="5147" s="65" customFormat="1"/>
    <row r="5148" s="65" customFormat="1"/>
    <row r="5149" s="65" customFormat="1"/>
    <row r="5150" s="65" customFormat="1"/>
    <row r="5151" s="65" customFormat="1"/>
    <row r="5152" s="65" customFormat="1"/>
    <row r="5153" s="65" customFormat="1"/>
    <row r="5154" s="65" customFormat="1"/>
    <row r="5155" s="65" customFormat="1"/>
    <row r="5156" s="65" customFormat="1"/>
    <row r="5157" s="65" customFormat="1"/>
    <row r="5158" s="65" customFormat="1"/>
    <row r="5159" s="65" customFormat="1"/>
    <row r="5160" s="65" customFormat="1"/>
    <row r="5161" s="65" customFormat="1"/>
    <row r="5162" s="65" customFormat="1"/>
    <row r="5163" s="65" customFormat="1"/>
    <row r="5164" s="65" customFormat="1"/>
    <row r="5165" s="65" customFormat="1"/>
    <row r="5166" s="65" customFormat="1"/>
    <row r="5167" s="65" customFormat="1"/>
    <row r="5168" s="65" customFormat="1"/>
    <row r="5169" s="65" customFormat="1"/>
    <row r="5170" s="65" customFormat="1"/>
    <row r="5171" s="65" customFormat="1"/>
    <row r="5172" s="65" customFormat="1"/>
    <row r="5173" s="65" customFormat="1"/>
    <row r="5174" s="65" customFormat="1"/>
    <row r="5175" s="65" customFormat="1"/>
    <row r="5176" s="65" customFormat="1"/>
    <row r="5177" s="65" customFormat="1"/>
    <row r="5178" s="65" customFormat="1"/>
    <row r="5179" s="65" customFormat="1"/>
    <row r="5180" s="65" customFormat="1"/>
    <row r="5181" s="65" customFormat="1"/>
    <row r="5182" s="65" customFormat="1"/>
    <row r="5183" s="65" customFormat="1"/>
    <row r="5184" s="65" customFormat="1"/>
    <row r="5185" s="65" customFormat="1"/>
    <row r="5186" s="65" customFormat="1"/>
    <row r="5187" s="65" customFormat="1"/>
    <row r="5188" s="65" customFormat="1"/>
    <row r="5189" s="65" customFormat="1"/>
    <row r="5190" s="65" customFormat="1"/>
    <row r="5191" s="65" customFormat="1"/>
    <row r="5192" s="65" customFormat="1"/>
    <row r="5193" s="65" customFormat="1"/>
    <row r="5194" s="65" customFormat="1"/>
    <row r="5195" s="65" customFormat="1"/>
    <row r="5196" s="65" customFormat="1"/>
    <row r="5197" s="65" customFormat="1"/>
    <row r="5198" s="65" customFormat="1"/>
    <row r="5199" s="65" customFormat="1"/>
    <row r="5200" s="65" customFormat="1"/>
    <row r="5201" s="65" customFormat="1"/>
    <row r="5202" s="65" customFormat="1"/>
    <row r="5203" s="65" customFormat="1"/>
    <row r="5204" s="65" customFormat="1"/>
    <row r="5205" s="65" customFormat="1"/>
    <row r="5206" s="65" customFormat="1"/>
    <row r="5207" s="65" customFormat="1"/>
    <row r="5208" s="65" customFormat="1"/>
    <row r="5209" s="65" customFormat="1"/>
    <row r="5210" s="65" customFormat="1"/>
    <row r="5211" s="65" customFormat="1"/>
    <row r="5212" s="65" customFormat="1"/>
    <row r="5213" s="65" customFormat="1"/>
    <row r="5214" s="65" customFormat="1"/>
    <row r="5215" s="65" customFormat="1"/>
    <row r="5216" s="65" customFormat="1"/>
    <row r="5217" s="65" customFormat="1"/>
    <row r="5218" s="65" customFormat="1"/>
    <row r="5219" s="65" customFormat="1"/>
    <row r="5220" s="65" customFormat="1"/>
    <row r="5221" s="65" customFormat="1"/>
    <row r="5222" s="65" customFormat="1"/>
    <row r="5223" s="65" customFormat="1"/>
    <row r="5224" s="65" customFormat="1"/>
    <row r="5225" s="65" customFormat="1"/>
    <row r="5226" s="65" customFormat="1"/>
    <row r="5227" s="65" customFormat="1"/>
    <row r="5228" s="65" customFormat="1"/>
    <row r="5229" s="65" customFormat="1"/>
    <row r="5230" s="65" customFormat="1"/>
    <row r="5231" s="65" customFormat="1"/>
    <row r="5232" s="65" customFormat="1"/>
    <row r="5233" s="65" customFormat="1"/>
    <row r="5234" s="65" customFormat="1"/>
    <row r="5235" s="65" customFormat="1"/>
    <row r="5236" s="65" customFormat="1"/>
    <row r="5237" s="65" customFormat="1"/>
    <row r="5238" s="65" customFormat="1"/>
    <row r="5239" s="65" customFormat="1"/>
    <row r="5240" s="65" customFormat="1"/>
    <row r="5241" s="65" customFormat="1"/>
    <row r="5242" s="65" customFormat="1"/>
    <row r="5243" s="65" customFormat="1"/>
    <row r="5244" s="65" customFormat="1"/>
    <row r="5245" s="65" customFormat="1"/>
    <row r="5246" s="65" customFormat="1"/>
    <row r="5247" s="65" customFormat="1"/>
    <row r="5248" s="65" customFormat="1"/>
    <row r="5249" s="65" customFormat="1"/>
    <row r="5250" s="65" customFormat="1"/>
    <row r="5251" s="65" customFormat="1"/>
    <row r="5252" s="65" customFormat="1"/>
    <row r="5253" s="65" customFormat="1"/>
    <row r="5254" s="65" customFormat="1"/>
    <row r="5255" s="65" customFormat="1"/>
    <row r="5256" s="65" customFormat="1"/>
    <row r="5257" s="65" customFormat="1"/>
    <row r="5258" s="65" customFormat="1"/>
    <row r="5259" s="65" customFormat="1"/>
    <row r="5260" s="65" customFormat="1"/>
    <row r="5261" s="65" customFormat="1"/>
    <row r="5262" s="65" customFormat="1"/>
    <row r="5263" s="65" customFormat="1"/>
    <row r="5264" s="65" customFormat="1"/>
    <row r="5265" s="65" customFormat="1"/>
    <row r="5266" s="65" customFormat="1"/>
    <row r="5267" s="65" customFormat="1"/>
    <row r="5268" s="65" customFormat="1"/>
    <row r="5269" s="65" customFormat="1"/>
    <row r="5270" s="65" customFormat="1"/>
    <row r="5271" s="65" customFormat="1"/>
    <row r="5272" s="65" customFormat="1"/>
    <row r="5273" s="65" customFormat="1"/>
    <row r="5274" s="65" customFormat="1"/>
    <row r="5275" s="65" customFormat="1"/>
    <row r="5276" s="65" customFormat="1"/>
    <row r="5277" s="65" customFormat="1"/>
    <row r="5278" s="65" customFormat="1"/>
    <row r="5279" s="65" customFormat="1"/>
    <row r="5280" s="65" customFormat="1"/>
    <row r="5281" s="65" customFormat="1"/>
    <row r="5282" s="65" customFormat="1"/>
    <row r="5283" s="65" customFormat="1"/>
    <row r="5284" s="65" customFormat="1"/>
    <row r="5285" s="65" customFormat="1"/>
    <row r="5286" s="65" customFormat="1"/>
    <row r="5287" s="65" customFormat="1"/>
    <row r="5288" s="65" customFormat="1"/>
    <row r="5289" s="65" customFormat="1"/>
    <row r="5290" s="65" customFormat="1"/>
    <row r="5291" s="65" customFormat="1"/>
    <row r="5292" s="65" customFormat="1"/>
    <row r="5293" s="65" customFormat="1"/>
    <row r="5294" s="65" customFormat="1"/>
    <row r="5295" s="65" customFormat="1"/>
    <row r="5296" s="65" customFormat="1"/>
    <row r="5297" s="65" customFormat="1"/>
    <row r="5298" s="65" customFormat="1"/>
    <row r="5299" s="65" customFormat="1"/>
    <row r="5300" s="65" customFormat="1"/>
    <row r="5301" s="65" customFormat="1"/>
    <row r="5302" s="65" customFormat="1"/>
    <row r="5303" s="65" customFormat="1"/>
    <row r="5304" s="65" customFormat="1"/>
    <row r="5305" s="65" customFormat="1"/>
    <row r="5306" s="65" customFormat="1"/>
    <row r="5307" s="65" customFormat="1"/>
    <row r="5308" s="65" customFormat="1"/>
    <row r="5309" s="65" customFormat="1"/>
    <row r="5310" s="65" customFormat="1"/>
    <row r="5311" s="65" customFormat="1"/>
    <row r="5312" s="65" customFormat="1"/>
    <row r="5313" s="65" customFormat="1"/>
    <row r="5314" s="65" customFormat="1"/>
    <row r="5315" s="65" customFormat="1"/>
    <row r="5316" s="65" customFormat="1"/>
    <row r="5317" s="65" customFormat="1"/>
    <row r="5318" s="65" customFormat="1"/>
    <row r="5319" s="65" customFormat="1"/>
    <row r="5320" s="65" customFormat="1"/>
    <row r="5321" s="65" customFormat="1"/>
    <row r="5322" s="65" customFormat="1"/>
    <row r="5323" s="65" customFormat="1"/>
    <row r="5324" s="65" customFormat="1"/>
    <row r="5325" s="65" customFormat="1"/>
    <row r="5326" s="65" customFormat="1"/>
    <row r="5327" s="65" customFormat="1"/>
    <row r="5328" s="65" customFormat="1"/>
    <row r="5329" s="65" customFormat="1"/>
    <row r="5330" s="65" customFormat="1"/>
    <row r="5331" s="65" customFormat="1"/>
    <row r="5332" s="65" customFormat="1"/>
    <row r="5333" s="65" customFormat="1"/>
    <row r="5334" s="65" customFormat="1"/>
    <row r="5335" s="65" customFormat="1"/>
    <row r="5336" s="65" customFormat="1"/>
    <row r="5337" s="65" customFormat="1"/>
    <row r="5338" s="65" customFormat="1"/>
    <row r="5339" s="65" customFormat="1"/>
    <row r="5340" s="65" customFormat="1"/>
    <row r="5341" s="65" customFormat="1"/>
    <row r="5342" s="65" customFormat="1"/>
    <row r="5343" s="65" customFormat="1"/>
    <row r="5344" s="65" customFormat="1"/>
    <row r="5345" s="65" customFormat="1"/>
    <row r="5346" s="65" customFormat="1"/>
    <row r="5347" s="65" customFormat="1"/>
    <row r="5348" s="65" customFormat="1"/>
    <row r="5349" s="65" customFormat="1"/>
    <row r="5350" s="65" customFormat="1"/>
    <row r="5351" s="65" customFormat="1"/>
    <row r="5352" s="65" customFormat="1"/>
    <row r="5353" s="65" customFormat="1"/>
    <row r="5354" s="65" customFormat="1"/>
    <row r="5355" s="65" customFormat="1"/>
    <row r="5356" s="65" customFormat="1"/>
    <row r="5357" s="65" customFormat="1"/>
    <row r="5358" s="65" customFormat="1"/>
    <row r="5359" s="65" customFormat="1"/>
    <row r="5360" s="65" customFormat="1"/>
    <row r="5361" s="65" customFormat="1"/>
    <row r="5362" s="65" customFormat="1"/>
    <row r="5363" s="65" customFormat="1"/>
    <row r="5364" s="65" customFormat="1"/>
    <row r="5365" s="65" customFormat="1"/>
    <row r="5366" s="65" customFormat="1"/>
    <row r="5367" s="65" customFormat="1"/>
    <row r="5368" s="65" customFormat="1"/>
    <row r="5369" s="65" customFormat="1"/>
    <row r="5370" s="65" customFormat="1"/>
    <row r="5371" s="65" customFormat="1"/>
    <row r="5372" s="65" customFormat="1"/>
    <row r="5373" s="65" customFormat="1"/>
    <row r="5374" s="65" customFormat="1"/>
    <row r="5375" s="65" customFormat="1"/>
    <row r="5376" s="65" customFormat="1"/>
    <row r="5377" s="65" customFormat="1"/>
    <row r="5378" s="65" customFormat="1"/>
    <row r="5379" s="65" customFormat="1"/>
    <row r="5380" s="65" customFormat="1"/>
    <row r="5381" s="65" customFormat="1"/>
    <row r="5382" s="65" customFormat="1"/>
    <row r="5383" s="65" customFormat="1"/>
    <row r="5384" s="65" customFormat="1"/>
    <row r="5385" s="65" customFormat="1"/>
    <row r="5386" s="65" customFormat="1"/>
    <row r="5387" s="65" customFormat="1"/>
    <row r="5388" s="65" customFormat="1"/>
    <row r="5389" s="65" customFormat="1"/>
    <row r="5390" s="65" customFormat="1"/>
    <row r="5391" s="65" customFormat="1"/>
    <row r="5392" s="65" customFormat="1"/>
    <row r="5393" s="65" customFormat="1"/>
    <row r="5394" s="65" customFormat="1"/>
    <row r="5395" s="65" customFormat="1"/>
    <row r="5396" s="65" customFormat="1"/>
    <row r="5397" s="65" customFormat="1"/>
    <row r="5398" s="65" customFormat="1"/>
    <row r="5399" s="65" customFormat="1"/>
    <row r="5400" s="65" customFormat="1"/>
    <row r="5401" s="65" customFormat="1"/>
    <row r="5402" s="65" customFormat="1"/>
    <row r="5403" s="65" customFormat="1"/>
    <row r="5404" s="65" customFormat="1"/>
    <row r="5405" s="65" customFormat="1"/>
    <row r="5406" s="65" customFormat="1"/>
    <row r="5407" s="65" customFormat="1"/>
    <row r="5408" s="65" customFormat="1"/>
    <row r="5409" s="65" customFormat="1"/>
    <row r="5410" s="65" customFormat="1"/>
    <row r="5411" s="65" customFormat="1"/>
    <row r="5412" s="65" customFormat="1"/>
    <row r="5413" s="65" customFormat="1"/>
    <row r="5414" s="65" customFormat="1"/>
    <row r="5415" s="65" customFormat="1"/>
    <row r="5416" s="65" customFormat="1"/>
    <row r="5417" s="65" customFormat="1"/>
    <row r="5418" s="65" customFormat="1"/>
    <row r="5419" s="65" customFormat="1"/>
    <row r="5420" s="65" customFormat="1"/>
    <row r="5421" s="65" customFormat="1"/>
    <row r="5422" s="65" customFormat="1"/>
    <row r="5423" s="65" customFormat="1"/>
    <row r="5424" s="65" customFormat="1"/>
    <row r="5425" s="65" customFormat="1"/>
    <row r="5426" s="65" customFormat="1"/>
    <row r="5427" s="65" customFormat="1"/>
    <row r="5428" s="65" customFormat="1"/>
    <row r="5429" s="65" customFormat="1"/>
    <row r="5430" s="65" customFormat="1"/>
    <row r="5431" s="65" customFormat="1"/>
    <row r="5432" s="65" customFormat="1"/>
    <row r="5433" s="65" customFormat="1"/>
    <row r="5434" s="65" customFormat="1"/>
    <row r="5435" s="65" customFormat="1"/>
    <row r="5436" s="65" customFormat="1"/>
    <row r="5437" s="65" customFormat="1"/>
    <row r="5438" s="65" customFormat="1"/>
    <row r="5439" s="65" customFormat="1"/>
    <row r="5440" s="65" customFormat="1"/>
    <row r="5441" s="65" customFormat="1"/>
    <row r="5442" s="65" customFormat="1"/>
    <row r="5443" s="65" customFormat="1"/>
    <row r="5444" s="65" customFormat="1"/>
    <row r="5445" s="65" customFormat="1"/>
    <row r="5446" s="65" customFormat="1"/>
    <row r="5447" s="65" customFormat="1"/>
    <row r="5448" s="65" customFormat="1"/>
    <row r="5449" s="65" customFormat="1"/>
    <row r="5450" s="65" customFormat="1"/>
    <row r="5451" s="65" customFormat="1"/>
    <row r="5452" s="65" customFormat="1"/>
    <row r="5453" s="65" customFormat="1"/>
    <row r="5454" s="65" customFormat="1"/>
    <row r="5455" s="65" customFormat="1"/>
    <row r="5456" s="65" customFormat="1"/>
    <row r="5457" s="65" customFormat="1"/>
    <row r="5458" s="65" customFormat="1"/>
    <row r="5459" s="65" customFormat="1"/>
    <row r="5460" s="65" customFormat="1"/>
    <row r="5461" s="65" customFormat="1"/>
    <row r="5462" s="65" customFormat="1"/>
    <row r="5463" s="65" customFormat="1"/>
    <row r="5464" s="65" customFormat="1"/>
    <row r="5465" s="65" customFormat="1"/>
    <row r="5466" s="65" customFormat="1"/>
    <row r="5467" s="65" customFormat="1"/>
    <row r="5468" s="65" customFormat="1"/>
    <row r="5469" s="65" customFormat="1"/>
    <row r="5470" s="65" customFormat="1"/>
    <row r="5471" s="65" customFormat="1"/>
    <row r="5472" s="65" customFormat="1"/>
    <row r="5473" s="65" customFormat="1"/>
    <row r="5474" s="65" customFormat="1"/>
    <row r="5475" s="65" customFormat="1"/>
    <row r="5476" s="65" customFormat="1"/>
    <row r="5477" s="65" customFormat="1"/>
    <row r="5478" s="65" customFormat="1"/>
    <row r="5479" s="65" customFormat="1"/>
    <row r="5480" s="65" customFormat="1"/>
    <row r="5481" s="65" customFormat="1"/>
    <row r="5482" s="65" customFormat="1"/>
    <row r="5483" s="65" customFormat="1"/>
    <row r="5484" s="65" customFormat="1"/>
    <row r="5485" s="65" customFormat="1"/>
    <row r="5486" s="65" customFormat="1"/>
    <row r="5487" s="65" customFormat="1"/>
    <row r="5488" s="65" customFormat="1"/>
    <row r="5489" s="65" customFormat="1"/>
    <row r="5490" s="65" customFormat="1"/>
    <row r="5491" s="65" customFormat="1"/>
    <row r="5492" s="65" customFormat="1"/>
    <row r="5493" s="65" customFormat="1"/>
    <row r="5494" s="65" customFormat="1"/>
    <row r="5495" s="65" customFormat="1"/>
    <row r="5496" s="65" customFormat="1"/>
    <row r="5497" s="65" customFormat="1"/>
    <row r="5498" s="65" customFormat="1"/>
    <row r="5499" s="65" customFormat="1"/>
    <row r="5500" s="65" customFormat="1"/>
    <row r="5501" s="65" customFormat="1"/>
    <row r="5502" s="65" customFormat="1"/>
    <row r="5503" s="65" customFormat="1"/>
    <row r="5504" s="65" customFormat="1"/>
    <row r="5505" s="65" customFormat="1"/>
    <row r="5506" s="65" customFormat="1"/>
    <row r="5507" s="65" customFormat="1"/>
    <row r="5508" s="65" customFormat="1"/>
    <row r="5509" s="65" customFormat="1"/>
    <row r="5510" s="65" customFormat="1"/>
    <row r="5511" s="65" customFormat="1"/>
    <row r="5512" s="65" customFormat="1"/>
    <row r="5513" s="65" customFormat="1"/>
    <row r="5514" s="65" customFormat="1"/>
    <row r="5515" s="65" customFormat="1"/>
    <row r="5516" s="65" customFormat="1"/>
    <row r="5517" s="65" customFormat="1"/>
    <row r="5518" s="65" customFormat="1"/>
    <row r="5519" s="65" customFormat="1"/>
    <row r="5520" s="65" customFormat="1"/>
    <row r="5521" s="65" customFormat="1"/>
    <row r="5522" s="65" customFormat="1"/>
    <row r="5523" s="65" customFormat="1"/>
    <row r="5524" s="65" customFormat="1"/>
    <row r="5525" s="65" customFormat="1"/>
    <row r="5526" s="65" customFormat="1"/>
    <row r="5527" s="65" customFormat="1"/>
    <row r="5528" s="65" customFormat="1"/>
    <row r="5529" s="65" customFormat="1"/>
    <row r="5530" s="65" customFormat="1"/>
    <row r="5531" s="65" customFormat="1"/>
    <row r="5532" s="65" customFormat="1"/>
    <row r="5533" s="65" customFormat="1"/>
    <row r="5534" s="65" customFormat="1"/>
    <row r="5535" s="65" customFormat="1"/>
    <row r="5536" s="65" customFormat="1"/>
    <row r="5537" s="65" customFormat="1"/>
    <row r="5538" s="65" customFormat="1"/>
    <row r="5539" s="65" customFormat="1"/>
    <row r="5540" s="65" customFormat="1"/>
    <row r="5541" s="65" customFormat="1"/>
    <row r="5542" s="65" customFormat="1"/>
    <row r="5543" s="65" customFormat="1"/>
    <row r="5544" s="65" customFormat="1"/>
    <row r="5545" s="65" customFormat="1"/>
    <row r="5546" s="65" customFormat="1"/>
    <row r="5547" s="65" customFormat="1"/>
    <row r="5548" s="65" customFormat="1"/>
    <row r="5549" s="65" customFormat="1"/>
    <row r="5550" s="65" customFormat="1"/>
    <row r="5551" s="65" customFormat="1"/>
    <row r="5552" s="65" customFormat="1"/>
    <row r="5553" s="65" customFormat="1"/>
    <row r="5554" s="65" customFormat="1"/>
    <row r="5555" s="65" customFormat="1"/>
    <row r="5556" s="65" customFormat="1"/>
    <row r="5557" s="65" customFormat="1"/>
    <row r="5558" s="65" customFormat="1"/>
    <row r="5559" s="65" customFormat="1"/>
    <row r="5560" s="65" customFormat="1"/>
    <row r="5561" s="65" customFormat="1"/>
    <row r="5562" s="65" customFormat="1"/>
    <row r="5563" s="65" customFormat="1"/>
    <row r="5564" s="65" customFormat="1"/>
    <row r="5565" s="65" customFormat="1"/>
    <row r="5566" s="65" customFormat="1"/>
    <row r="5567" s="65" customFormat="1"/>
    <row r="5568" s="65" customFormat="1"/>
    <row r="5569" s="65" customFormat="1"/>
    <row r="5570" s="65" customFormat="1"/>
    <row r="5571" s="65" customFormat="1"/>
    <row r="5572" s="65" customFormat="1"/>
    <row r="5573" s="65" customFormat="1"/>
    <row r="5574" s="65" customFormat="1"/>
    <row r="5575" s="65" customFormat="1"/>
    <row r="5576" s="65" customFormat="1"/>
    <row r="5577" s="65" customFormat="1"/>
    <row r="5578" s="65" customFormat="1"/>
    <row r="5579" s="65" customFormat="1"/>
    <row r="5580" s="65" customFormat="1"/>
    <row r="5581" s="65" customFormat="1"/>
    <row r="5582" s="65" customFormat="1"/>
    <row r="5583" s="65" customFormat="1"/>
    <row r="5584" s="65" customFormat="1"/>
    <row r="5585" s="65" customFormat="1"/>
    <row r="5586" s="65" customFormat="1"/>
    <row r="5587" s="65" customFormat="1"/>
    <row r="5588" s="65" customFormat="1"/>
    <row r="5589" s="65" customFormat="1"/>
    <row r="5590" s="65" customFormat="1"/>
    <row r="5591" s="65" customFormat="1"/>
    <row r="5592" s="65" customFormat="1"/>
    <row r="5593" s="65" customFormat="1"/>
    <row r="5594" s="65" customFormat="1"/>
    <row r="5595" s="65" customFormat="1"/>
    <row r="5596" s="65" customFormat="1"/>
    <row r="5597" s="65" customFormat="1"/>
    <row r="5598" s="65" customFormat="1"/>
    <row r="5599" s="65" customFormat="1"/>
    <row r="5600" s="65" customFormat="1"/>
    <row r="5601" s="65" customFormat="1"/>
    <row r="5602" s="65" customFormat="1"/>
    <row r="5603" s="65" customFormat="1"/>
    <row r="5604" s="65" customFormat="1"/>
    <row r="5605" s="65" customFormat="1"/>
    <row r="5606" s="65" customFormat="1"/>
    <row r="5607" s="65" customFormat="1"/>
    <row r="5608" s="65" customFormat="1"/>
    <row r="5609" s="65" customFormat="1"/>
    <row r="5610" s="65" customFormat="1"/>
    <row r="5611" s="65" customFormat="1"/>
    <row r="5612" s="65" customFormat="1"/>
    <row r="5613" s="65" customFormat="1"/>
    <row r="5614" s="65" customFormat="1"/>
    <row r="5615" s="65" customFormat="1"/>
    <row r="5616" s="65" customFormat="1"/>
    <row r="5617" s="65" customFormat="1"/>
    <row r="5618" s="65" customFormat="1"/>
    <row r="5619" s="65" customFormat="1"/>
    <row r="5620" s="65" customFormat="1"/>
    <row r="5621" s="65" customFormat="1"/>
    <row r="5622" s="65" customFormat="1"/>
    <row r="5623" s="65" customFormat="1"/>
    <row r="5624" s="65" customFormat="1"/>
    <row r="5625" s="65" customFormat="1"/>
    <row r="5626" s="65" customFormat="1"/>
    <row r="5627" s="65" customFormat="1"/>
    <row r="5628" s="65" customFormat="1"/>
    <row r="5629" s="65" customFormat="1"/>
    <row r="5630" s="65" customFormat="1"/>
    <row r="5631" s="65" customFormat="1"/>
    <row r="5632" s="65" customFormat="1"/>
    <row r="5633" s="65" customFormat="1"/>
    <row r="5634" s="65" customFormat="1"/>
    <row r="5635" s="65" customFormat="1"/>
    <row r="5636" s="65" customFormat="1"/>
    <row r="5637" s="65" customFormat="1"/>
    <row r="5638" s="65" customFormat="1"/>
    <row r="5639" s="65" customFormat="1"/>
    <row r="5640" s="65" customFormat="1"/>
    <row r="5641" s="65" customFormat="1"/>
    <row r="5642" s="65" customFormat="1"/>
    <row r="5643" s="65" customFormat="1"/>
    <row r="5644" s="65" customFormat="1"/>
    <row r="5645" s="65" customFormat="1"/>
    <row r="5646" s="65" customFormat="1"/>
    <row r="5647" s="65" customFormat="1"/>
    <row r="5648" s="65" customFormat="1"/>
    <row r="5649" s="65" customFormat="1"/>
    <row r="5650" s="65" customFormat="1"/>
    <row r="5651" s="65" customFormat="1"/>
    <row r="5652" s="65" customFormat="1"/>
    <row r="5653" s="65" customFormat="1"/>
    <row r="5654" s="65" customFormat="1"/>
    <row r="5655" s="65" customFormat="1"/>
    <row r="5656" s="65" customFormat="1"/>
    <row r="5657" s="65" customFormat="1"/>
    <row r="5658" s="65" customFormat="1"/>
    <row r="5659" s="65" customFormat="1"/>
    <row r="5660" s="65" customFormat="1"/>
    <row r="5661" s="65" customFormat="1"/>
    <row r="5662" s="65" customFormat="1"/>
    <row r="5663" s="65" customFormat="1"/>
    <row r="5664" s="65" customFormat="1"/>
    <row r="5665" s="65" customFormat="1"/>
    <row r="5666" s="65" customFormat="1"/>
    <row r="5667" s="65" customFormat="1"/>
    <row r="5668" s="65" customFormat="1"/>
    <row r="5669" s="65" customFormat="1"/>
    <row r="5670" s="65" customFormat="1"/>
    <row r="5671" s="65" customFormat="1"/>
    <row r="5672" s="65" customFormat="1"/>
    <row r="5673" s="65" customFormat="1"/>
    <row r="5674" s="65" customFormat="1"/>
    <row r="5675" s="65" customFormat="1"/>
    <row r="5676" s="65" customFormat="1"/>
    <row r="5677" s="65" customFormat="1"/>
    <row r="5678" s="65" customFormat="1"/>
    <row r="5679" s="65" customFormat="1"/>
    <row r="5680" s="65" customFormat="1"/>
    <row r="5681" s="65" customFormat="1"/>
    <row r="5682" s="65" customFormat="1"/>
    <row r="5683" s="65" customFormat="1"/>
    <row r="5684" s="65" customFormat="1"/>
    <row r="5685" s="65" customFormat="1"/>
    <row r="5686" s="65" customFormat="1"/>
    <row r="5687" s="65" customFormat="1"/>
    <row r="5688" s="65" customFormat="1"/>
    <row r="5689" s="65" customFormat="1"/>
    <row r="5690" s="65" customFormat="1"/>
    <row r="5691" s="65" customFormat="1"/>
    <row r="5692" s="65" customFormat="1"/>
    <row r="5693" s="65" customFormat="1"/>
    <row r="5694" s="65" customFormat="1"/>
    <row r="5695" s="65" customFormat="1"/>
    <row r="5696" s="65" customFormat="1"/>
    <row r="5697" s="65" customFormat="1"/>
    <row r="5698" s="65" customFormat="1"/>
    <row r="5699" s="65" customFormat="1"/>
    <row r="5700" s="65" customFormat="1"/>
    <row r="5701" s="65" customFormat="1"/>
    <row r="5702" s="65" customFormat="1"/>
    <row r="5703" s="65" customFormat="1"/>
    <row r="5704" s="65" customFormat="1"/>
    <row r="5705" s="65" customFormat="1"/>
    <row r="5706" s="65" customFormat="1"/>
    <row r="5707" s="65" customFormat="1"/>
    <row r="5708" s="65" customFormat="1"/>
    <row r="5709" s="65" customFormat="1"/>
    <row r="5710" s="65" customFormat="1"/>
    <row r="5711" s="65" customFormat="1"/>
    <row r="5712" s="65" customFormat="1"/>
    <row r="5713" s="65" customFormat="1"/>
    <row r="5714" s="65" customFormat="1"/>
    <row r="5715" s="65" customFormat="1"/>
    <row r="5716" s="65" customFormat="1"/>
    <row r="5717" s="65" customFormat="1"/>
    <row r="5718" s="65" customFormat="1"/>
    <row r="5719" s="65" customFormat="1"/>
    <row r="5720" s="65" customFormat="1"/>
    <row r="5721" s="65" customFormat="1"/>
    <row r="5722" s="65" customFormat="1"/>
    <row r="5723" s="65" customFormat="1"/>
    <row r="5724" s="65" customFormat="1"/>
    <row r="5725" s="65" customFormat="1"/>
    <row r="5726" s="65" customFormat="1"/>
    <row r="5727" s="65" customFormat="1"/>
    <row r="5728" s="65" customFormat="1"/>
    <row r="5729" s="65" customFormat="1"/>
    <row r="5730" s="65" customFormat="1"/>
    <row r="5731" s="65" customFormat="1"/>
    <row r="5732" s="65" customFormat="1"/>
    <row r="5733" s="65" customFormat="1"/>
    <row r="5734" s="65" customFormat="1"/>
    <row r="5735" s="65" customFormat="1"/>
    <row r="5736" s="65" customFormat="1"/>
    <row r="5737" s="65" customFormat="1"/>
    <row r="5738" s="65" customFormat="1"/>
    <row r="5739" s="65" customFormat="1"/>
    <row r="5740" s="65" customFormat="1"/>
    <row r="5741" s="65" customFormat="1"/>
    <row r="5742" s="65" customFormat="1"/>
    <row r="5743" s="65" customFormat="1"/>
    <row r="5744" s="65" customFormat="1"/>
    <row r="5745" s="65" customFormat="1"/>
    <row r="5746" s="65" customFormat="1"/>
    <row r="5747" s="65" customFormat="1"/>
    <row r="5748" s="65" customFormat="1"/>
    <row r="5749" s="65" customFormat="1"/>
    <row r="5750" s="65" customFormat="1"/>
    <row r="5751" s="65" customFormat="1"/>
    <row r="5752" s="65" customFormat="1"/>
    <row r="5753" s="65" customFormat="1"/>
    <row r="5754" s="65" customFormat="1"/>
    <row r="5755" s="65" customFormat="1"/>
    <row r="5756" s="65" customFormat="1"/>
    <row r="5757" s="65" customFormat="1"/>
    <row r="5758" s="65" customFormat="1"/>
    <row r="5759" s="65" customFormat="1"/>
    <row r="5760" s="65" customFormat="1"/>
    <row r="5761" s="65" customFormat="1"/>
    <row r="5762" s="65" customFormat="1"/>
    <row r="5763" s="65" customFormat="1"/>
    <row r="5764" s="65" customFormat="1"/>
    <row r="5765" s="65" customFormat="1"/>
    <row r="5766" s="65" customFormat="1"/>
    <row r="5767" s="65" customFormat="1"/>
    <row r="5768" s="65" customFormat="1"/>
    <row r="5769" s="65" customFormat="1"/>
    <row r="5770" s="65" customFormat="1"/>
    <row r="5771" s="65" customFormat="1"/>
    <row r="5772" s="65" customFormat="1"/>
    <row r="5773" s="65" customFormat="1"/>
    <row r="5774" s="65" customFormat="1"/>
    <row r="5775" s="65" customFormat="1"/>
    <row r="5776" s="65" customFormat="1"/>
    <row r="5777" s="65" customFormat="1"/>
    <row r="5778" s="65" customFormat="1"/>
    <row r="5779" s="65" customFormat="1"/>
    <row r="5780" s="65" customFormat="1"/>
    <row r="5781" s="65" customFormat="1"/>
    <row r="5782" s="65" customFormat="1"/>
    <row r="5783" s="65" customFormat="1"/>
    <row r="5784" s="65" customFormat="1"/>
    <row r="5785" s="65" customFormat="1"/>
    <row r="5786" s="65" customFormat="1"/>
    <row r="5787" s="65" customFormat="1"/>
    <row r="5788" s="65" customFormat="1"/>
    <row r="5789" s="65" customFormat="1"/>
    <row r="5790" s="65" customFormat="1"/>
    <row r="5791" s="65" customFormat="1"/>
    <row r="5792" s="65" customFormat="1"/>
    <row r="5793" s="65" customFormat="1"/>
    <row r="5794" s="65" customFormat="1"/>
    <row r="5795" s="65" customFormat="1"/>
    <row r="5796" s="65" customFormat="1"/>
    <row r="5797" s="65" customFormat="1"/>
    <row r="5798" s="65" customFormat="1"/>
    <row r="5799" s="65" customFormat="1"/>
    <row r="5800" s="65" customFormat="1"/>
    <row r="5801" s="65" customFormat="1"/>
    <row r="5802" s="65" customFormat="1"/>
    <row r="5803" s="65" customFormat="1"/>
    <row r="5804" s="65" customFormat="1"/>
    <row r="5805" s="65" customFormat="1"/>
    <row r="5806" s="65" customFormat="1"/>
    <row r="5807" s="65" customFormat="1"/>
    <row r="5808" s="65" customFormat="1"/>
    <row r="5809" s="65" customFormat="1"/>
    <row r="5810" s="65" customFormat="1"/>
    <row r="5811" s="65" customFormat="1"/>
    <row r="5812" s="65" customFormat="1"/>
    <row r="5813" s="65" customFormat="1"/>
    <row r="5814" s="65" customFormat="1"/>
    <row r="5815" s="65" customFormat="1"/>
    <row r="5816" s="65" customFormat="1"/>
    <row r="5817" s="65" customFormat="1"/>
    <row r="5818" s="65" customFormat="1"/>
    <row r="5819" s="65" customFormat="1"/>
    <row r="5820" s="65" customFormat="1"/>
    <row r="5821" s="65" customFormat="1"/>
    <row r="5822" s="65" customFormat="1"/>
    <row r="5823" s="65" customFormat="1"/>
    <row r="5824" s="65" customFormat="1"/>
    <row r="5825" s="65" customFormat="1"/>
    <row r="5826" s="65" customFormat="1"/>
    <row r="5827" s="65" customFormat="1"/>
    <row r="5828" s="65" customFormat="1"/>
    <row r="5829" s="65" customFormat="1"/>
    <row r="5830" s="65" customFormat="1"/>
    <row r="5831" s="65" customFormat="1"/>
    <row r="5832" s="65" customFormat="1"/>
    <row r="5833" s="65" customFormat="1"/>
    <row r="5834" s="65" customFormat="1"/>
    <row r="5835" s="65" customFormat="1"/>
    <row r="5836" s="65" customFormat="1"/>
    <row r="5837" s="65" customFormat="1"/>
    <row r="5838" s="65" customFormat="1"/>
    <row r="5839" s="65" customFormat="1"/>
    <row r="5840" s="65" customFormat="1"/>
    <row r="5841" s="65" customFormat="1"/>
    <row r="5842" s="65" customFormat="1"/>
    <row r="5843" s="65" customFormat="1"/>
    <row r="5844" s="65" customFormat="1"/>
    <row r="5845" s="65" customFormat="1"/>
    <row r="5846" s="65" customFormat="1"/>
    <row r="5847" s="65" customFormat="1"/>
    <row r="5848" s="65" customFormat="1"/>
    <row r="5849" s="65" customFormat="1"/>
    <row r="5850" s="65" customFormat="1"/>
    <row r="5851" s="65" customFormat="1"/>
    <row r="5852" s="65" customFormat="1"/>
    <row r="5853" s="65" customFormat="1"/>
    <row r="5854" s="65" customFormat="1"/>
    <row r="5855" s="65" customFormat="1"/>
    <row r="5856" s="65" customFormat="1"/>
    <row r="5857" s="65" customFormat="1"/>
    <row r="5858" s="65" customFormat="1"/>
    <row r="5859" s="65" customFormat="1"/>
    <row r="5860" s="65" customFormat="1"/>
    <row r="5861" s="65" customFormat="1"/>
    <row r="5862" s="65" customFormat="1"/>
    <row r="5863" s="65" customFormat="1"/>
    <row r="5864" s="65" customFormat="1"/>
    <row r="5865" s="65" customFormat="1"/>
    <row r="5866" s="65" customFormat="1"/>
    <row r="5867" s="65" customFormat="1"/>
    <row r="5868" s="65" customFormat="1"/>
    <row r="5869" s="65" customFormat="1"/>
    <row r="5870" s="65" customFormat="1"/>
    <row r="5871" s="65" customFormat="1"/>
    <row r="5872" s="65" customFormat="1"/>
    <row r="5873" s="65" customFormat="1"/>
    <row r="5874" s="65" customFormat="1"/>
    <row r="5875" s="65" customFormat="1"/>
    <row r="5876" s="65" customFormat="1"/>
    <row r="5877" s="65" customFormat="1"/>
    <row r="5878" s="65" customFormat="1"/>
    <row r="5879" s="65" customFormat="1"/>
    <row r="5880" s="65" customFormat="1"/>
    <row r="5881" s="65" customFormat="1"/>
    <row r="5882" s="65" customFormat="1"/>
    <row r="5883" s="65" customFormat="1"/>
    <row r="5884" s="65" customFormat="1"/>
    <row r="5885" s="65" customFormat="1"/>
    <row r="5886" s="65" customFormat="1"/>
    <row r="5887" s="65" customFormat="1"/>
    <row r="5888" s="65" customFormat="1"/>
    <row r="5889" s="65" customFormat="1"/>
    <row r="5890" s="65" customFormat="1"/>
    <row r="5891" s="65" customFormat="1"/>
    <row r="5892" s="65" customFormat="1"/>
    <row r="5893" s="65" customFormat="1"/>
    <row r="5894" s="65" customFormat="1"/>
    <row r="5895" s="65" customFormat="1"/>
    <row r="5896" s="65" customFormat="1"/>
    <row r="5897" s="65" customFormat="1"/>
    <row r="5898" s="65" customFormat="1"/>
    <row r="5899" s="65" customFormat="1"/>
    <row r="5900" s="65" customFormat="1"/>
    <row r="5901" s="65" customFormat="1"/>
    <row r="5902" s="65" customFormat="1"/>
    <row r="5903" s="65" customFormat="1"/>
    <row r="5904" s="65" customFormat="1"/>
    <row r="5905" s="65" customFormat="1"/>
    <row r="5906" s="65" customFormat="1"/>
    <row r="5907" s="65" customFormat="1"/>
    <row r="5908" s="65" customFormat="1"/>
    <row r="5909" s="65" customFormat="1"/>
    <row r="5910" s="65" customFormat="1"/>
    <row r="5911" s="65" customFormat="1"/>
    <row r="5912" s="65" customFormat="1"/>
    <row r="5913" s="65" customFormat="1"/>
    <row r="5914" s="65" customFormat="1"/>
    <row r="5915" s="65" customFormat="1"/>
    <row r="5916" s="65" customFormat="1"/>
    <row r="5917" s="65" customFormat="1"/>
    <row r="5918" s="65" customFormat="1"/>
    <row r="5919" s="65" customFormat="1"/>
    <row r="5920" s="65" customFormat="1"/>
    <row r="5921" s="65" customFormat="1"/>
    <row r="5922" s="65" customFormat="1"/>
    <row r="5923" s="65" customFormat="1"/>
    <row r="5924" s="65" customFormat="1"/>
    <row r="5925" s="65" customFormat="1"/>
    <row r="5926" s="65" customFormat="1"/>
    <row r="5927" s="65" customFormat="1"/>
    <row r="5928" s="65" customFormat="1"/>
    <row r="5929" s="65" customFormat="1"/>
    <row r="5930" s="65" customFormat="1"/>
    <row r="5931" s="65" customFormat="1"/>
    <row r="5932" s="65" customFormat="1"/>
    <row r="5933" s="65" customFormat="1"/>
    <row r="5934" s="65" customFormat="1"/>
    <row r="5935" s="65" customFormat="1"/>
    <row r="5936" s="65" customFormat="1"/>
    <row r="5937" s="65" customFormat="1"/>
    <row r="5938" s="65" customFormat="1"/>
    <row r="5939" s="65" customFormat="1"/>
    <row r="5940" s="65" customFormat="1"/>
    <row r="5941" s="65" customFormat="1"/>
    <row r="5942" s="65" customFormat="1"/>
    <row r="5943" s="65" customFormat="1"/>
    <row r="5944" s="65" customFormat="1"/>
    <row r="5945" s="65" customFormat="1"/>
    <row r="5946" s="65" customFormat="1"/>
    <row r="5947" s="65" customFormat="1"/>
    <row r="5948" s="65" customFormat="1"/>
    <row r="5949" s="65" customFormat="1"/>
    <row r="5950" s="65" customFormat="1"/>
    <row r="5951" s="65" customFormat="1"/>
    <row r="5952" s="65" customFormat="1"/>
    <row r="5953" s="65" customFormat="1"/>
    <row r="5954" s="65" customFormat="1"/>
    <row r="5955" s="65" customFormat="1"/>
    <row r="5956" s="65" customFormat="1"/>
    <row r="5957" s="65" customFormat="1"/>
    <row r="5958" s="65" customFormat="1"/>
    <row r="5959" s="65" customFormat="1"/>
    <row r="5960" s="65" customFormat="1"/>
    <row r="5961" s="65" customFormat="1"/>
    <row r="5962" s="65" customFormat="1"/>
    <row r="5963" s="65" customFormat="1"/>
    <row r="5964" s="65" customFormat="1"/>
    <row r="5965" s="65" customFormat="1"/>
    <row r="5966" s="65" customFormat="1"/>
    <row r="5967" s="65" customFormat="1"/>
    <row r="5968" s="65" customFormat="1"/>
    <row r="5969" s="65" customFormat="1"/>
    <row r="5970" s="65" customFormat="1"/>
    <row r="5971" s="65" customFormat="1"/>
    <row r="5972" s="65" customFormat="1"/>
    <row r="5973" s="65" customFormat="1"/>
    <row r="5974" s="65" customFormat="1"/>
    <row r="5975" s="65" customFormat="1"/>
    <row r="5976" s="65" customFormat="1"/>
    <row r="5977" s="65" customFormat="1"/>
    <row r="5978" s="65" customFormat="1"/>
    <row r="5979" s="65" customFormat="1"/>
    <row r="5980" s="65" customFormat="1"/>
    <row r="5981" s="65" customFormat="1"/>
    <row r="5982" s="65" customFormat="1"/>
    <row r="5983" s="65" customFormat="1"/>
    <row r="5984" s="65" customFormat="1"/>
    <row r="5985" s="65" customFormat="1"/>
    <row r="5986" s="65" customFormat="1"/>
    <row r="5987" s="65" customFormat="1"/>
    <row r="5988" s="65" customFormat="1"/>
    <row r="5989" s="65" customFormat="1"/>
    <row r="5990" s="65" customFormat="1"/>
    <row r="5991" s="65" customFormat="1"/>
    <row r="5992" s="65" customFormat="1"/>
    <row r="5993" s="65" customFormat="1"/>
    <row r="5994" s="65" customFormat="1"/>
    <row r="5995" s="65" customFormat="1"/>
    <row r="5996" s="65" customFormat="1"/>
    <row r="5997" s="65" customFormat="1"/>
    <row r="5998" s="65" customFormat="1"/>
    <row r="5999" s="65" customFormat="1"/>
    <row r="6000" s="65" customFormat="1"/>
    <row r="6001" s="65" customFormat="1"/>
    <row r="6002" s="65" customFormat="1"/>
    <row r="6003" s="65" customFormat="1"/>
    <row r="6004" s="65" customFormat="1"/>
    <row r="6005" s="65" customFormat="1"/>
    <row r="6006" s="65" customFormat="1"/>
    <row r="6007" s="65" customFormat="1"/>
    <row r="6008" s="65" customFormat="1"/>
    <row r="6009" s="65" customFormat="1"/>
    <row r="6010" s="65" customFormat="1"/>
    <row r="6011" s="65" customFormat="1"/>
    <row r="6012" s="65" customFormat="1"/>
    <row r="6013" s="65" customFormat="1"/>
    <row r="6014" s="65" customFormat="1"/>
    <row r="6015" s="65" customFormat="1"/>
    <row r="6016" s="65" customFormat="1"/>
    <row r="6017" s="65" customFormat="1"/>
    <row r="6018" s="65" customFormat="1"/>
    <row r="6019" s="65" customFormat="1"/>
    <row r="6020" s="65" customFormat="1"/>
    <row r="6021" s="65" customFormat="1"/>
    <row r="6022" s="65" customFormat="1"/>
    <row r="6023" s="65" customFormat="1"/>
    <row r="6024" s="65" customFormat="1"/>
    <row r="6025" s="65" customFormat="1"/>
    <row r="6026" s="65" customFormat="1"/>
    <row r="6027" s="65" customFormat="1"/>
    <row r="6028" s="65" customFormat="1"/>
    <row r="6029" s="65" customFormat="1"/>
    <row r="6030" s="65" customFormat="1"/>
    <row r="6031" s="65" customFormat="1"/>
    <row r="6032" s="65" customFormat="1"/>
    <row r="6033" s="65" customFormat="1"/>
    <row r="6034" s="65" customFormat="1"/>
    <row r="6035" s="65" customFormat="1"/>
    <row r="6036" s="65" customFormat="1"/>
    <row r="6037" s="65" customFormat="1"/>
    <row r="6038" s="65" customFormat="1"/>
    <row r="6039" s="65" customFormat="1"/>
    <row r="6040" s="65" customFormat="1"/>
    <row r="6041" s="65" customFormat="1"/>
    <row r="6042" s="65" customFormat="1"/>
    <row r="6043" s="65" customFormat="1"/>
    <row r="6044" s="65" customFormat="1"/>
    <row r="6045" s="65" customFormat="1"/>
    <row r="6046" s="65" customFormat="1"/>
    <row r="6047" s="65" customFormat="1"/>
    <row r="6048" s="65" customFormat="1"/>
    <row r="6049" s="65" customFormat="1"/>
    <row r="6050" s="65" customFormat="1"/>
    <row r="6051" s="65" customFormat="1"/>
    <row r="6052" s="65" customFormat="1"/>
    <row r="6053" s="65" customFormat="1"/>
    <row r="6054" s="65" customFormat="1"/>
    <row r="6055" s="65" customFormat="1"/>
    <row r="6056" s="65" customFormat="1"/>
    <row r="6057" s="65" customFormat="1"/>
    <row r="6058" s="65" customFormat="1"/>
    <row r="6059" s="65" customFormat="1"/>
    <row r="6060" s="65" customFormat="1"/>
    <row r="6061" s="65" customFormat="1"/>
    <row r="6062" s="65" customFormat="1"/>
    <row r="6063" s="65" customFormat="1"/>
    <row r="6064" s="65" customFormat="1"/>
    <row r="6065" s="65" customFormat="1"/>
    <row r="6066" s="65" customFormat="1"/>
    <row r="6067" s="65" customFormat="1"/>
    <row r="6068" s="65" customFormat="1"/>
    <row r="6069" s="65" customFormat="1"/>
    <row r="6070" s="65" customFormat="1"/>
    <row r="6071" s="65" customFormat="1"/>
    <row r="6072" s="65" customFormat="1"/>
    <row r="6073" s="65" customFormat="1"/>
    <row r="6074" s="65" customFormat="1"/>
    <row r="6075" s="65" customFormat="1"/>
    <row r="6076" s="65" customFormat="1"/>
    <row r="6077" s="65" customFormat="1"/>
    <row r="6078" s="65" customFormat="1"/>
    <row r="6079" s="65" customFormat="1"/>
    <row r="6080" s="65" customFormat="1"/>
    <row r="6081" s="65" customFormat="1"/>
    <row r="6082" s="65" customFormat="1"/>
    <row r="6083" s="65" customFormat="1"/>
    <row r="6084" s="65" customFormat="1"/>
    <row r="6085" s="65" customFormat="1"/>
    <row r="6086" s="65" customFormat="1"/>
    <row r="6087" s="65" customFormat="1"/>
    <row r="6088" s="65" customFormat="1"/>
    <row r="6089" s="65" customFormat="1"/>
    <row r="6090" s="65" customFormat="1"/>
    <row r="6091" s="65" customFormat="1"/>
    <row r="6092" s="65" customFormat="1"/>
    <row r="6093" s="65" customFormat="1"/>
    <row r="6094" s="65" customFormat="1"/>
    <row r="6095" s="65" customFormat="1"/>
    <row r="6096" s="65" customFormat="1"/>
    <row r="6097" s="65" customFormat="1"/>
    <row r="6098" s="65" customFormat="1"/>
    <row r="6099" s="65" customFormat="1"/>
    <row r="6100" s="65" customFormat="1"/>
    <row r="6101" s="65" customFormat="1"/>
    <row r="6102" s="65" customFormat="1"/>
    <row r="6103" s="65" customFormat="1"/>
    <row r="6104" s="65" customFormat="1"/>
    <row r="6105" s="65" customFormat="1"/>
    <row r="6106" s="65" customFormat="1"/>
    <row r="6107" s="65" customFormat="1"/>
    <row r="6108" s="65" customFormat="1"/>
    <row r="6109" s="65" customFormat="1"/>
    <row r="6110" s="65" customFormat="1"/>
    <row r="6111" s="65" customFormat="1"/>
    <row r="6112" s="65" customFormat="1"/>
    <row r="6113" s="65" customFormat="1"/>
    <row r="6114" s="65" customFormat="1"/>
    <row r="6115" s="65" customFormat="1"/>
    <row r="6116" s="65" customFormat="1"/>
    <row r="6117" s="65" customFormat="1"/>
    <row r="6118" s="65" customFormat="1"/>
    <row r="6119" s="65" customFormat="1"/>
    <row r="6120" s="65" customFormat="1"/>
    <row r="6121" s="65" customFormat="1"/>
    <row r="6122" s="65" customFormat="1"/>
    <row r="6123" s="65" customFormat="1"/>
    <row r="6124" s="65" customFormat="1"/>
    <row r="6125" s="65" customFormat="1"/>
    <row r="6126" s="65" customFormat="1"/>
    <row r="6127" s="65" customFormat="1"/>
    <row r="6128" s="65" customFormat="1"/>
    <row r="6129" s="65" customFormat="1"/>
    <row r="6130" s="65" customFormat="1"/>
    <row r="6131" s="65" customFormat="1"/>
    <row r="6132" s="65" customFormat="1"/>
    <row r="6133" s="65" customFormat="1"/>
    <row r="6134" s="65" customFormat="1"/>
    <row r="6135" s="65" customFormat="1"/>
    <row r="6136" s="65" customFormat="1"/>
    <row r="6137" s="65" customFormat="1"/>
    <row r="6138" s="65" customFormat="1"/>
    <row r="6139" s="65" customFormat="1"/>
    <row r="6140" s="65" customFormat="1"/>
    <row r="6141" s="65" customFormat="1"/>
    <row r="6142" s="65" customFormat="1"/>
    <row r="6143" s="65" customFormat="1"/>
    <row r="6144" s="65" customFormat="1"/>
    <row r="6145" s="65" customFormat="1"/>
    <row r="6146" s="65" customFormat="1"/>
    <row r="6147" s="65" customFormat="1"/>
    <row r="6148" s="65" customFormat="1"/>
    <row r="6149" s="65" customFormat="1"/>
    <row r="6150" s="65" customFormat="1"/>
    <row r="6151" s="65" customFormat="1"/>
    <row r="6152" s="65" customFormat="1"/>
    <row r="6153" s="65" customFormat="1"/>
    <row r="6154" s="65" customFormat="1"/>
    <row r="6155" s="65" customFormat="1"/>
    <row r="6156" s="65" customFormat="1"/>
    <row r="6157" s="65" customFormat="1"/>
    <row r="6158" s="65" customFormat="1"/>
    <row r="6159" s="65" customFormat="1"/>
    <row r="6160" s="65" customFormat="1"/>
    <row r="6161" s="65" customFormat="1"/>
    <row r="6162" s="65" customFormat="1"/>
    <row r="6163" s="65" customFormat="1"/>
    <row r="6164" s="65" customFormat="1"/>
    <row r="6165" s="65" customFormat="1"/>
    <row r="6166" s="65" customFormat="1"/>
    <row r="6167" s="65" customFormat="1"/>
    <row r="6168" s="65" customFormat="1"/>
    <row r="6169" s="65" customFormat="1"/>
    <row r="6170" s="65" customFormat="1"/>
    <row r="6171" s="65" customFormat="1"/>
    <row r="6172" s="65" customFormat="1"/>
    <row r="6173" s="65" customFormat="1"/>
    <row r="6174" s="65" customFormat="1"/>
    <row r="6175" s="65" customFormat="1"/>
    <row r="6176" s="65" customFormat="1"/>
    <row r="6177" s="65" customFormat="1"/>
    <row r="6178" s="65" customFormat="1"/>
    <row r="6179" s="65" customFormat="1"/>
    <row r="6180" s="65" customFormat="1"/>
    <row r="6181" s="65" customFormat="1"/>
    <row r="6182" s="65" customFormat="1"/>
    <row r="6183" s="65" customFormat="1"/>
    <row r="6184" s="65" customFormat="1"/>
    <row r="6185" s="65" customFormat="1"/>
    <row r="6186" s="65" customFormat="1"/>
    <row r="6187" s="65" customFormat="1"/>
    <row r="6188" s="65" customFormat="1"/>
    <row r="6189" s="65" customFormat="1"/>
    <row r="6190" s="65" customFormat="1"/>
    <row r="6191" s="65" customFormat="1"/>
    <row r="6192" s="65" customFormat="1"/>
    <row r="6193" s="65" customFormat="1"/>
    <row r="6194" s="65" customFormat="1"/>
    <row r="6195" s="65" customFormat="1"/>
    <row r="6196" s="65" customFormat="1"/>
    <row r="6197" s="65" customFormat="1"/>
    <row r="6198" s="65" customFormat="1"/>
    <row r="6199" s="65" customFormat="1"/>
    <row r="6200" s="65" customFormat="1"/>
    <row r="6201" s="65" customFormat="1"/>
    <row r="6202" s="65" customFormat="1"/>
    <row r="6203" s="65" customFormat="1"/>
    <row r="6204" s="65" customFormat="1"/>
    <row r="6205" s="65" customFormat="1"/>
    <row r="6206" s="65" customFormat="1"/>
    <row r="6207" s="65" customFormat="1"/>
    <row r="6208" s="65" customFormat="1"/>
    <row r="6209" s="65" customFormat="1"/>
    <row r="6210" s="65" customFormat="1"/>
    <row r="6211" s="65" customFormat="1"/>
    <row r="6212" s="65" customFormat="1"/>
    <row r="6213" s="65" customFormat="1"/>
    <row r="6214" s="65" customFormat="1"/>
    <row r="6215" s="65" customFormat="1"/>
    <row r="6216" s="65" customFormat="1"/>
    <row r="6217" s="65" customFormat="1"/>
    <row r="6218" s="65" customFormat="1"/>
    <row r="6219" s="65" customFormat="1"/>
    <row r="6220" s="65" customFormat="1"/>
    <row r="6221" s="65" customFormat="1"/>
    <row r="6222" s="65" customFormat="1"/>
    <row r="6223" s="65" customFormat="1"/>
    <row r="6224" s="65" customFormat="1"/>
    <row r="6225" s="65" customFormat="1"/>
    <row r="6226" s="65" customFormat="1"/>
    <row r="6227" s="65" customFormat="1"/>
    <row r="6228" s="65" customFormat="1"/>
    <row r="6229" s="65" customFormat="1"/>
    <row r="6230" s="65" customFormat="1"/>
    <row r="6231" s="65" customFormat="1"/>
    <row r="6232" s="65" customFormat="1"/>
    <row r="6233" s="65" customFormat="1"/>
    <row r="6234" s="65" customFormat="1"/>
    <row r="6235" s="65" customFormat="1"/>
    <row r="6236" s="65" customFormat="1"/>
    <row r="6237" s="65" customFormat="1"/>
    <row r="6238" s="65" customFormat="1"/>
    <row r="6239" s="65" customFormat="1"/>
    <row r="6240" s="65" customFormat="1"/>
    <row r="6241" s="65" customFormat="1"/>
    <row r="6242" s="65" customFormat="1"/>
    <row r="6243" s="65" customFormat="1"/>
    <row r="6244" s="65" customFormat="1"/>
    <row r="6245" s="65" customFormat="1"/>
    <row r="6246" s="65" customFormat="1"/>
    <row r="6247" s="65" customFormat="1"/>
    <row r="6248" s="65" customFormat="1"/>
    <row r="6249" s="65" customFormat="1"/>
    <row r="6250" s="65" customFormat="1"/>
    <row r="6251" s="65" customFormat="1"/>
    <row r="6252" s="65" customFormat="1"/>
    <row r="6253" s="65" customFormat="1"/>
    <row r="6254" s="65" customFormat="1"/>
    <row r="6255" s="65" customFormat="1"/>
    <row r="6256" s="65" customFormat="1"/>
    <row r="6257" s="65" customFormat="1"/>
    <row r="6258" s="65" customFormat="1"/>
    <row r="6259" s="65" customFormat="1"/>
    <row r="6260" s="65" customFormat="1"/>
    <row r="6261" s="65" customFormat="1"/>
    <row r="6262" s="65" customFormat="1"/>
    <row r="6263" s="65" customFormat="1"/>
    <row r="6264" s="65" customFormat="1"/>
    <row r="6265" s="65" customFormat="1"/>
    <row r="6266" s="65" customFormat="1"/>
    <row r="6267" s="65" customFormat="1"/>
    <row r="6268" s="65" customFormat="1"/>
    <row r="6269" s="65" customFormat="1"/>
    <row r="6270" s="65" customFormat="1"/>
    <row r="6271" s="65" customFormat="1"/>
    <row r="6272" s="65" customFormat="1"/>
    <row r="6273" s="65" customFormat="1"/>
    <row r="6274" s="65" customFormat="1"/>
    <row r="6275" s="65" customFormat="1"/>
    <row r="6276" s="65" customFormat="1"/>
    <row r="6277" s="65" customFormat="1"/>
    <row r="6278" s="65" customFormat="1"/>
    <row r="6279" s="65" customFormat="1"/>
    <row r="6280" s="65" customFormat="1"/>
    <row r="6281" s="65" customFormat="1"/>
    <row r="6282" s="65" customFormat="1"/>
    <row r="6283" s="65" customFormat="1"/>
    <row r="6284" s="65" customFormat="1"/>
    <row r="6285" s="65" customFormat="1"/>
    <row r="6286" s="65" customFormat="1"/>
    <row r="6287" s="65" customFormat="1"/>
    <row r="6288" s="65" customFormat="1"/>
    <row r="6289" s="65" customFormat="1"/>
    <row r="6290" s="65" customFormat="1"/>
    <row r="6291" s="65" customFormat="1"/>
    <row r="6292" s="65" customFormat="1"/>
    <row r="6293" s="65" customFormat="1"/>
    <row r="6294" s="65" customFormat="1"/>
    <row r="6295" s="65" customFormat="1"/>
    <row r="6296" s="65" customFormat="1"/>
    <row r="6297" s="65" customFormat="1"/>
    <row r="6298" s="65" customFormat="1"/>
    <row r="6299" s="65" customFormat="1"/>
    <row r="6300" s="65" customFormat="1"/>
    <row r="6301" s="65" customFormat="1"/>
    <row r="6302" s="65" customFormat="1"/>
    <row r="6303" s="65" customFormat="1"/>
    <row r="6304" s="65" customFormat="1"/>
    <row r="6305" s="65" customFormat="1"/>
    <row r="6306" s="65" customFormat="1"/>
    <row r="6307" s="65" customFormat="1"/>
    <row r="6308" s="65" customFormat="1"/>
    <row r="6309" s="65" customFormat="1"/>
    <row r="6310" s="65" customFormat="1"/>
    <row r="6311" s="65" customFormat="1"/>
    <row r="6312" s="65" customFormat="1"/>
    <row r="6313" s="65" customFormat="1"/>
    <row r="6314" s="65" customFormat="1"/>
    <row r="6315" s="65" customFormat="1"/>
    <row r="6316" s="65" customFormat="1"/>
    <row r="6317" s="65" customFormat="1"/>
    <row r="6318" s="65" customFormat="1"/>
    <row r="6319" s="65" customFormat="1"/>
    <row r="6320" s="65" customFormat="1"/>
    <row r="6321" s="65" customFormat="1"/>
    <row r="6322" s="65" customFormat="1"/>
    <row r="6323" s="65" customFormat="1"/>
    <row r="6324" s="65" customFormat="1"/>
    <row r="6325" s="65" customFormat="1"/>
    <row r="6326" s="65" customFormat="1"/>
    <row r="6327" s="65" customFormat="1"/>
    <row r="6328" s="65" customFormat="1"/>
    <row r="6329" s="65" customFormat="1"/>
    <row r="6330" s="65" customFormat="1"/>
    <row r="6331" s="65" customFormat="1"/>
    <row r="6332" s="65" customFormat="1"/>
    <row r="6333" s="65" customFormat="1"/>
    <row r="6334" s="65" customFormat="1"/>
    <row r="6335" s="65" customFormat="1"/>
    <row r="6336" s="65" customFormat="1"/>
    <row r="6337" s="65" customFormat="1"/>
    <row r="6338" s="65" customFormat="1"/>
    <row r="6339" s="65" customFormat="1"/>
    <row r="6340" s="65" customFormat="1"/>
    <row r="6341" s="65" customFormat="1"/>
    <row r="6342" s="65" customFormat="1"/>
    <row r="6343" s="65" customFormat="1"/>
    <row r="6344" s="65" customFormat="1"/>
    <row r="6345" s="65" customFormat="1"/>
    <row r="6346" s="65" customFormat="1"/>
    <row r="6347" s="65" customFormat="1"/>
    <row r="6348" s="65" customFormat="1"/>
    <row r="6349" s="65" customFormat="1"/>
    <row r="6350" s="65" customFormat="1"/>
    <row r="6351" s="65" customFormat="1"/>
    <row r="6352" s="65" customFormat="1"/>
    <row r="6353" s="65" customFormat="1"/>
    <row r="6354" s="65" customFormat="1"/>
    <row r="6355" s="65" customFormat="1"/>
    <row r="6356" s="65" customFormat="1"/>
    <row r="6357" s="65" customFormat="1"/>
    <row r="6358" s="65" customFormat="1"/>
    <row r="6359" s="65" customFormat="1"/>
    <row r="6360" s="65" customFormat="1"/>
    <row r="6361" s="65" customFormat="1"/>
    <row r="6362" s="65" customFormat="1"/>
    <row r="6363" s="65" customFormat="1"/>
    <row r="6364" s="65" customFormat="1"/>
    <row r="6365" s="65" customFormat="1"/>
    <row r="6366" s="65" customFormat="1"/>
    <row r="6367" s="65" customFormat="1"/>
    <row r="6368" s="65" customFormat="1"/>
    <row r="6369" s="65" customFormat="1"/>
    <row r="6370" s="65" customFormat="1"/>
    <row r="6371" s="65" customFormat="1"/>
    <row r="6372" s="65" customFormat="1"/>
    <row r="6373" s="65" customFormat="1"/>
    <row r="6374" s="65" customFormat="1"/>
    <row r="6375" s="65" customFormat="1"/>
    <row r="6376" s="65" customFormat="1"/>
    <row r="6377" s="65" customFormat="1"/>
    <row r="6378" s="65" customFormat="1"/>
    <row r="6379" s="65" customFormat="1"/>
    <row r="6380" s="65" customFormat="1"/>
    <row r="6381" s="65" customFormat="1"/>
    <row r="6382" s="65" customFormat="1"/>
    <row r="6383" s="65" customFormat="1"/>
    <row r="6384" s="65" customFormat="1"/>
    <row r="6385" s="65" customFormat="1"/>
    <row r="6386" s="65" customFormat="1"/>
    <row r="6387" s="65" customFormat="1"/>
    <row r="6388" s="65" customFormat="1"/>
    <row r="6389" s="65" customFormat="1"/>
    <row r="6390" s="65" customFormat="1"/>
    <row r="6391" s="65" customFormat="1"/>
    <row r="6392" s="65" customFormat="1"/>
    <row r="6393" s="65" customFormat="1"/>
    <row r="6394" s="65" customFormat="1"/>
    <row r="6395" s="65" customFormat="1"/>
    <row r="6396" s="65" customFormat="1"/>
    <row r="6397" s="65" customFormat="1"/>
    <row r="6398" s="65" customFormat="1"/>
    <row r="6399" s="65" customFormat="1"/>
    <row r="6400" s="65" customFormat="1"/>
    <row r="6401" s="65" customFormat="1"/>
    <row r="6402" s="65" customFormat="1"/>
    <row r="6403" s="65" customFormat="1"/>
    <row r="6404" s="65" customFormat="1"/>
    <row r="6405" s="65" customFormat="1"/>
    <row r="6406" s="65" customFormat="1"/>
    <row r="6407" s="65" customFormat="1"/>
    <row r="6408" s="65" customFormat="1"/>
    <row r="6409" s="65" customFormat="1"/>
    <row r="6410" s="65" customFormat="1"/>
    <row r="6411" s="65" customFormat="1"/>
    <row r="6412" s="65" customFormat="1"/>
    <row r="6413" s="65" customFormat="1"/>
    <row r="6414" s="65" customFormat="1"/>
    <row r="6415" s="65" customFormat="1"/>
    <row r="6416" s="65" customFormat="1"/>
    <row r="6417" s="65" customFormat="1"/>
    <row r="6418" s="65" customFormat="1"/>
    <row r="6419" s="65" customFormat="1"/>
    <row r="6420" s="65" customFormat="1"/>
    <row r="6421" s="65" customFormat="1"/>
    <row r="6422" s="65" customFormat="1"/>
    <row r="6423" s="65" customFormat="1"/>
    <row r="6424" s="65" customFormat="1"/>
    <row r="6425" s="65" customFormat="1"/>
    <row r="6426" s="65" customFormat="1"/>
    <row r="6427" s="65" customFormat="1"/>
    <row r="6428" s="65" customFormat="1"/>
    <row r="6429" s="65" customFormat="1"/>
    <row r="6430" s="65" customFormat="1"/>
    <row r="6431" s="65" customFormat="1"/>
    <row r="6432" s="65" customFormat="1"/>
    <row r="6433" s="65" customFormat="1"/>
    <row r="6434" s="65" customFormat="1"/>
    <row r="6435" s="65" customFormat="1"/>
    <row r="6436" s="65" customFormat="1"/>
    <row r="6437" s="65" customFormat="1"/>
    <row r="6438" s="65" customFormat="1"/>
    <row r="6439" s="65" customFormat="1"/>
    <row r="6440" s="65" customFormat="1"/>
    <row r="6441" s="65" customFormat="1"/>
    <row r="6442" s="65" customFormat="1"/>
    <row r="6443" s="65" customFormat="1"/>
    <row r="6444" s="65" customFormat="1"/>
    <row r="6445" s="65" customFormat="1"/>
    <row r="6446" s="65" customFormat="1"/>
    <row r="6447" s="65" customFormat="1"/>
    <row r="6448" s="65" customFormat="1"/>
    <row r="6449" s="65" customFormat="1"/>
    <row r="6450" s="65" customFormat="1"/>
    <row r="6451" s="65" customFormat="1"/>
    <row r="6452" s="65" customFormat="1"/>
    <row r="6453" s="65" customFormat="1"/>
    <row r="6454" s="65" customFormat="1"/>
    <row r="6455" s="65" customFormat="1"/>
    <row r="6456" s="65" customFormat="1"/>
    <row r="6457" s="65" customFormat="1"/>
    <row r="6458" s="65" customFormat="1"/>
    <row r="6459" s="65" customFormat="1"/>
    <row r="6460" s="65" customFormat="1"/>
    <row r="6461" s="65" customFormat="1"/>
    <row r="6462" s="65" customFormat="1"/>
    <row r="6463" s="65" customFormat="1"/>
    <row r="6464" s="65" customFormat="1"/>
    <row r="6465" s="65" customFormat="1"/>
    <row r="6466" s="65" customFormat="1"/>
    <row r="6467" s="65" customFormat="1"/>
    <row r="6468" s="65" customFormat="1"/>
    <row r="6469" s="65" customFormat="1"/>
    <row r="6470" s="65" customFormat="1"/>
    <row r="6471" s="65" customFormat="1"/>
    <row r="6472" s="65" customFormat="1"/>
    <row r="6473" s="65" customFormat="1"/>
    <row r="6474" s="65" customFormat="1"/>
    <row r="6475" s="65" customFormat="1"/>
    <row r="6476" s="65" customFormat="1"/>
    <row r="6477" s="65" customFormat="1"/>
    <row r="6478" s="65" customFormat="1"/>
    <row r="6479" s="65" customFormat="1"/>
    <row r="6480" s="65" customFormat="1"/>
    <row r="6481" s="65" customFormat="1"/>
    <row r="6482" s="65" customFormat="1"/>
    <row r="6483" s="65" customFormat="1"/>
    <row r="6484" s="65" customFormat="1"/>
    <row r="6485" s="65" customFormat="1"/>
    <row r="6486" s="65" customFormat="1"/>
    <row r="6487" s="65" customFormat="1"/>
    <row r="6488" s="65" customFormat="1"/>
    <row r="6489" s="65" customFormat="1"/>
    <row r="6490" s="65" customFormat="1"/>
    <row r="6491" s="65" customFormat="1"/>
    <row r="6492" s="65" customFormat="1"/>
    <row r="6493" s="65" customFormat="1"/>
    <row r="6494" s="65" customFormat="1"/>
    <row r="6495" s="65" customFormat="1"/>
    <row r="6496" s="65" customFormat="1"/>
    <row r="6497" s="65" customFormat="1"/>
    <row r="6498" s="65" customFormat="1"/>
    <row r="6499" s="65" customFormat="1"/>
    <row r="6500" s="65" customFormat="1"/>
    <row r="6501" s="65" customFormat="1"/>
    <row r="6502" s="65" customFormat="1"/>
    <row r="6503" s="65" customFormat="1"/>
    <row r="6504" s="65" customFormat="1"/>
    <row r="6505" s="65" customFormat="1"/>
    <row r="6506" s="65" customFormat="1"/>
    <row r="6507" s="65" customFormat="1"/>
    <row r="6508" s="65" customFormat="1"/>
    <row r="6509" s="65" customFormat="1"/>
    <row r="6510" s="65" customFormat="1"/>
    <row r="6511" s="65" customFormat="1"/>
    <row r="6512" s="65" customFormat="1"/>
    <row r="6513" s="65" customFormat="1"/>
    <row r="6514" s="65" customFormat="1"/>
    <row r="6515" s="65" customFormat="1"/>
    <row r="6516" s="65" customFormat="1"/>
    <row r="6517" s="65" customFormat="1"/>
    <row r="6518" s="65" customFormat="1"/>
    <row r="6519" s="65" customFormat="1"/>
    <row r="6520" s="65" customFormat="1"/>
    <row r="6521" s="65" customFormat="1"/>
    <row r="6522" s="65" customFormat="1"/>
    <row r="6523" s="65" customFormat="1"/>
    <row r="6524" s="65" customFormat="1"/>
    <row r="6525" s="65" customFormat="1"/>
    <row r="6526" s="65" customFormat="1"/>
    <row r="6527" s="65" customFormat="1"/>
    <row r="6528" s="65" customFormat="1"/>
    <row r="6529" s="65" customFormat="1"/>
    <row r="6530" s="65" customFormat="1"/>
    <row r="6531" s="65" customFormat="1"/>
    <row r="6532" s="65" customFormat="1"/>
    <row r="6533" s="65" customFormat="1"/>
    <row r="6534" s="65" customFormat="1"/>
    <row r="6535" s="65" customFormat="1"/>
    <row r="6536" s="65" customFormat="1"/>
    <row r="6537" s="65" customFormat="1"/>
    <row r="6538" s="65" customFormat="1"/>
    <row r="6539" s="65" customFormat="1"/>
    <row r="6540" s="65" customFormat="1"/>
    <row r="6541" s="65" customFormat="1"/>
    <row r="6542" s="65" customFormat="1"/>
    <row r="6543" s="65" customFormat="1"/>
    <row r="6544" s="65" customFormat="1"/>
    <row r="6545" s="65" customFormat="1"/>
    <row r="6546" s="65" customFormat="1"/>
    <row r="6547" s="65" customFormat="1"/>
    <row r="6548" s="65" customFormat="1"/>
    <row r="6549" s="65" customFormat="1"/>
    <row r="6550" s="65" customFormat="1"/>
    <row r="6551" s="65" customFormat="1"/>
    <row r="6552" s="65" customFormat="1"/>
    <row r="6553" s="65" customFormat="1"/>
    <row r="6554" s="65" customFormat="1"/>
    <row r="6555" s="65" customFormat="1"/>
    <row r="6556" s="65" customFormat="1"/>
    <row r="6557" s="65" customFormat="1"/>
    <row r="6558" s="65" customFormat="1"/>
    <row r="6559" s="65" customFormat="1"/>
    <row r="6560" s="65" customFormat="1"/>
    <row r="6561" s="65" customFormat="1"/>
    <row r="6562" s="65" customFormat="1"/>
    <row r="6563" s="65" customFormat="1"/>
    <row r="6564" s="65" customFormat="1"/>
    <row r="6565" s="65" customFormat="1"/>
    <row r="6566" s="65" customFormat="1"/>
    <row r="6567" s="65" customFormat="1"/>
    <row r="6568" s="65" customFormat="1"/>
    <row r="6569" s="65" customFormat="1"/>
    <row r="6570" s="65" customFormat="1"/>
    <row r="6571" s="65" customFormat="1"/>
    <row r="6572" s="65" customFormat="1"/>
    <row r="6573" s="65" customFormat="1"/>
    <row r="6574" s="65" customFormat="1"/>
    <row r="6575" s="65" customFormat="1"/>
    <row r="6576" s="65" customFormat="1"/>
    <row r="6577" s="65" customFormat="1"/>
    <row r="6578" s="65" customFormat="1"/>
    <row r="6579" s="65" customFormat="1"/>
    <row r="6580" s="65" customFormat="1"/>
    <row r="6581" s="65" customFormat="1"/>
    <row r="6582" s="65" customFormat="1"/>
    <row r="6583" s="65" customFormat="1"/>
    <row r="6584" s="65" customFormat="1"/>
    <row r="6585" s="65" customFormat="1"/>
    <row r="6586" s="65" customFormat="1"/>
    <row r="6587" s="65" customFormat="1"/>
    <row r="6588" s="65" customFormat="1"/>
    <row r="6589" s="65" customFormat="1"/>
    <row r="6590" s="65" customFormat="1"/>
    <row r="6591" s="65" customFormat="1"/>
    <row r="6592" s="65" customFormat="1"/>
    <row r="6593" s="65" customFormat="1"/>
    <row r="6594" s="65" customFormat="1"/>
    <row r="6595" s="65" customFormat="1"/>
    <row r="6596" s="65" customFormat="1"/>
    <row r="6597" s="65" customFormat="1"/>
    <row r="6598" s="65" customFormat="1"/>
    <row r="6599" s="65" customFormat="1"/>
    <row r="6600" s="65" customFormat="1"/>
    <row r="6601" s="65" customFormat="1"/>
    <row r="6602" s="65" customFormat="1"/>
    <row r="6603" s="65" customFormat="1"/>
    <row r="6604" s="65" customFormat="1"/>
    <row r="6605" s="65" customFormat="1"/>
    <row r="6606" s="65" customFormat="1"/>
    <row r="6607" s="65" customFormat="1"/>
    <row r="6608" s="65" customFormat="1"/>
    <row r="6609" s="65" customFormat="1"/>
    <row r="6610" s="65" customFormat="1"/>
    <row r="6611" s="65" customFormat="1"/>
    <row r="6612" s="65" customFormat="1"/>
    <row r="6613" s="65" customFormat="1"/>
    <row r="6614" s="65" customFormat="1"/>
    <row r="6615" s="65" customFormat="1"/>
    <row r="6616" s="65" customFormat="1"/>
    <row r="6617" s="65" customFormat="1"/>
    <row r="6618" s="65" customFormat="1"/>
    <row r="6619" s="65" customFormat="1"/>
    <row r="6620" s="65" customFormat="1"/>
    <row r="6621" s="65" customFormat="1"/>
    <row r="6622" s="65" customFormat="1"/>
    <row r="6623" s="65" customFormat="1"/>
    <row r="6624" s="65" customFormat="1"/>
    <row r="6625" s="65" customFormat="1"/>
    <row r="6626" s="65" customFormat="1"/>
    <row r="6627" s="65" customFormat="1"/>
    <row r="6628" s="65" customFormat="1"/>
    <row r="6629" s="65" customFormat="1"/>
    <row r="6630" s="65" customFormat="1"/>
    <row r="6631" s="65" customFormat="1"/>
    <row r="6632" s="65" customFormat="1"/>
    <row r="6633" s="65" customFormat="1"/>
    <row r="6634" s="65" customFormat="1"/>
    <row r="6635" s="65" customFormat="1"/>
    <row r="6636" s="65" customFormat="1"/>
    <row r="6637" s="65" customFormat="1"/>
    <row r="6638" s="65" customFormat="1"/>
    <row r="6639" s="65" customFormat="1"/>
    <row r="6640" s="65" customFormat="1"/>
    <row r="6641" s="65" customFormat="1"/>
    <row r="6642" s="65" customFormat="1"/>
    <row r="6643" s="65" customFormat="1"/>
    <row r="6644" s="65" customFormat="1"/>
    <row r="6645" s="65" customFormat="1"/>
    <row r="6646" s="65" customFormat="1"/>
    <row r="6647" s="65" customFormat="1"/>
    <row r="6648" s="65" customFormat="1"/>
    <row r="6649" s="65" customFormat="1"/>
    <row r="6650" s="65" customFormat="1"/>
    <row r="6651" s="65" customFormat="1"/>
    <row r="6652" s="65" customFormat="1"/>
    <row r="6653" s="65" customFormat="1"/>
    <row r="6654" s="65" customFormat="1"/>
    <row r="6655" s="65" customFormat="1"/>
    <row r="6656" s="65" customFormat="1"/>
    <row r="6657" s="65" customFormat="1"/>
    <row r="6658" s="65" customFormat="1"/>
    <row r="6659" s="65" customFormat="1"/>
    <row r="6660" s="65" customFormat="1"/>
    <row r="6661" s="65" customFormat="1"/>
    <row r="6662" s="65" customFormat="1"/>
    <row r="6663" s="65" customFormat="1"/>
    <row r="6664" s="65" customFormat="1"/>
    <row r="6665" s="65" customFormat="1"/>
    <row r="6666" s="65" customFormat="1"/>
    <row r="6667" s="65" customFormat="1"/>
    <row r="6668" s="65" customFormat="1"/>
    <row r="6669" s="65" customFormat="1"/>
    <row r="6670" s="65" customFormat="1"/>
    <row r="6671" s="65" customFormat="1"/>
    <row r="6672" s="65" customFormat="1"/>
    <row r="6673" s="65" customFormat="1"/>
    <row r="6674" s="65" customFormat="1"/>
    <row r="6675" s="65" customFormat="1"/>
    <row r="6676" s="65" customFormat="1"/>
    <row r="6677" s="65" customFormat="1"/>
    <row r="6678" s="65" customFormat="1"/>
    <row r="6679" s="65" customFormat="1"/>
    <row r="6680" s="65" customFormat="1"/>
    <row r="6681" s="65" customFormat="1"/>
    <row r="6682" s="65" customFormat="1"/>
    <row r="6683" s="65" customFormat="1"/>
    <row r="6684" s="65" customFormat="1"/>
    <row r="6685" s="65" customFormat="1"/>
    <row r="6686" s="65" customFormat="1"/>
    <row r="6687" s="65" customFormat="1"/>
    <row r="6688" s="65" customFormat="1"/>
    <row r="6689" s="65" customFormat="1"/>
    <row r="6690" s="65" customFormat="1"/>
    <row r="6691" s="65" customFormat="1"/>
    <row r="6692" s="65" customFormat="1"/>
    <row r="6693" s="65" customFormat="1"/>
    <row r="6694" s="65" customFormat="1"/>
    <row r="6695" s="65" customFormat="1"/>
    <row r="6696" s="65" customFormat="1"/>
    <row r="6697" s="65" customFormat="1"/>
    <row r="6698" s="65" customFormat="1"/>
    <row r="6699" s="65" customFormat="1"/>
    <row r="6700" s="65" customFormat="1"/>
    <row r="6701" s="65" customFormat="1"/>
    <row r="6702" s="65" customFormat="1"/>
    <row r="6703" s="65" customFormat="1"/>
    <row r="6704" s="65" customFormat="1"/>
    <row r="6705" s="65" customFormat="1"/>
    <row r="6706" s="65" customFormat="1"/>
    <row r="6707" s="65" customFormat="1"/>
    <row r="6708" s="65" customFormat="1"/>
    <row r="6709" s="65" customFormat="1"/>
    <row r="6710" s="65" customFormat="1"/>
    <row r="6711" s="65" customFormat="1"/>
    <row r="6712" s="65" customFormat="1"/>
    <row r="6713" s="65" customFormat="1"/>
    <row r="6714" s="65" customFormat="1"/>
    <row r="6715" s="65" customFormat="1"/>
    <row r="6716" s="65" customFormat="1"/>
    <row r="6717" s="65" customFormat="1"/>
    <row r="6718" s="65" customFormat="1"/>
    <row r="6719" s="65" customFormat="1"/>
    <row r="6720" s="65" customFormat="1"/>
    <row r="6721" s="65" customFormat="1"/>
    <row r="6722" s="65" customFormat="1"/>
    <row r="6723" s="65" customFormat="1"/>
    <row r="6724" s="65" customFormat="1"/>
    <row r="6725" s="65" customFormat="1"/>
    <row r="6726" s="65" customFormat="1"/>
    <row r="6727" s="65" customFormat="1"/>
    <row r="6728" s="65" customFormat="1"/>
    <row r="6729" s="65" customFormat="1"/>
    <row r="6730" s="65" customFormat="1"/>
    <row r="6731" s="65" customFormat="1"/>
    <row r="6732" s="65" customFormat="1"/>
    <row r="6733" s="65" customFormat="1"/>
    <row r="6734" s="65" customFormat="1"/>
    <row r="6735" s="65" customFormat="1"/>
    <row r="6736" s="65" customFormat="1"/>
    <row r="6737" s="65" customFormat="1"/>
    <row r="6738" s="65" customFormat="1"/>
    <row r="6739" s="65" customFormat="1"/>
    <row r="6740" s="65" customFormat="1"/>
    <row r="6741" s="65" customFormat="1"/>
    <row r="6742" s="65" customFormat="1"/>
    <row r="6743" s="65" customFormat="1"/>
    <row r="6744" s="65" customFormat="1"/>
    <row r="6745" s="65" customFormat="1"/>
    <row r="6746" s="65" customFormat="1"/>
    <row r="6747" s="65" customFormat="1"/>
    <row r="6748" s="65" customFormat="1"/>
    <row r="6749" s="65" customFormat="1"/>
    <row r="6750" s="65" customFormat="1"/>
    <row r="6751" s="65" customFormat="1"/>
    <row r="6752" s="65" customFormat="1"/>
    <row r="6753" s="65" customFormat="1"/>
    <row r="6754" s="65" customFormat="1"/>
    <row r="6755" s="65" customFormat="1"/>
    <row r="6756" s="65" customFormat="1"/>
    <row r="6757" s="65" customFormat="1"/>
    <row r="6758" s="65" customFormat="1"/>
    <row r="6759" s="65" customFormat="1"/>
    <row r="6760" s="65" customFormat="1"/>
    <row r="6761" s="65" customFormat="1"/>
    <row r="6762" s="65" customFormat="1"/>
    <row r="6763" s="65" customFormat="1"/>
    <row r="6764" s="65" customFormat="1"/>
    <row r="6765" s="65" customFormat="1"/>
    <row r="6766" s="65" customFormat="1"/>
    <row r="6767" s="65" customFormat="1"/>
    <row r="6768" s="65" customFormat="1"/>
    <row r="6769" s="65" customFormat="1"/>
    <row r="6770" s="65" customFormat="1"/>
    <row r="6771" s="65" customFormat="1"/>
    <row r="6772" s="65" customFormat="1"/>
    <row r="6773" s="65" customFormat="1"/>
    <row r="6774" s="65" customFormat="1"/>
    <row r="6775" s="65" customFormat="1"/>
    <row r="6776" s="65" customFormat="1"/>
    <row r="6777" s="65" customFormat="1"/>
    <row r="6778" s="65" customFormat="1"/>
    <row r="6779" s="65" customFormat="1"/>
    <row r="6780" s="65" customFormat="1"/>
    <row r="6781" s="65" customFormat="1"/>
    <row r="6782" s="65" customFormat="1"/>
    <row r="6783" s="65" customFormat="1"/>
    <row r="6784" s="65" customFormat="1"/>
    <row r="6785" s="65" customFormat="1"/>
    <row r="6786" s="65" customFormat="1"/>
    <row r="6787" s="65" customFormat="1"/>
    <row r="6788" s="65" customFormat="1"/>
    <row r="6789" s="65" customFormat="1"/>
    <row r="6790" s="65" customFormat="1"/>
    <row r="6791" s="65" customFormat="1"/>
    <row r="6792" s="65" customFormat="1"/>
    <row r="6793" s="65" customFormat="1"/>
    <row r="6794" s="65" customFormat="1"/>
    <row r="6795" s="65" customFormat="1"/>
    <row r="6796" s="65" customFormat="1"/>
    <row r="6797" s="65" customFormat="1"/>
    <row r="6798" s="65" customFormat="1"/>
    <row r="6799" s="65" customFormat="1"/>
    <row r="6800" s="65" customFormat="1"/>
    <row r="6801" s="65" customFormat="1"/>
    <row r="6802" s="65" customFormat="1"/>
    <row r="6803" s="65" customFormat="1"/>
    <row r="6804" s="65" customFormat="1"/>
    <row r="6805" s="65" customFormat="1"/>
    <row r="6806" s="65" customFormat="1"/>
    <row r="6807" s="65" customFormat="1"/>
    <row r="6808" s="65" customFormat="1"/>
    <row r="6809" s="65" customFormat="1"/>
    <row r="6810" s="65" customFormat="1"/>
    <row r="6811" s="65" customFormat="1"/>
    <row r="6812" s="65" customFormat="1"/>
    <row r="6813" s="65" customFormat="1"/>
    <row r="6814" s="65" customFormat="1"/>
    <row r="6815" s="65" customFormat="1"/>
    <row r="6816" s="65" customFormat="1"/>
    <row r="6817" s="65" customFormat="1"/>
    <row r="6818" s="65" customFormat="1"/>
    <row r="6819" s="65" customFormat="1"/>
    <row r="6820" s="65" customFormat="1"/>
    <row r="6821" s="65" customFormat="1"/>
    <row r="6822" s="65" customFormat="1"/>
    <row r="6823" s="65" customFormat="1"/>
    <row r="6824" s="65" customFormat="1"/>
    <row r="6825" s="65" customFormat="1"/>
    <row r="6826" s="65" customFormat="1"/>
    <row r="6827" s="65" customFormat="1"/>
    <row r="6828" s="65" customFormat="1"/>
    <row r="6829" s="65" customFormat="1"/>
    <row r="6830" s="65" customFormat="1"/>
    <row r="6831" s="65" customFormat="1"/>
    <row r="6832" s="65" customFormat="1"/>
    <row r="6833" s="65" customFormat="1"/>
    <row r="6834" s="65" customFormat="1"/>
    <row r="6835" s="65" customFormat="1"/>
    <row r="6836" s="65" customFormat="1"/>
    <row r="6837" s="65" customFormat="1"/>
    <row r="6838" s="65" customFormat="1"/>
    <row r="6839" s="65" customFormat="1"/>
    <row r="6840" s="65" customFormat="1"/>
    <row r="6841" s="65" customFormat="1"/>
    <row r="6842" s="65" customFormat="1"/>
    <row r="6843" s="65" customFormat="1"/>
    <row r="6844" s="65" customFormat="1"/>
    <row r="6845" s="65" customFormat="1"/>
    <row r="6846" s="65" customFormat="1"/>
    <row r="6847" s="65" customFormat="1"/>
    <row r="6848" s="65" customFormat="1"/>
    <row r="6849" s="65" customFormat="1"/>
    <row r="6850" s="65" customFormat="1"/>
    <row r="6851" s="65" customFormat="1"/>
    <row r="6852" s="65" customFormat="1"/>
    <row r="6853" s="65" customFormat="1"/>
    <row r="6854" s="65" customFormat="1"/>
    <row r="6855" s="65" customFormat="1"/>
    <row r="6856" s="65" customFormat="1"/>
    <row r="6857" s="65" customFormat="1"/>
    <row r="6858" s="65" customFormat="1"/>
    <row r="6859" s="65" customFormat="1"/>
    <row r="6860" s="65" customFormat="1"/>
    <row r="6861" s="65" customFormat="1"/>
    <row r="6862" s="65" customFormat="1"/>
    <row r="6863" s="65" customFormat="1"/>
    <row r="6864" s="65" customFormat="1"/>
    <row r="6865" s="65" customFormat="1"/>
    <row r="6866" s="65" customFormat="1"/>
    <row r="6867" s="65" customFormat="1"/>
    <row r="6868" s="65" customFormat="1"/>
    <row r="6869" s="65" customFormat="1"/>
    <row r="6870" s="65" customFormat="1"/>
    <row r="6871" s="65" customFormat="1"/>
    <row r="6872" s="65" customFormat="1"/>
    <row r="6873" s="65" customFormat="1"/>
    <row r="6874" s="65" customFormat="1"/>
    <row r="6875" s="65" customFormat="1"/>
    <row r="6876" s="65" customFormat="1"/>
    <row r="6877" s="65" customFormat="1"/>
    <row r="6878" s="65" customFormat="1"/>
    <row r="6879" s="65" customFormat="1"/>
    <row r="6880" s="65" customFormat="1"/>
    <row r="6881" s="65" customFormat="1"/>
    <row r="6882" s="65" customFormat="1"/>
    <row r="6883" s="65" customFormat="1"/>
    <row r="6884" s="65" customFormat="1"/>
    <row r="6885" s="65" customFormat="1"/>
    <row r="6886" s="65" customFormat="1"/>
    <row r="6887" s="65" customFormat="1"/>
    <row r="6888" s="65" customFormat="1"/>
    <row r="6889" s="65" customFormat="1"/>
    <row r="6890" s="65" customFormat="1"/>
    <row r="6891" s="65" customFormat="1"/>
    <row r="6892" s="65" customFormat="1"/>
    <row r="6893" s="65" customFormat="1"/>
    <row r="6894" s="65" customFormat="1"/>
    <row r="6895" s="65" customFormat="1"/>
    <row r="6896" s="65" customFormat="1"/>
    <row r="6897" s="65" customFormat="1"/>
    <row r="6898" s="65" customFormat="1"/>
    <row r="6899" s="65" customFormat="1"/>
    <row r="6900" s="65" customFormat="1"/>
    <row r="6901" s="65" customFormat="1"/>
    <row r="6902" s="65" customFormat="1"/>
    <row r="6903" s="65" customFormat="1"/>
    <row r="6904" s="65" customFormat="1"/>
    <row r="6905" s="65" customFormat="1"/>
    <row r="6906" s="65" customFormat="1"/>
    <row r="6907" s="65" customFormat="1"/>
    <row r="6908" s="65" customFormat="1"/>
    <row r="6909" s="65" customFormat="1"/>
    <row r="6910" s="65" customFormat="1"/>
    <row r="6911" s="65" customFormat="1"/>
    <row r="6912" s="65" customFormat="1"/>
    <row r="6913" s="65" customFormat="1"/>
    <row r="6914" s="65" customFormat="1"/>
    <row r="6915" s="65" customFormat="1"/>
    <row r="6916" s="65" customFormat="1"/>
    <row r="6917" s="65" customFormat="1"/>
    <row r="6918" s="65" customFormat="1"/>
    <row r="6919" s="65" customFormat="1"/>
    <row r="6920" s="65" customFormat="1"/>
    <row r="6921" s="65" customFormat="1"/>
    <row r="6922" s="65" customFormat="1"/>
    <row r="6923" s="65" customFormat="1"/>
    <row r="6924" s="65" customFormat="1"/>
    <row r="6925" s="65" customFormat="1"/>
    <row r="6926" s="65" customFormat="1"/>
    <row r="6927" s="65" customFormat="1"/>
    <row r="6928" s="65" customFormat="1"/>
    <row r="6929" s="65" customFormat="1"/>
    <row r="6930" s="65" customFormat="1"/>
    <row r="6931" s="65" customFormat="1"/>
    <row r="6932" s="65" customFormat="1"/>
    <row r="6933" s="65" customFormat="1"/>
    <row r="6934" s="65" customFormat="1"/>
    <row r="6935" s="65" customFormat="1"/>
    <row r="6936" s="65" customFormat="1"/>
    <row r="6937" s="65" customFormat="1"/>
    <row r="6938" s="65" customFormat="1"/>
    <row r="6939" s="65" customFormat="1"/>
    <row r="6940" s="65" customFormat="1"/>
    <row r="6941" s="65" customFormat="1"/>
    <row r="6942" s="65" customFormat="1"/>
    <row r="6943" s="65" customFormat="1"/>
    <row r="6944" s="65" customFormat="1"/>
    <row r="6945" s="65" customFormat="1"/>
    <row r="6946" s="65" customFormat="1"/>
    <row r="6947" s="65" customFormat="1"/>
    <row r="6948" s="65" customFormat="1"/>
    <row r="6949" s="65" customFormat="1"/>
    <row r="6950" s="65" customFormat="1"/>
    <row r="6951" s="65" customFormat="1"/>
    <row r="6952" s="65" customFormat="1"/>
    <row r="6953" s="65" customFormat="1"/>
    <row r="6954" s="65" customFormat="1"/>
    <row r="6955" s="65" customFormat="1"/>
    <row r="6956" s="65" customFormat="1"/>
    <row r="6957" s="65" customFormat="1"/>
    <row r="6958" s="65" customFormat="1"/>
    <row r="6959" s="65" customFormat="1"/>
    <row r="6960" s="65" customFormat="1"/>
    <row r="6961" s="65" customFormat="1"/>
    <row r="6962" s="65" customFormat="1"/>
    <row r="6963" s="65" customFormat="1"/>
    <row r="6964" s="65" customFormat="1"/>
    <row r="6965" s="65" customFormat="1"/>
    <row r="6966" s="65" customFormat="1"/>
    <row r="6967" s="65" customFormat="1"/>
    <row r="6968" s="65" customFormat="1"/>
    <row r="6969" s="65" customFormat="1"/>
    <row r="6970" s="65" customFormat="1"/>
    <row r="6971" s="65" customFormat="1"/>
    <row r="6972" s="65" customFormat="1"/>
    <row r="6973" s="65" customFormat="1"/>
    <row r="6974" s="65" customFormat="1"/>
    <row r="6975" s="65" customFormat="1"/>
    <row r="6976" s="65" customFormat="1"/>
    <row r="6977" s="65" customFormat="1"/>
    <row r="6978" s="65" customFormat="1"/>
    <row r="6979" s="65" customFormat="1"/>
    <row r="6980" s="65" customFormat="1"/>
    <row r="6981" s="65" customFormat="1"/>
    <row r="6982" s="65" customFormat="1"/>
    <row r="6983" s="65" customFormat="1"/>
    <row r="6984" s="65" customFormat="1"/>
    <row r="6985" s="65" customFormat="1"/>
    <row r="6986" s="65" customFormat="1"/>
    <row r="6987" s="65" customFormat="1"/>
    <row r="6988" s="65" customFormat="1"/>
    <row r="6989" s="65" customFormat="1"/>
    <row r="6990" s="65" customFormat="1"/>
    <row r="6991" s="65" customFormat="1"/>
    <row r="6992" s="65" customFormat="1"/>
    <row r="6993" s="65" customFormat="1"/>
    <row r="6994" s="65" customFormat="1"/>
    <row r="6995" s="65" customFormat="1"/>
    <row r="6996" s="65" customFormat="1"/>
    <row r="6997" s="65" customFormat="1"/>
    <row r="6998" s="65" customFormat="1"/>
    <row r="6999" s="65" customFormat="1"/>
    <row r="7000" s="65" customFormat="1"/>
    <row r="7001" s="65" customFormat="1"/>
    <row r="7002" s="65" customFormat="1"/>
    <row r="7003" s="65" customFormat="1"/>
    <row r="7004" s="65" customFormat="1"/>
    <row r="7005" s="65" customFormat="1"/>
    <row r="7006" s="65" customFormat="1"/>
    <row r="7007" s="65" customFormat="1"/>
    <row r="7008" s="65" customFormat="1"/>
    <row r="7009" s="65" customFormat="1"/>
    <row r="7010" s="65" customFormat="1"/>
    <row r="7011" s="65" customFormat="1"/>
    <row r="7012" s="65" customFormat="1"/>
    <row r="7013" s="65" customFormat="1"/>
    <row r="7014" s="65" customFormat="1"/>
    <row r="7015" s="65" customFormat="1"/>
    <row r="7016" s="65" customFormat="1"/>
    <row r="7017" s="65" customFormat="1"/>
    <row r="7018" s="65" customFormat="1"/>
    <row r="7019" s="65" customFormat="1"/>
    <row r="7020" s="65" customFormat="1"/>
    <row r="7021" s="65" customFormat="1"/>
    <row r="7022" s="65" customFormat="1"/>
    <row r="7023" s="65" customFormat="1"/>
    <row r="7024" s="65" customFormat="1"/>
    <row r="7025" s="65" customFormat="1"/>
    <row r="7026" s="65" customFormat="1"/>
    <row r="7027" s="65" customFormat="1"/>
    <row r="7028" s="65" customFormat="1"/>
    <row r="7029" s="65" customFormat="1"/>
    <row r="7030" s="65" customFormat="1"/>
    <row r="7031" s="65" customFormat="1"/>
    <row r="7032" s="65" customFormat="1"/>
    <row r="7033" s="65" customFormat="1"/>
    <row r="7034" s="65" customFormat="1"/>
    <row r="7035" s="65" customFormat="1"/>
    <row r="7036" s="65" customFormat="1"/>
    <row r="7037" s="65" customFormat="1"/>
    <row r="7038" s="65" customFormat="1"/>
    <row r="7039" s="65" customFormat="1"/>
    <row r="7040" s="65" customFormat="1"/>
    <row r="7041" s="65" customFormat="1"/>
    <row r="7042" s="65" customFormat="1"/>
    <row r="7043" s="65" customFormat="1"/>
    <row r="7044" s="65" customFormat="1"/>
    <row r="7045" s="65" customFormat="1"/>
    <row r="7046" s="65" customFormat="1"/>
    <row r="7047" s="65" customFormat="1"/>
    <row r="7048" s="65" customFormat="1"/>
    <row r="7049" s="65" customFormat="1"/>
    <row r="7050" s="65" customFormat="1"/>
    <row r="7051" s="65" customFormat="1"/>
    <row r="7052" s="65" customFormat="1"/>
    <row r="7053" s="65" customFormat="1"/>
    <row r="7054" s="65" customFormat="1"/>
    <row r="7055" s="65" customFormat="1"/>
    <row r="7056" s="65" customFormat="1"/>
    <row r="7057" s="65" customFormat="1"/>
    <row r="7058" s="65" customFormat="1"/>
    <row r="7059" s="65" customFormat="1"/>
    <row r="7060" s="65" customFormat="1"/>
    <row r="7061" s="65" customFormat="1"/>
    <row r="7062" s="65" customFormat="1"/>
    <row r="7063" s="65" customFormat="1"/>
    <row r="7064" s="65" customFormat="1"/>
    <row r="7065" s="65" customFormat="1"/>
    <row r="7066" s="65" customFormat="1"/>
    <row r="7067" s="65" customFormat="1"/>
    <row r="7068" s="65" customFormat="1"/>
    <row r="7069" s="65" customFormat="1"/>
    <row r="7070" s="65" customFormat="1"/>
    <row r="7071" s="65" customFormat="1"/>
    <row r="7072" s="65" customFormat="1"/>
    <row r="7073" s="65" customFormat="1"/>
    <row r="7074" s="65" customFormat="1"/>
    <row r="7075" s="65" customFormat="1"/>
    <row r="7076" s="65" customFormat="1"/>
    <row r="7077" s="65" customFormat="1"/>
    <row r="7078" s="65" customFormat="1"/>
    <row r="7079" s="65" customFormat="1"/>
    <row r="7080" s="65" customFormat="1"/>
    <row r="7081" s="65" customFormat="1"/>
    <row r="7082" s="65" customFormat="1"/>
    <row r="7083" s="65" customFormat="1"/>
    <row r="7084" s="65" customFormat="1"/>
    <row r="7085" s="65" customFormat="1"/>
    <row r="7086" s="65" customFormat="1"/>
    <row r="7087" s="65" customFormat="1"/>
    <row r="7088" s="65" customFormat="1"/>
    <row r="7089" s="65" customFormat="1"/>
    <row r="7090" s="65" customFormat="1"/>
    <row r="7091" s="65" customFormat="1"/>
    <row r="7092" s="65" customFormat="1"/>
    <row r="7093" s="65" customFormat="1"/>
    <row r="7094" s="65" customFormat="1"/>
    <row r="7095" s="65" customFormat="1"/>
    <row r="7096" s="65" customFormat="1"/>
    <row r="7097" s="65" customFormat="1"/>
    <row r="7098" s="65" customFormat="1"/>
    <row r="7099" s="65" customFormat="1"/>
    <row r="7100" s="65" customFormat="1"/>
    <row r="7101" s="65" customFormat="1"/>
    <row r="7102" s="65" customFormat="1"/>
    <row r="7103" s="65" customFormat="1"/>
    <row r="7104" s="65" customFormat="1"/>
    <row r="7105" s="65" customFormat="1"/>
    <row r="7106" s="65" customFormat="1"/>
    <row r="7107" s="65" customFormat="1"/>
    <row r="7108" s="65" customFormat="1"/>
    <row r="7109" s="65" customFormat="1"/>
    <row r="7110" s="65" customFormat="1"/>
    <row r="7111" s="65" customFormat="1"/>
    <row r="7112" s="65" customFormat="1"/>
    <row r="7113" s="65" customFormat="1"/>
    <row r="7114" s="65" customFormat="1"/>
    <row r="7115" s="65" customFormat="1"/>
    <row r="7116" s="65" customFormat="1"/>
    <row r="7117" s="65" customFormat="1"/>
    <row r="7118" s="65" customFormat="1"/>
    <row r="7119" s="65" customFormat="1"/>
    <row r="7120" s="65" customFormat="1"/>
    <row r="7121" s="65" customFormat="1"/>
    <row r="7122" s="65" customFormat="1"/>
    <row r="7123" s="65" customFormat="1"/>
    <row r="7124" s="65" customFormat="1"/>
    <row r="7125" s="65" customFormat="1"/>
    <row r="7126" s="65" customFormat="1"/>
    <row r="7127" s="65" customFormat="1"/>
    <row r="7128" s="65" customFormat="1"/>
    <row r="7129" s="65" customFormat="1"/>
    <row r="7130" s="65" customFormat="1"/>
    <row r="7131" s="65" customFormat="1"/>
    <row r="7132" s="65" customFormat="1"/>
    <row r="7133" s="65" customFormat="1"/>
    <row r="7134" s="65" customFormat="1"/>
    <row r="7135" s="65" customFormat="1"/>
    <row r="7136" s="65" customFormat="1"/>
    <row r="7137" s="65" customFormat="1"/>
    <row r="7138" s="65" customFormat="1"/>
    <row r="7139" s="65" customFormat="1"/>
    <row r="7140" s="65" customFormat="1"/>
    <row r="7141" s="65" customFormat="1"/>
    <row r="7142" s="65" customFormat="1"/>
    <row r="7143" s="65" customFormat="1"/>
    <row r="7144" s="65" customFormat="1"/>
    <row r="7145" s="65" customFormat="1"/>
    <row r="7146" s="65" customFormat="1"/>
    <row r="7147" s="65" customFormat="1"/>
    <row r="7148" s="65" customFormat="1"/>
    <row r="7149" s="65" customFormat="1"/>
    <row r="7150" s="65" customFormat="1"/>
    <row r="7151" s="65" customFormat="1"/>
    <row r="7152" s="65" customFormat="1"/>
    <row r="7153" s="65" customFormat="1"/>
    <row r="7154" s="65" customFormat="1"/>
    <row r="7155" s="65" customFormat="1"/>
    <row r="7156" s="65" customFormat="1"/>
    <row r="7157" s="65" customFormat="1"/>
    <row r="7158" s="65" customFormat="1"/>
    <row r="7159" s="65" customFormat="1"/>
    <row r="7160" s="65" customFormat="1"/>
    <row r="7161" s="65" customFormat="1"/>
    <row r="7162" s="65" customFormat="1"/>
    <row r="7163" s="65" customFormat="1"/>
    <row r="7164" s="65" customFormat="1"/>
    <row r="7165" s="65" customFormat="1"/>
    <row r="7166" s="65" customFormat="1"/>
    <row r="7167" s="65" customFormat="1"/>
    <row r="7168" s="65" customFormat="1"/>
    <row r="7169" s="65" customFormat="1"/>
    <row r="7170" s="65" customFormat="1"/>
    <row r="7171" s="65" customFormat="1"/>
    <row r="7172" s="65" customFormat="1"/>
    <row r="7173" s="65" customFormat="1"/>
    <row r="7174" s="65" customFormat="1"/>
    <row r="7175" s="65" customFormat="1"/>
    <row r="7176" s="65" customFormat="1"/>
    <row r="7177" s="65" customFormat="1"/>
    <row r="7178" s="65" customFormat="1"/>
    <row r="7179" s="65" customFormat="1"/>
    <row r="7180" s="65" customFormat="1"/>
    <row r="7181" s="65" customFormat="1"/>
    <row r="7182" s="65" customFormat="1"/>
    <row r="7183" s="65" customFormat="1"/>
    <row r="7184" s="65" customFormat="1"/>
    <row r="7185" s="65" customFormat="1"/>
    <row r="7186" s="65" customFormat="1"/>
    <row r="7187" s="65" customFormat="1"/>
    <row r="7188" s="65" customFormat="1"/>
    <row r="7189" s="65" customFormat="1"/>
    <row r="7190" s="65" customFormat="1"/>
    <row r="7191" s="65" customFormat="1"/>
    <row r="7192" s="65" customFormat="1"/>
    <row r="7193" s="65" customFormat="1"/>
    <row r="7194" s="65" customFormat="1"/>
    <row r="7195" s="65" customFormat="1"/>
    <row r="7196" s="65" customFormat="1"/>
    <row r="7197" s="65" customFormat="1"/>
    <row r="7198" s="65" customFormat="1"/>
    <row r="7199" s="65" customFormat="1"/>
    <row r="7200" s="65" customFormat="1"/>
    <row r="7201" s="65" customFormat="1"/>
    <row r="7202" s="65" customFormat="1"/>
    <row r="7203" s="65" customFormat="1"/>
    <row r="7204" s="65" customFormat="1"/>
    <row r="7205" s="65" customFormat="1"/>
    <row r="7206" s="65" customFormat="1"/>
    <row r="7207" s="65" customFormat="1"/>
    <row r="7208" s="65" customFormat="1"/>
    <row r="7209" s="65" customFormat="1"/>
    <row r="7210" s="65" customFormat="1"/>
    <row r="7211" s="65" customFormat="1"/>
    <row r="7212" s="65" customFormat="1"/>
    <row r="7213" s="65" customFormat="1"/>
    <row r="7214" s="65" customFormat="1"/>
    <row r="7215" s="65" customFormat="1"/>
    <row r="7216" s="65" customFormat="1"/>
    <row r="7217" s="65" customFormat="1"/>
    <row r="7218" s="65" customFormat="1"/>
    <row r="7219" s="65" customFormat="1"/>
    <row r="7220" s="65" customFormat="1"/>
    <row r="7221" s="65" customFormat="1"/>
    <row r="7222" s="65" customFormat="1"/>
    <row r="7223" s="65" customFormat="1"/>
    <row r="7224" s="65" customFormat="1"/>
    <row r="7225" s="65" customFormat="1"/>
    <row r="7226" s="65" customFormat="1"/>
    <row r="7227" s="65" customFormat="1"/>
    <row r="7228" s="65" customFormat="1"/>
    <row r="7229" s="65" customFormat="1"/>
    <row r="7230" s="65" customFormat="1"/>
    <row r="7231" s="65" customFormat="1"/>
    <row r="7232" s="65" customFormat="1"/>
    <row r="7233" s="65" customFormat="1"/>
    <row r="7234" s="65" customFormat="1"/>
    <row r="7235" s="65" customFormat="1"/>
    <row r="7236" s="65" customFormat="1"/>
    <row r="7237" s="65" customFormat="1"/>
    <row r="7238" s="65" customFormat="1"/>
    <row r="7239" s="65" customFormat="1"/>
    <row r="7240" s="65" customFormat="1"/>
    <row r="7241" s="65" customFormat="1"/>
    <row r="7242" s="65" customFormat="1"/>
    <row r="7243" s="65" customFormat="1"/>
    <row r="7244" s="65" customFormat="1"/>
    <row r="7245" s="65" customFormat="1"/>
    <row r="7246" s="65" customFormat="1"/>
    <row r="7247" s="65" customFormat="1"/>
    <row r="7248" s="65" customFormat="1"/>
    <row r="7249" s="65" customFormat="1"/>
    <row r="7250" s="65" customFormat="1"/>
    <row r="7251" s="65" customFormat="1"/>
    <row r="7252" s="65" customFormat="1"/>
    <row r="7253" s="65" customFormat="1"/>
    <row r="7254" s="65" customFormat="1"/>
    <row r="7255" s="65" customFormat="1"/>
    <row r="7256" s="65" customFormat="1"/>
    <row r="7257" s="65" customFormat="1"/>
    <row r="7258" s="65" customFormat="1"/>
    <row r="7259" s="65" customFormat="1"/>
    <row r="7260" s="65" customFormat="1"/>
    <row r="7261" s="65" customFormat="1"/>
    <row r="7262" s="65" customFormat="1"/>
    <row r="7263" s="65" customFormat="1"/>
    <row r="7264" s="65" customFormat="1"/>
    <row r="7265" s="65" customFormat="1"/>
    <row r="7266" s="65" customFormat="1"/>
    <row r="7267" s="65" customFormat="1"/>
    <row r="7268" s="65" customFormat="1"/>
    <row r="7269" s="65" customFormat="1"/>
    <row r="7270" s="65" customFormat="1"/>
    <row r="7271" s="65" customFormat="1"/>
    <row r="7272" s="65" customFormat="1"/>
    <row r="7273" s="65" customFormat="1"/>
    <row r="7274" s="65" customFormat="1"/>
    <row r="7275" s="65" customFormat="1"/>
    <row r="7276" s="65" customFormat="1"/>
    <row r="7277" s="65" customFormat="1"/>
    <row r="7278" s="65" customFormat="1"/>
    <row r="7279" s="65" customFormat="1"/>
    <row r="7280" s="65" customFormat="1"/>
    <row r="7281" s="65" customFormat="1"/>
    <row r="7282" s="65" customFormat="1"/>
    <row r="7283" s="65" customFormat="1"/>
    <row r="7284" s="65" customFormat="1"/>
    <row r="7285" s="65" customFormat="1"/>
    <row r="7286" s="65" customFormat="1"/>
    <row r="7287" s="65" customFormat="1"/>
    <row r="7288" s="65" customFormat="1"/>
    <row r="7289" s="65" customFormat="1"/>
    <row r="7290" s="65" customFormat="1"/>
    <row r="7291" s="65" customFormat="1"/>
    <row r="7292" s="65" customFormat="1"/>
    <row r="7293" s="65" customFormat="1"/>
    <row r="7294" s="65" customFormat="1"/>
    <row r="7295" s="65" customFormat="1"/>
    <row r="7296" s="65" customFormat="1"/>
    <row r="7297" s="65" customFormat="1"/>
    <row r="7298" s="65" customFormat="1"/>
    <row r="7299" s="65" customFormat="1"/>
    <row r="7300" s="65" customFormat="1"/>
    <row r="7301" s="65" customFormat="1"/>
    <row r="7302" s="65" customFormat="1"/>
    <row r="7303" s="65" customFormat="1"/>
    <row r="7304" s="65" customFormat="1"/>
    <row r="7305" s="65" customFormat="1"/>
    <row r="7306" s="65" customFormat="1"/>
    <row r="7307" s="65" customFormat="1"/>
    <row r="7308" s="65" customFormat="1"/>
    <row r="7309" s="65" customFormat="1"/>
    <row r="7310" s="65" customFormat="1"/>
    <row r="7311" s="65" customFormat="1"/>
    <row r="7312" s="65" customFormat="1"/>
    <row r="7313" s="65" customFormat="1"/>
    <row r="7314" s="65" customFormat="1"/>
    <row r="7315" s="65" customFormat="1"/>
    <row r="7316" s="65" customFormat="1"/>
    <row r="7317" s="65" customFormat="1"/>
    <row r="7318" s="65" customFormat="1"/>
    <row r="7319" s="65" customFormat="1"/>
    <row r="7320" s="65" customFormat="1"/>
    <row r="7321" s="65" customFormat="1"/>
    <row r="7322" s="65" customFormat="1"/>
    <row r="7323" s="65" customFormat="1"/>
    <row r="7324" s="65" customFormat="1"/>
    <row r="7325" s="65" customFormat="1"/>
    <row r="7326" s="65" customFormat="1"/>
    <row r="7327" s="65" customFormat="1"/>
    <row r="7328" s="65" customFormat="1"/>
    <row r="7329" s="65" customFormat="1"/>
    <row r="7330" s="65" customFormat="1"/>
    <row r="7331" s="65" customFormat="1"/>
    <row r="7332" s="65" customFormat="1"/>
    <row r="7333" s="65" customFormat="1"/>
    <row r="7334" s="65" customFormat="1"/>
    <row r="7335" s="65" customFormat="1"/>
    <row r="7336" s="65" customFormat="1"/>
    <row r="7337" s="65" customFormat="1"/>
    <row r="7338" s="65" customFormat="1"/>
    <row r="7339" s="65" customFormat="1"/>
    <row r="7340" s="65" customFormat="1"/>
    <row r="7341" s="65" customFormat="1"/>
    <row r="7342" s="65" customFormat="1"/>
    <row r="7343" s="65" customFormat="1"/>
    <row r="7344" s="65" customFormat="1"/>
    <row r="7345" s="65" customFormat="1"/>
    <row r="7346" s="65" customFormat="1"/>
    <row r="7347" s="65" customFormat="1"/>
    <row r="7348" s="65" customFormat="1"/>
    <row r="7349" s="65" customFormat="1"/>
    <row r="7350" s="65" customFormat="1"/>
    <row r="7351" s="65" customFormat="1"/>
    <row r="7352" s="65" customFormat="1"/>
    <row r="7353" s="65" customFormat="1"/>
    <row r="7354" s="65" customFormat="1"/>
    <row r="7355" s="65" customFormat="1"/>
    <row r="7356" s="65" customFormat="1"/>
    <row r="7357" s="65" customFormat="1"/>
    <row r="7358" s="65" customFormat="1"/>
    <row r="7359" s="65" customFormat="1"/>
    <row r="7360" s="65" customFormat="1"/>
    <row r="7361" s="65" customFormat="1"/>
    <row r="7362" s="65" customFormat="1"/>
    <row r="7363" s="65" customFormat="1"/>
    <row r="7364" s="65" customFormat="1"/>
    <row r="7365" s="65" customFormat="1"/>
    <row r="7366" s="65" customFormat="1"/>
    <row r="7367" s="65" customFormat="1"/>
    <row r="7368" s="65" customFormat="1"/>
    <row r="7369" s="65" customFormat="1"/>
    <row r="7370" s="65" customFormat="1"/>
    <row r="7371" s="65" customFormat="1"/>
    <row r="7372" s="65" customFormat="1"/>
    <row r="7373" s="65" customFormat="1"/>
    <row r="7374" s="65" customFormat="1"/>
    <row r="7375" s="65" customFormat="1"/>
    <row r="7376" s="65" customFormat="1"/>
    <row r="7377" s="65" customFormat="1"/>
    <row r="7378" s="65" customFormat="1"/>
    <row r="7379" s="65" customFormat="1"/>
    <row r="7380" s="65" customFormat="1"/>
    <row r="7381" s="65" customFormat="1"/>
    <row r="7382" s="65" customFormat="1"/>
    <row r="7383" s="65" customFormat="1"/>
    <row r="7384" s="65" customFormat="1"/>
    <row r="7385" s="65" customFormat="1"/>
    <row r="7386" s="65" customFormat="1"/>
    <row r="7387" s="65" customFormat="1"/>
    <row r="7388" s="65" customFormat="1"/>
    <row r="7389" s="65" customFormat="1"/>
    <row r="7390" s="65" customFormat="1"/>
    <row r="7391" s="65" customFormat="1"/>
    <row r="7392" s="65" customFormat="1"/>
    <row r="7393" s="65" customFormat="1"/>
    <row r="7394" s="65" customFormat="1"/>
    <row r="7395" s="65" customFormat="1"/>
    <row r="7396" s="65" customFormat="1"/>
    <row r="7397" s="65" customFormat="1"/>
    <row r="7398" s="65" customFormat="1"/>
    <row r="7399" s="65" customFormat="1"/>
    <row r="7400" s="65" customFormat="1"/>
    <row r="7401" s="65" customFormat="1"/>
    <row r="7402" s="65" customFormat="1"/>
    <row r="7403" s="65" customFormat="1"/>
    <row r="7404" s="65" customFormat="1"/>
    <row r="7405" s="65" customFormat="1"/>
    <row r="7406" s="65" customFormat="1"/>
    <row r="7407" s="65" customFormat="1"/>
    <row r="7408" s="65" customFormat="1"/>
    <row r="7409" s="65" customFormat="1"/>
    <row r="7410" s="65" customFormat="1"/>
    <row r="7411" s="65" customFormat="1"/>
    <row r="7412" s="65" customFormat="1"/>
    <row r="7413" s="65" customFormat="1"/>
    <row r="7414" s="65" customFormat="1"/>
    <row r="7415" s="65" customFormat="1"/>
    <row r="7416" s="65" customFormat="1"/>
    <row r="7417" s="65" customFormat="1"/>
    <row r="7418" s="65" customFormat="1"/>
    <row r="7419" s="65" customFormat="1"/>
    <row r="7420" s="65" customFormat="1"/>
    <row r="7421" s="65" customFormat="1"/>
    <row r="7422" s="65" customFormat="1"/>
    <row r="7423" s="65" customFormat="1"/>
    <row r="7424" s="65" customFormat="1"/>
    <row r="7425" s="65" customFormat="1"/>
    <row r="7426" s="65" customFormat="1"/>
    <row r="7427" s="65" customFormat="1"/>
    <row r="7428" s="65" customFormat="1"/>
    <row r="7429" s="65" customFormat="1"/>
    <row r="7430" s="65" customFormat="1"/>
    <row r="7431" s="65" customFormat="1"/>
    <row r="7432" s="65" customFormat="1"/>
    <row r="7433" s="65" customFormat="1"/>
    <row r="7434" s="65" customFormat="1"/>
    <row r="7435" s="65" customFormat="1"/>
    <row r="7436" s="65" customFormat="1"/>
    <row r="7437" s="65" customFormat="1"/>
    <row r="7438" s="65" customFormat="1"/>
    <row r="7439" s="65" customFormat="1"/>
    <row r="7440" s="65" customFormat="1"/>
    <row r="7441" s="65" customFormat="1"/>
    <row r="7442" s="65" customFormat="1"/>
    <row r="7443" s="65" customFormat="1"/>
    <row r="7444" s="65" customFormat="1"/>
    <row r="7445" s="65" customFormat="1"/>
    <row r="7446" s="65" customFormat="1"/>
    <row r="7447" s="65" customFormat="1"/>
    <row r="7448" s="65" customFormat="1"/>
    <row r="7449" s="65" customFormat="1"/>
    <row r="7450" s="65" customFormat="1"/>
    <row r="7451" s="65" customFormat="1"/>
    <row r="7452" s="65" customFormat="1"/>
    <row r="7453" s="65" customFormat="1"/>
    <row r="7454" s="65" customFormat="1"/>
    <row r="7455" s="65" customFormat="1"/>
    <row r="7456" s="65" customFormat="1"/>
    <row r="7457" s="65" customFormat="1"/>
    <row r="7458" s="65" customFormat="1"/>
    <row r="7459" s="65" customFormat="1"/>
    <row r="7460" s="65" customFormat="1"/>
    <row r="7461" s="65" customFormat="1"/>
    <row r="7462" s="65" customFormat="1"/>
    <row r="7463" s="65" customFormat="1"/>
    <row r="7464" s="65" customFormat="1"/>
    <row r="7465" s="65" customFormat="1"/>
    <row r="7466" s="65" customFormat="1"/>
    <row r="7467" s="65" customFormat="1"/>
    <row r="7468" s="65" customFormat="1"/>
    <row r="7469" s="65" customFormat="1"/>
    <row r="7470" s="65" customFormat="1"/>
    <row r="7471" s="65" customFormat="1"/>
    <row r="7472" s="65" customFormat="1"/>
    <row r="7473" s="65" customFormat="1"/>
    <row r="7474" s="65" customFormat="1"/>
    <row r="7475" s="65" customFormat="1"/>
    <row r="7476" s="65" customFormat="1"/>
    <row r="7477" s="65" customFormat="1"/>
    <row r="7478" s="65" customFormat="1"/>
    <row r="7479" s="65" customFormat="1"/>
    <row r="7480" s="65" customFormat="1"/>
    <row r="7481" s="65" customFormat="1"/>
    <row r="7482" s="65" customFormat="1"/>
    <row r="7483" s="65" customFormat="1"/>
    <row r="7484" s="65" customFormat="1"/>
    <row r="7485" s="65" customFormat="1"/>
    <row r="7486" s="65" customFormat="1"/>
    <row r="7487" s="65" customFormat="1"/>
    <row r="7488" s="65" customFormat="1"/>
    <row r="7489" s="65" customFormat="1"/>
    <row r="7490" s="65" customFormat="1"/>
    <row r="7491" s="65" customFormat="1"/>
    <row r="7492" s="65" customFormat="1"/>
    <row r="7493" s="65" customFormat="1"/>
    <row r="7494" s="65" customFormat="1"/>
    <row r="7495" s="65" customFormat="1"/>
    <row r="7496" s="65" customFormat="1"/>
    <row r="7497" s="65" customFormat="1"/>
    <row r="7498" s="65" customFormat="1"/>
    <row r="7499" s="65" customFormat="1"/>
    <row r="7500" s="65" customFormat="1"/>
    <row r="7501" s="65" customFormat="1"/>
    <row r="7502" s="65" customFormat="1"/>
    <row r="7503" s="65" customFormat="1"/>
    <row r="7504" s="65" customFormat="1"/>
    <row r="7505" s="65" customFormat="1"/>
    <row r="7506" s="65" customFormat="1"/>
    <row r="7507" s="65" customFormat="1"/>
    <row r="7508" s="65" customFormat="1"/>
    <row r="7509" s="65" customFormat="1"/>
    <row r="7510" s="65" customFormat="1"/>
    <row r="7511" s="65" customFormat="1"/>
    <row r="7512" s="65" customFormat="1"/>
    <row r="7513" s="65" customFormat="1"/>
    <row r="7514" s="65" customFormat="1"/>
    <row r="7515" s="65" customFormat="1"/>
    <row r="7516" s="65" customFormat="1"/>
    <row r="7517" s="65" customFormat="1"/>
    <row r="7518" s="65" customFormat="1"/>
    <row r="7519" s="65" customFormat="1"/>
    <row r="7520" s="65" customFormat="1"/>
    <row r="7521" s="65" customFormat="1"/>
    <row r="7522" s="65" customFormat="1"/>
    <row r="7523" s="65" customFormat="1"/>
    <row r="7524" s="65" customFormat="1"/>
    <row r="7525" s="65" customFormat="1"/>
    <row r="7526" s="65" customFormat="1"/>
    <row r="7527" s="65" customFormat="1"/>
    <row r="7528" s="65" customFormat="1"/>
    <row r="7529" s="65" customFormat="1"/>
    <row r="7530" s="65" customFormat="1"/>
    <row r="7531" s="65" customFormat="1"/>
    <row r="7532" s="65" customFormat="1"/>
    <row r="7533" s="65" customFormat="1"/>
    <row r="7534" s="65" customFormat="1"/>
    <row r="7535" s="65" customFormat="1"/>
    <row r="7536" s="65" customFormat="1"/>
    <row r="7537" s="65" customFormat="1"/>
    <row r="7538" s="65" customFormat="1"/>
    <row r="7539" s="65" customFormat="1"/>
    <row r="7540" s="65" customFormat="1"/>
    <row r="7541" s="65" customFormat="1"/>
    <row r="7542" s="65" customFormat="1"/>
    <row r="7543" s="65" customFormat="1"/>
    <row r="7544" s="65" customFormat="1"/>
    <row r="7545" s="65" customFormat="1"/>
    <row r="7546" s="65" customFormat="1"/>
    <row r="7547" s="65" customFormat="1"/>
    <row r="7548" s="65" customFormat="1"/>
    <row r="7549" s="65" customFormat="1"/>
    <row r="7550" s="65" customFormat="1"/>
    <row r="7551" s="65" customFormat="1"/>
    <row r="7552" s="65" customFormat="1"/>
    <row r="7553" s="65" customFormat="1"/>
    <row r="7554" s="65" customFormat="1"/>
    <row r="7555" s="65" customFormat="1"/>
    <row r="7556" s="65" customFormat="1"/>
    <row r="7557" s="65" customFormat="1"/>
    <row r="7558" s="65" customFormat="1"/>
    <row r="7559" s="65" customFormat="1"/>
    <row r="7560" s="65" customFormat="1"/>
    <row r="7561" s="65" customFormat="1"/>
    <row r="7562" s="65" customFormat="1"/>
    <row r="7563" s="65" customFormat="1"/>
    <row r="7564" s="65" customFormat="1"/>
    <row r="7565" s="65" customFormat="1"/>
    <row r="7566" s="65" customFormat="1"/>
    <row r="7567" s="65" customFormat="1"/>
    <row r="7568" s="65" customFormat="1"/>
    <row r="7569" s="65" customFormat="1"/>
    <row r="7570" s="65" customFormat="1"/>
    <row r="7571" s="65" customFormat="1"/>
    <row r="7572" s="65" customFormat="1"/>
    <row r="7573" s="65" customFormat="1"/>
    <row r="7574" s="65" customFormat="1"/>
    <row r="7575" s="65" customFormat="1"/>
    <row r="7576" s="65" customFormat="1"/>
    <row r="7577" s="65" customFormat="1"/>
    <row r="7578" s="65" customFormat="1"/>
    <row r="7579" s="65" customFormat="1"/>
    <row r="7580" s="65" customFormat="1"/>
    <row r="7581" s="65" customFormat="1"/>
    <row r="7582" s="65" customFormat="1"/>
    <row r="7583" s="65" customFormat="1"/>
    <row r="7584" s="65" customFormat="1"/>
    <row r="7585" s="65" customFormat="1"/>
    <row r="7586" s="65" customFormat="1"/>
    <row r="7587" s="65" customFormat="1"/>
    <row r="7588" s="65" customFormat="1"/>
    <row r="7589" s="65" customFormat="1"/>
    <row r="7590" s="65" customFormat="1"/>
    <row r="7591" s="65" customFormat="1"/>
    <row r="7592" s="65" customFormat="1"/>
    <row r="7593" s="65" customFormat="1"/>
    <row r="7594" s="65" customFormat="1"/>
    <row r="7595" s="65" customFormat="1"/>
    <row r="7596" s="65" customFormat="1"/>
    <row r="7597" s="65" customFormat="1"/>
    <row r="7598" s="65" customFormat="1"/>
    <row r="7599" s="65" customFormat="1"/>
    <row r="7600" s="65" customFormat="1"/>
    <row r="7601" s="65" customFormat="1"/>
    <row r="7602" s="65" customFormat="1"/>
    <row r="7603" s="65" customFormat="1"/>
    <row r="7604" s="65" customFormat="1"/>
    <row r="7605" s="65" customFormat="1"/>
    <row r="7606" s="65" customFormat="1"/>
    <row r="7607" s="65" customFormat="1"/>
    <row r="7608" s="65" customFormat="1"/>
    <row r="7609" s="65" customFormat="1"/>
    <row r="7610" s="65" customFormat="1"/>
    <row r="7611" s="65" customFormat="1"/>
    <row r="7612" s="65" customFormat="1"/>
    <row r="7613" s="65" customFormat="1"/>
    <row r="7614" s="65" customFormat="1"/>
    <row r="7615" s="65" customFormat="1"/>
    <row r="7616" s="65" customFormat="1"/>
    <row r="7617" s="65" customFormat="1"/>
    <row r="7618" s="65" customFormat="1"/>
    <row r="7619" s="65" customFormat="1"/>
    <row r="7620" s="65" customFormat="1"/>
    <row r="7621" s="65" customFormat="1"/>
    <row r="7622" s="65" customFormat="1"/>
    <row r="7623" s="65" customFormat="1"/>
    <row r="7624" s="65" customFormat="1"/>
    <row r="7625" s="65" customFormat="1"/>
    <row r="7626" s="65" customFormat="1"/>
    <row r="7627" s="65" customFormat="1"/>
    <row r="7628" s="65" customFormat="1"/>
    <row r="7629" s="65" customFormat="1"/>
    <row r="7630" s="65" customFormat="1"/>
    <row r="7631" s="65" customFormat="1"/>
    <row r="7632" s="65" customFormat="1"/>
    <row r="7633" s="65" customFormat="1"/>
    <row r="7634" s="65" customFormat="1"/>
    <row r="7635" s="65" customFormat="1"/>
    <row r="7636" s="65" customFormat="1"/>
    <row r="7637" s="65" customFormat="1"/>
    <row r="7638" s="65" customFormat="1"/>
    <row r="7639" s="65" customFormat="1"/>
    <row r="7640" s="65" customFormat="1"/>
    <row r="7641" s="65" customFormat="1"/>
    <row r="7642" s="65" customFormat="1"/>
    <row r="7643" s="65" customFormat="1"/>
    <row r="7644" s="65" customFormat="1"/>
    <row r="7645" s="65" customFormat="1"/>
    <row r="7646" s="65" customFormat="1"/>
    <row r="7647" s="65" customFormat="1"/>
    <row r="7648" s="65" customFormat="1"/>
    <row r="7649" s="65" customFormat="1"/>
    <row r="7650" s="65" customFormat="1"/>
    <row r="7651" s="65" customFormat="1"/>
    <row r="7652" s="65" customFormat="1"/>
    <row r="7653" s="65" customFormat="1"/>
    <row r="7654" s="65" customFormat="1"/>
    <row r="7655" s="65" customFormat="1"/>
    <row r="7656" s="65" customFormat="1"/>
    <row r="7657" s="65" customFormat="1"/>
    <row r="7658" s="65" customFormat="1"/>
    <row r="7659" s="65" customFormat="1"/>
    <row r="7660" s="65" customFormat="1"/>
    <row r="7661" s="65" customFormat="1"/>
    <row r="7662" s="65" customFormat="1"/>
    <row r="7663" s="65" customFormat="1"/>
    <row r="7664" s="65" customFormat="1"/>
    <row r="7665" s="65" customFormat="1"/>
    <row r="7666" s="65" customFormat="1"/>
    <row r="7667" s="65" customFormat="1"/>
    <row r="7668" s="65" customFormat="1"/>
    <row r="7669" s="65" customFormat="1"/>
    <row r="7670" s="65" customFormat="1"/>
    <row r="7671" s="65" customFormat="1"/>
    <row r="7672" s="65" customFormat="1"/>
    <row r="7673" s="65" customFormat="1"/>
    <row r="7674" s="65" customFormat="1"/>
    <row r="7675" s="65" customFormat="1"/>
    <row r="7676" s="65" customFormat="1"/>
    <row r="7677" s="65" customFormat="1"/>
    <row r="7678" s="65" customFormat="1"/>
    <row r="7679" s="65" customFormat="1"/>
    <row r="7680" s="65" customFormat="1"/>
    <row r="7681" s="65" customFormat="1"/>
    <row r="7682" s="65" customFormat="1"/>
    <row r="7683" s="65" customFormat="1"/>
    <row r="7684" s="65" customFormat="1"/>
    <row r="7685" s="65" customFormat="1"/>
    <row r="7686" s="65" customFormat="1"/>
    <row r="7687" s="65" customFormat="1"/>
    <row r="7688" s="65" customFormat="1"/>
    <row r="7689" s="65" customFormat="1"/>
    <row r="7690" s="65" customFormat="1"/>
    <row r="7691" s="65" customFormat="1"/>
    <row r="7692" s="65" customFormat="1"/>
    <row r="7693" s="65" customFormat="1"/>
    <row r="7694" s="65" customFormat="1"/>
    <row r="7695" s="65" customFormat="1"/>
    <row r="7696" s="65" customFormat="1"/>
    <row r="7697" s="65" customFormat="1"/>
    <row r="7698" s="65" customFormat="1"/>
    <row r="7699" s="65" customFormat="1"/>
    <row r="7700" s="65" customFormat="1"/>
    <row r="7701" s="65" customFormat="1"/>
    <row r="7702" s="65" customFormat="1"/>
    <row r="7703" s="65" customFormat="1"/>
    <row r="7704" s="65" customFormat="1"/>
    <row r="7705" s="65" customFormat="1"/>
    <row r="7706" s="65" customFormat="1"/>
    <row r="7707" s="65" customFormat="1"/>
    <row r="7708" s="65" customFormat="1"/>
    <row r="7709" s="65" customFormat="1"/>
    <row r="7710" s="65" customFormat="1"/>
    <row r="7711" s="65" customFormat="1"/>
    <row r="7712" s="65" customFormat="1"/>
    <row r="7713" s="65" customFormat="1"/>
    <row r="7714" s="65" customFormat="1"/>
    <row r="7715" s="65" customFormat="1"/>
    <row r="7716" s="65" customFormat="1"/>
    <row r="7717" s="65" customFormat="1"/>
    <row r="7718" s="65" customFormat="1"/>
    <row r="7719" s="65" customFormat="1"/>
    <row r="7720" s="65" customFormat="1"/>
    <row r="7721" s="65" customFormat="1"/>
    <row r="7722" s="65" customFormat="1"/>
    <row r="7723" s="65" customFormat="1"/>
    <row r="7724" s="65" customFormat="1"/>
    <row r="7725" s="65" customFormat="1"/>
    <row r="7726" s="65" customFormat="1"/>
    <row r="7727" s="65" customFormat="1"/>
    <row r="7728" s="65" customFormat="1"/>
    <row r="7729" s="65" customFormat="1"/>
    <row r="7730" s="65" customFormat="1"/>
    <row r="7731" s="65" customFormat="1"/>
    <row r="7732" s="65" customFormat="1"/>
    <row r="7733" s="65" customFormat="1"/>
    <row r="7734" s="65" customFormat="1"/>
    <row r="7735" s="65" customFormat="1"/>
    <row r="7736" s="65" customFormat="1"/>
    <row r="7737" s="65" customFormat="1"/>
    <row r="7738" s="65" customFormat="1"/>
    <row r="7739" s="65" customFormat="1"/>
    <row r="7740" s="65" customFormat="1"/>
    <row r="7741" s="65" customFormat="1"/>
    <row r="7742" s="65" customFormat="1"/>
    <row r="7743" s="65" customFormat="1"/>
    <row r="7744" s="65" customFormat="1"/>
    <row r="7745" s="65" customFormat="1"/>
    <row r="7746" s="65" customFormat="1"/>
    <row r="7747" s="65" customFormat="1"/>
    <row r="7748" s="65" customFormat="1"/>
    <row r="7749" s="65" customFormat="1"/>
    <row r="7750" s="65" customFormat="1"/>
    <row r="7751" s="65" customFormat="1"/>
    <row r="7752" s="65" customFormat="1"/>
    <row r="7753" s="65" customFormat="1"/>
    <row r="7754" s="65" customFormat="1"/>
    <row r="7755" s="65" customFormat="1"/>
    <row r="7756" s="65" customFormat="1"/>
    <row r="7757" s="65" customFormat="1"/>
    <row r="7758" s="65" customFormat="1"/>
    <row r="7759" s="65" customFormat="1"/>
    <row r="7760" s="65" customFormat="1"/>
    <row r="7761" s="65" customFormat="1"/>
    <row r="7762" s="65" customFormat="1"/>
    <row r="7763" s="65" customFormat="1"/>
    <row r="7764" s="65" customFormat="1"/>
    <row r="7765" s="65" customFormat="1"/>
    <row r="7766" s="65" customFormat="1"/>
    <row r="7767" s="65" customFormat="1"/>
    <row r="7768" s="65" customFormat="1"/>
    <row r="7769" s="65" customFormat="1"/>
    <row r="7770" s="65" customFormat="1"/>
    <row r="7771" s="65" customFormat="1"/>
    <row r="7772" s="65" customFormat="1"/>
    <row r="7773" s="65" customFormat="1"/>
    <row r="7774" s="65" customFormat="1"/>
    <row r="7775" s="65" customFormat="1"/>
    <row r="7776" s="65" customFormat="1"/>
    <row r="7777" s="65" customFormat="1"/>
    <row r="7778" s="65" customFormat="1"/>
    <row r="7779" s="65" customFormat="1"/>
    <row r="7780" s="65" customFormat="1"/>
    <row r="7781" s="65" customFormat="1"/>
    <row r="7782" s="65" customFormat="1"/>
    <row r="7783" s="65" customFormat="1"/>
    <row r="7784" s="65" customFormat="1"/>
    <row r="7785" s="65" customFormat="1"/>
    <row r="7786" s="65" customFormat="1"/>
    <row r="7787" s="65" customFormat="1"/>
    <row r="7788" s="65" customFormat="1"/>
    <row r="7789" s="65" customFormat="1"/>
    <row r="7790" s="65" customFormat="1"/>
    <row r="7791" s="65" customFormat="1"/>
    <row r="7792" s="65" customFormat="1"/>
    <row r="7793" s="65" customFormat="1"/>
    <row r="7794" s="65" customFormat="1"/>
    <row r="7795" s="65" customFormat="1"/>
    <row r="7796" s="65" customFormat="1"/>
    <row r="7797" s="65" customFormat="1"/>
    <row r="7798" s="65" customFormat="1"/>
    <row r="7799" s="65" customFormat="1"/>
    <row r="7800" s="65" customFormat="1"/>
    <row r="7801" s="65" customFormat="1"/>
    <row r="7802" s="65" customFormat="1"/>
    <row r="7803" s="65" customFormat="1"/>
    <row r="7804" s="65" customFormat="1"/>
    <row r="7805" s="65" customFormat="1"/>
    <row r="7806" s="65" customFormat="1"/>
    <row r="7807" s="65" customFormat="1"/>
    <row r="7808" s="65" customFormat="1"/>
    <row r="7809" s="65" customFormat="1"/>
    <row r="7810" s="65" customFormat="1"/>
    <row r="7811" s="65" customFormat="1"/>
    <row r="7812" s="65" customFormat="1"/>
    <row r="7813" s="65" customFormat="1"/>
    <row r="7814" s="65" customFormat="1"/>
    <row r="7815" s="65" customFormat="1"/>
    <row r="7816" s="65" customFormat="1"/>
    <row r="7817" s="65" customFormat="1"/>
    <row r="7818" s="65" customFormat="1"/>
    <row r="7819" s="65" customFormat="1"/>
    <row r="7820" s="65" customFormat="1"/>
    <row r="7821" s="65" customFormat="1"/>
    <row r="7822" s="65" customFormat="1"/>
    <row r="7823" s="65" customFormat="1"/>
    <row r="7824" s="65" customFormat="1"/>
    <row r="7825" s="65" customFormat="1"/>
    <row r="7826" s="65" customFormat="1"/>
    <row r="7827" s="65" customFormat="1"/>
    <row r="7828" s="65" customFormat="1"/>
    <row r="7829" s="65" customFormat="1"/>
    <row r="7830" s="65" customFormat="1"/>
    <row r="7831" s="65" customFormat="1"/>
    <row r="7832" s="65" customFormat="1"/>
    <row r="7833" s="65" customFormat="1"/>
    <row r="7834" s="65" customFormat="1"/>
    <row r="7835" s="65" customFormat="1"/>
    <row r="7836" s="65" customFormat="1"/>
    <row r="7837" s="65" customFormat="1"/>
    <row r="7838" s="65" customFormat="1"/>
    <row r="7839" s="65" customFormat="1"/>
    <row r="7840" s="65" customFormat="1"/>
    <row r="7841" s="65" customFormat="1"/>
    <row r="7842" s="65" customFormat="1"/>
    <row r="7843" s="65" customFormat="1"/>
    <row r="7844" s="65" customFormat="1"/>
    <row r="7845" s="65" customFormat="1"/>
    <row r="7846" s="65" customFormat="1"/>
    <row r="7847" s="65" customFormat="1"/>
    <row r="7848" s="65" customFormat="1"/>
    <row r="7849" s="65" customFormat="1"/>
    <row r="7850" s="65" customFormat="1"/>
    <row r="7851" s="65" customFormat="1"/>
    <row r="7852" s="65" customFormat="1"/>
    <row r="7853" s="65" customFormat="1"/>
    <row r="7854" s="65" customFormat="1"/>
    <row r="7855" s="65" customFormat="1"/>
    <row r="7856" s="65" customFormat="1"/>
    <row r="7857" s="65" customFormat="1"/>
    <row r="7858" s="65" customFormat="1"/>
    <row r="7859" s="65" customFormat="1"/>
    <row r="7860" s="65" customFormat="1"/>
    <row r="7861" s="65" customFormat="1"/>
    <row r="7862" s="65" customFormat="1"/>
    <row r="7863" s="65" customFormat="1"/>
    <row r="7864" s="65" customFormat="1"/>
    <row r="7865" s="65" customFormat="1"/>
    <row r="7866" s="65" customFormat="1"/>
    <row r="7867" s="65" customFormat="1"/>
    <row r="7868" s="65" customFormat="1"/>
    <row r="7869" s="65" customFormat="1"/>
    <row r="7870" s="65" customFormat="1"/>
    <row r="7871" s="65" customFormat="1"/>
    <row r="7872" s="65" customFormat="1"/>
    <row r="7873" s="65" customFormat="1"/>
    <row r="7874" s="65" customFormat="1"/>
    <row r="7875" s="65" customFormat="1"/>
    <row r="7876" s="65" customFormat="1"/>
    <row r="7877" s="65" customFormat="1"/>
    <row r="7878" s="65" customFormat="1"/>
    <row r="7879" s="65" customFormat="1"/>
    <row r="7880" s="65" customFormat="1"/>
    <row r="7881" s="65" customFormat="1"/>
    <row r="7882" s="65" customFormat="1"/>
    <row r="7883" s="65" customFormat="1"/>
    <row r="7884" s="65" customFormat="1"/>
    <row r="7885" s="65" customFormat="1"/>
    <row r="7886" s="65" customFormat="1"/>
    <row r="7887" s="65" customFormat="1"/>
    <row r="7888" s="65" customFormat="1"/>
    <row r="7889" s="65" customFormat="1"/>
    <row r="7890" s="65" customFormat="1"/>
    <row r="7891" s="65" customFormat="1"/>
    <row r="7892" s="65" customFormat="1"/>
    <row r="7893" s="65" customFormat="1"/>
    <row r="7894" s="65" customFormat="1"/>
    <row r="7895" s="65" customFormat="1"/>
    <row r="7896" s="65" customFormat="1"/>
    <row r="7897" s="65" customFormat="1"/>
    <row r="7898" s="65" customFormat="1"/>
    <row r="7899" s="65" customFormat="1"/>
    <row r="7900" s="65" customFormat="1"/>
    <row r="7901" s="65" customFormat="1"/>
    <row r="7902" s="65" customFormat="1"/>
    <row r="7903" s="65" customFormat="1"/>
    <row r="7904" s="65" customFormat="1"/>
    <row r="7905" s="65" customFormat="1"/>
    <row r="7906" s="65" customFormat="1"/>
    <row r="7907" s="65" customFormat="1"/>
    <row r="7908" s="65" customFormat="1"/>
    <row r="7909" s="65" customFormat="1"/>
    <row r="7910" s="65" customFormat="1"/>
    <row r="7911" s="65" customFormat="1"/>
    <row r="7912" s="65" customFormat="1"/>
    <row r="7913" s="65" customFormat="1"/>
    <row r="7914" s="65" customFormat="1"/>
    <row r="7915" s="65" customFormat="1"/>
    <row r="7916" s="65" customFormat="1"/>
    <row r="7917" s="65" customFormat="1"/>
    <row r="7918" s="65" customFormat="1"/>
    <row r="7919" s="65" customFormat="1"/>
    <row r="7920" s="65" customFormat="1"/>
    <row r="7921" s="65" customFormat="1"/>
    <row r="7922" s="65" customFormat="1"/>
    <row r="7923" s="65" customFormat="1"/>
    <row r="7924" s="65" customFormat="1"/>
    <row r="7925" s="65" customFormat="1"/>
    <row r="7926" s="65" customFormat="1"/>
    <row r="7927" s="65" customFormat="1"/>
    <row r="7928" s="65" customFormat="1"/>
    <row r="7929" s="65" customFormat="1"/>
    <row r="7930" s="65" customFormat="1"/>
    <row r="7931" s="65" customFormat="1"/>
    <row r="7932" s="65" customFormat="1"/>
    <row r="7933" s="65" customFormat="1"/>
    <row r="7934" s="65" customFormat="1"/>
    <row r="7935" s="65" customFormat="1"/>
    <row r="7936" s="65" customFormat="1"/>
    <row r="7937" s="65" customFormat="1"/>
    <row r="7938" s="65" customFormat="1"/>
    <row r="7939" s="65" customFormat="1"/>
    <row r="7940" s="65" customFormat="1"/>
    <row r="7941" s="65" customFormat="1"/>
    <row r="7942" s="65" customFormat="1"/>
    <row r="7943" s="65" customFormat="1"/>
    <row r="7944" s="65" customFormat="1"/>
    <row r="7945" s="65" customFormat="1"/>
    <row r="7946" s="65" customFormat="1"/>
    <row r="7947" s="65" customFormat="1"/>
    <row r="7948" s="65" customFormat="1"/>
    <row r="7949" s="65" customFormat="1"/>
    <row r="7950" s="65" customFormat="1"/>
    <row r="7951" s="65" customFormat="1"/>
    <row r="7952" s="65" customFormat="1"/>
    <row r="7953" s="65" customFormat="1"/>
    <row r="7954" s="65" customFormat="1"/>
    <row r="7955" s="65" customFormat="1"/>
    <row r="7956" s="65" customFormat="1"/>
    <row r="7957" s="65" customFormat="1"/>
    <row r="7958" s="65" customFormat="1"/>
    <row r="7959" s="65" customFormat="1"/>
    <row r="7960" s="65" customFormat="1"/>
    <row r="7961" s="65" customFormat="1"/>
    <row r="7962" s="65" customFormat="1"/>
    <row r="7963" s="65" customFormat="1"/>
    <row r="7964" s="65" customFormat="1"/>
    <row r="7965" s="65" customFormat="1"/>
    <row r="7966" s="65" customFormat="1"/>
    <row r="7967" s="65" customFormat="1"/>
    <row r="7968" s="65" customFormat="1"/>
    <row r="7969" s="65" customFormat="1"/>
    <row r="7970" s="65" customFormat="1"/>
    <row r="7971" s="65" customFormat="1"/>
    <row r="7972" s="65" customFormat="1"/>
    <row r="7973" s="65" customFormat="1"/>
    <row r="7974" s="65" customFormat="1"/>
    <row r="7975" s="65" customFormat="1"/>
    <row r="7976" s="65" customFormat="1"/>
    <row r="7977" s="65" customFormat="1"/>
    <row r="7978" s="65" customFormat="1"/>
    <row r="7979" s="65" customFormat="1"/>
    <row r="7980" s="65" customFormat="1"/>
    <row r="7981" s="65" customFormat="1"/>
    <row r="7982" s="65" customFormat="1"/>
    <row r="7983" s="65" customFormat="1"/>
    <row r="7984" s="65" customFormat="1"/>
    <row r="7985" s="65" customFormat="1"/>
    <row r="7986" s="65" customFormat="1"/>
    <row r="7987" s="65" customFormat="1"/>
    <row r="7988" s="65" customFormat="1"/>
    <row r="7989" s="65" customFormat="1"/>
    <row r="7990" s="65" customFormat="1"/>
    <row r="7991" s="65" customFormat="1"/>
    <row r="7992" s="65" customFormat="1"/>
    <row r="7993" s="65" customFormat="1"/>
    <row r="7994" s="65" customFormat="1"/>
    <row r="7995" s="65" customFormat="1"/>
    <row r="7996" s="65" customFormat="1"/>
    <row r="7997" s="65" customFormat="1"/>
    <row r="7998" s="65" customFormat="1"/>
    <row r="7999" s="65" customFormat="1"/>
    <row r="8000" s="65" customFormat="1"/>
    <row r="8001" s="65" customFormat="1"/>
    <row r="8002" s="65" customFormat="1"/>
    <row r="8003" s="65" customFormat="1"/>
    <row r="8004" s="65" customFormat="1"/>
    <row r="8005" s="65" customFormat="1"/>
    <row r="8006" s="65" customFormat="1"/>
    <row r="8007" s="65" customFormat="1"/>
    <row r="8008" s="65" customFormat="1"/>
    <row r="8009" s="65" customFormat="1"/>
    <row r="8010" s="65" customFormat="1"/>
    <row r="8011" s="65" customFormat="1"/>
    <row r="8012" s="65" customFormat="1"/>
    <row r="8013" s="65" customFormat="1"/>
    <row r="8014" s="65" customFormat="1"/>
    <row r="8015" s="65" customFormat="1"/>
    <row r="8016" s="65" customFormat="1"/>
    <row r="8017" s="65" customFormat="1"/>
    <row r="8018" s="65" customFormat="1"/>
    <row r="8019" s="65" customFormat="1"/>
    <row r="8020" s="65" customFormat="1"/>
    <row r="8021" s="65" customFormat="1"/>
    <row r="8022" s="65" customFormat="1"/>
    <row r="8023" s="65" customFormat="1"/>
    <row r="8024" s="65" customFormat="1"/>
    <row r="8025" s="65" customFormat="1"/>
    <row r="8026" s="65" customFormat="1"/>
    <row r="8027" s="65" customFormat="1"/>
    <row r="8028" s="65" customFormat="1"/>
    <row r="8029" s="65" customFormat="1"/>
    <row r="8030" s="65" customFormat="1"/>
    <row r="8031" s="65" customFormat="1"/>
    <row r="8032" s="65" customFormat="1"/>
    <row r="8033" s="65" customFormat="1"/>
    <row r="8034" s="65" customFormat="1"/>
    <row r="8035" s="65" customFormat="1"/>
    <row r="8036" s="65" customFormat="1"/>
    <row r="8037" s="65" customFormat="1"/>
    <row r="8038" s="65" customFormat="1"/>
    <row r="8039" s="65" customFormat="1"/>
    <row r="8040" s="65" customFormat="1"/>
    <row r="8041" s="65" customFormat="1"/>
    <row r="8042" s="65" customFormat="1"/>
    <row r="8043" s="65" customFormat="1"/>
    <row r="8044" s="65" customFormat="1"/>
    <row r="8045" s="65" customFormat="1"/>
    <row r="8046" s="65" customFormat="1"/>
    <row r="8047" s="65" customFormat="1"/>
    <row r="8048" s="65" customFormat="1"/>
    <row r="8049" s="65" customFormat="1"/>
    <row r="8050" s="65" customFormat="1"/>
    <row r="8051" s="65" customFormat="1"/>
    <row r="8052" s="65" customFormat="1"/>
    <row r="8053" s="65" customFormat="1"/>
    <row r="8054" s="65" customFormat="1"/>
    <row r="8055" s="65" customFormat="1"/>
    <row r="8056" s="65" customFormat="1"/>
    <row r="8057" s="65" customFormat="1"/>
    <row r="8058" s="65" customFormat="1"/>
    <row r="8059" s="65" customFormat="1"/>
    <row r="8060" s="65" customFormat="1"/>
    <row r="8061" s="65" customFormat="1"/>
    <row r="8062" s="65" customFormat="1"/>
    <row r="8063" s="65" customFormat="1"/>
    <row r="8064" s="65" customFormat="1"/>
    <row r="8065" s="65" customFormat="1"/>
    <row r="8066" s="65" customFormat="1"/>
    <row r="8067" s="65" customFormat="1"/>
    <row r="8068" s="65" customFormat="1"/>
    <row r="8069" s="65" customFormat="1"/>
    <row r="8070" s="65" customFormat="1"/>
    <row r="8071" s="65" customFormat="1"/>
    <row r="8072" s="65" customFormat="1"/>
    <row r="8073" s="65" customFormat="1"/>
    <row r="8074" s="65" customFormat="1"/>
    <row r="8075" s="65" customFormat="1"/>
    <row r="8076" s="65" customFormat="1"/>
    <row r="8077" s="65" customFormat="1"/>
    <row r="8078" s="65" customFormat="1"/>
    <row r="8079" s="65" customFormat="1"/>
    <row r="8080" s="65" customFormat="1"/>
    <row r="8081" s="65" customFormat="1"/>
    <row r="8082" s="65" customFormat="1"/>
    <row r="8083" s="65" customFormat="1"/>
    <row r="8084" s="65" customFormat="1"/>
    <row r="8085" s="65" customFormat="1"/>
    <row r="8086" s="65" customFormat="1"/>
    <row r="8087" s="65" customFormat="1"/>
    <row r="8088" s="65" customFormat="1"/>
    <row r="8089" s="65" customFormat="1"/>
    <row r="8090" s="65" customFormat="1"/>
    <row r="8091" s="65" customFormat="1"/>
    <row r="8092" s="65" customFormat="1"/>
    <row r="8093" s="65" customFormat="1"/>
    <row r="8094" s="65" customFormat="1"/>
    <row r="8095" s="65" customFormat="1"/>
    <row r="8096" s="65" customFormat="1"/>
    <row r="8097" s="65" customFormat="1"/>
    <row r="8098" s="65" customFormat="1"/>
    <row r="8099" s="65" customFormat="1"/>
    <row r="8100" s="65" customFormat="1"/>
    <row r="8101" s="65" customFormat="1"/>
    <row r="8102" s="65" customFormat="1"/>
    <row r="8103" s="65" customFormat="1"/>
    <row r="8104" s="65" customFormat="1"/>
    <row r="8105" s="65" customFormat="1"/>
    <row r="8106" s="65" customFormat="1"/>
    <row r="8107" s="65" customFormat="1"/>
    <row r="8108" s="65" customFormat="1"/>
    <row r="8109" s="65" customFormat="1"/>
    <row r="8110" s="65" customFormat="1"/>
    <row r="8111" s="65" customFormat="1"/>
    <row r="8112" s="65" customFormat="1"/>
    <row r="8113" s="65" customFormat="1"/>
    <row r="8114" s="65" customFormat="1"/>
    <row r="8115" s="65" customFormat="1"/>
    <row r="8116" s="65" customFormat="1"/>
    <row r="8117" s="65" customFormat="1"/>
    <row r="8118" s="65" customFormat="1"/>
    <row r="8119" s="65" customFormat="1"/>
    <row r="8120" s="65" customFormat="1"/>
    <row r="8121" s="65" customFormat="1"/>
    <row r="8122" s="65" customFormat="1"/>
    <row r="8123" s="65" customFormat="1"/>
    <row r="8124" s="65" customFormat="1"/>
    <row r="8125" s="65" customFormat="1"/>
    <row r="8126" s="65" customFormat="1"/>
    <row r="8127" s="65" customFormat="1"/>
    <row r="8128" s="65" customFormat="1"/>
    <row r="8129" s="65" customFormat="1"/>
    <row r="8130" s="65" customFormat="1"/>
    <row r="8131" s="65" customFormat="1"/>
    <row r="8132" s="65" customFormat="1"/>
    <row r="8133" s="65" customFormat="1"/>
    <row r="8134" s="65" customFormat="1"/>
    <row r="8135" s="65" customFormat="1"/>
    <row r="8136" s="65" customFormat="1"/>
    <row r="8137" s="65" customFormat="1"/>
    <row r="8138" s="65" customFormat="1"/>
    <row r="8139" s="65" customFormat="1"/>
    <row r="8140" s="65" customFormat="1"/>
    <row r="8141" s="65" customFormat="1"/>
    <row r="8142" s="65" customFormat="1"/>
    <row r="8143" s="65" customFormat="1"/>
    <row r="8144" s="65" customFormat="1"/>
    <row r="8145" s="65" customFormat="1"/>
    <row r="8146" s="65" customFormat="1"/>
    <row r="8147" s="65" customFormat="1"/>
    <row r="8148" s="65" customFormat="1"/>
    <row r="8149" s="65" customFormat="1"/>
    <row r="8150" s="65" customFormat="1"/>
    <row r="8151" s="65" customFormat="1"/>
    <row r="8152" s="65" customFormat="1"/>
    <row r="8153" s="65" customFormat="1"/>
    <row r="8154" s="65" customFormat="1"/>
    <row r="8155" s="65" customFormat="1"/>
    <row r="8156" s="65" customFormat="1"/>
    <row r="8157" s="65" customFormat="1"/>
    <row r="8158" s="65" customFormat="1"/>
    <row r="8159" s="65" customFormat="1"/>
    <row r="8160" s="65" customFormat="1"/>
    <row r="8161" s="65" customFormat="1"/>
    <row r="8162" s="65" customFormat="1"/>
    <row r="8163" s="65" customFormat="1"/>
    <row r="8164" s="65" customFormat="1"/>
    <row r="8165" s="65" customFormat="1"/>
    <row r="8166" s="65" customFormat="1"/>
    <row r="8167" s="65" customFormat="1"/>
    <row r="8168" s="65" customFormat="1"/>
    <row r="8169" s="65" customFormat="1"/>
    <row r="8170" s="65" customFormat="1"/>
    <row r="8171" s="65" customFormat="1"/>
    <row r="8172" s="65" customFormat="1"/>
    <row r="8173" s="65" customFormat="1"/>
    <row r="8174" s="65" customFormat="1"/>
    <row r="8175" s="65" customFormat="1"/>
    <row r="8176" s="65" customFormat="1"/>
    <row r="8177" s="65" customFormat="1"/>
    <row r="8178" s="65" customFormat="1"/>
    <row r="8179" s="65" customFormat="1"/>
    <row r="8180" s="65" customFormat="1"/>
    <row r="8181" s="65" customFormat="1"/>
    <row r="8182" s="65" customFormat="1"/>
    <row r="8183" s="65" customFormat="1"/>
    <row r="8184" s="65" customFormat="1"/>
    <row r="8185" s="65" customFormat="1"/>
    <row r="8186" s="65" customFormat="1"/>
    <row r="8187" s="65" customFormat="1"/>
    <row r="8188" s="65" customFormat="1"/>
    <row r="8189" s="65" customFormat="1"/>
    <row r="8190" s="65" customFormat="1"/>
    <row r="8191" s="65" customFormat="1"/>
    <row r="8192" s="65" customFormat="1"/>
    <row r="8193" s="65" customFormat="1"/>
    <row r="8194" s="65" customFormat="1"/>
    <row r="8195" s="65" customFormat="1"/>
    <row r="8196" s="65" customFormat="1"/>
    <row r="8197" s="65" customFormat="1"/>
    <row r="8198" s="65" customFormat="1"/>
    <row r="8199" s="65" customFormat="1"/>
    <row r="8200" s="65" customFormat="1"/>
    <row r="8201" s="65" customFormat="1"/>
    <row r="8202" s="65" customFormat="1"/>
    <row r="8203" s="65" customFormat="1"/>
    <row r="8204" s="65" customFormat="1"/>
    <row r="8205" s="65" customFormat="1"/>
    <row r="8206" s="65" customFormat="1"/>
    <row r="8207" s="65" customFormat="1"/>
    <row r="8208" s="65" customFormat="1"/>
    <row r="8209" s="65" customFormat="1"/>
    <row r="8210" s="65" customFormat="1"/>
    <row r="8211" s="65" customFormat="1"/>
    <row r="8212" s="65" customFormat="1"/>
    <row r="8213" s="65" customFormat="1"/>
    <row r="8214" s="65" customFormat="1"/>
    <row r="8215" s="65" customFormat="1"/>
    <row r="8216" s="65" customFormat="1"/>
    <row r="8217" s="65" customFormat="1"/>
    <row r="8218" s="65" customFormat="1"/>
    <row r="8219" s="65" customFormat="1"/>
    <row r="8220" s="65" customFormat="1"/>
    <row r="8221" s="65" customFormat="1"/>
    <row r="8222" s="65" customFormat="1"/>
    <row r="8223" s="65" customFormat="1"/>
    <row r="8224" s="65" customFormat="1"/>
    <row r="8225" s="65" customFormat="1"/>
    <row r="8226" s="65" customFormat="1"/>
    <row r="8227" s="65" customFormat="1"/>
    <row r="8228" s="65" customFormat="1"/>
    <row r="8229" s="65" customFormat="1"/>
    <row r="8230" s="65" customFormat="1"/>
    <row r="8231" s="65" customFormat="1"/>
    <row r="8232" s="65" customFormat="1"/>
    <row r="8233" s="65" customFormat="1"/>
    <row r="8234" s="65" customFormat="1"/>
    <row r="8235" s="65" customFormat="1"/>
    <row r="8236" s="65" customFormat="1"/>
    <row r="8237" s="65" customFormat="1"/>
    <row r="8238" s="65" customFormat="1"/>
    <row r="8239" s="65" customFormat="1"/>
    <row r="8240" s="65" customFormat="1"/>
    <row r="8241" s="65" customFormat="1"/>
    <row r="8242" s="65" customFormat="1"/>
    <row r="8243" s="65" customFormat="1"/>
    <row r="8244" s="65" customFormat="1"/>
    <row r="8245" s="65" customFormat="1"/>
    <row r="8246" s="65" customFormat="1"/>
    <row r="8247" s="65" customFormat="1"/>
    <row r="8248" s="65" customFormat="1"/>
    <row r="8249" s="65" customFormat="1"/>
    <row r="8250" s="65" customFormat="1"/>
    <row r="8251" s="65" customFormat="1"/>
    <row r="8252" s="65" customFormat="1"/>
    <row r="8253" s="65" customFormat="1"/>
    <row r="8254" s="65" customFormat="1"/>
    <row r="8255" s="65" customFormat="1"/>
    <row r="8256" s="65" customFormat="1"/>
    <row r="8257" s="65" customFormat="1"/>
    <row r="8258" s="65" customFormat="1"/>
    <row r="8259" s="65" customFormat="1"/>
    <row r="8260" s="65" customFormat="1"/>
    <row r="8261" s="65" customFormat="1"/>
    <row r="8262" s="65" customFormat="1"/>
    <row r="8263" s="65" customFormat="1"/>
    <row r="8264" s="65" customFormat="1"/>
    <row r="8265" s="65" customFormat="1"/>
    <row r="8266" s="65" customFormat="1"/>
    <row r="8267" s="65" customFormat="1"/>
    <row r="8268" s="65" customFormat="1"/>
    <row r="8269" s="65" customFormat="1"/>
    <row r="8270" s="65" customFormat="1"/>
    <row r="8271" s="65" customFormat="1"/>
    <row r="8272" s="65" customFormat="1"/>
    <row r="8273" s="65" customFormat="1"/>
    <row r="8274" s="65" customFormat="1"/>
    <row r="8275" s="65" customFormat="1"/>
    <row r="8276" s="65" customFormat="1"/>
    <row r="8277" s="65" customFormat="1"/>
    <row r="8278" s="65" customFormat="1"/>
    <row r="8279" s="65" customFormat="1"/>
    <row r="8280" s="65" customFormat="1"/>
    <row r="8281" s="65" customFormat="1"/>
    <row r="8282" s="65" customFormat="1"/>
    <row r="8283" s="65" customFormat="1"/>
    <row r="8284" s="65" customFormat="1"/>
    <row r="8285" s="65" customFormat="1"/>
    <row r="8286" s="65" customFormat="1"/>
    <row r="8287" s="65" customFormat="1"/>
    <row r="8288" s="65" customFormat="1"/>
    <row r="8289" s="65" customFormat="1"/>
    <row r="8290" s="65" customFormat="1"/>
    <row r="8291" s="65" customFormat="1"/>
    <row r="8292" s="65" customFormat="1"/>
    <row r="8293" s="65" customFormat="1"/>
    <row r="8294" s="65" customFormat="1"/>
    <row r="8295" s="65" customFormat="1"/>
    <row r="8296" s="65" customFormat="1"/>
    <row r="8297" s="65" customFormat="1"/>
    <row r="8298" s="65" customFormat="1"/>
    <row r="8299" s="65" customFormat="1"/>
    <row r="8300" s="65" customFormat="1"/>
    <row r="8301" s="65" customFormat="1"/>
    <row r="8302" s="65" customFormat="1"/>
    <row r="8303" s="65" customFormat="1"/>
    <row r="8304" s="65" customFormat="1"/>
    <row r="8305" s="65" customFormat="1"/>
    <row r="8306" s="65" customFormat="1"/>
    <row r="8307" s="65" customFormat="1"/>
    <row r="8308" s="65" customFormat="1"/>
    <row r="8309" s="65" customFormat="1"/>
    <row r="8310" s="65" customFormat="1"/>
    <row r="8311" s="65" customFormat="1"/>
    <row r="8312" s="65" customFormat="1"/>
    <row r="8313" s="65" customFormat="1"/>
    <row r="8314" s="65" customFormat="1"/>
    <row r="8315" s="65" customFormat="1"/>
    <row r="8316" s="65" customFormat="1"/>
    <row r="8317" s="65" customFormat="1"/>
    <row r="8318" s="65" customFormat="1"/>
    <row r="8319" s="65" customFormat="1"/>
    <row r="8320" s="65" customFormat="1"/>
    <row r="8321" s="65" customFormat="1"/>
    <row r="8322" s="65" customFormat="1"/>
    <row r="8323" s="65" customFormat="1"/>
    <row r="8324" s="65" customFormat="1"/>
    <row r="8325" s="65" customFormat="1"/>
    <row r="8326" s="65" customFormat="1"/>
    <row r="8327" s="65" customFormat="1"/>
    <row r="8328" s="65" customFormat="1"/>
    <row r="8329" s="65" customFormat="1"/>
    <row r="8330" s="65" customFormat="1"/>
    <row r="8331" s="65" customFormat="1"/>
    <row r="8332" s="65" customFormat="1"/>
    <row r="8333" s="65" customFormat="1"/>
    <row r="8334" s="65" customFormat="1"/>
    <row r="8335" s="65" customFormat="1"/>
    <row r="8336" s="65" customFormat="1"/>
    <row r="8337" s="65" customFormat="1"/>
    <row r="8338" s="65" customFormat="1"/>
    <row r="8339" s="65" customFormat="1"/>
    <row r="8340" s="65" customFormat="1"/>
    <row r="8341" s="65" customFormat="1"/>
    <row r="8342" s="65" customFormat="1"/>
    <row r="8343" s="65" customFormat="1"/>
    <row r="8344" s="65" customFormat="1"/>
    <row r="8345" s="65" customFormat="1"/>
    <row r="8346" s="65" customFormat="1"/>
    <row r="8347" s="65" customFormat="1"/>
    <row r="8348" s="65" customFormat="1"/>
    <row r="8349" s="65" customFormat="1"/>
    <row r="8350" s="65" customFormat="1"/>
    <row r="8351" s="65" customFormat="1"/>
    <row r="8352" s="65" customFormat="1"/>
    <row r="8353" s="65" customFormat="1"/>
    <row r="8354" s="65" customFormat="1"/>
    <row r="8355" s="65" customFormat="1"/>
    <row r="8356" s="65" customFormat="1"/>
    <row r="8357" s="65" customFormat="1"/>
    <row r="8358" s="65" customFormat="1"/>
    <row r="8359" s="65" customFormat="1"/>
    <row r="8360" s="65" customFormat="1"/>
    <row r="8361" s="65" customFormat="1"/>
    <row r="8362" s="65" customFormat="1"/>
    <row r="8363" s="65" customFormat="1"/>
    <row r="8364" s="65" customFormat="1"/>
    <row r="8365" s="65" customFormat="1"/>
    <row r="8366" s="65" customFormat="1"/>
    <row r="8367" s="65" customFormat="1"/>
    <row r="8368" s="65" customFormat="1"/>
    <row r="8369" s="65" customFormat="1"/>
    <row r="8370" s="65" customFormat="1"/>
    <row r="8371" s="65" customFormat="1"/>
    <row r="8372" s="65" customFormat="1"/>
    <row r="8373" s="65" customFormat="1"/>
    <row r="8374" s="65" customFormat="1"/>
    <row r="8375" s="65" customFormat="1"/>
    <row r="8376" s="65" customFormat="1"/>
    <row r="8377" s="65" customFormat="1"/>
    <row r="8378" s="65" customFormat="1"/>
    <row r="8379" s="65" customFormat="1"/>
    <row r="8380" s="65" customFormat="1"/>
    <row r="8381" s="65" customFormat="1"/>
    <row r="8382" s="65" customFormat="1"/>
    <row r="8383" s="65" customFormat="1"/>
    <row r="8384" s="65" customFormat="1"/>
    <row r="8385" s="65" customFormat="1"/>
    <row r="8386" s="65" customFormat="1"/>
    <row r="8387" s="65" customFormat="1"/>
    <row r="8388" s="65" customFormat="1"/>
    <row r="8389" s="65" customFormat="1"/>
    <row r="8390" s="65" customFormat="1"/>
    <row r="8391" s="65" customFormat="1"/>
    <row r="8392" s="65" customFormat="1"/>
    <row r="8393" s="65" customFormat="1"/>
    <row r="8394" s="65" customFormat="1"/>
    <row r="8395" s="65" customFormat="1"/>
    <row r="8396" s="65" customFormat="1"/>
    <row r="8397" s="65" customFormat="1"/>
    <row r="8398" s="65" customFormat="1"/>
    <row r="8399" s="65" customFormat="1"/>
    <row r="8400" s="65" customFormat="1"/>
    <row r="8401" s="65" customFormat="1"/>
    <row r="8402" s="65" customFormat="1"/>
    <row r="8403" s="65" customFormat="1"/>
    <row r="8404" s="65" customFormat="1"/>
    <row r="8405" s="65" customFormat="1"/>
    <row r="8406" s="65" customFormat="1"/>
    <row r="8407" s="65" customFormat="1"/>
    <row r="8408" s="65" customFormat="1"/>
    <row r="8409" s="65" customFormat="1"/>
    <row r="8410" s="65" customFormat="1"/>
    <row r="8411" s="65" customFormat="1"/>
    <row r="8412" s="65" customFormat="1"/>
    <row r="8413" s="65" customFormat="1"/>
    <row r="8414" s="65" customFormat="1"/>
    <row r="8415" s="65" customFormat="1"/>
    <row r="8416" s="65" customFormat="1"/>
    <row r="8417" s="65" customFormat="1"/>
    <row r="8418" s="65" customFormat="1"/>
    <row r="8419" s="65" customFormat="1"/>
    <row r="8420" s="65" customFormat="1"/>
    <row r="8421" s="65" customFormat="1"/>
    <row r="8422" s="65" customFormat="1"/>
    <row r="8423" s="65" customFormat="1"/>
    <row r="8424" s="65" customFormat="1"/>
    <row r="8425" s="65" customFormat="1"/>
    <row r="8426" s="65" customFormat="1"/>
    <row r="8427" s="65" customFormat="1"/>
    <row r="8428" s="65" customFormat="1"/>
    <row r="8429" s="65" customFormat="1"/>
    <row r="8430" s="65" customFormat="1"/>
    <row r="8431" s="65" customFormat="1"/>
    <row r="8432" s="65" customFormat="1"/>
    <row r="8433" s="65" customFormat="1"/>
    <row r="8434" s="65" customFormat="1"/>
    <row r="8435" s="65" customFormat="1"/>
    <row r="8436" s="65" customFormat="1"/>
    <row r="8437" s="65" customFormat="1"/>
    <row r="8438" s="65" customFormat="1"/>
    <row r="8439" s="65" customFormat="1"/>
    <row r="8440" s="65" customFormat="1"/>
    <row r="8441" s="65" customFormat="1"/>
    <row r="8442" s="65" customFormat="1"/>
    <row r="8443" s="65" customFormat="1"/>
    <row r="8444" s="65" customFormat="1"/>
    <row r="8445" s="65" customFormat="1"/>
    <row r="8446" s="65" customFormat="1"/>
    <row r="8447" s="65" customFormat="1"/>
    <row r="8448" s="65" customFormat="1"/>
    <row r="8449" s="65" customFormat="1"/>
    <row r="8450" s="65" customFormat="1"/>
    <row r="8451" s="65" customFormat="1"/>
    <row r="8452" s="65" customFormat="1"/>
    <row r="8453" s="65" customFormat="1"/>
    <row r="8454" s="65" customFormat="1"/>
    <row r="8455" s="65" customFormat="1"/>
    <row r="8456" s="65" customFormat="1"/>
    <row r="8457" s="65" customFormat="1"/>
    <row r="8458" s="65" customFormat="1"/>
    <row r="8459" s="65" customFormat="1"/>
    <row r="8460" s="65" customFormat="1"/>
    <row r="8461" s="65" customFormat="1"/>
    <row r="8462" s="65" customFormat="1"/>
    <row r="8463" s="65" customFormat="1"/>
    <row r="8464" s="65" customFormat="1"/>
    <row r="8465" s="65" customFormat="1"/>
    <row r="8466" s="65" customFormat="1"/>
    <row r="8467" s="65" customFormat="1"/>
    <row r="8468" s="65" customFormat="1"/>
    <row r="8469" s="65" customFormat="1"/>
    <row r="8470" s="65" customFormat="1"/>
    <row r="8471" s="65" customFormat="1"/>
    <row r="8472" s="65" customFormat="1"/>
    <row r="8473" s="65" customFormat="1"/>
    <row r="8474" s="65" customFormat="1"/>
    <row r="8475" s="65" customFormat="1"/>
    <row r="8476" s="65" customFormat="1"/>
    <row r="8477" s="65" customFormat="1"/>
    <row r="8478" s="65" customFormat="1"/>
    <row r="8479" s="65" customFormat="1"/>
    <row r="8480" s="65" customFormat="1"/>
    <row r="8481" s="65" customFormat="1"/>
    <row r="8482" s="65" customFormat="1"/>
    <row r="8483" s="65" customFormat="1"/>
    <row r="8484" s="65" customFormat="1"/>
    <row r="8485" s="65" customFormat="1"/>
    <row r="8486" s="65" customFormat="1"/>
    <row r="8487" s="65" customFormat="1"/>
    <row r="8488" s="65" customFormat="1"/>
    <row r="8489" s="65" customFormat="1"/>
    <row r="8490" s="65" customFormat="1"/>
    <row r="8491" s="65" customFormat="1"/>
    <row r="8492" s="65" customFormat="1"/>
    <row r="8493" s="65" customFormat="1"/>
    <row r="8494" s="65" customFormat="1"/>
    <row r="8495" s="65" customFormat="1"/>
    <row r="8496" s="65" customFormat="1"/>
    <row r="8497" s="65" customFormat="1"/>
    <row r="8498" s="65" customFormat="1"/>
    <row r="8499" s="65" customFormat="1"/>
    <row r="8500" s="65" customFormat="1"/>
    <row r="8501" s="65" customFormat="1"/>
    <row r="8502" s="65" customFormat="1"/>
    <row r="8503" s="65" customFormat="1"/>
    <row r="8504" s="65" customFormat="1"/>
    <row r="8505" s="65" customFormat="1"/>
    <row r="8506" s="65" customFormat="1"/>
    <row r="8507" s="65" customFormat="1"/>
    <row r="8508" s="65" customFormat="1"/>
    <row r="8509" s="65" customFormat="1"/>
    <row r="8510" s="65" customFormat="1"/>
    <row r="8511" s="65" customFormat="1"/>
    <row r="8512" s="65" customFormat="1"/>
    <row r="8513" s="65" customFormat="1"/>
    <row r="8514" s="65" customFormat="1"/>
    <row r="8515" s="65" customFormat="1"/>
    <row r="8516" s="65" customFormat="1"/>
    <row r="8517" s="65" customFormat="1"/>
    <row r="8518" s="65" customFormat="1"/>
    <row r="8519" s="65" customFormat="1"/>
    <row r="8520" s="65" customFormat="1"/>
    <row r="8521" s="65" customFormat="1"/>
    <row r="8522" s="65" customFormat="1"/>
    <row r="8523" s="65" customFormat="1"/>
    <row r="8524" s="65" customFormat="1"/>
    <row r="8525" s="65" customFormat="1"/>
    <row r="8526" s="65" customFormat="1"/>
    <row r="8527" s="65" customFormat="1"/>
    <row r="8528" s="65" customFormat="1"/>
    <row r="8529" s="65" customFormat="1"/>
    <row r="8530" s="65" customFormat="1"/>
    <row r="8531" s="65" customFormat="1"/>
    <row r="8532" s="65" customFormat="1"/>
    <row r="8533" s="65" customFormat="1"/>
    <row r="8534" s="65" customFormat="1"/>
    <row r="8535" s="65" customFormat="1"/>
    <row r="8536" s="65" customFormat="1"/>
    <row r="8537" s="65" customFormat="1"/>
    <row r="8538" s="65" customFormat="1"/>
    <row r="8539" s="65" customFormat="1"/>
    <row r="8540" s="65" customFormat="1"/>
    <row r="8541" s="65" customFormat="1"/>
    <row r="8542" s="65" customFormat="1"/>
    <row r="8543" s="65" customFormat="1"/>
    <row r="8544" s="65" customFormat="1"/>
    <row r="8545" s="65" customFormat="1"/>
    <row r="8546" s="65" customFormat="1"/>
    <row r="8547" s="65" customFormat="1"/>
    <row r="8548" s="65" customFormat="1"/>
    <row r="8549" s="65" customFormat="1"/>
    <row r="8550" s="65" customFormat="1"/>
    <row r="8551" s="65" customFormat="1"/>
    <row r="8552" s="65" customFormat="1"/>
    <row r="8553" s="65" customFormat="1"/>
    <row r="8554" s="65" customFormat="1"/>
    <row r="8555" s="65" customFormat="1"/>
    <row r="8556" s="65" customFormat="1"/>
    <row r="8557" s="65" customFormat="1"/>
    <row r="8558" s="65" customFormat="1"/>
    <row r="8559" s="65" customFormat="1"/>
    <row r="8560" s="65" customFormat="1"/>
    <row r="8561" s="65" customFormat="1"/>
    <row r="8562" s="65" customFormat="1"/>
    <row r="8563" s="65" customFormat="1"/>
    <row r="8564" s="65" customFormat="1"/>
    <row r="8565" s="65" customFormat="1"/>
    <row r="8566" s="65" customFormat="1"/>
    <row r="8567" s="65" customFormat="1"/>
    <row r="8568" s="65" customFormat="1"/>
    <row r="8569" s="65" customFormat="1"/>
    <row r="8570" s="65" customFormat="1"/>
    <row r="8571" s="65" customFormat="1"/>
    <row r="8572" s="65" customFormat="1"/>
    <row r="8573" s="65" customFormat="1"/>
    <row r="8574" s="65" customFormat="1"/>
    <row r="8575" s="65" customFormat="1"/>
    <row r="8576" s="65" customFormat="1"/>
    <row r="8577" s="65" customFormat="1"/>
    <row r="8578" s="65" customFormat="1"/>
    <row r="8579" s="65" customFormat="1"/>
    <row r="8580" s="65" customFormat="1"/>
    <row r="8581" s="65" customFormat="1"/>
    <row r="8582" s="65" customFormat="1"/>
    <row r="8583" s="65" customFormat="1"/>
    <row r="8584" s="65" customFormat="1"/>
    <row r="8585" s="65" customFormat="1"/>
    <row r="8586" s="65" customFormat="1"/>
    <row r="8587" s="65" customFormat="1"/>
    <row r="8588" s="65" customFormat="1"/>
    <row r="8589" s="65" customFormat="1"/>
    <row r="8590" s="65" customFormat="1"/>
    <row r="8591" s="65" customFormat="1"/>
    <row r="8592" s="65" customFormat="1"/>
    <row r="8593" s="65" customFormat="1"/>
    <row r="8594" s="65" customFormat="1"/>
    <row r="8595" s="65" customFormat="1"/>
    <row r="8596" s="65" customFormat="1"/>
    <row r="8597" s="65" customFormat="1"/>
    <row r="8598" s="65" customFormat="1"/>
    <row r="8599" s="65" customFormat="1"/>
    <row r="8600" s="65" customFormat="1"/>
    <row r="8601" s="65" customFormat="1"/>
    <row r="8602" s="65" customFormat="1"/>
    <row r="8603" s="65" customFormat="1"/>
    <row r="8604" s="65" customFormat="1"/>
    <row r="8605" s="65" customFormat="1"/>
    <row r="8606" s="65" customFormat="1"/>
    <row r="8607" s="65" customFormat="1"/>
    <row r="8608" s="65" customFormat="1"/>
    <row r="8609" s="65" customFormat="1"/>
    <row r="8610" s="65" customFormat="1"/>
    <row r="8611" s="65" customFormat="1"/>
    <row r="8612" s="65" customFormat="1"/>
    <row r="8613" s="65" customFormat="1"/>
    <row r="8614" s="65" customFormat="1"/>
    <row r="8615" s="65" customFormat="1"/>
    <row r="8616" s="65" customFormat="1"/>
    <row r="8617" s="65" customFormat="1"/>
    <row r="8618" s="65" customFormat="1"/>
    <row r="8619" s="65" customFormat="1"/>
    <row r="8620" s="65" customFormat="1"/>
    <row r="8621" s="65" customFormat="1"/>
    <row r="8622" s="65" customFormat="1"/>
    <row r="8623" s="65" customFormat="1"/>
    <row r="8624" s="65" customFormat="1"/>
    <row r="8625" s="65" customFormat="1"/>
    <row r="8626" s="65" customFormat="1"/>
    <row r="8627" s="65" customFormat="1"/>
    <row r="8628" s="65" customFormat="1"/>
    <row r="8629" s="65" customFormat="1"/>
    <row r="8630" s="65" customFormat="1"/>
    <row r="8631" s="65" customFormat="1"/>
    <row r="8632" s="65" customFormat="1"/>
    <row r="8633" s="65" customFormat="1"/>
    <row r="8634" s="65" customFormat="1"/>
    <row r="8635" s="65" customFormat="1"/>
    <row r="8636" s="65" customFormat="1"/>
    <row r="8637" s="65" customFormat="1"/>
    <row r="8638" s="65" customFormat="1"/>
    <row r="8639" s="65" customFormat="1"/>
    <row r="8640" s="65" customFormat="1"/>
    <row r="8641" s="65" customFormat="1"/>
    <row r="8642" s="65" customFormat="1"/>
    <row r="8643" s="65" customFormat="1"/>
    <row r="8644" s="65" customFormat="1"/>
    <row r="8645" s="65" customFormat="1"/>
    <row r="8646" s="65" customFormat="1"/>
    <row r="8647" s="65" customFormat="1"/>
    <row r="8648" s="65" customFormat="1"/>
    <row r="8649" s="65" customFormat="1"/>
    <row r="8650" s="65" customFormat="1"/>
    <row r="8651" s="65" customFormat="1"/>
    <row r="8652" s="65" customFormat="1"/>
    <row r="8653" s="65" customFormat="1"/>
    <row r="8654" s="65" customFormat="1"/>
    <row r="8655" s="65" customFormat="1"/>
    <row r="8656" s="65" customFormat="1"/>
    <row r="8657" s="65" customFormat="1"/>
    <row r="8658" s="65" customFormat="1"/>
    <row r="8659" s="65" customFormat="1"/>
    <row r="8660" s="65" customFormat="1"/>
    <row r="8661" s="65" customFormat="1"/>
    <row r="8662" s="65" customFormat="1"/>
    <row r="8663" s="65" customFormat="1"/>
    <row r="8664" s="65" customFormat="1"/>
    <row r="8665" s="65" customFormat="1"/>
    <row r="8666" s="65" customFormat="1"/>
    <row r="8667" s="65" customFormat="1"/>
    <row r="8668" s="65" customFormat="1"/>
    <row r="8669" s="65" customFormat="1"/>
    <row r="8670" s="65" customFormat="1"/>
    <row r="8671" s="65" customFormat="1"/>
    <row r="8672" s="65" customFormat="1"/>
    <row r="8673" s="65" customFormat="1"/>
    <row r="8674" s="65" customFormat="1"/>
    <row r="8675" s="65" customFormat="1"/>
    <row r="8676" s="65" customFormat="1"/>
    <row r="8677" s="65" customFormat="1"/>
    <row r="8678" s="65" customFormat="1"/>
    <row r="8679" s="65" customFormat="1"/>
    <row r="8680" s="65" customFormat="1"/>
    <row r="8681" s="65" customFormat="1"/>
    <row r="8682" s="65" customFormat="1"/>
    <row r="8683" s="65" customFormat="1"/>
    <row r="8684" s="65" customFormat="1"/>
    <row r="8685" s="65" customFormat="1"/>
    <row r="8686" s="65" customFormat="1"/>
    <row r="8687" s="65" customFormat="1"/>
    <row r="8688" s="65" customFormat="1"/>
    <row r="8689" s="65" customFormat="1"/>
    <row r="8690" s="65" customFormat="1"/>
    <row r="8691" s="65" customFormat="1"/>
    <row r="8692" s="65" customFormat="1"/>
    <row r="8693" s="65" customFormat="1"/>
    <row r="8694" s="65" customFormat="1"/>
    <row r="8695" s="65" customFormat="1"/>
    <row r="8696" s="65" customFormat="1"/>
    <row r="8697" s="65" customFormat="1"/>
    <row r="8698" s="65" customFormat="1"/>
    <row r="8699" s="65" customFormat="1"/>
    <row r="8700" s="65" customFormat="1"/>
    <row r="8701" s="65" customFormat="1"/>
    <row r="8702" s="65" customFormat="1"/>
    <row r="8703" s="65" customFormat="1"/>
    <row r="8704" s="65" customFormat="1"/>
    <row r="8705" s="65" customFormat="1"/>
    <row r="8706" s="65" customFormat="1"/>
    <row r="8707" s="65" customFormat="1"/>
    <row r="8708" s="65" customFormat="1"/>
    <row r="8709" s="65" customFormat="1"/>
    <row r="8710" s="65" customFormat="1"/>
    <row r="8711" s="65" customFormat="1"/>
    <row r="8712" s="65" customFormat="1"/>
    <row r="8713" s="65" customFormat="1"/>
    <row r="8714" s="65" customFormat="1"/>
    <row r="8715" s="65" customFormat="1"/>
    <row r="8716" s="65" customFormat="1"/>
    <row r="8717" s="65" customFormat="1"/>
    <row r="8718" s="65" customFormat="1"/>
    <row r="8719" s="65" customFormat="1"/>
    <row r="8720" s="65" customFormat="1"/>
    <row r="8721" s="65" customFormat="1"/>
    <row r="8722" s="65" customFormat="1"/>
    <row r="8723" s="65" customFormat="1"/>
    <row r="8724" s="65" customFormat="1"/>
    <row r="8725" s="65" customFormat="1"/>
    <row r="8726" s="65" customFormat="1"/>
    <row r="8727" s="65" customFormat="1"/>
    <row r="8728" s="65" customFormat="1"/>
    <row r="8729" s="65" customFormat="1"/>
    <row r="8730" s="65" customFormat="1"/>
    <row r="8731" s="65" customFormat="1"/>
    <row r="8732" s="65" customFormat="1"/>
    <row r="8733" s="65" customFormat="1"/>
    <row r="8734" s="65" customFormat="1"/>
    <row r="8735" s="65" customFormat="1"/>
    <row r="8736" s="65" customFormat="1"/>
    <row r="8737" s="65" customFormat="1"/>
    <row r="8738" s="65" customFormat="1"/>
    <row r="8739" s="65" customFormat="1"/>
    <row r="8740" s="65" customFormat="1"/>
    <row r="8741" s="65" customFormat="1"/>
    <row r="8742" s="65" customFormat="1"/>
    <row r="8743" s="65" customFormat="1"/>
    <row r="8744" s="65" customFormat="1"/>
    <row r="8745" s="65" customFormat="1"/>
    <row r="8746" s="65" customFormat="1"/>
    <row r="8747" s="65" customFormat="1"/>
    <row r="8748" s="65" customFormat="1"/>
    <row r="8749" s="65" customFormat="1"/>
    <row r="8750" s="65" customFormat="1"/>
    <row r="8751" s="65" customFormat="1"/>
    <row r="8752" s="65" customFormat="1"/>
    <row r="8753" s="65" customFormat="1"/>
    <row r="8754" s="65" customFormat="1"/>
    <row r="8755" s="65" customFormat="1"/>
    <row r="8756" s="65" customFormat="1"/>
    <row r="8757" s="65" customFormat="1"/>
    <row r="8758" s="65" customFormat="1"/>
    <row r="8759" s="65" customFormat="1"/>
    <row r="8760" s="65" customFormat="1"/>
    <row r="8761" s="65" customFormat="1"/>
    <row r="8762" s="65" customFormat="1"/>
    <row r="8763" s="65" customFormat="1"/>
    <row r="8764" s="65" customFormat="1"/>
    <row r="8765" s="65" customFormat="1"/>
    <row r="8766" s="65" customFormat="1"/>
    <row r="8767" s="65" customFormat="1"/>
    <row r="8768" s="65" customFormat="1"/>
    <row r="8769" s="65" customFormat="1"/>
    <row r="8770" s="65" customFormat="1"/>
    <row r="8771" s="65" customFormat="1"/>
    <row r="8772" s="65" customFormat="1"/>
    <row r="8773" s="65" customFormat="1"/>
    <row r="8774" s="65" customFormat="1"/>
    <row r="8775" s="65" customFormat="1"/>
    <row r="8776" s="65" customFormat="1"/>
    <row r="8777" s="65" customFormat="1"/>
    <row r="8778" s="65" customFormat="1"/>
    <row r="8779" s="65" customFormat="1"/>
    <row r="8780" s="65" customFormat="1"/>
    <row r="8781" s="65" customFormat="1"/>
    <row r="8782" s="65" customFormat="1"/>
    <row r="8783" s="65" customFormat="1"/>
    <row r="8784" s="65" customFormat="1"/>
    <row r="8785" s="65" customFormat="1"/>
    <row r="8786" s="65" customFormat="1"/>
    <row r="8787" s="65" customFormat="1"/>
    <row r="8788" s="65" customFormat="1"/>
    <row r="8789" s="65" customFormat="1"/>
    <row r="8790" s="65" customFormat="1"/>
    <row r="8791" s="65" customFormat="1"/>
    <row r="8792" s="65" customFormat="1"/>
    <row r="8793" s="65" customFormat="1"/>
    <row r="8794" s="65" customFormat="1"/>
    <row r="8795" s="65" customFormat="1"/>
    <row r="8796" s="65" customFormat="1"/>
    <row r="8797" s="65" customFormat="1"/>
    <row r="8798" s="65" customFormat="1"/>
    <row r="8799" s="65" customFormat="1"/>
    <row r="8800" s="65" customFormat="1"/>
    <row r="8801" s="65" customFormat="1"/>
    <row r="8802" s="65" customFormat="1"/>
    <row r="8803" s="65" customFormat="1"/>
    <row r="8804" s="65" customFormat="1"/>
    <row r="8805" s="65" customFormat="1"/>
    <row r="8806" s="65" customFormat="1"/>
    <row r="8807" s="65" customFormat="1"/>
    <row r="8808" s="65" customFormat="1"/>
    <row r="8809" s="65" customFormat="1"/>
    <row r="8810" s="65" customFormat="1"/>
    <row r="8811" s="65" customFormat="1"/>
    <row r="8812" s="65" customFormat="1"/>
    <row r="8813" s="65" customFormat="1"/>
    <row r="8814" s="65" customFormat="1"/>
    <row r="8815" s="65" customFormat="1"/>
    <row r="8816" s="65" customFormat="1"/>
    <row r="8817" s="65" customFormat="1"/>
    <row r="8818" s="65" customFormat="1"/>
    <row r="8819" s="65" customFormat="1"/>
    <row r="8820" s="65" customFormat="1"/>
    <row r="8821" s="65" customFormat="1"/>
    <row r="8822" s="65" customFormat="1"/>
    <row r="8823" s="65" customFormat="1"/>
    <row r="8824" s="65" customFormat="1"/>
    <row r="8825" s="65" customFormat="1"/>
    <row r="8826" s="65" customFormat="1"/>
    <row r="8827" s="65" customFormat="1"/>
    <row r="8828" s="65" customFormat="1"/>
    <row r="8829" s="65" customFormat="1"/>
    <row r="8830" s="65" customFormat="1"/>
    <row r="8831" s="65" customFormat="1"/>
    <row r="8832" s="65" customFormat="1"/>
    <row r="8833" s="65" customFormat="1"/>
    <row r="8834" s="65" customFormat="1"/>
    <row r="8835" s="65" customFormat="1"/>
    <row r="8836" s="65" customFormat="1"/>
    <row r="8837" s="65" customFormat="1"/>
    <row r="8838" s="65" customFormat="1"/>
    <row r="8839" s="65" customFormat="1"/>
    <row r="8840" s="65" customFormat="1"/>
    <row r="8841" s="65" customFormat="1"/>
    <row r="8842" s="65" customFormat="1"/>
    <row r="8843" s="65" customFormat="1"/>
    <row r="8844" s="65" customFormat="1"/>
    <row r="8845" s="65" customFormat="1"/>
    <row r="8846" s="65" customFormat="1"/>
    <row r="8847" s="65" customFormat="1"/>
    <row r="8848" s="65" customFormat="1"/>
    <row r="8849" s="65" customFormat="1"/>
    <row r="8850" s="65" customFormat="1"/>
    <row r="8851" s="65" customFormat="1"/>
    <row r="8852" s="65" customFormat="1"/>
    <row r="8853" s="65" customFormat="1"/>
    <row r="8854" s="65" customFormat="1"/>
    <row r="8855" s="65" customFormat="1"/>
    <row r="8856" s="65" customFormat="1"/>
    <row r="8857" s="65" customFormat="1"/>
    <row r="8858" s="65" customFormat="1"/>
    <row r="8859" s="65" customFormat="1"/>
    <row r="8860" s="65" customFormat="1"/>
    <row r="8861" s="65" customFormat="1"/>
    <row r="8862" s="65" customFormat="1"/>
    <row r="8863" s="65" customFormat="1"/>
    <row r="8864" s="65" customFormat="1"/>
    <row r="8865" s="65" customFormat="1"/>
    <row r="8866" s="65" customFormat="1"/>
    <row r="8867" s="65" customFormat="1"/>
    <row r="8868" s="65" customFormat="1"/>
    <row r="8869" s="65" customFormat="1"/>
    <row r="8870" s="65" customFormat="1"/>
    <row r="8871" s="65" customFormat="1"/>
    <row r="8872" s="65" customFormat="1"/>
    <row r="8873" s="65" customFormat="1"/>
    <row r="8874" s="65" customFormat="1"/>
    <row r="8875" s="65" customFormat="1"/>
    <row r="8876" s="65" customFormat="1"/>
    <row r="8877" s="65" customFormat="1"/>
    <row r="8878" s="65" customFormat="1"/>
    <row r="8879" s="65" customFormat="1"/>
    <row r="8880" s="65" customFormat="1"/>
    <row r="8881" s="65" customFormat="1"/>
    <row r="8882" s="65" customFormat="1"/>
    <row r="8883" s="65" customFormat="1"/>
    <row r="8884" s="65" customFormat="1"/>
    <row r="8885" s="65" customFormat="1"/>
    <row r="8886" s="65" customFormat="1"/>
    <row r="8887" s="65" customFormat="1"/>
    <row r="8888" s="65" customFormat="1"/>
    <row r="8889" s="65" customFormat="1"/>
    <row r="8890" s="65" customFormat="1"/>
    <row r="8891" s="65" customFormat="1"/>
    <row r="8892" s="65" customFormat="1"/>
    <row r="8893" s="65" customFormat="1"/>
    <row r="8894" s="65" customFormat="1"/>
    <row r="8895" s="65" customFormat="1"/>
    <row r="8896" s="65" customFormat="1"/>
    <row r="8897" s="65" customFormat="1"/>
    <row r="8898" s="65" customFormat="1"/>
    <row r="8899" s="65" customFormat="1"/>
    <row r="8900" s="65" customFormat="1"/>
    <row r="8901" s="65" customFormat="1"/>
    <row r="8902" s="65" customFormat="1"/>
    <row r="8903" s="65" customFormat="1"/>
    <row r="8904" s="65" customFormat="1"/>
    <row r="8905" s="65" customFormat="1"/>
    <row r="8906" s="65" customFormat="1"/>
    <row r="8907" s="65" customFormat="1"/>
    <row r="8908" s="65" customFormat="1"/>
    <row r="8909" s="65" customFormat="1"/>
    <row r="8910" s="65" customFormat="1"/>
    <row r="8911" s="65" customFormat="1"/>
    <row r="8912" s="65" customFormat="1"/>
    <row r="8913" s="65" customFormat="1"/>
    <row r="8914" s="65" customFormat="1"/>
    <row r="8915" s="65" customFormat="1"/>
    <row r="8916" s="65" customFormat="1"/>
    <row r="8917" s="65" customFormat="1"/>
    <row r="8918" s="65" customFormat="1"/>
    <row r="8919" s="65" customFormat="1"/>
    <row r="8920" s="65" customFormat="1"/>
    <row r="8921" s="65" customFormat="1"/>
    <row r="8922" s="65" customFormat="1"/>
    <row r="8923" s="65" customFormat="1"/>
    <row r="8924" s="65" customFormat="1"/>
    <row r="8925" s="65" customFormat="1"/>
    <row r="8926" s="65" customFormat="1"/>
    <row r="8927" s="65" customFormat="1"/>
    <row r="8928" s="65" customFormat="1"/>
    <row r="8929" s="65" customFormat="1"/>
    <row r="8930" s="65" customFormat="1"/>
    <row r="8931" s="65" customFormat="1"/>
    <row r="8932" s="65" customFormat="1"/>
    <row r="8933" s="65" customFormat="1"/>
    <row r="8934" s="65" customFormat="1"/>
    <row r="8935" s="65" customFormat="1"/>
    <row r="8936" s="65" customFormat="1"/>
    <row r="8937" s="65" customFormat="1"/>
    <row r="8938" s="65" customFormat="1"/>
    <row r="8939" s="65" customFormat="1"/>
    <row r="8940" s="65" customFormat="1"/>
    <row r="8941" s="65" customFormat="1"/>
    <row r="8942" s="65" customFormat="1"/>
    <row r="8943" s="65" customFormat="1"/>
    <row r="8944" s="65" customFormat="1"/>
    <row r="8945" s="65" customFormat="1"/>
    <row r="8946" s="65" customFormat="1"/>
    <row r="8947" s="65" customFormat="1"/>
    <row r="8948" s="65" customFormat="1"/>
    <row r="8949" s="65" customFormat="1"/>
    <row r="8950" s="65" customFormat="1"/>
    <row r="8951" s="65" customFormat="1"/>
    <row r="8952" s="65" customFormat="1"/>
    <row r="8953" s="65" customFormat="1"/>
    <row r="8954" s="65" customFormat="1"/>
    <row r="8955" s="65" customFormat="1"/>
    <row r="8956" s="65" customFormat="1"/>
    <row r="8957" s="65" customFormat="1"/>
    <row r="8958" s="65" customFormat="1"/>
    <row r="8959" s="65" customFormat="1"/>
    <row r="8960" s="65" customFormat="1"/>
    <row r="8961" s="65" customFormat="1"/>
    <row r="8962" s="65" customFormat="1"/>
    <row r="8963" s="65" customFormat="1"/>
    <row r="8964" s="65" customFormat="1"/>
    <row r="8965" s="65" customFormat="1"/>
    <row r="8966" s="65" customFormat="1"/>
    <row r="8967" s="65" customFormat="1"/>
    <row r="8968" s="65" customFormat="1"/>
    <row r="8969" s="65" customFormat="1"/>
    <row r="8970" s="65" customFormat="1"/>
    <row r="8971" s="65" customFormat="1"/>
    <row r="8972" s="65" customFormat="1"/>
    <row r="8973" s="65" customFormat="1"/>
    <row r="8974" s="65" customFormat="1"/>
    <row r="8975" s="65" customFormat="1"/>
    <row r="8976" s="65" customFormat="1"/>
    <row r="8977" s="65" customFormat="1"/>
    <row r="8978" s="65" customFormat="1"/>
    <row r="8979" s="65" customFormat="1"/>
    <row r="8980" s="65" customFormat="1"/>
    <row r="8981" s="65" customFormat="1"/>
    <row r="8982" s="65" customFormat="1"/>
    <row r="8983" s="65" customFormat="1"/>
    <row r="8984" s="65" customFormat="1"/>
    <row r="8985" s="65" customFormat="1"/>
    <row r="8986" s="65" customFormat="1"/>
    <row r="8987" s="65" customFormat="1"/>
    <row r="8988" s="65" customFormat="1"/>
    <row r="8989" s="65" customFormat="1"/>
    <row r="8990" s="65" customFormat="1"/>
    <row r="8991" s="65" customFormat="1"/>
    <row r="8992" s="65" customFormat="1"/>
    <row r="8993" s="65" customFormat="1"/>
    <row r="8994" s="65" customFormat="1"/>
    <row r="8995" s="65" customFormat="1"/>
    <row r="8996" s="65" customFormat="1"/>
    <row r="8997" s="65" customFormat="1"/>
    <row r="8998" s="65" customFormat="1"/>
    <row r="8999" s="65" customFormat="1"/>
    <row r="9000" s="65" customFormat="1"/>
    <row r="9001" s="65" customFormat="1"/>
    <row r="9002" s="65" customFormat="1"/>
    <row r="9003" s="65" customFormat="1"/>
    <row r="9004" s="65" customFormat="1"/>
    <row r="9005" s="65" customFormat="1"/>
    <row r="9006" s="65" customFormat="1"/>
    <row r="9007" s="65" customFormat="1"/>
    <row r="9008" s="65" customFormat="1"/>
    <row r="9009" s="65" customFormat="1"/>
    <row r="9010" s="65" customFormat="1"/>
    <row r="9011" s="65" customFormat="1"/>
    <row r="9012" s="65" customFormat="1"/>
    <row r="9013" s="65" customFormat="1"/>
    <row r="9014" s="65" customFormat="1"/>
    <row r="9015" s="65" customFormat="1"/>
    <row r="9016" s="65" customFormat="1"/>
    <row r="9017" s="65" customFormat="1"/>
    <row r="9018" s="65" customFormat="1"/>
    <row r="9019" s="65" customFormat="1"/>
    <row r="9020" s="65" customFormat="1"/>
    <row r="9021" s="65" customFormat="1"/>
    <row r="9022" s="65" customFormat="1"/>
    <row r="9023" s="65" customFormat="1"/>
    <row r="9024" s="65" customFormat="1"/>
    <row r="9025" s="65" customFormat="1"/>
    <row r="9026" s="65" customFormat="1"/>
    <row r="9027" s="65" customFormat="1"/>
    <row r="9028" s="65" customFormat="1"/>
    <row r="9029" s="65" customFormat="1"/>
    <row r="9030" s="65" customFormat="1"/>
    <row r="9031" s="65" customFormat="1"/>
    <row r="9032" s="65" customFormat="1"/>
    <row r="9033" s="65" customFormat="1"/>
    <row r="9034" s="65" customFormat="1"/>
    <row r="9035" s="65" customFormat="1"/>
    <row r="9036" s="65" customFormat="1"/>
    <row r="9037" s="65" customFormat="1"/>
    <row r="9038" s="65" customFormat="1"/>
    <row r="9039" s="65" customFormat="1"/>
    <row r="9040" s="65" customFormat="1"/>
    <row r="9041" s="65" customFormat="1"/>
    <row r="9042" s="65" customFormat="1"/>
    <row r="9043" s="65" customFormat="1"/>
    <row r="9044" s="65" customFormat="1"/>
    <row r="9045" s="65" customFormat="1"/>
    <row r="9046" s="65" customFormat="1"/>
    <row r="9047" s="65" customFormat="1"/>
    <row r="9048" s="65" customFormat="1"/>
    <row r="9049" s="65" customFormat="1"/>
    <row r="9050" s="65" customFormat="1"/>
    <row r="9051" s="65" customFormat="1"/>
    <row r="9052" s="65" customFormat="1"/>
    <row r="9053" s="65" customFormat="1"/>
    <row r="9054" s="65" customFormat="1"/>
    <row r="9055" s="65" customFormat="1"/>
    <row r="9056" s="65" customFormat="1"/>
    <row r="9057" s="65" customFormat="1"/>
    <row r="9058" s="65" customFormat="1"/>
    <row r="9059" s="65" customFormat="1"/>
    <row r="9060" s="65" customFormat="1"/>
    <row r="9061" s="65" customFormat="1"/>
    <row r="9062" s="65" customFormat="1"/>
    <row r="9063" s="65" customFormat="1"/>
    <row r="9064" s="65" customFormat="1"/>
    <row r="9065" s="65" customFormat="1"/>
    <row r="9066" s="65" customFormat="1"/>
    <row r="9067" s="65" customFormat="1"/>
    <row r="9068" s="65" customFormat="1"/>
    <row r="9069" s="65" customFormat="1"/>
    <row r="9070" s="65" customFormat="1"/>
    <row r="9071" s="65" customFormat="1"/>
    <row r="9072" s="65" customFormat="1"/>
    <row r="9073" s="65" customFormat="1"/>
    <row r="9074" s="65" customFormat="1"/>
    <row r="9075" s="65" customFormat="1"/>
    <row r="9076" s="65" customFormat="1"/>
    <row r="9077" s="65" customFormat="1"/>
    <row r="9078" s="65" customFormat="1"/>
    <row r="9079" s="65" customFormat="1"/>
    <row r="9080" s="65" customFormat="1"/>
    <row r="9081" s="65" customFormat="1"/>
    <row r="9082" s="65" customFormat="1"/>
    <row r="9083" s="65" customFormat="1"/>
    <row r="9084" s="65" customFormat="1"/>
    <row r="9085" s="65" customFormat="1"/>
    <row r="9086" s="65" customFormat="1"/>
    <row r="9087" s="65" customFormat="1"/>
    <row r="9088" s="65" customFormat="1"/>
    <row r="9089" s="65" customFormat="1"/>
    <row r="9090" s="65" customFormat="1"/>
    <row r="9091" s="65" customFormat="1"/>
    <row r="9092" s="65" customFormat="1"/>
    <row r="9093" s="65" customFormat="1"/>
    <row r="9094" s="65" customFormat="1"/>
    <row r="9095" s="65" customFormat="1"/>
    <row r="9096" s="65" customFormat="1"/>
    <row r="9097" s="65" customFormat="1"/>
    <row r="9098" s="65" customFormat="1"/>
    <row r="9099" s="65" customFormat="1"/>
    <row r="9100" s="65" customFormat="1"/>
    <row r="9101" s="65" customFormat="1"/>
    <row r="9102" s="65" customFormat="1"/>
    <row r="9103" s="65" customFormat="1"/>
    <row r="9104" s="65" customFormat="1"/>
    <row r="9105" s="65" customFormat="1"/>
    <row r="9106" s="65" customFormat="1"/>
    <row r="9107" s="65" customFormat="1"/>
    <row r="9108" s="65" customFormat="1"/>
    <row r="9109" s="65" customFormat="1"/>
    <row r="9110" s="65" customFormat="1"/>
    <row r="9111" s="65" customFormat="1"/>
    <row r="9112" s="65" customFormat="1"/>
    <row r="9113" s="65" customFormat="1"/>
    <row r="9114" s="65" customFormat="1"/>
    <row r="9115" s="65" customFormat="1"/>
    <row r="9116" s="65" customFormat="1"/>
    <row r="9117" s="65" customFormat="1"/>
    <row r="9118" s="65" customFormat="1"/>
    <row r="9119" s="65" customFormat="1"/>
    <row r="9120" s="65" customFormat="1"/>
    <row r="9121" s="65" customFormat="1"/>
    <row r="9122" s="65" customFormat="1"/>
    <row r="9123" s="65" customFormat="1"/>
    <row r="9124" s="65" customFormat="1"/>
    <row r="9125" s="65" customFormat="1"/>
    <row r="9126" s="65" customFormat="1"/>
    <row r="9127" s="65" customFormat="1"/>
    <row r="9128" s="65" customFormat="1"/>
    <row r="9129" s="65" customFormat="1"/>
    <row r="9130" s="65" customFormat="1"/>
    <row r="9131" s="65" customFormat="1"/>
    <row r="9132" s="65" customFormat="1"/>
    <row r="9133" s="65" customFormat="1"/>
    <row r="9134" s="65" customFormat="1"/>
    <row r="9135" s="65" customFormat="1"/>
    <row r="9136" s="65" customFormat="1"/>
    <row r="9137" s="65" customFormat="1"/>
    <row r="9138" s="65" customFormat="1"/>
    <row r="9139" s="65" customFormat="1"/>
    <row r="9140" s="65" customFormat="1"/>
    <row r="9141" s="65" customFormat="1"/>
    <row r="9142" s="65" customFormat="1"/>
    <row r="9143" s="65" customFormat="1"/>
    <row r="9144" s="65" customFormat="1"/>
    <row r="9145" s="65" customFormat="1"/>
    <row r="9146" s="65" customFormat="1"/>
    <row r="9147" s="65" customFormat="1"/>
    <row r="9148" s="65" customFormat="1"/>
    <row r="9149" s="65" customFormat="1"/>
    <row r="9150" s="65" customFormat="1"/>
    <row r="9151" s="65" customFormat="1"/>
    <row r="9152" s="65" customFormat="1"/>
    <row r="9153" s="65" customFormat="1"/>
    <row r="9154" s="65" customFormat="1"/>
    <row r="9155" s="65" customFormat="1"/>
    <row r="9156" s="65" customFormat="1"/>
    <row r="9157" s="65" customFormat="1"/>
    <row r="9158" s="65" customFormat="1"/>
    <row r="9159" s="65" customFormat="1"/>
    <row r="9160" s="65" customFormat="1"/>
    <row r="9161" s="65" customFormat="1"/>
    <row r="9162" s="65" customFormat="1"/>
    <row r="9163" s="65" customFormat="1"/>
    <row r="9164" s="65" customFormat="1"/>
    <row r="9165" s="65" customFormat="1"/>
    <row r="9166" s="65" customFormat="1"/>
    <row r="9167" s="65" customFormat="1"/>
    <row r="9168" s="65" customFormat="1"/>
    <row r="9169" s="65" customFormat="1"/>
    <row r="9170" s="65" customFormat="1"/>
    <row r="9171" s="65" customFormat="1"/>
    <row r="9172" s="65" customFormat="1"/>
    <row r="9173" s="65" customFormat="1"/>
    <row r="9174" s="65" customFormat="1"/>
    <row r="9175" s="65" customFormat="1"/>
    <row r="9176" s="65" customFormat="1"/>
    <row r="9177" s="65" customFormat="1"/>
    <row r="9178" s="65" customFormat="1"/>
    <row r="9179" s="65" customFormat="1"/>
    <row r="9180" s="65" customFormat="1"/>
    <row r="9181" s="65" customFormat="1"/>
    <row r="9182" s="65" customFormat="1"/>
    <row r="9183" s="65" customFormat="1"/>
    <row r="9184" s="65" customFormat="1"/>
    <row r="9185" s="65" customFormat="1"/>
    <row r="9186" s="65" customFormat="1"/>
    <row r="9187" s="65" customFormat="1"/>
    <row r="9188" s="65" customFormat="1"/>
    <row r="9189" s="65" customFormat="1"/>
    <row r="9190" s="65" customFormat="1"/>
    <row r="9191" s="65" customFormat="1"/>
    <row r="9192" s="65" customFormat="1"/>
    <row r="9193" s="65" customFormat="1"/>
    <row r="9194" s="65" customFormat="1"/>
    <row r="9195" s="65" customFormat="1"/>
    <row r="9196" s="65" customFormat="1"/>
    <row r="9197" s="65" customFormat="1"/>
    <row r="9198" s="65" customFormat="1"/>
    <row r="9199" s="65" customFormat="1"/>
    <row r="9200" s="65" customFormat="1"/>
    <row r="9201" s="65" customFormat="1"/>
    <row r="9202" s="65" customFormat="1"/>
    <row r="9203" s="65" customFormat="1"/>
    <row r="9204" s="65" customFormat="1"/>
    <row r="9205" s="65" customFormat="1"/>
    <row r="9206" s="65" customFormat="1"/>
    <row r="9207" s="65" customFormat="1"/>
    <row r="9208" s="65" customFormat="1"/>
    <row r="9209" s="65" customFormat="1"/>
    <row r="9210" s="65" customFormat="1"/>
    <row r="9211" s="65" customFormat="1"/>
    <row r="9212" s="65" customFormat="1"/>
    <row r="9213" s="65" customFormat="1"/>
    <row r="9214" s="65" customFormat="1"/>
    <row r="9215" s="65" customFormat="1"/>
    <row r="9216" s="65" customFormat="1"/>
    <row r="9217" s="65" customFormat="1"/>
    <row r="9218" s="65" customFormat="1"/>
    <row r="9219" s="65" customFormat="1"/>
    <row r="9220" s="65" customFormat="1"/>
    <row r="9221" s="65" customFormat="1"/>
    <row r="9222" s="65" customFormat="1"/>
    <row r="9223" s="65" customFormat="1"/>
    <row r="9224" s="65" customFormat="1"/>
    <row r="9225" s="65" customFormat="1"/>
    <row r="9226" s="65" customFormat="1"/>
    <row r="9227" s="65" customFormat="1"/>
    <row r="9228" s="65" customFormat="1"/>
    <row r="9229" s="65" customFormat="1"/>
    <row r="9230" s="65" customFormat="1"/>
    <row r="9231" s="65" customFormat="1"/>
    <row r="9232" s="65" customFormat="1"/>
    <row r="9233" s="65" customFormat="1"/>
    <row r="9234" s="65" customFormat="1"/>
    <row r="9235" s="65" customFormat="1"/>
    <row r="9236" s="65" customFormat="1"/>
    <row r="9237" s="65" customFormat="1"/>
    <row r="9238" s="65" customFormat="1"/>
    <row r="9239" s="65" customFormat="1"/>
    <row r="9240" s="65" customFormat="1"/>
    <row r="9241" s="65" customFormat="1"/>
    <row r="9242" s="65" customFormat="1"/>
    <row r="9243" s="65" customFormat="1"/>
    <row r="9244" s="65" customFormat="1"/>
    <row r="9245" s="65" customFormat="1"/>
    <row r="9246" s="65" customFormat="1"/>
    <row r="9247" s="65" customFormat="1"/>
    <row r="9248" s="65" customFormat="1"/>
    <row r="9249" s="65" customFormat="1"/>
    <row r="9250" s="65" customFormat="1"/>
    <row r="9251" s="65" customFormat="1"/>
    <row r="9252" s="65" customFormat="1"/>
    <row r="9253" s="65" customFormat="1"/>
    <row r="9254" s="65" customFormat="1"/>
    <row r="9255" s="65" customFormat="1"/>
    <row r="9256" s="65" customFormat="1"/>
    <row r="9257" s="65" customFormat="1"/>
    <row r="9258" s="65" customFormat="1"/>
    <row r="9259" s="65" customFormat="1"/>
    <row r="9260" s="65" customFormat="1"/>
    <row r="9261" s="65" customFormat="1"/>
    <row r="9262" s="65" customFormat="1"/>
    <row r="9263" s="65" customFormat="1"/>
    <row r="9264" s="65" customFormat="1"/>
    <row r="9265" s="65" customFormat="1"/>
    <row r="9266" s="65" customFormat="1"/>
    <row r="9267" s="65" customFormat="1"/>
    <row r="9268" s="65" customFormat="1"/>
    <row r="9269" s="65" customFormat="1"/>
    <row r="9270" s="65" customFormat="1"/>
    <row r="9271" s="65" customFormat="1"/>
    <row r="9272" s="65" customFormat="1"/>
    <row r="9273" s="65" customFormat="1"/>
    <row r="9274" s="65" customFormat="1"/>
    <row r="9275" s="65" customFormat="1"/>
    <row r="9276" s="65" customFormat="1"/>
    <row r="9277" s="65" customFormat="1"/>
    <row r="9278" s="65" customFormat="1"/>
    <row r="9279" s="65" customFormat="1"/>
    <row r="9280" s="65" customFormat="1"/>
    <row r="9281" s="65" customFormat="1"/>
    <row r="9282" s="65" customFormat="1"/>
    <row r="9283" s="65" customFormat="1"/>
    <row r="9284" s="65" customFormat="1"/>
    <row r="9285" s="65" customFormat="1"/>
    <row r="9286" s="65" customFormat="1"/>
    <row r="9287" s="65" customFormat="1"/>
    <row r="9288" s="65" customFormat="1"/>
    <row r="9289" s="65" customFormat="1"/>
    <row r="9290" s="65" customFormat="1"/>
    <row r="9291" s="65" customFormat="1"/>
    <row r="9292" s="65" customFormat="1"/>
    <row r="9293" s="65" customFormat="1"/>
    <row r="9294" s="65" customFormat="1"/>
    <row r="9295" s="65" customFormat="1"/>
    <row r="9296" s="65" customFormat="1"/>
    <row r="9297" s="65" customFormat="1"/>
    <row r="9298" s="65" customFormat="1"/>
    <row r="9299" s="65" customFormat="1"/>
    <row r="9300" s="65" customFormat="1"/>
    <row r="9301" s="65" customFormat="1"/>
    <row r="9302" s="65" customFormat="1"/>
    <row r="9303" s="65" customFormat="1"/>
    <row r="9304" s="65" customFormat="1"/>
    <row r="9305" s="65" customFormat="1"/>
    <row r="9306" s="65" customFormat="1"/>
    <row r="9307" s="65" customFormat="1"/>
    <row r="9308" s="65" customFormat="1"/>
    <row r="9309" s="65" customFormat="1"/>
    <row r="9310" s="65" customFormat="1"/>
    <row r="9311" s="65" customFormat="1"/>
    <row r="9312" s="65" customFormat="1"/>
    <row r="9313" s="65" customFormat="1"/>
    <row r="9314" s="65" customFormat="1"/>
    <row r="9315" s="65" customFormat="1"/>
    <row r="9316" s="65" customFormat="1"/>
    <row r="9317" s="65" customFormat="1"/>
    <row r="9318" s="65" customFormat="1"/>
    <row r="9319" s="65" customFormat="1"/>
    <row r="9320" s="65" customFormat="1"/>
    <row r="9321" s="65" customFormat="1"/>
    <row r="9322" s="65" customFormat="1"/>
    <row r="9323" s="65" customFormat="1"/>
    <row r="9324" s="65" customFormat="1"/>
    <row r="9325" s="65" customFormat="1"/>
    <row r="9326" s="65" customFormat="1"/>
    <row r="9327" s="65" customFormat="1"/>
    <row r="9328" s="65" customFormat="1"/>
    <row r="9329" s="65" customFormat="1"/>
    <row r="9330" s="65" customFormat="1"/>
    <row r="9331" s="65" customFormat="1"/>
    <row r="9332" s="65" customFormat="1"/>
    <row r="9333" s="65" customFormat="1"/>
    <row r="9334" s="65" customFormat="1"/>
    <row r="9335" s="65" customFormat="1"/>
    <row r="9336" s="65" customFormat="1"/>
    <row r="9337" s="65" customFormat="1"/>
    <row r="9338" s="65" customFormat="1"/>
    <row r="9339" s="65" customFormat="1"/>
    <row r="9340" s="65" customFormat="1"/>
    <row r="9341" s="65" customFormat="1"/>
    <row r="9342" s="65" customFormat="1"/>
    <row r="9343" s="65" customFormat="1"/>
    <row r="9344" s="65" customFormat="1"/>
    <row r="9345" s="65" customFormat="1"/>
    <row r="9346" s="65" customFormat="1"/>
    <row r="9347" s="65" customFormat="1"/>
    <row r="9348" s="65" customFormat="1"/>
    <row r="9349" s="65" customFormat="1"/>
    <row r="9350" s="65" customFormat="1"/>
    <row r="9351" s="65" customFormat="1"/>
    <row r="9352" s="65" customFormat="1"/>
    <row r="9353" s="65" customFormat="1"/>
    <row r="9354" s="65" customFormat="1"/>
    <row r="9355" s="65" customFormat="1"/>
    <row r="9356" s="65" customFormat="1"/>
    <row r="9357" s="65" customFormat="1"/>
    <row r="9358" s="65" customFormat="1"/>
    <row r="9359" s="65" customFormat="1"/>
    <row r="9360" s="65" customFormat="1"/>
    <row r="9361" s="65" customFormat="1"/>
    <row r="9362" s="65" customFormat="1"/>
    <row r="9363" s="65" customFormat="1"/>
    <row r="9364" s="65" customFormat="1"/>
    <row r="9365" s="65" customFormat="1"/>
    <row r="9366" s="65" customFormat="1"/>
    <row r="9367" s="65" customFormat="1"/>
    <row r="9368" s="65" customFormat="1"/>
    <row r="9369" s="65" customFormat="1"/>
    <row r="9370" s="65" customFormat="1"/>
    <row r="9371" s="65" customFormat="1"/>
    <row r="9372" s="65" customFormat="1"/>
    <row r="9373" s="65" customFormat="1"/>
    <row r="9374" s="65" customFormat="1"/>
    <row r="9375" s="65" customFormat="1"/>
    <row r="9376" s="65" customFormat="1"/>
    <row r="9377" s="65" customFormat="1"/>
    <row r="9378" s="65" customFormat="1"/>
    <row r="9379" s="65" customFormat="1"/>
    <row r="9380" s="65" customFormat="1"/>
    <row r="9381" s="65" customFormat="1"/>
    <row r="9382" s="65" customFormat="1"/>
    <row r="9383" s="65" customFormat="1"/>
    <row r="9384" s="65" customFormat="1"/>
    <row r="9385" s="65" customFormat="1"/>
    <row r="9386" s="65" customFormat="1"/>
    <row r="9387" s="65" customFormat="1"/>
    <row r="9388" s="65" customFormat="1"/>
    <row r="9389" s="65" customFormat="1"/>
    <row r="9390" s="65" customFormat="1"/>
    <row r="9391" s="65" customFormat="1"/>
    <row r="9392" s="65" customFormat="1"/>
    <row r="9393" s="65" customFormat="1"/>
    <row r="9394" s="65" customFormat="1"/>
    <row r="9395" s="65" customFormat="1"/>
    <row r="9396" s="65" customFormat="1"/>
    <row r="9397" s="65" customFormat="1"/>
    <row r="9398" s="65" customFormat="1"/>
    <row r="9399" s="65" customFormat="1"/>
    <row r="9400" s="65" customFormat="1"/>
    <row r="9401" s="65" customFormat="1"/>
    <row r="9402" s="65" customFormat="1"/>
    <row r="9403" s="65" customFormat="1"/>
    <row r="9404" s="65" customFormat="1"/>
    <row r="9405" s="65" customFormat="1"/>
    <row r="9406" s="65" customFormat="1"/>
    <row r="9407" s="65" customFormat="1"/>
    <row r="9408" s="65" customFormat="1"/>
    <row r="9409" s="65" customFormat="1"/>
    <row r="9410" s="65" customFormat="1"/>
    <row r="9411" s="65" customFormat="1"/>
    <row r="9412" s="65" customFormat="1"/>
    <row r="9413" s="65" customFormat="1"/>
    <row r="9414" s="65" customFormat="1"/>
    <row r="9415" s="65" customFormat="1"/>
    <row r="9416" s="65" customFormat="1"/>
    <row r="9417" s="65" customFormat="1"/>
    <row r="9418" s="65" customFormat="1"/>
    <row r="9419" s="65" customFormat="1"/>
    <row r="9420" s="65" customFormat="1"/>
    <row r="9421" s="65" customFormat="1"/>
    <row r="9422" s="65" customFormat="1"/>
    <row r="9423" s="65" customFormat="1"/>
    <row r="9424" s="65" customFormat="1"/>
    <row r="9425" s="65" customFormat="1"/>
    <row r="9426" s="65" customFormat="1"/>
    <row r="9427" s="65" customFormat="1"/>
    <row r="9428" s="65" customFormat="1"/>
    <row r="9429" s="65" customFormat="1"/>
    <row r="9430" s="65" customFormat="1"/>
    <row r="9431" s="65" customFormat="1"/>
    <row r="9432" s="65" customFormat="1"/>
    <row r="9433" s="65" customFormat="1"/>
    <row r="9434" s="65" customFormat="1"/>
    <row r="9435" s="65" customFormat="1"/>
    <row r="9436" s="65" customFormat="1"/>
    <row r="9437" s="65" customFormat="1"/>
    <row r="9438" s="65" customFormat="1"/>
    <row r="9439" s="65" customFormat="1"/>
    <row r="9440" s="65" customFormat="1"/>
    <row r="9441" s="65" customFormat="1"/>
    <row r="9442" s="65" customFormat="1"/>
    <row r="9443" s="65" customFormat="1"/>
    <row r="9444" s="65" customFormat="1"/>
    <row r="9445" s="65" customFormat="1"/>
    <row r="9446" s="65" customFormat="1"/>
    <row r="9447" s="65" customFormat="1"/>
    <row r="9448" s="65" customFormat="1"/>
    <row r="9449" s="65" customFormat="1"/>
    <row r="9450" s="65" customFormat="1"/>
    <row r="9451" s="65" customFormat="1"/>
    <row r="9452" s="65" customFormat="1"/>
    <row r="9453" s="65" customFormat="1"/>
    <row r="9454" s="65" customFormat="1"/>
    <row r="9455" s="65" customFormat="1"/>
    <row r="9456" s="65" customFormat="1"/>
    <row r="9457" s="65" customFormat="1"/>
    <row r="9458" s="65" customFormat="1"/>
    <row r="9459" s="65" customFormat="1"/>
    <row r="9460" s="65" customFormat="1"/>
    <row r="9461" s="65" customFormat="1"/>
    <row r="9462" s="65" customFormat="1"/>
    <row r="9463" s="65" customFormat="1"/>
    <row r="9464" s="65" customFormat="1"/>
    <row r="9465" s="65" customFormat="1"/>
    <row r="9466" s="65" customFormat="1"/>
    <row r="9467" s="65" customFormat="1"/>
    <row r="9468" s="65" customFormat="1"/>
    <row r="9469" s="65" customFormat="1"/>
    <row r="9470" s="65" customFormat="1"/>
    <row r="9471" s="65" customFormat="1"/>
    <row r="9472" s="65" customFormat="1"/>
    <row r="9473" s="65" customFormat="1"/>
    <row r="9474" s="65" customFormat="1"/>
    <row r="9475" s="65" customFormat="1"/>
    <row r="9476" s="65" customFormat="1"/>
    <row r="9477" s="65" customFormat="1"/>
    <row r="9478" s="65" customFormat="1"/>
    <row r="9479" s="65" customFormat="1"/>
    <row r="9480" s="65" customFormat="1"/>
    <row r="9481" s="65" customFormat="1"/>
    <row r="9482" s="65" customFormat="1"/>
    <row r="9483" s="65" customFormat="1"/>
    <row r="9484" s="65" customFormat="1"/>
    <row r="9485" s="65" customFormat="1"/>
    <row r="9486" s="65" customFormat="1"/>
    <row r="9487" s="65" customFormat="1"/>
    <row r="9488" s="65" customFormat="1"/>
    <row r="9489" s="65" customFormat="1"/>
    <row r="9490" s="65" customFormat="1"/>
    <row r="9491" s="65" customFormat="1"/>
    <row r="9492" s="65" customFormat="1"/>
    <row r="9493" s="65" customFormat="1"/>
    <row r="9494" s="65" customFormat="1"/>
    <row r="9495" s="65" customFormat="1"/>
    <row r="9496" s="65" customFormat="1"/>
    <row r="9497" s="65" customFormat="1"/>
    <row r="9498" s="65" customFormat="1"/>
    <row r="9499" s="65" customFormat="1"/>
    <row r="9500" s="65" customFormat="1"/>
    <row r="9501" s="65" customFormat="1"/>
    <row r="9502" s="65" customFormat="1"/>
    <row r="9503" s="65" customFormat="1"/>
    <row r="9504" s="65" customFormat="1"/>
    <row r="9505" s="65" customFormat="1"/>
    <row r="9506" s="65" customFormat="1"/>
    <row r="9507" s="65" customFormat="1"/>
    <row r="9508" s="65" customFormat="1"/>
    <row r="9509" s="65" customFormat="1"/>
    <row r="9510" s="65" customFormat="1"/>
    <row r="9511" s="65" customFormat="1"/>
    <row r="9512" s="65" customFormat="1"/>
    <row r="9513" s="65" customFormat="1"/>
    <row r="9514" s="65" customFormat="1"/>
    <row r="9515" s="65" customFormat="1"/>
    <row r="9516" s="65" customFormat="1"/>
    <row r="9517" s="65" customFormat="1"/>
    <row r="9518" s="65" customFormat="1"/>
    <row r="9519" s="65" customFormat="1"/>
    <row r="9520" s="65" customFormat="1"/>
    <row r="9521" s="65" customFormat="1"/>
    <row r="9522" s="65" customFormat="1"/>
    <row r="9523" s="65" customFormat="1"/>
    <row r="9524" s="65" customFormat="1"/>
    <row r="9525" s="65" customFormat="1"/>
    <row r="9526" s="65" customFormat="1"/>
    <row r="9527" s="65" customFormat="1"/>
    <row r="9528" s="65" customFormat="1"/>
    <row r="9529" s="65" customFormat="1"/>
    <row r="9530" s="65" customFormat="1"/>
    <row r="9531" s="65" customFormat="1"/>
    <row r="9532" s="65" customFormat="1"/>
    <row r="9533" s="65" customFormat="1"/>
    <row r="9534" s="65" customFormat="1"/>
    <row r="9535" s="65" customFormat="1"/>
    <row r="9536" s="65" customFormat="1"/>
    <row r="9537" s="65" customFormat="1"/>
    <row r="9538" s="65" customFormat="1"/>
    <row r="9539" s="65" customFormat="1"/>
    <row r="9540" s="65" customFormat="1"/>
    <row r="9541" s="65" customFormat="1"/>
    <row r="9542" s="65" customFormat="1"/>
    <row r="9543" s="65" customFormat="1"/>
    <row r="9544" s="65" customFormat="1"/>
    <row r="9545" s="65" customFormat="1"/>
    <row r="9546" s="65" customFormat="1"/>
    <row r="9547" s="65" customFormat="1"/>
    <row r="9548" s="65" customFormat="1"/>
    <row r="9549" s="65" customFormat="1"/>
    <row r="9550" s="65" customFormat="1"/>
    <row r="9551" s="65" customFormat="1"/>
    <row r="9552" s="65" customFormat="1"/>
    <row r="9553" s="65" customFormat="1"/>
    <row r="9554" s="65" customFormat="1"/>
    <row r="9555" s="65" customFormat="1"/>
    <row r="9556" s="65" customFormat="1"/>
    <row r="9557" s="65" customFormat="1"/>
    <row r="9558" s="65" customFormat="1"/>
    <row r="9559" s="65" customFormat="1"/>
    <row r="9560" s="65" customFormat="1"/>
    <row r="9561" s="65" customFormat="1"/>
    <row r="9562" s="65" customFormat="1"/>
    <row r="9563" s="65" customFormat="1"/>
    <row r="9564" s="65" customFormat="1"/>
    <row r="9565" s="65" customFormat="1"/>
    <row r="9566" s="65" customFormat="1"/>
    <row r="9567" s="65" customFormat="1"/>
    <row r="9568" s="65" customFormat="1"/>
    <row r="9569" s="65" customFormat="1"/>
    <row r="9570" s="65" customFormat="1"/>
    <row r="9571" s="65" customFormat="1"/>
    <row r="9572" s="65" customFormat="1"/>
    <row r="9573" s="65" customFormat="1"/>
    <row r="9574" s="65" customFormat="1"/>
    <row r="9575" s="65" customFormat="1"/>
    <row r="9576" s="65" customFormat="1"/>
    <row r="9577" s="65" customFormat="1"/>
    <row r="9578" s="65" customFormat="1"/>
    <row r="9579" s="65" customFormat="1"/>
    <row r="9580" s="65" customFormat="1"/>
    <row r="9581" s="65" customFormat="1"/>
    <row r="9582" s="65" customFormat="1"/>
    <row r="9583" s="65" customFormat="1"/>
    <row r="9584" s="65" customFormat="1"/>
    <row r="9585" s="65" customFormat="1"/>
    <row r="9586" s="65" customFormat="1"/>
    <row r="9587" s="65" customFormat="1"/>
    <row r="9588" s="65" customFormat="1"/>
    <row r="9589" s="65" customFormat="1"/>
    <row r="9590" s="65" customFormat="1"/>
    <row r="9591" s="65" customFormat="1"/>
    <row r="9592" s="65" customFormat="1"/>
    <row r="9593" s="65" customFormat="1"/>
    <row r="9594" s="65" customFormat="1"/>
    <row r="9595" s="65" customFormat="1"/>
    <row r="9596" s="65" customFormat="1"/>
    <row r="9597" s="65" customFormat="1"/>
    <row r="9598" s="65" customFormat="1"/>
    <row r="9599" s="65" customFormat="1"/>
    <row r="9600" s="65" customFormat="1"/>
    <row r="9601" s="65" customFormat="1"/>
    <row r="9602" s="65" customFormat="1"/>
    <row r="9603" s="65" customFormat="1"/>
    <row r="9604" s="65" customFormat="1"/>
    <row r="9605" s="65" customFormat="1"/>
    <row r="9606" s="65" customFormat="1"/>
    <row r="9607" s="65" customFormat="1"/>
    <row r="9608" s="65" customFormat="1"/>
    <row r="9609" s="65" customFormat="1"/>
    <row r="9610" s="65" customFormat="1"/>
    <row r="9611" s="65" customFormat="1"/>
    <row r="9612" s="65" customFormat="1"/>
    <row r="9613" s="65" customFormat="1"/>
    <row r="9614" s="65" customFormat="1"/>
    <row r="9615" s="65" customFormat="1"/>
    <row r="9616" s="65" customFormat="1"/>
    <row r="9617" s="65" customFormat="1"/>
    <row r="9618" s="65" customFormat="1"/>
    <row r="9619" s="65" customFormat="1"/>
    <row r="9620" s="65" customFormat="1"/>
    <row r="9621" s="65" customFormat="1"/>
    <row r="9622" s="65" customFormat="1"/>
    <row r="9623" s="65" customFormat="1"/>
    <row r="9624" s="65" customFormat="1"/>
    <row r="9625" s="65" customFormat="1"/>
    <row r="9626" s="65" customFormat="1"/>
    <row r="9627" s="65" customFormat="1"/>
    <row r="9628" s="65" customFormat="1"/>
    <row r="9629" s="65" customFormat="1"/>
    <row r="9630" s="65" customFormat="1"/>
    <row r="9631" s="65" customFormat="1"/>
    <row r="9632" s="65" customFormat="1"/>
    <row r="9633" s="65" customFormat="1"/>
    <row r="9634" s="65" customFormat="1"/>
    <row r="9635" s="65" customFormat="1"/>
    <row r="9636" s="65" customFormat="1"/>
    <row r="9637" s="65" customFormat="1"/>
    <row r="9638" s="65" customFormat="1"/>
    <row r="9639" s="65" customFormat="1"/>
    <row r="9640" s="65" customFormat="1"/>
    <row r="9641" s="65" customFormat="1"/>
    <row r="9642" s="65" customFormat="1"/>
    <row r="9643" s="65" customFormat="1"/>
    <row r="9644" s="65" customFormat="1"/>
    <row r="9645" s="65" customFormat="1"/>
    <row r="9646" s="65" customFormat="1"/>
    <row r="9647" s="65" customFormat="1"/>
    <row r="9648" s="65" customFormat="1"/>
    <row r="9649" s="65" customFormat="1"/>
    <row r="9650" s="65" customFormat="1"/>
    <row r="9651" s="65" customFormat="1"/>
    <row r="9652" s="65" customFormat="1"/>
    <row r="9653" s="65" customFormat="1"/>
    <row r="9654" s="65" customFormat="1"/>
    <row r="9655" s="65" customFormat="1"/>
    <row r="9656" s="65" customFormat="1"/>
    <row r="9657" s="65" customFormat="1"/>
    <row r="9658" s="65" customFormat="1"/>
    <row r="9659" s="65" customFormat="1"/>
    <row r="9660" s="65" customFormat="1"/>
    <row r="9661" s="65" customFormat="1"/>
    <row r="9662" s="65" customFormat="1"/>
    <row r="9663" s="65" customFormat="1"/>
    <row r="9664" s="65" customFormat="1"/>
    <row r="9665" s="65" customFormat="1"/>
    <row r="9666" s="65" customFormat="1"/>
    <row r="9667" s="65" customFormat="1"/>
    <row r="9668" s="65" customFormat="1"/>
    <row r="9669" s="65" customFormat="1"/>
    <row r="9670" s="65" customFormat="1"/>
    <row r="9671" s="65" customFormat="1"/>
    <row r="9672" s="65" customFormat="1"/>
    <row r="9673" s="65" customFormat="1"/>
    <row r="9674" s="65" customFormat="1"/>
    <row r="9675" s="65" customFormat="1"/>
    <row r="9676" s="65" customFormat="1"/>
    <row r="9677" s="65" customFormat="1"/>
    <row r="9678" s="65" customFormat="1"/>
    <row r="9679" s="65" customFormat="1"/>
    <row r="9680" s="65" customFormat="1"/>
    <row r="9681" s="65" customFormat="1"/>
    <row r="9682" s="65" customFormat="1"/>
    <row r="9683" s="65" customFormat="1"/>
    <row r="9684" s="65" customFormat="1"/>
    <row r="9685" s="65" customFormat="1"/>
    <row r="9686" s="65" customFormat="1"/>
    <row r="9687" s="65" customFormat="1"/>
    <row r="9688" s="65" customFormat="1"/>
    <row r="9689" s="65" customFormat="1"/>
    <row r="9690" s="65" customFormat="1"/>
    <row r="9691" s="65" customFormat="1"/>
    <row r="9692" s="65" customFormat="1"/>
    <row r="9693" s="65" customFormat="1"/>
    <row r="9694" s="65" customFormat="1"/>
    <row r="9695" s="65" customFormat="1"/>
    <row r="9696" s="65" customFormat="1"/>
    <row r="9697" s="65" customFormat="1"/>
    <row r="9698" s="65" customFormat="1"/>
    <row r="9699" s="65" customFormat="1"/>
    <row r="9700" s="65" customFormat="1"/>
    <row r="9701" s="65" customFormat="1"/>
    <row r="9702" s="65" customFormat="1"/>
    <row r="9703" s="65" customFormat="1"/>
    <row r="9704" s="65" customFormat="1"/>
    <row r="9705" s="65" customFormat="1"/>
    <row r="9706" s="65" customFormat="1"/>
    <row r="9707" s="65" customFormat="1"/>
    <row r="9708" s="65" customFormat="1"/>
    <row r="9709" s="65" customFormat="1"/>
    <row r="9710" s="65" customFormat="1"/>
    <row r="9711" s="65" customFormat="1"/>
    <row r="9712" s="65" customFormat="1"/>
    <row r="9713" s="65" customFormat="1"/>
    <row r="9714" s="65" customFormat="1"/>
    <row r="9715" s="65" customFormat="1"/>
    <row r="9716" s="65" customFormat="1"/>
    <row r="9717" s="65" customFormat="1"/>
    <row r="9718" s="65" customFormat="1"/>
    <row r="9719" s="65" customFormat="1"/>
    <row r="9720" s="65" customFormat="1"/>
    <row r="9721" s="65" customFormat="1"/>
    <row r="9722" s="65" customFormat="1"/>
    <row r="9723" s="65" customFormat="1"/>
    <row r="9724" s="65" customFormat="1"/>
    <row r="9725" s="65" customFormat="1"/>
    <row r="9726" s="65" customFormat="1"/>
    <row r="9727" s="65" customFormat="1"/>
    <row r="9728" s="65" customFormat="1"/>
    <row r="9729" s="65" customFormat="1"/>
    <row r="9730" s="65" customFormat="1"/>
    <row r="9731" s="65" customFormat="1"/>
    <row r="9732" s="65" customFormat="1"/>
    <row r="9733" s="65" customFormat="1"/>
    <row r="9734" s="65" customFormat="1"/>
    <row r="9735" s="65" customFormat="1"/>
    <row r="9736" s="65" customFormat="1"/>
    <row r="9737" s="65" customFormat="1"/>
    <row r="9738" s="65" customFormat="1"/>
    <row r="9739" s="65" customFormat="1"/>
    <row r="9740" s="65" customFormat="1"/>
    <row r="9741" s="65" customFormat="1"/>
    <row r="9742" s="65" customFormat="1"/>
    <row r="9743" s="65" customFormat="1"/>
    <row r="9744" s="65" customFormat="1"/>
    <row r="9745" s="65" customFormat="1"/>
    <row r="9746" s="65" customFormat="1"/>
    <row r="9747" s="65" customFormat="1"/>
    <row r="9748" s="65" customFormat="1"/>
    <row r="9749" s="65" customFormat="1"/>
    <row r="9750" s="65" customFormat="1"/>
    <row r="9751" s="65" customFormat="1"/>
    <row r="9752" s="65" customFormat="1"/>
    <row r="9753" s="65" customFormat="1"/>
    <row r="9754" s="65" customFormat="1"/>
    <row r="9755" s="65" customFormat="1"/>
    <row r="9756" s="65" customFormat="1"/>
    <row r="9757" s="65" customFormat="1"/>
    <row r="9758" s="65" customFormat="1"/>
    <row r="9759" s="65" customFormat="1"/>
    <row r="9760" s="65" customFormat="1"/>
    <row r="9761" s="65" customFormat="1"/>
    <row r="9762" s="65" customFormat="1"/>
    <row r="9763" s="65" customFormat="1"/>
    <row r="9764" s="65" customFormat="1"/>
    <row r="9765" s="65" customFormat="1"/>
    <row r="9766" s="65" customFormat="1"/>
    <row r="9767" s="65" customFormat="1"/>
    <row r="9768" s="65" customFormat="1"/>
    <row r="9769" s="65" customFormat="1"/>
    <row r="9770" s="65" customFormat="1"/>
    <row r="9771" s="65" customFormat="1"/>
    <row r="9772" s="65" customFormat="1"/>
    <row r="9773" s="65" customFormat="1"/>
    <row r="9774" s="65" customFormat="1"/>
    <row r="9775" s="65" customFormat="1"/>
    <row r="9776" s="65" customFormat="1"/>
    <row r="9777" s="65" customFormat="1"/>
    <row r="9778" s="65" customFormat="1"/>
    <row r="9779" s="65" customFormat="1"/>
    <row r="9780" s="65" customFormat="1"/>
    <row r="9781" s="65" customFormat="1"/>
    <row r="9782" s="65" customFormat="1"/>
    <row r="9783" s="65" customFormat="1"/>
    <row r="9784" s="65" customFormat="1"/>
    <row r="9785" s="65" customFormat="1"/>
    <row r="9786" s="65" customFormat="1"/>
    <row r="9787" s="65" customFormat="1"/>
    <row r="9788" s="65" customFormat="1"/>
    <row r="9789" s="65" customFormat="1"/>
    <row r="9790" s="65" customFormat="1"/>
    <row r="9791" s="65" customFormat="1"/>
    <row r="9792" s="65" customFormat="1"/>
    <row r="9793" s="65" customFormat="1"/>
    <row r="9794" s="65" customFormat="1"/>
    <row r="9795" s="65" customFormat="1"/>
    <row r="9796" s="65" customFormat="1"/>
    <row r="9797" s="65" customFormat="1"/>
    <row r="9798" s="65" customFormat="1"/>
    <row r="9799" s="65" customFormat="1"/>
    <row r="9800" s="65" customFormat="1"/>
    <row r="9801" s="65" customFormat="1"/>
    <row r="9802" s="65" customFormat="1"/>
    <row r="9803" s="65" customFormat="1"/>
    <row r="9804" s="65" customFormat="1"/>
    <row r="9805" s="65" customFormat="1"/>
    <row r="9806" s="65" customFormat="1"/>
    <row r="9807" s="65" customFormat="1"/>
    <row r="9808" s="65" customFormat="1"/>
    <row r="9809" s="65" customFormat="1"/>
    <row r="9810" s="65" customFormat="1"/>
    <row r="9811" s="65" customFormat="1"/>
    <row r="9812" s="65" customFormat="1"/>
    <row r="9813" s="65" customFormat="1"/>
    <row r="9814" s="65" customFormat="1"/>
    <row r="9815" s="65" customFormat="1"/>
    <row r="9816" s="65" customFormat="1"/>
    <row r="9817" s="65" customFormat="1"/>
    <row r="9818" s="65" customFormat="1"/>
    <row r="9819" s="65" customFormat="1"/>
    <row r="9820" s="65" customFormat="1"/>
    <row r="9821" s="65" customFormat="1"/>
    <row r="9822" s="65" customFormat="1"/>
    <row r="9823" s="65" customFormat="1"/>
    <row r="9824" s="65" customFormat="1"/>
    <row r="9825" s="65" customFormat="1"/>
    <row r="9826" s="65" customFormat="1"/>
    <row r="9827" s="65" customFormat="1"/>
    <row r="9828" s="65" customFormat="1"/>
    <row r="9829" s="65" customFormat="1"/>
    <row r="9830" s="65" customFormat="1"/>
    <row r="9831" s="65" customFormat="1"/>
    <row r="9832" s="65" customFormat="1"/>
    <row r="9833" s="65" customFormat="1"/>
    <row r="9834" s="65" customFormat="1"/>
    <row r="9835" s="65" customFormat="1"/>
    <row r="9836" s="65" customFormat="1"/>
    <row r="9837" s="65" customFormat="1"/>
    <row r="9838" s="65" customFormat="1"/>
    <row r="9839" s="65" customFormat="1"/>
    <row r="9840" s="65" customFormat="1"/>
    <row r="9841" s="65" customFormat="1"/>
    <row r="9842" s="65" customFormat="1"/>
    <row r="9843" s="65" customFormat="1"/>
    <row r="9844" s="65" customFormat="1"/>
    <row r="9845" s="65" customFormat="1"/>
    <row r="9846" s="65" customFormat="1"/>
    <row r="9847" s="65" customFormat="1"/>
    <row r="9848" s="65" customFormat="1"/>
    <row r="9849" s="65" customFormat="1"/>
    <row r="9850" s="65" customFormat="1"/>
    <row r="9851" s="65" customFormat="1"/>
    <row r="9852" s="65" customFormat="1"/>
    <row r="9853" s="65" customFormat="1"/>
    <row r="9854" s="65" customFormat="1"/>
    <row r="9855" s="65" customFormat="1"/>
    <row r="9856" s="65" customFormat="1"/>
    <row r="9857" s="65" customFormat="1"/>
    <row r="9858" s="65" customFormat="1"/>
    <row r="9859" s="65" customFormat="1"/>
    <row r="9860" s="65" customFormat="1"/>
    <row r="9861" s="65" customFormat="1"/>
    <row r="9862" s="65" customFormat="1"/>
    <row r="9863" s="65" customFormat="1"/>
    <row r="9864" s="65" customFormat="1"/>
    <row r="9865" s="65" customFormat="1"/>
    <row r="9866" s="65" customFormat="1"/>
    <row r="9867" s="65" customFormat="1"/>
    <row r="9868" s="65" customFormat="1"/>
    <row r="9869" s="65" customFormat="1"/>
    <row r="9870" s="65" customFormat="1"/>
    <row r="9871" s="65" customFormat="1"/>
    <row r="9872" s="65" customFormat="1"/>
    <row r="9873" s="65" customFormat="1"/>
    <row r="9874" s="65" customFormat="1"/>
    <row r="9875" s="65" customFormat="1"/>
    <row r="9876" s="65" customFormat="1"/>
    <row r="9877" s="65" customFormat="1"/>
    <row r="9878" s="65" customFormat="1"/>
    <row r="9879" s="65" customFormat="1"/>
    <row r="9880" s="65" customFormat="1"/>
    <row r="9881" s="65" customFormat="1"/>
    <row r="9882" s="65" customFormat="1"/>
    <row r="9883" s="65" customFormat="1"/>
    <row r="9884" s="65" customFormat="1"/>
    <row r="9885" s="65" customFormat="1"/>
    <row r="9886" s="65" customFormat="1"/>
    <row r="9887" s="65" customFormat="1"/>
    <row r="9888" s="65" customFormat="1"/>
    <row r="9889" s="65" customFormat="1"/>
    <row r="9890" s="65" customFormat="1"/>
    <row r="9891" s="65" customFormat="1"/>
    <row r="9892" s="65" customFormat="1"/>
    <row r="9893" s="65" customFormat="1"/>
    <row r="9894" s="65" customFormat="1"/>
    <row r="9895" s="65" customFormat="1"/>
    <row r="9896" s="65" customFormat="1"/>
    <row r="9897" s="65" customFormat="1"/>
    <row r="9898" s="65" customFormat="1"/>
    <row r="9899" s="65" customFormat="1"/>
    <row r="9900" s="65" customFormat="1"/>
    <row r="9901" s="65" customFormat="1"/>
    <row r="9902" s="65" customFormat="1"/>
    <row r="9903" s="65" customFormat="1"/>
    <row r="9904" s="65" customFormat="1"/>
    <row r="9905" s="65" customFormat="1"/>
    <row r="9906" s="65" customFormat="1"/>
    <row r="9907" s="65" customFormat="1"/>
    <row r="9908" s="65" customFormat="1"/>
    <row r="9909" s="65" customFormat="1"/>
    <row r="9910" s="65" customFormat="1"/>
    <row r="9911" s="65" customFormat="1"/>
    <row r="9912" s="65" customFormat="1"/>
    <row r="9913" s="65" customFormat="1"/>
    <row r="9914" s="65" customFormat="1"/>
    <row r="9915" s="65" customFormat="1"/>
    <row r="9916" s="65" customFormat="1"/>
    <row r="9917" s="65" customFormat="1"/>
    <row r="9918" s="65" customFormat="1"/>
    <row r="9919" s="65" customFormat="1"/>
    <row r="9920" s="65" customFormat="1"/>
    <row r="9921" s="65" customFormat="1"/>
    <row r="9922" s="65" customFormat="1"/>
    <row r="9923" s="65" customFormat="1"/>
    <row r="9924" s="65" customFormat="1"/>
    <row r="9925" s="65" customFormat="1"/>
    <row r="9926" s="65" customFormat="1"/>
    <row r="9927" s="65" customFormat="1"/>
    <row r="9928" s="65" customFormat="1"/>
    <row r="9929" s="65" customFormat="1"/>
    <row r="9930" s="65" customFormat="1"/>
    <row r="9931" s="65" customFormat="1"/>
    <row r="9932" s="65" customFormat="1"/>
    <row r="9933" s="65" customFormat="1"/>
    <row r="9934" s="65" customFormat="1"/>
    <row r="9935" s="65" customFormat="1"/>
    <row r="9936" s="65" customFormat="1"/>
    <row r="9937" s="65" customFormat="1"/>
    <row r="9938" s="65" customFormat="1"/>
    <row r="9939" s="65" customFormat="1"/>
    <row r="9940" s="65" customFormat="1"/>
    <row r="9941" s="65" customFormat="1"/>
    <row r="9942" s="65" customFormat="1"/>
    <row r="9943" s="65" customFormat="1"/>
    <row r="9944" s="65" customFormat="1"/>
    <row r="9945" s="65" customFormat="1"/>
    <row r="9946" s="65" customFormat="1"/>
    <row r="9947" s="65" customFormat="1"/>
    <row r="9948" s="65" customFormat="1"/>
    <row r="9949" s="65" customFormat="1"/>
    <row r="9950" s="65" customFormat="1"/>
    <row r="9951" s="65" customFormat="1"/>
    <row r="9952" s="65" customFormat="1"/>
    <row r="9953" s="65" customFormat="1"/>
    <row r="9954" s="65" customFormat="1"/>
    <row r="9955" s="65" customFormat="1"/>
    <row r="9956" s="65" customFormat="1"/>
    <row r="9957" s="65" customFormat="1"/>
    <row r="9958" s="65" customFormat="1"/>
    <row r="9959" s="65" customFormat="1"/>
    <row r="9960" s="65" customFormat="1"/>
    <row r="9961" s="65" customFormat="1"/>
    <row r="9962" s="65" customFormat="1"/>
    <row r="9963" s="65" customFormat="1"/>
    <row r="9964" s="65" customFormat="1"/>
    <row r="9965" s="65" customFormat="1"/>
    <row r="9966" s="65" customFormat="1"/>
    <row r="9967" s="65" customFormat="1"/>
    <row r="9968" s="65" customFormat="1"/>
    <row r="9969" s="65" customFormat="1"/>
    <row r="9970" s="65" customFormat="1"/>
    <row r="9971" s="65" customFormat="1"/>
    <row r="9972" s="65" customFormat="1"/>
    <row r="9973" s="65" customFormat="1"/>
    <row r="9974" s="65" customFormat="1"/>
    <row r="9975" s="65" customFormat="1"/>
    <row r="9976" s="65" customFormat="1"/>
    <row r="9977" s="65" customFormat="1"/>
    <row r="9978" s="65" customFormat="1"/>
    <row r="9979" s="65" customFormat="1"/>
    <row r="9980" s="65" customFormat="1"/>
    <row r="9981" s="65" customFormat="1"/>
    <row r="9982" s="65" customFormat="1"/>
    <row r="9983" s="65" customFormat="1"/>
    <row r="9984" s="65" customFormat="1"/>
    <row r="9985" s="65" customFormat="1"/>
    <row r="9986" s="65" customFormat="1"/>
    <row r="9987" s="65" customFormat="1"/>
    <row r="9988" s="65" customFormat="1"/>
    <row r="9989" s="65" customFormat="1"/>
    <row r="9990" s="65" customFormat="1"/>
    <row r="9991" s="65" customFormat="1"/>
    <row r="9992" s="65" customFormat="1"/>
    <row r="9993" s="65" customFormat="1"/>
    <row r="9994" s="65" customFormat="1"/>
    <row r="9995" s="65" customFormat="1"/>
    <row r="9996" s="65" customFormat="1"/>
    <row r="9997" s="65" customFormat="1"/>
    <row r="9998" s="65" customFormat="1"/>
    <row r="9999" s="65" customFormat="1"/>
    <row r="10000" s="65" customFormat="1"/>
    <row r="10001" s="65" customFormat="1"/>
    <row r="10002" s="65" customFormat="1"/>
    <row r="10003" s="65" customFormat="1"/>
    <row r="10004" s="65" customFormat="1"/>
    <row r="10005" s="65" customFormat="1"/>
    <row r="10006" s="65" customFormat="1"/>
    <row r="10007" s="65" customFormat="1"/>
    <row r="10008" s="65" customFormat="1"/>
    <row r="10009" s="65" customFormat="1"/>
    <row r="10010" s="65" customFormat="1"/>
    <row r="10011" s="65" customFormat="1"/>
    <row r="10012" s="65" customFormat="1"/>
    <row r="10013" s="65" customFormat="1"/>
    <row r="10014" s="65" customFormat="1"/>
    <row r="10015" s="65" customFormat="1"/>
    <row r="10016" s="65" customFormat="1"/>
    <row r="10017" s="65" customFormat="1"/>
    <row r="10018" s="65" customFormat="1"/>
    <row r="10019" s="65" customFormat="1"/>
    <row r="10020" s="65" customFormat="1"/>
    <row r="10021" s="65" customFormat="1"/>
    <row r="10022" s="65" customFormat="1"/>
    <row r="10023" s="65" customFormat="1"/>
    <row r="10024" s="65" customFormat="1"/>
    <row r="10025" s="65" customFormat="1"/>
    <row r="10026" s="65" customFormat="1"/>
    <row r="10027" s="65" customFormat="1"/>
    <row r="10028" s="65" customFormat="1"/>
    <row r="10029" s="65" customFormat="1"/>
    <row r="10030" s="65" customFormat="1"/>
    <row r="10031" s="65" customFormat="1"/>
    <row r="10032" s="65" customFormat="1"/>
    <row r="10033" s="65" customFormat="1"/>
    <row r="10034" s="65" customFormat="1"/>
    <row r="10035" s="65" customFormat="1"/>
    <row r="10036" s="65" customFormat="1"/>
    <row r="10037" s="65" customFormat="1"/>
    <row r="10038" s="65" customFormat="1"/>
    <row r="10039" s="65" customFormat="1"/>
    <row r="10040" s="65" customFormat="1"/>
    <row r="10041" s="65" customFormat="1"/>
    <row r="10042" s="65" customFormat="1"/>
    <row r="10043" s="65" customFormat="1"/>
    <row r="10044" s="65" customFormat="1"/>
    <row r="10045" s="65" customFormat="1"/>
    <row r="10046" s="65" customFormat="1"/>
    <row r="10047" s="65" customFormat="1"/>
    <row r="10048" s="65" customFormat="1"/>
    <row r="10049" s="65" customFormat="1"/>
    <row r="10050" s="65" customFormat="1"/>
    <row r="10051" s="65" customFormat="1"/>
    <row r="10052" s="65" customFormat="1"/>
    <row r="10053" s="65" customFormat="1"/>
    <row r="10054" s="65" customFormat="1"/>
    <row r="10055" s="65" customFormat="1"/>
    <row r="10056" s="65" customFormat="1"/>
    <row r="10057" s="65" customFormat="1"/>
    <row r="10058" s="65" customFormat="1"/>
    <row r="10059" s="65" customFormat="1"/>
    <row r="10060" s="65" customFormat="1"/>
    <row r="10061" s="65" customFormat="1"/>
    <row r="10062" s="65" customFormat="1"/>
    <row r="10063" s="65" customFormat="1"/>
    <row r="10064" s="65" customFormat="1"/>
    <row r="10065" s="65" customFormat="1"/>
    <row r="10066" s="65" customFormat="1"/>
    <row r="10067" s="65" customFormat="1"/>
    <row r="10068" s="65" customFormat="1"/>
    <row r="10069" s="65" customFormat="1"/>
    <row r="10070" s="65" customFormat="1"/>
    <row r="10071" s="65" customFormat="1"/>
    <row r="10072" s="65" customFormat="1"/>
    <row r="10073" s="65" customFormat="1"/>
    <row r="10074" s="65" customFormat="1"/>
    <row r="10075" s="65" customFormat="1"/>
    <row r="10076" s="65" customFormat="1"/>
    <row r="10077" s="65" customFormat="1"/>
    <row r="10078" s="65" customFormat="1"/>
    <row r="10079" s="65" customFormat="1"/>
    <row r="10080" s="65" customFormat="1"/>
    <row r="10081" s="65" customFormat="1"/>
    <row r="10082" s="65" customFormat="1"/>
    <row r="10083" s="65" customFormat="1"/>
    <row r="10084" s="65" customFormat="1"/>
    <row r="10085" s="65" customFormat="1"/>
    <row r="10086" s="65" customFormat="1"/>
    <row r="10087" s="65" customFormat="1"/>
    <row r="10088" s="65" customFormat="1"/>
    <row r="10089" s="65" customFormat="1"/>
    <row r="10090" s="65" customFormat="1"/>
    <row r="10091" s="65" customFormat="1"/>
    <row r="10092" s="65" customFormat="1"/>
    <row r="10093" s="65" customFormat="1"/>
    <row r="10094" s="65" customFormat="1"/>
    <row r="10095" s="65" customFormat="1"/>
    <row r="10096" s="65" customFormat="1"/>
    <row r="10097" s="65" customFormat="1"/>
    <row r="10098" s="65" customFormat="1"/>
    <row r="10099" s="65" customFormat="1"/>
    <row r="10100" s="65" customFormat="1"/>
    <row r="10101" s="65" customFormat="1"/>
    <row r="10102" s="65" customFormat="1"/>
    <row r="10103" s="65" customFormat="1"/>
    <row r="10104" s="65" customFormat="1"/>
    <row r="10105" s="65" customFormat="1"/>
    <row r="10106" s="65" customFormat="1"/>
    <row r="10107" s="65" customFormat="1"/>
    <row r="10108" s="65" customFormat="1"/>
    <row r="10109" s="65" customFormat="1"/>
    <row r="10110" s="65" customFormat="1"/>
    <row r="10111" s="65" customFormat="1"/>
    <row r="10112" s="65" customFormat="1"/>
    <row r="10113" s="65" customFormat="1"/>
    <row r="10114" s="65" customFormat="1"/>
    <row r="10115" s="65" customFormat="1"/>
    <row r="10116" s="65" customFormat="1"/>
    <row r="10117" s="65" customFormat="1"/>
    <row r="10118" s="65" customFormat="1"/>
    <row r="10119" s="65" customFormat="1"/>
    <row r="10120" s="65" customFormat="1"/>
    <row r="10121" s="65" customFormat="1"/>
    <row r="10122" s="65" customFormat="1"/>
    <row r="10123" s="65" customFormat="1"/>
    <row r="10124" s="65" customFormat="1"/>
    <row r="10125" s="65" customFormat="1"/>
    <row r="10126" s="65" customFormat="1"/>
    <row r="10127" s="65" customFormat="1"/>
    <row r="10128" s="65" customFormat="1"/>
    <row r="10129" s="65" customFormat="1"/>
    <row r="10130" s="65" customFormat="1"/>
    <row r="10131" s="65" customFormat="1"/>
    <row r="10132" s="65" customFormat="1"/>
    <row r="10133" s="65" customFormat="1"/>
    <row r="10134" s="65" customFormat="1"/>
    <row r="10135" s="65" customFormat="1"/>
    <row r="10136" s="65" customFormat="1"/>
    <row r="10137" s="65" customFormat="1"/>
    <row r="10138" s="65" customFormat="1"/>
    <row r="10139" s="65" customFormat="1"/>
    <row r="10140" s="65" customFormat="1"/>
    <row r="10141" s="65" customFormat="1"/>
    <row r="10142" s="65" customFormat="1"/>
    <row r="10143" s="65" customFormat="1"/>
    <row r="10144" s="65" customFormat="1"/>
    <row r="10145" s="65" customFormat="1"/>
    <row r="10146" s="65" customFormat="1"/>
    <row r="10147" s="65" customFormat="1"/>
    <row r="10148" s="65" customFormat="1"/>
    <row r="10149" s="65" customFormat="1"/>
    <row r="10150" s="65" customFormat="1"/>
    <row r="10151" s="65" customFormat="1"/>
    <row r="10152" s="65" customFormat="1"/>
    <row r="10153" s="65" customFormat="1"/>
    <row r="10154" s="65" customFormat="1"/>
    <row r="10155" s="65" customFormat="1"/>
    <row r="10156" s="65" customFormat="1"/>
    <row r="10157" s="65" customFormat="1"/>
    <row r="10158" s="65" customFormat="1"/>
    <row r="10159" s="65" customFormat="1"/>
    <row r="10160" s="65" customFormat="1"/>
    <row r="10161" s="65" customFormat="1"/>
    <row r="10162" s="65" customFormat="1"/>
    <row r="10163" s="65" customFormat="1"/>
    <row r="10164" s="65" customFormat="1"/>
    <row r="10165" s="65" customFormat="1"/>
    <row r="10166" s="65" customFormat="1"/>
    <row r="10167" s="65" customFormat="1"/>
    <row r="10168" s="65" customFormat="1"/>
    <row r="10169" s="65" customFormat="1"/>
    <row r="10170" s="65" customFormat="1"/>
    <row r="10171" s="65" customFormat="1"/>
    <row r="10172" s="65" customFormat="1"/>
    <row r="10173" s="65" customFormat="1"/>
    <row r="10174" s="65" customFormat="1"/>
    <row r="10175" s="65" customFormat="1"/>
    <row r="10176" s="65" customFormat="1"/>
    <row r="10177" s="65" customFormat="1"/>
    <row r="10178" s="65" customFormat="1"/>
    <row r="10179" s="65" customFormat="1"/>
    <row r="10180" s="65" customFormat="1"/>
    <row r="10181" s="65" customFormat="1"/>
    <row r="10182" s="65" customFormat="1"/>
    <row r="10183" s="65" customFormat="1"/>
    <row r="10184" s="65" customFormat="1"/>
    <row r="10185" s="65" customFormat="1"/>
    <row r="10186" s="65" customFormat="1"/>
    <row r="10187" s="65" customFormat="1"/>
    <row r="10188" s="65" customFormat="1"/>
    <row r="10189" s="65" customFormat="1"/>
    <row r="10190" s="65" customFormat="1"/>
    <row r="10191" s="65" customFormat="1"/>
    <row r="10192" s="65" customFormat="1"/>
    <row r="10193" s="65" customFormat="1"/>
    <row r="10194" s="65" customFormat="1"/>
    <row r="10195" s="65" customFormat="1"/>
    <row r="10196" s="65" customFormat="1"/>
    <row r="10197" s="65" customFormat="1"/>
    <row r="10198" s="65" customFormat="1"/>
    <row r="10199" s="65" customFormat="1"/>
    <row r="10200" s="65" customFormat="1"/>
    <row r="10201" s="65" customFormat="1"/>
    <row r="10202" s="65" customFormat="1"/>
    <row r="10203" s="65" customFormat="1"/>
    <row r="10204" s="65" customFormat="1"/>
    <row r="10205" s="65" customFormat="1"/>
    <row r="10206" s="65" customFormat="1"/>
    <row r="10207" s="65" customFormat="1"/>
    <row r="10208" s="65" customFormat="1"/>
    <row r="10209" s="65" customFormat="1"/>
    <row r="10210" s="65" customFormat="1"/>
    <row r="10211" s="65" customFormat="1"/>
    <row r="10212" s="65" customFormat="1"/>
    <row r="10213" s="65" customFormat="1"/>
    <row r="10214" s="65" customFormat="1"/>
    <row r="10215" s="65" customFormat="1"/>
    <row r="10216" s="65" customFormat="1"/>
    <row r="10217" s="65" customFormat="1"/>
    <row r="10218" s="65" customFormat="1"/>
    <row r="10219" s="65" customFormat="1"/>
    <row r="10220" s="65" customFormat="1"/>
    <row r="10221" s="65" customFormat="1"/>
    <row r="10222" s="65" customFormat="1"/>
    <row r="10223" s="65" customFormat="1"/>
    <row r="10224" s="65" customFormat="1"/>
    <row r="10225" s="65" customFormat="1"/>
    <row r="10226" s="65" customFormat="1"/>
    <row r="10227" s="65" customFormat="1"/>
    <row r="10228" s="65" customFormat="1"/>
    <row r="10229" s="65" customFormat="1"/>
    <row r="10230" s="65" customFormat="1"/>
    <row r="10231" s="65" customFormat="1"/>
    <row r="10232" s="65" customFormat="1"/>
    <row r="10233" s="65" customFormat="1"/>
    <row r="10234" s="65" customFormat="1"/>
    <row r="10235" s="65" customFormat="1"/>
    <row r="10236" s="65" customFormat="1"/>
    <row r="10237" s="65" customFormat="1"/>
    <row r="10238" s="65" customFormat="1"/>
    <row r="10239" s="65" customFormat="1"/>
    <row r="10240" s="65" customFormat="1"/>
    <row r="10241" s="65" customFormat="1"/>
    <row r="10242" s="65" customFormat="1"/>
    <row r="10243" s="65" customFormat="1"/>
    <row r="10244" s="65" customFormat="1"/>
    <row r="10245" s="65" customFormat="1"/>
    <row r="10246" s="65" customFormat="1"/>
    <row r="10247" s="65" customFormat="1"/>
    <row r="10248" s="65" customFormat="1"/>
    <row r="10249" s="65" customFormat="1"/>
    <row r="10250" s="65" customFormat="1"/>
    <row r="10251" s="65" customFormat="1"/>
    <row r="10252" s="65" customFormat="1"/>
    <row r="10253" s="65" customFormat="1"/>
    <row r="10254" s="65" customFormat="1"/>
    <row r="10255" s="65" customFormat="1"/>
    <row r="10256" s="65" customFormat="1"/>
    <row r="10257" s="65" customFormat="1"/>
    <row r="10258" s="65" customFormat="1"/>
    <row r="10259" s="65" customFormat="1"/>
    <row r="10260" s="65" customFormat="1"/>
    <row r="10261" s="65" customFormat="1"/>
    <row r="10262" s="65" customFormat="1"/>
    <row r="10263" s="65" customFormat="1"/>
    <row r="10264" s="65" customFormat="1"/>
    <row r="10265" s="65" customFormat="1"/>
    <row r="10266" s="65" customFormat="1"/>
    <row r="10267" s="65" customFormat="1"/>
    <row r="10268" s="65" customFormat="1"/>
    <row r="10269" s="65" customFormat="1"/>
    <row r="10270" s="65" customFormat="1"/>
    <row r="10271" s="65" customFormat="1"/>
    <row r="10272" s="65" customFormat="1"/>
    <row r="10273" s="65" customFormat="1"/>
    <row r="10274" s="65" customFormat="1"/>
    <row r="10275" s="65" customFormat="1"/>
    <row r="10276" s="65" customFormat="1"/>
    <row r="10277" s="65" customFormat="1"/>
    <row r="10278" s="65" customFormat="1"/>
    <row r="10279" s="65" customFormat="1"/>
    <row r="10280" s="65" customFormat="1"/>
    <row r="10281" s="65" customFormat="1"/>
    <row r="10282" s="65" customFormat="1"/>
    <row r="10283" s="65" customFormat="1"/>
    <row r="10284" s="65" customFormat="1"/>
    <row r="10285" s="65" customFormat="1"/>
    <row r="10286" s="65" customFormat="1"/>
    <row r="10287" s="65" customFormat="1"/>
    <row r="10288" s="65" customFormat="1"/>
    <row r="10289" s="65" customFormat="1"/>
    <row r="10290" s="65" customFormat="1"/>
    <row r="10291" s="65" customFormat="1"/>
    <row r="10292" s="65" customFormat="1"/>
    <row r="10293" s="65" customFormat="1"/>
    <row r="10294" s="65" customFormat="1"/>
    <row r="10295" s="65" customFormat="1"/>
    <row r="10296" s="65" customFormat="1"/>
    <row r="10297" s="65" customFormat="1"/>
    <row r="10298" s="65" customFormat="1"/>
    <row r="10299" s="65" customFormat="1"/>
    <row r="10300" s="65" customFormat="1"/>
    <row r="10301" s="65" customFormat="1"/>
    <row r="10302" s="65" customFormat="1"/>
    <row r="10303" s="65" customFormat="1"/>
    <row r="10304" s="65" customFormat="1"/>
    <row r="10305" s="65" customFormat="1"/>
    <row r="10306" s="65" customFormat="1"/>
    <row r="10307" s="65" customFormat="1"/>
    <row r="10308" s="65" customFormat="1"/>
    <row r="10309" s="65" customFormat="1"/>
    <row r="10310" s="65" customFormat="1"/>
    <row r="10311" s="65" customFormat="1"/>
    <row r="10312" s="65" customFormat="1"/>
    <row r="10313" s="65" customFormat="1"/>
    <row r="10314" s="65" customFormat="1"/>
    <row r="10315" s="65" customFormat="1"/>
    <row r="10316" s="65" customFormat="1"/>
    <row r="10317" s="65" customFormat="1"/>
    <row r="10318" s="65" customFormat="1"/>
    <row r="10319" s="65" customFormat="1"/>
    <row r="10320" s="65" customFormat="1"/>
    <row r="10321" s="65" customFormat="1"/>
    <row r="10322" s="65" customFormat="1"/>
    <row r="10323" s="65" customFormat="1"/>
    <row r="10324" s="65" customFormat="1"/>
    <row r="10325" s="65" customFormat="1"/>
    <row r="10326" s="65" customFormat="1"/>
    <row r="10327" s="65" customFormat="1"/>
    <row r="10328" s="65" customFormat="1"/>
    <row r="10329" s="65" customFormat="1"/>
    <row r="10330" s="65" customFormat="1"/>
    <row r="10331" s="65" customFormat="1"/>
    <row r="10332" s="65" customFormat="1"/>
    <row r="10333" s="65" customFormat="1"/>
    <row r="10334" s="65" customFormat="1"/>
    <row r="10335" s="65" customFormat="1"/>
    <row r="10336" s="65" customFormat="1"/>
    <row r="10337" s="65" customFormat="1"/>
    <row r="10338" s="65" customFormat="1"/>
    <row r="10339" s="65" customFormat="1"/>
    <row r="10340" s="65" customFormat="1"/>
    <row r="10341" s="65" customFormat="1"/>
    <row r="10342" s="65" customFormat="1"/>
    <row r="10343" s="65" customFormat="1"/>
    <row r="10344" s="65" customFormat="1"/>
    <row r="10345" s="65" customFormat="1"/>
    <row r="10346" s="65" customFormat="1"/>
    <row r="10347" s="65" customFormat="1"/>
    <row r="10348" s="65" customFormat="1"/>
    <row r="10349" s="65" customFormat="1"/>
    <row r="10350" s="65" customFormat="1"/>
    <row r="10351" s="65" customFormat="1"/>
    <row r="10352" s="65" customFormat="1"/>
    <row r="10353" s="65" customFormat="1"/>
    <row r="10354" s="65" customFormat="1"/>
    <row r="10355" s="65" customFormat="1"/>
    <row r="10356" s="65" customFormat="1"/>
    <row r="10357" s="65" customFormat="1"/>
    <row r="10358" s="65" customFormat="1"/>
    <row r="10359" s="65" customFormat="1"/>
    <row r="10360" s="65" customFormat="1"/>
    <row r="10361" s="65" customFormat="1"/>
    <row r="10362" s="65" customFormat="1"/>
    <row r="10363" s="65" customFormat="1"/>
    <row r="10364" s="65" customFormat="1"/>
    <row r="10365" s="65" customFormat="1"/>
    <row r="10366" s="65" customFormat="1"/>
    <row r="10367" s="65" customFormat="1"/>
    <row r="10368" s="65" customFormat="1"/>
    <row r="10369" s="65" customFormat="1"/>
    <row r="10370" s="65" customFormat="1"/>
    <row r="10371" s="65" customFormat="1"/>
    <row r="10372" s="65" customFormat="1"/>
    <row r="10373" s="65" customFormat="1"/>
    <row r="10374" s="65" customFormat="1"/>
    <row r="10375" s="65" customFormat="1"/>
    <row r="10376" s="65" customFormat="1"/>
    <row r="10377" s="65" customFormat="1"/>
    <row r="10378" s="65" customFormat="1"/>
    <row r="10379" s="65" customFormat="1"/>
    <row r="10380" s="65" customFormat="1"/>
    <row r="10381" s="65" customFormat="1"/>
    <row r="10382" s="65" customFormat="1"/>
    <row r="10383" s="65" customFormat="1"/>
    <row r="10384" s="65" customFormat="1"/>
    <row r="10385" s="65" customFormat="1"/>
    <row r="10386" s="65" customFormat="1"/>
    <row r="10387" s="65" customFormat="1"/>
    <row r="10388" s="65" customFormat="1"/>
    <row r="10389" s="65" customFormat="1"/>
    <row r="10390" s="65" customFormat="1"/>
    <row r="10391" s="65" customFormat="1"/>
    <row r="10392" s="65" customFormat="1"/>
    <row r="10393" s="65" customFormat="1"/>
    <row r="10394" s="65" customFormat="1"/>
    <row r="10395" s="65" customFormat="1"/>
    <row r="10396" s="65" customFormat="1"/>
    <row r="10397" s="65" customFormat="1"/>
    <row r="10398" s="65" customFormat="1"/>
    <row r="10399" s="65" customFormat="1"/>
    <row r="10400" s="65" customFormat="1"/>
    <row r="10401" s="65" customFormat="1"/>
    <row r="10402" s="65" customFormat="1"/>
    <row r="10403" s="65" customFormat="1"/>
    <row r="10404" s="65" customFormat="1"/>
    <row r="10405" s="65" customFormat="1"/>
    <row r="10406" s="65" customFormat="1"/>
    <row r="10407" s="65" customFormat="1"/>
    <row r="10408" s="65" customFormat="1"/>
    <row r="10409" s="65" customFormat="1"/>
    <row r="10410" s="65" customFormat="1"/>
    <row r="10411" s="65" customFormat="1"/>
    <row r="10412" s="65" customFormat="1"/>
    <row r="10413" s="65" customFormat="1"/>
    <row r="10414" s="65" customFormat="1"/>
    <row r="10415" s="65" customFormat="1"/>
    <row r="10416" s="65" customFormat="1"/>
    <row r="10417" s="65" customFormat="1"/>
    <row r="10418" s="65" customFormat="1"/>
    <row r="10419" s="65" customFormat="1"/>
    <row r="10420" s="65" customFormat="1"/>
    <row r="10421" s="65" customFormat="1"/>
    <row r="10422" s="65" customFormat="1"/>
    <row r="10423" s="65" customFormat="1"/>
    <row r="10424" s="65" customFormat="1"/>
    <row r="10425" s="65" customFormat="1"/>
    <row r="10426" s="65" customFormat="1"/>
    <row r="10427" s="65" customFormat="1"/>
    <row r="10428" s="65" customFormat="1"/>
    <row r="10429" s="65" customFormat="1"/>
    <row r="10430" s="65" customFormat="1"/>
    <row r="10431" s="65" customFormat="1"/>
    <row r="10432" s="65" customFormat="1"/>
    <row r="10433" s="65" customFormat="1"/>
    <row r="10434" s="65" customFormat="1"/>
    <row r="10435" s="65" customFormat="1"/>
    <row r="10436" s="65" customFormat="1"/>
    <row r="10437" s="65" customFormat="1"/>
    <row r="10438" s="65" customFormat="1"/>
    <row r="10439" s="65" customFormat="1"/>
    <row r="10440" s="65" customFormat="1"/>
    <row r="10441" s="65" customFormat="1"/>
    <row r="10442" s="65" customFormat="1"/>
    <row r="10443" s="65" customFormat="1"/>
    <row r="10444" s="65" customFormat="1"/>
    <row r="10445" s="65" customFormat="1"/>
    <row r="10446" s="65" customFormat="1"/>
    <row r="10447" s="65" customFormat="1"/>
    <row r="10448" s="65" customFormat="1"/>
    <row r="10449" s="65" customFormat="1"/>
    <row r="10450" s="65" customFormat="1"/>
    <row r="10451" s="65" customFormat="1"/>
    <row r="10452" s="65" customFormat="1"/>
    <row r="10453" s="65" customFormat="1"/>
    <row r="10454" s="65" customFormat="1"/>
    <row r="10455" s="65" customFormat="1"/>
    <row r="10456" s="65" customFormat="1"/>
    <row r="10457" s="65" customFormat="1"/>
    <row r="10458" s="65" customFormat="1"/>
    <row r="10459" s="65" customFormat="1"/>
    <row r="10460" s="65" customFormat="1"/>
    <row r="10461" s="65" customFormat="1"/>
    <row r="10462" s="65" customFormat="1"/>
    <row r="10463" s="65" customFormat="1"/>
    <row r="10464" s="65" customFormat="1"/>
    <row r="10465" s="65" customFormat="1"/>
    <row r="10466" s="65" customFormat="1"/>
    <row r="10467" s="65" customFormat="1"/>
    <row r="10468" s="65" customFormat="1"/>
    <row r="10469" s="65" customFormat="1"/>
    <row r="10470" s="65" customFormat="1"/>
    <row r="10471" s="65" customFormat="1"/>
    <row r="10472" s="65" customFormat="1"/>
    <row r="10473" s="65" customFormat="1"/>
    <row r="10474" s="65" customFormat="1"/>
    <row r="10475" s="65" customFormat="1"/>
    <row r="10476" s="65" customFormat="1"/>
    <row r="10477" s="65" customFormat="1"/>
    <row r="10478" s="65" customFormat="1"/>
    <row r="10479" s="65" customFormat="1"/>
    <row r="10480" s="65" customFormat="1"/>
    <row r="10481" s="65" customFormat="1"/>
    <row r="10482" s="65" customFormat="1"/>
    <row r="10483" s="65" customFormat="1"/>
    <row r="10484" s="65" customFormat="1"/>
    <row r="10485" s="65" customFormat="1"/>
    <row r="10486" s="65" customFormat="1"/>
    <row r="10487" s="65" customFormat="1"/>
    <row r="10488" s="65" customFormat="1"/>
    <row r="10489" s="65" customFormat="1"/>
    <row r="10490" s="65" customFormat="1"/>
    <row r="10491" s="65" customFormat="1"/>
    <row r="10492" s="65" customFormat="1"/>
    <row r="10493" s="65" customFormat="1"/>
    <row r="10494" s="65" customFormat="1"/>
    <row r="10495" s="65" customFormat="1"/>
    <row r="10496" s="65" customFormat="1"/>
    <row r="10497" s="65" customFormat="1"/>
    <row r="10498" s="65" customFormat="1"/>
    <row r="10499" s="65" customFormat="1"/>
    <row r="10500" s="65" customFormat="1"/>
    <row r="10501" s="65" customFormat="1"/>
    <row r="10502" s="65" customFormat="1"/>
    <row r="10503" s="65" customFormat="1"/>
    <row r="10504" s="65" customFormat="1"/>
    <row r="10505" s="65" customFormat="1"/>
    <row r="10506" s="65" customFormat="1"/>
    <row r="10507" s="65" customFormat="1"/>
    <row r="10508" s="65" customFormat="1"/>
    <row r="10509" s="65" customFormat="1"/>
    <row r="10510" s="65" customFormat="1"/>
    <row r="10511" s="65" customFormat="1"/>
    <row r="10512" s="65" customFormat="1"/>
    <row r="10513" s="65" customFormat="1"/>
    <row r="10514" s="65" customFormat="1"/>
    <row r="10515" s="65" customFormat="1"/>
    <row r="10516" s="65" customFormat="1"/>
    <row r="10517" s="65" customFormat="1"/>
    <row r="10518" s="65" customFormat="1"/>
    <row r="10519" s="65" customFormat="1"/>
    <row r="10520" s="65" customFormat="1"/>
    <row r="10521" s="65" customFormat="1"/>
    <row r="10522" s="65" customFormat="1"/>
    <row r="10523" s="65" customFormat="1"/>
    <row r="10524" s="65" customFormat="1"/>
    <row r="10525" s="65" customFormat="1"/>
    <row r="10526" s="65" customFormat="1"/>
    <row r="10527" s="65" customFormat="1"/>
    <row r="10528" s="65" customFormat="1"/>
    <row r="10529" s="65" customFormat="1"/>
    <row r="10530" s="65" customFormat="1"/>
    <row r="10531" s="65" customFormat="1"/>
    <row r="10532" s="65" customFormat="1"/>
    <row r="10533" s="65" customFormat="1"/>
    <row r="10534" s="65" customFormat="1"/>
    <row r="10535" s="65" customFormat="1"/>
    <row r="10536" s="65" customFormat="1"/>
    <row r="10537" s="65" customFormat="1"/>
    <row r="10538" s="65" customFormat="1"/>
    <row r="10539" s="65" customFormat="1"/>
    <row r="10540" s="65" customFormat="1"/>
    <row r="10541" s="65" customFormat="1"/>
    <row r="10542" s="65" customFormat="1"/>
    <row r="10543" s="65" customFormat="1"/>
    <row r="10544" s="65" customFormat="1"/>
    <row r="10545" s="65" customFormat="1"/>
    <row r="10546" s="65" customFormat="1"/>
    <row r="10547" s="65" customFormat="1"/>
    <row r="10548" s="65" customFormat="1"/>
    <row r="10549" s="65" customFormat="1"/>
    <row r="10550" s="65" customFormat="1"/>
    <row r="10551" s="65" customFormat="1"/>
    <row r="10552" s="65" customFormat="1"/>
    <row r="10553" s="65" customFormat="1"/>
    <row r="10554" s="65" customFormat="1"/>
    <row r="10555" s="65" customFormat="1"/>
    <row r="10556" s="65" customFormat="1"/>
    <row r="10557" s="65" customFormat="1"/>
    <row r="10558" s="65" customFormat="1"/>
    <row r="10559" s="65" customFormat="1"/>
    <row r="10560" s="65" customFormat="1"/>
    <row r="10561" s="65" customFormat="1"/>
    <row r="10562" s="65" customFormat="1"/>
    <row r="10563" s="65" customFormat="1"/>
    <row r="10564" s="65" customFormat="1"/>
    <row r="10565" s="65" customFormat="1"/>
    <row r="10566" s="65" customFormat="1"/>
    <row r="10567" s="65" customFormat="1"/>
    <row r="10568" s="65" customFormat="1"/>
    <row r="10569" s="65" customFormat="1"/>
    <row r="10570" s="65" customFormat="1"/>
    <row r="10571" s="65" customFormat="1"/>
    <row r="10572" s="65" customFormat="1"/>
    <row r="10573" s="65" customFormat="1"/>
    <row r="10574" s="65" customFormat="1"/>
    <row r="10575" s="65" customFormat="1"/>
    <row r="10576" s="65" customFormat="1"/>
    <row r="10577" s="65" customFormat="1"/>
    <row r="10578" s="65" customFormat="1"/>
    <row r="10579" s="65" customFormat="1"/>
    <row r="10580" s="65" customFormat="1"/>
    <row r="10581" s="65" customFormat="1"/>
    <row r="10582" s="65" customFormat="1"/>
    <row r="10583" s="65" customFormat="1"/>
    <row r="10584" s="65" customFormat="1"/>
    <row r="10585" s="65" customFormat="1"/>
    <row r="10586" s="65" customFormat="1"/>
    <row r="10587" s="65" customFormat="1"/>
    <row r="10588" s="65" customFormat="1"/>
    <row r="10589" s="65" customFormat="1"/>
    <row r="10590" s="65" customFormat="1"/>
    <row r="10591" s="65" customFormat="1"/>
    <row r="10592" s="65" customFormat="1"/>
    <row r="10593" s="65" customFormat="1"/>
    <row r="10594" s="65" customFormat="1"/>
    <row r="10595" s="65" customFormat="1"/>
    <row r="10596" s="65" customFormat="1"/>
    <row r="10597" s="65" customFormat="1"/>
    <row r="10598" s="65" customFormat="1"/>
    <row r="10599" s="65" customFormat="1"/>
    <row r="10600" s="65" customFormat="1"/>
    <row r="10601" s="65" customFormat="1"/>
    <row r="10602" s="65" customFormat="1"/>
    <row r="10603" s="65" customFormat="1"/>
    <row r="10604" s="65" customFormat="1"/>
    <row r="10605" s="65" customFormat="1"/>
    <row r="10606" s="65" customFormat="1"/>
    <row r="10607" s="65" customFormat="1"/>
    <row r="10608" s="65" customFormat="1"/>
    <row r="10609" s="65" customFormat="1"/>
    <row r="10610" s="65" customFormat="1"/>
    <row r="10611" s="65" customFormat="1"/>
    <row r="10612" s="65" customFormat="1"/>
    <row r="10613" s="65" customFormat="1"/>
    <row r="10614" s="65" customFormat="1"/>
    <row r="10615" s="65" customFormat="1"/>
    <row r="10616" s="65" customFormat="1"/>
    <row r="10617" s="65" customFormat="1"/>
    <row r="10618" s="65" customFormat="1"/>
    <row r="10619" s="65" customFormat="1"/>
    <row r="10620" s="65" customFormat="1"/>
    <row r="10621" s="65" customFormat="1"/>
    <row r="10622" s="65" customFormat="1"/>
    <row r="10623" s="65" customFormat="1"/>
    <row r="10624" s="65" customFormat="1"/>
    <row r="10625" s="65" customFormat="1"/>
    <row r="10626" s="65" customFormat="1"/>
    <row r="10627" s="65" customFormat="1"/>
    <row r="10628" s="65" customFormat="1"/>
    <row r="10629" s="65" customFormat="1"/>
    <row r="10630" s="65" customFormat="1"/>
    <row r="10631" s="65" customFormat="1"/>
    <row r="10632" s="65" customFormat="1"/>
    <row r="10633" s="65" customFormat="1"/>
    <row r="10634" s="65" customFormat="1"/>
    <row r="10635" s="65" customFormat="1"/>
    <row r="10636" s="65" customFormat="1"/>
    <row r="10637" s="65" customFormat="1"/>
    <row r="10638" s="65" customFormat="1"/>
    <row r="10639" s="65" customFormat="1"/>
    <row r="10640" s="65" customFormat="1"/>
    <row r="10641" s="65" customFormat="1"/>
    <row r="10642" s="65" customFormat="1"/>
    <row r="10643" s="65" customFormat="1"/>
    <row r="10644" s="65" customFormat="1"/>
    <row r="10645" s="65" customFormat="1"/>
    <row r="10646" s="65" customFormat="1"/>
    <row r="10647" s="65" customFormat="1"/>
    <row r="10648" s="65" customFormat="1"/>
    <row r="10649" s="65" customFormat="1"/>
    <row r="10650" s="65" customFormat="1"/>
    <row r="10651" s="65" customFormat="1"/>
    <row r="10652" s="65" customFormat="1"/>
    <row r="10653" s="65" customFormat="1"/>
    <row r="10654" s="65" customFormat="1"/>
    <row r="10655" s="65" customFormat="1"/>
    <row r="10656" s="65" customFormat="1"/>
    <row r="10657" s="65" customFormat="1"/>
    <row r="10658" s="65" customFormat="1"/>
    <row r="10659" s="65" customFormat="1"/>
    <row r="10660" s="65" customFormat="1"/>
    <row r="10661" s="65" customFormat="1"/>
    <row r="10662" s="65" customFormat="1"/>
    <row r="10663" s="65" customFormat="1"/>
    <row r="10664" s="65" customFormat="1"/>
    <row r="10665" s="65" customFormat="1"/>
    <row r="10666" s="65" customFormat="1"/>
    <row r="10667" s="65" customFormat="1"/>
    <row r="10668" s="65" customFormat="1"/>
    <row r="10669" s="65" customFormat="1"/>
    <row r="10670" s="65" customFormat="1"/>
    <row r="10671" s="65" customFormat="1"/>
    <row r="10672" s="65" customFormat="1"/>
    <row r="10673" s="65" customFormat="1"/>
    <row r="10674" s="65" customFormat="1"/>
    <row r="10675" s="65" customFormat="1"/>
    <row r="10676" s="65" customFormat="1"/>
    <row r="10677" s="65" customFormat="1"/>
    <row r="10678" s="65" customFormat="1"/>
    <row r="10679" s="65" customFormat="1"/>
    <row r="10680" s="65" customFormat="1"/>
    <row r="10681" s="65" customFormat="1"/>
    <row r="10682" s="65" customFormat="1"/>
    <row r="10683" s="65" customFormat="1"/>
    <row r="10684" s="65" customFormat="1"/>
    <row r="10685" s="65" customFormat="1"/>
    <row r="10686" s="65" customFormat="1"/>
    <row r="10687" s="65" customFormat="1"/>
    <row r="10688" s="65" customFormat="1"/>
    <row r="10689" s="65" customFormat="1"/>
    <row r="10690" s="65" customFormat="1"/>
    <row r="10691" s="65" customFormat="1"/>
    <row r="10692" s="65" customFormat="1"/>
    <row r="10693" s="65" customFormat="1"/>
    <row r="10694" s="65" customFormat="1"/>
    <row r="10695" s="65" customFormat="1"/>
    <row r="10696" s="65" customFormat="1"/>
    <row r="10697" s="65" customFormat="1"/>
    <row r="10698" s="65" customFormat="1"/>
    <row r="10699" s="65" customFormat="1"/>
    <row r="10700" s="65" customFormat="1"/>
    <row r="10701" s="65" customFormat="1"/>
    <row r="10702" s="65" customFormat="1"/>
    <row r="10703" s="65" customFormat="1"/>
    <row r="10704" s="65" customFormat="1"/>
    <row r="10705" s="65" customFormat="1"/>
    <row r="10706" s="65" customFormat="1"/>
    <row r="10707" s="65" customFormat="1"/>
    <row r="10708" s="65" customFormat="1"/>
    <row r="10709" s="65" customFormat="1"/>
    <row r="10710" s="65" customFormat="1"/>
    <row r="10711" s="65" customFormat="1"/>
    <row r="10712" s="65" customFormat="1"/>
    <row r="10713" s="65" customFormat="1"/>
    <row r="10714" s="65" customFormat="1"/>
    <row r="10715" s="65" customFormat="1"/>
    <row r="10716" s="65" customFormat="1"/>
    <row r="10717" s="65" customFormat="1"/>
    <row r="10718" s="65" customFormat="1"/>
    <row r="10719" s="65" customFormat="1"/>
    <row r="10720" s="65" customFormat="1"/>
    <row r="10721" s="65" customFormat="1"/>
    <row r="10722" s="65" customFormat="1"/>
    <row r="10723" s="65" customFormat="1"/>
    <row r="10724" s="65" customFormat="1"/>
    <row r="10725" s="65" customFormat="1"/>
    <row r="10726" s="65" customFormat="1"/>
    <row r="10727" s="65" customFormat="1"/>
    <row r="10728" s="65" customFormat="1"/>
    <row r="10729" s="65" customFormat="1"/>
    <row r="10730" s="65" customFormat="1"/>
    <row r="10731" s="65" customFormat="1"/>
    <row r="10732" s="65" customFormat="1"/>
    <row r="10733" s="65" customFormat="1"/>
    <row r="10734" s="65" customFormat="1"/>
    <row r="10735" s="65" customFormat="1"/>
    <row r="10736" s="65" customFormat="1"/>
    <row r="10737" s="65" customFormat="1"/>
    <row r="10738" s="65" customFormat="1"/>
    <row r="10739" s="65" customFormat="1"/>
    <row r="10740" s="65" customFormat="1"/>
    <row r="10741" s="65" customFormat="1"/>
    <row r="10742" s="65" customFormat="1"/>
    <row r="10743" s="65" customFormat="1"/>
    <row r="10744" s="65" customFormat="1"/>
    <row r="10745" s="65" customFormat="1"/>
    <row r="10746" s="65" customFormat="1"/>
    <row r="10747" s="65" customFormat="1"/>
    <row r="10748" s="65" customFormat="1"/>
    <row r="10749" s="65" customFormat="1"/>
    <row r="10750" s="65" customFormat="1"/>
    <row r="10751" s="65" customFormat="1"/>
    <row r="10752" s="65" customFormat="1"/>
    <row r="10753" s="65" customFormat="1"/>
    <row r="10754" s="65" customFormat="1"/>
    <row r="10755" s="65" customFormat="1"/>
    <row r="10756" s="65" customFormat="1"/>
    <row r="10757" s="65" customFormat="1"/>
    <row r="10758" s="65" customFormat="1"/>
    <row r="10759" s="65" customFormat="1"/>
    <row r="10760" s="65" customFormat="1"/>
    <row r="10761" s="65" customFormat="1"/>
    <row r="10762" s="65" customFormat="1"/>
    <row r="10763" s="65" customFormat="1"/>
    <row r="10764" s="65" customFormat="1"/>
    <row r="10765" s="65" customFormat="1"/>
    <row r="10766" s="65" customFormat="1"/>
    <row r="10767" s="65" customFormat="1"/>
    <row r="10768" s="65" customFormat="1"/>
    <row r="10769" s="65" customFormat="1"/>
    <row r="10770" s="65" customFormat="1"/>
    <row r="10771" s="65" customFormat="1"/>
    <row r="10772" s="65" customFormat="1"/>
    <row r="10773" s="65" customFormat="1"/>
    <row r="10774" s="65" customFormat="1"/>
    <row r="10775" s="65" customFormat="1"/>
    <row r="10776" s="65" customFormat="1"/>
    <row r="10777" s="65" customFormat="1"/>
    <row r="10778" s="65" customFormat="1"/>
    <row r="10779" s="65" customFormat="1"/>
    <row r="10780" s="65" customFormat="1"/>
    <row r="10781" s="65" customFormat="1"/>
    <row r="10782" s="65" customFormat="1"/>
    <row r="10783" s="65" customFormat="1"/>
    <row r="10784" s="65" customFormat="1"/>
    <row r="10785" s="65" customFormat="1"/>
    <row r="10786" s="65" customFormat="1"/>
    <row r="10787" s="65" customFormat="1"/>
    <row r="10788" s="65" customFormat="1"/>
    <row r="10789" s="65" customFormat="1"/>
    <row r="10790" s="65" customFormat="1"/>
    <row r="10791" s="65" customFormat="1"/>
    <row r="10792" s="65" customFormat="1"/>
    <row r="10793" s="65" customFormat="1"/>
    <row r="10794" s="65" customFormat="1"/>
    <row r="10795" s="65" customFormat="1"/>
    <row r="10796" s="65" customFormat="1"/>
    <row r="10797" s="65" customFormat="1"/>
    <row r="10798" s="65" customFormat="1"/>
    <row r="10799" s="65" customFormat="1"/>
    <row r="10800" s="65" customFormat="1"/>
    <row r="10801" s="65" customFormat="1"/>
    <row r="10802" s="65" customFormat="1"/>
    <row r="10803" s="65" customFormat="1"/>
    <row r="10804" s="65" customFormat="1"/>
    <row r="10805" s="65" customFormat="1"/>
    <row r="10806" s="65" customFormat="1"/>
    <row r="10807" s="65" customFormat="1"/>
    <row r="10808" s="65" customFormat="1"/>
    <row r="10809" s="65" customFormat="1"/>
    <row r="10810" s="65" customFormat="1"/>
    <row r="10811" s="65" customFormat="1"/>
    <row r="10812" s="65" customFormat="1"/>
    <row r="10813" s="65" customFormat="1"/>
    <row r="10814" s="65" customFormat="1"/>
    <row r="10815" s="65" customFormat="1"/>
    <row r="10816" s="65" customFormat="1"/>
    <row r="10817" s="65" customFormat="1"/>
    <row r="10818" s="65" customFormat="1"/>
    <row r="10819" s="65" customFormat="1"/>
    <row r="10820" s="65" customFormat="1"/>
    <row r="10821" s="65" customFormat="1"/>
    <row r="10822" s="65" customFormat="1"/>
    <row r="10823" s="65" customFormat="1"/>
    <row r="10824" s="65" customFormat="1"/>
    <row r="10825" s="65" customFormat="1"/>
    <row r="10826" s="65" customFormat="1"/>
    <row r="10827" s="65" customFormat="1"/>
    <row r="10828" s="65" customFormat="1"/>
    <row r="10829" s="65" customFormat="1"/>
    <row r="10830" s="65" customFormat="1"/>
    <row r="10831" s="65" customFormat="1"/>
    <row r="10832" s="65" customFormat="1"/>
    <row r="10833" s="65" customFormat="1"/>
    <row r="10834" s="65" customFormat="1"/>
    <row r="10835" s="65" customFormat="1"/>
    <row r="10836" s="65" customFormat="1"/>
    <row r="10837" s="65" customFormat="1"/>
    <row r="10838" s="65" customFormat="1"/>
    <row r="10839" s="65" customFormat="1"/>
    <row r="10840" s="65" customFormat="1"/>
    <row r="10841" s="65" customFormat="1"/>
    <row r="10842" s="65" customFormat="1"/>
    <row r="10843" s="65" customFormat="1"/>
    <row r="10844" s="65" customFormat="1"/>
    <row r="10845" s="65" customFormat="1"/>
    <row r="10846" s="65" customFormat="1"/>
    <row r="10847" s="65" customFormat="1"/>
    <row r="10848" s="65" customFormat="1"/>
    <row r="10849" s="65" customFormat="1"/>
    <row r="10850" s="65" customFormat="1"/>
    <row r="10851" s="65" customFormat="1"/>
    <row r="10852" s="65" customFormat="1"/>
    <row r="10853" s="65" customFormat="1"/>
    <row r="10854" s="65" customFormat="1"/>
    <row r="10855" s="65" customFormat="1"/>
    <row r="10856" s="65" customFormat="1"/>
    <row r="10857" s="65" customFormat="1"/>
    <row r="10858" s="65" customFormat="1"/>
    <row r="10859" s="65" customFormat="1"/>
    <row r="10860" s="65" customFormat="1"/>
    <row r="10861" s="65" customFormat="1"/>
    <row r="10862" s="65" customFormat="1"/>
    <row r="10863" s="65" customFormat="1"/>
    <row r="10864" s="65" customFormat="1"/>
    <row r="10865" s="65" customFormat="1"/>
    <row r="10866" s="65" customFormat="1"/>
    <row r="10867" s="65" customFormat="1"/>
    <row r="10868" s="65" customFormat="1"/>
    <row r="10869" s="65" customFormat="1"/>
    <row r="10870" s="65" customFormat="1"/>
    <row r="10871" s="65" customFormat="1"/>
    <row r="10872" s="65" customFormat="1"/>
    <row r="10873" s="65" customFormat="1"/>
    <row r="10874" s="65" customFormat="1"/>
    <row r="10875" s="65" customFormat="1"/>
    <row r="10876" s="65" customFormat="1"/>
    <row r="10877" s="65" customFormat="1"/>
    <row r="10878" s="65" customFormat="1"/>
    <row r="10879" s="65" customFormat="1"/>
    <row r="10880" s="65" customFormat="1"/>
    <row r="10881" s="65" customFormat="1"/>
    <row r="10882" s="65" customFormat="1"/>
    <row r="10883" s="65" customFormat="1"/>
    <row r="10884" s="65" customFormat="1"/>
    <row r="10885" s="65" customFormat="1"/>
    <row r="10886" s="65" customFormat="1"/>
    <row r="10887" s="65" customFormat="1"/>
    <row r="10888" s="65" customFormat="1"/>
    <row r="10889" s="65" customFormat="1"/>
    <row r="10890" s="65" customFormat="1"/>
    <row r="10891" s="65" customFormat="1"/>
    <row r="10892" s="65" customFormat="1"/>
    <row r="10893" s="65" customFormat="1"/>
    <row r="10894" s="65" customFormat="1"/>
    <row r="10895" s="65" customFormat="1"/>
    <row r="10896" s="65" customFormat="1"/>
    <row r="10897" s="65" customFormat="1"/>
    <row r="10898" s="65" customFormat="1"/>
    <row r="10899" s="65" customFormat="1"/>
    <row r="10900" s="65" customFormat="1"/>
    <row r="10901" s="65" customFormat="1"/>
    <row r="10902" s="65" customFormat="1"/>
    <row r="10903" s="65" customFormat="1"/>
    <row r="10904" s="65" customFormat="1"/>
    <row r="10905" s="65" customFormat="1"/>
    <row r="10906" s="65" customFormat="1"/>
    <row r="10907" s="65" customFormat="1"/>
    <row r="10908" s="65" customFormat="1"/>
    <row r="10909" s="65" customFormat="1"/>
    <row r="10910" s="65" customFormat="1"/>
    <row r="10911" s="65" customFormat="1"/>
    <row r="10912" s="65" customFormat="1"/>
    <row r="10913" s="65" customFormat="1"/>
    <row r="10914" s="65" customFormat="1"/>
    <row r="10915" s="65" customFormat="1"/>
    <row r="10916" s="65" customFormat="1"/>
    <row r="10917" s="65" customFormat="1"/>
    <row r="10918" s="65" customFormat="1"/>
    <row r="10919" s="65" customFormat="1"/>
    <row r="10920" s="65" customFormat="1"/>
    <row r="10921" s="65" customFormat="1"/>
    <row r="10922" s="65" customFormat="1"/>
    <row r="10923" s="65" customFormat="1"/>
    <row r="10924" s="65" customFormat="1"/>
    <row r="10925" s="65" customFormat="1"/>
    <row r="10926" s="65" customFormat="1"/>
    <row r="10927" s="65" customFormat="1"/>
    <row r="10928" s="65" customFormat="1"/>
    <row r="10929" s="65" customFormat="1"/>
    <row r="10930" s="65" customFormat="1"/>
    <row r="10931" s="65" customFormat="1"/>
    <row r="10932" s="65" customFormat="1"/>
    <row r="10933" s="65" customFormat="1"/>
    <row r="10934" s="65" customFormat="1"/>
    <row r="10935" s="65" customFormat="1"/>
    <row r="10936" s="65" customFormat="1"/>
    <row r="10937" s="65" customFormat="1"/>
    <row r="10938" s="65" customFormat="1"/>
    <row r="10939" s="65" customFormat="1"/>
    <row r="10940" s="65" customFormat="1"/>
    <row r="10941" s="65" customFormat="1"/>
    <row r="10942" s="65" customFormat="1"/>
    <row r="10943" s="65" customFormat="1"/>
    <row r="10944" s="65" customFormat="1"/>
    <row r="10945" s="65" customFormat="1"/>
    <row r="10946" s="65" customFormat="1"/>
    <row r="10947" s="65" customFormat="1"/>
    <row r="10948" s="65" customFormat="1"/>
    <row r="10949" s="65" customFormat="1"/>
    <row r="10950" s="65" customFormat="1"/>
    <row r="10951" s="65" customFormat="1"/>
    <row r="10952" s="65" customFormat="1"/>
    <row r="10953" s="65" customFormat="1"/>
    <row r="10954" s="65" customFormat="1"/>
    <row r="10955" s="65" customFormat="1"/>
    <row r="10956" s="65" customFormat="1"/>
    <row r="10957" s="65" customFormat="1"/>
    <row r="10958" s="65" customFormat="1"/>
    <row r="10959" s="65" customFormat="1"/>
    <row r="10960" s="65" customFormat="1"/>
    <row r="10961" s="65" customFormat="1"/>
    <row r="10962" s="65" customFormat="1"/>
    <row r="10963" s="65" customFormat="1"/>
    <row r="10964" s="65" customFormat="1"/>
    <row r="10965" s="65" customFormat="1"/>
    <row r="10966" s="65" customFormat="1"/>
    <row r="10967" s="65" customFormat="1"/>
    <row r="10968" s="65" customFormat="1"/>
    <row r="10969" s="65" customFormat="1"/>
    <row r="10970" s="65" customFormat="1"/>
    <row r="10971" s="65" customFormat="1"/>
    <row r="10972" s="65" customFormat="1"/>
    <row r="10973" s="65" customFormat="1"/>
    <row r="10974" s="65" customFormat="1"/>
    <row r="10975" s="65" customFormat="1"/>
    <row r="10976" s="65" customFormat="1"/>
    <row r="10977" s="65" customFormat="1"/>
    <row r="10978" s="65" customFormat="1"/>
    <row r="10979" s="65" customFormat="1"/>
    <row r="10980" s="65" customFormat="1"/>
    <row r="10981" s="65" customFormat="1"/>
    <row r="10982" s="65" customFormat="1"/>
    <row r="10983" s="65" customFormat="1"/>
    <row r="10984" s="65" customFormat="1"/>
    <row r="10985" s="65" customFormat="1"/>
    <row r="10986" s="65" customFormat="1"/>
    <row r="10987" s="65" customFormat="1"/>
    <row r="10988" s="65" customFormat="1"/>
    <row r="10989" s="65" customFormat="1"/>
    <row r="10990" s="65" customFormat="1"/>
    <row r="10991" s="65" customFormat="1"/>
    <row r="10992" s="65" customFormat="1"/>
    <row r="10993" s="65" customFormat="1"/>
    <row r="10994" s="65" customFormat="1"/>
    <row r="10995" s="65" customFormat="1"/>
    <row r="10996" s="65" customFormat="1"/>
    <row r="10997" s="65" customFormat="1"/>
    <row r="10998" s="65" customFormat="1"/>
    <row r="10999" s="65" customFormat="1"/>
    <row r="11000" s="65" customFormat="1"/>
    <row r="11001" s="65" customFormat="1"/>
    <row r="11002" s="65" customFormat="1"/>
    <row r="11003" s="65" customFormat="1"/>
    <row r="11004" s="65" customFormat="1"/>
    <row r="11005" s="65" customFormat="1"/>
    <row r="11006" s="65" customFormat="1"/>
    <row r="11007" s="65" customFormat="1"/>
    <row r="11008" s="65" customFormat="1"/>
    <row r="11009" s="65" customFormat="1"/>
    <row r="11010" s="65" customFormat="1"/>
    <row r="11011" s="65" customFormat="1"/>
    <row r="11012" s="65" customFormat="1"/>
    <row r="11013" s="65" customFormat="1"/>
    <row r="11014" s="65" customFormat="1"/>
    <row r="11015" s="65" customFormat="1"/>
    <row r="11016" s="65" customFormat="1"/>
    <row r="11017" s="65" customFormat="1"/>
    <row r="11018" s="65" customFormat="1"/>
    <row r="11019" s="65" customFormat="1"/>
    <row r="11020" s="65" customFormat="1"/>
    <row r="11021" s="65" customFormat="1"/>
    <row r="11022" s="65" customFormat="1"/>
    <row r="11023" s="65" customFormat="1"/>
    <row r="11024" s="65" customFormat="1"/>
    <row r="11025" s="65" customFormat="1"/>
    <row r="11026" s="65" customFormat="1"/>
    <row r="11027" s="65" customFormat="1"/>
    <row r="11028" s="65" customFormat="1"/>
    <row r="11029" s="65" customFormat="1"/>
    <row r="11030" s="65" customFormat="1"/>
    <row r="11031" s="65" customFormat="1"/>
    <row r="11032" s="65" customFormat="1"/>
    <row r="11033" s="65" customFormat="1"/>
    <row r="11034" s="65" customFormat="1"/>
    <row r="11035" s="65" customFormat="1"/>
    <row r="11036" s="65" customFormat="1"/>
    <row r="11037" s="65" customFormat="1"/>
    <row r="11038" s="65" customFormat="1"/>
    <row r="11039" s="65" customFormat="1"/>
    <row r="11040" s="65" customFormat="1"/>
    <row r="11041" s="65" customFormat="1"/>
    <row r="11042" s="65" customFormat="1"/>
    <row r="11043" s="65" customFormat="1"/>
    <row r="11044" s="65" customFormat="1"/>
    <row r="11045" s="65" customFormat="1"/>
    <row r="11046" s="65" customFormat="1"/>
    <row r="11047" s="65" customFormat="1"/>
    <row r="11048" s="65" customFormat="1"/>
    <row r="11049" s="65" customFormat="1"/>
    <row r="11050" s="65" customFormat="1"/>
    <row r="11051" s="65" customFormat="1"/>
    <row r="11052" s="65" customFormat="1"/>
    <row r="11053" s="65" customFormat="1"/>
    <row r="11054" s="65" customFormat="1"/>
    <row r="11055" s="65" customFormat="1"/>
    <row r="11056" s="65" customFormat="1"/>
    <row r="11057" s="65" customFormat="1"/>
    <row r="11058" s="65" customFormat="1"/>
    <row r="11059" s="65" customFormat="1"/>
    <row r="11060" s="65" customFormat="1"/>
    <row r="11061" s="65" customFormat="1"/>
    <row r="11062" s="65" customFormat="1"/>
    <row r="11063" s="65" customFormat="1"/>
    <row r="11064" s="65" customFormat="1"/>
    <row r="11065" s="65" customFormat="1"/>
    <row r="11066" s="65" customFormat="1"/>
    <row r="11067" s="65" customFormat="1"/>
    <row r="11068" s="65" customFormat="1"/>
    <row r="11069" s="65" customFormat="1"/>
    <row r="11070" s="65" customFormat="1"/>
    <row r="11071" s="65" customFormat="1"/>
    <row r="11072" s="65" customFormat="1"/>
    <row r="11073" s="65" customFormat="1"/>
    <row r="11074" s="65" customFormat="1"/>
    <row r="11075" s="65" customFormat="1"/>
    <row r="11076" s="65" customFormat="1"/>
    <row r="11077" s="65" customFormat="1"/>
    <row r="11078" s="65" customFormat="1"/>
    <row r="11079" s="65" customFormat="1"/>
    <row r="11080" s="65" customFormat="1"/>
    <row r="11081" s="65" customFormat="1"/>
    <row r="11082" s="65" customFormat="1"/>
    <row r="11083" s="65" customFormat="1"/>
    <row r="11084" s="65" customFormat="1"/>
    <row r="11085" s="65" customFormat="1"/>
    <row r="11086" s="65" customFormat="1"/>
    <row r="11087" s="65" customFormat="1"/>
    <row r="11088" s="65" customFormat="1"/>
    <row r="11089" s="65" customFormat="1"/>
    <row r="11090" s="65" customFormat="1"/>
    <row r="11091" s="65" customFormat="1"/>
    <row r="11092" s="65" customFormat="1"/>
    <row r="11093" s="65" customFormat="1"/>
    <row r="11094" s="65" customFormat="1"/>
    <row r="11095" s="65" customFormat="1"/>
    <row r="11096" s="65" customFormat="1"/>
    <row r="11097" s="65" customFormat="1"/>
    <row r="11098" s="65" customFormat="1"/>
    <row r="11099" s="65" customFormat="1"/>
    <row r="11100" s="65" customFormat="1"/>
    <row r="11101" s="65" customFormat="1"/>
    <row r="11102" s="65" customFormat="1"/>
    <row r="11103" s="65" customFormat="1"/>
    <row r="11104" s="65" customFormat="1"/>
    <row r="11105" s="65" customFormat="1"/>
    <row r="11106" s="65" customFormat="1"/>
    <row r="11107" s="65" customFormat="1"/>
    <row r="11108" s="65" customFormat="1"/>
    <row r="11109" s="65" customFormat="1"/>
    <row r="11110" s="65" customFormat="1"/>
    <row r="11111" s="65" customFormat="1"/>
    <row r="11112" s="65" customFormat="1"/>
    <row r="11113" s="65" customFormat="1"/>
    <row r="11114" s="65" customFormat="1"/>
    <row r="11115" s="65" customFormat="1"/>
    <row r="11116" s="65" customFormat="1"/>
    <row r="11117" s="65" customFormat="1"/>
    <row r="11118" s="65" customFormat="1"/>
    <row r="11119" s="65" customFormat="1"/>
    <row r="11120" s="65" customFormat="1"/>
    <row r="11121" s="65" customFormat="1"/>
    <row r="11122" s="65" customFormat="1"/>
    <row r="11123" s="65" customFormat="1"/>
    <row r="11124" s="65" customFormat="1"/>
    <row r="11125" s="65" customFormat="1"/>
    <row r="11126" s="65" customFormat="1"/>
    <row r="11127" s="65" customFormat="1"/>
    <row r="11128" s="65" customFormat="1"/>
    <row r="11129" s="65" customFormat="1"/>
    <row r="11130" s="65" customFormat="1"/>
    <row r="11131" s="65" customFormat="1"/>
    <row r="11132" s="65" customFormat="1"/>
    <row r="11133" s="65" customFormat="1"/>
    <row r="11134" s="65" customFormat="1"/>
    <row r="11135" s="65" customFormat="1"/>
    <row r="11136" s="65" customFormat="1"/>
    <row r="11137" s="65" customFormat="1"/>
    <row r="11138" s="65" customFormat="1"/>
    <row r="11139" s="65" customFormat="1"/>
    <row r="11140" s="65" customFormat="1"/>
    <row r="11141" s="65" customFormat="1"/>
    <row r="11142" s="65" customFormat="1"/>
    <row r="11143" s="65" customFormat="1"/>
    <row r="11144" s="65" customFormat="1"/>
    <row r="11145" s="65" customFormat="1"/>
    <row r="11146" s="65" customFormat="1"/>
    <row r="11147" s="65" customFormat="1"/>
    <row r="11148" s="65" customFormat="1"/>
    <row r="11149" s="65" customFormat="1"/>
    <row r="11150" s="65" customFormat="1"/>
    <row r="11151" s="65" customFormat="1"/>
    <row r="11152" s="65" customFormat="1"/>
    <row r="11153" s="65" customFormat="1"/>
    <row r="11154" s="65" customFormat="1"/>
    <row r="11155" s="65" customFormat="1"/>
    <row r="11156" s="65" customFormat="1"/>
    <row r="11157" s="65" customFormat="1"/>
    <row r="11158" s="65" customFormat="1"/>
    <row r="11159" s="65" customFormat="1"/>
    <row r="11160" s="65" customFormat="1"/>
    <row r="11161" s="65" customFormat="1"/>
    <row r="11162" s="65" customFormat="1"/>
    <row r="11163" s="65" customFormat="1"/>
    <row r="11164" s="65" customFormat="1"/>
    <row r="11165" s="65" customFormat="1"/>
    <row r="11166" s="65" customFormat="1"/>
    <row r="11167" s="65" customFormat="1"/>
    <row r="11168" s="65" customFormat="1"/>
    <row r="11169" s="65" customFormat="1"/>
    <row r="11170" s="65" customFormat="1"/>
    <row r="11171" s="65" customFormat="1"/>
    <row r="11172" s="65" customFormat="1"/>
    <row r="11173" s="65" customFormat="1"/>
    <row r="11174" s="65" customFormat="1"/>
    <row r="11175" s="65" customFormat="1"/>
    <row r="11176" s="65" customFormat="1"/>
    <row r="11177" s="65" customFormat="1"/>
    <row r="11178" s="65" customFormat="1"/>
    <row r="11179" s="65" customFormat="1"/>
    <row r="11180" s="65" customFormat="1"/>
    <row r="11181" s="65" customFormat="1"/>
    <row r="11182" s="65" customFormat="1"/>
    <row r="11183" s="65" customFormat="1"/>
    <row r="11184" s="65" customFormat="1"/>
    <row r="11185" s="65" customFormat="1"/>
    <row r="11186" s="65" customFormat="1"/>
    <row r="11187" s="65" customFormat="1"/>
    <row r="11188" s="65" customFormat="1"/>
    <row r="11189" s="65" customFormat="1"/>
    <row r="11190" s="65" customFormat="1"/>
    <row r="11191" s="65" customFormat="1"/>
    <row r="11192" s="65" customFormat="1"/>
    <row r="11193" s="65" customFormat="1"/>
    <row r="11194" s="65" customFormat="1"/>
    <row r="11195" s="65" customFormat="1"/>
    <row r="11196" s="65" customFormat="1"/>
    <row r="11197" s="65" customFormat="1"/>
    <row r="11198" s="65" customFormat="1"/>
    <row r="11199" s="65" customFormat="1"/>
    <row r="11200" s="65" customFormat="1"/>
    <row r="11201" s="65" customFormat="1"/>
    <row r="11202" s="65" customFormat="1"/>
    <row r="11203" s="65" customFormat="1"/>
    <row r="11204" s="65" customFormat="1"/>
    <row r="11205" s="65" customFormat="1"/>
    <row r="11206" s="65" customFormat="1"/>
    <row r="11207" s="65" customFormat="1"/>
    <row r="11208" s="65" customFormat="1"/>
    <row r="11209" s="65" customFormat="1"/>
    <row r="11210" s="65" customFormat="1"/>
    <row r="11211" s="65" customFormat="1"/>
    <row r="11212" s="65" customFormat="1"/>
    <row r="11213" s="65" customFormat="1"/>
    <row r="11214" s="65" customFormat="1"/>
    <row r="11215" s="65" customFormat="1"/>
    <row r="11216" s="65" customFormat="1"/>
    <row r="11217" s="65" customFormat="1"/>
    <row r="11218" s="65" customFormat="1"/>
    <row r="11219" s="65" customFormat="1"/>
    <row r="11220" s="65" customFormat="1"/>
    <row r="11221" s="65" customFormat="1"/>
    <row r="11222" s="65" customFormat="1"/>
    <row r="11223" s="65" customFormat="1"/>
    <row r="11224" s="65" customFormat="1"/>
    <row r="11225" s="65" customFormat="1"/>
    <row r="11226" s="65" customFormat="1"/>
    <row r="11227" s="65" customFormat="1"/>
    <row r="11228" s="65" customFormat="1"/>
    <row r="11229" s="65" customFormat="1"/>
    <row r="11230" s="65" customFormat="1"/>
    <row r="11231" s="65" customFormat="1"/>
    <row r="11232" s="65" customFormat="1"/>
    <row r="11233" s="65" customFormat="1"/>
    <row r="11234" s="65" customFormat="1"/>
    <row r="11235" s="65" customFormat="1"/>
    <row r="11236" s="65" customFormat="1"/>
    <row r="11237" s="65" customFormat="1"/>
    <row r="11238" s="65" customFormat="1"/>
    <row r="11239" s="65" customFormat="1"/>
    <row r="11240" s="65" customFormat="1"/>
    <row r="11241" s="65" customFormat="1"/>
    <row r="11242" s="65" customFormat="1"/>
    <row r="11243" s="65" customFormat="1"/>
    <row r="11244" s="65" customFormat="1"/>
    <row r="11245" s="65" customFormat="1"/>
    <row r="11246" s="65" customFormat="1"/>
    <row r="11247" s="65" customFormat="1"/>
    <row r="11248" s="65" customFormat="1"/>
    <row r="11249" s="65" customFormat="1"/>
    <row r="11250" s="65" customFormat="1"/>
    <row r="11251" s="65" customFormat="1"/>
    <row r="11252" s="65" customFormat="1"/>
    <row r="11253" s="65" customFormat="1"/>
    <row r="11254" s="65" customFormat="1"/>
    <row r="11255" s="65" customFormat="1"/>
    <row r="11256" s="65" customFormat="1"/>
    <row r="11257" s="65" customFormat="1"/>
    <row r="11258" s="65" customFormat="1"/>
    <row r="11259" s="65" customFormat="1"/>
    <row r="11260" s="65" customFormat="1"/>
    <row r="11261" s="65" customFormat="1"/>
    <row r="11262" s="65" customFormat="1"/>
    <row r="11263" s="65" customFormat="1"/>
    <row r="11264" s="65" customFormat="1"/>
    <row r="11265" s="65" customFormat="1"/>
    <row r="11266" s="65" customFormat="1"/>
    <row r="11267" s="65" customFormat="1"/>
    <row r="11268" s="65" customFormat="1"/>
    <row r="11269" s="65" customFormat="1"/>
    <row r="11270" s="65" customFormat="1"/>
    <row r="11271" s="65" customFormat="1"/>
    <row r="11272" s="65" customFormat="1"/>
    <row r="11273" s="65" customFormat="1"/>
    <row r="11274" s="65" customFormat="1"/>
    <row r="11275" s="65" customFormat="1"/>
    <row r="11276" s="65" customFormat="1"/>
    <row r="11277" s="65" customFormat="1"/>
    <row r="11278" s="65" customFormat="1"/>
    <row r="11279" s="65" customFormat="1"/>
    <row r="11280" s="65" customFormat="1"/>
    <row r="11281" s="65" customFormat="1"/>
    <row r="11282" s="65" customFormat="1"/>
    <row r="11283" s="65" customFormat="1"/>
    <row r="11284" s="65" customFormat="1"/>
    <row r="11285" s="65" customFormat="1"/>
    <row r="11286" s="65" customFormat="1"/>
    <row r="11287" s="65" customFormat="1"/>
    <row r="11288" s="65" customFormat="1"/>
    <row r="11289" s="65" customFormat="1"/>
    <row r="11290" s="65" customFormat="1"/>
    <row r="11291" s="65" customFormat="1"/>
    <row r="11292" s="65" customFormat="1"/>
    <row r="11293" s="65" customFormat="1"/>
    <row r="11294" s="65" customFormat="1"/>
    <row r="11295" s="65" customFormat="1"/>
    <row r="11296" s="65" customFormat="1"/>
    <row r="11297" s="65" customFormat="1"/>
    <row r="11298" s="65" customFormat="1"/>
    <row r="11299" s="65" customFormat="1"/>
    <row r="11300" s="65" customFormat="1"/>
    <row r="11301" s="65" customFormat="1"/>
    <row r="11302" s="65" customFormat="1"/>
    <row r="11303" s="65" customFormat="1"/>
    <row r="11304" s="65" customFormat="1"/>
    <row r="11305" s="65" customFormat="1"/>
    <row r="11306" s="65" customFormat="1"/>
    <row r="11307" s="65" customFormat="1"/>
    <row r="11308" s="65" customFormat="1"/>
    <row r="11309" s="65" customFormat="1"/>
    <row r="11310" s="65" customFormat="1"/>
    <row r="11311" s="65" customFormat="1"/>
    <row r="11312" s="65" customFormat="1"/>
    <row r="11313" s="65" customFormat="1"/>
    <row r="11314" s="65" customFormat="1"/>
    <row r="11315" s="65" customFormat="1"/>
    <row r="11316" s="65" customFormat="1"/>
    <row r="11317" s="65" customFormat="1"/>
    <row r="11318" s="65" customFormat="1"/>
    <row r="11319" s="65" customFormat="1"/>
    <row r="11320" s="65" customFormat="1"/>
    <row r="11321" s="65" customFormat="1"/>
    <row r="11322" s="65" customFormat="1"/>
    <row r="11323" s="65" customFormat="1"/>
    <row r="11324" s="65" customFormat="1"/>
    <row r="11325" s="65" customFormat="1"/>
    <row r="11326" s="65" customFormat="1"/>
    <row r="11327" s="65" customFormat="1"/>
    <row r="11328" s="65" customFormat="1"/>
    <row r="11329" s="65" customFormat="1"/>
    <row r="11330" s="65" customFormat="1"/>
    <row r="11331" s="65" customFormat="1"/>
    <row r="11332" s="65" customFormat="1"/>
    <row r="11333" s="65" customFormat="1"/>
    <row r="11334" s="65" customFormat="1"/>
    <row r="11335" s="65" customFormat="1"/>
    <row r="11336" s="65" customFormat="1"/>
    <row r="11337" s="65" customFormat="1"/>
    <row r="11338" s="65" customFormat="1"/>
    <row r="11339" s="65" customFormat="1"/>
    <row r="11340" s="65" customFormat="1"/>
    <row r="11341" s="65" customFormat="1"/>
    <row r="11342" s="65" customFormat="1"/>
    <row r="11343" s="65" customFormat="1"/>
    <row r="11344" s="65" customFormat="1"/>
    <row r="11345" s="65" customFormat="1"/>
    <row r="11346" s="65" customFormat="1"/>
    <row r="11347" s="65" customFormat="1"/>
    <row r="11348" s="65" customFormat="1"/>
    <row r="11349" s="65" customFormat="1"/>
    <row r="11350" s="65" customFormat="1"/>
    <row r="11351" s="65" customFormat="1"/>
    <row r="11352" s="65" customFormat="1"/>
    <row r="11353" s="65" customFormat="1"/>
    <row r="11354" s="65" customFormat="1"/>
    <row r="11355" s="65" customFormat="1"/>
    <row r="11356" s="65" customFormat="1"/>
    <row r="11357" s="65" customFormat="1"/>
    <row r="11358" s="65" customFormat="1"/>
    <row r="11359" s="65" customFormat="1"/>
    <row r="11360" s="65" customFormat="1"/>
    <row r="11361" s="65" customFormat="1"/>
    <row r="11362" s="65" customFormat="1"/>
    <row r="11363" s="65" customFormat="1"/>
    <row r="11364" s="65" customFormat="1"/>
    <row r="11365" s="65" customFormat="1"/>
    <row r="11366" s="65" customFormat="1"/>
    <row r="11367" s="65" customFormat="1"/>
    <row r="11368" s="65" customFormat="1"/>
    <row r="11369" s="65" customFormat="1"/>
    <row r="11370" s="65" customFormat="1"/>
    <row r="11371" s="65" customFormat="1"/>
    <row r="11372" s="65" customFormat="1"/>
    <row r="11373" s="65" customFormat="1"/>
    <row r="11374" s="65" customFormat="1"/>
    <row r="11375" s="65" customFormat="1"/>
    <row r="11376" s="65" customFormat="1"/>
    <row r="11377" s="65" customFormat="1"/>
    <row r="11378" s="65" customFormat="1"/>
    <row r="11379" s="65" customFormat="1"/>
    <row r="11380" s="65" customFormat="1"/>
    <row r="11381" s="65" customFormat="1"/>
    <row r="11382" s="65" customFormat="1"/>
    <row r="11383" s="65" customFormat="1"/>
    <row r="11384" s="65" customFormat="1"/>
    <row r="11385" s="65" customFormat="1"/>
    <row r="11386" s="65" customFormat="1"/>
    <row r="11387" s="65" customFormat="1"/>
    <row r="11388" s="65" customFormat="1"/>
    <row r="11389" s="65" customFormat="1"/>
    <row r="11390" s="65" customFormat="1"/>
    <row r="11391" s="65" customFormat="1"/>
    <row r="11392" s="65" customFormat="1"/>
    <row r="11393" s="65" customFormat="1"/>
    <row r="11394" s="65" customFormat="1"/>
    <row r="11395" s="65" customFormat="1"/>
    <row r="11396" s="65" customFormat="1"/>
    <row r="11397" s="65" customFormat="1"/>
    <row r="11398" s="65" customFormat="1"/>
    <row r="11399" s="65" customFormat="1"/>
    <row r="11400" s="65" customFormat="1"/>
    <row r="11401" s="65" customFormat="1"/>
    <row r="11402" s="65" customFormat="1"/>
    <row r="11403" s="65" customFormat="1"/>
    <row r="11404" s="65" customFormat="1"/>
    <row r="11405" s="65" customFormat="1"/>
    <row r="11406" s="65" customFormat="1"/>
    <row r="11407" s="65" customFormat="1"/>
    <row r="11408" s="65" customFormat="1"/>
    <row r="11409" s="65" customFormat="1"/>
    <row r="11410" s="65" customFormat="1"/>
    <row r="11411" s="65" customFormat="1"/>
    <row r="11412" s="65" customFormat="1"/>
    <row r="11413" s="65" customFormat="1"/>
    <row r="11414" s="65" customFormat="1"/>
    <row r="11415" s="65" customFormat="1"/>
    <row r="11416" s="65" customFormat="1"/>
    <row r="11417" s="65" customFormat="1"/>
    <row r="11418" s="65" customFormat="1"/>
    <row r="11419" s="65" customFormat="1"/>
    <row r="11420" s="65" customFormat="1"/>
    <row r="11421" s="65" customFormat="1"/>
    <row r="11422" s="65" customFormat="1"/>
    <row r="11423" s="65" customFormat="1"/>
    <row r="11424" s="65" customFormat="1"/>
    <row r="11425" s="65" customFormat="1"/>
    <row r="11426" s="65" customFormat="1"/>
    <row r="11427" s="65" customFormat="1"/>
    <row r="11428" s="65" customFormat="1"/>
    <row r="11429" s="65" customFormat="1"/>
    <row r="11430" s="65" customFormat="1"/>
    <row r="11431" s="65" customFormat="1"/>
    <row r="11432" s="65" customFormat="1"/>
    <row r="11433" s="65" customFormat="1"/>
    <row r="11434" s="65" customFormat="1"/>
    <row r="11435" s="65" customFormat="1"/>
    <row r="11436" s="65" customFormat="1"/>
    <row r="11437" s="65" customFormat="1"/>
    <row r="11438" s="65" customFormat="1"/>
    <row r="11439" s="65" customFormat="1"/>
    <row r="11440" s="65" customFormat="1"/>
    <row r="11441" s="65" customFormat="1"/>
    <row r="11442" s="65" customFormat="1"/>
    <row r="11443" s="65" customFormat="1"/>
    <row r="11444" s="65" customFormat="1"/>
    <row r="11445" s="65" customFormat="1"/>
    <row r="11446" s="65" customFormat="1"/>
    <row r="11447" s="65" customFormat="1"/>
    <row r="11448" s="65" customFormat="1"/>
    <row r="11449" s="65" customFormat="1"/>
    <row r="11450" s="65" customFormat="1"/>
    <row r="11451" s="65" customFormat="1"/>
    <row r="11452" s="65" customFormat="1"/>
    <row r="11453" s="65" customFormat="1"/>
    <row r="11454" s="65" customFormat="1"/>
    <row r="11455" s="65" customFormat="1"/>
    <row r="11456" s="65" customFormat="1"/>
    <row r="11457" s="65" customFormat="1"/>
    <row r="11458" s="65" customFormat="1"/>
    <row r="11459" s="65" customFormat="1"/>
    <row r="11460" s="65" customFormat="1"/>
    <row r="11461" s="65" customFormat="1"/>
    <row r="11462" s="65" customFormat="1"/>
    <row r="11463" s="65" customFormat="1"/>
    <row r="11464" s="65" customFormat="1"/>
    <row r="11465" s="65" customFormat="1"/>
    <row r="11466" s="65" customFormat="1"/>
    <row r="11467" s="65" customFormat="1"/>
    <row r="11468" s="65" customFormat="1"/>
    <row r="11469" s="65" customFormat="1"/>
    <row r="11470" s="65" customFormat="1"/>
    <row r="11471" s="65" customFormat="1"/>
    <row r="11472" s="65" customFormat="1"/>
    <row r="11473" s="65" customFormat="1"/>
    <row r="11474" s="65" customFormat="1"/>
    <row r="11475" s="65" customFormat="1"/>
    <row r="11476" s="65" customFormat="1"/>
    <row r="11477" s="65" customFormat="1"/>
    <row r="11478" s="65" customFormat="1"/>
    <row r="11479" s="65" customFormat="1"/>
    <row r="11480" s="65" customFormat="1"/>
    <row r="11481" s="65" customFormat="1"/>
    <row r="11482" s="65" customFormat="1"/>
    <row r="11483" s="65" customFormat="1"/>
    <row r="11484" s="65" customFormat="1"/>
    <row r="11485" s="65" customFormat="1"/>
    <row r="11486" s="65" customFormat="1"/>
    <row r="11487" s="65" customFormat="1"/>
    <row r="11488" s="65" customFormat="1"/>
    <row r="11489" s="65" customFormat="1"/>
    <row r="11490" s="65" customFormat="1"/>
    <row r="11491" s="65" customFormat="1"/>
    <row r="11492" s="65" customFormat="1"/>
    <row r="11493" s="65" customFormat="1"/>
    <row r="11494" s="65" customFormat="1"/>
    <row r="11495" s="65" customFormat="1"/>
    <row r="11496" s="65" customFormat="1"/>
    <row r="11497" s="65" customFormat="1"/>
    <row r="11498" s="65" customFormat="1"/>
    <row r="11499" s="65" customFormat="1"/>
    <row r="11500" s="65" customFormat="1"/>
    <row r="11501" s="65" customFormat="1"/>
    <row r="11502" s="65" customFormat="1"/>
    <row r="11503" s="65" customFormat="1"/>
    <row r="11504" s="65" customFormat="1"/>
    <row r="11505" s="65" customFormat="1"/>
    <row r="11506" s="65" customFormat="1"/>
    <row r="11507" s="65" customFormat="1"/>
    <row r="11508" s="65" customFormat="1"/>
    <row r="11509" s="65" customFormat="1"/>
    <row r="11510" s="65" customFormat="1"/>
    <row r="11511" s="65" customFormat="1"/>
    <row r="11512" s="65" customFormat="1"/>
    <row r="11513" s="65" customFormat="1"/>
    <row r="11514" s="65" customFormat="1"/>
    <row r="11515" s="65" customFormat="1"/>
    <row r="11516" s="65" customFormat="1"/>
    <row r="11517" s="65" customFormat="1"/>
    <row r="11518" s="65" customFormat="1"/>
    <row r="11519" s="65" customFormat="1"/>
    <row r="11520" s="65" customFormat="1"/>
    <row r="11521" s="65" customFormat="1"/>
    <row r="11522" s="65" customFormat="1"/>
    <row r="11523" s="65" customFormat="1"/>
    <row r="11524" s="65" customFormat="1"/>
    <row r="11525" s="65" customFormat="1"/>
    <row r="11526" s="65" customFormat="1"/>
    <row r="11527" s="65" customFormat="1"/>
    <row r="11528" s="65" customFormat="1"/>
    <row r="11529" s="65" customFormat="1"/>
    <row r="11530" s="65" customFormat="1"/>
    <row r="11531" s="65" customFormat="1"/>
    <row r="11532" s="65" customFormat="1"/>
    <row r="11533" s="65" customFormat="1"/>
    <row r="11534" s="65" customFormat="1"/>
    <row r="11535" s="65" customFormat="1"/>
    <row r="11536" s="65" customFormat="1"/>
    <row r="11537" s="65" customFormat="1"/>
    <row r="11538" s="65" customFormat="1"/>
    <row r="11539" s="65" customFormat="1"/>
    <row r="11540" s="65" customFormat="1"/>
    <row r="11541" s="65" customFormat="1"/>
    <row r="11542" s="65" customFormat="1"/>
    <row r="11543" s="65" customFormat="1"/>
    <row r="11544" s="65" customFormat="1"/>
    <row r="11545" s="65" customFormat="1"/>
    <row r="11546" s="65" customFormat="1"/>
    <row r="11547" s="65" customFormat="1"/>
    <row r="11548" s="65" customFormat="1"/>
    <row r="11549" s="65" customFormat="1"/>
    <row r="11550" s="65" customFormat="1"/>
    <row r="11551" s="65" customFormat="1"/>
    <row r="11552" s="65" customFormat="1"/>
    <row r="11553" s="65" customFormat="1"/>
    <row r="11554" s="65" customFormat="1"/>
    <row r="11555" s="65" customFormat="1"/>
    <row r="11556" s="65" customFormat="1"/>
    <row r="11557" s="65" customFormat="1"/>
    <row r="11558" s="65" customFormat="1"/>
    <row r="11559" s="65" customFormat="1"/>
    <row r="11560" s="65" customFormat="1"/>
    <row r="11561" s="65" customFormat="1"/>
    <row r="11562" s="65" customFormat="1"/>
    <row r="11563" s="65" customFormat="1"/>
    <row r="11564" s="65" customFormat="1"/>
    <row r="11565" s="65" customFormat="1"/>
    <row r="11566" s="65" customFormat="1"/>
    <row r="11567" s="65" customFormat="1"/>
    <row r="11568" s="65" customFormat="1"/>
    <row r="11569" s="65" customFormat="1"/>
    <row r="11570" s="65" customFormat="1"/>
    <row r="11571" s="65" customFormat="1"/>
    <row r="11572" s="65" customFormat="1"/>
    <row r="11573" s="65" customFormat="1"/>
    <row r="11574" s="65" customFormat="1"/>
    <row r="11575" s="65" customFormat="1"/>
    <row r="11576" s="65" customFormat="1"/>
    <row r="11577" s="65" customFormat="1"/>
    <row r="11578" s="65" customFormat="1"/>
    <row r="11579" s="65" customFormat="1"/>
    <row r="11580" s="65" customFormat="1"/>
    <row r="11581" s="65" customFormat="1"/>
    <row r="11582" s="65" customFormat="1"/>
    <row r="11583" s="65" customFormat="1"/>
    <row r="11584" s="65" customFormat="1"/>
    <row r="11585" s="65" customFormat="1"/>
    <row r="11586" s="65" customFormat="1"/>
    <row r="11587" s="65" customFormat="1"/>
    <row r="11588" s="65" customFormat="1"/>
    <row r="11589" s="65" customFormat="1"/>
    <row r="11590" s="65" customFormat="1"/>
    <row r="11591" s="65" customFormat="1"/>
    <row r="11592" s="65" customFormat="1"/>
    <row r="11593" s="65" customFormat="1"/>
    <row r="11594" s="65" customFormat="1"/>
    <row r="11595" s="65" customFormat="1"/>
    <row r="11596" s="65" customFormat="1"/>
    <row r="11597" s="65" customFormat="1"/>
    <row r="11598" s="65" customFormat="1"/>
    <row r="11599" s="65" customFormat="1"/>
    <row r="11600" s="65" customFormat="1"/>
    <row r="11601" s="65" customFormat="1"/>
    <row r="11602" s="65" customFormat="1"/>
    <row r="11603" s="65" customFormat="1"/>
    <row r="11604" s="65" customFormat="1"/>
    <row r="11605" s="65" customFormat="1"/>
    <row r="11606" s="65" customFormat="1"/>
    <row r="11607" s="65" customFormat="1"/>
    <row r="11608" s="65" customFormat="1"/>
    <row r="11609" s="65" customFormat="1"/>
    <row r="11610" s="65" customFormat="1"/>
    <row r="11611" s="65" customFormat="1"/>
    <row r="11612" s="65" customFormat="1"/>
    <row r="11613" s="65" customFormat="1"/>
    <row r="11614" s="65" customFormat="1"/>
    <row r="11615" s="65" customFormat="1"/>
    <row r="11616" s="65" customFormat="1"/>
    <row r="11617" s="65" customFormat="1"/>
    <row r="11618" s="65" customFormat="1"/>
    <row r="11619" s="65" customFormat="1"/>
    <row r="11620" s="65" customFormat="1"/>
    <row r="11621" s="65" customFormat="1"/>
    <row r="11622" s="65" customFormat="1"/>
    <row r="11623" s="65" customFormat="1"/>
    <row r="11624" s="65" customFormat="1"/>
    <row r="11625" s="65" customFormat="1"/>
    <row r="11626" s="65" customFormat="1"/>
    <row r="11627" s="65" customFormat="1"/>
    <row r="11628" s="65" customFormat="1"/>
    <row r="11629" s="65" customFormat="1"/>
    <row r="11630" s="65" customFormat="1"/>
    <row r="11631" s="65" customFormat="1"/>
    <row r="11632" s="65" customFormat="1"/>
    <row r="11633" s="65" customFormat="1"/>
    <row r="11634" s="65" customFormat="1"/>
    <row r="11635" s="65" customFormat="1"/>
    <row r="11636" s="65" customFormat="1"/>
    <row r="11637" s="65" customFormat="1"/>
    <row r="11638" s="65" customFormat="1"/>
    <row r="11639" s="65" customFormat="1"/>
    <row r="11640" s="65" customFormat="1"/>
    <row r="11641" s="65" customFormat="1"/>
    <row r="11642" s="65" customFormat="1"/>
    <row r="11643" s="65" customFormat="1"/>
    <row r="11644" s="65" customFormat="1"/>
    <row r="11645" s="65" customFormat="1"/>
    <row r="11646" s="65" customFormat="1"/>
    <row r="11647" s="65" customFormat="1"/>
    <row r="11648" s="65" customFormat="1"/>
    <row r="11649" s="65" customFormat="1"/>
    <row r="11650" s="65" customFormat="1"/>
    <row r="11651" s="65" customFormat="1"/>
    <row r="11652" s="65" customFormat="1"/>
    <row r="11653" s="65" customFormat="1"/>
    <row r="11654" s="65" customFormat="1"/>
    <row r="11655" s="65" customFormat="1"/>
    <row r="11656" s="65" customFormat="1"/>
    <row r="11657" s="65" customFormat="1"/>
    <row r="11658" s="65" customFormat="1"/>
    <row r="11659" s="65" customFormat="1"/>
    <row r="11660" s="65" customFormat="1"/>
    <row r="11661" s="65" customFormat="1"/>
    <row r="11662" s="65" customFormat="1"/>
    <row r="11663" s="65" customFormat="1"/>
    <row r="11664" s="65" customFormat="1"/>
    <row r="11665" s="65" customFormat="1"/>
    <row r="11666" s="65" customFormat="1"/>
    <row r="11667" s="65" customFormat="1"/>
    <row r="11668" s="65" customFormat="1"/>
    <row r="11669" s="65" customFormat="1"/>
    <row r="11670" s="65" customFormat="1"/>
    <row r="11671" s="65" customFormat="1"/>
    <row r="11672" s="65" customFormat="1"/>
    <row r="11673" s="65" customFormat="1"/>
    <row r="11674" s="65" customFormat="1"/>
    <row r="11675" s="65" customFormat="1"/>
    <row r="11676" s="65" customFormat="1"/>
    <row r="11677" s="65" customFormat="1"/>
    <row r="11678" s="65" customFormat="1"/>
    <row r="11679" s="65" customFormat="1"/>
    <row r="11680" s="65" customFormat="1"/>
    <row r="11681" s="65" customFormat="1"/>
    <row r="11682" s="65" customFormat="1"/>
    <row r="11683" s="65" customFormat="1"/>
    <row r="11684" s="65" customFormat="1"/>
    <row r="11685" s="65" customFormat="1"/>
    <row r="11686" s="65" customFormat="1"/>
    <row r="11687" s="65" customFormat="1"/>
    <row r="11688" s="65" customFormat="1"/>
    <row r="11689" s="65" customFormat="1"/>
    <row r="11690" s="65" customFormat="1"/>
    <row r="11691" s="65" customFormat="1"/>
    <row r="11692" s="65" customFormat="1"/>
    <row r="11693" s="65" customFormat="1"/>
    <row r="11694" s="65" customFormat="1"/>
    <row r="11695" s="65" customFormat="1"/>
    <row r="11696" s="65" customFormat="1"/>
    <row r="11697" s="65" customFormat="1"/>
    <row r="11698" s="65" customFormat="1"/>
    <row r="11699" s="65" customFormat="1"/>
    <row r="11700" s="65" customFormat="1"/>
    <row r="11701" s="65" customFormat="1"/>
    <row r="11702" s="65" customFormat="1"/>
    <row r="11703" s="65" customFormat="1"/>
    <row r="11704" s="65" customFormat="1"/>
    <row r="11705" s="65" customFormat="1"/>
    <row r="11706" s="65" customFormat="1"/>
    <row r="11707" s="65" customFormat="1"/>
    <row r="11708" s="65" customFormat="1"/>
    <row r="11709" s="65" customFormat="1"/>
    <row r="11710" s="65" customFormat="1"/>
    <row r="11711" s="65" customFormat="1"/>
    <row r="11712" s="65" customFormat="1"/>
    <row r="11713" s="65" customFormat="1"/>
    <row r="11714" s="65" customFormat="1"/>
    <row r="11715" s="65" customFormat="1"/>
    <row r="11716" s="65" customFormat="1"/>
    <row r="11717" s="65" customFormat="1"/>
    <row r="11718" s="65" customFormat="1"/>
    <row r="11719" s="65" customFormat="1"/>
    <row r="11720" s="65" customFormat="1"/>
    <row r="11721" s="65" customFormat="1"/>
    <row r="11722" s="65" customFormat="1"/>
    <row r="11723" s="65" customFormat="1"/>
    <row r="11724" s="65" customFormat="1"/>
    <row r="11725" s="65" customFormat="1"/>
    <row r="11726" s="65" customFormat="1"/>
    <row r="11727" s="65" customFormat="1"/>
    <row r="11728" s="65" customFormat="1"/>
    <row r="11729" s="65" customFormat="1"/>
    <row r="11730" s="65" customFormat="1"/>
    <row r="11731" s="65" customFormat="1"/>
    <row r="11732" s="65" customFormat="1"/>
    <row r="11733" s="65" customFormat="1"/>
    <row r="11734" s="65" customFormat="1"/>
    <row r="11735" s="65" customFormat="1"/>
    <row r="11736" s="65" customFormat="1"/>
    <row r="11737" s="65" customFormat="1"/>
    <row r="11738" s="65" customFormat="1"/>
    <row r="11739" s="65" customFormat="1"/>
    <row r="11740" s="65" customFormat="1"/>
    <row r="11741" s="65" customFormat="1"/>
    <row r="11742" s="65" customFormat="1"/>
    <row r="11743" s="65" customFormat="1"/>
    <row r="11744" s="65" customFormat="1"/>
    <row r="11745" s="65" customFormat="1"/>
    <row r="11746" s="65" customFormat="1"/>
    <row r="11747" s="65" customFormat="1"/>
    <row r="11748" s="65" customFormat="1"/>
    <row r="11749" s="65" customFormat="1"/>
    <row r="11750" s="65" customFormat="1"/>
    <row r="11751" s="65" customFormat="1"/>
    <row r="11752" s="65" customFormat="1"/>
    <row r="11753" s="65" customFormat="1"/>
    <row r="11754" s="65" customFormat="1"/>
    <row r="11755" s="65" customFormat="1"/>
    <row r="11756" s="65" customFormat="1"/>
    <row r="11757" s="65" customFormat="1"/>
    <row r="11758" s="65" customFormat="1"/>
    <row r="11759" s="65" customFormat="1"/>
    <row r="11760" s="65" customFormat="1"/>
    <row r="11761" s="65" customFormat="1"/>
    <row r="11762" s="65" customFormat="1"/>
    <row r="11763" s="65" customFormat="1"/>
    <row r="11764" s="65" customFormat="1"/>
    <row r="11765" s="65" customFormat="1"/>
    <row r="11766" s="65" customFormat="1"/>
    <row r="11767" s="65" customFormat="1"/>
    <row r="11768" s="65" customFormat="1"/>
    <row r="11769" s="65" customFormat="1"/>
    <row r="11770" s="65" customFormat="1"/>
    <row r="11771" s="65" customFormat="1"/>
    <row r="11772" s="65" customFormat="1"/>
    <row r="11773" s="65" customFormat="1"/>
    <row r="11774" s="65" customFormat="1"/>
    <row r="11775" s="65" customFormat="1"/>
    <row r="11776" s="65" customFormat="1"/>
    <row r="11777" s="65" customFormat="1"/>
    <row r="11778" s="65" customFormat="1"/>
    <row r="11779" s="65" customFormat="1"/>
    <row r="11780" s="65" customFormat="1"/>
    <row r="11781" s="65" customFormat="1"/>
    <row r="11782" s="65" customFormat="1"/>
    <row r="11783" s="65" customFormat="1"/>
    <row r="11784" s="65" customFormat="1"/>
    <row r="11785" s="65" customFormat="1"/>
    <row r="11786" s="65" customFormat="1"/>
    <row r="11787" s="65" customFormat="1"/>
    <row r="11788" s="65" customFormat="1"/>
    <row r="11789" s="65" customFormat="1"/>
    <row r="11790" s="65" customFormat="1"/>
    <row r="11791" s="65" customFormat="1"/>
    <row r="11792" s="65" customFormat="1"/>
    <row r="11793" s="65" customFormat="1"/>
    <row r="11794" s="65" customFormat="1"/>
    <row r="11795" s="65" customFormat="1"/>
    <row r="11796" s="65" customFormat="1"/>
    <row r="11797" s="65" customFormat="1"/>
    <row r="11798" s="65" customFormat="1"/>
    <row r="11799" s="65" customFormat="1"/>
    <row r="11800" s="65" customFormat="1"/>
    <row r="11801" s="65" customFormat="1"/>
    <row r="11802" s="65" customFormat="1"/>
    <row r="11803" s="65" customFormat="1"/>
    <row r="11804" s="65" customFormat="1"/>
    <row r="11805" s="65" customFormat="1"/>
    <row r="11806" s="65" customFormat="1"/>
    <row r="11807" s="65" customFormat="1"/>
    <row r="11808" s="65" customFormat="1"/>
    <row r="11809" s="65" customFormat="1"/>
    <row r="11810" s="65" customFormat="1"/>
    <row r="11811" s="65" customFormat="1"/>
    <row r="11812" s="65" customFormat="1"/>
    <row r="11813" s="65" customFormat="1"/>
    <row r="11814" s="65" customFormat="1"/>
    <row r="11815" s="65" customFormat="1"/>
    <row r="11816" s="65" customFormat="1"/>
    <row r="11817" s="65" customFormat="1"/>
    <row r="11818" s="65" customFormat="1"/>
    <row r="11819" s="65" customFormat="1"/>
    <row r="11820" s="65" customFormat="1"/>
    <row r="11821" s="65" customFormat="1"/>
    <row r="11822" s="65" customFormat="1"/>
    <row r="11823" s="65" customFormat="1"/>
    <row r="11824" s="65" customFormat="1"/>
    <row r="11825" s="65" customFormat="1"/>
    <row r="11826" s="65" customFormat="1"/>
    <row r="11827" s="65" customFormat="1"/>
    <row r="11828" s="65" customFormat="1"/>
    <row r="11829" s="65" customFormat="1"/>
    <row r="11830" s="65" customFormat="1"/>
    <row r="11831" s="65" customFormat="1"/>
    <row r="11832" s="65" customFormat="1"/>
    <row r="11833" s="65" customFormat="1"/>
    <row r="11834" s="65" customFormat="1"/>
    <row r="11835" s="65" customFormat="1"/>
    <row r="11836" s="65" customFormat="1"/>
    <row r="11837" s="65" customFormat="1"/>
    <row r="11838" s="65" customFormat="1"/>
    <row r="11839" s="65" customFormat="1"/>
    <row r="11840" s="65" customFormat="1"/>
    <row r="11841" s="65" customFormat="1"/>
    <row r="11842" s="65" customFormat="1"/>
    <row r="11843" s="65" customFormat="1"/>
    <row r="11844" s="65" customFormat="1"/>
    <row r="11845" s="65" customFormat="1"/>
    <row r="11846" s="65" customFormat="1"/>
    <row r="11847" s="65" customFormat="1"/>
    <row r="11848" s="65" customFormat="1"/>
    <row r="11849" s="65" customFormat="1"/>
    <row r="11850" s="65" customFormat="1"/>
    <row r="11851" s="65" customFormat="1"/>
    <row r="11852" s="65" customFormat="1"/>
    <row r="11853" s="65" customFormat="1"/>
    <row r="11854" s="65" customFormat="1"/>
    <row r="11855" s="65" customFormat="1"/>
    <row r="11856" s="65" customFormat="1"/>
    <row r="11857" s="65" customFormat="1"/>
    <row r="11858" s="65" customFormat="1"/>
    <row r="11859" s="65" customFormat="1"/>
    <row r="11860" s="65" customFormat="1"/>
    <row r="11861" s="65" customFormat="1"/>
    <row r="11862" s="65" customFormat="1"/>
    <row r="11863" s="65" customFormat="1"/>
    <row r="11864" s="65" customFormat="1"/>
    <row r="11865" s="65" customFormat="1"/>
    <row r="11866" s="65" customFormat="1"/>
    <row r="11867" s="65" customFormat="1"/>
    <row r="11868" s="65" customFormat="1"/>
    <row r="11869" s="65" customFormat="1"/>
    <row r="11870" s="65" customFormat="1"/>
    <row r="11871" s="65" customFormat="1"/>
    <row r="11872" s="65" customFormat="1"/>
    <row r="11873" s="65" customFormat="1"/>
    <row r="11874" s="65" customFormat="1"/>
    <row r="11875" s="65" customFormat="1"/>
    <row r="11876" s="65" customFormat="1"/>
    <row r="11877" s="65" customFormat="1"/>
    <row r="11878" s="65" customFormat="1"/>
    <row r="11879" s="65" customFormat="1"/>
    <row r="11880" s="65" customFormat="1"/>
    <row r="11881" s="65" customFormat="1"/>
    <row r="11882" s="65" customFormat="1"/>
    <row r="11883" s="65" customFormat="1"/>
    <row r="11884" s="65" customFormat="1"/>
    <row r="11885" s="65" customFormat="1"/>
    <row r="11886" s="65" customFormat="1"/>
    <row r="11887" s="65" customFormat="1"/>
    <row r="11888" s="65" customFormat="1"/>
    <row r="11889" s="65" customFormat="1"/>
    <row r="11890" s="65" customFormat="1"/>
    <row r="11891" s="65" customFormat="1"/>
    <row r="11892" s="65" customFormat="1"/>
    <row r="11893" s="65" customFormat="1"/>
    <row r="11894" s="65" customFormat="1"/>
    <row r="11895" s="65" customFormat="1"/>
    <row r="11896" s="65" customFormat="1"/>
    <row r="11897" s="65" customFormat="1"/>
    <row r="11898" s="65" customFormat="1"/>
    <row r="11899" s="65" customFormat="1"/>
    <row r="11900" s="65" customFormat="1"/>
    <row r="11901" s="65" customFormat="1"/>
    <row r="11902" s="65" customFormat="1"/>
    <row r="11903" s="65" customFormat="1"/>
    <row r="11904" s="65" customFormat="1"/>
    <row r="11905" s="65" customFormat="1"/>
    <row r="11906" s="65" customFormat="1"/>
    <row r="11907" s="65" customFormat="1"/>
    <row r="11908" s="65" customFormat="1"/>
    <row r="11909" s="65" customFormat="1"/>
    <row r="11910" s="65" customFormat="1"/>
    <row r="11911" s="65" customFormat="1"/>
    <row r="11912" s="65" customFormat="1"/>
    <row r="11913" s="65" customFormat="1"/>
    <row r="11914" s="65" customFormat="1"/>
    <row r="11915" s="65" customFormat="1"/>
    <row r="11916" s="65" customFormat="1"/>
    <row r="11917" s="65" customFormat="1"/>
    <row r="11918" s="65" customFormat="1"/>
    <row r="11919" s="65" customFormat="1"/>
    <row r="11920" s="65" customFormat="1"/>
    <row r="11921" s="65" customFormat="1"/>
    <row r="11922" s="65" customFormat="1"/>
    <row r="11923" s="65" customFormat="1"/>
    <row r="11924" s="65" customFormat="1"/>
    <row r="11925" s="65" customFormat="1"/>
    <row r="11926" s="65" customFormat="1"/>
    <row r="11927" s="65" customFormat="1"/>
    <row r="11928" s="65" customFormat="1"/>
    <row r="11929" s="65" customFormat="1"/>
    <row r="11930" s="65" customFormat="1"/>
    <row r="11931" s="65" customFormat="1"/>
    <row r="11932" s="65" customFormat="1"/>
    <row r="11933" s="65" customFormat="1"/>
    <row r="11934" s="65" customFormat="1"/>
    <row r="11935" s="65" customFormat="1"/>
    <row r="11936" s="65" customFormat="1"/>
    <row r="11937" s="65" customFormat="1"/>
    <row r="11938" s="65" customFormat="1"/>
    <row r="11939" s="65" customFormat="1"/>
    <row r="11940" s="65" customFormat="1"/>
    <row r="11941" s="65" customFormat="1"/>
    <row r="11942" s="65" customFormat="1"/>
    <row r="11943" s="65" customFormat="1"/>
    <row r="11944" s="65" customFormat="1"/>
    <row r="11945" s="65" customFormat="1"/>
    <row r="11946" s="65" customFormat="1"/>
    <row r="11947" s="65" customFormat="1"/>
    <row r="11948" s="65" customFormat="1"/>
    <row r="11949" s="65" customFormat="1"/>
    <row r="11950" s="65" customFormat="1"/>
    <row r="11951" s="65" customFormat="1"/>
    <row r="11952" s="65" customFormat="1"/>
    <row r="11953" s="65" customFormat="1"/>
    <row r="11954" s="65" customFormat="1"/>
    <row r="11955" s="65" customFormat="1"/>
    <row r="11956" s="65" customFormat="1"/>
    <row r="11957" s="65" customFormat="1"/>
    <row r="11958" s="65" customFormat="1"/>
    <row r="11959" s="65" customFormat="1"/>
    <row r="11960" s="65" customFormat="1"/>
    <row r="11961" s="65" customFormat="1"/>
    <row r="11962" s="65" customFormat="1"/>
    <row r="11963" s="65" customFormat="1"/>
    <row r="11964" s="65" customFormat="1"/>
    <row r="11965" s="65" customFormat="1"/>
    <row r="11966" s="65" customFormat="1"/>
    <row r="11967" s="65" customFormat="1"/>
    <row r="11968" s="65" customFormat="1"/>
    <row r="11969" s="65" customFormat="1"/>
    <row r="11970" s="65" customFormat="1"/>
    <row r="11971" s="65" customFormat="1"/>
    <row r="11972" s="65" customFormat="1"/>
    <row r="11973" s="65" customFormat="1"/>
    <row r="11974" s="65" customFormat="1"/>
    <row r="11975" s="65" customFormat="1"/>
    <row r="11976" s="65" customFormat="1"/>
    <row r="11977" s="65" customFormat="1"/>
    <row r="11978" s="65" customFormat="1"/>
    <row r="11979" s="65" customFormat="1"/>
    <row r="11980" s="65" customFormat="1"/>
    <row r="11981" s="65" customFormat="1"/>
    <row r="11982" s="65" customFormat="1"/>
    <row r="11983" s="65" customFormat="1"/>
    <row r="11984" s="65" customFormat="1"/>
    <row r="11985" s="65" customFormat="1"/>
    <row r="11986" s="65" customFormat="1"/>
    <row r="11987" s="65" customFormat="1"/>
    <row r="11988" s="65" customFormat="1"/>
    <row r="11989" s="65" customFormat="1"/>
    <row r="11990" s="65" customFormat="1"/>
    <row r="11991" s="65" customFormat="1"/>
    <row r="11992" s="65" customFormat="1"/>
    <row r="11993" s="65" customFormat="1"/>
    <row r="11994" s="65" customFormat="1"/>
    <row r="11995" s="65" customFormat="1"/>
    <row r="11996" s="65" customFormat="1"/>
    <row r="11997" s="65" customFormat="1"/>
    <row r="11998" s="65" customFormat="1"/>
    <row r="11999" s="65" customFormat="1"/>
    <row r="12000" s="65" customFormat="1"/>
    <row r="12001" s="65" customFormat="1"/>
    <row r="12002" s="65" customFormat="1"/>
    <row r="12003" s="65" customFormat="1"/>
    <row r="12004" s="65" customFormat="1"/>
    <row r="12005" s="65" customFormat="1"/>
    <row r="12006" s="65" customFormat="1"/>
    <row r="12007" s="65" customFormat="1"/>
    <row r="12008" s="65" customFormat="1"/>
    <row r="12009" s="65" customFormat="1"/>
    <row r="12010" s="65" customFormat="1"/>
    <row r="12011" s="65" customFormat="1"/>
    <row r="12012" s="65" customFormat="1"/>
    <row r="12013" s="65" customFormat="1"/>
    <row r="12014" s="65" customFormat="1"/>
    <row r="12015" s="65" customFormat="1"/>
    <row r="12016" s="65" customFormat="1"/>
    <row r="12017" s="65" customFormat="1"/>
    <row r="12018" s="65" customFormat="1"/>
    <row r="12019" s="65" customFormat="1"/>
    <row r="12020" s="65" customFormat="1"/>
    <row r="12021" s="65" customFormat="1"/>
    <row r="12022" s="65" customFormat="1"/>
    <row r="12023" s="65" customFormat="1"/>
    <row r="12024" s="65" customFormat="1"/>
    <row r="12025" s="65" customFormat="1"/>
    <row r="12026" s="65" customFormat="1"/>
    <row r="12027" s="65" customFormat="1"/>
    <row r="12028" s="65" customFormat="1"/>
    <row r="12029" s="65" customFormat="1"/>
    <row r="12030" s="65" customFormat="1"/>
    <row r="12031" s="65" customFormat="1"/>
    <row r="12032" s="65" customFormat="1"/>
    <row r="12033" s="65" customFormat="1"/>
    <row r="12034" s="65" customFormat="1"/>
    <row r="12035" s="65" customFormat="1"/>
    <row r="12036" s="65" customFormat="1"/>
    <row r="12037" s="65" customFormat="1"/>
    <row r="12038" s="65" customFormat="1"/>
    <row r="12039" s="65" customFormat="1"/>
    <row r="12040" s="65" customFormat="1"/>
    <row r="12041" s="65" customFormat="1"/>
    <row r="12042" s="65" customFormat="1"/>
    <row r="12043" s="65" customFormat="1"/>
    <row r="12044" s="65" customFormat="1"/>
    <row r="12045" s="65" customFormat="1"/>
    <row r="12046" s="65" customFormat="1"/>
    <row r="12047" s="65" customFormat="1"/>
    <row r="12048" s="65" customFormat="1"/>
    <row r="12049" s="65" customFormat="1"/>
    <row r="12050" s="65" customFormat="1"/>
    <row r="12051" s="65" customFormat="1"/>
    <row r="12052" s="65" customFormat="1"/>
    <row r="12053" s="65" customFormat="1"/>
    <row r="12054" s="65" customFormat="1"/>
    <row r="12055" s="65" customFormat="1"/>
    <row r="12056" s="65" customFormat="1"/>
    <row r="12057" s="65" customFormat="1"/>
    <row r="12058" s="65" customFormat="1"/>
    <row r="12059" s="65" customFormat="1"/>
    <row r="12060" s="65" customFormat="1"/>
    <row r="12061" s="65" customFormat="1"/>
    <row r="12062" s="65" customFormat="1"/>
    <row r="12063" s="65" customFormat="1"/>
    <row r="12064" s="65" customFormat="1"/>
    <row r="12065" s="65" customFormat="1"/>
    <row r="12066" s="65" customFormat="1"/>
    <row r="12067" s="65" customFormat="1"/>
    <row r="12068" s="65" customFormat="1"/>
    <row r="12069" s="65" customFormat="1"/>
    <row r="12070" s="65" customFormat="1"/>
    <row r="12071" s="65" customFormat="1"/>
    <row r="12072" s="65" customFormat="1"/>
    <row r="12073" s="65" customFormat="1"/>
    <row r="12074" s="65" customFormat="1"/>
    <row r="12075" s="65" customFormat="1"/>
    <row r="12076" s="65" customFormat="1"/>
    <row r="12077" s="65" customFormat="1"/>
    <row r="12078" s="65" customFormat="1"/>
    <row r="12079" s="65" customFormat="1"/>
    <row r="12080" s="65" customFormat="1"/>
    <row r="12081" s="65" customFormat="1"/>
    <row r="12082" s="65" customFormat="1"/>
    <row r="12083" s="65" customFormat="1"/>
    <row r="12084" s="65" customFormat="1"/>
    <row r="12085" s="65" customFormat="1"/>
    <row r="12086" s="65" customFormat="1"/>
    <row r="12087" s="65" customFormat="1"/>
    <row r="12088" s="65" customFormat="1"/>
    <row r="12089" s="65" customFormat="1"/>
    <row r="12090" s="65" customFormat="1"/>
    <row r="12091" s="65" customFormat="1"/>
    <row r="12092" s="65" customFormat="1"/>
    <row r="12093" s="65" customFormat="1"/>
    <row r="12094" s="65" customFormat="1"/>
    <row r="12095" s="65" customFormat="1"/>
    <row r="12096" s="65" customFormat="1"/>
    <row r="12097" s="65" customFormat="1"/>
    <row r="12098" s="65" customFormat="1"/>
    <row r="12099" s="65" customFormat="1"/>
    <row r="12100" s="65" customFormat="1"/>
    <row r="12101" s="65" customFormat="1"/>
    <row r="12102" s="65" customFormat="1"/>
    <row r="12103" s="65" customFormat="1"/>
    <row r="12104" s="65" customFormat="1"/>
    <row r="12105" s="65" customFormat="1"/>
    <row r="12106" s="65" customFormat="1"/>
    <row r="12107" s="65" customFormat="1"/>
    <row r="12108" s="65" customFormat="1"/>
    <row r="12109" s="65" customFormat="1"/>
    <row r="12110" s="65" customFormat="1"/>
    <row r="12111" s="65" customFormat="1"/>
    <row r="12112" s="65" customFormat="1"/>
    <row r="12113" s="65" customFormat="1"/>
    <row r="12114" s="65" customFormat="1"/>
    <row r="12115" s="65" customFormat="1"/>
    <row r="12116" s="65" customFormat="1"/>
    <row r="12117" s="65" customFormat="1"/>
    <row r="12118" s="65" customFormat="1"/>
    <row r="12119" s="65" customFormat="1"/>
    <row r="12120" s="65" customFormat="1"/>
    <row r="12121" s="65" customFormat="1"/>
    <row r="12122" s="65" customFormat="1"/>
    <row r="12123" s="65" customFormat="1"/>
    <row r="12124" s="65" customFormat="1"/>
    <row r="12125" s="65" customFormat="1"/>
    <row r="12126" s="65" customFormat="1"/>
    <row r="12127" s="65" customFormat="1"/>
    <row r="12128" s="65" customFormat="1"/>
    <row r="12129" s="65" customFormat="1"/>
    <row r="12130" s="65" customFormat="1"/>
    <row r="12131" s="65" customFormat="1"/>
    <row r="12132" s="65" customFormat="1"/>
    <row r="12133" s="65" customFormat="1"/>
    <row r="12134" s="65" customFormat="1"/>
    <row r="12135" s="65" customFormat="1"/>
    <row r="12136" s="65" customFormat="1"/>
    <row r="12137" s="65" customFormat="1"/>
    <row r="12138" s="65" customFormat="1"/>
    <row r="12139" s="65" customFormat="1"/>
    <row r="12140" s="65" customFormat="1"/>
    <row r="12141" s="65" customFormat="1"/>
    <row r="12142" s="65" customFormat="1"/>
    <row r="12143" s="65" customFormat="1"/>
    <row r="12144" s="65" customFormat="1"/>
    <row r="12145" s="65" customFormat="1"/>
    <row r="12146" s="65" customFormat="1"/>
    <row r="12147" s="65" customFormat="1"/>
    <row r="12148" s="65" customFormat="1"/>
    <row r="12149" s="65" customFormat="1"/>
    <row r="12150" s="65" customFormat="1"/>
    <row r="12151" s="65" customFormat="1"/>
    <row r="12152" s="65" customFormat="1"/>
    <row r="12153" s="65" customFormat="1"/>
    <row r="12154" s="65" customFormat="1"/>
    <row r="12155" s="65" customFormat="1"/>
    <row r="12156" s="65" customFormat="1"/>
    <row r="12157" s="65" customFormat="1"/>
    <row r="12158" s="65" customFormat="1"/>
    <row r="12159" s="65" customFormat="1"/>
    <row r="12160" s="65" customFormat="1"/>
    <row r="12161" s="65" customFormat="1"/>
    <row r="12162" s="65" customFormat="1"/>
    <row r="12163" s="65" customFormat="1"/>
    <row r="12164" s="65" customFormat="1"/>
    <row r="12165" s="65" customFormat="1"/>
    <row r="12166" s="65" customFormat="1"/>
    <row r="12167" s="65" customFormat="1"/>
    <row r="12168" s="65" customFormat="1"/>
    <row r="12169" s="65" customFormat="1"/>
    <row r="12170" s="65" customFormat="1"/>
    <row r="12171" s="65" customFormat="1"/>
    <row r="12172" s="65" customFormat="1"/>
    <row r="12173" s="65" customFormat="1"/>
    <row r="12174" s="65" customFormat="1"/>
    <row r="12175" s="65" customFormat="1"/>
    <row r="12176" s="65" customFormat="1"/>
    <row r="12177" s="65" customFormat="1"/>
    <row r="12178" s="65" customFormat="1"/>
    <row r="12179" s="65" customFormat="1"/>
    <row r="12180" s="65" customFormat="1"/>
    <row r="12181" s="65" customFormat="1"/>
    <row r="12182" s="65" customFormat="1"/>
    <row r="12183" s="65" customFormat="1"/>
    <row r="12184" s="65" customFormat="1"/>
    <row r="12185" s="65" customFormat="1"/>
    <row r="12186" s="65" customFormat="1"/>
    <row r="12187" s="65" customFormat="1"/>
    <row r="12188" s="65" customFormat="1"/>
    <row r="12189" s="65" customFormat="1"/>
    <row r="12190" s="65" customFormat="1"/>
    <row r="12191" s="65" customFormat="1"/>
    <row r="12192" s="65" customFormat="1"/>
    <row r="12193" s="65" customFormat="1"/>
    <row r="12194" s="65" customFormat="1"/>
    <row r="12195" s="65" customFormat="1"/>
    <row r="12196" s="65" customFormat="1"/>
    <row r="12197" s="65" customFormat="1"/>
    <row r="12198" s="65" customFormat="1"/>
    <row r="12199" s="65" customFormat="1"/>
    <row r="12200" s="65" customFormat="1"/>
    <row r="12201" s="65" customFormat="1"/>
    <row r="12202" s="65" customFormat="1"/>
    <row r="12203" s="65" customFormat="1"/>
    <row r="12204" s="65" customFormat="1"/>
    <row r="12205" s="65" customFormat="1"/>
    <row r="12206" s="65" customFormat="1"/>
    <row r="12207" s="65" customFormat="1"/>
    <row r="12208" s="65" customFormat="1"/>
    <row r="12209" s="65" customFormat="1"/>
    <row r="12210" s="65" customFormat="1"/>
    <row r="12211" s="65" customFormat="1"/>
    <row r="12212" s="65" customFormat="1"/>
    <row r="12213" s="65" customFormat="1"/>
    <row r="12214" s="65" customFormat="1"/>
    <row r="12215" s="65" customFormat="1"/>
    <row r="12216" s="65" customFormat="1"/>
    <row r="12217" s="65" customFormat="1"/>
    <row r="12218" s="65" customFormat="1"/>
    <row r="12219" s="65" customFormat="1"/>
    <row r="12220" s="65" customFormat="1"/>
    <row r="12221" s="65" customFormat="1"/>
    <row r="12222" s="65" customFormat="1"/>
    <row r="12223" s="65" customFormat="1"/>
    <row r="12224" s="65" customFormat="1"/>
    <row r="12225" s="65" customFormat="1"/>
    <row r="12226" s="65" customFormat="1"/>
    <row r="12227" s="65" customFormat="1"/>
    <row r="12228" s="65" customFormat="1"/>
    <row r="12229" s="65" customFormat="1"/>
    <row r="12230" s="65" customFormat="1"/>
    <row r="12231" s="65" customFormat="1"/>
    <row r="12232" s="65" customFormat="1"/>
    <row r="12233" s="65" customFormat="1"/>
    <row r="12234" s="65" customFormat="1"/>
    <row r="12235" s="65" customFormat="1"/>
    <row r="12236" s="65" customFormat="1"/>
    <row r="12237" s="65" customFormat="1"/>
    <row r="12238" s="65" customFormat="1"/>
    <row r="12239" s="65" customFormat="1"/>
    <row r="12240" s="65" customFormat="1"/>
    <row r="12241" s="65" customFormat="1"/>
    <row r="12242" s="65" customFormat="1"/>
    <row r="12243" s="65" customFormat="1"/>
    <row r="12244" s="65" customFormat="1"/>
    <row r="12245" s="65" customFormat="1"/>
    <row r="12246" s="65" customFormat="1"/>
    <row r="12247" s="65" customFormat="1"/>
    <row r="12248" s="65" customFormat="1"/>
    <row r="12249" s="65" customFormat="1"/>
    <row r="12250" s="65" customFormat="1"/>
    <row r="12251" s="65" customFormat="1"/>
    <row r="12252" s="65" customFormat="1"/>
    <row r="12253" s="65" customFormat="1"/>
    <row r="12254" s="65" customFormat="1"/>
    <row r="12255" s="65" customFormat="1"/>
    <row r="12256" s="65" customFormat="1"/>
    <row r="12257" s="65" customFormat="1"/>
    <row r="12258" s="65" customFormat="1"/>
    <row r="12259" s="65" customFormat="1"/>
    <row r="12260" s="65" customFormat="1"/>
    <row r="12261" s="65" customFormat="1"/>
    <row r="12262" s="65" customFormat="1"/>
    <row r="12263" s="65" customFormat="1"/>
    <row r="12264" s="65" customFormat="1"/>
    <row r="12265" s="65" customFormat="1"/>
    <row r="12266" s="65" customFormat="1"/>
    <row r="12267" s="65" customFormat="1"/>
    <row r="12268" s="65" customFormat="1"/>
    <row r="12269" s="65" customFormat="1"/>
    <row r="12270" s="65" customFormat="1"/>
    <row r="12271" s="65" customFormat="1"/>
    <row r="12272" s="65" customFormat="1"/>
    <row r="12273" s="65" customFormat="1"/>
    <row r="12274" s="65" customFormat="1"/>
    <row r="12275" s="65" customFormat="1"/>
    <row r="12276" s="65" customFormat="1"/>
    <row r="12277" s="65" customFormat="1"/>
    <row r="12278" s="65" customFormat="1"/>
    <row r="12279" s="65" customFormat="1"/>
    <row r="12280" s="65" customFormat="1"/>
    <row r="12281" s="65" customFormat="1"/>
    <row r="12282" s="65" customFormat="1"/>
    <row r="12283" s="65" customFormat="1"/>
    <row r="12284" s="65" customFormat="1"/>
    <row r="12285" s="65" customFormat="1"/>
    <row r="12286" s="65" customFormat="1"/>
    <row r="12287" s="65" customFormat="1"/>
    <row r="12288" s="65" customFormat="1"/>
    <row r="12289" s="65" customFormat="1"/>
    <row r="12290" s="65" customFormat="1"/>
    <row r="12291" s="65" customFormat="1"/>
    <row r="12292" s="65" customFormat="1"/>
    <row r="12293" s="65" customFormat="1"/>
    <row r="12294" s="65" customFormat="1"/>
    <row r="12295" s="65" customFormat="1"/>
    <row r="12296" s="65" customFormat="1"/>
    <row r="12297" s="65" customFormat="1"/>
    <row r="12298" s="65" customFormat="1"/>
    <row r="12299" s="65" customFormat="1"/>
    <row r="12300" s="65" customFormat="1"/>
    <row r="12301" s="65" customFormat="1"/>
    <row r="12302" s="65" customFormat="1"/>
    <row r="12303" s="65" customFormat="1"/>
    <row r="12304" s="65" customFormat="1"/>
    <row r="12305" s="65" customFormat="1"/>
    <row r="12306" s="65" customFormat="1"/>
    <row r="12307" s="65" customFormat="1"/>
    <row r="12308" s="65" customFormat="1"/>
    <row r="12309" s="65" customFormat="1"/>
    <row r="12310" s="65" customFormat="1"/>
    <row r="12311" s="65" customFormat="1"/>
    <row r="12312" s="65" customFormat="1"/>
    <row r="12313" s="65" customFormat="1"/>
    <row r="12314" s="65" customFormat="1"/>
    <row r="12315" s="65" customFormat="1"/>
    <row r="12316" s="65" customFormat="1"/>
    <row r="12317" s="65" customFormat="1"/>
    <row r="12318" s="65" customFormat="1"/>
    <row r="12319" s="65" customFormat="1"/>
    <row r="12320" s="65" customFormat="1"/>
    <row r="12321" s="65" customFormat="1"/>
    <row r="12322" s="65" customFormat="1"/>
    <row r="12323" s="65" customFormat="1"/>
    <row r="12324" s="65" customFormat="1"/>
    <row r="12325" s="65" customFormat="1"/>
    <row r="12326" s="65" customFormat="1"/>
    <row r="12327" s="65" customFormat="1"/>
    <row r="12328" s="65" customFormat="1"/>
    <row r="12329" s="65" customFormat="1"/>
    <row r="12330" s="65" customFormat="1"/>
    <row r="12331" s="65" customFormat="1"/>
    <row r="12332" s="65" customFormat="1"/>
    <row r="12333" s="65" customFormat="1"/>
    <row r="12334" s="65" customFormat="1"/>
    <row r="12335" s="65" customFormat="1"/>
    <row r="12336" s="65" customFormat="1"/>
    <row r="12337" s="65" customFormat="1"/>
    <row r="12338" s="65" customFormat="1"/>
    <row r="12339" s="65" customFormat="1"/>
    <row r="12340" s="65" customFormat="1"/>
    <row r="12341" s="65" customFormat="1"/>
    <row r="12342" s="65" customFormat="1"/>
    <row r="12343" s="65" customFormat="1"/>
    <row r="12344" s="65" customFormat="1"/>
    <row r="12345" s="65" customFormat="1"/>
    <row r="12346" s="65" customFormat="1"/>
    <row r="12347" s="65" customFormat="1"/>
    <row r="12348" s="65" customFormat="1"/>
    <row r="12349" s="65" customFormat="1"/>
    <row r="12350" s="65" customFormat="1"/>
    <row r="12351" s="65" customFormat="1"/>
    <row r="12352" s="65" customFormat="1"/>
    <row r="12353" s="65" customFormat="1"/>
    <row r="12354" s="65" customFormat="1"/>
    <row r="12355" s="65" customFormat="1"/>
    <row r="12356" s="65" customFormat="1"/>
    <row r="12357" s="65" customFormat="1"/>
    <row r="12358" s="65" customFormat="1"/>
    <row r="12359" s="65" customFormat="1"/>
    <row r="12360" s="65" customFormat="1"/>
    <row r="12361" s="65" customFormat="1"/>
    <row r="12362" s="65" customFormat="1"/>
    <row r="12363" s="65" customFormat="1"/>
    <row r="12364" s="65" customFormat="1"/>
    <row r="12365" s="65" customFormat="1"/>
    <row r="12366" s="65" customFormat="1"/>
    <row r="12367" s="65" customFormat="1"/>
    <row r="12368" s="65" customFormat="1"/>
    <row r="12369" s="65" customFormat="1"/>
    <row r="12370" s="65" customFormat="1"/>
    <row r="12371" s="65" customFormat="1"/>
    <row r="12372" s="65" customFormat="1"/>
    <row r="12373" s="65" customFormat="1"/>
    <row r="12374" s="65" customFormat="1"/>
    <row r="12375" s="65" customFormat="1"/>
    <row r="12376" s="65" customFormat="1"/>
    <row r="12377" s="65" customFormat="1"/>
    <row r="12378" s="65" customFormat="1"/>
    <row r="12379" s="65" customFormat="1"/>
    <row r="12380" s="65" customFormat="1"/>
    <row r="12381" s="65" customFormat="1"/>
    <row r="12382" s="65" customFormat="1"/>
    <row r="12383" s="65" customFormat="1"/>
    <row r="12384" s="65" customFormat="1"/>
    <row r="12385" s="65" customFormat="1"/>
    <row r="12386" s="65" customFormat="1"/>
    <row r="12387" s="65" customFormat="1"/>
    <row r="12388" s="65" customFormat="1"/>
    <row r="12389" s="65" customFormat="1"/>
    <row r="12390" s="65" customFormat="1"/>
    <row r="12391" s="65" customFormat="1"/>
    <row r="12392" s="65" customFormat="1"/>
    <row r="12393" s="65" customFormat="1"/>
    <row r="12394" s="65" customFormat="1"/>
    <row r="12395" s="65" customFormat="1"/>
    <row r="12396" s="65" customFormat="1"/>
    <row r="12397" s="65" customFormat="1"/>
    <row r="12398" s="65" customFormat="1"/>
    <row r="12399" s="65" customFormat="1"/>
    <row r="12400" s="65" customFormat="1"/>
    <row r="12401" s="65" customFormat="1"/>
    <row r="12402" s="65" customFormat="1"/>
    <row r="12403" s="65" customFormat="1"/>
    <row r="12404" s="65" customFormat="1"/>
    <row r="12405" s="65" customFormat="1"/>
    <row r="12406" s="65" customFormat="1"/>
    <row r="12407" s="65" customFormat="1"/>
    <row r="12408" s="65" customFormat="1"/>
    <row r="12409" s="65" customFormat="1"/>
    <row r="12410" s="65" customFormat="1"/>
    <row r="12411" s="65" customFormat="1"/>
    <row r="12412" s="65" customFormat="1"/>
    <row r="12413" s="65" customFormat="1"/>
    <row r="12414" s="65" customFormat="1"/>
    <row r="12415" s="65" customFormat="1"/>
    <row r="12416" s="65" customFormat="1"/>
    <row r="12417" s="65" customFormat="1"/>
    <row r="12418" s="65" customFormat="1"/>
    <row r="12419" s="65" customFormat="1"/>
    <row r="12420" s="65" customFormat="1"/>
    <row r="12421" s="65" customFormat="1"/>
    <row r="12422" s="65" customFormat="1"/>
    <row r="12423" s="65" customFormat="1"/>
    <row r="12424" s="65" customFormat="1"/>
    <row r="12425" s="65" customFormat="1"/>
    <row r="12426" s="65" customFormat="1"/>
    <row r="12427" s="65" customFormat="1"/>
    <row r="12428" s="65" customFormat="1"/>
    <row r="12429" s="65" customFormat="1"/>
    <row r="12430" s="65" customFormat="1"/>
    <row r="12431" s="65" customFormat="1"/>
    <row r="12432" s="65" customFormat="1"/>
    <row r="12433" s="65" customFormat="1"/>
    <row r="12434" s="65" customFormat="1"/>
    <row r="12435" s="65" customFormat="1"/>
    <row r="12436" s="65" customFormat="1"/>
    <row r="12437" s="65" customFormat="1"/>
    <row r="12438" s="65" customFormat="1"/>
    <row r="12439" s="65" customFormat="1"/>
    <row r="12440" s="65" customFormat="1"/>
    <row r="12441" s="65" customFormat="1"/>
    <row r="12442" s="65" customFormat="1"/>
    <row r="12443" s="65" customFormat="1"/>
    <row r="12444" s="65" customFormat="1"/>
    <row r="12445" s="65" customFormat="1"/>
    <row r="12446" s="65" customFormat="1"/>
    <row r="12447" s="65" customFormat="1"/>
    <row r="12448" s="65" customFormat="1"/>
    <row r="12449" s="65" customFormat="1"/>
    <row r="12450" s="65" customFormat="1"/>
    <row r="12451" s="65" customFormat="1"/>
    <row r="12452" s="65" customFormat="1"/>
    <row r="12453" s="65" customFormat="1"/>
    <row r="12454" s="65" customFormat="1"/>
    <row r="12455" s="65" customFormat="1"/>
    <row r="12456" s="65" customFormat="1"/>
    <row r="12457" s="65" customFormat="1"/>
    <row r="12458" s="65" customFormat="1"/>
    <row r="12459" s="65" customFormat="1"/>
    <row r="12460" s="65" customFormat="1"/>
    <row r="12461" s="65" customFormat="1"/>
    <row r="12462" s="65" customFormat="1"/>
    <row r="12463" s="65" customFormat="1"/>
    <row r="12464" s="65" customFormat="1"/>
    <row r="12465" s="65" customFormat="1"/>
    <row r="12466" s="65" customFormat="1"/>
    <row r="12467" s="65" customFormat="1"/>
    <row r="12468" s="65" customFormat="1"/>
    <row r="12469" s="65" customFormat="1"/>
    <row r="12470" s="65" customFormat="1"/>
    <row r="12471" s="65" customFormat="1"/>
    <row r="12472" s="65" customFormat="1"/>
    <row r="12473" s="65" customFormat="1"/>
    <row r="12474" s="65" customFormat="1"/>
    <row r="12475" s="65" customFormat="1"/>
    <row r="12476" s="65" customFormat="1"/>
    <row r="12477" s="65" customFormat="1"/>
    <row r="12478" s="65" customFormat="1"/>
    <row r="12479" s="65" customFormat="1"/>
    <row r="12480" s="65" customFormat="1"/>
    <row r="12481" s="65" customFormat="1"/>
    <row r="12482" s="65" customFormat="1"/>
    <row r="12483" s="65" customFormat="1"/>
    <row r="12484" s="65" customFormat="1"/>
    <row r="12485" s="65" customFormat="1"/>
    <row r="12486" s="65" customFormat="1"/>
    <row r="12487" s="65" customFormat="1"/>
    <row r="12488" s="65" customFormat="1"/>
    <row r="12489" s="65" customFormat="1"/>
    <row r="12490" s="65" customFormat="1"/>
    <row r="12491" s="65" customFormat="1"/>
    <row r="12492" s="65" customFormat="1"/>
    <row r="12493" s="65" customFormat="1"/>
    <row r="12494" s="65" customFormat="1"/>
    <row r="12495" s="65" customFormat="1"/>
    <row r="12496" s="65" customFormat="1"/>
    <row r="12497" s="65" customFormat="1"/>
    <row r="12498" s="65" customFormat="1"/>
    <row r="12499" s="65" customFormat="1"/>
    <row r="12500" s="65" customFormat="1"/>
    <row r="12501" s="65" customFormat="1"/>
    <row r="12502" s="65" customFormat="1"/>
    <row r="12503" s="65" customFormat="1"/>
    <row r="12504" s="65" customFormat="1"/>
    <row r="12505" s="65" customFormat="1"/>
    <row r="12506" s="65" customFormat="1"/>
    <row r="12507" s="65" customFormat="1"/>
    <row r="12508" s="65" customFormat="1"/>
    <row r="12509" s="65" customFormat="1"/>
    <row r="12510" s="65" customFormat="1"/>
    <row r="12511" s="65" customFormat="1"/>
    <row r="12512" s="65" customFormat="1"/>
    <row r="12513" s="65" customFormat="1"/>
    <row r="12514" s="65" customFormat="1"/>
    <row r="12515" s="65" customFormat="1"/>
    <row r="12516" s="65" customFormat="1"/>
    <row r="12517" s="65" customFormat="1"/>
    <row r="12518" s="65" customFormat="1"/>
    <row r="12519" s="65" customFormat="1"/>
    <row r="12520" s="65" customFormat="1"/>
    <row r="12521" s="65" customFormat="1"/>
    <row r="12522" s="65" customFormat="1"/>
    <row r="12523" s="65" customFormat="1"/>
    <row r="12524" s="65" customFormat="1"/>
    <row r="12525" s="65" customFormat="1"/>
    <row r="12526" s="65" customFormat="1"/>
    <row r="12527" s="65" customFormat="1"/>
    <row r="12528" s="65" customFormat="1"/>
    <row r="12529" s="65" customFormat="1"/>
    <row r="12530" s="65" customFormat="1"/>
    <row r="12531" s="65" customFormat="1"/>
    <row r="12532" s="65" customFormat="1"/>
    <row r="12533" s="65" customFormat="1"/>
    <row r="12534" s="65" customFormat="1"/>
    <row r="12535" s="65" customFormat="1"/>
    <row r="12536" s="65" customFormat="1"/>
    <row r="12537" s="65" customFormat="1"/>
    <row r="12538" s="65" customFormat="1"/>
    <row r="12539" s="65" customFormat="1"/>
    <row r="12540" s="65" customFormat="1"/>
    <row r="12541" s="65" customFormat="1"/>
    <row r="12542" s="65" customFormat="1"/>
    <row r="12543" s="65" customFormat="1"/>
    <row r="12544" s="65" customFormat="1"/>
    <row r="12545" s="65" customFormat="1"/>
    <row r="12546" s="65" customFormat="1"/>
    <row r="12547" s="65" customFormat="1"/>
    <row r="12548" s="65" customFormat="1"/>
    <row r="12549" s="65" customFormat="1"/>
    <row r="12550" s="65" customFormat="1"/>
    <row r="12551" s="65" customFormat="1"/>
    <row r="12552" s="65" customFormat="1"/>
    <row r="12553" s="65" customFormat="1"/>
    <row r="12554" s="65" customFormat="1"/>
    <row r="12555" s="65" customFormat="1"/>
    <row r="12556" s="65" customFormat="1"/>
    <row r="12557" s="65" customFormat="1"/>
    <row r="12558" s="65" customFormat="1"/>
    <row r="12559" s="65" customFormat="1"/>
    <row r="12560" s="65" customFormat="1"/>
    <row r="12561" s="65" customFormat="1"/>
    <row r="12562" s="65" customFormat="1"/>
    <row r="12563" s="65" customFormat="1"/>
    <row r="12564" s="65" customFormat="1"/>
    <row r="12565" s="65" customFormat="1"/>
    <row r="12566" s="65" customFormat="1"/>
    <row r="12567" s="65" customFormat="1"/>
    <row r="12568" s="65" customFormat="1"/>
    <row r="12569" s="65" customFormat="1"/>
    <row r="12570" s="65" customFormat="1"/>
    <row r="12571" s="65" customFormat="1"/>
    <row r="12572" s="65" customFormat="1"/>
    <row r="12573" s="65" customFormat="1"/>
    <row r="12574" s="65" customFormat="1"/>
    <row r="12575" s="65" customFormat="1"/>
    <row r="12576" s="65" customFormat="1"/>
    <row r="12577" s="65" customFormat="1"/>
    <row r="12578" s="65" customFormat="1"/>
    <row r="12579" s="65" customFormat="1"/>
    <row r="12580" s="65" customFormat="1"/>
    <row r="12581" s="65" customFormat="1"/>
    <row r="12582" s="65" customFormat="1"/>
    <row r="12583" s="65" customFormat="1"/>
    <row r="12584" s="65" customFormat="1"/>
    <row r="12585" s="65" customFormat="1"/>
    <row r="12586" s="65" customFormat="1"/>
    <row r="12587" s="65" customFormat="1"/>
    <row r="12588" s="65" customFormat="1"/>
    <row r="12589" s="65" customFormat="1"/>
    <row r="12590" s="65" customFormat="1"/>
    <row r="12591" s="65" customFormat="1"/>
    <row r="12592" s="65" customFormat="1"/>
    <row r="12593" s="65" customFormat="1"/>
    <row r="12594" s="65" customFormat="1"/>
    <row r="12595" s="65" customFormat="1"/>
    <row r="12596" s="65" customFormat="1"/>
    <row r="12597" s="65" customFormat="1"/>
    <row r="12598" s="65" customFormat="1"/>
    <row r="12599" s="65" customFormat="1"/>
    <row r="12600" s="65" customFormat="1"/>
    <row r="12601" s="65" customFormat="1"/>
    <row r="12602" s="65" customFormat="1"/>
    <row r="12603" s="65" customFormat="1"/>
    <row r="12604" s="65" customFormat="1"/>
    <row r="12605" s="65" customFormat="1"/>
    <row r="12606" s="65" customFormat="1"/>
    <row r="12607" s="65" customFormat="1"/>
    <row r="12608" s="65" customFormat="1"/>
    <row r="12609" s="65" customFormat="1"/>
    <row r="12610" s="65" customFormat="1"/>
    <row r="12611" s="65" customFormat="1"/>
    <row r="12612" s="65" customFormat="1"/>
    <row r="12613" s="65" customFormat="1"/>
    <row r="12614" s="65" customFormat="1"/>
    <row r="12615" s="65" customFormat="1"/>
    <row r="12616" s="65" customFormat="1"/>
    <row r="12617" s="65" customFormat="1"/>
    <row r="12618" s="65" customFormat="1"/>
    <row r="12619" s="65" customFormat="1"/>
    <row r="12620" s="65" customFormat="1"/>
    <row r="12621" s="65" customFormat="1"/>
    <row r="12622" s="65" customFormat="1"/>
    <row r="12623" s="65" customFormat="1"/>
    <row r="12624" s="65" customFormat="1"/>
    <row r="12625" s="65" customFormat="1"/>
    <row r="12626" s="65" customFormat="1"/>
    <row r="12627" s="65" customFormat="1"/>
    <row r="12628" s="65" customFormat="1"/>
    <row r="12629" s="65" customFormat="1"/>
    <row r="12630" s="65" customFormat="1"/>
    <row r="12631" s="65" customFormat="1"/>
    <row r="12632" s="65" customFormat="1"/>
    <row r="12633" s="65" customFormat="1"/>
    <row r="12634" s="65" customFormat="1"/>
    <row r="12635" s="65" customFormat="1"/>
    <row r="12636" s="65" customFormat="1"/>
    <row r="12637" s="65" customFormat="1"/>
    <row r="12638" s="65" customFormat="1"/>
    <row r="12639" s="65" customFormat="1"/>
    <row r="12640" s="65" customFormat="1"/>
    <row r="12641" s="65" customFormat="1"/>
    <row r="12642" s="65" customFormat="1"/>
    <row r="12643" s="65" customFormat="1"/>
    <row r="12644" s="65" customFormat="1"/>
    <row r="12645" s="65" customFormat="1"/>
    <row r="12646" s="65" customFormat="1"/>
    <row r="12647" s="65" customFormat="1"/>
    <row r="12648" s="65" customFormat="1"/>
    <row r="12649" s="65" customFormat="1"/>
    <row r="12650" s="65" customFormat="1"/>
    <row r="12651" s="65" customFormat="1"/>
    <row r="12652" s="65" customFormat="1"/>
    <row r="12653" s="65" customFormat="1"/>
    <row r="12654" s="65" customFormat="1"/>
    <row r="12655" s="65" customFormat="1"/>
    <row r="12656" s="65" customFormat="1"/>
    <row r="12657" s="65" customFormat="1"/>
    <row r="12658" s="65" customFormat="1"/>
    <row r="12659" s="65" customFormat="1"/>
    <row r="12660" s="65" customFormat="1"/>
    <row r="12661" s="65" customFormat="1"/>
    <row r="12662" s="65" customFormat="1"/>
    <row r="12663" s="65" customFormat="1"/>
    <row r="12664" s="65" customFormat="1"/>
    <row r="12665" s="65" customFormat="1"/>
    <row r="12666" s="65" customFormat="1"/>
    <row r="12667" s="65" customFormat="1"/>
    <row r="12668" s="65" customFormat="1"/>
    <row r="12669" s="65" customFormat="1"/>
    <row r="12670" s="65" customFormat="1"/>
    <row r="12671" s="65" customFormat="1"/>
    <row r="12672" s="65" customFormat="1"/>
    <row r="12673" s="65" customFormat="1"/>
    <row r="12674" s="65" customFormat="1"/>
    <row r="12675" s="65" customFormat="1"/>
    <row r="12676" s="65" customFormat="1"/>
    <row r="12677" s="65" customFormat="1"/>
    <row r="12678" s="65" customFormat="1"/>
    <row r="12679" s="65" customFormat="1"/>
    <row r="12680" s="65" customFormat="1"/>
    <row r="12681" s="65" customFormat="1"/>
    <row r="12682" s="65" customFormat="1"/>
    <row r="12683" s="65" customFormat="1"/>
    <row r="12684" s="65" customFormat="1"/>
    <row r="12685" s="65" customFormat="1"/>
    <row r="12686" s="65" customFormat="1"/>
    <row r="12687" s="65" customFormat="1"/>
    <row r="12688" s="65" customFormat="1"/>
    <row r="12689" s="65" customFormat="1"/>
    <row r="12690" s="65" customFormat="1"/>
    <row r="12691" s="65" customFormat="1"/>
    <row r="12692" s="65" customFormat="1"/>
    <row r="12693" s="65" customFormat="1"/>
    <row r="12694" s="65" customFormat="1"/>
    <row r="12695" s="65" customFormat="1"/>
    <row r="12696" s="65" customFormat="1"/>
    <row r="12697" s="65" customFormat="1"/>
    <row r="12698" s="65" customFormat="1"/>
    <row r="12699" s="65" customFormat="1"/>
    <row r="12700" s="65" customFormat="1"/>
    <row r="12701" s="65" customFormat="1"/>
    <row r="12702" s="65" customFormat="1"/>
    <row r="12703" s="65" customFormat="1"/>
    <row r="12704" s="65" customFormat="1"/>
    <row r="12705" s="65" customFormat="1"/>
    <row r="12706" s="65" customFormat="1"/>
    <row r="12707" s="65" customFormat="1"/>
    <row r="12708" s="65" customFormat="1"/>
    <row r="12709" s="65" customFormat="1"/>
    <row r="12710" s="65" customFormat="1"/>
    <row r="12711" s="65" customFormat="1"/>
    <row r="12712" s="65" customFormat="1"/>
    <row r="12713" s="65" customFormat="1"/>
    <row r="12714" s="65" customFormat="1"/>
    <row r="12715" s="65" customFormat="1"/>
    <row r="12716" s="65" customFormat="1"/>
    <row r="12717" s="65" customFormat="1"/>
    <row r="12718" s="65" customFormat="1"/>
    <row r="12719" s="65" customFormat="1"/>
    <row r="12720" s="65" customFormat="1"/>
    <row r="12721" s="65" customFormat="1"/>
    <row r="12722" s="65" customFormat="1"/>
    <row r="12723" s="65" customFormat="1"/>
    <row r="12724" s="65" customFormat="1"/>
    <row r="12725" s="65" customFormat="1"/>
    <row r="12726" s="65" customFormat="1"/>
    <row r="12727" s="65" customFormat="1"/>
    <row r="12728" s="65" customFormat="1"/>
    <row r="12729" s="65" customFormat="1"/>
    <row r="12730" s="65" customFormat="1"/>
    <row r="12731" s="65" customFormat="1"/>
    <row r="12732" s="65" customFormat="1"/>
    <row r="12733" s="65" customFormat="1"/>
    <row r="12734" s="65" customFormat="1"/>
    <row r="12735" s="65" customFormat="1"/>
    <row r="12736" s="65" customFormat="1"/>
    <row r="12737" s="65" customFormat="1"/>
    <row r="12738" s="65" customFormat="1"/>
    <row r="12739" s="65" customFormat="1"/>
    <row r="12740" s="65" customFormat="1"/>
    <row r="12741" s="65" customFormat="1"/>
    <row r="12742" s="65" customFormat="1"/>
    <row r="12743" s="65" customFormat="1"/>
    <row r="12744" s="65" customFormat="1"/>
    <row r="12745" s="65" customFormat="1"/>
    <row r="12746" s="65" customFormat="1"/>
    <row r="12747" s="65" customFormat="1"/>
    <row r="12748" s="65" customFormat="1"/>
    <row r="12749" s="65" customFormat="1"/>
    <row r="12750" s="65" customFormat="1"/>
    <row r="12751" s="65" customFormat="1"/>
    <row r="12752" s="65" customFormat="1"/>
    <row r="12753" s="65" customFormat="1"/>
    <row r="12754" s="65" customFormat="1"/>
    <row r="12755" s="65" customFormat="1"/>
    <row r="12756" s="65" customFormat="1"/>
    <row r="12757" s="65" customFormat="1"/>
    <row r="12758" s="65" customFormat="1"/>
    <row r="12759" s="65" customFormat="1"/>
    <row r="12760" s="65" customFormat="1"/>
    <row r="12761" s="65" customFormat="1"/>
    <row r="12762" s="65" customFormat="1"/>
    <row r="12763" s="65" customFormat="1"/>
    <row r="12764" s="65" customFormat="1"/>
    <row r="12765" s="65" customFormat="1"/>
    <row r="12766" s="65" customFormat="1"/>
    <row r="12767" s="65" customFormat="1"/>
    <row r="12768" s="65" customFormat="1"/>
    <row r="12769" s="65" customFormat="1"/>
    <row r="12770" s="65" customFormat="1"/>
    <row r="12771" s="65" customFormat="1"/>
    <row r="12772" s="65" customFormat="1"/>
    <row r="12773" s="65" customFormat="1"/>
    <row r="12774" s="65" customFormat="1"/>
    <row r="12775" s="65" customFormat="1"/>
    <row r="12776" s="65" customFormat="1"/>
    <row r="12777" s="65" customFormat="1"/>
    <row r="12778" s="65" customFormat="1"/>
    <row r="12779" s="65" customFormat="1"/>
    <row r="12780" s="65" customFormat="1"/>
    <row r="12781" s="65" customFormat="1"/>
    <row r="12782" s="65" customFormat="1"/>
    <row r="12783" s="65" customFormat="1"/>
    <row r="12784" s="65" customFormat="1"/>
    <row r="12785" s="65" customFormat="1"/>
    <row r="12786" s="65" customFormat="1"/>
    <row r="12787" s="65" customFormat="1"/>
    <row r="12788" s="65" customFormat="1"/>
    <row r="12789" s="65" customFormat="1"/>
    <row r="12790" s="65" customFormat="1"/>
    <row r="12791" s="65" customFormat="1"/>
    <row r="12792" s="65" customFormat="1"/>
    <row r="12793" s="65" customFormat="1"/>
    <row r="12794" s="65" customFormat="1"/>
    <row r="12795" s="65" customFormat="1"/>
    <row r="12796" s="65" customFormat="1"/>
    <row r="12797" s="65" customFormat="1"/>
    <row r="12798" s="65" customFormat="1"/>
    <row r="12799" s="65" customFormat="1"/>
    <row r="12800" s="65" customFormat="1"/>
    <row r="12801" s="65" customFormat="1"/>
    <row r="12802" s="65" customFormat="1"/>
    <row r="12803" s="65" customFormat="1"/>
    <row r="12804" s="65" customFormat="1"/>
    <row r="12805" s="65" customFormat="1"/>
    <row r="12806" s="65" customFormat="1"/>
    <row r="12807" s="65" customFormat="1"/>
    <row r="12808" s="65" customFormat="1"/>
    <row r="12809" s="65" customFormat="1"/>
    <row r="12810" s="65" customFormat="1"/>
    <row r="12811" s="65" customFormat="1"/>
    <row r="12812" s="65" customFormat="1"/>
    <row r="12813" s="65" customFormat="1"/>
    <row r="12814" s="65" customFormat="1"/>
    <row r="12815" s="65" customFormat="1"/>
    <row r="12816" s="65" customFormat="1"/>
    <row r="12817" s="65" customFormat="1"/>
    <row r="12818" s="65" customFormat="1"/>
    <row r="12819" s="65" customFormat="1"/>
    <row r="12820" s="65" customFormat="1"/>
    <row r="12821" s="65" customFormat="1"/>
    <row r="12822" s="65" customFormat="1"/>
    <row r="12823" s="65" customFormat="1"/>
    <row r="12824" s="65" customFormat="1"/>
    <row r="12825" s="65" customFormat="1"/>
    <row r="12826" s="65" customFormat="1"/>
    <row r="12827" s="65" customFormat="1"/>
    <row r="12828" s="65" customFormat="1"/>
    <row r="12829" s="65" customFormat="1"/>
    <row r="12830" s="65" customFormat="1"/>
    <row r="12831" s="65" customFormat="1"/>
    <row r="12832" s="65" customFormat="1"/>
    <row r="12833" s="65" customFormat="1"/>
    <row r="12834" s="65" customFormat="1"/>
    <row r="12835" s="65" customFormat="1"/>
    <row r="12836" s="65" customFormat="1"/>
    <row r="12837" s="65" customFormat="1"/>
    <row r="12838" s="65" customFormat="1"/>
    <row r="12839" s="65" customFormat="1"/>
    <row r="12840" s="65" customFormat="1"/>
    <row r="12841" s="65" customFormat="1"/>
    <row r="12842" s="65" customFormat="1"/>
    <row r="12843" s="65" customFormat="1"/>
    <row r="12844" s="65" customFormat="1"/>
    <row r="12845" s="65" customFormat="1"/>
    <row r="12846" s="65" customFormat="1"/>
    <row r="12847" s="65" customFormat="1"/>
    <row r="12848" s="65" customFormat="1"/>
    <row r="12849" s="65" customFormat="1"/>
    <row r="12850" s="65" customFormat="1"/>
    <row r="12851" s="65" customFormat="1"/>
    <row r="12852" s="65" customFormat="1"/>
    <row r="12853" s="65" customFormat="1"/>
    <row r="12854" s="65" customFormat="1"/>
    <row r="12855" s="65" customFormat="1"/>
    <row r="12856" s="65" customFormat="1"/>
    <row r="12857" s="65" customFormat="1"/>
    <row r="12858" s="65" customFormat="1"/>
    <row r="12859" s="65" customFormat="1"/>
    <row r="12860" s="65" customFormat="1"/>
    <row r="12861" s="65" customFormat="1"/>
    <row r="12862" s="65" customFormat="1"/>
    <row r="12863" s="65" customFormat="1"/>
    <row r="12864" s="65" customFormat="1"/>
    <row r="12865" s="65" customFormat="1"/>
    <row r="12866" s="65" customFormat="1"/>
    <row r="12867" s="65" customFormat="1"/>
    <row r="12868" s="65" customFormat="1"/>
    <row r="12869" s="65" customFormat="1"/>
    <row r="12870" s="65" customFormat="1"/>
    <row r="12871" s="65" customFormat="1"/>
    <row r="12872" s="65" customFormat="1"/>
    <row r="12873" s="65" customFormat="1"/>
    <row r="12874" s="65" customFormat="1"/>
    <row r="12875" s="65" customFormat="1"/>
    <row r="12876" s="65" customFormat="1"/>
    <row r="12877" s="65" customFormat="1"/>
    <row r="12878" s="65" customFormat="1"/>
    <row r="12879" s="65" customFormat="1"/>
    <row r="12880" s="65" customFormat="1"/>
    <row r="12881" s="65" customFormat="1"/>
    <row r="12882" s="65" customFormat="1"/>
    <row r="12883" s="65" customFormat="1"/>
    <row r="12884" s="65" customFormat="1"/>
    <row r="12885" s="65" customFormat="1"/>
    <row r="12886" s="65" customFormat="1"/>
    <row r="12887" s="65" customFormat="1"/>
    <row r="12888" s="65" customFormat="1"/>
    <row r="12889" s="65" customFormat="1"/>
    <row r="12890" s="65" customFormat="1"/>
    <row r="12891" s="65" customFormat="1"/>
    <row r="12892" s="65" customFormat="1"/>
    <row r="12893" s="65" customFormat="1"/>
    <row r="12894" s="65" customFormat="1"/>
    <row r="12895" s="65" customFormat="1"/>
    <row r="12896" s="65" customFormat="1"/>
    <row r="12897" s="65" customFormat="1"/>
    <row r="12898" s="65" customFormat="1"/>
    <row r="12899" s="65" customFormat="1"/>
    <row r="12900" s="65" customFormat="1"/>
    <row r="12901" s="65" customFormat="1"/>
    <row r="12902" s="65" customFormat="1"/>
    <row r="12903" s="65" customFormat="1"/>
    <row r="12904" s="65" customFormat="1"/>
    <row r="12905" s="65" customFormat="1"/>
    <row r="12906" s="65" customFormat="1"/>
    <row r="12907" s="65" customFormat="1"/>
    <row r="12908" s="65" customFormat="1"/>
    <row r="12909" s="65" customFormat="1"/>
    <row r="12910" s="65" customFormat="1"/>
    <row r="12911" s="65" customFormat="1"/>
    <row r="12912" s="65" customFormat="1"/>
    <row r="12913" s="65" customFormat="1"/>
    <row r="12914" s="65" customFormat="1"/>
    <row r="12915" s="65" customFormat="1"/>
    <row r="12916" s="65" customFormat="1"/>
    <row r="12917" s="65" customFormat="1"/>
    <row r="12918" s="65" customFormat="1"/>
    <row r="12919" s="65" customFormat="1"/>
    <row r="12920" s="65" customFormat="1"/>
    <row r="12921" s="65" customFormat="1"/>
    <row r="12922" s="65" customFormat="1"/>
    <row r="12923" s="65" customFormat="1"/>
    <row r="12924" s="65" customFormat="1"/>
    <row r="12925" s="65" customFormat="1"/>
    <row r="12926" s="65" customFormat="1"/>
    <row r="12927" s="65" customFormat="1"/>
    <row r="12928" s="65" customFormat="1"/>
    <row r="12929" s="65" customFormat="1"/>
    <row r="12930" s="65" customFormat="1"/>
    <row r="12931" s="65" customFormat="1"/>
    <row r="12932" s="65" customFormat="1"/>
    <row r="12933" s="65" customFormat="1"/>
    <row r="12934" s="65" customFormat="1"/>
    <row r="12935" s="65" customFormat="1"/>
    <row r="12936" s="65" customFormat="1"/>
    <row r="12937" s="65" customFormat="1"/>
    <row r="12938" s="65" customFormat="1"/>
    <row r="12939" s="65" customFormat="1"/>
    <row r="12940" s="65" customFormat="1"/>
    <row r="12941" s="65" customFormat="1"/>
    <row r="12942" s="65" customFormat="1"/>
    <row r="12943" s="65" customFormat="1"/>
    <row r="12944" s="65" customFormat="1"/>
    <row r="12945" s="65" customFormat="1"/>
    <row r="12946" s="65" customFormat="1"/>
    <row r="12947" s="65" customFormat="1"/>
    <row r="12948" s="65" customFormat="1"/>
    <row r="12949" s="65" customFormat="1"/>
    <row r="12950" s="65" customFormat="1"/>
    <row r="12951" s="65" customFormat="1"/>
    <row r="12952" s="65" customFormat="1"/>
    <row r="12953" s="65" customFormat="1"/>
    <row r="12954" s="65" customFormat="1"/>
    <row r="12955" s="65" customFormat="1"/>
    <row r="12956" s="65" customFormat="1"/>
    <row r="12957" s="65" customFormat="1"/>
    <row r="12958" s="65" customFormat="1"/>
    <row r="12959" s="65" customFormat="1"/>
    <row r="12960" s="65" customFormat="1"/>
    <row r="12961" s="65" customFormat="1"/>
    <row r="12962" s="65" customFormat="1"/>
    <row r="12963" s="65" customFormat="1"/>
    <row r="12964" s="65" customFormat="1"/>
    <row r="12965" s="65" customFormat="1"/>
    <row r="12966" s="65" customFormat="1"/>
    <row r="12967" s="65" customFormat="1"/>
    <row r="12968" s="65" customFormat="1"/>
    <row r="12969" s="65" customFormat="1"/>
    <row r="12970" s="65" customFormat="1"/>
    <row r="12971" s="65" customFormat="1"/>
    <row r="12972" s="65" customFormat="1"/>
    <row r="12973" s="65" customFormat="1"/>
    <row r="12974" s="65" customFormat="1"/>
    <row r="12975" s="65" customFormat="1"/>
    <row r="12976" s="65" customFormat="1"/>
    <row r="12977" s="65" customFormat="1"/>
    <row r="12978" s="65" customFormat="1"/>
    <row r="12979" s="65" customFormat="1"/>
    <row r="12980" s="65" customFormat="1"/>
    <row r="12981" s="65" customFormat="1"/>
    <row r="12982" s="65" customFormat="1"/>
    <row r="12983" s="65" customFormat="1"/>
    <row r="12984" s="65" customFormat="1"/>
    <row r="12985" s="65" customFormat="1"/>
    <row r="12986" s="65" customFormat="1"/>
    <row r="12987" s="65" customFormat="1"/>
    <row r="12988" s="65" customFormat="1"/>
    <row r="12989" s="65" customFormat="1"/>
    <row r="12990" s="65" customFormat="1"/>
    <row r="12991" s="65" customFormat="1"/>
    <row r="12992" s="65" customFormat="1"/>
    <row r="12993" s="65" customFormat="1"/>
    <row r="12994" s="65" customFormat="1"/>
    <row r="12995" s="65" customFormat="1"/>
    <row r="12996" s="65" customFormat="1"/>
    <row r="12997" s="65" customFormat="1"/>
    <row r="12998" s="65" customFormat="1"/>
    <row r="12999" s="65" customFormat="1"/>
    <row r="13000" s="65" customFormat="1"/>
    <row r="13001" s="65" customFormat="1"/>
    <row r="13002" s="65" customFormat="1"/>
    <row r="13003" s="65" customFormat="1"/>
    <row r="13004" s="65" customFormat="1"/>
    <row r="13005" s="65" customFormat="1"/>
    <row r="13006" s="65" customFormat="1"/>
    <row r="13007" s="65" customFormat="1"/>
    <row r="13008" s="65" customFormat="1"/>
    <row r="13009" s="65" customFormat="1"/>
    <row r="13010" s="65" customFormat="1"/>
    <row r="13011" s="65" customFormat="1"/>
    <row r="13012" s="65" customFormat="1"/>
    <row r="13013" s="65" customFormat="1"/>
    <row r="13014" s="65" customFormat="1"/>
    <row r="13015" s="65" customFormat="1"/>
    <row r="13016" s="65" customFormat="1"/>
    <row r="13017" s="65" customFormat="1"/>
    <row r="13018" s="65" customFormat="1"/>
    <row r="13019" s="65" customFormat="1"/>
    <row r="13020" s="65" customFormat="1"/>
    <row r="13021" s="65" customFormat="1"/>
    <row r="13022" s="65" customFormat="1"/>
    <row r="13023" s="65" customFormat="1"/>
    <row r="13024" s="65" customFormat="1"/>
    <row r="13025" s="65" customFormat="1"/>
    <row r="13026" s="65" customFormat="1"/>
    <row r="13027" s="65" customFormat="1"/>
    <row r="13028" s="65" customFormat="1"/>
    <row r="13029" s="65" customFormat="1"/>
    <row r="13030" s="65" customFormat="1"/>
    <row r="13031" s="65" customFormat="1"/>
    <row r="13032" s="65" customFormat="1"/>
    <row r="13033" s="65" customFormat="1"/>
    <row r="13034" s="65" customFormat="1"/>
    <row r="13035" s="65" customFormat="1"/>
    <row r="13036" s="65" customFormat="1"/>
    <row r="13037" s="65" customFormat="1"/>
    <row r="13038" s="65" customFormat="1"/>
    <row r="13039" s="65" customFormat="1"/>
    <row r="13040" s="65" customFormat="1"/>
    <row r="13041" s="65" customFormat="1"/>
    <row r="13042" s="65" customFormat="1"/>
    <row r="13043" s="65" customFormat="1"/>
    <row r="13044" s="65" customFormat="1"/>
    <row r="13045" s="65" customFormat="1"/>
    <row r="13046" s="65" customFormat="1"/>
    <row r="13047" s="65" customFormat="1"/>
    <row r="13048" s="65" customFormat="1"/>
    <row r="13049" s="65" customFormat="1"/>
    <row r="13050" s="65" customFormat="1"/>
    <row r="13051" s="65" customFormat="1"/>
    <row r="13052" s="65" customFormat="1"/>
    <row r="13053" s="65" customFormat="1"/>
    <row r="13054" s="65" customFormat="1"/>
    <row r="13055" s="65" customFormat="1"/>
    <row r="13056" s="65" customFormat="1"/>
    <row r="13057" s="65" customFormat="1"/>
    <row r="13058" s="65" customFormat="1"/>
    <row r="13059" s="65" customFormat="1"/>
    <row r="13060" s="65" customFormat="1"/>
    <row r="13061" s="65" customFormat="1"/>
    <row r="13062" s="65" customFormat="1"/>
    <row r="13063" s="65" customFormat="1"/>
    <row r="13064" s="65" customFormat="1"/>
    <row r="13065" s="65" customFormat="1"/>
    <row r="13066" s="65" customFormat="1"/>
    <row r="13067" s="65" customFormat="1"/>
    <row r="13068" s="65" customFormat="1"/>
    <row r="13069" s="65" customFormat="1"/>
    <row r="13070" s="65" customFormat="1"/>
    <row r="13071" s="65" customFormat="1"/>
    <row r="13072" s="65" customFormat="1"/>
    <row r="13073" s="65" customFormat="1"/>
    <row r="13074" s="65" customFormat="1"/>
    <row r="13075" s="65" customFormat="1"/>
    <row r="13076" s="65" customFormat="1"/>
    <row r="13077" s="65" customFormat="1"/>
    <row r="13078" s="65" customFormat="1"/>
    <row r="13079" s="65" customFormat="1"/>
    <row r="13080" s="65" customFormat="1"/>
    <row r="13081" s="65" customFormat="1"/>
    <row r="13082" s="65" customFormat="1"/>
    <row r="13083" s="65" customFormat="1"/>
    <row r="13084" s="65" customFormat="1"/>
    <row r="13085" s="65" customFormat="1"/>
    <row r="13086" s="65" customFormat="1"/>
    <row r="13087" s="65" customFormat="1"/>
    <row r="13088" s="65" customFormat="1"/>
    <row r="13089" s="65" customFormat="1"/>
    <row r="13090" s="65" customFormat="1"/>
    <row r="13091" s="65" customFormat="1"/>
    <row r="13092" s="65" customFormat="1"/>
    <row r="13093" s="65" customFormat="1"/>
    <row r="13094" s="65" customFormat="1"/>
    <row r="13095" s="65" customFormat="1"/>
    <row r="13096" s="65" customFormat="1"/>
    <row r="13097" s="65" customFormat="1"/>
    <row r="13098" s="65" customFormat="1"/>
    <row r="13099" s="65" customFormat="1"/>
    <row r="13100" s="65" customFormat="1"/>
    <row r="13101" s="65" customFormat="1"/>
    <row r="13102" s="65" customFormat="1"/>
    <row r="13103" s="65" customFormat="1"/>
    <row r="13104" s="65" customFormat="1"/>
    <row r="13105" s="65" customFormat="1"/>
    <row r="13106" s="65" customFormat="1"/>
    <row r="13107" s="65" customFormat="1"/>
    <row r="13108" s="65" customFormat="1"/>
    <row r="13109" s="65" customFormat="1"/>
    <row r="13110" s="65" customFormat="1"/>
    <row r="13111" s="65" customFormat="1"/>
    <row r="13112" s="65" customFormat="1"/>
    <row r="13113" s="65" customFormat="1"/>
    <row r="13114" s="65" customFormat="1"/>
    <row r="13115" s="65" customFormat="1"/>
    <row r="13116" s="65" customFormat="1"/>
    <row r="13117" s="65" customFormat="1"/>
    <row r="13118" s="65" customFormat="1"/>
    <row r="13119" s="65" customFormat="1"/>
    <row r="13120" s="65" customFormat="1"/>
    <row r="13121" s="65" customFormat="1"/>
    <row r="13122" s="65" customFormat="1"/>
    <row r="13123" s="65" customFormat="1"/>
    <row r="13124" s="65" customFormat="1"/>
    <row r="13125" s="65" customFormat="1"/>
    <row r="13126" s="65" customFormat="1"/>
    <row r="13127" s="65" customFormat="1"/>
    <row r="13128" s="65" customFormat="1"/>
    <row r="13129" s="65" customFormat="1"/>
    <row r="13130" s="65" customFormat="1"/>
    <row r="13131" s="65" customFormat="1"/>
    <row r="13132" s="65" customFormat="1"/>
    <row r="13133" s="65" customFormat="1"/>
    <row r="13134" s="65" customFormat="1"/>
    <row r="13135" s="65" customFormat="1"/>
    <row r="13136" s="65" customFormat="1"/>
    <row r="13137" s="65" customFormat="1"/>
    <row r="13138" s="65" customFormat="1"/>
    <row r="13139" s="65" customFormat="1"/>
    <row r="13140" s="65" customFormat="1"/>
    <row r="13141" s="65" customFormat="1"/>
    <row r="13142" s="65" customFormat="1"/>
    <row r="13143" s="65" customFormat="1"/>
    <row r="13144" s="65" customFormat="1"/>
    <row r="13145" s="65" customFormat="1"/>
    <row r="13146" s="65" customFormat="1"/>
    <row r="13147" s="65" customFormat="1"/>
    <row r="13148" s="65" customFormat="1"/>
    <row r="13149" s="65" customFormat="1"/>
    <row r="13150" s="65" customFormat="1"/>
    <row r="13151" s="65" customFormat="1"/>
    <row r="13152" s="65" customFormat="1"/>
    <row r="13153" s="65" customFormat="1"/>
    <row r="13154" s="65" customFormat="1"/>
    <row r="13155" s="65" customFormat="1"/>
    <row r="13156" s="65" customFormat="1"/>
    <row r="13157" s="65" customFormat="1"/>
    <row r="13158" s="65" customFormat="1"/>
    <row r="13159" s="65" customFormat="1"/>
    <row r="13160" s="65" customFormat="1"/>
    <row r="13161" s="65" customFormat="1"/>
    <row r="13162" s="65" customFormat="1"/>
    <row r="13163" s="65" customFormat="1"/>
    <row r="13164" s="65" customFormat="1"/>
    <row r="13165" s="65" customFormat="1"/>
    <row r="13166" s="65" customFormat="1"/>
    <row r="13167" s="65" customFormat="1"/>
    <row r="13168" s="65" customFormat="1"/>
    <row r="13169" s="65" customFormat="1"/>
    <row r="13170" s="65" customFormat="1"/>
    <row r="13171" s="65" customFormat="1"/>
    <row r="13172" s="65" customFormat="1"/>
    <row r="13173" s="65" customFormat="1"/>
    <row r="13174" s="65" customFormat="1"/>
    <row r="13175" s="65" customFormat="1"/>
    <row r="13176" s="65" customFormat="1"/>
    <row r="13177" s="65" customFormat="1"/>
    <row r="13178" s="65" customFormat="1"/>
    <row r="13179" s="65" customFormat="1"/>
    <row r="13180" s="65" customFormat="1"/>
    <row r="13181" s="65" customFormat="1"/>
    <row r="13182" s="65" customFormat="1"/>
    <row r="13183" s="65" customFormat="1"/>
    <row r="13184" s="65" customFormat="1"/>
    <row r="13185" s="65" customFormat="1"/>
    <row r="13186" s="65" customFormat="1"/>
    <row r="13187" s="65" customFormat="1"/>
    <row r="13188" s="65" customFormat="1"/>
    <row r="13189" s="65" customFormat="1"/>
    <row r="13190" s="65" customFormat="1"/>
    <row r="13191" s="65" customFormat="1"/>
    <row r="13192" s="65" customFormat="1"/>
    <row r="13193" s="65" customFormat="1"/>
    <row r="13194" s="65" customFormat="1"/>
    <row r="13195" s="65" customFormat="1"/>
    <row r="13196" s="65" customFormat="1"/>
    <row r="13197" s="65" customFormat="1"/>
    <row r="13198" s="65" customFormat="1"/>
    <row r="13199" s="65" customFormat="1"/>
    <row r="13200" s="65" customFormat="1"/>
    <row r="13201" s="65" customFormat="1"/>
    <row r="13202" s="65" customFormat="1"/>
    <row r="13203" s="65" customFormat="1"/>
    <row r="13204" s="65" customFormat="1"/>
    <row r="13205" s="65" customFormat="1"/>
    <row r="13206" s="65" customFormat="1"/>
    <row r="13207" s="65" customFormat="1"/>
    <row r="13208" s="65" customFormat="1"/>
    <row r="13209" s="65" customFormat="1"/>
    <row r="13210" s="65" customFormat="1"/>
    <row r="13211" s="65" customFormat="1"/>
    <row r="13212" s="65" customFormat="1"/>
    <row r="13213" s="65" customFormat="1"/>
    <row r="13214" s="65" customFormat="1"/>
    <row r="13215" s="65" customFormat="1"/>
    <row r="13216" s="65" customFormat="1"/>
    <row r="13217" s="65" customFormat="1"/>
    <row r="13218" s="65" customFormat="1"/>
    <row r="13219" s="65" customFormat="1"/>
    <row r="13220" s="65" customFormat="1"/>
    <row r="13221" s="65" customFormat="1"/>
    <row r="13222" s="65" customFormat="1"/>
    <row r="13223" s="65" customFormat="1"/>
    <row r="13224" s="65" customFormat="1"/>
    <row r="13225" s="65" customFormat="1"/>
    <row r="13226" s="65" customFormat="1"/>
    <row r="13227" s="65" customFormat="1"/>
    <row r="13228" s="65" customFormat="1"/>
    <row r="13229" s="65" customFormat="1"/>
    <row r="13230" s="65" customFormat="1"/>
    <row r="13231" s="65" customFormat="1"/>
    <row r="13232" s="65" customFormat="1"/>
    <row r="13233" s="65" customFormat="1"/>
    <row r="13234" s="65" customFormat="1"/>
    <row r="13235" s="65" customFormat="1"/>
    <row r="13236" s="65" customFormat="1"/>
    <row r="13237" s="65" customFormat="1"/>
    <row r="13238" s="65" customFormat="1"/>
    <row r="13239" s="65" customFormat="1"/>
    <row r="13240" s="65" customFormat="1"/>
    <row r="13241" s="65" customFormat="1"/>
    <row r="13242" s="65" customFormat="1"/>
    <row r="13243" s="65" customFormat="1"/>
    <row r="13244" s="65" customFormat="1"/>
    <row r="13245" s="65" customFormat="1"/>
    <row r="13246" s="65" customFormat="1"/>
    <row r="13247" s="65" customFormat="1"/>
    <row r="13248" s="65" customFormat="1"/>
    <row r="13249" s="65" customFormat="1"/>
    <row r="13250" s="65" customFormat="1"/>
    <row r="13251" s="65" customFormat="1"/>
    <row r="13252" s="65" customFormat="1"/>
    <row r="13253" s="65" customFormat="1"/>
    <row r="13254" s="65" customFormat="1"/>
    <row r="13255" s="65" customFormat="1"/>
    <row r="13256" s="65" customFormat="1"/>
    <row r="13257" s="65" customFormat="1"/>
    <row r="13258" s="65" customFormat="1"/>
    <row r="13259" s="65" customFormat="1"/>
    <row r="13260" s="65" customFormat="1"/>
    <row r="13261" s="65" customFormat="1"/>
    <row r="13262" s="65" customFormat="1"/>
    <row r="13263" s="65" customFormat="1"/>
    <row r="13264" s="65" customFormat="1"/>
    <row r="13265" s="65" customFormat="1"/>
    <row r="13266" s="65" customFormat="1"/>
    <row r="13267" s="65" customFormat="1"/>
    <row r="13268" s="65" customFormat="1"/>
    <row r="13269" s="65" customFormat="1"/>
    <row r="13270" s="65" customFormat="1"/>
    <row r="13271" s="65" customFormat="1"/>
    <row r="13272" s="65" customFormat="1"/>
    <row r="13273" s="65" customFormat="1"/>
    <row r="13274" s="65" customFormat="1"/>
    <row r="13275" s="65" customFormat="1"/>
    <row r="13276" s="65" customFormat="1"/>
    <row r="13277" s="65" customFormat="1"/>
    <row r="13278" s="65" customFormat="1"/>
    <row r="13279" s="65" customFormat="1"/>
    <row r="13280" s="65" customFormat="1"/>
    <row r="13281" s="65" customFormat="1"/>
    <row r="13282" s="65" customFormat="1"/>
    <row r="13283" s="65" customFormat="1"/>
    <row r="13284" s="65" customFormat="1"/>
    <row r="13285" s="65" customFormat="1"/>
    <row r="13286" s="65" customFormat="1"/>
    <row r="13287" s="65" customFormat="1"/>
    <row r="13288" s="65" customFormat="1"/>
    <row r="13289" s="65" customFormat="1"/>
    <row r="13290" s="65" customFormat="1"/>
    <row r="13291" s="65" customFormat="1"/>
    <row r="13292" s="65" customFormat="1"/>
    <row r="13293" s="65" customFormat="1"/>
    <row r="13294" s="65" customFormat="1"/>
    <row r="13295" s="65" customFormat="1"/>
    <row r="13296" s="65" customFormat="1"/>
    <row r="13297" s="65" customFormat="1"/>
    <row r="13298" s="65" customFormat="1"/>
    <row r="13299" s="65" customFormat="1"/>
    <row r="13300" s="65" customFormat="1"/>
    <row r="13301" s="65" customFormat="1"/>
    <row r="13302" s="65" customFormat="1"/>
    <row r="13303" s="65" customFormat="1"/>
    <row r="13304" s="65" customFormat="1"/>
    <row r="13305" s="65" customFormat="1"/>
    <row r="13306" s="65" customFormat="1"/>
    <row r="13307" s="65" customFormat="1"/>
    <row r="13308" s="65" customFormat="1"/>
    <row r="13309" s="65" customFormat="1"/>
    <row r="13310" s="65" customFormat="1"/>
    <row r="13311" s="65" customFormat="1"/>
    <row r="13312" s="65" customFormat="1"/>
    <row r="13313" s="65" customFormat="1"/>
    <row r="13314" s="65" customFormat="1"/>
    <row r="13315" s="65" customFormat="1"/>
    <row r="13316" s="65" customFormat="1"/>
    <row r="13317" s="65" customFormat="1"/>
    <row r="13318" s="65" customFormat="1"/>
    <row r="13319" s="65" customFormat="1"/>
    <row r="13320" s="65" customFormat="1"/>
    <row r="13321" s="65" customFormat="1"/>
    <row r="13322" s="65" customFormat="1"/>
    <row r="13323" s="65" customFormat="1"/>
    <row r="13324" s="65" customFormat="1"/>
    <row r="13325" s="65" customFormat="1"/>
    <row r="13326" s="65" customFormat="1"/>
    <row r="13327" s="65" customFormat="1"/>
    <row r="13328" s="65" customFormat="1"/>
    <row r="13329" s="65" customFormat="1"/>
    <row r="13330" s="65" customFormat="1"/>
    <row r="13331" s="65" customFormat="1"/>
    <row r="13332" s="65" customFormat="1"/>
    <row r="13333" s="65" customFormat="1"/>
    <row r="13334" s="65" customFormat="1"/>
    <row r="13335" s="65" customFormat="1"/>
    <row r="13336" s="65" customFormat="1"/>
    <row r="13337" s="65" customFormat="1"/>
    <row r="13338" s="65" customFormat="1"/>
    <row r="13339" s="65" customFormat="1"/>
    <row r="13340" s="65" customFormat="1"/>
    <row r="13341" s="65" customFormat="1"/>
    <row r="13342" s="65" customFormat="1"/>
    <row r="13343" s="65" customFormat="1"/>
    <row r="13344" s="65" customFormat="1"/>
    <row r="13345" s="65" customFormat="1"/>
    <row r="13346" s="65" customFormat="1"/>
    <row r="13347" s="65" customFormat="1"/>
    <row r="13348" s="65" customFormat="1"/>
    <row r="13349" s="65" customFormat="1"/>
    <row r="13350" s="65" customFormat="1"/>
    <row r="13351" s="65" customFormat="1"/>
    <row r="13352" s="65" customFormat="1"/>
    <row r="13353" s="65" customFormat="1"/>
    <row r="13354" s="65" customFormat="1"/>
    <row r="13355" s="65" customFormat="1"/>
    <row r="13356" s="65" customFormat="1"/>
    <row r="13357" s="65" customFormat="1"/>
    <row r="13358" s="65" customFormat="1"/>
    <row r="13359" s="65" customFormat="1"/>
    <row r="13360" s="65" customFormat="1"/>
    <row r="13361" s="65" customFormat="1"/>
    <row r="13362" s="65" customFormat="1"/>
    <row r="13363" s="65" customFormat="1"/>
    <row r="13364" s="65" customFormat="1"/>
    <row r="13365" s="65" customFormat="1"/>
    <row r="13366" s="65" customFormat="1"/>
    <row r="13367" s="65" customFormat="1"/>
    <row r="13368" s="65" customFormat="1"/>
    <row r="13369" s="65" customFormat="1"/>
    <row r="13370" s="65" customFormat="1"/>
    <row r="13371" s="65" customFormat="1"/>
    <row r="13372" s="65" customFormat="1"/>
    <row r="13373" s="65" customFormat="1"/>
    <row r="13374" s="65" customFormat="1"/>
    <row r="13375" s="65" customFormat="1"/>
    <row r="13376" s="65" customFormat="1"/>
    <row r="13377" s="65" customFormat="1"/>
    <row r="13378" s="65" customFormat="1"/>
    <row r="13379" s="65" customFormat="1"/>
    <row r="13380" s="65" customFormat="1"/>
    <row r="13381" s="65" customFormat="1"/>
    <row r="13382" s="65" customFormat="1"/>
    <row r="13383" s="65" customFormat="1"/>
    <row r="13384" s="65" customFormat="1"/>
    <row r="13385" s="65" customFormat="1"/>
    <row r="13386" s="65" customFormat="1"/>
    <row r="13387" s="65" customFormat="1"/>
    <row r="13388" s="65" customFormat="1"/>
    <row r="13389" s="65" customFormat="1"/>
    <row r="13390" s="65" customFormat="1"/>
    <row r="13391" s="65" customFormat="1"/>
    <row r="13392" s="65" customFormat="1"/>
    <row r="13393" s="65" customFormat="1"/>
    <row r="13394" s="65" customFormat="1"/>
    <row r="13395" s="65" customFormat="1"/>
    <row r="13396" s="65" customFormat="1"/>
    <row r="13397" s="65" customFormat="1"/>
    <row r="13398" s="65" customFormat="1"/>
    <row r="13399" s="65" customFormat="1"/>
    <row r="13400" s="65" customFormat="1"/>
    <row r="13401" s="65" customFormat="1"/>
    <row r="13402" s="65" customFormat="1"/>
    <row r="13403" s="65" customFormat="1"/>
    <row r="13404" s="65" customFormat="1"/>
    <row r="13405" s="65" customFormat="1"/>
    <row r="13406" s="65" customFormat="1"/>
    <row r="13407" s="65" customFormat="1"/>
    <row r="13408" s="65" customFormat="1"/>
    <row r="13409" s="65" customFormat="1"/>
    <row r="13410" s="65" customFormat="1"/>
    <row r="13411" s="65" customFormat="1"/>
    <row r="13412" s="65" customFormat="1"/>
    <row r="13413" s="65" customFormat="1"/>
    <row r="13414" s="65" customFormat="1"/>
    <row r="13415" s="65" customFormat="1"/>
    <row r="13416" s="65" customFormat="1"/>
    <row r="13417" s="65" customFormat="1"/>
    <row r="13418" s="65" customFormat="1"/>
    <row r="13419" s="65" customFormat="1"/>
    <row r="13420" s="65" customFormat="1"/>
    <row r="13421" s="65" customFormat="1"/>
    <row r="13422" s="65" customFormat="1"/>
    <row r="13423" s="65" customFormat="1"/>
    <row r="13424" s="65" customFormat="1"/>
    <row r="13425" s="65" customFormat="1"/>
    <row r="13426" s="65" customFormat="1"/>
    <row r="13427" s="65" customFormat="1"/>
    <row r="13428" s="65" customFormat="1"/>
    <row r="13429" s="65" customFormat="1"/>
    <row r="13430" s="65" customFormat="1"/>
    <row r="13431" s="65" customFormat="1"/>
    <row r="13432" s="65" customFormat="1"/>
    <row r="13433" s="65" customFormat="1"/>
    <row r="13434" s="65" customFormat="1"/>
    <row r="13435" s="65" customFormat="1"/>
    <row r="13436" s="65" customFormat="1"/>
    <row r="13437" s="65" customFormat="1"/>
    <row r="13438" s="65" customFormat="1"/>
    <row r="13439" s="65" customFormat="1"/>
    <row r="13440" s="65" customFormat="1"/>
    <row r="13441" s="65" customFormat="1"/>
    <row r="13442" s="65" customFormat="1"/>
    <row r="13443" s="65" customFormat="1"/>
    <row r="13444" s="65" customFormat="1"/>
    <row r="13445" s="65" customFormat="1"/>
    <row r="13446" s="65" customFormat="1"/>
    <row r="13447" s="65" customFormat="1"/>
    <row r="13448" s="65" customFormat="1"/>
    <row r="13449" s="65" customFormat="1"/>
    <row r="13450" s="65" customFormat="1"/>
    <row r="13451" s="65" customFormat="1"/>
    <row r="13452" s="65" customFormat="1"/>
    <row r="13453" s="65" customFormat="1"/>
    <row r="13454" s="65" customFormat="1"/>
    <row r="13455" s="65" customFormat="1"/>
    <row r="13456" s="65" customFormat="1"/>
    <row r="13457" s="65" customFormat="1"/>
    <row r="13458" s="65" customFormat="1"/>
    <row r="13459" s="65" customFormat="1"/>
    <row r="13460" s="65" customFormat="1"/>
    <row r="13461" s="65" customFormat="1"/>
    <row r="13462" s="65" customFormat="1"/>
    <row r="13463" s="65" customFormat="1"/>
    <row r="13464" s="65" customFormat="1"/>
    <row r="13465" s="65" customFormat="1"/>
    <row r="13466" s="65" customFormat="1"/>
    <row r="13467" s="65" customFormat="1"/>
    <row r="13468" s="65" customFormat="1"/>
    <row r="13469" s="65" customFormat="1"/>
    <row r="13470" s="65" customFormat="1"/>
    <row r="13471" s="65" customFormat="1"/>
    <row r="13472" s="65" customFormat="1"/>
    <row r="13473" s="65" customFormat="1"/>
    <row r="13474" s="65" customFormat="1"/>
    <row r="13475" s="65" customFormat="1"/>
    <row r="13476" s="65" customFormat="1"/>
    <row r="13477" s="65" customFormat="1"/>
    <row r="13478" s="65" customFormat="1"/>
    <row r="13479" s="65" customFormat="1"/>
    <row r="13480" s="65" customFormat="1"/>
    <row r="13481" s="65" customFormat="1"/>
    <row r="13482" s="65" customFormat="1"/>
    <row r="13483" s="65" customFormat="1"/>
    <row r="13484" s="65" customFormat="1"/>
    <row r="13485" s="65" customFormat="1"/>
    <row r="13486" s="65" customFormat="1"/>
    <row r="13487" s="65" customFormat="1"/>
    <row r="13488" s="65" customFormat="1"/>
    <row r="13489" s="65" customFormat="1"/>
    <row r="13490" s="65" customFormat="1"/>
    <row r="13491" s="65" customFormat="1"/>
    <row r="13492" s="65" customFormat="1"/>
    <row r="13493" s="65" customFormat="1"/>
    <row r="13494" s="65" customFormat="1"/>
    <row r="13495" s="65" customFormat="1"/>
    <row r="13496" s="65" customFormat="1"/>
    <row r="13497" s="65" customFormat="1"/>
    <row r="13498" s="65" customFormat="1"/>
    <row r="13499" s="65" customFormat="1"/>
    <row r="13500" s="65" customFormat="1"/>
    <row r="13501" s="65" customFormat="1"/>
    <row r="13502" s="65" customFormat="1"/>
    <row r="13503" s="65" customFormat="1"/>
    <row r="13504" s="65" customFormat="1"/>
    <row r="13505" s="65" customFormat="1"/>
    <row r="13506" s="65" customFormat="1"/>
    <row r="13507" s="65" customFormat="1"/>
    <row r="13508" s="65" customFormat="1"/>
    <row r="13509" s="65" customFormat="1"/>
    <row r="13510" s="65" customFormat="1"/>
    <row r="13511" s="65" customFormat="1"/>
    <row r="13512" s="65" customFormat="1"/>
    <row r="13513" s="65" customFormat="1"/>
    <row r="13514" s="65" customFormat="1"/>
    <row r="13515" s="65" customFormat="1"/>
    <row r="13516" s="65" customFormat="1"/>
    <row r="13517" s="65" customFormat="1"/>
    <row r="13518" s="65" customFormat="1"/>
    <row r="13519" s="65" customFormat="1"/>
    <row r="13520" s="65" customFormat="1"/>
    <row r="13521" s="65" customFormat="1"/>
    <row r="13522" s="65" customFormat="1"/>
    <row r="13523" s="65" customFormat="1"/>
    <row r="13524" s="65" customFormat="1"/>
    <row r="13525" s="65" customFormat="1"/>
    <row r="13526" s="65" customFormat="1"/>
    <row r="13527" s="65" customFormat="1"/>
    <row r="13528" s="65" customFormat="1"/>
    <row r="13529" s="65" customFormat="1"/>
    <row r="13530" s="65" customFormat="1"/>
    <row r="13531" s="65" customFormat="1"/>
    <row r="13532" s="65" customFormat="1"/>
    <row r="13533" s="65" customFormat="1"/>
    <row r="13534" s="65" customFormat="1"/>
    <row r="13535" s="65" customFormat="1"/>
    <row r="13536" s="65" customFormat="1"/>
    <row r="13537" s="65" customFormat="1"/>
    <row r="13538" s="65" customFormat="1"/>
    <row r="13539" s="65" customFormat="1"/>
    <row r="13540" s="65" customFormat="1"/>
    <row r="13541" s="65" customFormat="1"/>
    <row r="13542" s="65" customFormat="1"/>
    <row r="13543" s="65" customFormat="1"/>
    <row r="13544" s="65" customFormat="1"/>
    <row r="13545" s="65" customFormat="1"/>
    <row r="13546" s="65" customFormat="1"/>
    <row r="13547" s="65" customFormat="1"/>
    <row r="13548" s="65" customFormat="1"/>
    <row r="13549" s="65" customFormat="1"/>
    <row r="13550" s="65" customFormat="1"/>
    <row r="13551" s="65" customFormat="1"/>
    <row r="13552" s="65" customFormat="1"/>
    <row r="13553" s="65" customFormat="1"/>
    <row r="13554" s="65" customFormat="1"/>
    <row r="13555" s="65" customFormat="1"/>
    <row r="13556" s="65" customFormat="1"/>
    <row r="13557" s="65" customFormat="1"/>
    <row r="13558" s="65" customFormat="1"/>
    <row r="13559" s="65" customFormat="1"/>
    <row r="13560" s="65" customFormat="1"/>
    <row r="13561" s="65" customFormat="1"/>
    <row r="13562" s="65" customFormat="1"/>
    <row r="13563" s="65" customFormat="1"/>
    <row r="13564" s="65" customFormat="1"/>
    <row r="13565" s="65" customFormat="1"/>
    <row r="13566" s="65" customFormat="1"/>
    <row r="13567" s="65" customFormat="1"/>
    <row r="13568" s="65" customFormat="1"/>
    <row r="13569" s="65" customFormat="1"/>
    <row r="13570" s="65" customFormat="1"/>
    <row r="13571" s="65" customFormat="1"/>
    <row r="13572" s="65" customFormat="1"/>
    <row r="13573" s="65" customFormat="1"/>
    <row r="13574" s="65" customFormat="1"/>
    <row r="13575" s="65" customFormat="1"/>
    <row r="13576" s="65" customFormat="1"/>
    <row r="13577" s="65" customFormat="1"/>
    <row r="13578" s="65" customFormat="1"/>
    <row r="13579" s="65" customFormat="1"/>
    <row r="13580" s="65" customFormat="1"/>
    <row r="13581" s="65" customFormat="1"/>
    <row r="13582" s="65" customFormat="1"/>
    <row r="13583" s="65" customFormat="1"/>
    <row r="13584" s="65" customFormat="1"/>
    <row r="13585" s="65" customFormat="1"/>
    <row r="13586" s="65" customFormat="1"/>
    <row r="13587" s="65" customFormat="1"/>
    <row r="13588" s="65" customFormat="1"/>
    <row r="13589" s="65" customFormat="1"/>
    <row r="13590" s="65" customFormat="1"/>
    <row r="13591" s="65" customFormat="1"/>
    <row r="13592" s="65" customFormat="1"/>
    <row r="13593" s="65" customFormat="1"/>
    <row r="13594" s="65" customFormat="1"/>
    <row r="13595" s="65" customFormat="1"/>
    <row r="13596" s="65" customFormat="1"/>
    <row r="13597" s="65" customFormat="1"/>
    <row r="13598" s="65" customFormat="1"/>
    <row r="13599" s="65" customFormat="1"/>
    <row r="13600" s="65" customFormat="1"/>
    <row r="13601" s="65" customFormat="1"/>
    <row r="13602" s="65" customFormat="1"/>
    <row r="13603" s="65" customFormat="1"/>
    <row r="13604" s="65" customFormat="1"/>
    <row r="13605" s="65" customFormat="1"/>
    <row r="13606" s="65" customFormat="1"/>
    <row r="13607" s="65" customFormat="1"/>
    <row r="13608" s="65" customFormat="1"/>
    <row r="13609" s="65" customFormat="1"/>
    <row r="13610" s="65" customFormat="1"/>
    <row r="13611" s="65" customFormat="1"/>
    <row r="13612" s="65" customFormat="1"/>
    <row r="13613" s="65" customFormat="1"/>
    <row r="13614" s="65" customFormat="1"/>
    <row r="13615" s="65" customFormat="1"/>
    <row r="13616" s="65" customFormat="1"/>
    <row r="13617" s="65" customFormat="1"/>
    <row r="13618" s="65" customFormat="1"/>
    <row r="13619" s="65" customFormat="1"/>
    <row r="13620" s="65" customFormat="1"/>
    <row r="13621" s="65" customFormat="1"/>
    <row r="13622" s="65" customFormat="1"/>
    <row r="13623" s="65" customFormat="1"/>
    <row r="13624" s="65" customFormat="1"/>
    <row r="13625" s="65" customFormat="1"/>
    <row r="13626" s="65" customFormat="1"/>
    <row r="13627" s="65" customFormat="1"/>
    <row r="13628" s="65" customFormat="1"/>
    <row r="13629" s="65" customFormat="1"/>
    <row r="13630" s="65" customFormat="1"/>
    <row r="13631" s="65" customFormat="1"/>
    <row r="13632" s="65" customFormat="1"/>
    <row r="13633" s="65" customFormat="1"/>
    <row r="13634" s="65" customFormat="1"/>
    <row r="13635" s="65" customFormat="1"/>
    <row r="13636" s="65" customFormat="1"/>
    <row r="13637" s="65" customFormat="1"/>
    <row r="13638" s="65" customFormat="1"/>
    <row r="13639" s="65" customFormat="1"/>
    <row r="13640" s="65" customFormat="1"/>
    <row r="13641" s="65" customFormat="1"/>
    <row r="13642" s="65" customFormat="1"/>
    <row r="13643" s="65" customFormat="1"/>
    <row r="13644" s="65" customFormat="1"/>
    <row r="13645" s="65" customFormat="1"/>
    <row r="13646" s="65" customFormat="1"/>
    <row r="13647" s="65" customFormat="1"/>
    <row r="13648" s="65" customFormat="1"/>
    <row r="13649" s="65" customFormat="1"/>
    <row r="13650" s="65" customFormat="1"/>
    <row r="13651" s="65" customFormat="1"/>
    <row r="13652" s="65" customFormat="1"/>
    <row r="13653" s="65" customFormat="1"/>
    <row r="13654" s="65" customFormat="1"/>
    <row r="13655" s="65" customFormat="1"/>
    <row r="13656" s="65" customFormat="1"/>
    <row r="13657" s="65" customFormat="1"/>
    <row r="13658" s="65" customFormat="1"/>
    <row r="13659" s="65" customFormat="1"/>
    <row r="13660" s="65" customFormat="1"/>
    <row r="13661" s="65" customFormat="1"/>
    <row r="13662" s="65" customFormat="1"/>
    <row r="13663" s="65" customFormat="1"/>
    <row r="13664" s="65" customFormat="1"/>
    <row r="13665" s="65" customFormat="1"/>
    <row r="13666" s="65" customFormat="1"/>
    <row r="13667" s="65" customFormat="1"/>
    <row r="13668" s="65" customFormat="1"/>
    <row r="13669" s="65" customFormat="1"/>
    <row r="13670" s="65" customFormat="1"/>
    <row r="13671" s="65" customFormat="1"/>
    <row r="13672" s="65" customFormat="1"/>
    <row r="13673" s="65" customFormat="1"/>
    <row r="13674" s="65" customFormat="1"/>
    <row r="13675" s="65" customFormat="1"/>
    <row r="13676" s="65" customFormat="1"/>
    <row r="13677" s="65" customFormat="1"/>
    <row r="13678" s="65" customFormat="1"/>
    <row r="13679" s="65" customFormat="1"/>
    <row r="13680" s="65" customFormat="1"/>
    <row r="13681" s="65" customFormat="1"/>
    <row r="13682" s="65" customFormat="1"/>
    <row r="13683" s="65" customFormat="1"/>
    <row r="13684" s="65" customFormat="1"/>
    <row r="13685" s="65" customFormat="1"/>
    <row r="13686" s="65" customFormat="1"/>
    <row r="13687" s="65" customFormat="1"/>
    <row r="13688" s="65" customFormat="1"/>
    <row r="13689" s="65" customFormat="1"/>
    <row r="13690" s="65" customFormat="1"/>
    <row r="13691" s="65" customFormat="1"/>
    <row r="13692" s="65" customFormat="1"/>
    <row r="13693" s="65" customFormat="1"/>
    <row r="13694" s="65" customFormat="1"/>
    <row r="13695" s="65" customFormat="1"/>
    <row r="13696" s="65" customFormat="1"/>
    <row r="13697" s="65" customFormat="1"/>
    <row r="13698" s="65" customFormat="1"/>
    <row r="13699" s="65" customFormat="1"/>
    <row r="13700" s="65" customFormat="1"/>
    <row r="13701" s="65" customFormat="1"/>
    <row r="13702" s="65" customFormat="1"/>
    <row r="13703" s="65" customFormat="1"/>
    <row r="13704" s="65" customFormat="1"/>
    <row r="13705" s="65" customFormat="1"/>
    <row r="13706" s="65" customFormat="1"/>
    <row r="13707" s="65" customFormat="1"/>
    <row r="13708" s="65" customFormat="1"/>
    <row r="13709" s="65" customFormat="1"/>
    <row r="13710" s="65" customFormat="1"/>
    <row r="13711" s="65" customFormat="1"/>
    <row r="13712" s="65" customFormat="1"/>
    <row r="13713" s="65" customFormat="1"/>
    <row r="13714" s="65" customFormat="1"/>
    <row r="13715" s="65" customFormat="1"/>
    <row r="13716" s="65" customFormat="1"/>
    <row r="13717" s="65" customFormat="1"/>
    <row r="13718" s="65" customFormat="1"/>
    <row r="13719" s="65" customFormat="1"/>
    <row r="13720" s="65" customFormat="1"/>
    <row r="13721" s="65" customFormat="1"/>
    <row r="13722" s="65" customFormat="1"/>
    <row r="13723" s="65" customFormat="1"/>
    <row r="13724" s="65" customFormat="1"/>
    <row r="13725" s="65" customFormat="1"/>
    <row r="13726" s="65" customFormat="1"/>
    <row r="13727" s="65" customFormat="1"/>
    <row r="13728" s="65" customFormat="1"/>
    <row r="13729" s="65" customFormat="1"/>
    <row r="13730" s="65" customFormat="1"/>
    <row r="13731" s="65" customFormat="1"/>
    <row r="13732" s="65" customFormat="1"/>
    <row r="13733" s="65" customFormat="1"/>
    <row r="13734" s="65" customFormat="1"/>
    <row r="13735" s="65" customFormat="1"/>
    <row r="13736" s="65" customFormat="1"/>
    <row r="13737" s="65" customFormat="1"/>
    <row r="13738" s="65" customFormat="1"/>
    <row r="13739" s="65" customFormat="1"/>
    <row r="13740" s="65" customFormat="1"/>
    <row r="13741" s="65" customFormat="1"/>
    <row r="13742" s="65" customFormat="1"/>
    <row r="13743" s="65" customFormat="1"/>
    <row r="13744" s="65" customFormat="1"/>
    <row r="13745" s="65" customFormat="1"/>
    <row r="13746" s="65" customFormat="1"/>
    <row r="13747" s="65" customFormat="1"/>
    <row r="13748" s="65" customFormat="1"/>
    <row r="13749" s="65" customFormat="1"/>
    <row r="13750" s="65" customFormat="1"/>
    <row r="13751" s="65" customFormat="1"/>
    <row r="13752" s="65" customFormat="1"/>
    <row r="13753" s="65" customFormat="1"/>
    <row r="13754" s="65" customFormat="1"/>
    <row r="13755" s="65" customFormat="1"/>
    <row r="13756" s="65" customFormat="1"/>
    <row r="13757" s="65" customFormat="1"/>
    <row r="13758" s="65" customFormat="1"/>
    <row r="13759" s="65" customFormat="1"/>
    <row r="13760" s="65" customFormat="1"/>
    <row r="13761" spans="1:4">
      <c r="A13761" s="65"/>
      <c r="D13761" s="65"/>
    </row>
    <row r="13762" spans="1:4">
      <c r="A13762" s="65"/>
      <c r="D13762" s="65"/>
    </row>
    <row r="13763" spans="1:4">
      <c r="A13763" s="65"/>
      <c r="D13763" s="65"/>
    </row>
    <row r="13764" spans="1:4">
      <c r="A13764" s="65"/>
      <c r="D13764" s="65"/>
    </row>
    <row r="13765" spans="1:4">
      <c r="A13765" s="65"/>
      <c r="D13765" s="65"/>
    </row>
    <row r="13766" spans="1:4">
      <c r="A13766" s="65"/>
      <c r="D13766" s="65"/>
    </row>
    <row r="13767" spans="1:4">
      <c r="A13767" s="65"/>
      <c r="D13767" s="65"/>
    </row>
    <row r="13768" spans="1:4">
      <c r="A13768" s="65"/>
      <c r="D13768" s="65"/>
    </row>
    <row r="13769" spans="1:4">
      <c r="A13769" s="65"/>
      <c r="D13769" s="65"/>
    </row>
    <row r="13770" spans="1:4">
      <c r="A13770" s="65"/>
      <c r="D13770" s="65"/>
    </row>
    <row r="13771" spans="1:4">
      <c r="A13771" s="65"/>
      <c r="D13771" s="65"/>
    </row>
    <row r="13772" spans="1:4">
      <c r="A13772" s="65"/>
      <c r="D13772" s="65"/>
    </row>
    <row r="13773" spans="1:4">
      <c r="A13773" s="65"/>
      <c r="D13773" s="65"/>
    </row>
    <row r="13774" spans="1:4">
      <c r="A13774" s="65"/>
      <c r="D13774" s="65"/>
    </row>
    <row r="13775" spans="1:4">
      <c r="A13775" s="65"/>
      <c r="D13775" s="65"/>
    </row>
    <row r="13776" spans="1:4">
      <c r="D13776" s="65"/>
    </row>
    <row r="13777" s="65" customFormat="1"/>
    <row r="13778" s="65" customFormat="1"/>
    <row r="13779" s="65" customFormat="1"/>
    <row r="13780" s="65" customFormat="1"/>
    <row r="13781" s="65" customFormat="1"/>
    <row r="13782" s="65" customFormat="1"/>
    <row r="13783" s="65" customFormat="1"/>
    <row r="13784" s="65" customFormat="1"/>
    <row r="13785" s="65" customFormat="1"/>
    <row r="13786" s="65" customFormat="1"/>
    <row r="13787" s="65" customFormat="1"/>
    <row r="13788" s="65" customFormat="1"/>
    <row r="13789" s="65" customFormat="1"/>
    <row r="13790" s="65" customFormat="1"/>
    <row r="13791" s="65" customFormat="1"/>
    <row r="13792" s="65" customFormat="1"/>
    <row r="13793" s="65" customFormat="1"/>
    <row r="13794" s="65" customFormat="1"/>
    <row r="13795" s="65" customFormat="1"/>
    <row r="13796" s="65" customFormat="1"/>
    <row r="13797" s="65" customFormat="1"/>
    <row r="13798" s="65" customFormat="1"/>
    <row r="13799" s="65" customFormat="1"/>
    <row r="13800" s="65" customFormat="1"/>
    <row r="13801" s="65" customFormat="1"/>
    <row r="13802" s="65" customFormat="1"/>
    <row r="13803" s="65" customFormat="1"/>
    <row r="13804" s="65" customFormat="1"/>
    <row r="13805" s="65" customFormat="1"/>
    <row r="13806" s="65" customFormat="1"/>
    <row r="13807" s="65" customFormat="1"/>
    <row r="13808" s="65" customFormat="1"/>
    <row r="13809" s="65" customFormat="1"/>
    <row r="13810" s="65" customFormat="1"/>
    <row r="13811" s="65" customFormat="1"/>
    <row r="13812" s="65" customFormat="1"/>
    <row r="13813" s="65" customFormat="1"/>
    <row r="13814" s="65" customFormat="1"/>
    <row r="13815" s="65" customFormat="1"/>
    <row r="13816" s="65" customFormat="1"/>
    <row r="13817" s="65" customFormat="1"/>
    <row r="13818" s="65" customFormat="1"/>
    <row r="13819" s="65" customFormat="1"/>
    <row r="13820" s="65" customFormat="1"/>
    <row r="13821" s="65" customFormat="1"/>
    <row r="13822" s="65" customFormat="1"/>
    <row r="13823" s="65" customFormat="1"/>
    <row r="13824" s="65" customFormat="1"/>
    <row r="13825" s="65" customFormat="1"/>
    <row r="13826" s="65" customFormat="1"/>
    <row r="13827" s="65" customFormat="1"/>
    <row r="13828" s="65" customFormat="1"/>
    <row r="13829" s="65" customFormat="1"/>
    <row r="13830" s="65" customFormat="1"/>
    <row r="13831" s="65" customFormat="1"/>
    <row r="13832" s="65" customFormat="1"/>
    <row r="13833" s="65" customFormat="1"/>
    <row r="13834" s="65" customFormat="1"/>
    <row r="13835" s="65" customFormat="1"/>
    <row r="13836" s="65" customFormat="1"/>
    <row r="13837" s="65" customFormat="1"/>
    <row r="13838" s="65" customFormat="1"/>
    <row r="13839" s="65" customFormat="1"/>
    <row r="13840" s="65" customFormat="1"/>
    <row r="13841" s="65" customFormat="1"/>
    <row r="13842" s="65" customFormat="1"/>
    <row r="13843" s="65" customFormat="1"/>
    <row r="13844" s="65" customFormat="1"/>
    <row r="13845" s="65" customFormat="1"/>
    <row r="13846" s="65" customFormat="1"/>
    <row r="13847" s="65" customFormat="1"/>
    <row r="13848" s="65" customFormat="1"/>
    <row r="13849" s="65" customFormat="1"/>
    <row r="13850" s="65" customFormat="1"/>
    <row r="13851" s="65" customFormat="1"/>
    <row r="13852" s="65" customFormat="1"/>
    <row r="13853" s="65" customFormat="1"/>
    <row r="13854" s="65" customFormat="1"/>
    <row r="13855" s="65" customFormat="1"/>
    <row r="13856" s="65" customFormat="1"/>
    <row r="13857" s="65" customFormat="1"/>
    <row r="13858" s="65" customFormat="1"/>
    <row r="13859" s="65" customFormat="1"/>
    <row r="13860" s="65" customFormat="1"/>
    <row r="13861" s="65" customFormat="1"/>
    <row r="13862" s="65" customFormat="1"/>
    <row r="13863" s="65" customFormat="1"/>
    <row r="13864" s="65" customFormat="1"/>
    <row r="13865" s="65" customFormat="1"/>
    <row r="13866" s="65" customFormat="1"/>
    <row r="13867" s="65" customFormat="1"/>
    <row r="13868" s="65" customFormat="1"/>
    <row r="13869" s="65" customFormat="1"/>
    <row r="13870" s="65" customFormat="1"/>
    <row r="13871" s="65" customFormat="1"/>
    <row r="13872" s="65" customFormat="1"/>
    <row r="13873" s="65" customFormat="1"/>
    <row r="13874" s="65" customFormat="1"/>
    <row r="13875" s="65" customFormat="1"/>
    <row r="13876" s="65" customFormat="1"/>
    <row r="13877" s="65" customFormat="1"/>
    <row r="13878" s="65" customFormat="1"/>
    <row r="13879" s="65" customFormat="1"/>
    <row r="13880" s="65" customFormat="1"/>
    <row r="13881" s="65" customFormat="1"/>
    <row r="13882" s="65" customFormat="1"/>
    <row r="13883" s="65" customFormat="1"/>
    <row r="13884" s="65" customFormat="1"/>
    <row r="13885" s="65" customFormat="1"/>
    <row r="13886" s="65" customFormat="1"/>
    <row r="13887" s="65" customFormat="1"/>
    <row r="13888" s="65" customFormat="1"/>
    <row r="13889" s="65" customFormat="1"/>
    <row r="13890" s="65" customFormat="1"/>
    <row r="13891" s="65" customFormat="1"/>
    <row r="13892" s="65" customFormat="1"/>
    <row r="13893" s="65" customFormat="1"/>
    <row r="13894" s="65" customFormat="1"/>
    <row r="13895" s="65" customFormat="1"/>
    <row r="13896" s="65" customFormat="1"/>
    <row r="13897" s="65" customFormat="1"/>
    <row r="13898" s="65" customFormat="1"/>
    <row r="13899" s="65" customFormat="1"/>
    <row r="13900" s="65" customFormat="1"/>
    <row r="13901" s="65" customFormat="1"/>
    <row r="13902" s="65" customFormat="1"/>
    <row r="13903" s="65" customFormat="1"/>
    <row r="13904" s="65" customFormat="1"/>
    <row r="13905" s="65" customFormat="1"/>
    <row r="13906" s="65" customFormat="1"/>
    <row r="13907" s="65" customFormat="1"/>
    <row r="13908" s="65" customFormat="1"/>
    <row r="13909" s="65" customFormat="1"/>
    <row r="13910" s="65" customFormat="1"/>
    <row r="13911" s="65" customFormat="1"/>
    <row r="13912" s="65" customFormat="1"/>
    <row r="13913" s="65" customFormat="1"/>
    <row r="13914" s="65" customFormat="1"/>
    <row r="13915" s="65" customFormat="1"/>
    <row r="13916" s="65" customFormat="1"/>
    <row r="13917" s="65" customFormat="1"/>
    <row r="13918" s="65" customFormat="1"/>
    <row r="13919" s="65" customFormat="1"/>
    <row r="13920" s="65" customFormat="1"/>
    <row r="13921" s="65" customFormat="1"/>
    <row r="13922" s="65" customFormat="1"/>
    <row r="13923" s="65" customFormat="1"/>
    <row r="13924" s="65" customFormat="1"/>
    <row r="13925" s="65" customFormat="1"/>
    <row r="13926" s="65" customFormat="1"/>
    <row r="13927" s="65" customFormat="1"/>
    <row r="13928" s="65" customFormat="1"/>
    <row r="13929" s="65" customFormat="1"/>
    <row r="13930" s="65" customFormat="1"/>
    <row r="13931" s="65" customFormat="1"/>
    <row r="13932" s="65" customFormat="1"/>
    <row r="13933" s="65" customFormat="1"/>
    <row r="13934" s="65" customFormat="1"/>
    <row r="13935" s="65" customFormat="1"/>
    <row r="13936" s="65" customFormat="1"/>
    <row r="13937" s="65" customFormat="1"/>
    <row r="13938" s="65" customFormat="1"/>
    <row r="13939" s="65" customFormat="1"/>
    <row r="13940" s="65" customFormat="1"/>
    <row r="13941" s="65" customFormat="1"/>
    <row r="13942" s="65" customFormat="1"/>
    <row r="13943" s="65" customFormat="1"/>
    <row r="13944" s="65" customFormat="1"/>
    <row r="13945" s="65" customFormat="1"/>
    <row r="13946" s="65" customFormat="1"/>
    <row r="13947" s="65" customFormat="1"/>
    <row r="13948" s="65" customFormat="1"/>
    <row r="13949" s="65" customFormat="1"/>
    <row r="13950" s="65" customFormat="1"/>
    <row r="13951" s="65" customFormat="1"/>
    <row r="13952" s="65" customFormat="1"/>
    <row r="13953" s="65" customFormat="1"/>
    <row r="13954" s="65" customFormat="1"/>
    <row r="13955" s="65" customFormat="1"/>
    <row r="13956" s="65" customFormat="1"/>
    <row r="13957" s="65" customFormat="1"/>
    <row r="13958" s="65" customFormat="1"/>
    <row r="13959" s="65" customFormat="1"/>
    <row r="13960" s="65" customFormat="1"/>
    <row r="13961" s="65" customFormat="1"/>
    <row r="13962" s="65" customFormat="1"/>
    <row r="13963" s="65" customFormat="1"/>
    <row r="13964" s="65" customFormat="1"/>
    <row r="13965" s="65" customFormat="1"/>
    <row r="13966" s="65" customFormat="1"/>
    <row r="13967" s="65" customFormat="1"/>
    <row r="13968" s="65" customFormat="1"/>
    <row r="13969" s="65" customFormat="1"/>
    <row r="13970" s="65" customFormat="1"/>
    <row r="13971" s="65" customFormat="1"/>
    <row r="13972" s="65" customFormat="1"/>
    <row r="13973" s="65" customFormat="1"/>
    <row r="13974" s="65" customFormat="1"/>
    <row r="13975" s="65" customFormat="1"/>
    <row r="13976" s="65" customFormat="1"/>
    <row r="13977" s="65" customFormat="1"/>
    <row r="13978" s="65" customFormat="1"/>
    <row r="13979" s="65" customFormat="1"/>
    <row r="13980" s="65" customFormat="1"/>
    <row r="13981" s="65" customFormat="1"/>
    <row r="13982" s="65" customFormat="1"/>
    <row r="13983" s="65" customFormat="1"/>
    <row r="13984" s="65" customFormat="1"/>
    <row r="13985" s="65" customFormat="1"/>
    <row r="13986" s="65" customFormat="1"/>
    <row r="13987" s="65" customFormat="1"/>
    <row r="13988" s="65" customFormat="1"/>
    <row r="13989" s="65" customFormat="1"/>
    <row r="13990" s="65" customFormat="1"/>
    <row r="13991" s="65" customFormat="1"/>
    <row r="13992" s="65" customFormat="1"/>
    <row r="13993" s="65" customFormat="1"/>
    <row r="13994" s="65" customFormat="1"/>
    <row r="13995" s="65" customFormat="1"/>
    <row r="13996" s="65" customFormat="1"/>
    <row r="13997" s="65" customFormat="1"/>
    <row r="13998" s="65" customFormat="1"/>
    <row r="13999" s="65" customFormat="1"/>
    <row r="14000" s="65" customFormat="1"/>
    <row r="14001" s="65" customFormat="1"/>
    <row r="14002" s="65" customFormat="1"/>
    <row r="14003" s="65" customFormat="1"/>
    <row r="14004" s="65" customFormat="1"/>
    <row r="14005" s="65" customFormat="1"/>
    <row r="14006" s="65" customFormat="1"/>
    <row r="14007" s="65" customFormat="1"/>
    <row r="14008" s="65" customFormat="1"/>
    <row r="14009" s="65" customFormat="1"/>
    <row r="14010" s="65" customFormat="1"/>
    <row r="14011" s="65" customFormat="1"/>
    <row r="14012" s="65" customFormat="1"/>
    <row r="14013" s="65" customFormat="1"/>
    <row r="14014" s="65" customFormat="1"/>
    <row r="14015" s="65" customFormat="1"/>
    <row r="14016" s="65" customFormat="1"/>
    <row r="14017" s="65" customFormat="1"/>
    <row r="14018" s="65" customFormat="1"/>
    <row r="14019" s="65" customFormat="1"/>
    <row r="14020" s="65" customFormat="1"/>
    <row r="14021" s="65" customFormat="1"/>
    <row r="14022" s="65" customFormat="1"/>
    <row r="14023" s="65" customFormat="1"/>
    <row r="14024" s="65" customFormat="1"/>
    <row r="14025" s="65" customFormat="1"/>
    <row r="14026" s="65" customFormat="1"/>
    <row r="14027" s="65" customFormat="1"/>
    <row r="14028" s="65" customFormat="1"/>
    <row r="14029" s="65" customFormat="1"/>
    <row r="14030" s="65" customFormat="1"/>
    <row r="14031" s="65" customFormat="1"/>
    <row r="14032" s="65" customFormat="1"/>
    <row r="14033" s="65" customFormat="1"/>
    <row r="14034" s="65" customFormat="1"/>
    <row r="14035" s="65" customFormat="1"/>
    <row r="14036" s="65" customFormat="1"/>
    <row r="14037" s="65" customFormat="1"/>
    <row r="14038" s="65" customFormat="1"/>
    <row r="14039" s="65" customFormat="1"/>
    <row r="14040" s="65" customFormat="1"/>
    <row r="14041" s="65" customFormat="1"/>
    <row r="14042" s="65" customFormat="1"/>
    <row r="14043" s="65" customFormat="1"/>
    <row r="14044" s="65" customFormat="1"/>
    <row r="14045" s="65" customFormat="1"/>
    <row r="14046" s="65" customFormat="1"/>
    <row r="14047" s="65" customFormat="1"/>
    <row r="14048" s="65" customFormat="1"/>
    <row r="14049" s="65" customFormat="1"/>
    <row r="14050" s="65" customFormat="1"/>
    <row r="14051" s="65" customFormat="1"/>
    <row r="14052" s="65" customFormat="1"/>
    <row r="14053" s="65" customFormat="1"/>
    <row r="14054" s="65" customFormat="1"/>
    <row r="14055" s="65" customFormat="1"/>
    <row r="14056" s="65" customFormat="1"/>
    <row r="14057" s="65" customFormat="1"/>
    <row r="14058" s="65" customFormat="1"/>
    <row r="14059" s="65" customFormat="1"/>
    <row r="14060" s="65" customFormat="1"/>
    <row r="14061" s="65" customFormat="1"/>
    <row r="14062" s="65" customFormat="1"/>
    <row r="14063" s="65" customFormat="1"/>
    <row r="14064" s="65" customFormat="1"/>
    <row r="14065" s="65" customFormat="1"/>
    <row r="14066" s="65" customFormat="1"/>
    <row r="14067" s="65" customFormat="1"/>
    <row r="14068" s="65" customFormat="1"/>
    <row r="14069" s="65" customFormat="1"/>
    <row r="14070" s="65" customFormat="1"/>
    <row r="14071" s="65" customFormat="1"/>
    <row r="14072" s="65" customFormat="1"/>
    <row r="14073" s="65" customFormat="1"/>
    <row r="14074" s="65" customFormat="1"/>
    <row r="14075" s="65" customFormat="1"/>
    <row r="14076" s="65" customFormat="1"/>
    <row r="14077" s="65" customFormat="1"/>
    <row r="14078" s="65" customFormat="1"/>
    <row r="14079" s="65" customFormat="1"/>
    <row r="14080" s="65" customFormat="1"/>
    <row r="14081" s="65" customFormat="1"/>
    <row r="14082" s="65" customFormat="1"/>
    <row r="14083" s="65" customFormat="1"/>
    <row r="14084" s="65" customFormat="1"/>
    <row r="14085" s="65" customFormat="1"/>
    <row r="14086" s="65" customFormat="1"/>
    <row r="14087" s="65" customFormat="1"/>
    <row r="14088" s="65" customFormat="1"/>
    <row r="14089" s="65" customFormat="1"/>
    <row r="14090" s="65" customFormat="1"/>
    <row r="14091" s="65" customFormat="1"/>
    <row r="14092" s="65" customFormat="1"/>
    <row r="14093" s="65" customFormat="1"/>
    <row r="14094" s="65" customFormat="1"/>
    <row r="14095" s="65" customFormat="1"/>
    <row r="14096" s="65" customFormat="1"/>
    <row r="14097" s="65" customFormat="1"/>
    <row r="14098" s="65" customFormat="1"/>
    <row r="14099" s="65" customFormat="1"/>
    <row r="14100" s="65" customFormat="1"/>
    <row r="14101" s="65" customFormat="1"/>
    <row r="14102" s="65" customFormat="1"/>
    <row r="14103" s="65" customFormat="1"/>
    <row r="14104" s="65" customFormat="1"/>
    <row r="14105" s="65" customFormat="1"/>
    <row r="14106" s="65" customFormat="1"/>
    <row r="14107" s="65" customFormat="1"/>
    <row r="14108" s="65" customFormat="1"/>
    <row r="14109" s="65" customFormat="1"/>
    <row r="14110" s="65" customFormat="1"/>
    <row r="14111" s="65" customFormat="1"/>
    <row r="14112" s="65" customFormat="1"/>
    <row r="14113" s="65" customFormat="1"/>
    <row r="14114" s="65" customFormat="1"/>
    <row r="14115" s="65" customFormat="1"/>
    <row r="14116" s="65" customFormat="1"/>
    <row r="14117" s="65" customFormat="1"/>
    <row r="14118" s="65" customFormat="1"/>
    <row r="14119" s="65" customFormat="1"/>
    <row r="14120" s="65" customFormat="1"/>
    <row r="14121" s="65" customFormat="1"/>
    <row r="14122" s="65" customFormat="1"/>
    <row r="14123" s="65" customFormat="1"/>
    <row r="14124" s="65" customFormat="1"/>
    <row r="14125" s="65" customFormat="1"/>
    <row r="14126" s="65" customFormat="1"/>
    <row r="14127" s="65" customFormat="1"/>
    <row r="14128" s="65" customFormat="1"/>
    <row r="14129" s="65" customFormat="1"/>
    <row r="14130" s="65" customFormat="1"/>
    <row r="14131" s="65" customFormat="1"/>
    <row r="14132" s="65" customFormat="1"/>
    <row r="14133" s="65" customFormat="1"/>
    <row r="14134" s="65" customFormat="1"/>
    <row r="14135" s="65" customFormat="1"/>
    <row r="14136" s="65" customFormat="1"/>
    <row r="14137" s="65" customFormat="1"/>
    <row r="14138" s="65" customFormat="1"/>
    <row r="14139" s="65" customFormat="1"/>
    <row r="14140" s="65" customFormat="1"/>
    <row r="14141" s="65" customFormat="1"/>
    <row r="14142" s="65" customFormat="1"/>
    <row r="14143" s="65" customFormat="1"/>
    <row r="14144" s="65" customFormat="1"/>
    <row r="14145" s="65" customFormat="1"/>
    <row r="14146" s="65" customFormat="1"/>
    <row r="14147" s="65" customFormat="1"/>
    <row r="14148" s="65" customFormat="1"/>
    <row r="14149" s="65" customFormat="1"/>
    <row r="14150" s="65" customFormat="1"/>
    <row r="14151" s="65" customFormat="1"/>
    <row r="14152" s="65" customFormat="1"/>
    <row r="14153" s="65" customFormat="1"/>
    <row r="14154" s="65" customFormat="1"/>
    <row r="14155" s="65" customFormat="1"/>
    <row r="14156" s="65" customFormat="1"/>
    <row r="14157" s="65" customFormat="1"/>
    <row r="14158" s="65" customFormat="1"/>
    <row r="14159" s="65" customFormat="1"/>
    <row r="14160" s="65" customFormat="1"/>
    <row r="14161" s="65" customFormat="1"/>
    <row r="14162" s="65" customFormat="1"/>
    <row r="14163" s="65" customFormat="1"/>
    <row r="14164" s="65" customFormat="1"/>
    <row r="14165" s="65" customFormat="1"/>
    <row r="14166" s="65" customFormat="1"/>
    <row r="14167" s="65" customFormat="1"/>
    <row r="14168" s="65" customFormat="1"/>
    <row r="14169" s="65" customFormat="1"/>
    <row r="14170" s="65" customFormat="1"/>
    <row r="14171" s="65" customFormat="1"/>
    <row r="14172" s="65" customFormat="1"/>
    <row r="14173" s="65" customFormat="1"/>
    <row r="14174" s="65" customFormat="1"/>
    <row r="14175" s="65" customFormat="1"/>
    <row r="14176" s="65" customFormat="1"/>
    <row r="14177" s="65" customFormat="1"/>
    <row r="14178" s="65" customFormat="1"/>
    <row r="14179" s="65" customFormat="1"/>
    <row r="14180" s="65" customFormat="1"/>
    <row r="14181" s="65" customFormat="1"/>
    <row r="14182" s="65" customFormat="1"/>
    <row r="14183" s="65" customFormat="1"/>
    <row r="14184" s="65" customFormat="1"/>
    <row r="14185" s="65" customFormat="1"/>
    <row r="14186" s="65" customFormat="1"/>
    <row r="14187" s="65" customFormat="1"/>
    <row r="14188" s="65" customFormat="1"/>
    <row r="14189" s="65" customFormat="1"/>
    <row r="14190" s="65" customFormat="1"/>
    <row r="14191" s="65" customFormat="1"/>
    <row r="14192" s="65" customFormat="1"/>
    <row r="14193" s="65" customFormat="1"/>
    <row r="14194" s="65" customFormat="1"/>
    <row r="14195" s="65" customFormat="1"/>
    <row r="14196" s="65" customFormat="1"/>
    <row r="14197" s="65" customFormat="1"/>
    <row r="14198" s="65" customFormat="1"/>
    <row r="14199" s="65" customFormat="1"/>
    <row r="14200" s="65" customFormat="1"/>
    <row r="14201" s="65" customFormat="1"/>
    <row r="14202" s="65" customFormat="1"/>
    <row r="14203" s="65" customFormat="1"/>
    <row r="14204" s="65" customFormat="1"/>
    <row r="14205" s="65" customFormat="1"/>
    <row r="14206" s="65" customFormat="1"/>
    <row r="14207" s="65" customFormat="1"/>
    <row r="14208" s="65" customFormat="1"/>
    <row r="14209" s="65" customFormat="1"/>
    <row r="14210" s="65" customFormat="1"/>
    <row r="14211" s="65" customFormat="1"/>
    <row r="14212" s="65" customFormat="1"/>
    <row r="14213" s="65" customFormat="1"/>
    <row r="14214" s="65" customFormat="1"/>
    <row r="14215" s="65" customFormat="1"/>
    <row r="14216" s="65" customFormat="1"/>
    <row r="14217" s="65" customFormat="1"/>
    <row r="14218" s="65" customFormat="1"/>
    <row r="14219" s="65" customFormat="1"/>
    <row r="14220" s="65" customFormat="1"/>
    <row r="14221" s="65" customFormat="1"/>
    <row r="14222" s="65" customFormat="1"/>
    <row r="14223" s="65" customFormat="1"/>
    <row r="14224" s="65" customFormat="1"/>
    <row r="14225" s="65" customFormat="1"/>
    <row r="14226" s="65" customFormat="1"/>
    <row r="14227" s="65" customFormat="1"/>
    <row r="14228" s="65" customFormat="1"/>
    <row r="14229" s="65" customFormat="1"/>
    <row r="14230" s="65" customFormat="1"/>
    <row r="14231" s="65" customFormat="1"/>
    <row r="14232" s="65" customFormat="1"/>
    <row r="14233" s="65" customFormat="1"/>
    <row r="14234" s="65" customFormat="1"/>
    <row r="14235" s="65" customFormat="1"/>
    <row r="14236" s="65" customFormat="1"/>
    <row r="14237" s="65" customFormat="1"/>
    <row r="14238" s="65" customFormat="1"/>
    <row r="14239" s="65" customFormat="1"/>
    <row r="14240" s="65" customFormat="1"/>
    <row r="14241" s="65" customFormat="1"/>
    <row r="14242" s="65" customFormat="1"/>
    <row r="14243" s="65" customFormat="1"/>
    <row r="14244" s="65" customFormat="1"/>
    <row r="14245" s="65" customFormat="1"/>
    <row r="14246" s="65" customFormat="1"/>
    <row r="14247" s="65" customFormat="1"/>
    <row r="14248" s="65" customFormat="1"/>
    <row r="14249" s="65" customFormat="1"/>
    <row r="14250" s="65" customFormat="1"/>
    <row r="14251" s="65" customFormat="1"/>
    <row r="14252" s="65" customFormat="1"/>
    <row r="14253" s="65" customFormat="1"/>
    <row r="14254" s="65" customFormat="1"/>
    <row r="14255" s="65" customFormat="1"/>
    <row r="14256" s="65" customFormat="1"/>
    <row r="14257" s="65" customFormat="1"/>
    <row r="14258" s="65" customFormat="1"/>
    <row r="14259" s="65" customFormat="1"/>
    <row r="14260" s="65" customFormat="1"/>
    <row r="14261" s="65" customFormat="1"/>
    <row r="14262" s="65" customFormat="1"/>
    <row r="14263" s="65" customFormat="1"/>
    <row r="14264" s="65" customFormat="1"/>
    <row r="14265" s="65" customFormat="1"/>
    <row r="14266" s="65" customFormat="1"/>
    <row r="14267" s="65" customFormat="1"/>
    <row r="14268" s="65" customFormat="1"/>
    <row r="14269" s="65" customFormat="1"/>
    <row r="14270" s="65" customFormat="1"/>
    <row r="14271" s="65" customFormat="1"/>
    <row r="14272" s="65" customFormat="1"/>
    <row r="14273" s="65" customFormat="1"/>
    <row r="14274" s="65" customFormat="1"/>
    <row r="14275" s="65" customFormat="1"/>
    <row r="14276" s="65" customFormat="1"/>
    <row r="14277" s="65" customFormat="1"/>
    <row r="14278" s="65" customFormat="1"/>
    <row r="14279" s="65" customFormat="1"/>
    <row r="14280" s="65" customFormat="1"/>
    <row r="14281" s="65" customFormat="1"/>
    <row r="14282" s="65" customFormat="1"/>
    <row r="14283" s="65" customFormat="1"/>
    <row r="14284" s="65" customFormat="1"/>
    <row r="14285" s="65" customFormat="1"/>
    <row r="14286" s="65" customFormat="1"/>
    <row r="14287" s="65" customFormat="1"/>
    <row r="14288" s="65" customFormat="1"/>
    <row r="14289" s="65" customFormat="1"/>
    <row r="14290" s="65" customFormat="1"/>
    <row r="14291" s="65" customFormat="1"/>
    <row r="14292" s="65" customFormat="1"/>
    <row r="14293" s="65" customFormat="1"/>
    <row r="14294" s="65" customFormat="1"/>
    <row r="14295" s="65" customFormat="1"/>
    <row r="14296" s="65" customFormat="1"/>
    <row r="14297" s="65" customFormat="1"/>
    <row r="14298" s="65" customFormat="1"/>
    <row r="14299" s="65" customFormat="1"/>
    <row r="14300" s="65" customFormat="1"/>
    <row r="14301" s="65" customFormat="1"/>
    <row r="14302" s="65" customFormat="1"/>
    <row r="14303" s="65" customFormat="1"/>
    <row r="14304" s="65" customFormat="1"/>
    <row r="14305" s="65" customFormat="1"/>
    <row r="14306" s="65" customFormat="1"/>
    <row r="14307" s="65" customFormat="1"/>
    <row r="14308" s="65" customFormat="1"/>
    <row r="14309" s="65" customFormat="1"/>
    <row r="14310" s="65" customFormat="1"/>
    <row r="14311" s="65" customFormat="1"/>
    <row r="14312" s="65" customFormat="1"/>
    <row r="14313" s="65" customFormat="1"/>
    <row r="14314" s="65" customFormat="1"/>
    <row r="14315" s="65" customFormat="1"/>
    <row r="14316" s="65" customFormat="1"/>
    <row r="14317" s="65" customFormat="1"/>
    <row r="14318" s="65" customFormat="1"/>
    <row r="14319" s="65" customFormat="1"/>
    <row r="14320" s="65" customFormat="1"/>
    <row r="14321" s="65" customFormat="1"/>
    <row r="14322" s="65" customFormat="1"/>
    <row r="14323" s="65" customFormat="1"/>
    <row r="14324" s="65" customFormat="1"/>
    <row r="14325" s="65" customFormat="1"/>
    <row r="14326" s="65" customFormat="1"/>
    <row r="14327" s="65" customFormat="1"/>
    <row r="14328" s="65" customFormat="1"/>
    <row r="14329" s="65" customFormat="1"/>
    <row r="14330" s="65" customFormat="1"/>
    <row r="14331" s="65" customFormat="1"/>
    <row r="14332" s="65" customFormat="1"/>
    <row r="14333" s="65" customFormat="1"/>
    <row r="14334" s="65" customFormat="1"/>
    <row r="14335" s="65" customFormat="1"/>
    <row r="14336" s="65" customFormat="1"/>
    <row r="14337" s="65" customFormat="1"/>
    <row r="14338" s="65" customFormat="1"/>
    <row r="14339" s="65" customFormat="1"/>
    <row r="14340" s="65" customFormat="1"/>
    <row r="14341" s="65" customFormat="1"/>
    <row r="14342" s="65" customFormat="1"/>
    <row r="14343" s="65" customFormat="1"/>
    <row r="14344" s="65" customFormat="1"/>
    <row r="14345" s="65" customFormat="1"/>
    <row r="14346" s="65" customFormat="1"/>
    <row r="14347" s="65" customFormat="1"/>
    <row r="14348" s="65" customFormat="1"/>
    <row r="14349" s="65" customFormat="1"/>
    <row r="14350" s="65" customFormat="1"/>
    <row r="14351" s="65" customFormat="1"/>
    <row r="14352" s="65" customFormat="1"/>
    <row r="14353" s="65" customFormat="1"/>
    <row r="14354" s="65" customFormat="1"/>
    <row r="14355" s="65" customFormat="1"/>
    <row r="14356" s="65" customFormat="1"/>
    <row r="14357" s="65" customFormat="1"/>
    <row r="14358" s="65" customFormat="1"/>
    <row r="14359" s="65" customFormat="1"/>
    <row r="14360" s="65" customFormat="1"/>
    <row r="14361" s="65" customFormat="1"/>
    <row r="14362" s="65" customFormat="1"/>
    <row r="14363" s="65" customFormat="1"/>
    <row r="14364" s="65" customFormat="1"/>
    <row r="14365" s="65" customFormat="1"/>
    <row r="14366" s="65" customFormat="1"/>
    <row r="14367" s="65" customFormat="1"/>
    <row r="14368" s="65" customFormat="1"/>
    <row r="14369" s="65" customFormat="1"/>
    <row r="14370" s="65" customFormat="1"/>
    <row r="14371" s="65" customFormat="1"/>
    <row r="14372" s="65" customFormat="1"/>
    <row r="14373" s="65" customFormat="1"/>
    <row r="14374" s="65" customFormat="1"/>
    <row r="14375" s="65" customFormat="1"/>
    <row r="14376" s="65" customFormat="1"/>
    <row r="14377" s="65" customFormat="1"/>
    <row r="14378" s="65" customFormat="1"/>
    <row r="14379" s="65" customFormat="1"/>
    <row r="14380" s="65" customFormat="1"/>
    <row r="14381" s="65" customFormat="1"/>
    <row r="14382" s="65" customFormat="1"/>
    <row r="14383" s="65" customFormat="1"/>
    <row r="14384" s="65" customFormat="1"/>
    <row r="14385" s="65" customFormat="1"/>
    <row r="14386" s="65" customFormat="1"/>
    <row r="14387" s="65" customFormat="1"/>
    <row r="14388" s="65" customFormat="1"/>
    <row r="14389" s="65" customFormat="1"/>
    <row r="14390" s="65" customFormat="1"/>
    <row r="14391" s="65" customFormat="1"/>
    <row r="14392" s="65" customFormat="1"/>
    <row r="14393" s="65" customFormat="1"/>
    <row r="14394" s="65" customFormat="1"/>
    <row r="14395" s="65" customFormat="1"/>
    <row r="14396" s="65" customFormat="1"/>
    <row r="14397" s="65" customFormat="1"/>
    <row r="14398" s="65" customFormat="1"/>
    <row r="14399" s="65" customFormat="1"/>
    <row r="14400" s="65" customFormat="1"/>
    <row r="14401" s="65" customFormat="1"/>
    <row r="14402" s="65" customFormat="1"/>
    <row r="14403" s="65" customFormat="1"/>
    <row r="14404" s="65" customFormat="1"/>
    <row r="14405" s="65" customFormat="1"/>
    <row r="14406" s="65" customFormat="1"/>
    <row r="14407" s="65" customFormat="1"/>
    <row r="14408" s="65" customFormat="1"/>
    <row r="14409" s="65" customFormat="1"/>
    <row r="14410" s="65" customFormat="1"/>
    <row r="14411" s="65" customFormat="1"/>
    <row r="14412" s="65" customFormat="1"/>
    <row r="14413" s="65" customFormat="1"/>
    <row r="14414" s="65" customFormat="1"/>
    <row r="14415" s="65" customFormat="1"/>
    <row r="14416" s="65" customFormat="1"/>
    <row r="14417" s="65" customFormat="1"/>
    <row r="14418" s="65" customFormat="1"/>
    <row r="14419" s="65" customFormat="1"/>
    <row r="14420" s="65" customFormat="1"/>
    <row r="14421" s="65" customFormat="1"/>
    <row r="14422" s="65" customFormat="1"/>
    <row r="14423" s="65" customFormat="1"/>
    <row r="14424" s="65" customFormat="1"/>
    <row r="14425" s="65" customFormat="1"/>
    <row r="14426" s="65" customFormat="1"/>
    <row r="14427" s="65" customFormat="1"/>
    <row r="14428" s="65" customFormat="1"/>
    <row r="14429" s="65" customFormat="1"/>
    <row r="14430" s="65" customFormat="1"/>
    <row r="14431" s="65" customFormat="1"/>
    <row r="14432" s="65" customFormat="1"/>
    <row r="14433" s="65" customFormat="1"/>
    <row r="14434" s="65" customFormat="1"/>
    <row r="14435" s="65" customFormat="1"/>
    <row r="14436" s="65" customFormat="1"/>
    <row r="14437" s="65" customFormat="1"/>
    <row r="14438" s="65" customFormat="1"/>
    <row r="14439" s="65" customFormat="1"/>
    <row r="14440" s="65" customFormat="1"/>
    <row r="14441" s="65" customFormat="1"/>
    <row r="14442" s="65" customFormat="1"/>
    <row r="14443" s="65" customFormat="1"/>
    <row r="14444" s="65" customFormat="1"/>
    <row r="14445" s="65" customFormat="1"/>
    <row r="14446" s="65" customFormat="1"/>
    <row r="14447" s="65" customFormat="1"/>
    <row r="14448" s="65" customFormat="1"/>
    <row r="14449" s="65" customFormat="1"/>
    <row r="14450" s="65" customFormat="1"/>
    <row r="14451" s="65" customFormat="1"/>
    <row r="14452" s="65" customFormat="1"/>
    <row r="14453" s="65" customFormat="1"/>
    <row r="14454" s="65" customFormat="1"/>
    <row r="14455" s="65" customFormat="1"/>
    <row r="14456" s="65" customFormat="1"/>
    <row r="14457" s="65" customFormat="1"/>
    <row r="14458" s="65" customFormat="1"/>
    <row r="14459" s="65" customFormat="1"/>
    <row r="14460" s="65" customFormat="1"/>
    <row r="14461" s="65" customFormat="1"/>
    <row r="14462" s="65" customFormat="1"/>
    <row r="14463" s="65" customFormat="1"/>
    <row r="14464" s="65" customFormat="1"/>
    <row r="14465" s="65" customFormat="1"/>
    <row r="14466" s="65" customFormat="1"/>
    <row r="14467" s="65" customFormat="1"/>
    <row r="14468" s="65" customFormat="1"/>
    <row r="14469" s="65" customFormat="1"/>
    <row r="14470" s="65" customFormat="1"/>
    <row r="14471" s="65" customFormat="1"/>
    <row r="14472" s="65" customFormat="1"/>
    <row r="14473" s="65" customFormat="1"/>
    <row r="14474" s="65" customFormat="1"/>
    <row r="14475" s="65" customFormat="1"/>
    <row r="14476" s="65" customFormat="1"/>
    <row r="14477" s="65" customFormat="1"/>
    <row r="14478" s="65" customFormat="1"/>
    <row r="14479" s="65" customFormat="1"/>
    <row r="14480" s="65" customFormat="1"/>
    <row r="14481" s="65" customFormat="1"/>
    <row r="14482" s="65" customFormat="1"/>
    <row r="14483" s="65" customFormat="1"/>
    <row r="14484" s="65" customFormat="1"/>
    <row r="14485" s="65" customFormat="1"/>
    <row r="14486" s="65" customFormat="1"/>
    <row r="14487" s="65" customFormat="1"/>
    <row r="14488" s="65" customFormat="1"/>
    <row r="14489" s="65" customFormat="1"/>
    <row r="14490" s="65" customFormat="1"/>
    <row r="14491" s="65" customFormat="1"/>
    <row r="14492" s="65" customFormat="1"/>
    <row r="14493" s="65" customFormat="1"/>
    <row r="14494" s="65" customFormat="1"/>
    <row r="14495" s="65" customFormat="1"/>
    <row r="14496" s="65" customFormat="1"/>
    <row r="14497" s="65" customFormat="1"/>
    <row r="14498" s="65" customFormat="1"/>
    <row r="14499" s="65" customFormat="1"/>
    <row r="14500" s="65" customFormat="1"/>
    <row r="14501" s="65" customFormat="1"/>
    <row r="14502" s="65" customFormat="1"/>
    <row r="14503" s="65" customFormat="1"/>
    <row r="14504" s="65" customFormat="1"/>
    <row r="14505" s="65" customFormat="1"/>
    <row r="14506" s="65" customFormat="1"/>
    <row r="14507" s="65" customFormat="1"/>
    <row r="14508" s="65" customFormat="1"/>
    <row r="14509" s="65" customFormat="1"/>
    <row r="14510" s="65" customFormat="1"/>
    <row r="14511" s="65" customFormat="1"/>
    <row r="14512" s="65" customFormat="1"/>
    <row r="14513" s="65" customFormat="1"/>
    <row r="14514" s="65" customFormat="1"/>
    <row r="14515" s="65" customFormat="1"/>
    <row r="14516" s="65" customFormat="1"/>
    <row r="14517" s="65" customFormat="1"/>
    <row r="14518" s="65" customFormat="1"/>
    <row r="14519" s="65" customFormat="1"/>
    <row r="14520" s="65" customFormat="1"/>
    <row r="14521" s="65" customFormat="1"/>
    <row r="14522" s="65" customFormat="1"/>
    <row r="14523" s="65" customFormat="1"/>
    <row r="14524" s="65" customFormat="1"/>
    <row r="14525" s="65" customFormat="1"/>
    <row r="14526" s="65" customFormat="1"/>
    <row r="14527" s="65" customFormat="1"/>
    <row r="14528" s="65" customFormat="1"/>
    <row r="14529" s="65" customFormat="1"/>
    <row r="14530" s="65" customFormat="1"/>
    <row r="14531" s="65" customFormat="1"/>
    <row r="14532" s="65" customFormat="1"/>
    <row r="14533" s="65" customFormat="1"/>
    <row r="14534" s="65" customFormat="1"/>
    <row r="14535" s="65" customFormat="1"/>
    <row r="14536" s="65" customFormat="1"/>
    <row r="14537" s="65" customFormat="1"/>
    <row r="14538" s="65" customFormat="1"/>
    <row r="14539" s="65" customFormat="1"/>
    <row r="14540" s="65" customFormat="1"/>
    <row r="14541" s="65" customFormat="1"/>
    <row r="14542" s="65" customFormat="1"/>
    <row r="14543" s="65" customFormat="1"/>
    <row r="14544" s="65" customFormat="1"/>
    <row r="14545" s="65" customFormat="1"/>
    <row r="14546" s="65" customFormat="1"/>
    <row r="14547" s="65" customFormat="1"/>
    <row r="14548" s="65" customFormat="1"/>
    <row r="14549" s="65" customFormat="1"/>
    <row r="14550" s="65" customFormat="1"/>
    <row r="14551" s="65" customFormat="1"/>
    <row r="14552" s="65" customFormat="1"/>
    <row r="14553" s="65" customFormat="1"/>
    <row r="14554" s="65" customFormat="1"/>
    <row r="14555" s="65" customFormat="1"/>
    <row r="14556" s="65" customFormat="1"/>
    <row r="14557" s="65" customFormat="1"/>
    <row r="14558" s="65" customFormat="1"/>
    <row r="14559" s="65" customFormat="1"/>
    <row r="14560" s="65" customFormat="1"/>
    <row r="14561" s="65" customFormat="1"/>
    <row r="14562" s="65" customFormat="1"/>
    <row r="14563" s="65" customFormat="1"/>
    <row r="14564" s="65" customFormat="1"/>
    <row r="14565" s="65" customFormat="1"/>
    <row r="14566" s="65" customFormat="1"/>
    <row r="14567" s="65" customFormat="1"/>
    <row r="14568" s="65" customFormat="1"/>
    <row r="14569" s="65" customFormat="1"/>
    <row r="14570" s="65" customFormat="1"/>
    <row r="14571" s="65" customFormat="1"/>
    <row r="14572" s="65" customFormat="1"/>
    <row r="14573" s="65" customFormat="1"/>
    <row r="14574" s="65" customFormat="1"/>
    <row r="14575" s="65" customFormat="1"/>
    <row r="14576" s="65" customFormat="1"/>
    <row r="14577" s="65" customFormat="1"/>
    <row r="14578" s="65" customFormat="1"/>
    <row r="14579" s="65" customFormat="1"/>
    <row r="14580" s="65" customFormat="1"/>
    <row r="14581" s="65" customFormat="1"/>
    <row r="14582" s="65" customFormat="1"/>
    <row r="14583" s="65" customFormat="1"/>
    <row r="14584" s="65" customFormat="1"/>
    <row r="14585" s="65" customFormat="1"/>
    <row r="14586" s="65" customFormat="1"/>
    <row r="14587" s="65" customFormat="1"/>
    <row r="14588" s="65" customFormat="1"/>
    <row r="14589" s="65" customFormat="1"/>
    <row r="14590" s="65" customFormat="1"/>
    <row r="14591" s="65" customFormat="1"/>
    <row r="14592" s="65" customFormat="1"/>
    <row r="14593" s="65" customFormat="1"/>
    <row r="14594" s="65" customFormat="1"/>
    <row r="14595" s="65" customFormat="1"/>
    <row r="14596" s="65" customFormat="1"/>
    <row r="14597" s="65" customFormat="1"/>
    <row r="14598" s="65" customFormat="1"/>
    <row r="14599" s="65" customFormat="1"/>
    <row r="14600" s="65" customFormat="1"/>
    <row r="14601" s="65" customFormat="1"/>
    <row r="14602" s="65" customFormat="1"/>
    <row r="14603" s="65" customFormat="1"/>
    <row r="14604" s="65" customFormat="1"/>
    <row r="14605" s="65" customFormat="1"/>
    <row r="14606" s="65" customFormat="1"/>
    <row r="14607" s="65" customFormat="1"/>
    <row r="14608" s="65" customFormat="1"/>
    <row r="14609" s="65" customFormat="1"/>
    <row r="14610" s="65" customFormat="1"/>
    <row r="14611" s="65" customFormat="1"/>
    <row r="14612" s="65" customFormat="1"/>
    <row r="14613" s="65" customFormat="1"/>
    <row r="14614" s="65" customFormat="1"/>
    <row r="14615" s="65" customFormat="1"/>
    <row r="14616" s="65" customFormat="1"/>
    <row r="14617" s="65" customFormat="1"/>
    <row r="14618" s="65" customFormat="1"/>
    <row r="14619" s="65" customFormat="1"/>
    <row r="14620" s="65" customFormat="1"/>
    <row r="14621" s="65" customFormat="1"/>
    <row r="14622" s="65" customFormat="1"/>
    <row r="14623" s="65" customFormat="1"/>
    <row r="14624" s="65" customFormat="1"/>
    <row r="14625" s="65" customFormat="1"/>
    <row r="14626" s="65" customFormat="1"/>
    <row r="14627" s="65" customFormat="1"/>
    <row r="14628" s="65" customFormat="1"/>
    <row r="14629" s="65" customFormat="1"/>
    <row r="14630" s="65" customFormat="1"/>
    <row r="14631" s="65" customFormat="1"/>
    <row r="14632" s="65" customFormat="1"/>
    <row r="14633" s="65" customFormat="1"/>
    <row r="14634" s="65" customFormat="1"/>
    <row r="14635" s="65" customFormat="1"/>
    <row r="14636" s="65" customFormat="1"/>
    <row r="14637" s="65" customFormat="1"/>
    <row r="14638" s="65" customFormat="1"/>
    <row r="14639" s="65" customFormat="1"/>
    <row r="14640" s="65" customFormat="1"/>
    <row r="14641" s="65" customFormat="1"/>
    <row r="14642" s="65" customFormat="1"/>
    <row r="14643" s="65" customFormat="1"/>
    <row r="14644" s="65" customFormat="1"/>
    <row r="14645" s="65" customFormat="1"/>
    <row r="14646" s="65" customFormat="1"/>
    <row r="14647" s="65" customFormat="1"/>
    <row r="14648" s="65" customFormat="1"/>
    <row r="14649" s="65" customFormat="1"/>
    <row r="14650" s="65" customFormat="1"/>
    <row r="14651" s="65" customFormat="1"/>
    <row r="14652" s="65" customFormat="1"/>
    <row r="14653" s="65" customFormat="1"/>
    <row r="14654" s="65" customFormat="1"/>
    <row r="14655" s="65" customFormat="1"/>
    <row r="14656" s="65" customFormat="1"/>
    <row r="14657" s="65" customFormat="1"/>
    <row r="14658" s="65" customFormat="1"/>
    <row r="14659" s="65" customFormat="1"/>
    <row r="14660" s="65" customFormat="1"/>
    <row r="14661" s="65" customFormat="1"/>
    <row r="14662" s="65" customFormat="1"/>
    <row r="14663" s="65" customFormat="1"/>
    <row r="14664" s="65" customFormat="1"/>
    <row r="14665" s="65" customFormat="1"/>
    <row r="14666" s="65" customFormat="1"/>
    <row r="14667" s="65" customFormat="1"/>
    <row r="14668" s="65" customFormat="1"/>
    <row r="14669" s="65" customFormat="1"/>
    <row r="14670" s="65" customFormat="1"/>
    <row r="14671" s="65" customFormat="1"/>
    <row r="14672" s="65" customFormat="1"/>
    <row r="14673" s="65" customFormat="1"/>
    <row r="14674" s="65" customFormat="1"/>
    <row r="14675" s="65" customFormat="1"/>
    <row r="14676" s="65" customFormat="1"/>
    <row r="14677" s="65" customFormat="1"/>
    <row r="14678" s="65" customFormat="1"/>
    <row r="14679" s="65" customFormat="1"/>
    <row r="14680" s="65" customFormat="1"/>
    <row r="14681" s="65" customFormat="1"/>
    <row r="14682" s="65" customFormat="1"/>
    <row r="14683" s="65" customFormat="1"/>
    <row r="14684" s="65" customFormat="1"/>
    <row r="14685" s="65" customFormat="1"/>
    <row r="14686" s="65" customFormat="1"/>
    <row r="14687" s="65" customFormat="1"/>
    <row r="14688" s="65" customFormat="1"/>
    <row r="14689" s="65" customFormat="1"/>
    <row r="14690" s="65" customFormat="1"/>
    <row r="14691" s="65" customFormat="1"/>
    <row r="14692" s="65" customFormat="1"/>
    <row r="14693" s="65" customFormat="1"/>
    <row r="14694" s="65" customFormat="1"/>
    <row r="14695" s="65" customFormat="1"/>
    <row r="14696" s="65" customFormat="1"/>
    <row r="14697" s="65" customFormat="1"/>
    <row r="14698" s="65" customFormat="1"/>
    <row r="14699" s="65" customFormat="1"/>
    <row r="14700" s="65" customFormat="1"/>
    <row r="14701" s="65" customFormat="1"/>
    <row r="14702" s="65" customFormat="1"/>
    <row r="14703" s="65" customFormat="1"/>
    <row r="14704" s="65" customFormat="1"/>
    <row r="14705" s="65" customFormat="1"/>
    <row r="14706" s="65" customFormat="1"/>
    <row r="14707" s="65" customFormat="1"/>
    <row r="14708" s="65" customFormat="1"/>
    <row r="14709" s="65" customFormat="1"/>
    <row r="14710" s="65" customFormat="1"/>
    <row r="14711" s="65" customFormat="1"/>
    <row r="14712" s="65" customFormat="1"/>
    <row r="14713" s="65" customFormat="1"/>
    <row r="14714" s="65" customFormat="1"/>
    <row r="14715" s="65" customFormat="1"/>
    <row r="14716" s="65" customFormat="1"/>
    <row r="14717" s="65" customFormat="1"/>
    <row r="14718" s="65" customFormat="1"/>
    <row r="14719" s="65" customFormat="1"/>
    <row r="14720" s="65" customFormat="1"/>
    <row r="14721" s="65" customFormat="1"/>
    <row r="14722" s="65" customFormat="1"/>
    <row r="14723" s="65" customFormat="1"/>
    <row r="14724" s="65" customFormat="1"/>
    <row r="14725" s="65" customFormat="1"/>
    <row r="14726" s="65" customFormat="1"/>
    <row r="14727" s="65" customFormat="1"/>
    <row r="14728" s="65" customFormat="1"/>
    <row r="14729" s="65" customFormat="1"/>
    <row r="14730" s="65" customFormat="1"/>
    <row r="14731" s="65" customFormat="1"/>
    <row r="14732" s="65" customFormat="1"/>
    <row r="14733" s="65" customFormat="1"/>
    <row r="14734" s="65" customFormat="1"/>
    <row r="14735" s="65" customFormat="1"/>
    <row r="14736" s="65" customFormat="1"/>
    <row r="14737" s="65" customFormat="1"/>
    <row r="14738" s="65" customFormat="1"/>
    <row r="14739" s="65" customFormat="1"/>
    <row r="14740" s="65" customFormat="1"/>
    <row r="14741" s="65" customFormat="1"/>
    <row r="14742" s="65" customFormat="1"/>
    <row r="14743" s="65" customFormat="1"/>
    <row r="14744" s="65" customFormat="1"/>
    <row r="14745" s="65" customFormat="1"/>
    <row r="14746" s="65" customFormat="1"/>
    <row r="14747" s="65" customFormat="1"/>
    <row r="14748" s="65" customFormat="1"/>
    <row r="14749" s="65" customFormat="1"/>
    <row r="14750" s="65" customFormat="1"/>
    <row r="14751" s="65" customFormat="1"/>
    <row r="14752" s="65" customFormat="1"/>
    <row r="14753" s="65" customFormat="1"/>
    <row r="14754" s="65" customFormat="1"/>
    <row r="14755" s="65" customFormat="1"/>
    <row r="14756" s="65" customFormat="1"/>
    <row r="14757" s="65" customFormat="1"/>
    <row r="14758" s="65" customFormat="1"/>
    <row r="14759" s="65" customFormat="1"/>
    <row r="14760" s="65" customFormat="1"/>
    <row r="14761" s="65" customFormat="1"/>
    <row r="14762" s="65" customFormat="1"/>
    <row r="14763" s="65" customFormat="1"/>
    <row r="14764" s="65" customFormat="1"/>
    <row r="14765" s="65" customFormat="1"/>
    <row r="14766" s="65" customFormat="1"/>
    <row r="14767" s="65" customFormat="1"/>
    <row r="14768" s="65" customFormat="1"/>
    <row r="14769" s="65" customFormat="1"/>
    <row r="14770" s="65" customFormat="1"/>
    <row r="14771" s="65" customFormat="1"/>
    <row r="14772" s="65" customFormat="1"/>
    <row r="14773" s="65" customFormat="1"/>
    <row r="14774" s="65" customFormat="1"/>
    <row r="14775" s="65" customFormat="1"/>
    <row r="14776" s="65" customFormat="1"/>
    <row r="14777" s="65" customFormat="1"/>
    <row r="14778" s="65" customFormat="1"/>
    <row r="14779" s="65" customFormat="1"/>
    <row r="14780" s="65" customFormat="1"/>
    <row r="14781" s="65" customFormat="1"/>
    <row r="14782" s="65" customFormat="1"/>
    <row r="14783" s="65" customFormat="1"/>
    <row r="14784" s="65" customFormat="1"/>
    <row r="14785" s="65" customFormat="1"/>
    <row r="14786" s="65" customFormat="1"/>
    <row r="14787" s="65" customFormat="1"/>
    <row r="14788" s="65" customFormat="1"/>
    <row r="14789" s="65" customFormat="1"/>
    <row r="14790" s="65" customFormat="1"/>
    <row r="14791" s="65" customFormat="1"/>
    <row r="14792" s="65" customFormat="1"/>
    <row r="14793" s="65" customFormat="1"/>
    <row r="14794" s="65" customFormat="1"/>
    <row r="14795" s="65" customFormat="1"/>
    <row r="14796" s="65" customFormat="1"/>
    <row r="14797" s="65" customFormat="1"/>
    <row r="14798" s="65" customFormat="1"/>
    <row r="14799" s="65" customFormat="1"/>
    <row r="14800" s="65" customFormat="1"/>
    <row r="14801" s="65" customFormat="1"/>
    <row r="14802" s="65" customFormat="1"/>
    <row r="14803" s="65" customFormat="1"/>
    <row r="14804" s="65" customFormat="1"/>
    <row r="14805" s="65" customFormat="1"/>
    <row r="14806" s="65" customFormat="1"/>
    <row r="14807" s="65" customFormat="1"/>
    <row r="14808" s="65" customFormat="1"/>
    <row r="14809" s="65" customFormat="1"/>
    <row r="14810" s="65" customFormat="1"/>
    <row r="14811" s="65" customFormat="1"/>
    <row r="14812" s="65" customFormat="1"/>
    <row r="14813" s="65" customFormat="1"/>
    <row r="14814" s="65" customFormat="1"/>
    <row r="14815" s="65" customFormat="1"/>
    <row r="14816" s="65" customFormat="1"/>
    <row r="14817" s="65" customFormat="1"/>
    <row r="14818" s="65" customFormat="1"/>
    <row r="14819" s="65" customFormat="1"/>
    <row r="14820" s="65" customFormat="1"/>
    <row r="14821" s="65" customFormat="1"/>
    <row r="14822" s="65" customFormat="1"/>
    <row r="14823" s="65" customFormat="1"/>
    <row r="14824" s="65" customFormat="1"/>
    <row r="14825" s="65" customFormat="1"/>
    <row r="14826" s="65" customFormat="1"/>
    <row r="14827" s="65" customFormat="1"/>
    <row r="14828" s="65" customFormat="1"/>
    <row r="14829" s="65" customFormat="1"/>
    <row r="14830" s="65" customFormat="1"/>
    <row r="14831" s="65" customFormat="1"/>
    <row r="14832" s="65" customFormat="1"/>
    <row r="14833" s="65" customFormat="1"/>
    <row r="14834" s="65" customFormat="1"/>
    <row r="14835" s="65" customFormat="1"/>
    <row r="14836" s="65" customFormat="1"/>
    <row r="14837" s="65" customFormat="1"/>
    <row r="14838" s="65" customFormat="1"/>
    <row r="14839" s="65" customFormat="1"/>
    <row r="14840" s="65" customFormat="1"/>
    <row r="14841" s="65" customFormat="1"/>
    <row r="14842" s="65" customFormat="1"/>
    <row r="14843" s="65" customFormat="1"/>
    <row r="14844" s="65" customFormat="1"/>
    <row r="14845" s="65" customFormat="1"/>
    <row r="14846" s="65" customFormat="1"/>
    <row r="14847" s="65" customFormat="1"/>
    <row r="14848" s="65" customFormat="1"/>
    <row r="14849" s="65" customFormat="1"/>
    <row r="14850" s="65" customFormat="1"/>
    <row r="14851" s="65" customFormat="1"/>
    <row r="14852" s="65" customFormat="1"/>
    <row r="14853" s="65" customFormat="1"/>
    <row r="14854" s="65" customFormat="1"/>
    <row r="14855" s="65" customFormat="1"/>
    <row r="14856" s="65" customFormat="1"/>
    <row r="14857" s="65" customFormat="1"/>
    <row r="14858" s="65" customFormat="1"/>
    <row r="14859" s="65" customFormat="1"/>
    <row r="14860" s="65" customFormat="1"/>
    <row r="14861" s="65" customFormat="1"/>
    <row r="14862" s="65" customFormat="1"/>
    <row r="14863" s="65" customFormat="1"/>
    <row r="14864" s="65" customFormat="1"/>
    <row r="14865" s="65" customFormat="1"/>
    <row r="14866" s="65" customFormat="1"/>
    <row r="14867" s="65" customFormat="1"/>
    <row r="14868" s="65" customFormat="1"/>
    <row r="14869" s="65" customFormat="1"/>
    <row r="14870" s="65" customFormat="1"/>
    <row r="14871" s="65" customFormat="1"/>
    <row r="14872" s="65" customFormat="1"/>
    <row r="14873" s="65" customFormat="1"/>
    <row r="14874" s="65" customFormat="1"/>
    <row r="14875" s="65" customFormat="1"/>
    <row r="14876" s="65" customFormat="1"/>
    <row r="14877" s="65" customFormat="1"/>
    <row r="14878" s="65" customFormat="1"/>
    <row r="14879" s="65" customFormat="1"/>
    <row r="14880" s="65" customFormat="1"/>
    <row r="14881" s="65" customFormat="1"/>
    <row r="14882" s="65" customFormat="1"/>
    <row r="14883" s="65" customFormat="1"/>
    <row r="14884" s="65" customFormat="1"/>
    <row r="14885" s="65" customFormat="1"/>
    <row r="14886" s="65" customFormat="1"/>
    <row r="14887" s="65" customFormat="1"/>
    <row r="14888" s="65" customFormat="1"/>
    <row r="14889" s="65" customFormat="1"/>
    <row r="14890" s="65" customFormat="1"/>
    <row r="14891" s="65" customFormat="1"/>
    <row r="14892" s="65" customFormat="1"/>
    <row r="14893" s="65" customFormat="1"/>
    <row r="14894" s="65" customFormat="1"/>
    <row r="14895" s="65" customFormat="1"/>
    <row r="14896" s="65" customFormat="1"/>
    <row r="14897" s="65" customFormat="1"/>
    <row r="14898" s="65" customFormat="1"/>
    <row r="14899" s="65" customFormat="1"/>
    <row r="14900" s="65" customFormat="1"/>
    <row r="14901" s="65" customFormat="1"/>
    <row r="14902" s="65" customFormat="1"/>
    <row r="14903" s="65" customFormat="1"/>
    <row r="14904" s="65" customFormat="1"/>
    <row r="14905" s="65" customFormat="1"/>
    <row r="14906" s="65" customFormat="1"/>
    <row r="14907" s="65" customFormat="1"/>
    <row r="14908" s="65" customFormat="1"/>
    <row r="14909" s="65" customFormat="1"/>
    <row r="14910" s="65" customFormat="1"/>
    <row r="14911" s="65" customFormat="1"/>
    <row r="14912" s="65" customFormat="1"/>
    <row r="14913" s="65" customFormat="1"/>
    <row r="14914" s="65" customFormat="1"/>
    <row r="14915" s="65" customFormat="1"/>
    <row r="14916" s="65" customFormat="1"/>
    <row r="14917" s="65" customFormat="1"/>
    <row r="14918" s="65" customFormat="1"/>
    <row r="14919" s="65" customFormat="1"/>
    <row r="14920" s="65" customFormat="1"/>
    <row r="14921" s="65" customFormat="1"/>
    <row r="14922" s="65" customFormat="1"/>
    <row r="14923" s="65" customFormat="1"/>
    <row r="14924" s="65" customFormat="1"/>
    <row r="14925" s="65" customFormat="1"/>
    <row r="14926" s="65" customFormat="1"/>
    <row r="14927" s="65" customFormat="1"/>
    <row r="14928" s="65" customFormat="1"/>
    <row r="14929" s="65" customFormat="1"/>
    <row r="14930" s="65" customFormat="1"/>
    <row r="14931" s="65" customFormat="1"/>
    <row r="14932" s="65" customFormat="1"/>
    <row r="14933" s="65" customFormat="1"/>
    <row r="14934" s="65" customFormat="1"/>
    <row r="14935" s="65" customFormat="1"/>
    <row r="14936" s="65" customFormat="1"/>
    <row r="14937" s="65" customFormat="1"/>
    <row r="14938" s="65" customFormat="1"/>
    <row r="14939" s="65" customFormat="1"/>
    <row r="14940" s="65" customFormat="1"/>
    <row r="14941" s="65" customFormat="1"/>
    <row r="14942" s="65" customFormat="1"/>
    <row r="14943" s="65" customFormat="1"/>
    <row r="14944" s="65" customFormat="1"/>
    <row r="14945" s="65" customFormat="1"/>
    <row r="14946" s="65" customFormat="1"/>
    <row r="14947" s="65" customFormat="1"/>
    <row r="14948" s="65" customFormat="1"/>
    <row r="14949" s="65" customFormat="1"/>
    <row r="14950" s="65" customFormat="1"/>
    <row r="14951" s="65" customFormat="1"/>
    <row r="14952" s="65" customFormat="1"/>
    <row r="14953" s="65" customFormat="1"/>
    <row r="14954" s="65" customFormat="1"/>
    <row r="14955" s="65" customFormat="1"/>
    <row r="14956" s="65" customFormat="1"/>
    <row r="14957" s="65" customFormat="1"/>
    <row r="14958" s="65" customFormat="1"/>
    <row r="14959" s="65" customFormat="1"/>
    <row r="14960" s="65" customFormat="1"/>
    <row r="14961" s="65" customFormat="1"/>
    <row r="14962" s="65" customFormat="1"/>
    <row r="14963" s="65" customFormat="1"/>
    <row r="14964" s="65" customFormat="1"/>
    <row r="14965" s="65" customFormat="1"/>
    <row r="14966" s="65" customFormat="1"/>
    <row r="14967" s="65" customFormat="1"/>
    <row r="14968" s="65" customFormat="1"/>
    <row r="14969" s="65" customFormat="1"/>
    <row r="14970" s="65" customFormat="1"/>
    <row r="14971" s="65" customFormat="1"/>
    <row r="14972" s="65" customFormat="1"/>
    <row r="14973" s="65" customFormat="1"/>
    <row r="14974" s="65" customFormat="1"/>
    <row r="14975" s="65" customFormat="1"/>
    <row r="14976" s="65" customFormat="1"/>
    <row r="14977" s="65" customFormat="1"/>
    <row r="14978" s="65" customFormat="1"/>
    <row r="14979" s="65" customFormat="1"/>
    <row r="14980" s="65" customFormat="1"/>
    <row r="14981" s="65" customFormat="1"/>
    <row r="14982" s="65" customFormat="1"/>
    <row r="14983" s="65" customFormat="1"/>
    <row r="14984" s="65" customFormat="1"/>
    <row r="14985" s="65" customFormat="1"/>
    <row r="14986" s="65" customFormat="1"/>
    <row r="14987" s="65" customFormat="1"/>
    <row r="14988" s="65" customFormat="1"/>
    <row r="14989" s="65" customFormat="1"/>
    <row r="14990" s="65" customFormat="1"/>
    <row r="14991" s="65" customFormat="1"/>
    <row r="14992" s="65" customFormat="1"/>
    <row r="14993" s="65" customFormat="1"/>
    <row r="14994" s="65" customFormat="1"/>
    <row r="14995" s="65" customFormat="1"/>
    <row r="14996" s="65" customFormat="1"/>
    <row r="14997" s="65" customFormat="1"/>
    <row r="14998" s="65" customFormat="1"/>
    <row r="14999" s="65" customFormat="1"/>
    <row r="15000" s="65" customFormat="1"/>
    <row r="15001" s="65" customFormat="1"/>
    <row r="15002" s="65" customFormat="1"/>
    <row r="15003" s="65" customFormat="1"/>
    <row r="15004" s="65" customFormat="1"/>
    <row r="15005" s="65" customFormat="1"/>
    <row r="15006" s="65" customFormat="1"/>
    <row r="15007" s="65" customFormat="1"/>
    <row r="15008" s="65" customFormat="1"/>
    <row r="15009" s="65" customFormat="1"/>
    <row r="15010" s="65" customFormat="1"/>
    <row r="15011" s="65" customFormat="1"/>
    <row r="15012" s="65" customFormat="1"/>
    <row r="15013" s="65" customFormat="1"/>
    <row r="15014" s="65" customFormat="1"/>
    <row r="15015" s="65" customFormat="1"/>
    <row r="15016" s="65" customFormat="1"/>
    <row r="15017" s="65" customFormat="1"/>
    <row r="15018" s="65" customFormat="1"/>
    <row r="15019" s="65" customFormat="1"/>
    <row r="15020" s="65" customFormat="1"/>
    <row r="15021" s="65" customFormat="1"/>
    <row r="15022" s="65" customFormat="1"/>
    <row r="15023" s="65" customFormat="1"/>
    <row r="15024" s="65" customFormat="1"/>
    <row r="15025" s="65" customFormat="1"/>
    <row r="15026" s="65" customFormat="1"/>
    <row r="15027" s="65" customFormat="1"/>
    <row r="15028" s="65" customFormat="1"/>
    <row r="15029" s="65" customFormat="1"/>
    <row r="15030" s="65" customFormat="1"/>
    <row r="15031" s="65" customFormat="1"/>
    <row r="15032" s="65" customFormat="1"/>
    <row r="15033" s="65" customFormat="1"/>
    <row r="15034" s="65" customFormat="1"/>
    <row r="15035" s="65" customFormat="1"/>
    <row r="15036" s="65" customFormat="1"/>
    <row r="15037" s="65" customFormat="1"/>
    <row r="15038" s="65" customFormat="1"/>
    <row r="15039" s="65" customFormat="1"/>
    <row r="15040" s="65" customFormat="1"/>
    <row r="15041" s="65" customFormat="1"/>
    <row r="15042" s="65" customFormat="1"/>
    <row r="15043" s="65" customFormat="1"/>
    <row r="15044" s="65" customFormat="1"/>
    <row r="15045" s="65" customFormat="1"/>
    <row r="15046" s="65" customFormat="1"/>
    <row r="15047" s="65" customFormat="1"/>
    <row r="15048" s="65" customFormat="1"/>
    <row r="15049" s="65" customFormat="1"/>
    <row r="15050" s="65" customFormat="1"/>
    <row r="15051" s="65" customFormat="1"/>
    <row r="15052" s="65" customFormat="1"/>
    <row r="15053" s="65" customFormat="1"/>
    <row r="15054" s="65" customFormat="1"/>
    <row r="15055" s="65" customFormat="1"/>
    <row r="15056" s="65" customFormat="1"/>
    <row r="15057" s="65" customFormat="1"/>
    <row r="15058" s="65" customFormat="1"/>
    <row r="15059" s="65" customFormat="1"/>
    <row r="15060" s="65" customFormat="1"/>
    <row r="15061" s="65" customFormat="1"/>
    <row r="15062" s="65" customFormat="1"/>
    <row r="15063" s="65" customFormat="1"/>
    <row r="15064" s="65" customFormat="1"/>
    <row r="15065" s="65" customFormat="1"/>
    <row r="15066" s="65" customFormat="1"/>
    <row r="15067" s="65" customFormat="1"/>
    <row r="15068" s="65" customFormat="1"/>
    <row r="15069" s="65" customFormat="1"/>
    <row r="15070" s="65" customFormat="1"/>
    <row r="15071" s="65" customFormat="1"/>
    <row r="15072" s="65" customFormat="1"/>
    <row r="15073" s="65" customFormat="1"/>
    <row r="15074" s="65" customFormat="1"/>
    <row r="15075" s="65" customFormat="1"/>
    <row r="15076" s="65" customFormat="1"/>
    <row r="15077" s="65" customFormat="1"/>
    <row r="15078" s="65" customFormat="1"/>
    <row r="15079" s="65" customFormat="1"/>
    <row r="15080" s="65" customFormat="1"/>
    <row r="15081" s="65" customFormat="1"/>
    <row r="15082" s="65" customFormat="1"/>
    <row r="15083" s="65" customFormat="1"/>
    <row r="15084" s="65" customFormat="1"/>
    <row r="15085" s="65" customFormat="1"/>
    <row r="15086" s="65" customFormat="1"/>
    <row r="15087" s="65" customFormat="1"/>
    <row r="15088" s="65" customFormat="1"/>
    <row r="15089" s="65" customFormat="1"/>
    <row r="15090" s="65" customFormat="1"/>
    <row r="15091" s="65" customFormat="1"/>
    <row r="15092" s="65" customFormat="1"/>
    <row r="15093" s="65" customFormat="1"/>
    <row r="15094" s="65" customFormat="1"/>
    <row r="15095" s="65" customFormat="1"/>
    <row r="15096" s="65" customFormat="1"/>
    <row r="15097" s="65" customFormat="1"/>
    <row r="15098" s="65" customFormat="1"/>
    <row r="15099" s="65" customFormat="1"/>
    <row r="15100" s="65" customFormat="1"/>
    <row r="15101" s="65" customFormat="1"/>
    <row r="15102" s="65" customFormat="1"/>
    <row r="15103" s="65" customFormat="1"/>
    <row r="15104" s="65" customFormat="1"/>
    <row r="15105" s="65" customFormat="1"/>
    <row r="15106" s="65" customFormat="1"/>
    <row r="15107" s="65" customFormat="1"/>
    <row r="15108" s="65" customFormat="1"/>
    <row r="15109" s="65" customFormat="1"/>
    <row r="15110" s="65" customFormat="1"/>
    <row r="15111" s="65" customFormat="1"/>
    <row r="15112" s="65" customFormat="1"/>
    <row r="15113" s="65" customFormat="1"/>
    <row r="15114" s="65" customFormat="1"/>
    <row r="15115" s="65" customFormat="1"/>
    <row r="15116" s="65" customFormat="1"/>
    <row r="15117" s="65" customFormat="1"/>
    <row r="15118" s="65" customFormat="1"/>
    <row r="15119" s="65" customFormat="1"/>
    <row r="15120" s="65" customFormat="1"/>
    <row r="15121" s="65" customFormat="1"/>
    <row r="15122" s="65" customFormat="1"/>
    <row r="15123" s="65" customFormat="1"/>
    <row r="15124" s="65" customFormat="1"/>
    <row r="15125" s="65" customFormat="1"/>
    <row r="15126" s="65" customFormat="1"/>
    <row r="15127" s="65" customFormat="1"/>
    <row r="15128" s="65" customFormat="1"/>
    <row r="15129" s="65" customFormat="1"/>
    <row r="15130" s="65" customFormat="1"/>
    <row r="15131" s="65" customFormat="1"/>
    <row r="15132" s="65" customFormat="1"/>
    <row r="15133" s="65" customFormat="1"/>
    <row r="15134" s="65" customFormat="1"/>
    <row r="15135" s="65" customFormat="1"/>
    <row r="15136" s="65" customFormat="1"/>
    <row r="15137" s="65" customFormat="1"/>
    <row r="15138" s="65" customFormat="1"/>
    <row r="15139" s="65" customFormat="1"/>
    <row r="15140" s="65" customFormat="1"/>
    <row r="15141" s="65" customFormat="1"/>
    <row r="15142" s="65" customFormat="1"/>
    <row r="15143" s="65" customFormat="1"/>
    <row r="15144" s="65" customFormat="1"/>
    <row r="15145" s="65" customFormat="1"/>
    <row r="15146" s="65" customFormat="1"/>
    <row r="15147" s="65" customFormat="1"/>
    <row r="15148" s="65" customFormat="1"/>
    <row r="15149" s="65" customFormat="1"/>
    <row r="15150" s="65" customFormat="1"/>
    <row r="15151" s="65" customFormat="1"/>
    <row r="15152" s="65" customFormat="1"/>
    <row r="15153" s="65" customFormat="1"/>
    <row r="15154" s="65" customFormat="1"/>
    <row r="15155" s="65" customFormat="1"/>
    <row r="15156" s="65" customFormat="1"/>
    <row r="15157" s="65" customFormat="1"/>
    <row r="15158" s="65" customFormat="1"/>
    <row r="15159" s="65" customFormat="1"/>
    <row r="15160" s="65" customFormat="1"/>
    <row r="15161" s="65" customFormat="1"/>
    <row r="15162" s="65" customFormat="1"/>
    <row r="15163" s="65" customFormat="1"/>
    <row r="15164" s="65" customFormat="1"/>
    <row r="15165" s="65" customFormat="1"/>
    <row r="15166" s="65" customFormat="1"/>
    <row r="15167" s="65" customFormat="1"/>
    <row r="15168" s="65" customFormat="1"/>
    <row r="15169" s="65" customFormat="1"/>
    <row r="15170" s="65" customFormat="1"/>
    <row r="15171" s="65" customFormat="1"/>
    <row r="15172" s="65" customFormat="1"/>
    <row r="15173" s="65" customFormat="1"/>
    <row r="15174" s="65" customFormat="1"/>
    <row r="15175" s="65" customFormat="1"/>
    <row r="15176" s="65" customFormat="1"/>
    <row r="15177" s="65" customFormat="1"/>
    <row r="15178" s="65" customFormat="1"/>
    <row r="15179" s="65" customFormat="1"/>
    <row r="15180" s="65" customFormat="1"/>
    <row r="15181" s="65" customFormat="1"/>
    <row r="15182" s="65" customFormat="1"/>
    <row r="15183" s="65" customFormat="1"/>
    <row r="15184" s="65" customFormat="1"/>
    <row r="15185" s="65" customFormat="1"/>
    <row r="15186" s="65" customFormat="1"/>
    <row r="15187" s="65" customFormat="1"/>
    <row r="15188" s="65" customFormat="1"/>
    <row r="15189" s="65" customFormat="1"/>
    <row r="15190" s="65" customFormat="1"/>
    <row r="15191" s="65" customFormat="1"/>
    <row r="15192" s="65" customFormat="1"/>
    <row r="15193" s="65" customFormat="1"/>
    <row r="15194" s="65" customFormat="1"/>
    <row r="15195" s="65" customFormat="1"/>
    <row r="15196" s="65" customFormat="1"/>
    <row r="15197" s="65" customFormat="1"/>
    <row r="15198" s="65" customFormat="1"/>
    <row r="15199" s="65" customFormat="1"/>
    <row r="15200" s="65" customFormat="1"/>
    <row r="15201" s="65" customFormat="1"/>
    <row r="15202" s="65" customFormat="1"/>
    <row r="15203" s="65" customFormat="1"/>
    <row r="15204" s="65" customFormat="1"/>
    <row r="15205" s="65" customFormat="1"/>
    <row r="15206" s="65" customFormat="1"/>
    <row r="15207" s="65" customFormat="1"/>
    <row r="15208" s="65" customFormat="1"/>
    <row r="15209" s="65" customFormat="1"/>
    <row r="15210" s="65" customFormat="1"/>
    <row r="15211" s="65" customFormat="1"/>
    <row r="15212" s="65" customFormat="1"/>
    <row r="15213" s="65" customFormat="1"/>
    <row r="15214" s="65" customFormat="1"/>
    <row r="15215" s="65" customFormat="1"/>
    <row r="15216" s="65" customFormat="1"/>
    <row r="15217" s="65" customFormat="1"/>
    <row r="15218" s="65" customFormat="1"/>
    <row r="15219" s="65" customFormat="1"/>
    <row r="15220" s="65" customFormat="1"/>
    <row r="15221" s="65" customFormat="1"/>
    <row r="15222" s="65" customFormat="1"/>
    <row r="15223" s="65" customFormat="1"/>
    <row r="15224" s="65" customFormat="1"/>
    <row r="15225" s="65" customFormat="1"/>
    <row r="15226" s="65" customFormat="1"/>
    <row r="15227" s="65" customFormat="1"/>
    <row r="15228" s="65" customFormat="1"/>
    <row r="15229" s="65" customFormat="1"/>
    <row r="15230" s="65" customFormat="1"/>
    <row r="15231" s="65" customFormat="1"/>
    <row r="15232" s="65" customFormat="1"/>
    <row r="15233" s="65" customFormat="1"/>
    <row r="15234" s="65" customFormat="1"/>
    <row r="15235" s="65" customFormat="1"/>
    <row r="15236" s="65" customFormat="1"/>
    <row r="15237" s="65" customFormat="1"/>
    <row r="15238" s="65" customFormat="1"/>
    <row r="15239" s="65" customFormat="1"/>
    <row r="15240" s="65" customFormat="1"/>
    <row r="15241" s="65" customFormat="1"/>
    <row r="15242" s="65" customFormat="1"/>
    <row r="15243" s="65" customFormat="1"/>
    <row r="15244" s="65" customFormat="1"/>
    <row r="15245" s="65" customFormat="1"/>
    <row r="15246" s="65" customFormat="1"/>
    <row r="15247" s="65" customFormat="1"/>
    <row r="15248" s="65" customFormat="1"/>
    <row r="15249" s="65" customFormat="1"/>
    <row r="15250" s="65" customFormat="1"/>
    <row r="15251" s="65" customFormat="1"/>
    <row r="15252" s="65" customFormat="1"/>
    <row r="15253" s="65" customFormat="1"/>
    <row r="15254" s="65" customFormat="1"/>
    <row r="15255" s="65" customFormat="1"/>
    <row r="15256" s="65" customFormat="1"/>
    <row r="15257" s="65" customFormat="1"/>
    <row r="15258" s="65" customFormat="1"/>
    <row r="15259" s="65" customFormat="1"/>
    <row r="15260" s="65" customFormat="1"/>
    <row r="15261" s="65" customFormat="1"/>
    <row r="15262" s="65" customFormat="1"/>
    <row r="15263" s="65" customFormat="1"/>
    <row r="15264" s="65" customFormat="1"/>
    <row r="15265" s="65" customFormat="1"/>
    <row r="15266" s="65" customFormat="1"/>
    <row r="15267" s="65" customFormat="1"/>
    <row r="15268" s="65" customFormat="1"/>
    <row r="15269" s="65" customFormat="1"/>
    <row r="15270" s="65" customFormat="1"/>
    <row r="15271" s="65" customFormat="1"/>
    <row r="15272" s="65" customFormat="1"/>
    <row r="15273" s="65" customFormat="1"/>
    <row r="15274" s="65" customFormat="1"/>
    <row r="15275" s="65" customFormat="1"/>
    <row r="15276" s="65" customFormat="1"/>
    <row r="15277" s="65" customFormat="1"/>
    <row r="15278" s="65" customFormat="1"/>
    <row r="15279" s="65" customFormat="1"/>
    <row r="15280" s="65" customFormat="1"/>
    <row r="15281" s="65" customFormat="1"/>
    <row r="15282" s="65" customFormat="1"/>
    <row r="15283" s="65" customFormat="1"/>
    <row r="15284" s="65" customFormat="1"/>
    <row r="15285" s="65" customFormat="1"/>
    <row r="15286" s="65" customFormat="1"/>
    <row r="15287" s="65" customFormat="1"/>
    <row r="15288" s="65" customFormat="1"/>
    <row r="15289" s="65" customFormat="1"/>
    <row r="15290" s="65" customFormat="1"/>
    <row r="15291" s="65" customFormat="1"/>
    <row r="15292" s="65" customFormat="1"/>
    <row r="15293" s="65" customFormat="1"/>
    <row r="15294" s="65" customFormat="1"/>
    <row r="15295" s="65" customFormat="1"/>
    <row r="15296" s="65" customFormat="1"/>
    <row r="15297" s="65" customFormat="1"/>
    <row r="15298" s="65" customFormat="1"/>
    <row r="15299" s="65" customFormat="1"/>
    <row r="15300" s="65" customFormat="1"/>
    <row r="15301" s="65" customFormat="1"/>
    <row r="15302" s="65" customFormat="1"/>
    <row r="15303" s="65" customFormat="1"/>
    <row r="15304" s="65" customFormat="1"/>
    <row r="15305" s="65" customFormat="1"/>
    <row r="15306" s="65" customFormat="1"/>
    <row r="15307" s="65" customFormat="1"/>
    <row r="15308" s="65" customFormat="1"/>
    <row r="15309" s="65" customFormat="1"/>
    <row r="15310" s="65" customFormat="1"/>
    <row r="15311" s="65" customFormat="1"/>
    <row r="15312" s="65" customFormat="1"/>
    <row r="15313" s="65" customFormat="1"/>
    <row r="15314" s="65" customFormat="1"/>
    <row r="15315" s="65" customFormat="1"/>
    <row r="15316" s="65" customFormat="1"/>
    <row r="15317" s="65" customFormat="1"/>
    <row r="15318" s="65" customFormat="1"/>
    <row r="15319" s="65" customFormat="1"/>
    <row r="15320" s="65" customFormat="1"/>
    <row r="15321" s="65" customFormat="1"/>
    <row r="15322" s="65" customFormat="1"/>
    <row r="15323" s="65" customFormat="1"/>
    <row r="15324" s="65" customFormat="1"/>
    <row r="15325" s="65" customFormat="1"/>
    <row r="15326" s="65" customFormat="1"/>
    <row r="15327" s="65" customFormat="1"/>
    <row r="15328" s="65" customFormat="1"/>
    <row r="15329" s="65" customFormat="1"/>
    <row r="15330" s="65" customFormat="1"/>
    <row r="15331" s="65" customFormat="1"/>
    <row r="15332" s="65" customFormat="1"/>
    <row r="15333" s="65" customFormat="1"/>
    <row r="15334" s="65" customFormat="1"/>
    <row r="15335" s="65" customFormat="1"/>
    <row r="15336" s="65" customFormat="1"/>
    <row r="15337" s="65" customFormat="1"/>
    <row r="15338" s="65" customFormat="1"/>
    <row r="15339" s="65" customFormat="1"/>
    <row r="15340" s="65" customFormat="1"/>
    <row r="15341" s="65" customFormat="1"/>
    <row r="15342" s="65" customFormat="1"/>
    <row r="15343" s="65" customFormat="1"/>
    <row r="15344" s="65" customFormat="1"/>
    <row r="15345" s="65" customFormat="1"/>
    <row r="15346" s="65" customFormat="1"/>
    <row r="15347" s="65" customFormat="1"/>
    <row r="15348" s="65" customFormat="1"/>
    <row r="15349" s="65" customFormat="1"/>
    <row r="15350" s="65" customFormat="1"/>
    <row r="15351" s="65" customFormat="1"/>
    <row r="15352" s="65" customFormat="1"/>
    <row r="15353" s="65" customFormat="1"/>
    <row r="15354" s="65" customFormat="1"/>
    <row r="15355" s="65" customFormat="1"/>
    <row r="15356" s="65" customFormat="1"/>
    <row r="15357" s="65" customFormat="1"/>
    <row r="15358" s="65" customFormat="1"/>
    <row r="15359" s="65" customFormat="1"/>
    <row r="15360" s="65" customFormat="1"/>
    <row r="15361" s="65" customFormat="1"/>
    <row r="15362" s="65" customFormat="1"/>
    <row r="15363" s="65" customFormat="1"/>
    <row r="15364" s="65" customFormat="1"/>
    <row r="15365" s="65" customFormat="1"/>
    <row r="15366" s="65" customFormat="1"/>
    <row r="15367" s="65" customFormat="1"/>
    <row r="15368" s="65" customFormat="1"/>
    <row r="15369" s="65" customFormat="1"/>
    <row r="15370" s="65" customFormat="1"/>
    <row r="15371" s="65" customFormat="1"/>
    <row r="15372" s="65" customFormat="1"/>
    <row r="15373" s="65" customFormat="1"/>
    <row r="15374" s="65" customFormat="1"/>
    <row r="15375" s="65" customFormat="1"/>
    <row r="15376" s="65" customFormat="1"/>
    <row r="15377" s="65" customFormat="1"/>
    <row r="15378" s="65" customFormat="1"/>
    <row r="15379" s="65" customFormat="1"/>
    <row r="15380" s="65" customFormat="1"/>
    <row r="15381" s="65" customFormat="1"/>
    <row r="15382" s="65" customFormat="1"/>
    <row r="15383" s="65" customFormat="1"/>
    <row r="15384" s="65" customFormat="1"/>
    <row r="15385" s="65" customFormat="1"/>
    <row r="15386" s="65" customFormat="1"/>
    <row r="15387" s="65" customFormat="1"/>
    <row r="15388" s="65" customFormat="1"/>
    <row r="15389" s="65" customFormat="1"/>
    <row r="15390" s="65" customFormat="1"/>
    <row r="15391" s="65" customFormat="1"/>
    <row r="15392" s="65" customFormat="1"/>
    <row r="15393" s="65" customFormat="1"/>
    <row r="15394" s="65" customFormat="1"/>
    <row r="15395" s="65" customFormat="1"/>
    <row r="15396" s="65" customFormat="1"/>
    <row r="15397" s="65" customFormat="1"/>
    <row r="15398" s="65" customFormat="1"/>
    <row r="15399" s="65" customFormat="1"/>
    <row r="15400" s="65" customFormat="1"/>
    <row r="15401" s="65" customFormat="1"/>
    <row r="15402" s="65" customFormat="1"/>
    <row r="15403" s="65" customFormat="1"/>
    <row r="15404" s="65" customFormat="1"/>
    <row r="15405" s="65" customFormat="1"/>
    <row r="15406" s="65" customFormat="1"/>
    <row r="15407" s="65" customFormat="1"/>
    <row r="15408" s="65" customFormat="1"/>
    <row r="15409" s="65" customFormat="1"/>
    <row r="15410" s="65" customFormat="1"/>
    <row r="15411" s="65" customFormat="1"/>
    <row r="15412" s="65" customFormat="1"/>
    <row r="15413" s="65" customFormat="1"/>
    <row r="15414" s="65" customFormat="1"/>
    <row r="15415" s="65" customFormat="1"/>
    <row r="15416" s="65" customFormat="1"/>
    <row r="15417" s="65" customFormat="1"/>
    <row r="15418" s="65" customFormat="1"/>
    <row r="15419" s="65" customFormat="1"/>
    <row r="15420" s="65" customFormat="1"/>
    <row r="15421" s="65" customFormat="1"/>
    <row r="15422" s="65" customFormat="1"/>
    <row r="15423" s="65" customFormat="1"/>
    <row r="15424" s="65" customFormat="1"/>
    <row r="15425" s="65" customFormat="1"/>
    <row r="15426" s="65" customFormat="1"/>
    <row r="15427" s="65" customFormat="1"/>
    <row r="15428" s="65" customFormat="1"/>
    <row r="15429" s="65" customFormat="1"/>
    <row r="15430" s="65" customFormat="1"/>
    <row r="15431" s="65" customFormat="1"/>
    <row r="15432" s="65" customFormat="1"/>
    <row r="15433" s="65" customFormat="1"/>
    <row r="15434" s="65" customFormat="1"/>
    <row r="15435" s="65" customFormat="1"/>
    <row r="15436" s="65" customFormat="1"/>
    <row r="15437" s="65" customFormat="1"/>
    <row r="15438" s="65" customFormat="1"/>
    <row r="15439" s="65" customFormat="1"/>
    <row r="15440" s="65" customFormat="1"/>
    <row r="15441" s="65" customFormat="1"/>
    <row r="15442" s="65" customFormat="1"/>
    <row r="15443" s="65" customFormat="1"/>
    <row r="15444" s="65" customFormat="1"/>
    <row r="15445" s="65" customFormat="1"/>
    <row r="15446" s="65" customFormat="1"/>
    <row r="15447" s="65" customFormat="1"/>
    <row r="15448" s="65" customFormat="1"/>
    <row r="15449" s="65" customFormat="1"/>
    <row r="15450" s="65" customFormat="1"/>
    <row r="15451" s="65" customFormat="1"/>
    <row r="15452" s="65" customFormat="1"/>
    <row r="15453" s="65" customFormat="1"/>
    <row r="15454" s="65" customFormat="1"/>
    <row r="15455" s="65" customFormat="1"/>
    <row r="15456" s="65" customFormat="1"/>
    <row r="15457" s="65" customFormat="1"/>
    <row r="15458" s="65" customFormat="1"/>
    <row r="15459" s="65" customFormat="1"/>
    <row r="15460" s="65" customFormat="1"/>
    <row r="15461" s="65" customFormat="1"/>
    <row r="15462" s="65" customFormat="1"/>
    <row r="15463" s="65" customFormat="1"/>
    <row r="15464" s="65" customFormat="1"/>
    <row r="15465" s="65" customFormat="1"/>
    <row r="15466" s="65" customFormat="1"/>
    <row r="15467" s="65" customFormat="1"/>
    <row r="15468" s="65" customFormat="1"/>
    <row r="15469" s="65" customFormat="1"/>
    <row r="15470" s="65" customFormat="1"/>
    <row r="15471" s="65" customFormat="1"/>
    <row r="15472" s="65" customFormat="1"/>
    <row r="15473" s="65" customFormat="1"/>
    <row r="15474" s="65" customFormat="1"/>
    <row r="15475" s="65" customFormat="1"/>
    <row r="15476" s="65" customFormat="1"/>
    <row r="15477" s="65" customFormat="1"/>
    <row r="15478" s="65" customFormat="1"/>
    <row r="15479" s="65" customFormat="1"/>
    <row r="15480" s="65" customFormat="1"/>
    <row r="15481" s="65" customFormat="1"/>
    <row r="15482" s="65" customFormat="1"/>
    <row r="15483" s="65" customFormat="1"/>
    <row r="15484" s="65" customFormat="1"/>
    <row r="15485" s="65" customFormat="1"/>
    <row r="15486" s="65" customFormat="1"/>
    <row r="15487" s="65" customFormat="1"/>
    <row r="15488" s="65" customFormat="1"/>
    <row r="15489" s="65" customFormat="1"/>
    <row r="15490" s="65" customFormat="1"/>
    <row r="15491" s="65" customFormat="1"/>
    <row r="15492" s="65" customFormat="1"/>
    <row r="15493" s="65" customFormat="1"/>
    <row r="15494" s="65" customFormat="1"/>
    <row r="15495" s="65" customFormat="1"/>
    <row r="15496" s="65" customFormat="1"/>
    <row r="15497" s="65" customFormat="1"/>
    <row r="15498" s="65" customFormat="1"/>
    <row r="15499" s="65" customFormat="1"/>
    <row r="15500" s="65" customFormat="1"/>
    <row r="15501" s="65" customFormat="1"/>
    <row r="15502" s="65" customFormat="1"/>
    <row r="15503" s="65" customFormat="1"/>
    <row r="15504" s="65" customFormat="1"/>
    <row r="15505" s="65" customFormat="1"/>
    <row r="15506" s="65" customFormat="1"/>
    <row r="15507" s="65" customFormat="1"/>
    <row r="15508" s="65" customFormat="1"/>
    <row r="15509" s="65" customFormat="1"/>
    <row r="15510" s="65" customFormat="1"/>
    <row r="15511" s="65" customFormat="1"/>
    <row r="15512" s="65" customFormat="1"/>
    <row r="15513" s="65" customFormat="1"/>
    <row r="15514" s="65" customFormat="1"/>
    <row r="15515" s="65" customFormat="1"/>
    <row r="15516" s="65" customFormat="1"/>
    <row r="15517" s="65" customFormat="1"/>
    <row r="15518" s="65" customFormat="1"/>
    <row r="15519" s="65" customFormat="1"/>
    <row r="15520" s="65" customFormat="1"/>
    <row r="15521" s="65" customFormat="1"/>
    <row r="15522" s="65" customFormat="1"/>
    <row r="15523" s="65" customFormat="1"/>
    <row r="15524" s="65" customFormat="1"/>
    <row r="15525" s="65" customFormat="1"/>
    <row r="15526" s="65" customFormat="1"/>
    <row r="15527" s="65" customFormat="1"/>
    <row r="15528" s="65" customFormat="1"/>
    <row r="15529" s="65" customFormat="1"/>
    <row r="15530" s="65" customFormat="1"/>
    <row r="15531" s="65" customFormat="1"/>
    <row r="15532" s="65" customFormat="1"/>
    <row r="15533" s="65" customFormat="1"/>
    <row r="15534" s="65" customFormat="1"/>
    <row r="15535" s="65" customFormat="1"/>
    <row r="15536" s="65" customFormat="1"/>
    <row r="15537" s="65" customFormat="1"/>
    <row r="15538" s="65" customFormat="1"/>
    <row r="15539" s="65" customFormat="1"/>
    <row r="15540" s="65" customFormat="1"/>
    <row r="15541" s="65" customFormat="1"/>
    <row r="15542" s="65" customFormat="1"/>
    <row r="15543" s="65" customFormat="1"/>
    <row r="15544" s="65" customFormat="1"/>
    <row r="15545" s="65" customFormat="1"/>
    <row r="15546" s="65" customFormat="1"/>
    <row r="15547" s="65" customFormat="1"/>
    <row r="15548" s="65" customFormat="1"/>
    <row r="15549" s="65" customFormat="1"/>
    <row r="15550" s="65" customFormat="1"/>
    <row r="15551" s="65" customFormat="1"/>
    <row r="15552" s="65" customFormat="1"/>
    <row r="15553" s="65" customFormat="1"/>
    <row r="15554" s="65" customFormat="1"/>
    <row r="15555" s="65" customFormat="1"/>
    <row r="15556" s="65" customFormat="1"/>
    <row r="15557" s="65" customFormat="1"/>
    <row r="15558" s="65" customFormat="1"/>
    <row r="15559" s="65" customFormat="1"/>
    <row r="15560" s="65" customFormat="1"/>
    <row r="15561" s="65" customFormat="1"/>
    <row r="15562" s="65" customFormat="1"/>
    <row r="15563" s="65" customFormat="1"/>
    <row r="15564" s="65" customFormat="1"/>
    <row r="15565" s="65" customFormat="1"/>
    <row r="15566" s="65" customFormat="1"/>
    <row r="15567" s="65" customFormat="1"/>
    <row r="15568" s="65" customFormat="1"/>
    <row r="15569" s="65" customFormat="1"/>
    <row r="15570" s="65" customFormat="1"/>
    <row r="15571" s="65" customFormat="1"/>
    <row r="15572" s="65" customFormat="1"/>
    <row r="15573" s="65" customFormat="1"/>
    <row r="15574" s="65" customFormat="1"/>
    <row r="15575" s="65" customFormat="1"/>
    <row r="15576" s="65" customFormat="1"/>
    <row r="15577" s="65" customFormat="1"/>
    <row r="15578" s="65" customFormat="1"/>
    <row r="15579" s="65" customFormat="1"/>
    <row r="15580" s="65" customFormat="1"/>
    <row r="15581" s="65" customFormat="1"/>
    <row r="15582" s="65" customFormat="1"/>
    <row r="15583" s="65" customFormat="1"/>
    <row r="15584" s="65" customFormat="1"/>
    <row r="15585" s="65" customFormat="1"/>
    <row r="15586" s="65" customFormat="1"/>
    <row r="15587" s="65" customFormat="1"/>
    <row r="15588" s="65" customFormat="1"/>
    <row r="15589" s="65" customFormat="1"/>
    <row r="15590" s="65" customFormat="1"/>
    <row r="15591" s="65" customFormat="1"/>
    <row r="15592" s="65" customFormat="1"/>
    <row r="15593" s="65" customFormat="1"/>
    <row r="15594" s="65" customFormat="1"/>
    <row r="15595" s="65" customFormat="1"/>
    <row r="15596" s="65" customFormat="1"/>
    <row r="15597" s="65" customFormat="1"/>
    <row r="15598" s="65" customFormat="1"/>
    <row r="15599" s="65" customFormat="1"/>
    <row r="15600" s="65" customFormat="1"/>
    <row r="15601" s="65" customFormat="1"/>
    <row r="15602" s="65" customFormat="1"/>
    <row r="15603" s="65" customFormat="1"/>
    <row r="15604" s="65" customFormat="1"/>
    <row r="15605" s="65" customFormat="1"/>
    <row r="15606" s="65" customFormat="1"/>
    <row r="15607" s="65" customFormat="1"/>
    <row r="15608" s="65" customFormat="1"/>
    <row r="15609" s="65" customFormat="1"/>
    <row r="15610" s="65" customFormat="1"/>
    <row r="15611" s="65" customFormat="1"/>
    <row r="15612" s="65" customFormat="1"/>
    <row r="15613" s="65" customFormat="1"/>
    <row r="15614" s="65" customFormat="1"/>
    <row r="15615" s="65" customFormat="1"/>
    <row r="15616" s="65" customFormat="1"/>
    <row r="15617" s="65" customFormat="1"/>
    <row r="15618" s="65" customFormat="1"/>
    <row r="15619" s="65" customFormat="1"/>
    <row r="15620" s="65" customFormat="1"/>
    <row r="15621" s="65" customFormat="1"/>
    <row r="15622" s="65" customFormat="1"/>
    <row r="15623" s="65" customFormat="1"/>
    <row r="15624" s="65" customFormat="1"/>
    <row r="15625" s="65" customFormat="1"/>
    <row r="15626" s="65" customFormat="1"/>
    <row r="15627" s="65" customFormat="1"/>
    <row r="15628" s="65" customFormat="1"/>
    <row r="15629" s="65" customFormat="1"/>
    <row r="15630" s="65" customFormat="1"/>
    <row r="15631" s="65" customFormat="1"/>
    <row r="15632" s="65" customFormat="1"/>
    <row r="15633" s="65" customFormat="1"/>
    <row r="15634" s="65" customFormat="1"/>
    <row r="15635" s="65" customFormat="1"/>
    <row r="15636" s="65" customFormat="1"/>
    <row r="15637" s="65" customFormat="1"/>
    <row r="15638" s="65" customFormat="1"/>
    <row r="15639" s="65" customFormat="1"/>
    <row r="15640" s="65" customFormat="1"/>
    <row r="15641" s="65" customFormat="1"/>
    <row r="15642" s="65" customFormat="1"/>
    <row r="15643" s="65" customFormat="1"/>
    <row r="15644" s="65" customFormat="1"/>
    <row r="15645" s="65" customFormat="1"/>
    <row r="15646" s="65" customFormat="1"/>
    <row r="15647" s="65" customFormat="1"/>
    <row r="15648" s="65" customFormat="1"/>
    <row r="15649" s="65" customFormat="1"/>
    <row r="15650" s="65" customFormat="1"/>
    <row r="15651" s="65" customFormat="1"/>
    <row r="15652" s="65" customFormat="1"/>
    <row r="15653" s="65" customFormat="1"/>
    <row r="15654" s="65" customFormat="1"/>
    <row r="15655" s="65" customFormat="1"/>
    <row r="15656" s="65" customFormat="1"/>
    <row r="15657" s="65" customFormat="1"/>
    <row r="15658" s="65" customFormat="1"/>
    <row r="15659" s="65" customFormat="1"/>
    <row r="15660" s="65" customFormat="1"/>
    <row r="15661" s="65" customFormat="1"/>
    <row r="15662" s="65" customFormat="1"/>
    <row r="15663" s="65" customFormat="1"/>
    <row r="15664" s="65" customFormat="1"/>
    <row r="15665" s="65" customFormat="1"/>
    <row r="15666" s="65" customFormat="1"/>
    <row r="15667" s="65" customFormat="1"/>
    <row r="15668" s="65" customFormat="1"/>
    <row r="15669" s="65" customFormat="1"/>
    <row r="15670" s="65" customFormat="1"/>
    <row r="15671" s="65" customFormat="1"/>
    <row r="15672" s="65" customFormat="1"/>
    <row r="15673" s="65" customFormat="1"/>
    <row r="15674" s="65" customFormat="1"/>
    <row r="15675" s="65" customFormat="1"/>
    <row r="15676" s="65" customFormat="1"/>
    <row r="15677" s="65" customFormat="1"/>
    <row r="15678" s="65" customFormat="1"/>
    <row r="15679" s="65" customFormat="1"/>
    <row r="15680" s="65" customFormat="1"/>
    <row r="15681" s="65" customFormat="1"/>
    <row r="15682" s="65" customFormat="1"/>
    <row r="15683" s="65" customFormat="1"/>
    <row r="15684" s="65" customFormat="1"/>
    <row r="15685" s="65" customFormat="1"/>
    <row r="15686" s="65" customFormat="1"/>
    <row r="15687" s="65" customFormat="1"/>
    <row r="15688" s="65" customFormat="1"/>
    <row r="15689" s="65" customFormat="1"/>
    <row r="15690" s="65" customFormat="1"/>
    <row r="15691" s="65" customFormat="1"/>
    <row r="15692" s="65" customFormat="1"/>
    <row r="15693" s="65" customFormat="1"/>
    <row r="15694" s="65" customFormat="1"/>
    <row r="15695" s="65" customFormat="1"/>
    <row r="15696" s="65" customFormat="1"/>
    <row r="15697" s="65" customFormat="1"/>
    <row r="15698" s="65" customFormat="1"/>
    <row r="15699" s="65" customFormat="1"/>
    <row r="15700" s="65" customFormat="1"/>
    <row r="15701" s="65" customFormat="1"/>
    <row r="15702" s="65" customFormat="1"/>
    <row r="15703" s="65" customFormat="1"/>
    <row r="15704" s="65" customFormat="1"/>
    <row r="15705" s="65" customFormat="1"/>
    <row r="15706" s="65" customFormat="1"/>
    <row r="15707" s="65" customFormat="1"/>
    <row r="15708" s="65" customFormat="1"/>
    <row r="15709" s="65" customFormat="1"/>
    <row r="15710" s="65" customFormat="1"/>
    <row r="15711" s="65" customFormat="1"/>
    <row r="15712" s="65" customFormat="1"/>
    <row r="15713" s="65" customFormat="1"/>
    <row r="15714" s="65" customFormat="1"/>
    <row r="15715" s="65" customFormat="1"/>
    <row r="15716" s="65" customFormat="1"/>
    <row r="15717" s="65" customFormat="1"/>
    <row r="15718" s="65" customFormat="1"/>
    <row r="15719" s="65" customFormat="1"/>
    <row r="15720" s="65" customFormat="1"/>
    <row r="15721" s="65" customFormat="1"/>
    <row r="15722" s="65" customFormat="1"/>
    <row r="15723" s="65" customFormat="1"/>
    <row r="15724" s="65" customFormat="1"/>
    <row r="15725" s="65" customFormat="1"/>
    <row r="15726" s="65" customFormat="1"/>
    <row r="15727" s="65" customFormat="1"/>
    <row r="15728" s="65" customFormat="1"/>
    <row r="15729" s="65" customFormat="1"/>
    <row r="15730" s="65" customFormat="1"/>
    <row r="15731" s="65" customFormat="1"/>
    <row r="15732" s="65" customFormat="1"/>
    <row r="15733" s="65" customFormat="1"/>
    <row r="15734" s="65" customFormat="1"/>
    <row r="15735" s="65" customFormat="1"/>
    <row r="15736" s="65" customFormat="1"/>
    <row r="15737" s="65" customFormat="1"/>
    <row r="15738" s="65" customFormat="1"/>
    <row r="15739" s="65" customFormat="1"/>
    <row r="15740" s="65" customFormat="1"/>
    <row r="15741" s="65" customFormat="1"/>
    <row r="15742" s="65" customFormat="1"/>
    <row r="15743" s="65" customFormat="1"/>
    <row r="15744" s="65" customFormat="1"/>
    <row r="15745" s="65" customFormat="1"/>
    <row r="15746" s="65" customFormat="1"/>
    <row r="15747" s="65" customFormat="1"/>
    <row r="15748" s="65" customFormat="1"/>
    <row r="15749" s="65" customFormat="1"/>
    <row r="15750" s="65" customFormat="1"/>
    <row r="15751" s="65" customFormat="1"/>
    <row r="15752" s="65" customFormat="1"/>
    <row r="15753" s="65" customFormat="1"/>
    <row r="15754" s="65" customFormat="1"/>
    <row r="15755" s="65" customFormat="1"/>
    <row r="15756" s="65" customFormat="1"/>
    <row r="15757" s="65" customFormat="1"/>
    <row r="15758" s="65" customFormat="1"/>
    <row r="15759" s="65" customFormat="1"/>
    <row r="15760" s="65" customFormat="1"/>
    <row r="15761" s="65" customFormat="1"/>
    <row r="15762" s="65" customFormat="1"/>
    <row r="15763" s="65" customFormat="1"/>
    <row r="15764" s="65" customFormat="1"/>
    <row r="15765" s="65" customFormat="1"/>
    <row r="15766" s="65" customFormat="1"/>
    <row r="15767" s="65" customFormat="1"/>
    <row r="15768" s="65" customFormat="1"/>
    <row r="15769" s="65" customFormat="1"/>
    <row r="15770" s="65" customFormat="1"/>
    <row r="15771" s="65" customFormat="1"/>
    <row r="15772" s="65" customFormat="1"/>
    <row r="15773" s="65" customFormat="1"/>
    <row r="15774" s="65" customFormat="1"/>
    <row r="15775" s="65" customFormat="1"/>
    <row r="15776" s="65" customFormat="1"/>
    <row r="15777" s="65" customFormat="1"/>
    <row r="15778" s="65" customFormat="1"/>
    <row r="15779" s="65" customFormat="1"/>
    <row r="15780" s="65" customFormat="1"/>
    <row r="15781" s="65" customFormat="1"/>
    <row r="15782" s="65" customFormat="1"/>
    <row r="15783" s="65" customFormat="1"/>
    <row r="15784" s="65" customFormat="1"/>
    <row r="15785" s="65" customFormat="1"/>
    <row r="15786" s="65" customFormat="1"/>
    <row r="15787" s="65" customFormat="1"/>
    <row r="15788" s="65" customFormat="1"/>
    <row r="15789" s="65" customFormat="1"/>
    <row r="15790" s="65" customFormat="1"/>
    <row r="15791" s="65" customFormat="1"/>
    <row r="15792" s="65" customFormat="1"/>
    <row r="15793" s="65" customFormat="1"/>
    <row r="15794" s="65" customFormat="1"/>
    <row r="15795" s="65" customFormat="1"/>
    <row r="15796" s="65" customFormat="1"/>
    <row r="15797" s="65" customFormat="1"/>
    <row r="15798" s="65" customFormat="1"/>
    <row r="15799" s="65" customFormat="1"/>
    <row r="15800" s="65" customFormat="1"/>
    <row r="15801" s="65" customFormat="1"/>
    <row r="15802" s="65" customFormat="1"/>
    <row r="15803" s="65" customFormat="1"/>
    <row r="15804" s="65" customFormat="1"/>
    <row r="15805" s="65" customFormat="1"/>
    <row r="15806" s="65" customFormat="1"/>
    <row r="15807" s="65" customFormat="1"/>
    <row r="15808" s="65" customFormat="1"/>
    <row r="15809" s="65" customFormat="1"/>
    <row r="15810" s="65" customFormat="1"/>
    <row r="15811" s="65" customFormat="1"/>
    <row r="15812" s="65" customFormat="1"/>
    <row r="15813" s="65" customFormat="1"/>
    <row r="15814" s="65" customFormat="1"/>
    <row r="15815" s="65" customFormat="1"/>
    <row r="15816" s="65" customFormat="1"/>
    <row r="15817" s="65" customFormat="1"/>
    <row r="15818" s="65" customFormat="1"/>
    <row r="15819" s="65" customFormat="1"/>
    <row r="15820" s="65" customFormat="1"/>
    <row r="15821" s="65" customFormat="1"/>
    <row r="15822" s="65" customFormat="1"/>
    <row r="15823" s="65" customFormat="1"/>
    <row r="15824" s="65" customFormat="1"/>
    <row r="15825" s="65" customFormat="1"/>
    <row r="15826" s="65" customFormat="1"/>
    <row r="15827" s="65" customFormat="1"/>
    <row r="15828" s="65" customFormat="1"/>
    <row r="15829" s="65" customFormat="1"/>
    <row r="15830" s="65" customFormat="1"/>
    <row r="15831" s="65" customFormat="1"/>
    <row r="15832" s="65" customFormat="1"/>
    <row r="15833" s="65" customFormat="1"/>
    <row r="15834" s="65" customFormat="1"/>
    <row r="15835" s="65" customFormat="1"/>
    <row r="15836" s="65" customFormat="1"/>
    <row r="15837" s="65" customFormat="1"/>
    <row r="15838" s="65" customFormat="1"/>
    <row r="15839" s="65" customFormat="1"/>
    <row r="15840" s="65" customFormat="1"/>
    <row r="15841" s="65" customFormat="1"/>
    <row r="15842" s="65" customFormat="1"/>
    <row r="15843" s="65" customFormat="1"/>
    <row r="15844" s="65" customFormat="1"/>
    <row r="15845" s="65" customFormat="1"/>
    <row r="15846" s="65" customFormat="1"/>
    <row r="15847" s="65" customFormat="1"/>
    <row r="15848" s="65" customFormat="1"/>
    <row r="15849" s="65" customFormat="1"/>
    <row r="15850" s="65" customFormat="1"/>
    <row r="15851" s="65" customFormat="1"/>
    <row r="15852" s="65" customFormat="1"/>
    <row r="15853" s="65" customFormat="1"/>
    <row r="15854" s="65" customFormat="1"/>
    <row r="15855" s="65" customFormat="1"/>
    <row r="15856" s="65" customFormat="1"/>
    <row r="15857" s="65" customFormat="1"/>
    <row r="15858" s="65" customFormat="1"/>
    <row r="15859" s="65" customFormat="1"/>
    <row r="15860" s="65" customFormat="1"/>
    <row r="15861" s="65" customFormat="1"/>
    <row r="15862" s="65" customFormat="1"/>
    <row r="15863" s="65" customFormat="1"/>
    <row r="15864" s="65" customFormat="1"/>
    <row r="15865" s="65" customFormat="1"/>
    <row r="15866" s="65" customFormat="1"/>
    <row r="15867" s="65" customFormat="1"/>
    <row r="15868" s="65" customFormat="1"/>
    <row r="15869" s="65" customFormat="1"/>
    <row r="15870" s="65" customFormat="1"/>
    <row r="15871" s="65" customFormat="1"/>
    <row r="15872" s="65" customFormat="1"/>
    <row r="15873" s="65" customFormat="1"/>
    <row r="15874" s="65" customFormat="1"/>
    <row r="15875" s="65" customFormat="1"/>
    <row r="15876" s="65" customFormat="1"/>
    <row r="15877" s="65" customFormat="1"/>
    <row r="15878" s="65" customFormat="1"/>
    <row r="15879" s="65" customFormat="1"/>
    <row r="15880" s="65" customFormat="1"/>
    <row r="15881" s="65" customFormat="1"/>
    <row r="15882" s="65" customFormat="1"/>
    <row r="15883" s="65" customFormat="1"/>
    <row r="15884" s="65" customFormat="1"/>
    <row r="15885" s="65" customFormat="1"/>
    <row r="15886" s="65" customFormat="1"/>
    <row r="15887" s="65" customFormat="1"/>
    <row r="15888" s="65" customFormat="1"/>
    <row r="15889" s="65" customFormat="1"/>
    <row r="15890" s="65" customFormat="1"/>
    <row r="15891" s="65" customFormat="1"/>
    <row r="15892" s="65" customFormat="1"/>
    <row r="15893" s="65" customFormat="1"/>
    <row r="15894" s="65" customFormat="1"/>
    <row r="15895" s="65" customFormat="1"/>
    <row r="15896" s="65" customFormat="1"/>
    <row r="15897" s="65" customFormat="1"/>
    <row r="15898" s="65" customFormat="1"/>
    <row r="15899" s="65" customFormat="1"/>
    <row r="15900" s="65" customFormat="1"/>
    <row r="15901" s="65" customFormat="1"/>
    <row r="15902" s="65" customFormat="1"/>
    <row r="15903" s="65" customFormat="1"/>
    <row r="15904" s="65" customFormat="1"/>
    <row r="15905" s="65" customFormat="1"/>
    <row r="15906" s="65" customFormat="1"/>
    <row r="15907" s="65" customFormat="1"/>
    <row r="15908" s="65" customFormat="1"/>
    <row r="15909" s="65" customFormat="1"/>
    <row r="15910" s="65" customFormat="1"/>
    <row r="15911" s="65" customFormat="1"/>
    <row r="15912" s="65" customFormat="1"/>
    <row r="15913" s="65" customFormat="1"/>
    <row r="15914" s="65" customFormat="1"/>
    <row r="15915" s="65" customFormat="1"/>
    <row r="15916" s="65" customFormat="1"/>
    <row r="15917" s="65" customFormat="1"/>
    <row r="15918" s="65" customFormat="1"/>
    <row r="15919" s="65" customFormat="1"/>
    <row r="15920" s="65" customFormat="1"/>
    <row r="15921" s="65" customFormat="1"/>
    <row r="15922" s="65" customFormat="1"/>
    <row r="15923" s="65" customFormat="1"/>
    <row r="15924" s="65" customFormat="1"/>
    <row r="15925" s="65" customFormat="1"/>
    <row r="15926" s="65" customFormat="1"/>
    <row r="15927" s="65" customFormat="1"/>
    <row r="15928" s="65" customFormat="1"/>
    <row r="15929" s="65" customFormat="1"/>
    <row r="15930" s="65" customFormat="1"/>
    <row r="15931" s="65" customFormat="1"/>
    <row r="15932" s="65" customFormat="1"/>
    <row r="15933" s="65" customFormat="1"/>
    <row r="15934" s="65" customFormat="1"/>
    <row r="15935" s="65" customFormat="1"/>
    <row r="15936" s="65" customFormat="1"/>
    <row r="15937" s="65" customFormat="1"/>
    <row r="15938" s="65" customFormat="1"/>
    <row r="15939" s="65" customFormat="1"/>
    <row r="15940" s="65" customFormat="1"/>
    <row r="15941" s="65" customFormat="1"/>
    <row r="15942" s="65" customFormat="1"/>
    <row r="15943" s="65" customFormat="1"/>
    <row r="15944" s="65" customFormat="1"/>
    <row r="15945" s="65" customFormat="1"/>
    <row r="15946" s="65" customFormat="1"/>
    <row r="15947" s="65" customFormat="1"/>
    <row r="15948" s="65" customFormat="1"/>
    <row r="15949" s="65" customFormat="1"/>
    <row r="15950" s="65" customFormat="1"/>
    <row r="15951" s="65" customFormat="1"/>
    <row r="15952" s="65" customFormat="1"/>
    <row r="15953" s="65" customFormat="1"/>
    <row r="15954" s="65" customFormat="1"/>
    <row r="15955" s="65" customFormat="1"/>
    <row r="15956" s="65" customFormat="1"/>
    <row r="15957" s="65" customFormat="1"/>
    <row r="15958" s="65" customFormat="1"/>
    <row r="15959" s="65" customFormat="1"/>
    <row r="15960" s="65" customFormat="1"/>
    <row r="15961" s="65" customFormat="1"/>
    <row r="15962" s="65" customFormat="1"/>
    <row r="15963" s="65" customFormat="1"/>
    <row r="15964" s="65" customFormat="1"/>
    <row r="15965" s="65" customFormat="1"/>
    <row r="15966" s="65" customFormat="1"/>
    <row r="15967" s="65" customFormat="1"/>
    <row r="15968" s="65" customFormat="1"/>
    <row r="15969" s="65" customFormat="1"/>
    <row r="15970" s="65" customFormat="1"/>
    <row r="15971" s="65" customFormat="1"/>
    <row r="15972" s="65" customFormat="1"/>
    <row r="15973" s="65" customFormat="1"/>
    <row r="15974" s="65" customFormat="1"/>
    <row r="15975" s="65" customFormat="1"/>
    <row r="15976" s="65" customFormat="1"/>
    <row r="15977" s="65" customFormat="1"/>
    <row r="15978" s="65" customFormat="1"/>
    <row r="15979" s="65" customFormat="1"/>
    <row r="15980" s="65" customFormat="1"/>
    <row r="15981" s="65" customFormat="1"/>
    <row r="15982" s="65" customFormat="1"/>
    <row r="15983" s="65" customFormat="1"/>
    <row r="15984" s="65" customFormat="1"/>
    <row r="15985" s="65" customFormat="1"/>
    <row r="15986" s="65" customFormat="1"/>
    <row r="15987" s="65" customFormat="1"/>
    <row r="15988" s="65" customFormat="1"/>
    <row r="15989" s="65" customFormat="1"/>
    <row r="15990" s="65" customFormat="1"/>
    <row r="15991" s="65" customFormat="1"/>
    <row r="15992" s="65" customFormat="1"/>
    <row r="15993" s="65" customFormat="1"/>
    <row r="15994" s="65" customFormat="1"/>
    <row r="15995" s="65" customFormat="1"/>
    <row r="15996" s="65" customFormat="1"/>
    <row r="15997" s="65" customFormat="1"/>
    <row r="15998" s="65" customFormat="1"/>
    <row r="15999" s="65" customFormat="1"/>
    <row r="16000" s="65" customFormat="1"/>
    <row r="16001" s="65" customFormat="1"/>
    <row r="16002" s="65" customFormat="1"/>
    <row r="16003" s="65" customFormat="1"/>
    <row r="16004" s="65" customFormat="1"/>
    <row r="16005" s="65" customFormat="1"/>
    <row r="16006" s="65" customFormat="1"/>
    <row r="16007" s="65" customFormat="1"/>
    <row r="16008" s="65" customFormat="1"/>
    <row r="16009" s="65" customFormat="1"/>
    <row r="16010" s="65" customFormat="1"/>
    <row r="16011" s="65" customFormat="1"/>
    <row r="16012" s="65" customFormat="1"/>
    <row r="16013" s="65" customFormat="1"/>
    <row r="16014" s="65" customFormat="1"/>
    <row r="16015" s="65" customFormat="1"/>
    <row r="16016" s="65" customFormat="1"/>
    <row r="16017" s="65" customFormat="1"/>
    <row r="16018" s="65" customFormat="1"/>
    <row r="16019" s="65" customFormat="1"/>
    <row r="16020" s="65" customFormat="1"/>
    <row r="16021" s="65" customFormat="1"/>
    <row r="16022" s="65" customFormat="1"/>
    <row r="16023" s="65" customFormat="1"/>
    <row r="16024" s="65" customFormat="1"/>
    <row r="16025" s="65" customFormat="1"/>
    <row r="16026" s="65" customFormat="1"/>
    <row r="16027" s="65" customFormat="1"/>
    <row r="16028" s="65" customFormat="1"/>
    <row r="16029" s="65" customFormat="1"/>
    <row r="16030" s="65" customFormat="1"/>
    <row r="16031" s="65" customFormat="1"/>
    <row r="16032" s="65" customFormat="1"/>
    <row r="16033" s="65" customFormat="1"/>
    <row r="16034" s="65" customFormat="1"/>
    <row r="16035" s="65" customFormat="1"/>
    <row r="16036" s="65" customFormat="1"/>
    <row r="16037" s="65" customFormat="1"/>
    <row r="16038" s="65" customFormat="1"/>
    <row r="16039" s="65" customFormat="1"/>
    <row r="16040" s="65" customFormat="1"/>
    <row r="16041" s="65" customFormat="1"/>
    <row r="16042" s="65" customFormat="1"/>
    <row r="16043" s="65" customFormat="1"/>
    <row r="16044" s="65" customFormat="1"/>
    <row r="16045" s="65" customFormat="1"/>
    <row r="16046" s="65" customFormat="1"/>
    <row r="16047" s="65" customFormat="1"/>
    <row r="16048" s="65" customFormat="1"/>
    <row r="16049" s="65" customFormat="1"/>
    <row r="16050" s="65" customFormat="1"/>
    <row r="16051" s="65" customFormat="1"/>
    <row r="16052" s="65" customFormat="1"/>
    <row r="16053" s="65" customFormat="1"/>
    <row r="16054" s="65" customFormat="1"/>
    <row r="16055" s="65" customFormat="1"/>
    <row r="16056" s="65" customFormat="1"/>
    <row r="16057" s="65" customFormat="1"/>
    <row r="16058" s="65" customFormat="1"/>
    <row r="16059" s="65" customFormat="1"/>
    <row r="16060" s="65" customFormat="1"/>
    <row r="16061" s="65" customFormat="1"/>
    <row r="16062" s="65" customFormat="1"/>
    <row r="16063" s="65" customFormat="1"/>
    <row r="16064" s="65" customFormat="1"/>
    <row r="16065" s="65" customFormat="1"/>
    <row r="16066" s="65" customFormat="1"/>
    <row r="16067" s="65" customFormat="1"/>
    <row r="16068" s="65" customFormat="1"/>
    <row r="16069" s="65" customFormat="1"/>
    <row r="16070" s="65" customFormat="1"/>
    <row r="16071" s="65" customFormat="1"/>
    <row r="16072" s="65" customFormat="1"/>
    <row r="16073" s="65" customFormat="1"/>
    <row r="16074" s="65" customFormat="1"/>
    <row r="16075" s="65" customFormat="1"/>
    <row r="16076" s="65" customFormat="1"/>
    <row r="16077" s="65" customFormat="1"/>
    <row r="16078" s="65" customFormat="1"/>
    <row r="16079" s="65" customFormat="1"/>
    <row r="16080" s="65" customFormat="1"/>
    <row r="16081" s="65" customFormat="1"/>
    <row r="16082" s="65" customFormat="1"/>
    <row r="16083" s="65" customFormat="1"/>
    <row r="16084" s="65" customFormat="1"/>
    <row r="16085" s="65" customFormat="1"/>
    <row r="16086" s="65" customFormat="1"/>
    <row r="16087" s="65" customFormat="1"/>
    <row r="16088" s="65" customFormat="1"/>
    <row r="16089" s="65" customFormat="1"/>
    <row r="16090" s="65" customFormat="1"/>
    <row r="16091" s="65" customFormat="1"/>
    <row r="16092" s="65" customFormat="1"/>
    <row r="16093" s="65" customFormat="1"/>
    <row r="16094" s="65" customFormat="1"/>
    <row r="16095" s="65" customFormat="1"/>
    <row r="16096" s="65" customFormat="1"/>
    <row r="16097" s="65" customFormat="1"/>
    <row r="16098" s="65" customFormat="1"/>
    <row r="16099" s="65" customFormat="1"/>
    <row r="16100" s="65" customFormat="1"/>
    <row r="16101" s="65" customFormat="1"/>
    <row r="16102" s="65" customFormat="1"/>
    <row r="16103" s="65" customFormat="1"/>
    <row r="16104" s="65" customFormat="1"/>
    <row r="16105" s="65" customFormat="1"/>
    <row r="16106" s="65" customFormat="1"/>
    <row r="16107" s="65" customFormat="1"/>
    <row r="16108" s="65" customFormat="1"/>
    <row r="16109" s="65" customFormat="1"/>
    <row r="16110" s="65" customFormat="1"/>
    <row r="16111" s="65" customFormat="1"/>
    <row r="16112" s="65" customFormat="1"/>
    <row r="16113" s="65" customFormat="1"/>
    <row r="16114" s="65" customFormat="1"/>
    <row r="16115" s="65" customFormat="1"/>
    <row r="16116" s="65" customFormat="1"/>
    <row r="16117" s="65" customFormat="1"/>
    <row r="16118" s="65" customFormat="1"/>
    <row r="16119" s="65" customFormat="1"/>
    <row r="16120" s="65" customFormat="1"/>
    <row r="16121" s="65" customFormat="1"/>
    <row r="16122" s="65" customFormat="1"/>
    <row r="16123" s="65" customFormat="1"/>
    <row r="16124" s="65" customFormat="1"/>
    <row r="16125" s="65" customFormat="1"/>
    <row r="16126" s="65" customFormat="1"/>
    <row r="16127" s="65" customFormat="1"/>
    <row r="16128" s="65" customFormat="1"/>
    <row r="16129" s="65" customFormat="1"/>
    <row r="16130" s="65" customFormat="1"/>
    <row r="16131" s="65" customFormat="1"/>
    <row r="16132" s="65" customFormat="1"/>
    <row r="16133" s="65" customFormat="1"/>
    <row r="16134" s="65" customFormat="1"/>
    <row r="16135" s="65" customFormat="1"/>
    <row r="16136" s="65" customFormat="1"/>
    <row r="16137" s="65" customFormat="1"/>
    <row r="16138" s="65" customFormat="1"/>
    <row r="16139" s="65" customFormat="1"/>
    <row r="16140" s="65" customFormat="1"/>
    <row r="16141" s="65" customFormat="1"/>
    <row r="16142" s="65" customFormat="1"/>
    <row r="16143" s="65" customFormat="1"/>
    <row r="16144" s="65" customFormat="1"/>
    <row r="16145" s="65" customFormat="1"/>
    <row r="16146" s="65" customFormat="1"/>
    <row r="16147" s="65" customFormat="1"/>
    <row r="16148" s="65" customFormat="1"/>
    <row r="16149" s="65" customFormat="1"/>
    <row r="16150" s="65" customFormat="1"/>
    <row r="16151" s="65" customFormat="1"/>
    <row r="16152" s="65" customFormat="1"/>
    <row r="16153" s="65" customFormat="1"/>
    <row r="16154" s="65" customFormat="1"/>
    <row r="16155" s="65" customFormat="1"/>
    <row r="16156" s="65" customFormat="1"/>
    <row r="16157" s="65" customFormat="1"/>
    <row r="16158" s="65" customFormat="1"/>
    <row r="16159" s="65" customFormat="1"/>
    <row r="16160" s="65" customFormat="1"/>
    <row r="16161" s="65" customFormat="1"/>
    <row r="16162" s="65" customFormat="1"/>
    <row r="16163" s="65" customFormat="1"/>
    <row r="16164" s="65" customFormat="1"/>
    <row r="16165" s="65" customFormat="1"/>
    <row r="16166" s="65" customFormat="1"/>
    <row r="16167" s="65" customFormat="1"/>
    <row r="16168" s="65" customFormat="1"/>
    <row r="16169" s="65" customFormat="1"/>
    <row r="16170" s="65" customFormat="1"/>
    <row r="16171" s="65" customFormat="1"/>
    <row r="16172" s="65" customFormat="1"/>
    <row r="16173" s="65" customFormat="1"/>
    <row r="16174" s="65" customFormat="1"/>
    <row r="16175" s="65" customFormat="1"/>
    <row r="16176" s="65" customFormat="1"/>
    <row r="16177" s="65" customFormat="1"/>
    <row r="16178" s="65" customFormat="1"/>
    <row r="16179" s="65" customFormat="1"/>
    <row r="16180" s="65" customFormat="1"/>
    <row r="16181" s="65" customFormat="1"/>
    <row r="16182" s="65" customFormat="1"/>
    <row r="16183" s="65" customFormat="1"/>
    <row r="16184" s="65" customFormat="1"/>
    <row r="16185" s="65" customFormat="1"/>
    <row r="16186" s="65" customFormat="1"/>
    <row r="16187" s="65" customFormat="1"/>
    <row r="16188" s="65" customFormat="1"/>
    <row r="16189" s="65" customFormat="1"/>
    <row r="16190" s="65" customFormat="1"/>
    <row r="16191" s="65" customFormat="1"/>
    <row r="16192" s="65" customFormat="1"/>
    <row r="16193" s="65" customFormat="1"/>
    <row r="16194" s="65" customFormat="1"/>
    <row r="16195" s="65" customFormat="1"/>
    <row r="16196" s="65" customFormat="1"/>
    <row r="16197" s="65" customFormat="1"/>
    <row r="16198" s="65" customFormat="1"/>
    <row r="16199" s="65" customFormat="1"/>
    <row r="16200" s="65" customFormat="1"/>
    <row r="16201" s="65" customFormat="1"/>
    <row r="16202" s="65" customFormat="1"/>
    <row r="16203" s="65" customFormat="1"/>
    <row r="16204" s="65" customFormat="1"/>
    <row r="16205" s="65" customFormat="1"/>
    <row r="16206" s="65" customFormat="1"/>
    <row r="16207" s="65" customFormat="1"/>
    <row r="16208" s="65" customFormat="1"/>
    <row r="16209" s="65" customFormat="1"/>
    <row r="16210" s="65" customFormat="1"/>
    <row r="16211" s="65" customFormat="1"/>
    <row r="16212" s="65" customFormat="1"/>
    <row r="16213" s="65" customFormat="1"/>
    <row r="16214" s="65" customFormat="1"/>
    <row r="16215" s="65" customFormat="1"/>
    <row r="16216" s="65" customFormat="1"/>
    <row r="16217" s="65" customFormat="1"/>
    <row r="16218" s="65" customFormat="1"/>
    <row r="16219" s="65" customFormat="1"/>
    <row r="16220" s="65" customFormat="1"/>
    <row r="16221" s="65" customFormat="1"/>
    <row r="16222" s="65" customFormat="1"/>
    <row r="16223" s="65" customFormat="1"/>
    <row r="16224" s="65" customFormat="1"/>
    <row r="16225" s="65" customFormat="1"/>
    <row r="16226" s="65" customFormat="1"/>
    <row r="16227" s="65" customFormat="1"/>
    <row r="16228" s="65" customFormat="1"/>
    <row r="16229" s="65" customFormat="1"/>
    <row r="16230" s="65" customFormat="1"/>
    <row r="16231" s="65" customFormat="1"/>
    <row r="16232" s="65" customFormat="1"/>
    <row r="16233" s="65" customFormat="1"/>
    <row r="16234" s="65" customFormat="1"/>
    <row r="16235" s="65" customFormat="1"/>
    <row r="16236" s="65" customFormat="1"/>
    <row r="16237" s="65" customFormat="1"/>
    <row r="16238" s="65" customFormat="1"/>
    <row r="16239" s="65" customFormat="1"/>
    <row r="16240" s="65" customFormat="1"/>
    <row r="16241" s="65" customFormat="1"/>
    <row r="16242" s="65" customFormat="1"/>
    <row r="16243" s="65" customFormat="1"/>
    <row r="16244" s="65" customFormat="1"/>
    <row r="16245" s="65" customFormat="1"/>
    <row r="16246" s="65" customFormat="1"/>
    <row r="16247" s="65" customFormat="1"/>
    <row r="16248" s="65" customFormat="1"/>
    <row r="16249" s="65" customFormat="1"/>
    <row r="16250" s="65" customFormat="1"/>
    <row r="16251" s="65" customFormat="1"/>
    <row r="16252" s="65" customFormat="1"/>
    <row r="16253" s="65" customFormat="1"/>
    <row r="16254" s="65" customFormat="1"/>
    <row r="16255" s="65" customFormat="1"/>
    <row r="16256" s="65" customFormat="1"/>
    <row r="16257" s="65" customFormat="1"/>
    <row r="16258" s="65" customFormat="1"/>
    <row r="16259" s="65" customFormat="1"/>
    <row r="16260" s="65" customFormat="1"/>
    <row r="16261" s="65" customFormat="1"/>
    <row r="16262" s="65" customFormat="1"/>
    <row r="16263" s="65" customFormat="1"/>
    <row r="16264" s="65" customFormat="1"/>
    <row r="16265" s="65" customFormat="1"/>
    <row r="16266" s="65" customFormat="1"/>
    <row r="16267" s="65" customFormat="1"/>
    <row r="16268" s="65" customFormat="1"/>
    <row r="16269" s="65" customFormat="1"/>
    <row r="16270" s="65" customFormat="1"/>
    <row r="16271" s="65" customFormat="1"/>
    <row r="16272" s="65" customFormat="1"/>
    <row r="16273" s="65" customFormat="1"/>
    <row r="16274" s="65" customFormat="1"/>
    <row r="16275" s="65" customFormat="1"/>
    <row r="16276" s="65" customFormat="1"/>
    <row r="16277" s="65" customFormat="1"/>
    <row r="16278" s="65" customFormat="1"/>
    <row r="16279" s="65" customFormat="1"/>
    <row r="16280" s="65" customFormat="1"/>
    <row r="16281" s="65" customFormat="1"/>
    <row r="16282" s="65" customFormat="1"/>
    <row r="16283" s="65" customFormat="1"/>
    <row r="16284" s="65" customFormat="1"/>
    <row r="16285" s="65" customFormat="1"/>
    <row r="16286" s="65" customFormat="1"/>
    <row r="16287" s="65" customFormat="1"/>
    <row r="16288" s="65" customFormat="1"/>
    <row r="16289" s="65" customFormat="1"/>
    <row r="16290" s="65" customFormat="1"/>
    <row r="16291" s="65" customFormat="1"/>
    <row r="16292" s="65" customFormat="1"/>
    <row r="16293" s="65" customFormat="1"/>
    <row r="16294" s="65" customFormat="1"/>
    <row r="16295" s="65" customFormat="1"/>
    <row r="16296" s="65" customFormat="1"/>
    <row r="16297" s="65" customFormat="1"/>
    <row r="16298" s="65" customFormat="1"/>
    <row r="16299" s="65" customFormat="1"/>
    <row r="16300" s="65" customFormat="1"/>
    <row r="16301" s="65" customFormat="1"/>
    <row r="16302" s="65" customFormat="1"/>
    <row r="16303" s="65" customFormat="1"/>
    <row r="16304" s="65" customFormat="1"/>
    <row r="16305" s="65" customFormat="1"/>
    <row r="16306" s="65" customFormat="1"/>
    <row r="16307" s="65" customFormat="1"/>
    <row r="16308" s="65" customFormat="1"/>
    <row r="16309" s="65" customFormat="1"/>
    <row r="16310" s="65" customFormat="1"/>
    <row r="16311" s="65" customFormat="1"/>
    <row r="16312" s="65" customFormat="1"/>
    <row r="16313" s="65" customFormat="1"/>
    <row r="16314" s="65" customFormat="1"/>
    <row r="16315" s="65" customFormat="1"/>
    <row r="16316" s="65" customFormat="1"/>
    <row r="16317" s="65" customFormat="1"/>
    <row r="16318" s="65" customFormat="1"/>
    <row r="16319" s="65" customFormat="1"/>
    <row r="16320" s="65" customFormat="1"/>
    <row r="16321" s="65" customFormat="1"/>
    <row r="16322" s="65" customFormat="1"/>
    <row r="16323" s="65" customFormat="1"/>
    <row r="16324" s="65" customFormat="1"/>
    <row r="16325" s="65" customFormat="1"/>
    <row r="16326" s="65" customFormat="1"/>
    <row r="16327" s="65" customFormat="1"/>
    <row r="16328" s="65" customFormat="1"/>
    <row r="16329" s="65" customFormat="1"/>
    <row r="16330" s="65" customFormat="1"/>
    <row r="16331" s="65" customFormat="1"/>
    <row r="16332" s="65" customFormat="1"/>
    <row r="16333" s="65" customFormat="1"/>
    <row r="16334" s="65" customFormat="1"/>
    <row r="16335" s="65" customFormat="1"/>
    <row r="16336" s="65" customFormat="1"/>
    <row r="16337" s="65" customFormat="1"/>
    <row r="16338" s="65" customFormat="1"/>
    <row r="16339" s="65" customFormat="1"/>
    <row r="16340" s="65" customFormat="1"/>
    <row r="16341" s="65" customFormat="1"/>
    <row r="16342" s="65" customFormat="1"/>
    <row r="16343" s="65" customFormat="1"/>
    <row r="16344" s="65" customFormat="1"/>
    <row r="16345" s="65" customFormat="1"/>
    <row r="16346" s="65" customFormat="1"/>
    <row r="16347" s="65" customFormat="1"/>
    <row r="16348" s="65" customFormat="1"/>
    <row r="16349" s="65" customFormat="1"/>
    <row r="16350" s="65" customFormat="1"/>
    <row r="16351" s="65" customFormat="1"/>
    <row r="16352" s="65" customFormat="1"/>
    <row r="16353" s="65" customFormat="1"/>
    <row r="16354" s="65" customFormat="1"/>
    <row r="16355" s="65" customFormat="1"/>
    <row r="16356" s="65" customFormat="1"/>
    <row r="16357" s="65" customFormat="1"/>
    <row r="16358" s="65" customFormat="1"/>
    <row r="16359" s="65" customFormat="1"/>
    <row r="16360" s="65" customFormat="1"/>
    <row r="16361" s="65" customFormat="1"/>
    <row r="16362" s="65" customFormat="1"/>
    <row r="16363" s="65" customFormat="1"/>
    <row r="16364" s="65" customFormat="1"/>
    <row r="16365" s="65" customFormat="1"/>
    <row r="16366" s="65" customFormat="1"/>
    <row r="16367" s="65" customFormat="1"/>
    <row r="16368" s="65" customFormat="1"/>
    <row r="16369" s="65" customFormat="1"/>
    <row r="16370" s="65" customFormat="1"/>
    <row r="16371" s="65" customFormat="1"/>
    <row r="16372" s="65" customFormat="1"/>
    <row r="16373" s="65" customFormat="1"/>
    <row r="16374" s="65" customFormat="1"/>
    <row r="16375" s="65" customFormat="1"/>
    <row r="16376" s="65" customFormat="1"/>
    <row r="16377" s="65" customFormat="1"/>
    <row r="16378" s="65" customFormat="1"/>
    <row r="16379" s="65" customFormat="1"/>
    <row r="16380" s="65" customFormat="1"/>
    <row r="16381" s="65" customFormat="1"/>
    <row r="16382" s="65" customFormat="1"/>
    <row r="16383" s="65" customFormat="1"/>
    <row r="16384" s="65" customFormat="1"/>
    <row r="16385" s="65" customFormat="1"/>
    <row r="16386" s="65" customFormat="1"/>
    <row r="16387" s="65" customFormat="1"/>
    <row r="16388" s="65" customFormat="1"/>
    <row r="16389" s="65" customFormat="1"/>
    <row r="16390" s="65" customFormat="1"/>
    <row r="16391" s="65" customFormat="1"/>
    <row r="16392" s="65" customFormat="1"/>
    <row r="16393" s="65" customFormat="1"/>
    <row r="16394" s="65" customFormat="1"/>
    <row r="16395" s="65" customFormat="1"/>
    <row r="16396" s="65" customFormat="1"/>
    <row r="16397" s="65" customFormat="1"/>
    <row r="16398" s="65" customFormat="1"/>
    <row r="16399" s="65" customFormat="1"/>
    <row r="16400" s="65" customFormat="1"/>
    <row r="16401" s="65" customFormat="1"/>
    <row r="16402" s="65" customFormat="1"/>
    <row r="16403" s="65" customFormat="1"/>
    <row r="16404" s="65" customFormat="1"/>
    <row r="16405" s="65" customFormat="1"/>
    <row r="16406" s="65" customFormat="1"/>
    <row r="16407" s="65" customFormat="1"/>
    <row r="16408" s="65" customFormat="1"/>
    <row r="16409" s="65" customFormat="1"/>
    <row r="16410" s="65" customFormat="1"/>
    <row r="16411" s="65" customFormat="1"/>
    <row r="16412" s="65" customFormat="1"/>
    <row r="16413" s="65" customFormat="1"/>
    <row r="16414" s="65" customFormat="1"/>
    <row r="16415" s="65" customFormat="1"/>
    <row r="16416" s="65" customFormat="1"/>
    <row r="16417" s="65" customFormat="1"/>
    <row r="16418" s="65" customFormat="1"/>
    <row r="16419" s="65" customFormat="1"/>
    <row r="16420" s="65" customFormat="1"/>
    <row r="16421" s="65" customFormat="1"/>
    <row r="16422" s="65" customFormat="1"/>
    <row r="16423" s="65" customFormat="1"/>
    <row r="16424" s="65" customFormat="1"/>
    <row r="16425" s="65" customFormat="1"/>
    <row r="16426" s="65" customFormat="1"/>
    <row r="16427" s="65" customFormat="1"/>
    <row r="16428" s="65" customFormat="1"/>
    <row r="16429" s="65" customFormat="1"/>
    <row r="16430" s="65" customFormat="1"/>
    <row r="16431" s="65" customFormat="1"/>
    <row r="16432" s="65" customFormat="1"/>
    <row r="16433" s="65" customFormat="1"/>
    <row r="16434" s="65" customFormat="1"/>
    <row r="16435" s="65" customFormat="1"/>
    <row r="16436" s="65" customFormat="1"/>
    <row r="16437" s="65" customFormat="1"/>
    <row r="16438" s="65" customFormat="1"/>
    <row r="16439" s="65" customFormat="1"/>
    <row r="16440" s="65" customFormat="1"/>
    <row r="16441" s="65" customFormat="1"/>
    <row r="16442" s="65" customFormat="1"/>
    <row r="16443" s="65" customFormat="1"/>
    <row r="16444" s="65" customFormat="1"/>
    <row r="16445" s="65" customFormat="1"/>
    <row r="16446" s="65" customFormat="1"/>
    <row r="16447" s="65" customFormat="1"/>
    <row r="16448" s="65" customFormat="1"/>
    <row r="16449" s="65" customFormat="1"/>
    <row r="16450" s="65" customFormat="1"/>
    <row r="16451" s="65" customFormat="1"/>
    <row r="16452" s="65" customFormat="1"/>
    <row r="16453" s="65" customFormat="1"/>
    <row r="16454" s="65" customFormat="1"/>
    <row r="16455" s="65" customFormat="1"/>
    <row r="16456" s="65" customFormat="1"/>
    <row r="16457" s="65" customFormat="1"/>
    <row r="16458" s="65" customFormat="1"/>
    <row r="16459" s="65" customFormat="1"/>
    <row r="16460" s="65" customFormat="1"/>
    <row r="16461" s="65" customFormat="1"/>
    <row r="16462" s="65" customFormat="1"/>
    <row r="16463" s="65" customFormat="1"/>
    <row r="16464" s="65" customFormat="1"/>
    <row r="16465" s="65" customFormat="1"/>
    <row r="16466" s="65" customFormat="1"/>
    <row r="16467" s="65" customFormat="1"/>
    <row r="16468" s="65" customFormat="1"/>
    <row r="16469" s="65" customFormat="1"/>
    <row r="16470" s="65" customFormat="1"/>
    <row r="16471" s="65" customFormat="1"/>
    <row r="16472" s="65" customFormat="1"/>
    <row r="16473" s="65" customFormat="1"/>
    <row r="16474" s="65" customFormat="1"/>
    <row r="16475" s="65" customFormat="1"/>
    <row r="16476" s="65" customFormat="1"/>
    <row r="16477" s="65" customFormat="1"/>
    <row r="16478" s="65" customFormat="1"/>
    <row r="16479" s="65" customFormat="1"/>
    <row r="16480" s="65" customFormat="1"/>
    <row r="16481" s="65" customFormat="1"/>
    <row r="16482" s="65" customFormat="1"/>
    <row r="16483" s="65" customFormat="1"/>
    <row r="16484" s="65" customFormat="1"/>
    <row r="16485" s="65" customFormat="1"/>
    <row r="16486" s="65" customFormat="1"/>
    <row r="16487" s="65" customFormat="1"/>
    <row r="16488" s="65" customFormat="1"/>
    <row r="16489" s="65" customFormat="1"/>
    <row r="16490" s="65" customFormat="1"/>
    <row r="16491" s="65" customFormat="1"/>
    <row r="16492" s="65" customFormat="1"/>
    <row r="16493" s="65" customFormat="1"/>
    <row r="16494" s="65" customFormat="1"/>
    <row r="16495" s="65" customFormat="1"/>
    <row r="16496" s="65" customFormat="1"/>
    <row r="16497" s="65" customFormat="1"/>
    <row r="16498" s="65" customFormat="1"/>
    <row r="16499" s="65" customFormat="1"/>
    <row r="16500" s="65" customFormat="1"/>
    <row r="16501" s="65" customFormat="1"/>
    <row r="16502" s="65" customFormat="1"/>
    <row r="16503" s="65" customFormat="1"/>
    <row r="16504" s="65" customFormat="1"/>
    <row r="16505" s="65" customFormat="1"/>
    <row r="16506" s="65" customFormat="1"/>
    <row r="16507" s="65" customFormat="1"/>
    <row r="16508" s="65" customFormat="1"/>
    <row r="16509" s="65" customFormat="1"/>
    <row r="16510" s="65" customFormat="1"/>
    <row r="16511" s="65" customFormat="1"/>
    <row r="16512" s="65" customFormat="1"/>
    <row r="16513" s="65" customFormat="1"/>
    <row r="16514" s="65" customFormat="1"/>
    <row r="16515" s="65" customFormat="1"/>
    <row r="16516" s="65" customFormat="1"/>
    <row r="16517" s="65" customFormat="1"/>
    <row r="16518" s="65" customFormat="1"/>
    <row r="16519" s="65" customFormat="1"/>
    <row r="16520" s="65" customFormat="1"/>
    <row r="16521" s="65" customFormat="1"/>
    <row r="16522" s="65" customFormat="1"/>
    <row r="16523" s="65" customFormat="1"/>
    <row r="16524" s="65" customFormat="1"/>
    <row r="16525" s="65" customFormat="1"/>
    <row r="16526" s="65" customFormat="1"/>
    <row r="16527" s="65" customFormat="1"/>
    <row r="16528" s="65" customFormat="1"/>
    <row r="16529" s="65" customFormat="1"/>
    <row r="16530" s="65" customFormat="1"/>
    <row r="16531" s="65" customFormat="1"/>
    <row r="16532" s="65" customFormat="1"/>
    <row r="16533" s="65" customFormat="1"/>
    <row r="16534" s="65" customFormat="1"/>
    <row r="16535" s="65" customFormat="1"/>
    <row r="16536" s="65" customFormat="1"/>
    <row r="16537" s="65" customFormat="1"/>
    <row r="16538" s="65" customFormat="1"/>
    <row r="16539" s="65" customFormat="1"/>
    <row r="16540" s="65" customFormat="1"/>
    <row r="16541" s="65" customFormat="1"/>
    <row r="16542" s="65" customFormat="1"/>
    <row r="16543" s="65" customFormat="1"/>
    <row r="16544" s="65" customFormat="1"/>
    <row r="16545" s="65" customFormat="1"/>
    <row r="16546" s="65" customFormat="1"/>
    <row r="16547" s="65" customFormat="1"/>
    <row r="16548" s="65" customFormat="1"/>
    <row r="16549" s="65" customFormat="1"/>
    <row r="16550" s="65" customFormat="1"/>
    <row r="16551" s="65" customFormat="1"/>
    <row r="16552" s="65" customFormat="1"/>
    <row r="16553" s="65" customFormat="1"/>
    <row r="16554" s="65" customFormat="1"/>
    <row r="16555" s="65" customFormat="1"/>
    <row r="16556" s="65" customFormat="1"/>
    <row r="16557" s="65" customFormat="1"/>
    <row r="16558" s="65" customFormat="1"/>
    <row r="16559" s="65" customFormat="1"/>
    <row r="16560" s="65" customFormat="1"/>
    <row r="16561" s="65" customFormat="1"/>
    <row r="16562" s="65" customFormat="1"/>
    <row r="16563" s="65" customFormat="1"/>
    <row r="16564" s="65" customFormat="1"/>
    <row r="16565" s="65" customFormat="1"/>
    <row r="16566" s="65" customFormat="1"/>
    <row r="16567" s="65" customFormat="1"/>
    <row r="16568" s="65" customFormat="1"/>
    <row r="16569" s="65" customFormat="1"/>
    <row r="16570" s="65" customFormat="1"/>
    <row r="16571" s="65" customFormat="1"/>
    <row r="16572" s="65" customFormat="1"/>
    <row r="16573" s="65" customFormat="1"/>
    <row r="16574" s="65" customFormat="1"/>
    <row r="16575" s="65" customFormat="1"/>
    <row r="16576" s="65" customFormat="1"/>
    <row r="16577" s="65" customFormat="1"/>
    <row r="16578" s="65" customFormat="1"/>
    <row r="16579" s="65" customFormat="1"/>
    <row r="16580" s="65" customFormat="1"/>
    <row r="16581" s="65" customFormat="1"/>
    <row r="16582" s="65" customFormat="1"/>
    <row r="16583" s="65" customFormat="1"/>
    <row r="16584" s="65" customFormat="1"/>
    <row r="16585" s="65" customFormat="1"/>
    <row r="16586" s="65" customFormat="1"/>
    <row r="16587" s="65" customFormat="1"/>
    <row r="16588" s="65" customFormat="1"/>
    <row r="16589" s="65" customFormat="1"/>
    <row r="16590" s="65" customFormat="1"/>
    <row r="16591" s="65" customFormat="1"/>
    <row r="16592" s="65" customFormat="1"/>
    <row r="16593" s="65" customFormat="1"/>
    <row r="16594" s="65" customFormat="1"/>
    <row r="16595" s="65" customFormat="1"/>
    <row r="16596" s="65" customFormat="1"/>
    <row r="16597" s="65" customFormat="1"/>
    <row r="16598" s="65" customFormat="1"/>
    <row r="16599" s="65" customFormat="1"/>
    <row r="16600" s="65" customFormat="1"/>
    <row r="16601" s="65" customFormat="1"/>
    <row r="16602" s="65" customFormat="1"/>
    <row r="16603" s="65" customFormat="1"/>
    <row r="16604" s="65" customFormat="1"/>
    <row r="16605" s="65" customFormat="1"/>
    <row r="16606" s="65" customFormat="1"/>
    <row r="16607" s="65" customFormat="1"/>
    <row r="16608" s="65" customFormat="1"/>
    <row r="16609" s="65" customFormat="1"/>
    <row r="16610" s="65" customFormat="1"/>
    <row r="16611" s="65" customFormat="1"/>
    <row r="16612" s="65" customFormat="1"/>
    <row r="16613" s="65" customFormat="1"/>
    <row r="16614" s="65" customFormat="1"/>
    <row r="16615" s="65" customFormat="1"/>
    <row r="16616" s="65" customFormat="1"/>
    <row r="16617" s="65" customFormat="1"/>
    <row r="16618" s="65" customFormat="1"/>
    <row r="16619" s="65" customFormat="1"/>
    <row r="16620" s="65" customFormat="1"/>
    <row r="16621" s="65" customFormat="1"/>
    <row r="16622" s="65" customFormat="1"/>
    <row r="16623" s="65" customFormat="1"/>
    <row r="16624" s="65" customFormat="1"/>
    <row r="16625" s="65" customFormat="1"/>
    <row r="16626" s="65" customFormat="1"/>
    <row r="16627" s="65" customFormat="1"/>
    <row r="16628" s="65" customFormat="1"/>
    <row r="16629" s="65" customFormat="1"/>
    <row r="16630" s="65" customFormat="1"/>
    <row r="16631" s="65" customFormat="1"/>
    <row r="16632" s="65" customFormat="1"/>
    <row r="16633" s="65" customFormat="1"/>
    <row r="16634" s="65" customFormat="1"/>
    <row r="16635" s="65" customFormat="1"/>
    <row r="16636" s="65" customFormat="1"/>
    <row r="16637" s="65" customFormat="1"/>
    <row r="16638" s="65" customFormat="1"/>
    <row r="16639" s="65" customFormat="1"/>
    <row r="16640" s="65" customFormat="1"/>
    <row r="16641" s="65" customFormat="1"/>
    <row r="16642" s="65" customFormat="1"/>
    <row r="16643" s="65" customFormat="1"/>
    <row r="16644" s="65" customFormat="1"/>
    <row r="16645" s="65" customFormat="1"/>
    <row r="16646" s="65" customFormat="1"/>
    <row r="16647" s="65" customFormat="1"/>
    <row r="16648" s="65" customFormat="1"/>
    <row r="16649" s="65" customFormat="1"/>
    <row r="16650" s="65" customFormat="1"/>
    <row r="16651" s="65" customFormat="1"/>
    <row r="16652" s="65" customFormat="1"/>
    <row r="16653" s="65" customFormat="1"/>
    <row r="16654" s="65" customFormat="1"/>
    <row r="16655" s="65" customFormat="1"/>
    <row r="16656" s="65" customFormat="1"/>
    <row r="16657" s="65" customFormat="1"/>
    <row r="16658" s="65" customFormat="1"/>
    <row r="16659" s="65" customFormat="1"/>
    <row r="16660" s="65" customFormat="1"/>
    <row r="16661" s="65" customFormat="1"/>
    <row r="16662" s="65" customFormat="1"/>
    <row r="16663" s="65" customFormat="1"/>
    <row r="16664" s="65" customFormat="1"/>
    <row r="16665" s="65" customFormat="1"/>
    <row r="16666" s="65" customFormat="1"/>
    <row r="16667" s="65" customFormat="1"/>
    <row r="16668" s="65" customFormat="1"/>
    <row r="16669" s="65" customFormat="1"/>
    <row r="16670" s="65" customFormat="1"/>
    <row r="16671" s="65" customFormat="1"/>
    <row r="16672" s="65" customFormat="1"/>
    <row r="16673" s="65" customFormat="1"/>
    <row r="16674" s="65" customFormat="1"/>
    <row r="16675" s="65" customFormat="1"/>
    <row r="16676" s="65" customFormat="1"/>
    <row r="16677" s="65" customFormat="1"/>
    <row r="16678" s="65" customFormat="1"/>
    <row r="16679" s="65" customFormat="1"/>
    <row r="16680" s="65" customFormat="1"/>
    <row r="16681" s="65" customFormat="1"/>
    <row r="16682" s="65" customFormat="1"/>
    <row r="16683" s="65" customFormat="1"/>
    <row r="16684" s="65" customFormat="1"/>
    <row r="16685" s="65" customFormat="1"/>
    <row r="16686" s="65" customFormat="1"/>
    <row r="16687" s="65" customFormat="1"/>
    <row r="16688" s="65" customFormat="1"/>
    <row r="16689" s="65" customFormat="1"/>
    <row r="16690" s="65" customFormat="1"/>
    <row r="16691" s="65" customFormat="1"/>
    <row r="16692" s="65" customFormat="1"/>
    <row r="16693" s="65" customFormat="1"/>
    <row r="16694" s="65" customFormat="1"/>
    <row r="16695" s="65" customFormat="1"/>
    <row r="16696" s="65" customFormat="1"/>
    <row r="16697" s="65" customFormat="1"/>
    <row r="16698" s="65" customFormat="1"/>
    <row r="16699" s="65" customFormat="1"/>
    <row r="16700" s="65" customFormat="1"/>
    <row r="16701" s="65" customFormat="1"/>
    <row r="16702" s="65" customFormat="1"/>
    <row r="16703" s="65" customFormat="1"/>
    <row r="16704" s="65" customFormat="1"/>
    <row r="16705" s="65" customFormat="1"/>
    <row r="16706" s="65" customFormat="1"/>
    <row r="16707" s="65" customFormat="1"/>
    <row r="16708" s="65" customFormat="1"/>
    <row r="16709" s="65" customFormat="1"/>
    <row r="16710" s="65" customFormat="1"/>
    <row r="16711" s="65" customFormat="1"/>
    <row r="16712" s="65" customFormat="1"/>
    <row r="16713" s="65" customFormat="1"/>
    <row r="16714" s="65" customFormat="1"/>
    <row r="16715" s="65" customFormat="1"/>
    <row r="16716" s="65" customFormat="1"/>
    <row r="16717" s="65" customFormat="1"/>
    <row r="16718" s="65" customFormat="1"/>
    <row r="16719" s="65" customFormat="1"/>
    <row r="16720" s="65" customFormat="1"/>
    <row r="16721" s="65" customFormat="1"/>
    <row r="16722" s="65" customFormat="1"/>
    <row r="16723" s="65" customFormat="1"/>
    <row r="16724" s="65" customFormat="1"/>
    <row r="16725" s="65" customFormat="1"/>
    <row r="16726" s="65" customFormat="1"/>
    <row r="16727" s="65" customFormat="1"/>
    <row r="16728" s="65" customFormat="1"/>
    <row r="16729" s="65" customFormat="1"/>
    <row r="16730" s="65" customFormat="1"/>
    <row r="16731" s="65" customFormat="1"/>
    <row r="16732" s="65" customFormat="1"/>
    <row r="16733" s="65" customFormat="1"/>
    <row r="16734" s="65" customFormat="1"/>
    <row r="16735" s="65" customFormat="1"/>
    <row r="16736" s="65" customFormat="1"/>
    <row r="16737" s="65" customFormat="1"/>
    <row r="16738" s="65" customFormat="1"/>
    <row r="16739" s="65" customFormat="1"/>
    <row r="16740" s="65" customFormat="1"/>
    <row r="16741" s="65" customFormat="1"/>
    <row r="16742" s="65" customFormat="1"/>
    <row r="16743" s="65" customFormat="1"/>
    <row r="16744" s="65" customFormat="1"/>
    <row r="16745" s="65" customFormat="1"/>
    <row r="16746" s="65" customFormat="1"/>
    <row r="16747" s="65" customFormat="1"/>
    <row r="16748" s="65" customFormat="1"/>
    <row r="16749" s="65" customFormat="1"/>
    <row r="16750" s="65" customFormat="1"/>
    <row r="16751" s="65" customFormat="1"/>
    <row r="16752" s="65" customFormat="1"/>
    <row r="16753" s="65" customFormat="1"/>
    <row r="16754" s="65" customFormat="1"/>
    <row r="16755" s="65" customFormat="1"/>
    <row r="16756" s="65" customFormat="1"/>
    <row r="16757" s="65" customFormat="1"/>
    <row r="16758" s="65" customFormat="1"/>
    <row r="16759" s="65" customFormat="1"/>
    <row r="16760" s="65" customFormat="1"/>
    <row r="16761" s="65" customFormat="1"/>
    <row r="16762" s="65" customFormat="1"/>
    <row r="16763" s="65" customFormat="1"/>
    <row r="16764" s="65" customFormat="1"/>
    <row r="16765" s="65" customFormat="1"/>
    <row r="16766" s="65" customFormat="1"/>
    <row r="16767" s="65" customFormat="1"/>
    <row r="16768" s="65" customFormat="1"/>
    <row r="16769" s="65" customFormat="1"/>
    <row r="16770" s="65" customFormat="1"/>
    <row r="16771" s="65" customFormat="1"/>
    <row r="16772" s="65" customFormat="1"/>
    <row r="16773" s="65" customFormat="1"/>
    <row r="16774" s="65" customFormat="1"/>
    <row r="16775" s="65" customFormat="1"/>
    <row r="16776" s="65" customFormat="1"/>
    <row r="16777" s="65" customFormat="1"/>
    <row r="16778" s="65" customFormat="1"/>
    <row r="16779" s="65" customFormat="1"/>
    <row r="16780" s="65" customFormat="1"/>
    <row r="16781" s="65" customFormat="1"/>
    <row r="16782" s="65" customFormat="1"/>
    <row r="16783" s="65" customFormat="1"/>
    <row r="16784" s="65" customFormat="1"/>
    <row r="16785" s="65" customFormat="1"/>
    <row r="16786" s="65" customFormat="1"/>
    <row r="16787" s="65" customFormat="1"/>
    <row r="16788" s="65" customFormat="1"/>
    <row r="16789" s="65" customFormat="1"/>
    <row r="16790" s="65" customFormat="1"/>
    <row r="16791" s="65" customFormat="1"/>
    <row r="16792" s="65" customFormat="1"/>
    <row r="16793" s="65" customFormat="1"/>
    <row r="16794" s="65" customFormat="1"/>
    <row r="16795" s="65" customFormat="1"/>
    <row r="16796" s="65" customFormat="1"/>
    <row r="16797" s="65" customFormat="1"/>
    <row r="16798" s="65" customFormat="1"/>
    <row r="16799" s="65" customFormat="1"/>
    <row r="16800" s="65" customFormat="1"/>
    <row r="16801" s="65" customFormat="1"/>
    <row r="16802" s="65" customFormat="1"/>
    <row r="16803" s="65" customFormat="1"/>
    <row r="16804" s="65" customFormat="1"/>
    <row r="16805" s="65" customFormat="1"/>
    <row r="16806" s="65" customFormat="1"/>
    <row r="16807" s="65" customFormat="1"/>
    <row r="16808" s="65" customFormat="1"/>
    <row r="16809" s="65" customFormat="1"/>
    <row r="16810" s="65" customFormat="1"/>
    <row r="16811" s="65" customFormat="1"/>
    <row r="16812" s="65" customFormat="1"/>
    <row r="16813" s="65" customFormat="1"/>
    <row r="16814" s="65" customFormat="1"/>
    <row r="16815" s="65" customFormat="1"/>
    <row r="16816" s="65" customFormat="1"/>
    <row r="16817" s="65" customFormat="1"/>
    <row r="16818" s="65" customFormat="1"/>
    <row r="16819" s="65" customFormat="1"/>
    <row r="16820" s="65" customFormat="1"/>
    <row r="16821" s="65" customFormat="1"/>
    <row r="16822" s="65" customFormat="1"/>
    <row r="16823" s="65" customFormat="1"/>
    <row r="16824" s="65" customFormat="1"/>
    <row r="16825" s="65" customFormat="1"/>
    <row r="16826" s="65" customFormat="1"/>
    <row r="16827" s="65" customFormat="1"/>
    <row r="16828" s="65" customFormat="1"/>
    <row r="16829" s="65" customFormat="1"/>
    <row r="16830" s="65" customFormat="1"/>
    <row r="16831" s="65" customFormat="1"/>
    <row r="16832" s="65" customFormat="1"/>
    <row r="16833" s="65" customFormat="1"/>
    <row r="16834" s="65" customFormat="1"/>
    <row r="16835" s="65" customFormat="1"/>
    <row r="16836" s="65" customFormat="1"/>
    <row r="16837" s="65" customFormat="1"/>
    <row r="16838" s="65" customFormat="1"/>
    <row r="16839" s="65" customFormat="1"/>
    <row r="16840" s="65" customFormat="1"/>
    <row r="16841" s="65" customFormat="1"/>
    <row r="16842" s="65" customFormat="1"/>
    <row r="16843" s="65" customFormat="1"/>
    <row r="16844" s="65" customFormat="1"/>
    <row r="16845" s="65" customFormat="1"/>
    <row r="16846" s="65" customFormat="1"/>
    <row r="16847" s="65" customFormat="1"/>
    <row r="16848" s="65" customFormat="1"/>
    <row r="16849" s="65" customFormat="1"/>
    <row r="16850" s="65" customFormat="1"/>
    <row r="16851" s="65" customFormat="1"/>
    <row r="16852" s="65" customFormat="1"/>
    <row r="16853" s="65" customFormat="1"/>
    <row r="16854" s="65" customFormat="1"/>
    <row r="16855" s="65" customFormat="1"/>
    <row r="16856" s="65" customFormat="1"/>
    <row r="16857" s="65" customFormat="1"/>
    <row r="16858" s="65" customFormat="1"/>
    <row r="16859" s="65" customFormat="1"/>
    <row r="16860" s="65" customFormat="1"/>
    <row r="16861" s="65" customFormat="1"/>
    <row r="16862" s="65" customFormat="1"/>
    <row r="16863" s="65" customFormat="1"/>
    <row r="16864" s="65" customFormat="1"/>
    <row r="16865" s="65" customFormat="1"/>
    <row r="16866" s="65" customFormat="1"/>
    <row r="16867" s="65" customFormat="1"/>
    <row r="16868" s="65" customFormat="1"/>
    <row r="16869" s="65" customFormat="1"/>
    <row r="16870" s="65" customFormat="1"/>
    <row r="16871" s="65" customFormat="1"/>
    <row r="16872" s="65" customFormat="1"/>
    <row r="16873" s="65" customFormat="1"/>
    <row r="16874" s="65" customFormat="1"/>
    <row r="16875" s="65" customFormat="1"/>
    <row r="16876" s="65" customFormat="1"/>
    <row r="16877" s="65" customFormat="1"/>
    <row r="16878" s="65" customFormat="1"/>
    <row r="16879" s="65" customFormat="1"/>
    <row r="16880" s="65" customFormat="1"/>
    <row r="16881" s="65" customFormat="1"/>
    <row r="16882" s="65" customFormat="1"/>
    <row r="16883" s="65" customFormat="1"/>
    <row r="16884" s="65" customFormat="1"/>
    <row r="16885" s="65" customFormat="1"/>
    <row r="16886" s="65" customFormat="1"/>
    <row r="16887" s="65" customFormat="1"/>
    <row r="16888" s="65" customFormat="1"/>
    <row r="16889" s="65" customFormat="1"/>
    <row r="16890" s="65" customFormat="1"/>
    <row r="16891" s="65" customFormat="1"/>
    <row r="16892" s="65" customFormat="1"/>
    <row r="16893" s="65" customFormat="1"/>
    <row r="16894" s="65" customFormat="1"/>
    <row r="16895" s="65" customFormat="1"/>
    <row r="16896" s="65" customFormat="1"/>
    <row r="16897" s="65" customFormat="1"/>
    <row r="16898" s="65" customFormat="1"/>
    <row r="16899" s="65" customFormat="1"/>
    <row r="16900" s="65" customFormat="1"/>
    <row r="16901" s="65" customFormat="1"/>
    <row r="16902" s="65" customFormat="1"/>
    <row r="16903" s="65" customFormat="1"/>
    <row r="16904" s="65" customFormat="1"/>
    <row r="16905" s="65" customFormat="1"/>
    <row r="16906" s="65" customFormat="1"/>
    <row r="16907" s="65" customFormat="1"/>
    <row r="16908" s="65" customFormat="1"/>
    <row r="16909" s="65" customFormat="1"/>
    <row r="16910" s="65" customFormat="1"/>
    <row r="16911" s="65" customFormat="1"/>
    <row r="16912" s="65" customFormat="1"/>
    <row r="16913" s="65" customFormat="1"/>
    <row r="16914" s="65" customFormat="1"/>
    <row r="16915" s="65" customFormat="1"/>
    <row r="16916" s="65" customFormat="1"/>
    <row r="16917" s="65" customFormat="1"/>
    <row r="16918" s="65" customFormat="1"/>
    <row r="16919" s="65" customFormat="1"/>
    <row r="16920" s="65" customFormat="1"/>
    <row r="16921" s="65" customFormat="1"/>
    <row r="16922" s="65" customFormat="1"/>
    <row r="16923" s="65" customFormat="1"/>
    <row r="16924" s="65" customFormat="1"/>
    <row r="16925" s="65" customFormat="1"/>
    <row r="16926" s="65" customFormat="1"/>
    <row r="16927" s="65" customFormat="1"/>
    <row r="16928" s="65" customFormat="1"/>
    <row r="16929" s="65" customFormat="1"/>
    <row r="16930" s="65" customFormat="1"/>
    <row r="16931" s="65" customFormat="1"/>
    <row r="16932" s="65" customFormat="1"/>
    <row r="16933" s="65" customFormat="1"/>
    <row r="16934" s="65" customFormat="1"/>
    <row r="16935" s="65" customFormat="1"/>
    <row r="16936" s="65" customFormat="1"/>
    <row r="16937" s="65" customFormat="1"/>
    <row r="16938" s="65" customFormat="1"/>
    <row r="16939" s="65" customFormat="1"/>
    <row r="16940" s="65" customFormat="1"/>
    <row r="16941" s="65" customFormat="1"/>
    <row r="16942" s="65" customFormat="1"/>
    <row r="16943" s="65" customFormat="1"/>
    <row r="16944" s="65" customFormat="1"/>
    <row r="16945" s="65" customFormat="1"/>
    <row r="16946" s="65" customFormat="1"/>
    <row r="16947" s="65" customFormat="1"/>
    <row r="16948" s="65" customFormat="1"/>
    <row r="16949" s="65" customFormat="1"/>
    <row r="16950" s="65" customFormat="1"/>
    <row r="16951" s="65" customFormat="1"/>
    <row r="16952" s="65" customFormat="1"/>
    <row r="16953" s="65" customFormat="1"/>
    <row r="16954" s="65" customFormat="1"/>
    <row r="16955" s="65" customFormat="1"/>
    <row r="16956" s="65" customFormat="1"/>
    <row r="16957" s="65" customFormat="1"/>
    <row r="16958" s="65" customFormat="1"/>
    <row r="16959" s="65" customFormat="1"/>
    <row r="16960" s="65" customFormat="1"/>
    <row r="16961" s="65" customFormat="1"/>
    <row r="16962" s="65" customFormat="1"/>
    <row r="16963" s="65" customFormat="1"/>
    <row r="16964" s="65" customFormat="1"/>
    <row r="16965" s="65" customFormat="1"/>
    <row r="16966" s="65" customFormat="1"/>
    <row r="16967" s="65" customFormat="1"/>
    <row r="16968" s="65" customFormat="1"/>
    <row r="16969" s="65" customFormat="1"/>
    <row r="16970" s="65" customFormat="1"/>
    <row r="16971" s="65" customFormat="1"/>
    <row r="16972" s="65" customFormat="1"/>
    <row r="16973" s="65" customFormat="1"/>
    <row r="16974" s="65" customFormat="1"/>
    <row r="16975" s="65" customFormat="1"/>
    <row r="16976" s="65" customFormat="1"/>
    <row r="16977" s="65" customFormat="1"/>
    <row r="16978" s="65" customFormat="1"/>
    <row r="16979" s="65" customFormat="1"/>
    <row r="16980" s="65" customFormat="1"/>
    <row r="16981" s="65" customFormat="1"/>
    <row r="16982" s="65" customFormat="1"/>
    <row r="16983" s="65" customFormat="1"/>
    <row r="16984" s="65" customFormat="1"/>
    <row r="16985" s="65" customFormat="1"/>
    <row r="16986" s="65" customFormat="1"/>
    <row r="16987" s="65" customFormat="1"/>
    <row r="16988" s="65" customFormat="1"/>
    <row r="16989" s="65" customFormat="1"/>
    <row r="16990" s="65" customFormat="1"/>
    <row r="16991" s="65" customFormat="1"/>
    <row r="16992" s="65" customFormat="1"/>
    <row r="16993" s="65" customFormat="1"/>
    <row r="16994" s="65" customFormat="1"/>
    <row r="16995" s="65" customFormat="1"/>
    <row r="16996" s="65" customFormat="1"/>
    <row r="16997" s="65" customFormat="1"/>
    <row r="16998" s="65" customFormat="1"/>
    <row r="16999" s="65" customFormat="1"/>
    <row r="17000" s="65" customFormat="1"/>
    <row r="17001" s="65" customFormat="1"/>
    <row r="17002" s="65" customFormat="1"/>
    <row r="17003" s="65" customFormat="1"/>
    <row r="17004" s="65" customFormat="1"/>
    <row r="17005" s="65" customFormat="1"/>
    <row r="17006" s="65" customFormat="1"/>
    <row r="17007" s="65" customFormat="1"/>
    <row r="17008" s="65" customFormat="1"/>
    <row r="17009" s="65" customFormat="1"/>
    <row r="17010" s="65" customFormat="1"/>
    <row r="17011" s="65" customFormat="1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5369AC-6EFE-477D-9649-8C954DEAC8C1}">
  <sheetPr codeName="Sheet2">
    <tabColor theme="5" tint="0.59999389629810485"/>
  </sheetPr>
  <dimension ref="A1:Q349"/>
  <sheetViews>
    <sheetView showZeros="0" view="pageBreakPreview" topLeftCell="A161" zoomScale="110" zoomScaleNormal="100" zoomScaleSheetLayoutView="110" workbookViewId="0">
      <selection activeCell="P159" sqref="P159"/>
    </sheetView>
  </sheetViews>
  <sheetFormatPr defaultColWidth="8.84375" defaultRowHeight="12.5"/>
  <cols>
    <col min="1" max="1" width="11.765625" style="65" customWidth="1"/>
    <col min="2" max="2" width="8.23046875" style="65" customWidth="1"/>
    <col min="3" max="3" width="6.765625" style="65" customWidth="1"/>
    <col min="4" max="4" width="7.3046875" style="65" customWidth="1"/>
    <col min="5" max="5" width="5.4609375" style="65" customWidth="1"/>
    <col min="6" max="6" width="7.84375" style="65" customWidth="1"/>
    <col min="7" max="7" width="7.765625" style="65" customWidth="1"/>
    <col min="8" max="8" width="6.84375" style="65" customWidth="1"/>
    <col min="9" max="9" width="6.69140625" style="65" customWidth="1"/>
    <col min="10" max="10" width="6.3046875" style="65" customWidth="1"/>
    <col min="11" max="12" width="5.84375" style="65" customWidth="1"/>
    <col min="13" max="13" width="8.4609375" style="65" customWidth="1"/>
    <col min="14" max="14" width="8.23046875" style="65" customWidth="1"/>
    <col min="15" max="15" width="9.4609375" style="65" customWidth="1"/>
    <col min="16" max="16" width="7.765625" style="65" customWidth="1"/>
    <col min="17" max="18" width="8.84375" style="65"/>
    <col min="19" max="19" width="9.23046875" style="65" bestFit="1" customWidth="1"/>
    <col min="20" max="16384" width="8.84375" style="65"/>
  </cols>
  <sheetData>
    <row r="1" spans="1:16" ht="18">
      <c r="A1" s="186" t="s">
        <v>0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</row>
    <row r="2" spans="1:16" ht="15.75" customHeight="1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16" ht="15.5">
      <c r="A3" s="187" t="s">
        <v>2</v>
      </c>
      <c r="B3" s="187"/>
      <c r="C3" s="187"/>
      <c r="D3" s="187"/>
      <c r="E3" s="187"/>
      <c r="F3" s="187"/>
      <c r="G3" s="187"/>
      <c r="H3" s="187"/>
      <c r="I3" s="187"/>
      <c r="J3" s="187"/>
      <c r="K3" s="187"/>
      <c r="L3" s="187"/>
      <c r="M3" s="187"/>
      <c r="N3" s="187"/>
      <c r="O3" s="187"/>
      <c r="P3" s="187"/>
    </row>
    <row r="4" spans="1:16" ht="15.5">
      <c r="A4" s="187" t="s">
        <v>3</v>
      </c>
      <c r="B4" s="187"/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7"/>
      <c r="N4" s="187"/>
      <c r="O4" s="187"/>
      <c r="P4" s="187"/>
    </row>
    <row r="5" spans="1:16" ht="15.5">
      <c r="A5" s="189"/>
      <c r="B5" s="189"/>
      <c r="C5" s="189"/>
      <c r="D5" s="189"/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</row>
    <row r="6" spans="1:16" ht="15.5">
      <c r="A6" s="190"/>
      <c r="B6" s="190"/>
      <c r="C6" s="190"/>
      <c r="D6" s="190"/>
      <c r="E6" s="190"/>
      <c r="F6" s="190"/>
      <c r="G6" s="190"/>
      <c r="H6" s="326" t="s">
        <v>4</v>
      </c>
      <c r="I6" s="191"/>
      <c r="J6" s="191"/>
      <c r="K6" s="191"/>
      <c r="L6" s="191"/>
      <c r="M6" s="191"/>
      <c r="N6" s="191"/>
      <c r="O6" s="327"/>
      <c r="P6" s="192" t="s">
        <v>1</v>
      </c>
    </row>
    <row r="7" spans="1:16" ht="36" customHeight="1">
      <c r="A7" s="193"/>
      <c r="B7" s="194" t="s">
        <v>5</v>
      </c>
      <c r="C7" s="194" t="s">
        <v>6</v>
      </c>
      <c r="D7" s="194" t="s">
        <v>7</v>
      </c>
      <c r="E7" s="194" t="s">
        <v>8</v>
      </c>
      <c r="F7" s="194" t="s">
        <v>9</v>
      </c>
      <c r="G7" s="194" t="s">
        <v>10</v>
      </c>
      <c r="H7" s="195" t="s">
        <v>11</v>
      </c>
      <c r="I7" s="194" t="s">
        <v>81</v>
      </c>
      <c r="J7" s="194" t="s">
        <v>13</v>
      </c>
      <c r="K7" s="194" t="s">
        <v>14</v>
      </c>
      <c r="L7" s="194" t="s">
        <v>15</v>
      </c>
      <c r="M7" s="194" t="s">
        <v>16</v>
      </c>
      <c r="N7" s="194" t="s">
        <v>82</v>
      </c>
      <c r="O7" s="328" t="s">
        <v>83</v>
      </c>
      <c r="P7" s="194" t="s">
        <v>19</v>
      </c>
    </row>
    <row r="8" spans="1:16" ht="15" customHeight="1">
      <c r="A8" s="196" t="s">
        <v>20</v>
      </c>
      <c r="B8" s="197">
        <f>+GETPIVOTDATA(" Old-Less Than 2-Year",'Pivot Table for 1-11'!$A$3)+GETPIVOTDATA(" Old-2 But Less Than 4-Year",'Pivot Table for 1-11'!$A$3)</f>
        <v>270915</v>
      </c>
      <c r="C8" s="197">
        <f>+GETPIVOTDATA(" Old-Associate's",'Pivot Table for 1-11'!$A$3)</f>
        <v>292313</v>
      </c>
      <c r="D8" s="197">
        <f>+GETPIVOTDATA(" Old-Bachelor's",'Pivot Table for 1-11'!$A$3)</f>
        <v>399278</v>
      </c>
      <c r="E8" s="197">
        <f>+GETPIVOTDATA(" Old-Post-Bachelor's",'Pivot Table for 1-11'!$A$3)</f>
        <v>4938</v>
      </c>
      <c r="F8" s="197">
        <f>+GETPIVOTDATA(" Old-Total Master's#",'Pivot Table for 1-11'!$A$3)</f>
        <v>128851</v>
      </c>
      <c r="G8" s="197">
        <f>+GETPIVOTDATA(" Old-Total Doctorates#",'Pivot Table for 1-11'!$A$3)</f>
        <v>14646</v>
      </c>
      <c r="H8" s="230">
        <f>+GETPIVOTDATA(" Old-Law",'Pivot Table for 1-11'!$A$3)</f>
        <v>4179</v>
      </c>
      <c r="I8" s="197">
        <f>+GETPIVOTDATA(" Old-Medicine",'Pivot Table for 1-11'!$A$3)</f>
        <v>4125</v>
      </c>
      <c r="J8" s="197">
        <f>+GETPIVOTDATA(" Old-Dentistry",'Pivot Table for 1-11'!$A$3)</f>
        <v>1159</v>
      </c>
      <c r="K8" s="197">
        <f>+GETPIVOTDATA(" Old-Pharmacy",'Pivot Table for 1-11'!$A$3)</f>
        <v>2376</v>
      </c>
      <c r="L8" s="197">
        <f>+GETPIVOTDATA(" Old-Optometry",'Pivot Table for 1-11'!$A$3)</f>
        <v>149</v>
      </c>
      <c r="M8" s="197">
        <f>+GETPIVOTDATA(" Old-Osteopathic Medicine",'Pivot Table for 1-11'!$A$3)</f>
        <v>435</v>
      </c>
      <c r="N8" s="197">
        <f>+GETPIVOTDATA(" Old-Veterinary Medicine",'Pivot Table for 1-11'!$A$3)</f>
        <v>850</v>
      </c>
      <c r="O8" s="198">
        <f>+GETPIVOTDATA(" Old-Oth PP",'Pivot Table for 1-11'!$A$3)</f>
        <v>2169</v>
      </c>
      <c r="P8" s="199">
        <f>SUM(B8:O8)</f>
        <v>1126383</v>
      </c>
    </row>
    <row r="9" spans="1:16" ht="15" customHeight="1">
      <c r="A9" s="196"/>
      <c r="B9" s="197"/>
      <c r="C9" s="197"/>
      <c r="D9" s="197"/>
      <c r="E9" s="197"/>
      <c r="F9" s="197"/>
      <c r="G9" s="197"/>
      <c r="H9" s="230"/>
      <c r="I9" s="197"/>
      <c r="J9" s="197"/>
      <c r="K9" s="197"/>
      <c r="L9" s="197"/>
      <c r="M9" s="197"/>
      <c r="N9" s="197"/>
      <c r="O9" s="198"/>
      <c r="P9" s="199"/>
    </row>
    <row r="10" spans="1:16" ht="15" customHeight="1">
      <c r="A10" s="196" t="s">
        <v>21</v>
      </c>
      <c r="B10" s="197">
        <f>+GETPIVOTDATA(" Old-Less Than 2-Year",'Pivot Table for 1-11'!$A$3,"State","AL")+GETPIVOTDATA(" Old-2 But Less Than 4-Year",'Pivot Table for 1-11'!$A$3,"State","AL")</f>
        <v>12188</v>
      </c>
      <c r="C10" s="197">
        <f>+GETPIVOTDATA(" Old-Associate's",'Pivot Table for 1-11'!$A$3,"State","AL")</f>
        <v>10759</v>
      </c>
      <c r="D10" s="197">
        <f>+GETPIVOTDATA(" Old-Bachelor's",'Pivot Table for 1-11'!$A$3,"State","AL")</f>
        <v>25911</v>
      </c>
      <c r="E10" s="197">
        <f>+GETPIVOTDATA(" Old-Post-Bachelor's",'Pivot Table for 1-11'!$A$3,"State","AL")</f>
        <v>468</v>
      </c>
      <c r="F10" s="197">
        <f>+GETPIVOTDATA(" Old-Total Master's#",'Pivot Table for 1-11'!$A$3,"State","AL")</f>
        <v>10798</v>
      </c>
      <c r="G10" s="197">
        <f>+GETPIVOTDATA(" Old-Total Doctorates#",'Pivot Table for 1-11'!$A$3,"State","AL")</f>
        <v>721</v>
      </c>
      <c r="H10" s="230">
        <f>GETPIVOTDATA(" Old-Law",'Pivot Table for 1-11'!$A$3,"State","AL")</f>
        <v>134</v>
      </c>
      <c r="I10" s="197">
        <f>GETPIVOTDATA(" Old-Medicine",'Pivot Table for 1-11'!$A$3,"State","AL")</f>
        <v>262</v>
      </c>
      <c r="J10" s="197">
        <f>GETPIVOTDATA(" Old-Dentistry",'Pivot Table for 1-11'!$A$3,"State","AL")</f>
        <v>64</v>
      </c>
      <c r="K10" s="197">
        <f>GETPIVOTDATA(" Old-Pharmacy",'Pivot Table for 1-11'!$A$3,"State","AL")</f>
        <v>145</v>
      </c>
      <c r="L10" s="197">
        <f>GETPIVOTDATA(" Old-Optometry",'Pivot Table for 1-11'!$A$3,"State","AL")</f>
        <v>47</v>
      </c>
      <c r="M10" s="197">
        <f>GETPIVOTDATA(" Old-Osteopathic Medicine",'Pivot Table for 1-11'!$A$3,"State","AL")</f>
        <v>0</v>
      </c>
      <c r="N10" s="197">
        <f>GETPIVOTDATA(" Old-Veterinary Medicine",'Pivot Table for 1-11'!$A$3,"State","AL")</f>
        <v>123</v>
      </c>
      <c r="O10" s="198">
        <f>+GETPIVOTDATA(" Old-Oth PP",'Pivot Table for 1-11'!$A$3,"State","AL")</f>
        <v>467</v>
      </c>
      <c r="P10" s="199">
        <f t="shared" ref="P10:P28" si="0">SUM(B10:O10)</f>
        <v>62087</v>
      </c>
    </row>
    <row r="11" spans="1:16" ht="15" customHeight="1">
      <c r="A11" s="196" t="s">
        <v>22</v>
      </c>
      <c r="B11" s="197">
        <f>+GETPIVOTDATA(" Old-Less Than 2-Year",'Pivot Table for 1-11'!$A$3,"State","AR")+GETPIVOTDATA(" Old-2 But Less Than 4-Year",'Pivot Table for 1-11'!$A$3,"State","AR")</f>
        <v>13324</v>
      </c>
      <c r="C11" s="197">
        <f>+GETPIVOTDATA(" Old-Associate's",'Pivot Table for 1-11'!$A$3,"State","AR")</f>
        <v>9443</v>
      </c>
      <c r="D11" s="197">
        <f>+GETPIVOTDATA(" Old-Bachelor's",'Pivot Table for 1-11'!$A$3,"State","AR")</f>
        <v>14032</v>
      </c>
      <c r="E11" s="197">
        <f>+GETPIVOTDATA(" Old-Post-Bachelor's",'Pivot Table for 1-11'!$A$3,"State","AR")</f>
        <v>563</v>
      </c>
      <c r="F11" s="197">
        <f>+GETPIVOTDATA(" Old-Total Master's#",'Pivot Table for 1-11'!$A$3,"State","AR")</f>
        <v>5861</v>
      </c>
      <c r="G11" s="197">
        <f>+GETPIVOTDATA(" Old-Total Doctorates#",'Pivot Table for 1-11'!$A$3,"State","AR")</f>
        <v>317</v>
      </c>
      <c r="H11" s="230">
        <f>GETPIVOTDATA(" Old-Law",'Pivot Table for 1-11'!$A$3,"State","AR")</f>
        <v>228</v>
      </c>
      <c r="I11" s="197">
        <f>GETPIVOTDATA(" Old-Medicine",'Pivot Table for 1-11'!$A$3,"State","AR")</f>
        <v>163</v>
      </c>
      <c r="J11" s="197">
        <f>GETPIVOTDATA(" Old-Dentistry",'Pivot Table for 1-11'!$A$3,"State","AR")</f>
        <v>0</v>
      </c>
      <c r="K11" s="197">
        <f>GETPIVOTDATA(" Old-Pharmacy",'Pivot Table for 1-11'!$A$3,"State","AR")</f>
        <v>111</v>
      </c>
      <c r="L11" s="197">
        <f>GETPIVOTDATA(" Old-Optometry",'Pivot Table for 1-11'!$A$3,"State","AR")</f>
        <v>0</v>
      </c>
      <c r="M11" s="197">
        <f>GETPIVOTDATA(" Old-Osteopathic Medicine",'Pivot Table for 1-11'!$A$3,"State","AR")</f>
        <v>0</v>
      </c>
      <c r="N11" s="197">
        <f>GETPIVOTDATA(" Old-Veterinary Medicine",'Pivot Table for 1-11'!$A$3,"State","AR")</f>
        <v>0</v>
      </c>
      <c r="O11" s="198">
        <f>+GETPIVOTDATA(" Old-Oth PP",'Pivot Table for 1-11'!$A$3,"State","AR")</f>
        <v>152</v>
      </c>
      <c r="P11" s="199">
        <f t="shared" si="0"/>
        <v>44194</v>
      </c>
    </row>
    <row r="12" spans="1:16" ht="15" customHeight="1">
      <c r="A12" s="196" t="s">
        <v>23</v>
      </c>
      <c r="B12" s="197">
        <f>+GETPIVOTDATA(" Old-Less Than 2-Year",'Pivot Table for 1-11'!$A$3,"State","DE")+GETPIVOTDATA(" Old-2 But Less Than 4-Year",'Pivot Table for 1-11'!$A$3,"State","DE")</f>
        <v>187</v>
      </c>
      <c r="C12" s="197">
        <f>+GETPIVOTDATA(" Old-Associate's",'Pivot Table for 1-11'!$A$3,"State","DE")</f>
        <v>1945</v>
      </c>
      <c r="D12" s="197">
        <f>+GETPIVOTDATA(" Old-Bachelor's",'Pivot Table for 1-11'!$A$3,"State","DE")</f>
        <v>5021</v>
      </c>
      <c r="E12" s="197">
        <f>+GETPIVOTDATA(" Old-Post-Bachelor's",'Pivot Table for 1-11'!$A$3,"State","DE")</f>
        <v>0</v>
      </c>
      <c r="F12" s="197">
        <f>+GETPIVOTDATA(" Old-Total Master's#",'Pivot Table for 1-11'!$A$3,"State","DE")</f>
        <v>1118</v>
      </c>
      <c r="G12" s="197">
        <f>+GETPIVOTDATA(" Old-Total Doctorates#",'Pivot Table for 1-11'!$A$3,"State","DE")</f>
        <v>277</v>
      </c>
      <c r="H12" s="230">
        <f>GETPIVOTDATA(" Old-Law",'Pivot Table for 1-11'!$A$3,"State","DE")</f>
        <v>0</v>
      </c>
      <c r="I12" s="197">
        <f>GETPIVOTDATA(" Old-Medicine",'Pivot Table for 1-11'!$A$3,"State","DE")</f>
        <v>0</v>
      </c>
      <c r="J12" s="197">
        <f>GETPIVOTDATA(" Old-Dentistry",'Pivot Table for 1-11'!$A$3,"State","DE")</f>
        <v>0</v>
      </c>
      <c r="K12" s="197">
        <f>GETPIVOTDATA(" Old-Pharmacy",'Pivot Table for 1-11'!$A$3,"State","DE")</f>
        <v>0</v>
      </c>
      <c r="L12" s="197">
        <f>GETPIVOTDATA(" Old-Optometry",'Pivot Table for 1-11'!$A$3,"State","DE")</f>
        <v>0</v>
      </c>
      <c r="M12" s="197">
        <f>GETPIVOTDATA(" Old-Osteopathic Medicine",'Pivot Table for 1-11'!$A$3,"State","DE")</f>
        <v>0</v>
      </c>
      <c r="N12" s="197">
        <f>GETPIVOTDATA(" Old-Veterinary Medicine",'Pivot Table for 1-11'!$A$3,"State","DE")</f>
        <v>0</v>
      </c>
      <c r="O12" s="198">
        <f>+GETPIVOTDATA(" Old-Oth PP",'Pivot Table for 1-11'!$A$3,"State","DE")</f>
        <v>54</v>
      </c>
      <c r="P12" s="199">
        <f t="shared" si="0"/>
        <v>8602</v>
      </c>
    </row>
    <row r="13" spans="1:16" ht="15" customHeight="1">
      <c r="A13" s="196" t="s">
        <v>24</v>
      </c>
      <c r="B13" s="197">
        <f>+GETPIVOTDATA(" Old-Less Than 2-Year",'Pivot Table for 1-11'!$A$3,"State","FL")+GETPIVOTDATA(" Old-2 But Less Than 4-Year",'Pivot Table for 1-11'!$A$3,"State","FL")</f>
        <v>40260</v>
      </c>
      <c r="C13" s="197">
        <f>+GETPIVOTDATA(" Old-Associate's",'Pivot Table for 1-11'!$A$3,"State","FL")</f>
        <v>73776</v>
      </c>
      <c r="D13" s="197">
        <f>+GETPIVOTDATA(" Old-Bachelor's",'Pivot Table for 1-11'!$A$3,"State","FL")</f>
        <v>9064</v>
      </c>
      <c r="E13" s="197">
        <f>+GETPIVOTDATA(" Old-Post-Bachelor's",'Pivot Table for 1-11'!$A$3,"State","FL")</f>
        <v>0</v>
      </c>
      <c r="F13" s="197">
        <f>+GETPIVOTDATA(" Old-Total Master's#",'Pivot Table for 1-11'!$A$3,"State","FL")</f>
        <v>0</v>
      </c>
      <c r="G13" s="197">
        <f>+GETPIVOTDATA(" Old-Total Doctorates#",'Pivot Table for 1-11'!$A$3,"State","FL")</f>
        <v>0</v>
      </c>
      <c r="H13" s="230">
        <f>GETPIVOTDATA(" Old-Law",'Pivot Table for 1-11'!$A$3,"State","FL")</f>
        <v>0</v>
      </c>
      <c r="I13" s="197">
        <f>GETPIVOTDATA(" Old-Medicine",'Pivot Table for 1-11'!$A$3,"State","FL")</f>
        <v>0</v>
      </c>
      <c r="J13" s="197">
        <f>GETPIVOTDATA(" Old-Dentistry",'Pivot Table for 1-11'!$A$3,"State","FL")</f>
        <v>0</v>
      </c>
      <c r="K13" s="197">
        <f>GETPIVOTDATA(" Old-Pharmacy",'Pivot Table for 1-11'!$A$3,"State","FL")</f>
        <v>0</v>
      </c>
      <c r="L13" s="197">
        <f>GETPIVOTDATA(" Old-Optometry",'Pivot Table for 1-11'!$A$3,"State","FL")</f>
        <v>0</v>
      </c>
      <c r="M13" s="197">
        <f>GETPIVOTDATA(" Old-Osteopathic Medicine",'Pivot Table for 1-11'!$A$3,"State","FL")</f>
        <v>0</v>
      </c>
      <c r="N13" s="197">
        <f>GETPIVOTDATA(" Old-Veterinary Medicine",'Pivot Table for 1-11'!$A$3,"State","FL")</f>
        <v>0</v>
      </c>
      <c r="O13" s="198">
        <f>+GETPIVOTDATA(" Old-Oth PP",'Pivot Table for 1-11'!$A$3,"State","FL")</f>
        <v>0</v>
      </c>
      <c r="P13" s="199">
        <f t="shared" si="0"/>
        <v>123100</v>
      </c>
    </row>
    <row r="14" spans="1:16" ht="15" customHeight="1">
      <c r="A14" s="196"/>
      <c r="B14" s="197"/>
      <c r="C14" s="197"/>
      <c r="D14" s="197"/>
      <c r="E14" s="197"/>
      <c r="F14" s="197"/>
      <c r="G14" s="197"/>
      <c r="H14" s="230"/>
      <c r="I14" s="197"/>
      <c r="J14" s="197"/>
      <c r="K14" s="197"/>
      <c r="L14" s="197"/>
      <c r="M14" s="197"/>
      <c r="N14" s="197"/>
      <c r="O14" s="198"/>
      <c r="P14" s="199"/>
    </row>
    <row r="15" spans="1:16" ht="15" customHeight="1">
      <c r="A15" s="196" t="s">
        <v>25</v>
      </c>
      <c r="B15" s="197">
        <f>+GETPIVOTDATA(" Old-Less Than 2-Year",'Pivot Table for 1-11'!$A$3,"State","GA")+GETPIVOTDATA(" Old-2 But Less Than 4-Year",'Pivot Table for 1-11'!$A$3,"State","GA")</f>
        <v>44215</v>
      </c>
      <c r="C15" s="197">
        <f>+GETPIVOTDATA(" Old-Associate's",'Pivot Table for 1-11'!$A$3,"State","GA")</f>
        <v>14526</v>
      </c>
      <c r="D15" s="197">
        <f>+GETPIVOTDATA(" Old-Bachelor's",'Pivot Table for 1-11'!$A$3,"State","GA")</f>
        <v>41701</v>
      </c>
      <c r="E15" s="197">
        <f>+GETPIVOTDATA(" Old-Post-Bachelor's",'Pivot Table for 1-11'!$A$3,"State","GA")</f>
        <v>729</v>
      </c>
      <c r="F15" s="197">
        <f>+GETPIVOTDATA(" Old-Total Master's#",'Pivot Table for 1-11'!$A$3,"State","GA")</f>
        <v>13811</v>
      </c>
      <c r="G15" s="197">
        <f>+GETPIVOTDATA(" Old-Total Doctorates#",'Pivot Table for 1-11'!$A$3,"State","GA")</f>
        <v>1729</v>
      </c>
      <c r="H15" s="230">
        <f>GETPIVOTDATA(" Old-Law",'Pivot Table for 1-11'!$A$3,"State","GA")</f>
        <v>380</v>
      </c>
      <c r="I15" s="197">
        <f>GETPIVOTDATA(" Old-Medicine",'Pivot Table for 1-11'!$A$3,"State","GA")</f>
        <v>246</v>
      </c>
      <c r="J15" s="197">
        <f>GETPIVOTDATA(" Old-Dentistry",'Pivot Table for 1-11'!$A$3,"State","GA")</f>
        <v>96</v>
      </c>
      <c r="K15" s="197">
        <f>GETPIVOTDATA(" Old-Pharmacy",'Pivot Table for 1-11'!$A$3,"State","GA")</f>
        <v>133</v>
      </c>
      <c r="L15" s="197">
        <f>GETPIVOTDATA(" Old-Optometry",'Pivot Table for 1-11'!$A$3,"State","GA")</f>
        <v>0</v>
      </c>
      <c r="M15" s="197">
        <f>GETPIVOTDATA(" Old-Osteopathic Medicine",'Pivot Table for 1-11'!$A$3,"State","GA")</f>
        <v>0</v>
      </c>
      <c r="N15" s="197">
        <f>GETPIVOTDATA(" Old-Veterinary Medicine",'Pivot Table for 1-11'!$A$3,"State","GA")</f>
        <v>116</v>
      </c>
      <c r="O15" s="198">
        <f>+GETPIVOTDATA(" Old-Oth PP",'Pivot Table for 1-11'!$A$3,"State","GA")</f>
        <v>0</v>
      </c>
      <c r="P15" s="199">
        <f t="shared" si="0"/>
        <v>117682</v>
      </c>
    </row>
    <row r="16" spans="1:16" ht="15" customHeight="1">
      <c r="A16" s="196" t="s">
        <v>26</v>
      </c>
      <c r="B16" s="197">
        <f>+GETPIVOTDATA(" Old-Less Than 2-Year",'Pivot Table for 1-11'!$A$3,"State","KY")+GETPIVOTDATA(" Old-2 But Less Than 4-Year",'Pivot Table for 1-11'!$A$3,"State","KY")</f>
        <v>28008</v>
      </c>
      <c r="C16" s="197">
        <f>+GETPIVOTDATA(" Old-Associate's",'Pivot Table for 1-11'!$A$3,"State","KY")</f>
        <v>10547</v>
      </c>
      <c r="D16" s="197">
        <f>+GETPIVOTDATA(" Old-Bachelor's",'Pivot Table for 1-11'!$A$3,"State","KY")</f>
        <v>19011</v>
      </c>
      <c r="E16" s="197">
        <f>+GETPIVOTDATA(" Old-Post-Bachelor's",'Pivot Table for 1-11'!$A$3,"State","KY")</f>
        <v>503</v>
      </c>
      <c r="F16" s="197">
        <f>+GETPIVOTDATA(" Old-Total Master's#",'Pivot Table for 1-11'!$A$3,"State","KY")</f>
        <v>5632</v>
      </c>
      <c r="G16" s="197">
        <f>+GETPIVOTDATA(" Old-Total Doctorates#",'Pivot Table for 1-11'!$A$3,"State","KY")</f>
        <v>503</v>
      </c>
      <c r="H16" s="230">
        <f>GETPIVOTDATA(" Old-Law",'Pivot Table for 1-11'!$A$3,"State","KY")</f>
        <v>389</v>
      </c>
      <c r="I16" s="197">
        <f>GETPIVOTDATA(" Old-Medicine",'Pivot Table for 1-11'!$A$3,"State","KY")</f>
        <v>279</v>
      </c>
      <c r="J16" s="197">
        <f>GETPIVOTDATA(" Old-Dentistry",'Pivot Table for 1-11'!$A$3,"State","KY")</f>
        <v>171</v>
      </c>
      <c r="K16" s="197">
        <f>GETPIVOTDATA(" Old-Pharmacy",'Pivot Table for 1-11'!$A$3,"State","KY")</f>
        <v>141</v>
      </c>
      <c r="L16" s="197">
        <f>GETPIVOTDATA(" Old-Optometry",'Pivot Table for 1-11'!$A$3,"State","KY")</f>
        <v>0</v>
      </c>
      <c r="M16" s="197">
        <f>GETPIVOTDATA(" Old-Osteopathic Medicine",'Pivot Table for 1-11'!$A$3,"State","KY")</f>
        <v>0</v>
      </c>
      <c r="N16" s="197">
        <f>GETPIVOTDATA(" Old-Veterinary Medicine",'Pivot Table for 1-11'!$A$3,"State","KY")</f>
        <v>0</v>
      </c>
      <c r="O16" s="198">
        <f>+GETPIVOTDATA(" Old-Oth PP",'Pivot Table for 1-11'!$A$3,"State","KY")</f>
        <v>265</v>
      </c>
      <c r="P16" s="199">
        <f t="shared" si="0"/>
        <v>65449</v>
      </c>
    </row>
    <row r="17" spans="1:16" ht="15" customHeight="1">
      <c r="A17" s="196" t="s">
        <v>27</v>
      </c>
      <c r="B17" s="197">
        <f>+GETPIVOTDATA(" Old-Less Than 2-Year",'Pivot Table for 1-11'!$A$3,"State","LA")+GETPIVOTDATA(" Old-2 But Less Than 4-Year",'Pivot Table for 1-11'!$A$3,"State","LA")</f>
        <v>11876</v>
      </c>
      <c r="C17" s="197">
        <f>+GETPIVOTDATA(" Old-Associate's",'Pivot Table for 1-11'!$A$3,"State","LA")</f>
        <v>5984</v>
      </c>
      <c r="D17" s="197">
        <f>+GETPIVOTDATA(" Old-Bachelor's",'Pivot Table for 1-11'!$A$3,"State","LA")</f>
        <v>19532</v>
      </c>
      <c r="E17" s="197">
        <f>+GETPIVOTDATA(" Old-Post-Bachelor's",'Pivot Table for 1-11'!$A$3,"State","LA")</f>
        <v>228</v>
      </c>
      <c r="F17" s="197">
        <f>+GETPIVOTDATA(" Old-Total Master's#",'Pivot Table for 1-11'!$A$3,"State","LA")</f>
        <v>6868</v>
      </c>
      <c r="G17" s="197">
        <f>+GETPIVOTDATA(" Old-Total Doctorates#",'Pivot Table for 1-11'!$A$3,"State","LA")</f>
        <v>572</v>
      </c>
      <c r="H17" s="230">
        <f>GETPIVOTDATA(" Old-Law",'Pivot Table for 1-11'!$A$3,"State","LA")</f>
        <v>333</v>
      </c>
      <c r="I17" s="197">
        <f>GETPIVOTDATA(" Old-Medicine",'Pivot Table for 1-11'!$A$3,"State","LA")</f>
        <v>308</v>
      </c>
      <c r="J17" s="197">
        <f>GETPIVOTDATA(" Old-Dentistry",'Pivot Table for 1-11'!$A$3,"State","LA")</f>
        <v>59</v>
      </c>
      <c r="K17" s="197">
        <f>GETPIVOTDATA(" Old-Pharmacy",'Pivot Table for 1-11'!$A$3,"State","LA")</f>
        <v>93</v>
      </c>
      <c r="L17" s="197">
        <f>GETPIVOTDATA(" Old-Optometry",'Pivot Table for 1-11'!$A$3,"State","LA")</f>
        <v>0</v>
      </c>
      <c r="M17" s="197">
        <f>GETPIVOTDATA(" Old-Osteopathic Medicine",'Pivot Table for 1-11'!$A$3,"State","LA")</f>
        <v>0</v>
      </c>
      <c r="N17" s="197">
        <f>GETPIVOTDATA(" Old-Veterinary Medicine",'Pivot Table for 1-11'!$A$3,"State","LA")</f>
        <v>83</v>
      </c>
      <c r="O17" s="198">
        <f>+GETPIVOTDATA(" Old-Oth PP",'Pivot Table for 1-11'!$A$3,"State","LA")</f>
        <v>179</v>
      </c>
      <c r="P17" s="199">
        <f t="shared" si="0"/>
        <v>46115</v>
      </c>
    </row>
    <row r="18" spans="1:16" ht="15" customHeight="1">
      <c r="A18" s="196" t="s">
        <v>28</v>
      </c>
      <c r="B18" s="197">
        <f>+GETPIVOTDATA(" Old-Less Than 2-Year",'Pivot Table for 1-11'!$A$3,"State","MD")+GETPIVOTDATA(" Old-2 But Less Than 4-Year",'Pivot Table for 1-11'!$A$3,"State","MD")</f>
        <v>0</v>
      </c>
      <c r="C18" s="197">
        <f>+GETPIVOTDATA(" Old-Associate's",'Pivot Table for 1-11'!$A$3,"State","MD")</f>
        <v>0</v>
      </c>
      <c r="D18" s="197">
        <f>+GETPIVOTDATA(" Old-Bachelor's",'Pivot Table for 1-11'!$A$3,"State","MD")</f>
        <v>0</v>
      </c>
      <c r="E18" s="197">
        <f>+GETPIVOTDATA(" Old-Post-Bachelor's",'Pivot Table for 1-11'!$A$3,"State","MD")</f>
        <v>0</v>
      </c>
      <c r="F18" s="197">
        <f>+GETPIVOTDATA(" Old-Total Master's#",'Pivot Table for 1-11'!$A$3,"State","MD")</f>
        <v>0</v>
      </c>
      <c r="G18" s="197">
        <f>+GETPIVOTDATA(" Old-Total Doctorates#",'Pivot Table for 1-11'!$A$3,"State","MD")</f>
        <v>0</v>
      </c>
      <c r="H18" s="230">
        <f>GETPIVOTDATA(" Old-Law",'Pivot Table for 1-11'!$A$3,"State","MD")</f>
        <v>0</v>
      </c>
      <c r="I18" s="197">
        <f>GETPIVOTDATA(" Old-Medicine",'Pivot Table for 1-11'!$A$3,"State","MD")</f>
        <v>0</v>
      </c>
      <c r="J18" s="197">
        <f>GETPIVOTDATA(" Old-Dentistry",'Pivot Table for 1-11'!$A$3,"State","MD")</f>
        <v>0</v>
      </c>
      <c r="K18" s="197">
        <f>GETPIVOTDATA(" Old-Pharmacy",'Pivot Table for 1-11'!$A$3,"State","MD")</f>
        <v>0</v>
      </c>
      <c r="L18" s="197">
        <f>GETPIVOTDATA(" Old-Optometry",'Pivot Table for 1-11'!$A$3,"State","MD")</f>
        <v>0</v>
      </c>
      <c r="M18" s="197">
        <f>GETPIVOTDATA(" Old-Osteopathic Medicine",'Pivot Table for 1-11'!$A$3,"State","MD")</f>
        <v>0</v>
      </c>
      <c r="N18" s="197">
        <f>GETPIVOTDATA(" Old-Veterinary Medicine",'Pivot Table for 1-11'!$A$3,"State","MD")</f>
        <v>0</v>
      </c>
      <c r="O18" s="198">
        <f>+GETPIVOTDATA(" Old-Oth PP",'Pivot Table for 1-11'!$A$3,"State","MD")</f>
        <v>0</v>
      </c>
      <c r="P18" s="199">
        <f t="shared" si="0"/>
        <v>0</v>
      </c>
    </row>
    <row r="19" spans="1:16" ht="15" customHeight="1">
      <c r="A19" s="196"/>
      <c r="B19" s="197"/>
      <c r="C19" s="197"/>
      <c r="D19" s="197"/>
      <c r="E19" s="197"/>
      <c r="F19" s="197"/>
      <c r="G19" s="197"/>
      <c r="H19" s="230"/>
      <c r="I19" s="197"/>
      <c r="J19" s="197"/>
      <c r="K19" s="197"/>
      <c r="L19" s="197"/>
      <c r="M19" s="197"/>
      <c r="N19" s="197"/>
      <c r="O19" s="198"/>
      <c r="P19" s="199"/>
    </row>
    <row r="20" spans="1:16" ht="15" customHeight="1">
      <c r="A20" s="196" t="s">
        <v>29</v>
      </c>
      <c r="B20" s="197">
        <f>+GETPIVOTDATA(" Old-Less Than 2-Year",'Pivot Table for 1-11'!$A$3,"State","MS")+GETPIVOTDATA(" Old-2 But Less Than 4-Year",'Pivot Table for 1-11'!$A$3,"State","MS")</f>
        <v>0</v>
      </c>
      <c r="C20" s="197">
        <f>+GETPIVOTDATA(" Old-Associate's",'Pivot Table for 1-11'!$A$3,"State","MS")</f>
        <v>65</v>
      </c>
      <c r="D20" s="197">
        <f>+GETPIVOTDATA(" Old-Bachelor's",'Pivot Table for 1-11'!$A$3,"State","MS")</f>
        <v>14274</v>
      </c>
      <c r="E20" s="197">
        <f>+GETPIVOTDATA(" Old-Post-Bachelor's",'Pivot Table for 1-11'!$A$3,"State","MS")</f>
        <v>0</v>
      </c>
      <c r="F20" s="197">
        <f>+GETPIVOTDATA(" Old-Total Master's#",'Pivot Table for 1-11'!$A$3,"State","MS")</f>
        <v>3488</v>
      </c>
      <c r="G20" s="197">
        <f>+GETPIVOTDATA(" Old-Total Doctorates#",'Pivot Table for 1-11'!$A$3,"State","MS")</f>
        <v>655</v>
      </c>
      <c r="H20" s="230">
        <f>GETPIVOTDATA(" Old-Law",'Pivot Table for 1-11'!$A$3,"State","MS")</f>
        <v>108</v>
      </c>
      <c r="I20" s="197">
        <f>GETPIVOTDATA(" Old-Medicine",'Pivot Table for 1-11'!$A$3,"State","MS")</f>
        <v>147</v>
      </c>
      <c r="J20" s="197">
        <f>GETPIVOTDATA(" Old-Dentistry",'Pivot Table for 1-11'!$A$3,"State","MS")</f>
        <v>30</v>
      </c>
      <c r="K20" s="197">
        <f>GETPIVOTDATA(" Old-Pharmacy",'Pivot Table for 1-11'!$A$3,"State","MS")</f>
        <v>115</v>
      </c>
      <c r="L20" s="197">
        <f>GETPIVOTDATA(" Old-Optometry",'Pivot Table for 1-11'!$A$3,"State","MS")</f>
        <v>0</v>
      </c>
      <c r="M20" s="197">
        <f>GETPIVOTDATA(" Old-Osteopathic Medicine",'Pivot Table for 1-11'!$A$3,"State","MS")</f>
        <v>0</v>
      </c>
      <c r="N20" s="197">
        <f>GETPIVOTDATA(" Old-Veterinary Medicine",'Pivot Table for 1-11'!$A$3,"State","MS")</f>
        <v>91</v>
      </c>
      <c r="O20" s="198">
        <f>+GETPIVOTDATA(" Old-Oth PP",'Pivot Table for 1-11'!$A$3,"State","MS")</f>
        <v>53</v>
      </c>
      <c r="P20" s="199">
        <f t="shared" si="0"/>
        <v>19026</v>
      </c>
    </row>
    <row r="21" spans="1:16" ht="15" customHeight="1">
      <c r="A21" s="196" t="s">
        <v>30</v>
      </c>
      <c r="B21" s="197">
        <f>+GETPIVOTDATA(" Old-Less Than 2-Year",'Pivot Table for 1-11'!$A$3,"State","NC")+GETPIVOTDATA(" Old-2 But Less Than 4-Year",'Pivot Table for 1-11'!$A$3,"State","NC")</f>
        <v>32932</v>
      </c>
      <c r="C21" s="197">
        <f>+GETPIVOTDATA(" Old-Associate's",'Pivot Table for 1-11'!$A$3,"State","NC")</f>
        <v>32841</v>
      </c>
      <c r="D21" s="197">
        <f>+GETPIVOTDATA(" Old-Bachelor's",'Pivot Table for 1-11'!$A$3,"State","NC")</f>
        <v>41884</v>
      </c>
      <c r="E21" s="197">
        <f>+GETPIVOTDATA(" Old-Post-Bachelor's",'Pivot Table for 1-11'!$A$3,"State","NC")</f>
        <v>314</v>
      </c>
      <c r="F21" s="197">
        <f>+GETPIVOTDATA(" Old-Total Master's#",'Pivot Table for 1-11'!$A$3,"State","NC")</f>
        <v>12725</v>
      </c>
      <c r="G21" s="197">
        <f>+GETPIVOTDATA(" Old-Total Doctorates#",'Pivot Table for 1-11'!$A$3,"State","NC")</f>
        <v>1593</v>
      </c>
      <c r="H21" s="230">
        <f>GETPIVOTDATA(" Old-Law",'Pivot Table for 1-11'!$A$3,"State","NC")</f>
        <v>335</v>
      </c>
      <c r="I21" s="197">
        <f>GETPIVOTDATA(" Old-Medicine",'Pivot Table for 1-11'!$A$3,"State","NC")</f>
        <v>244</v>
      </c>
      <c r="J21" s="197">
        <f>GETPIVOTDATA(" Old-Dentistry",'Pivot Table for 1-11'!$A$3,"State","NC")</f>
        <v>134</v>
      </c>
      <c r="K21" s="197">
        <f>GETPIVOTDATA(" Old-Pharmacy",'Pivot Table for 1-11'!$A$3,"State","NC")</f>
        <v>137</v>
      </c>
      <c r="L21" s="197">
        <f>GETPIVOTDATA(" Old-Optometry",'Pivot Table for 1-11'!$A$3,"State","NC")</f>
        <v>0</v>
      </c>
      <c r="M21" s="197">
        <f>GETPIVOTDATA(" Old-Osteopathic Medicine",'Pivot Table for 1-11'!$A$3,"State","NC")</f>
        <v>0</v>
      </c>
      <c r="N21" s="197">
        <f>GETPIVOTDATA(" Old-Veterinary Medicine",'Pivot Table for 1-11'!$A$3,"State","NC")</f>
        <v>99</v>
      </c>
      <c r="O21" s="198">
        <f>+GETPIVOTDATA(" Old-Oth PP",'Pivot Table for 1-11'!$A$3,"State","NC")</f>
        <v>330</v>
      </c>
      <c r="P21" s="199">
        <f t="shared" si="0"/>
        <v>123568</v>
      </c>
    </row>
    <row r="22" spans="1:16" ht="15" customHeight="1">
      <c r="A22" s="196" t="s">
        <v>31</v>
      </c>
      <c r="B22" s="197">
        <f>+GETPIVOTDATA(" Old-Less Than 2-Year",'Pivot Table for 1-11'!$A$3,"State","OK")+GETPIVOTDATA(" Old-2 But Less Than 4-Year",'Pivot Table for 1-11'!$A$3,"State","OK")</f>
        <v>13415</v>
      </c>
      <c r="C22" s="197">
        <f>+GETPIVOTDATA(" Old-Associate's",'Pivot Table for 1-11'!$A$3,"State","OK")</f>
        <v>0</v>
      </c>
      <c r="D22" s="197">
        <f>+GETPIVOTDATA(" Old-Bachelor's",'Pivot Table for 1-11'!$A$3,"State","OK")</f>
        <v>0</v>
      </c>
      <c r="E22" s="197">
        <f>+GETPIVOTDATA(" Old-Post-Bachelor's",'Pivot Table for 1-11'!$A$3,"State","OK")</f>
        <v>0</v>
      </c>
      <c r="F22" s="197">
        <f>+GETPIVOTDATA(" Old-Total Master's#",'Pivot Table for 1-11'!$A$3,"State","OK")</f>
        <v>0</v>
      </c>
      <c r="G22" s="197">
        <f>+GETPIVOTDATA(" Old-Total Doctorates#",'Pivot Table for 1-11'!$A$3,"State","OK")</f>
        <v>0</v>
      </c>
      <c r="H22" s="230">
        <f>GETPIVOTDATA(" Old-Law",'Pivot Table for 1-11'!$A$3,"State","OK")</f>
        <v>0</v>
      </c>
      <c r="I22" s="197">
        <f>GETPIVOTDATA(" Old-Medicine",'Pivot Table for 1-11'!$A$3,"State","OK")</f>
        <v>0</v>
      </c>
      <c r="J22" s="197">
        <f>GETPIVOTDATA(" Old-Dentistry",'Pivot Table for 1-11'!$A$3,"State","OK")</f>
        <v>0</v>
      </c>
      <c r="K22" s="197">
        <f>GETPIVOTDATA(" Old-Pharmacy",'Pivot Table for 1-11'!$A$3,"State","OK")</f>
        <v>0</v>
      </c>
      <c r="L22" s="197">
        <f>GETPIVOTDATA(" Old-Optometry",'Pivot Table for 1-11'!$A$3,"State","OK")</f>
        <v>0</v>
      </c>
      <c r="M22" s="197">
        <f>GETPIVOTDATA(" Old-Osteopathic Medicine",'Pivot Table for 1-11'!$A$3,"State","OK")</f>
        <v>0</v>
      </c>
      <c r="N22" s="197">
        <f>GETPIVOTDATA(" Old-Veterinary Medicine",'Pivot Table for 1-11'!$A$3,"State","OK")</f>
        <v>0</v>
      </c>
      <c r="O22" s="198">
        <f>+GETPIVOTDATA(" Old-Oth PP",'Pivot Table for 1-11'!$A$3,"State","OK")</f>
        <v>0</v>
      </c>
      <c r="P22" s="199">
        <f t="shared" si="0"/>
        <v>13415</v>
      </c>
    </row>
    <row r="23" spans="1:16" ht="15" customHeight="1">
      <c r="A23" s="196" t="s">
        <v>32</v>
      </c>
      <c r="B23" s="197">
        <f>+GETPIVOTDATA(" Old-Less Than 2-Year",'Pivot Table for 1-11'!$A$3,"State","SC")+GETPIVOTDATA(" Old-2 But Less Than 4-Year",'Pivot Table for 1-11'!$A$3,"State","SC")</f>
        <v>7447</v>
      </c>
      <c r="C23" s="197">
        <f>+GETPIVOTDATA(" Old-Associate's",'Pivot Table for 1-11'!$A$3,"State","SC")</f>
        <v>9747</v>
      </c>
      <c r="D23" s="197">
        <f>+GETPIVOTDATA(" Old-Bachelor's",'Pivot Table for 1-11'!$A$3,"State","SC")</f>
        <v>20178</v>
      </c>
      <c r="E23" s="197">
        <f>+GETPIVOTDATA(" Old-Post-Bachelor's",'Pivot Table for 1-11'!$A$3,"State","SC")</f>
        <v>496</v>
      </c>
      <c r="F23" s="197">
        <f>+GETPIVOTDATA(" Old-Total Master's#",'Pivot Table for 1-11'!$A$3,"State","SC")</f>
        <v>5239</v>
      </c>
      <c r="G23" s="197">
        <f>+GETPIVOTDATA(" Old-Total Doctorates#",'Pivot Table for 1-11'!$A$3,"State","SC")</f>
        <v>838</v>
      </c>
      <c r="H23" s="230">
        <f>GETPIVOTDATA(" Old-Law",'Pivot Table for 1-11'!$A$3,"State","SC")</f>
        <v>203</v>
      </c>
      <c r="I23" s="197">
        <f>GETPIVOTDATA(" Old-Medicine",'Pivot Table for 1-11'!$A$3,"State","SC")</f>
        <v>348</v>
      </c>
      <c r="J23" s="197">
        <f>GETPIVOTDATA(" Old-Dentistry",'Pivot Table for 1-11'!$A$3,"State","SC")</f>
        <v>70</v>
      </c>
      <c r="K23" s="197">
        <f>GETPIVOTDATA(" Old-Pharmacy",'Pivot Table for 1-11'!$A$3,"State","SC")</f>
        <v>176</v>
      </c>
      <c r="L23" s="197">
        <f>GETPIVOTDATA(" Old-Optometry",'Pivot Table for 1-11'!$A$3,"State","SC")</f>
        <v>0</v>
      </c>
      <c r="M23" s="197">
        <f>GETPIVOTDATA(" Old-Osteopathic Medicine",'Pivot Table for 1-11'!$A$3,"State","SC")</f>
        <v>0</v>
      </c>
      <c r="N23" s="197">
        <f>GETPIVOTDATA(" Old-Veterinary Medicine",'Pivot Table for 1-11'!$A$3,"State","SC")</f>
        <v>0</v>
      </c>
      <c r="O23" s="198">
        <f>+GETPIVOTDATA(" Old-Oth PP",'Pivot Table for 1-11'!$A$3,"State","SC")</f>
        <v>7</v>
      </c>
      <c r="P23" s="199">
        <f t="shared" si="0"/>
        <v>44749</v>
      </c>
    </row>
    <row r="24" spans="1:16" ht="15" customHeight="1">
      <c r="A24" s="196"/>
      <c r="B24" s="197"/>
      <c r="C24" s="197"/>
      <c r="D24" s="197"/>
      <c r="E24" s="197"/>
      <c r="F24" s="197"/>
      <c r="G24" s="197"/>
      <c r="H24" s="230"/>
      <c r="I24" s="197"/>
      <c r="J24" s="197"/>
      <c r="K24" s="197"/>
      <c r="L24" s="197"/>
      <c r="M24" s="197"/>
      <c r="N24" s="197"/>
      <c r="O24" s="198"/>
      <c r="P24" s="199"/>
    </row>
    <row r="25" spans="1:16" ht="15" customHeight="1">
      <c r="A25" s="196" t="s">
        <v>33</v>
      </c>
      <c r="B25" s="197">
        <f>+GETPIVOTDATA(" Old-Less Than 2-Year",'Pivot Table for 1-11'!$A$3,"State","TN")+GETPIVOTDATA(" Old-2 But Less Than 4-Year",'Pivot Table for 1-11'!$A$3,"State","TN")</f>
        <v>7258</v>
      </c>
      <c r="C25" s="197">
        <f>+GETPIVOTDATA(" Old-Associate's",'Pivot Table for 1-11'!$A$3,"State","TN")</f>
        <v>11960</v>
      </c>
      <c r="D25" s="197">
        <f>+GETPIVOTDATA(" Old-Bachelor's",'Pivot Table for 1-11'!$A$3,"State","TN")</f>
        <v>22433</v>
      </c>
      <c r="E25" s="197">
        <f>+GETPIVOTDATA(" Old-Post-Bachelor's",'Pivot Table for 1-11'!$A$3,"State","TN")</f>
        <v>0</v>
      </c>
      <c r="F25" s="197">
        <f>+GETPIVOTDATA(" Old-Total Master's#",'Pivot Table for 1-11'!$A$3,"State","TN")</f>
        <v>5809</v>
      </c>
      <c r="G25" s="197">
        <f>+GETPIVOTDATA(" Old-Total Doctorates#",'Pivot Table for 1-11'!$A$3,"State","TN")</f>
        <v>1057</v>
      </c>
      <c r="H25" s="230">
        <f>GETPIVOTDATA(" Old-Law",'Pivot Table for 1-11'!$A$3,"State","TN")</f>
        <v>199</v>
      </c>
      <c r="I25" s="197">
        <f>GETPIVOTDATA(" Old-Medicine",'Pivot Table for 1-11'!$A$3,"State","TN")</f>
        <v>221</v>
      </c>
      <c r="J25" s="197">
        <f>GETPIVOTDATA(" Old-Dentistry",'Pivot Table for 1-11'!$A$3,"State","TN")</f>
        <v>90</v>
      </c>
      <c r="K25" s="197">
        <f>GETPIVOTDATA(" Old-Pharmacy",'Pivot Table for 1-11'!$A$3,"State","TN")</f>
        <v>261</v>
      </c>
      <c r="L25" s="197">
        <f>GETPIVOTDATA(" Old-Optometry",'Pivot Table for 1-11'!$A$3,"State","TN")</f>
        <v>0</v>
      </c>
      <c r="M25" s="197">
        <f>GETPIVOTDATA(" Old-Osteopathic Medicine",'Pivot Table for 1-11'!$A$3,"State","TN")</f>
        <v>0</v>
      </c>
      <c r="N25" s="197">
        <f>GETPIVOTDATA(" Old-Veterinary Medicine",'Pivot Table for 1-11'!$A$3,"State","TN")</f>
        <v>84</v>
      </c>
      <c r="O25" s="198">
        <f>+GETPIVOTDATA(" Old-Oth PP",'Pivot Table for 1-11'!$A$3,"State","TN")</f>
        <v>0</v>
      </c>
      <c r="P25" s="199">
        <f t="shared" si="0"/>
        <v>49372</v>
      </c>
    </row>
    <row r="26" spans="1:16" ht="15" customHeight="1">
      <c r="A26" s="196" t="s">
        <v>34</v>
      </c>
      <c r="B26" s="197">
        <f>+GETPIVOTDATA(" Old-Less Than 2-Year",'Pivot Table for 1-11'!$A$3,"State","TX")+GETPIVOTDATA(" Old-2 But Less Than 4-Year",'Pivot Table for 1-11'!$A$3,"State","TX")</f>
        <v>41591</v>
      </c>
      <c r="C26" s="197">
        <f>+GETPIVOTDATA(" Old-Associate's",'Pivot Table for 1-11'!$A$3,"State","TX")</f>
        <v>89409</v>
      </c>
      <c r="D26" s="197">
        <f>+GETPIVOTDATA(" Old-Bachelor's",'Pivot Table for 1-11'!$A$3,"State","TX")</f>
        <v>117939</v>
      </c>
      <c r="E26" s="197">
        <f>+GETPIVOTDATA(" Old-Post-Bachelor's",'Pivot Table for 1-11'!$A$3,"State","TX")</f>
        <v>0</v>
      </c>
      <c r="F26" s="197">
        <f>+GETPIVOTDATA(" Old-Total Master's#",'Pivot Table for 1-11'!$A$3,"State","TX")</f>
        <v>43222</v>
      </c>
      <c r="G26" s="197">
        <f>+GETPIVOTDATA(" Old-Total Doctorates#",'Pivot Table for 1-11'!$A$3,"State","TX")</f>
        <v>4306</v>
      </c>
      <c r="H26" s="230">
        <f>GETPIVOTDATA(" Old-Law",'Pivot Table for 1-11'!$A$3,"State","TX")</f>
        <v>1079</v>
      </c>
      <c r="I26" s="197">
        <f>GETPIVOTDATA(" Old-Medicine",'Pivot Table for 1-11'!$A$3,"State","TX")</f>
        <v>1363</v>
      </c>
      <c r="J26" s="197">
        <f>GETPIVOTDATA(" Old-Dentistry",'Pivot Table for 1-11'!$A$3,"State","TX")</f>
        <v>299</v>
      </c>
      <c r="K26" s="197">
        <f>GETPIVOTDATA(" Old-Pharmacy",'Pivot Table for 1-11'!$A$3,"State","TX")</f>
        <v>793</v>
      </c>
      <c r="L26" s="197">
        <f>GETPIVOTDATA(" Old-Optometry",'Pivot Table for 1-11'!$A$3,"State","TX")</f>
        <v>102</v>
      </c>
      <c r="M26" s="197">
        <f>GETPIVOTDATA(" Old-Osteopathic Medicine",'Pivot Table for 1-11'!$A$3,"State","TX")</f>
        <v>226</v>
      </c>
      <c r="N26" s="197">
        <f>GETPIVOTDATA(" Old-Veterinary Medicine",'Pivot Table for 1-11'!$A$3,"State","TX")</f>
        <v>131</v>
      </c>
      <c r="O26" s="198">
        <f>+GETPIVOTDATA(" Old-Oth PP",'Pivot Table for 1-11'!$A$3,"State","TX")</f>
        <v>526</v>
      </c>
      <c r="P26" s="199">
        <f t="shared" si="0"/>
        <v>300986</v>
      </c>
    </row>
    <row r="27" spans="1:16" ht="15" customHeight="1">
      <c r="A27" s="196" t="s">
        <v>35</v>
      </c>
      <c r="B27" s="197">
        <f>+GETPIVOTDATA(" Old-Less Than 2-Year",'Pivot Table for 1-11'!$A$3,"State","VA")+GETPIVOTDATA(" Old-2 But Less Than 4-Year",'Pivot Table for 1-11'!$A$3,"State","VA")</f>
        <v>15016</v>
      </c>
      <c r="C27" s="197">
        <f>+GETPIVOTDATA(" Old-Associate's",'Pivot Table for 1-11'!$A$3,"State","VA")</f>
        <v>17991</v>
      </c>
      <c r="D27" s="197">
        <f>+GETPIVOTDATA(" Old-Bachelor's",'Pivot Table for 1-11'!$A$3,"State","VA")</f>
        <v>38812</v>
      </c>
      <c r="E27" s="197">
        <f>+GETPIVOTDATA(" Old-Post-Bachelor's",'Pivot Table for 1-11'!$A$3,"State","VA")</f>
        <v>1637</v>
      </c>
      <c r="F27" s="197">
        <f>+GETPIVOTDATA(" Old-Total Master's#",'Pivot Table for 1-11'!$A$3,"State","VA")</f>
        <v>11545</v>
      </c>
      <c r="G27" s="197">
        <f>+GETPIVOTDATA(" Old-Total Doctorates#",'Pivot Table for 1-11'!$A$3,"State","VA")</f>
        <v>1858</v>
      </c>
      <c r="H27" s="230">
        <f>GETPIVOTDATA(" Old-Law",'Pivot Table for 1-11'!$A$3,"State","VA")</f>
        <v>690</v>
      </c>
      <c r="I27" s="197">
        <f>GETPIVOTDATA(" Old-Medicine",'Pivot Table for 1-11'!$A$3,"State","VA")</f>
        <v>391</v>
      </c>
      <c r="J27" s="197">
        <f>GETPIVOTDATA(" Old-Dentistry",'Pivot Table for 1-11'!$A$3,"State","VA")</f>
        <v>101</v>
      </c>
      <c r="K27" s="197">
        <f>GETPIVOTDATA(" Old-Pharmacy",'Pivot Table for 1-11'!$A$3,"State","VA")</f>
        <v>124</v>
      </c>
      <c r="L27" s="197">
        <f>GETPIVOTDATA(" Old-Optometry",'Pivot Table for 1-11'!$A$3,"State","VA")</f>
        <v>0</v>
      </c>
      <c r="M27" s="197">
        <f>GETPIVOTDATA(" Old-Osteopathic Medicine",'Pivot Table for 1-11'!$A$3,"State","VA")</f>
        <v>0</v>
      </c>
      <c r="N27" s="197">
        <f>GETPIVOTDATA(" Old-Veterinary Medicine",'Pivot Table for 1-11'!$A$3,"State","VA")</f>
        <v>123</v>
      </c>
      <c r="O27" s="198">
        <f>+GETPIVOTDATA(" Old-Oth PP",'Pivot Table for 1-11'!$A$3,"State","VA")</f>
        <v>0</v>
      </c>
      <c r="P27" s="199">
        <f t="shared" si="0"/>
        <v>88288</v>
      </c>
    </row>
    <row r="28" spans="1:16" ht="15" customHeight="1">
      <c r="A28" s="200" t="s">
        <v>36</v>
      </c>
      <c r="B28" s="201">
        <f>+GETPIVOTDATA(" Old-Less Than 2-Year",'Pivot Table for 1-11'!$A$3,"State","WV")+GETPIVOTDATA(" Old-2 But Less Than 4-Year",'Pivot Table for 1-11'!$A$3,"State","WV")</f>
        <v>3198</v>
      </c>
      <c r="C28" s="201">
        <f>+GETPIVOTDATA(" Old-Associate's",'Pivot Table for 1-11'!$A$3,"State","WV")</f>
        <v>3320</v>
      </c>
      <c r="D28" s="201">
        <f>+GETPIVOTDATA(" Old-Bachelor's",'Pivot Table for 1-11'!$A$3,"State","WV")</f>
        <v>9486</v>
      </c>
      <c r="E28" s="201">
        <f>+GETPIVOTDATA(" Old-Post-Bachelor's",'Pivot Table for 1-11'!$A$3,"State","WV")</f>
        <v>0</v>
      </c>
      <c r="F28" s="201">
        <f>+GETPIVOTDATA(" Old-Total Master's#",'Pivot Table for 1-11'!$A$3,"State","WV")</f>
        <v>2735</v>
      </c>
      <c r="G28" s="201">
        <f>+GETPIVOTDATA(" Old-Total Doctorates#",'Pivot Table for 1-11'!$A$3,"State","WV")</f>
        <v>220</v>
      </c>
      <c r="H28" s="202">
        <f>GETPIVOTDATA(" Old-Law",'Pivot Table for 1-11'!$A$3,"State","WV")</f>
        <v>101</v>
      </c>
      <c r="I28" s="201">
        <f>GETPIVOTDATA(" Old-Medicine",'Pivot Table for 1-11'!$A$3,"State","WV")</f>
        <v>153</v>
      </c>
      <c r="J28" s="201">
        <f>GETPIVOTDATA(" Old-Dentistry",'Pivot Table for 1-11'!$A$3,"State","WV")</f>
        <v>45</v>
      </c>
      <c r="K28" s="201">
        <f>GETPIVOTDATA(" Old-Pharmacy",'Pivot Table for 1-11'!$A$3,"State","WV")</f>
        <v>147</v>
      </c>
      <c r="L28" s="201">
        <f>GETPIVOTDATA(" Old-Optometry",'Pivot Table for 1-11'!$A$3,"State","WV")</f>
        <v>0</v>
      </c>
      <c r="M28" s="201">
        <f>GETPIVOTDATA(" Old-Osteopathic Medicine",'Pivot Table for 1-11'!$A$3,"State","WV")</f>
        <v>209</v>
      </c>
      <c r="N28" s="201">
        <f>GETPIVOTDATA(" Old-Veterinary Medicine",'Pivot Table for 1-11'!$A$3,"State","WV")</f>
        <v>0</v>
      </c>
      <c r="O28" s="319">
        <f>+GETPIVOTDATA(" Old-Oth PP",'Pivot Table for 1-11'!$A$3,"State","WV")</f>
        <v>136</v>
      </c>
      <c r="P28" s="203">
        <f t="shared" si="0"/>
        <v>19750</v>
      </c>
    </row>
    <row r="29" spans="1:16" ht="12.75" customHeight="1">
      <c r="B29" s="197"/>
      <c r="C29" s="197"/>
      <c r="D29" s="197"/>
      <c r="E29" s="197"/>
      <c r="F29" s="197"/>
      <c r="G29" s="197"/>
      <c r="H29" s="197"/>
      <c r="I29" s="197"/>
      <c r="J29" s="197"/>
      <c r="K29" s="197"/>
      <c r="L29" s="197"/>
      <c r="M29" s="197"/>
      <c r="N29" s="197"/>
      <c r="O29" s="197"/>
      <c r="P29" s="197"/>
    </row>
    <row r="30" spans="1:16" ht="24" customHeight="1">
      <c r="A30" s="545" t="s">
        <v>37</v>
      </c>
      <c r="B30" s="546"/>
      <c r="C30" s="546"/>
      <c r="D30" s="546"/>
      <c r="E30" s="546"/>
      <c r="F30" s="546"/>
      <c r="G30" s="546"/>
      <c r="H30" s="546"/>
      <c r="I30" s="546"/>
      <c r="J30" s="546"/>
      <c r="K30" s="546"/>
      <c r="L30" s="546"/>
      <c r="M30" s="546"/>
      <c r="N30" s="546"/>
      <c r="O30" s="546"/>
      <c r="P30" s="546"/>
    </row>
    <row r="31" spans="1:16" ht="15" customHeight="1">
      <c r="P31" s="204" t="s">
        <v>1178</v>
      </c>
    </row>
    <row r="32" spans="1:16" ht="18">
      <c r="A32" s="186" t="s">
        <v>38</v>
      </c>
      <c r="B32" s="187"/>
      <c r="C32" s="187"/>
      <c r="D32" s="187"/>
      <c r="E32" s="187"/>
      <c r="F32" s="187"/>
      <c r="G32" s="187"/>
      <c r="H32" s="187"/>
      <c r="I32" s="187"/>
      <c r="J32" s="187"/>
      <c r="K32" s="187"/>
      <c r="L32" s="187"/>
      <c r="M32" s="187"/>
      <c r="N32" s="187"/>
      <c r="O32" s="187"/>
      <c r="P32" s="187"/>
    </row>
    <row r="33" spans="1:16" ht="15.75" customHeight="1">
      <c r="A33" s="188"/>
      <c r="B33" s="188"/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</row>
    <row r="34" spans="1:16" ht="15.5">
      <c r="A34" s="187" t="s">
        <v>2</v>
      </c>
      <c r="B34" s="187"/>
      <c r="C34" s="187"/>
      <c r="D34" s="187"/>
      <c r="E34" s="187"/>
      <c r="F34" s="187"/>
      <c r="G34" s="187"/>
      <c r="H34" s="187"/>
      <c r="I34" s="187"/>
      <c r="J34" s="187"/>
      <c r="K34" s="187"/>
      <c r="L34" s="187"/>
      <c r="M34" s="187"/>
      <c r="N34" s="187"/>
      <c r="O34" s="187"/>
      <c r="P34" s="187"/>
    </row>
    <row r="35" spans="1:16" ht="15.5">
      <c r="A35" s="187" t="s">
        <v>39</v>
      </c>
      <c r="B35" s="187"/>
      <c r="C35" s="187"/>
      <c r="D35" s="187"/>
      <c r="E35" s="187"/>
      <c r="F35" s="187"/>
      <c r="G35" s="187"/>
      <c r="H35" s="187"/>
      <c r="I35" s="187"/>
      <c r="J35" s="187"/>
      <c r="K35" s="187"/>
      <c r="L35" s="187"/>
      <c r="M35" s="187"/>
      <c r="N35" s="187"/>
      <c r="O35" s="187"/>
      <c r="P35" s="187"/>
    </row>
    <row r="36" spans="1:16" ht="15.5">
      <c r="A36" s="189"/>
      <c r="B36" s="189"/>
      <c r="C36" s="189"/>
      <c r="D36" s="189"/>
      <c r="E36" s="189"/>
      <c r="F36" s="189"/>
      <c r="G36" s="189"/>
      <c r="H36" s="189"/>
      <c r="I36" s="189"/>
      <c r="J36" s="189"/>
      <c r="K36" s="189"/>
      <c r="L36" s="189"/>
      <c r="M36" s="189"/>
      <c r="N36" s="189"/>
      <c r="O36" s="189"/>
      <c r="P36" s="189"/>
    </row>
    <row r="37" spans="1:16" ht="15" customHeight="1">
      <c r="A37" s="190"/>
      <c r="B37" s="190"/>
      <c r="C37" s="190"/>
      <c r="D37" s="190"/>
      <c r="E37" s="190"/>
      <c r="F37" s="190"/>
      <c r="G37" s="190"/>
      <c r="H37" s="326" t="s">
        <v>4</v>
      </c>
      <c r="I37" s="191"/>
      <c r="J37" s="191"/>
      <c r="K37" s="191"/>
      <c r="L37" s="191"/>
      <c r="M37" s="191"/>
      <c r="N37" s="191"/>
      <c r="O37" s="327"/>
      <c r="P37" s="192" t="s">
        <v>1</v>
      </c>
    </row>
    <row r="38" spans="1:16" ht="39.75" customHeight="1">
      <c r="A38" s="193"/>
      <c r="B38" s="194" t="s">
        <v>5</v>
      </c>
      <c r="C38" s="194" t="s">
        <v>6</v>
      </c>
      <c r="D38" s="194" t="s">
        <v>7</v>
      </c>
      <c r="E38" s="194" t="s">
        <v>8</v>
      </c>
      <c r="F38" s="194" t="s">
        <v>9</v>
      </c>
      <c r="G38" s="194" t="s">
        <v>10</v>
      </c>
      <c r="H38" s="195" t="s">
        <v>11</v>
      </c>
      <c r="I38" s="194" t="s">
        <v>81</v>
      </c>
      <c r="J38" s="194" t="s">
        <v>13</v>
      </c>
      <c r="K38" s="194" t="s">
        <v>14</v>
      </c>
      <c r="L38" s="194" t="s">
        <v>15</v>
      </c>
      <c r="M38" s="194" t="s">
        <v>16</v>
      </c>
      <c r="N38" s="194" t="s">
        <v>82</v>
      </c>
      <c r="O38" s="328" t="s">
        <v>83</v>
      </c>
      <c r="P38" s="194" t="s">
        <v>19</v>
      </c>
    </row>
    <row r="39" spans="1:16" ht="15" customHeight="1">
      <c r="A39" s="196" t="s">
        <v>20</v>
      </c>
      <c r="B39" s="197">
        <f>+GETPIVOTDATA(" Old-Less Than 2-Year",'Pivot Table for 1-11'!$A$3,"SREB Type2","Four-Year")+GETPIVOTDATA(" Old-2 But Less Than 4-Year",'Pivot Table for 1-11'!$A$3,"SREB Type2","Four-Year")</f>
        <v>5225</v>
      </c>
      <c r="C39" s="197">
        <f>+GETPIVOTDATA(" Old-Associate's",'Pivot Table for 1-11'!$A$3,"SREB Type2","Four-Year")</f>
        <v>12253</v>
      </c>
      <c r="D39" s="197">
        <f>+GETPIVOTDATA(" Old-Bachelor's",'Pivot Table for 1-11'!$A$3,"SREB Type2","Four-Year")</f>
        <v>384445</v>
      </c>
      <c r="E39" s="197">
        <f>+GETPIVOTDATA(" Old-Post-Bachelor's",'Pivot Table for 1-11'!$A$3,"SREB Type2","Four-Year")</f>
        <v>4899</v>
      </c>
      <c r="F39" s="197">
        <f>+GETPIVOTDATA(" Old-Total Master's#",'Pivot Table for 1-11'!$A$3,"SREB Type2","Four-Year")</f>
        <v>125231</v>
      </c>
      <c r="G39" s="197">
        <f>+GETPIVOTDATA(" Old-Total Doctorates#",'Pivot Table for 1-11'!$A$3,"SREB Type2","Four-Year")</f>
        <v>13785</v>
      </c>
      <c r="H39" s="230">
        <f>+GETPIVOTDATA(" Old-Law",'Pivot Table for 1-11'!$A$3,"SREB Type2","Four-Year")</f>
        <v>4020</v>
      </c>
      <c r="I39" s="197">
        <f>+GETPIVOTDATA(" Old-Medicine",'Pivot Table for 1-11'!$A$3,"SREB Type2","Four-Year")</f>
        <v>1961</v>
      </c>
      <c r="J39" s="197">
        <f>+GETPIVOTDATA(" Old-Dentistry",'Pivot Table for 1-11'!$A$3,"SREB Type2","Four-Year")</f>
        <v>641</v>
      </c>
      <c r="K39" s="197">
        <f>+GETPIVOTDATA(" Old-Pharmacy",'Pivot Table for 1-11'!$A$3,"SREB Type2","Four-Year")</f>
        <v>1642</v>
      </c>
      <c r="L39" s="197">
        <f>+GETPIVOTDATA(" Old-Optometry",'Pivot Table for 1-11'!$A$3,"SREB Type2","Four-Year")</f>
        <v>149</v>
      </c>
      <c r="M39" s="197">
        <f>+GETPIVOTDATA(" Old-Osteopathic Medicine",'Pivot Table for 1-11'!$A$3,"SREB Type2","Four-Year")</f>
        <v>0</v>
      </c>
      <c r="N39" s="197">
        <f>+GETPIVOTDATA(" Old-Veterinary Medicine",'Pivot Table for 1-11'!$A$3,"SREB Type2","Four-Year")</f>
        <v>850</v>
      </c>
      <c r="O39" s="198">
        <f>+GETPIVOTDATA(" Old-Oth PP",'Pivot Table for 1-11'!$A$3,"SREB Type2","Four-Year")</f>
        <v>1697</v>
      </c>
      <c r="P39" s="199">
        <f>SUM(B39:O39)</f>
        <v>556798</v>
      </c>
    </row>
    <row r="40" spans="1:16" ht="15" customHeight="1">
      <c r="A40" s="196"/>
      <c r="B40" s="197"/>
      <c r="C40" s="197"/>
      <c r="D40" s="197"/>
      <c r="E40" s="197"/>
      <c r="F40" s="197"/>
      <c r="G40" s="197"/>
      <c r="H40" s="230"/>
      <c r="I40" s="197"/>
      <c r="J40" s="197"/>
      <c r="K40" s="197"/>
      <c r="L40" s="197"/>
      <c r="M40" s="197"/>
      <c r="N40" s="197"/>
      <c r="O40" s="198"/>
      <c r="P40" s="199"/>
    </row>
    <row r="41" spans="1:16" ht="15" customHeight="1">
      <c r="A41" s="196" t="s">
        <v>21</v>
      </c>
      <c r="B41" s="197">
        <f>+GETPIVOTDATA(" Old-Less Than 2-Year",'Pivot Table for 1-11'!$A$3,"State","AL","SREB Type2","Four-Year")+GETPIVOTDATA(" Old-2 But Less Than 4-Year",'Pivot Table for 1-11'!$A$3,"State","AL","SREB Type2","Four-Year")</f>
        <v>209</v>
      </c>
      <c r="C41" s="197">
        <f>+GETPIVOTDATA(" Old-Associate's",'Pivot Table for 1-11'!$A$3,"State","AL","SREB Type2","Four-Year")</f>
        <v>352</v>
      </c>
      <c r="D41" s="197">
        <f>+GETPIVOTDATA(" Old-Bachelor's",'Pivot Table for 1-11'!$A$3,"State","AL","SREB Type2","Four-Year")</f>
        <v>25911</v>
      </c>
      <c r="E41" s="197">
        <f>+GETPIVOTDATA(" Old-Post-Bachelor's",'Pivot Table for 1-11'!$A$3,"State","AL","SREB Type2","Four-Year")</f>
        <v>468</v>
      </c>
      <c r="F41" s="197">
        <f>+GETPIVOTDATA(" Old-Total Master's#",'Pivot Table for 1-11'!$A$3,"State","AL","SREB Type2","Four-Year")</f>
        <v>10798</v>
      </c>
      <c r="G41" s="197">
        <f>+GETPIVOTDATA(" Old-Total Doctorates#",'Pivot Table for 1-11'!$A$3,"State","AL","SREB Type2","Four-Year")</f>
        <v>721</v>
      </c>
      <c r="H41" s="230">
        <f>+GETPIVOTDATA(" Old-Law",'Pivot Table for 1-11'!$A$3,"State","AL","SREB Type2","Four-Year")</f>
        <v>134</v>
      </c>
      <c r="I41" s="197">
        <f>+GETPIVOTDATA(" Old-Medicine",'Pivot Table for 1-11'!$A$3,"State","AL","SREB Type2","Four-Year")</f>
        <v>262</v>
      </c>
      <c r="J41" s="197">
        <f>+GETPIVOTDATA(" Old-Dentistry",'Pivot Table for 1-11'!$A$3,"State","AL","SREB Type2","Four-Year")</f>
        <v>64</v>
      </c>
      <c r="K41" s="197">
        <f>+GETPIVOTDATA(" Old-Pharmacy",'Pivot Table for 1-11'!$A$3,"State","AL","SREB Type2","Four-Year")</f>
        <v>145</v>
      </c>
      <c r="L41" s="197">
        <f>+GETPIVOTDATA(" Old-Optometry",'Pivot Table for 1-11'!$A$3,"State","AL","SREB Type2","Four-Year")</f>
        <v>47</v>
      </c>
      <c r="M41" s="197">
        <f>+GETPIVOTDATA(" Old-Osteopathic Medicine",'Pivot Table for 1-11'!$A$3,"State","AL","SREB Type2","Four-Year")</f>
        <v>0</v>
      </c>
      <c r="N41" s="197">
        <f>+GETPIVOTDATA(" Old-Veterinary Medicine",'Pivot Table for 1-11'!$A$3,"State","AL","SREB Type2","Four-Year")</f>
        <v>123</v>
      </c>
      <c r="O41" s="198">
        <f>+GETPIVOTDATA(" Old-Oth PP",'Pivot Table for 1-11'!$A$3,"State","AL","SREB Type2","Four-Year")</f>
        <v>467</v>
      </c>
      <c r="P41" s="199">
        <f>SUM(B41:O41)</f>
        <v>39701</v>
      </c>
    </row>
    <row r="42" spans="1:16" ht="15" customHeight="1">
      <c r="A42" s="196" t="s">
        <v>22</v>
      </c>
      <c r="B42" s="197">
        <f>+GETPIVOTDATA(" Old-Less Than 2-Year",'Pivot Table for 1-11'!$A$3,"State","AR","SREB Type2","Four-Year")+GETPIVOTDATA(" Old-2 But Less Than 4-Year",'Pivot Table for 1-11'!$A$3,"State","AR","SREB Type2","Four-Year")</f>
        <v>2298</v>
      </c>
      <c r="C42" s="197">
        <f>+GETPIVOTDATA(" Old-Associate's",'Pivot Table for 1-11'!$A$3,"State","AR","SREB Type2","Four-Year")</f>
        <v>3069</v>
      </c>
      <c r="D42" s="197">
        <f>+GETPIVOTDATA(" Old-Bachelor's",'Pivot Table for 1-11'!$A$3,"State","AR","SREB Type2","Four-Year")</f>
        <v>13787</v>
      </c>
      <c r="E42" s="197">
        <f>+GETPIVOTDATA(" Old-Post-Bachelor's",'Pivot Table for 1-11'!$A$3,"State","AR","SREB Type2","Four-Year")</f>
        <v>525</v>
      </c>
      <c r="F42" s="197">
        <f>+GETPIVOTDATA(" Old-Total Master's#",'Pivot Table for 1-11'!$A$3,"State","AR","SREB Type2","Four-Year")</f>
        <v>5637</v>
      </c>
      <c r="G42" s="197">
        <f>+GETPIVOTDATA(" Old-Total Doctorates#",'Pivot Table for 1-11'!$A$3,"State","AR","SREB Type2","Four-Year")</f>
        <v>290</v>
      </c>
      <c r="H42" s="230">
        <f>+GETPIVOTDATA(" Old-Law",'Pivot Table for 1-11'!$A$3,"State","AR","SREB Type2","Four-Year")</f>
        <v>228</v>
      </c>
      <c r="I42" s="197">
        <f>+GETPIVOTDATA(" Old-Medicine",'Pivot Table for 1-11'!$A$3,"State","AR","SREB Type2","Four-Year")</f>
        <v>0</v>
      </c>
      <c r="J42" s="197">
        <f>+GETPIVOTDATA(" Old-Dentistry",'Pivot Table for 1-11'!$A$3,"State","AR","SREB Type2","Four-Year")</f>
        <v>0</v>
      </c>
      <c r="K42" s="197">
        <f>+GETPIVOTDATA(" Old-Pharmacy",'Pivot Table for 1-11'!$A$3,"State","AR","SREB Type2","Four-Year")</f>
        <v>0</v>
      </c>
      <c r="L42" s="197">
        <f>+GETPIVOTDATA(" Old-Optometry",'Pivot Table for 1-11'!$A$3,"State","AR","SREB Type2","Four-Year")</f>
        <v>0</v>
      </c>
      <c r="M42" s="197">
        <f>+GETPIVOTDATA(" Old-Osteopathic Medicine",'Pivot Table for 1-11'!$A$3,"State","AR","SREB Type2","Four-Year")</f>
        <v>0</v>
      </c>
      <c r="N42" s="197">
        <f>+GETPIVOTDATA(" Old-Veterinary Medicine",'Pivot Table for 1-11'!$A$3,"State","AR","SREB Type2","Four-Year")</f>
        <v>0</v>
      </c>
      <c r="O42" s="198">
        <f>+GETPIVOTDATA(" Old-Oth PP",'Pivot Table for 1-11'!$A$3,"State","AR","SREB Type2","Four-Year")</f>
        <v>126</v>
      </c>
      <c r="P42" s="199">
        <f>SUM(B42:O42)</f>
        <v>25960</v>
      </c>
    </row>
    <row r="43" spans="1:16" ht="15" customHeight="1">
      <c r="A43" s="196" t="s">
        <v>23</v>
      </c>
      <c r="B43" s="197">
        <f>+GETPIVOTDATA(" Old-Less Than 2-Year",'Pivot Table for 1-11'!$A$3,"State","DE","SREB Type2","Four-Year")+GETPIVOTDATA(" Old-2 But Less Than 4-Year",'Pivot Table for 1-11'!$A$3,"State","DE","SREB Type2","Four-Year")</f>
        <v>0</v>
      </c>
      <c r="C43" s="197">
        <f>+GETPIVOTDATA(" Old-Associate's",'Pivot Table for 1-11'!$A$3,"State","DE","SREB Type2","Four-Year")</f>
        <v>271</v>
      </c>
      <c r="D43" s="197">
        <f>+GETPIVOTDATA(" Old-Bachelor's",'Pivot Table for 1-11'!$A$3,"State","DE","SREB Type2","Four-Year")</f>
        <v>4978</v>
      </c>
      <c r="E43" s="197">
        <f>+GETPIVOTDATA(" Old-Post-Bachelor's",'Pivot Table for 1-11'!$A$3,"State","DE","SREB Type2","Four-Year")</f>
        <v>0</v>
      </c>
      <c r="F43" s="197">
        <f>+GETPIVOTDATA(" Old-Total Master's#",'Pivot Table for 1-11'!$A$3,"State","DE","SREB Type2","Four-Year")</f>
        <v>1118</v>
      </c>
      <c r="G43" s="197">
        <f>+GETPIVOTDATA(" Old-Total Doctorates#",'Pivot Table for 1-11'!$A$3,"State","DE","SREB Type2","Four-Year")</f>
        <v>277</v>
      </c>
      <c r="H43" s="230">
        <f>+GETPIVOTDATA(" Old-Law",'Pivot Table for 1-11'!$A$3,"State","DE","SREB Type2","Four-Year")</f>
        <v>0</v>
      </c>
      <c r="I43" s="197">
        <f>+GETPIVOTDATA(" Old-Medicine",'Pivot Table for 1-11'!$A$3,"State","DE","SREB Type2","Four-Year")</f>
        <v>0</v>
      </c>
      <c r="J43" s="197">
        <f>+GETPIVOTDATA(" Old-Dentistry",'Pivot Table for 1-11'!$A$3,"State","DE","SREB Type2","Four-Year")</f>
        <v>0</v>
      </c>
      <c r="K43" s="197">
        <f>+GETPIVOTDATA(" Old-Pharmacy",'Pivot Table for 1-11'!$A$3,"State","DE","SREB Type2","Four-Year")</f>
        <v>0</v>
      </c>
      <c r="L43" s="197">
        <f>+GETPIVOTDATA(" Old-Optometry",'Pivot Table for 1-11'!$A$3,"State","DE","SREB Type2","Four-Year")</f>
        <v>0</v>
      </c>
      <c r="M43" s="197">
        <f>+GETPIVOTDATA(" Old-Osteopathic Medicine",'Pivot Table for 1-11'!$A$3,"State","DE","SREB Type2","Four-Year")</f>
        <v>0</v>
      </c>
      <c r="N43" s="197">
        <f>+GETPIVOTDATA(" Old-Veterinary Medicine",'Pivot Table for 1-11'!$A$3,"State","DE","SREB Type2","Four-Year")</f>
        <v>0</v>
      </c>
      <c r="O43" s="198">
        <f>+GETPIVOTDATA(" Old-Oth PP",'Pivot Table for 1-11'!$A$3,"State","DE","SREB Type2","Four-Year")</f>
        <v>54</v>
      </c>
      <c r="P43" s="199">
        <f>SUM(B43:O43)</f>
        <v>6698</v>
      </c>
    </row>
    <row r="44" spans="1:16" ht="15" customHeight="1">
      <c r="A44" s="196" t="s">
        <v>24</v>
      </c>
      <c r="B44" s="197">
        <f>+GETPIVOTDATA(" Old-Less Than 2-Year",'Pivot Table for 1-11'!$A$3,"State","FL","SREB Type2","Four-Year")+GETPIVOTDATA(" Old-2 But Less Than 4-Year",'Pivot Table for 1-11'!$A$3,"State","FL","SREB Type2","Four-Year")</f>
        <v>0</v>
      </c>
      <c r="C44" s="197">
        <f>+GETPIVOTDATA(" Old-Associate's",'Pivot Table for 1-11'!$A$3,"State","FL","SREB Type2","Four-Year")</f>
        <v>0</v>
      </c>
      <c r="D44" s="197">
        <f>+GETPIVOTDATA(" Old-Bachelor's",'Pivot Table for 1-11'!$A$3,"State","FL","SREB Type2","Four-Year")</f>
        <v>0</v>
      </c>
      <c r="E44" s="197">
        <f>+GETPIVOTDATA(" Old-Post-Bachelor's",'Pivot Table for 1-11'!$A$3,"State","FL","SREB Type2","Four-Year")</f>
        <v>0</v>
      </c>
      <c r="F44" s="197">
        <f>+GETPIVOTDATA(" Old-Total Master's#",'Pivot Table for 1-11'!$A$3,"State","FL","SREB Type2","Four-Year")</f>
        <v>0</v>
      </c>
      <c r="G44" s="197">
        <f>+GETPIVOTDATA(" Old-Total Doctorates#",'Pivot Table for 1-11'!$A$3,"State","FL","SREB Type2","Four-Year")</f>
        <v>0</v>
      </c>
      <c r="H44" s="230">
        <f>+GETPIVOTDATA(" Old-Law",'Pivot Table for 1-11'!$A$3,"State","FL","SREB Type2","Four-Year")</f>
        <v>0</v>
      </c>
      <c r="I44" s="197">
        <f>+GETPIVOTDATA(" Old-Medicine",'Pivot Table for 1-11'!$A$3,"State","FL","SREB Type2","Four-Year")</f>
        <v>0</v>
      </c>
      <c r="J44" s="197">
        <f>+GETPIVOTDATA(" Old-Dentistry",'Pivot Table for 1-11'!$A$3,"State","FL","SREB Type2","Four-Year")</f>
        <v>0</v>
      </c>
      <c r="K44" s="197">
        <f>+GETPIVOTDATA(" Old-Pharmacy",'Pivot Table for 1-11'!$A$3,"State","FL","SREB Type2","Four-Year")</f>
        <v>0</v>
      </c>
      <c r="L44" s="197">
        <f>+GETPIVOTDATA(" Old-Optometry",'Pivot Table for 1-11'!$A$3,"State","FL","SREB Type2","Four-Year")</f>
        <v>0</v>
      </c>
      <c r="M44" s="197">
        <f>+GETPIVOTDATA(" Old-Osteopathic Medicine",'Pivot Table for 1-11'!$A$3,"State","FL","SREB Type2","Four-Year")</f>
        <v>0</v>
      </c>
      <c r="N44" s="197">
        <f>+GETPIVOTDATA(" Old-Veterinary Medicine",'Pivot Table for 1-11'!$A$3,"State","FL","SREB Type2","Four-Year")</f>
        <v>0</v>
      </c>
      <c r="O44" s="198">
        <f>+GETPIVOTDATA(" Old-Oth PP",'Pivot Table for 1-11'!$A$3,"State","FL","SREB Type2","Four-Year")</f>
        <v>0</v>
      </c>
      <c r="P44" s="199">
        <f>SUM(B44:O44)</f>
        <v>0</v>
      </c>
    </row>
    <row r="45" spans="1:16" ht="15" customHeight="1">
      <c r="A45" s="196"/>
      <c r="B45" s="197"/>
      <c r="C45" s="197"/>
      <c r="D45" s="197"/>
      <c r="E45" s="197"/>
      <c r="F45" s="197"/>
      <c r="G45" s="197"/>
      <c r="H45" s="230"/>
      <c r="I45" s="197"/>
      <c r="J45" s="197"/>
      <c r="K45" s="197"/>
      <c r="L45" s="197"/>
      <c r="M45" s="197"/>
      <c r="N45" s="197"/>
      <c r="O45" s="198"/>
      <c r="P45" s="199"/>
    </row>
    <row r="46" spans="1:16" ht="15" customHeight="1">
      <c r="A46" s="196" t="s">
        <v>25</v>
      </c>
      <c r="B46" s="197">
        <f>+GETPIVOTDATA(" Old-Less Than 2-Year",'Pivot Table for 1-11'!$A$3,"State","GA","SREB Type2","Four-Year")+GETPIVOTDATA(" Old-2 But Less Than 4-Year",'Pivot Table for 1-11'!$A$3,"State","GA","SREB Type2","Four-Year")</f>
        <v>1637</v>
      </c>
      <c r="C46" s="197">
        <f>+GETPIVOTDATA(" Old-Associate's",'Pivot Table for 1-11'!$A$3,"State","GA","SREB Type2","Four-Year")</f>
        <v>5710</v>
      </c>
      <c r="D46" s="197">
        <f>+GETPIVOTDATA(" Old-Bachelor's",'Pivot Table for 1-11'!$A$3,"State","GA","SREB Type2","Four-Year")</f>
        <v>41473</v>
      </c>
      <c r="E46" s="197">
        <f>+GETPIVOTDATA(" Old-Post-Bachelor's",'Pivot Table for 1-11'!$A$3,"State","GA","SREB Type2","Four-Year")</f>
        <v>729</v>
      </c>
      <c r="F46" s="197">
        <f>+GETPIVOTDATA(" Old-Total Master's#",'Pivot Table for 1-11'!$A$3,"State","GA","SREB Type2","Four-Year")</f>
        <v>13811</v>
      </c>
      <c r="G46" s="197">
        <f>+GETPIVOTDATA(" Old-Total Doctorates#",'Pivot Table for 1-11'!$A$3,"State","GA","SREB Type2","Four-Year")</f>
        <v>1729</v>
      </c>
      <c r="H46" s="230">
        <f>+GETPIVOTDATA(" Old-Law",'Pivot Table for 1-11'!$A$3,"State","GA","SREB Type2","Four-Year")</f>
        <v>380</v>
      </c>
      <c r="I46" s="197">
        <f>+GETPIVOTDATA(" Old-Medicine",'Pivot Table for 1-11'!$A$3,"State","GA","SREB Type2","Four-Year")</f>
        <v>246</v>
      </c>
      <c r="J46" s="197">
        <f>+GETPIVOTDATA(" Old-Dentistry",'Pivot Table for 1-11'!$A$3,"State","GA","SREB Type2","Four-Year")</f>
        <v>96</v>
      </c>
      <c r="K46" s="197">
        <f>+GETPIVOTDATA(" Old-Pharmacy",'Pivot Table for 1-11'!$A$3,"State","GA","SREB Type2","Four-Year")</f>
        <v>133</v>
      </c>
      <c r="L46" s="197">
        <f>+GETPIVOTDATA(" Old-Optometry",'Pivot Table for 1-11'!$A$3,"State","GA","SREB Type2","Four-Year")</f>
        <v>0</v>
      </c>
      <c r="M46" s="197">
        <f>+GETPIVOTDATA(" Old-Osteopathic Medicine",'Pivot Table for 1-11'!$A$3,"State","GA","SREB Type2","Four-Year")</f>
        <v>0</v>
      </c>
      <c r="N46" s="197">
        <f>+GETPIVOTDATA(" Old-Veterinary Medicine",'Pivot Table for 1-11'!$A$3,"State","GA","SREB Type2","Four-Year")</f>
        <v>116</v>
      </c>
      <c r="O46" s="198">
        <f>+GETPIVOTDATA(" Old-Oth PP",'Pivot Table for 1-11'!$A$3,"State","GA","SREB Type2","Four-Year")</f>
        <v>0</v>
      </c>
      <c r="P46" s="199">
        <f>SUM(B46:O46)</f>
        <v>66060</v>
      </c>
    </row>
    <row r="47" spans="1:16" ht="15" customHeight="1">
      <c r="A47" s="196" t="s">
        <v>26</v>
      </c>
      <c r="B47" s="197">
        <f>+GETPIVOTDATA(" Old-Less Than 2-Year",'Pivot Table for 1-11'!$A$3,"State","KY","SREB Type2","Four-Year")+GETPIVOTDATA(" Old-2 But Less Than 4-Year",'Pivot Table for 1-11'!$A$3,"State","KY","SREB Type2","Four-Year")</f>
        <v>745</v>
      </c>
      <c r="C47" s="197">
        <f>+GETPIVOTDATA(" Old-Associate's",'Pivot Table for 1-11'!$A$3,"State","KY","SREB Type2","Four-Year")</f>
        <v>682</v>
      </c>
      <c r="D47" s="197">
        <f>+GETPIVOTDATA(" Old-Bachelor's",'Pivot Table for 1-11'!$A$3,"State","KY","SREB Type2","Four-Year")</f>
        <v>19011</v>
      </c>
      <c r="E47" s="197">
        <f>+GETPIVOTDATA(" Old-Post-Bachelor's",'Pivot Table for 1-11'!$A$3,"State","KY","SREB Type2","Four-Year")</f>
        <v>503</v>
      </c>
      <c r="F47" s="197">
        <f>+GETPIVOTDATA(" Old-Total Master's#",'Pivot Table for 1-11'!$A$3,"State","KY","SREB Type2","Four-Year")</f>
        <v>5632</v>
      </c>
      <c r="G47" s="197">
        <f>+GETPIVOTDATA(" Old-Total Doctorates#",'Pivot Table for 1-11'!$A$3,"State","KY","SREB Type2","Four-Year")</f>
        <v>503</v>
      </c>
      <c r="H47" s="230">
        <f>+GETPIVOTDATA(" Old-Law",'Pivot Table for 1-11'!$A$3,"State","KY","SREB Type2","Four-Year")</f>
        <v>389</v>
      </c>
      <c r="I47" s="197">
        <f>+GETPIVOTDATA(" Old-Medicine",'Pivot Table for 1-11'!$A$3,"State","KY","SREB Type2","Four-Year")</f>
        <v>279</v>
      </c>
      <c r="J47" s="197">
        <f>+GETPIVOTDATA(" Old-Dentistry",'Pivot Table for 1-11'!$A$3,"State","KY","SREB Type2","Four-Year")</f>
        <v>171</v>
      </c>
      <c r="K47" s="197">
        <f>+GETPIVOTDATA(" Old-Pharmacy",'Pivot Table for 1-11'!$A$3,"State","KY","SREB Type2","Four-Year")</f>
        <v>141</v>
      </c>
      <c r="L47" s="197">
        <f>+GETPIVOTDATA(" Old-Optometry",'Pivot Table for 1-11'!$A$3,"State","KY","SREB Type2","Four-Year")</f>
        <v>0</v>
      </c>
      <c r="M47" s="197">
        <f>+GETPIVOTDATA(" Old-Osteopathic Medicine",'Pivot Table for 1-11'!$A$3,"State","KY","SREB Type2","Four-Year")</f>
        <v>0</v>
      </c>
      <c r="N47" s="197">
        <f>+GETPIVOTDATA(" Old-Veterinary Medicine",'Pivot Table for 1-11'!$A$3,"State","KY","SREB Type2","Four-Year")</f>
        <v>0</v>
      </c>
      <c r="O47" s="198">
        <f>+GETPIVOTDATA(" Old-Oth PP",'Pivot Table for 1-11'!$A$3,"State","KY","SREB Type2","Four-Year")</f>
        <v>265</v>
      </c>
      <c r="P47" s="199">
        <f>SUM(B47:O47)</f>
        <v>28321</v>
      </c>
    </row>
    <row r="48" spans="1:16" ht="15" customHeight="1">
      <c r="A48" s="196" t="s">
        <v>27</v>
      </c>
      <c r="B48" s="197">
        <f>+GETPIVOTDATA(" Old-Less Than 2-Year",'Pivot Table for 1-11'!$A$3,"State","LA","SREB Type2","Four-Year")+GETPIVOTDATA(" Old-2 But Less Than 4-Year",'Pivot Table for 1-11'!$A$3,"State","LA","SREB Type2","Four-Year")</f>
        <v>7</v>
      </c>
      <c r="C48" s="197">
        <f>+GETPIVOTDATA(" Old-Associate's",'Pivot Table for 1-11'!$A$3,"State","LA","SREB Type2","Four-Year")</f>
        <v>918</v>
      </c>
      <c r="D48" s="197">
        <f>+GETPIVOTDATA(" Old-Bachelor's",'Pivot Table for 1-11'!$A$3,"State","LA","SREB Type2","Four-Year")</f>
        <v>19191</v>
      </c>
      <c r="E48" s="197">
        <f>+GETPIVOTDATA(" Old-Post-Bachelor's",'Pivot Table for 1-11'!$A$3,"State","LA","SREB Type2","Four-Year")</f>
        <v>228</v>
      </c>
      <c r="F48" s="197">
        <f>+GETPIVOTDATA(" Old-Total Master's#",'Pivot Table for 1-11'!$A$3,"State","LA","SREB Type2","Four-Year")</f>
        <v>6666</v>
      </c>
      <c r="G48" s="197">
        <f>+GETPIVOTDATA(" Old-Total Doctorates#",'Pivot Table for 1-11'!$A$3,"State","LA","SREB Type2","Four-Year")</f>
        <v>535</v>
      </c>
      <c r="H48" s="230">
        <f>+GETPIVOTDATA(" Old-Law",'Pivot Table for 1-11'!$A$3,"State","LA","SREB Type2","Four-Year")</f>
        <v>174</v>
      </c>
      <c r="I48" s="197">
        <f>+GETPIVOTDATA(" Old-Medicine",'Pivot Table for 1-11'!$A$3,"State","LA","SREB Type2","Four-Year")</f>
        <v>0</v>
      </c>
      <c r="J48" s="197">
        <f>+GETPIVOTDATA(" Old-Dentistry",'Pivot Table for 1-11'!$A$3,"State","LA","SREB Type2","Four-Year")</f>
        <v>0</v>
      </c>
      <c r="K48" s="197">
        <f>+GETPIVOTDATA(" Old-Pharmacy",'Pivot Table for 1-11'!$A$3,"State","LA","SREB Type2","Four-Year")</f>
        <v>93</v>
      </c>
      <c r="L48" s="197">
        <f>+GETPIVOTDATA(" Old-Optometry",'Pivot Table for 1-11'!$A$3,"State","LA","SREB Type2","Four-Year")</f>
        <v>0</v>
      </c>
      <c r="M48" s="197">
        <f>+GETPIVOTDATA(" Old-Osteopathic Medicine",'Pivot Table for 1-11'!$A$3,"State","LA","SREB Type2","Four-Year")</f>
        <v>0</v>
      </c>
      <c r="N48" s="197">
        <f>+GETPIVOTDATA(" Old-Veterinary Medicine",'Pivot Table for 1-11'!$A$3,"State","LA","SREB Type2","Four-Year")</f>
        <v>83</v>
      </c>
      <c r="O48" s="198">
        <f>+GETPIVOTDATA(" Old-Oth PP",'Pivot Table for 1-11'!$A$3,"State","LA","SREB Type2","Four-Year")</f>
        <v>26</v>
      </c>
      <c r="P48" s="199">
        <f>SUM(B48:O48)</f>
        <v>27921</v>
      </c>
    </row>
    <row r="49" spans="1:16" ht="15" customHeight="1">
      <c r="A49" s="196" t="s">
        <v>28</v>
      </c>
      <c r="B49" s="197">
        <f>+GETPIVOTDATA(" Old-Less Than 2-Year",'Pivot Table for 1-11'!$A$3,"State","MD","SREB Type2","Four-Year")+GETPIVOTDATA(" Old-2 But Less Than 4-Year",'Pivot Table for 1-11'!$A$3,"State","MD","SREB Type2","Four-Year")</f>
        <v>0</v>
      </c>
      <c r="C49" s="197">
        <f>+GETPIVOTDATA(" Old-Associate's",'Pivot Table for 1-11'!$A$3,"State","MD","SREB Type2","Four-Year")</f>
        <v>0</v>
      </c>
      <c r="D49" s="197">
        <f>+GETPIVOTDATA(" Old-Bachelor's",'Pivot Table for 1-11'!$A$3,"State","MD","SREB Type2","Four-Year")</f>
        <v>0</v>
      </c>
      <c r="E49" s="197">
        <f>+GETPIVOTDATA(" Old-Post-Bachelor's",'Pivot Table for 1-11'!$A$3,"State","MD","SREB Type2","Four-Year")</f>
        <v>0</v>
      </c>
      <c r="F49" s="197">
        <f>+GETPIVOTDATA(" Old-Total Master's#",'Pivot Table for 1-11'!$A$3,"State","MD","SREB Type2","Four-Year")</f>
        <v>0</v>
      </c>
      <c r="G49" s="197">
        <f>+GETPIVOTDATA(" Old-Total Doctorates#",'Pivot Table for 1-11'!$A$3,"State","MD","SREB Type2","Four-Year")</f>
        <v>0</v>
      </c>
      <c r="H49" s="230">
        <f>+GETPIVOTDATA(" Old-Law",'Pivot Table for 1-11'!$A$3,"State","MD","SREB Type2","Four-Year")</f>
        <v>0</v>
      </c>
      <c r="I49" s="197">
        <f>+GETPIVOTDATA(" Old-Medicine",'Pivot Table for 1-11'!$A$3,"State","MD","SREB Type2","Four-Year")</f>
        <v>0</v>
      </c>
      <c r="J49" s="197">
        <f>+GETPIVOTDATA(" Old-Dentistry",'Pivot Table for 1-11'!$A$3,"State","MD","SREB Type2","Four-Year")</f>
        <v>0</v>
      </c>
      <c r="K49" s="197">
        <f>+GETPIVOTDATA(" Old-Pharmacy",'Pivot Table for 1-11'!$A$3,"State","MD","SREB Type2","Four-Year")</f>
        <v>0</v>
      </c>
      <c r="L49" s="197">
        <f>+GETPIVOTDATA(" Old-Optometry",'Pivot Table for 1-11'!$A$3,"State","MD","SREB Type2","Four-Year")</f>
        <v>0</v>
      </c>
      <c r="M49" s="197">
        <f>+GETPIVOTDATA(" Old-Osteopathic Medicine",'Pivot Table for 1-11'!$A$3,"State","MD","SREB Type2","Four-Year")</f>
        <v>0</v>
      </c>
      <c r="N49" s="197">
        <f>+GETPIVOTDATA(" Old-Veterinary Medicine",'Pivot Table for 1-11'!$A$3,"State","MD","SREB Type2","Four-Year")</f>
        <v>0</v>
      </c>
      <c r="O49" s="198">
        <f>+GETPIVOTDATA(" Old-Oth PP",'Pivot Table for 1-11'!$A$3,"State","MD","SREB Type2","Four-Year")</f>
        <v>0</v>
      </c>
      <c r="P49" s="199">
        <f>SUM(B49:O49)</f>
        <v>0</v>
      </c>
    </row>
    <row r="50" spans="1:16" ht="15" customHeight="1">
      <c r="A50" s="196"/>
      <c r="B50" s="197"/>
      <c r="C50" s="197"/>
      <c r="D50" s="197"/>
      <c r="E50" s="197"/>
      <c r="F50" s="197"/>
      <c r="G50" s="197"/>
      <c r="H50" s="230"/>
      <c r="I50" s="197"/>
      <c r="J50" s="197"/>
      <c r="K50" s="197"/>
      <c r="L50" s="197"/>
      <c r="M50" s="197"/>
      <c r="N50" s="197"/>
      <c r="O50" s="198"/>
      <c r="P50" s="199"/>
    </row>
    <row r="51" spans="1:16" ht="15" customHeight="1">
      <c r="A51" s="196" t="s">
        <v>29</v>
      </c>
      <c r="B51" s="197">
        <f>+GETPIVOTDATA(" Old-Less Than 2-Year",'Pivot Table for 1-11'!$A$3,"State","MS","SREB Type2","Four-Year")+GETPIVOTDATA(" Old-2 But Less Than 4-Year",'Pivot Table for 1-11'!$A$3,"State","MS","SREB Type2","Four-Year")</f>
        <v>0</v>
      </c>
      <c r="C51" s="197">
        <f>+GETPIVOTDATA(" Old-Associate's",'Pivot Table for 1-11'!$A$3,"State","MS","SREB Type2","Four-Year")</f>
        <v>65</v>
      </c>
      <c r="D51" s="197">
        <f>+GETPIVOTDATA(" Old-Bachelor's",'Pivot Table for 1-11'!$A$3,"State","MS","SREB Type2","Four-Year")</f>
        <v>14274</v>
      </c>
      <c r="E51" s="197">
        <f>+GETPIVOTDATA(" Old-Post-Bachelor's",'Pivot Table for 1-11'!$A$3,"State","MS","SREB Type2","Four-Year")</f>
        <v>0</v>
      </c>
      <c r="F51" s="197">
        <f>+GETPIVOTDATA(" Old-Total Master's#",'Pivot Table for 1-11'!$A$3,"State","MS","SREB Type2","Four-Year")</f>
        <v>3488</v>
      </c>
      <c r="G51" s="197">
        <f>+GETPIVOTDATA(" Old-Total Doctorates#",'Pivot Table for 1-11'!$A$3,"State","MS","SREB Type2","Four-Year")</f>
        <v>655</v>
      </c>
      <c r="H51" s="230">
        <f>+GETPIVOTDATA(" Old-Law",'Pivot Table for 1-11'!$A$3,"State","MS","SREB Type2","Four-Year")</f>
        <v>108</v>
      </c>
      <c r="I51" s="197">
        <f>+GETPIVOTDATA(" Old-Medicine",'Pivot Table for 1-11'!$A$3,"State","MS","SREB Type2","Four-Year")</f>
        <v>147</v>
      </c>
      <c r="J51" s="197">
        <f>+GETPIVOTDATA(" Old-Dentistry",'Pivot Table for 1-11'!$A$3,"State","MS","SREB Type2","Four-Year")</f>
        <v>30</v>
      </c>
      <c r="K51" s="197">
        <f>+GETPIVOTDATA(" Old-Pharmacy",'Pivot Table for 1-11'!$A$3,"State","MS","SREB Type2","Four-Year")</f>
        <v>115</v>
      </c>
      <c r="L51" s="197">
        <f>+GETPIVOTDATA(" Old-Optometry",'Pivot Table for 1-11'!$A$3,"State","MS","SREB Type2","Four-Year")</f>
        <v>0</v>
      </c>
      <c r="M51" s="197">
        <f>+GETPIVOTDATA(" Old-Osteopathic Medicine",'Pivot Table for 1-11'!$A$3,"State","MS","SREB Type2","Four-Year")</f>
        <v>0</v>
      </c>
      <c r="N51" s="197">
        <f>+GETPIVOTDATA(" Old-Veterinary Medicine",'Pivot Table for 1-11'!$A$3,"State","MS","SREB Type2","Four-Year")</f>
        <v>91</v>
      </c>
      <c r="O51" s="198">
        <f>+GETPIVOTDATA(" Old-Oth PP",'Pivot Table for 1-11'!$A$3,"State","MS","SREB Type2","Four-Year")</f>
        <v>53</v>
      </c>
      <c r="P51" s="199">
        <f>SUM(B51:O51)</f>
        <v>19026</v>
      </c>
    </row>
    <row r="52" spans="1:16" ht="15" customHeight="1">
      <c r="A52" s="196" t="s">
        <v>30</v>
      </c>
      <c r="B52" s="197">
        <f>+GETPIVOTDATA(" Old-Less Than 2-Year",'Pivot Table for 1-11'!$A$3,"State","NC","SREB Type2","Four-Year")+GETPIVOTDATA(" Old-2 But Less Than 4-Year",'Pivot Table for 1-11'!$A$3,"State","NC","SREB Type2","Four-Year")</f>
        <v>1</v>
      </c>
      <c r="C52" s="197">
        <f>+GETPIVOTDATA(" Old-Associate's",'Pivot Table for 1-11'!$A$3,"State","NC","SREB Type2","Four-Year")</f>
        <v>143</v>
      </c>
      <c r="D52" s="197">
        <f>+GETPIVOTDATA(" Old-Bachelor's",'Pivot Table for 1-11'!$A$3,"State","NC","SREB Type2","Four-Year")</f>
        <v>41688</v>
      </c>
      <c r="E52" s="197">
        <f>+GETPIVOTDATA(" Old-Post-Bachelor's",'Pivot Table for 1-11'!$A$3,"State","NC","SREB Type2","Four-Year")</f>
        <v>314</v>
      </c>
      <c r="F52" s="197">
        <f>+GETPIVOTDATA(" Old-Total Master's#",'Pivot Table for 1-11'!$A$3,"State","NC","SREB Type2","Four-Year")</f>
        <v>12674</v>
      </c>
      <c r="G52" s="197">
        <f>+GETPIVOTDATA(" Old-Total Doctorates#",'Pivot Table for 1-11'!$A$3,"State","NC","SREB Type2","Four-Year")</f>
        <v>1593</v>
      </c>
      <c r="H52" s="230">
        <f>+GETPIVOTDATA(" Old-Law",'Pivot Table for 1-11'!$A$3,"State","NC","SREB Type2","Four-Year")</f>
        <v>335</v>
      </c>
      <c r="I52" s="197">
        <f>+GETPIVOTDATA(" Old-Medicine",'Pivot Table for 1-11'!$A$3,"State","NC","SREB Type2","Four-Year")</f>
        <v>244</v>
      </c>
      <c r="J52" s="197">
        <f>+GETPIVOTDATA(" Old-Dentistry",'Pivot Table for 1-11'!$A$3,"State","NC","SREB Type2","Four-Year")</f>
        <v>134</v>
      </c>
      <c r="K52" s="197">
        <f>+GETPIVOTDATA(" Old-Pharmacy",'Pivot Table for 1-11'!$A$3,"State","NC","SREB Type2","Four-Year")</f>
        <v>137</v>
      </c>
      <c r="L52" s="197">
        <f>+GETPIVOTDATA(" Old-Optometry",'Pivot Table for 1-11'!$A$3,"State","NC","SREB Type2","Four-Year")</f>
        <v>0</v>
      </c>
      <c r="M52" s="197">
        <f>+GETPIVOTDATA(" Old-Osteopathic Medicine",'Pivot Table for 1-11'!$A$3,"State","NC","SREB Type2","Four-Year")</f>
        <v>0</v>
      </c>
      <c r="N52" s="197">
        <f>+GETPIVOTDATA(" Old-Veterinary Medicine",'Pivot Table for 1-11'!$A$3,"State","NC","SREB Type2","Four-Year")</f>
        <v>99</v>
      </c>
      <c r="O52" s="198">
        <f>+GETPIVOTDATA(" Old-Oth PP",'Pivot Table for 1-11'!$A$3,"State","NC","SREB Type2","Four-Year")</f>
        <v>330</v>
      </c>
      <c r="P52" s="199">
        <f>SUM(B52:O52)</f>
        <v>57692</v>
      </c>
    </row>
    <row r="53" spans="1:16" ht="15" customHeight="1">
      <c r="A53" s="196" t="s">
        <v>31</v>
      </c>
      <c r="B53" s="197">
        <f>+GETPIVOTDATA(" Old-Less Than 2-Year",'Pivot Table for 1-11'!$A$3,"State","OK","SREB Type2","Four-Year")+GETPIVOTDATA(" Old-2 But Less Than 4-Year",'Pivot Table for 1-11'!$A$3,"State","OK","SREB Type2","Four-Year")</f>
        <v>0</v>
      </c>
      <c r="C53" s="197">
        <f>+GETPIVOTDATA(" Old-Associate's",'Pivot Table for 1-11'!$A$3,"State","OK","SREB Type2","Four-Year")</f>
        <v>0</v>
      </c>
      <c r="D53" s="197">
        <f>+GETPIVOTDATA(" Old-Bachelor's",'Pivot Table for 1-11'!$A$3,"State","OK","SREB Type2","Four-Year")</f>
        <v>0</v>
      </c>
      <c r="E53" s="197">
        <f>+GETPIVOTDATA(" Old-Post-Bachelor's",'Pivot Table for 1-11'!$A$3,"State","OK","SREB Type2","Four-Year")</f>
        <v>0</v>
      </c>
      <c r="F53" s="197">
        <f>+GETPIVOTDATA(" Old-Total Master's#",'Pivot Table for 1-11'!$A$3,"State","OK","SREB Type2","Four-Year")</f>
        <v>0</v>
      </c>
      <c r="G53" s="197">
        <f>+GETPIVOTDATA(" Old-Total Doctorates#",'Pivot Table for 1-11'!$A$3,"State","OK","SREB Type2","Four-Year")</f>
        <v>0</v>
      </c>
      <c r="H53" s="230">
        <f>+GETPIVOTDATA(" Old-Law",'Pivot Table for 1-11'!$A$3,"State","OK","SREB Type2","Four-Year")</f>
        <v>0</v>
      </c>
      <c r="I53" s="197">
        <f>+GETPIVOTDATA(" Old-Medicine",'Pivot Table for 1-11'!$A$3,"State","OK","SREB Type2","Four-Year")</f>
        <v>0</v>
      </c>
      <c r="J53" s="197">
        <f>+GETPIVOTDATA(" Old-Dentistry",'Pivot Table for 1-11'!$A$3,"State","OK","SREB Type2","Four-Year")</f>
        <v>0</v>
      </c>
      <c r="K53" s="197">
        <f>+GETPIVOTDATA(" Old-Pharmacy",'Pivot Table for 1-11'!$A$3,"State","OK","SREB Type2","Four-Year")</f>
        <v>0</v>
      </c>
      <c r="L53" s="197">
        <f>+GETPIVOTDATA(" Old-Optometry",'Pivot Table for 1-11'!$A$3,"State","OK","SREB Type2","Four-Year")</f>
        <v>0</v>
      </c>
      <c r="M53" s="197">
        <f>+GETPIVOTDATA(" Old-Osteopathic Medicine",'Pivot Table for 1-11'!$A$3,"State","OK","SREB Type2","Four-Year")</f>
        <v>0</v>
      </c>
      <c r="N53" s="197">
        <f>+GETPIVOTDATA(" Old-Veterinary Medicine",'Pivot Table for 1-11'!$A$3,"State","OK","SREB Type2","Four-Year")</f>
        <v>0</v>
      </c>
      <c r="O53" s="198">
        <f>+GETPIVOTDATA(" Old-Oth PP",'Pivot Table for 1-11'!$A$3,"State","OK","SREB Type2","Four-Year")</f>
        <v>0</v>
      </c>
      <c r="P53" s="199">
        <f>SUM(B53:O53)</f>
        <v>0</v>
      </c>
    </row>
    <row r="54" spans="1:16" ht="15" customHeight="1">
      <c r="A54" s="196" t="s">
        <v>32</v>
      </c>
      <c r="B54" s="197">
        <f>+GETPIVOTDATA(" Old-Less Than 2-Year",'Pivot Table for 1-11'!$A$3,"State","SC","SREB Type2","Four-Year")+GETPIVOTDATA(" Old-2 But Less Than 4-Year",'Pivot Table for 1-11'!$A$3,"State","SC","SREB Type2","Four-Year")</f>
        <v>175</v>
      </c>
      <c r="C54" s="197">
        <f>+GETPIVOTDATA(" Old-Associate's",'Pivot Table for 1-11'!$A$3,"State","SC","SREB Type2","Four-Year")</f>
        <v>1</v>
      </c>
      <c r="D54" s="197">
        <f>+GETPIVOTDATA(" Old-Bachelor's",'Pivot Table for 1-11'!$A$3,"State","SC","SREB Type2","Four-Year")</f>
        <v>19955</v>
      </c>
      <c r="E54" s="197">
        <f>+GETPIVOTDATA(" Old-Post-Bachelor's",'Pivot Table for 1-11'!$A$3,"State","SC","SREB Type2","Four-Year")</f>
        <v>495</v>
      </c>
      <c r="F54" s="197">
        <f>+GETPIVOTDATA(" Old-Total Master's#",'Pivot Table for 1-11'!$A$3,"State","SC","SREB Type2","Four-Year")</f>
        <v>4915</v>
      </c>
      <c r="G54" s="197">
        <f>+GETPIVOTDATA(" Old-Total Doctorates#",'Pivot Table for 1-11'!$A$3,"State","SC","SREB Type2","Four-Year")</f>
        <v>688</v>
      </c>
      <c r="H54" s="230">
        <f>+GETPIVOTDATA(" Old-Law",'Pivot Table for 1-11'!$A$3,"State","SC","SREB Type2","Four-Year")</f>
        <v>203</v>
      </c>
      <c r="I54" s="197">
        <f>+GETPIVOTDATA(" Old-Medicine",'Pivot Table for 1-11'!$A$3,"State","SC","SREB Type2","Four-Year")</f>
        <v>179</v>
      </c>
      <c r="J54" s="197">
        <f>+GETPIVOTDATA(" Old-Dentistry",'Pivot Table for 1-11'!$A$3,"State","SC","SREB Type2","Four-Year")</f>
        <v>0</v>
      </c>
      <c r="K54" s="197">
        <f>+GETPIVOTDATA(" Old-Pharmacy",'Pivot Table for 1-11'!$A$3,"State","SC","SREB Type2","Four-Year")</f>
        <v>106</v>
      </c>
      <c r="L54" s="197">
        <f>+GETPIVOTDATA(" Old-Optometry",'Pivot Table for 1-11'!$A$3,"State","SC","SREB Type2","Four-Year")</f>
        <v>0</v>
      </c>
      <c r="M54" s="197">
        <f>+GETPIVOTDATA(" Old-Osteopathic Medicine",'Pivot Table for 1-11'!$A$3,"State","SC","SREB Type2","Four-Year")</f>
        <v>0</v>
      </c>
      <c r="N54" s="197">
        <f>+GETPIVOTDATA(" Old-Veterinary Medicine",'Pivot Table for 1-11'!$A$3,"State","SC","SREB Type2","Four-Year")</f>
        <v>0</v>
      </c>
      <c r="O54" s="198">
        <f>+GETPIVOTDATA(" Old-Oth PP",'Pivot Table for 1-11'!$A$3,"State","SC","SREB Type2","Four-Year")</f>
        <v>7</v>
      </c>
      <c r="P54" s="199">
        <f>SUM(B54:O54)</f>
        <v>26724</v>
      </c>
    </row>
    <row r="55" spans="1:16" ht="15" customHeight="1">
      <c r="A55" s="196"/>
      <c r="B55" s="197"/>
      <c r="C55" s="197"/>
      <c r="D55" s="197"/>
      <c r="E55" s="197"/>
      <c r="F55" s="197"/>
      <c r="G55" s="197"/>
      <c r="H55" s="230"/>
      <c r="I55" s="197"/>
      <c r="J55" s="197"/>
      <c r="K55" s="197"/>
      <c r="L55" s="197"/>
      <c r="M55" s="197"/>
      <c r="N55" s="197"/>
      <c r="O55" s="198"/>
      <c r="P55" s="199"/>
    </row>
    <row r="56" spans="1:16" ht="15" customHeight="1">
      <c r="A56" s="196" t="s">
        <v>33</v>
      </c>
      <c r="B56" s="197">
        <f>+GETPIVOTDATA(" Old-Less Than 2-Year",'Pivot Table for 1-11'!$A$3,"State","TN","SREB Type2","Four-Year")+GETPIVOTDATA(" Old-2 But Less Than 4-Year",'Pivot Table for 1-11'!$A$3,"State","TN","SREB Type2","Four-Year")</f>
        <v>0</v>
      </c>
      <c r="C56" s="197">
        <f>+GETPIVOTDATA(" Old-Associate's",'Pivot Table for 1-11'!$A$3,"State","TN","SREB Type2","Four-Year")</f>
        <v>447</v>
      </c>
      <c r="D56" s="197">
        <f>+GETPIVOTDATA(" Old-Bachelor's",'Pivot Table for 1-11'!$A$3,"State","TN","SREB Type2","Four-Year")</f>
        <v>22205</v>
      </c>
      <c r="E56" s="197">
        <f>+GETPIVOTDATA(" Old-Post-Bachelor's",'Pivot Table for 1-11'!$A$3,"State","TN","SREB Type2","Four-Year")</f>
        <v>0</v>
      </c>
      <c r="F56" s="197">
        <f>+GETPIVOTDATA(" Old-Total Master's#",'Pivot Table for 1-11'!$A$3,"State","TN","SREB Type2","Four-Year")</f>
        <v>5610</v>
      </c>
      <c r="G56" s="197">
        <f>+GETPIVOTDATA(" Old-Total Doctorates#",'Pivot Table for 1-11'!$A$3,"State","TN","SREB Type2","Four-Year")</f>
        <v>875</v>
      </c>
      <c r="H56" s="230">
        <f>+GETPIVOTDATA(" Old-Law",'Pivot Table for 1-11'!$A$3,"State","TN","SREB Type2","Four-Year")</f>
        <v>199</v>
      </c>
      <c r="I56" s="197">
        <f>+GETPIVOTDATA(" Old-Medicine",'Pivot Table for 1-11'!$A$3,"State","TN","SREB Type2","Four-Year")</f>
        <v>60</v>
      </c>
      <c r="J56" s="197">
        <f>+GETPIVOTDATA(" Old-Dentistry",'Pivot Table for 1-11'!$A$3,"State","TN","SREB Type2","Four-Year")</f>
        <v>0</v>
      </c>
      <c r="K56" s="197">
        <f>+GETPIVOTDATA(" Old-Pharmacy",'Pivot Table for 1-11'!$A$3,"State","TN","SREB Type2","Four-Year")</f>
        <v>74</v>
      </c>
      <c r="L56" s="197">
        <f>+GETPIVOTDATA(" Old-Optometry",'Pivot Table for 1-11'!$A$3,"State","TN","SREB Type2","Four-Year")</f>
        <v>0</v>
      </c>
      <c r="M56" s="197">
        <f>+GETPIVOTDATA(" Old-Osteopathic Medicine",'Pivot Table for 1-11'!$A$3,"State","TN","SREB Type2","Four-Year")</f>
        <v>0</v>
      </c>
      <c r="N56" s="197">
        <f>+GETPIVOTDATA(" Old-Veterinary Medicine",'Pivot Table for 1-11'!$A$3,"State","TN","SREB Type2","Four-Year")</f>
        <v>84</v>
      </c>
      <c r="O56" s="198">
        <f>+GETPIVOTDATA(" Old-Oth PP",'Pivot Table for 1-11'!$A$3,"State","TN","SREB Type2","Four-Year")</f>
        <v>0</v>
      </c>
      <c r="P56" s="199">
        <f>SUM(B56:O56)</f>
        <v>29554</v>
      </c>
    </row>
    <row r="57" spans="1:16" ht="15" customHeight="1">
      <c r="A57" s="196" t="s">
        <v>34</v>
      </c>
      <c r="B57" s="197">
        <f>+GETPIVOTDATA(" Old-Less Than 2-Year",'Pivot Table for 1-11'!$A$3,"State","TX","SREB Type2","Four-Year")+GETPIVOTDATA(" Old-2 But Less Than 4-Year",'Pivot Table for 1-11'!$A$3,"State","TX","SREB Type2","Four-Year")</f>
        <v>0</v>
      </c>
      <c r="C57" s="197">
        <f>+GETPIVOTDATA(" Old-Associate's",'Pivot Table for 1-11'!$A$3,"State","TX","SREB Type2","Four-Year")</f>
        <v>37</v>
      </c>
      <c r="D57" s="197">
        <f>+GETPIVOTDATA(" Old-Bachelor's",'Pivot Table for 1-11'!$A$3,"State","TX","SREB Type2","Four-Year")</f>
        <v>114292</v>
      </c>
      <c r="E57" s="197">
        <f>+GETPIVOTDATA(" Old-Post-Bachelor's",'Pivot Table for 1-11'!$A$3,"State","TX","SREB Type2","Four-Year")</f>
        <v>0</v>
      </c>
      <c r="F57" s="197">
        <f>+GETPIVOTDATA(" Old-Total Master's#",'Pivot Table for 1-11'!$A$3,"State","TX","SREB Type2","Four-Year")</f>
        <v>40602</v>
      </c>
      <c r="G57" s="197">
        <f>+GETPIVOTDATA(" Old-Total Doctorates#",'Pivot Table for 1-11'!$A$3,"State","TX","SREB Type2","Four-Year")</f>
        <v>3841</v>
      </c>
      <c r="H57" s="230">
        <f>+GETPIVOTDATA(" Old-Law",'Pivot Table for 1-11'!$A$3,"State","TX","SREB Type2","Four-Year")</f>
        <v>1079</v>
      </c>
      <c r="I57" s="197">
        <f>+GETPIVOTDATA(" Old-Medicine",'Pivot Table for 1-11'!$A$3,"State","TX","SREB Type2","Four-Year")</f>
        <v>0</v>
      </c>
      <c r="J57" s="197">
        <f>+GETPIVOTDATA(" Old-Dentistry",'Pivot Table for 1-11'!$A$3,"State","TX","SREB Type2","Four-Year")</f>
        <v>0</v>
      </c>
      <c r="K57" s="197">
        <f>+GETPIVOTDATA(" Old-Pharmacy",'Pivot Table for 1-11'!$A$3,"State","TX","SREB Type2","Four-Year")</f>
        <v>427</v>
      </c>
      <c r="L57" s="197">
        <f>+GETPIVOTDATA(" Old-Optometry",'Pivot Table for 1-11'!$A$3,"State","TX","SREB Type2","Four-Year")</f>
        <v>102</v>
      </c>
      <c r="M57" s="197">
        <f>+GETPIVOTDATA(" Old-Osteopathic Medicine",'Pivot Table for 1-11'!$A$3,"State","TX","SREB Type2","Four-Year")</f>
        <v>0</v>
      </c>
      <c r="N57" s="197">
        <f>+GETPIVOTDATA(" Old-Veterinary Medicine",'Pivot Table for 1-11'!$A$3,"State","TX","SREB Type2","Four-Year")</f>
        <v>131</v>
      </c>
      <c r="O57" s="198">
        <f>+GETPIVOTDATA(" Old-Oth PP",'Pivot Table for 1-11'!$A$3,"State","TX","SREB Type2","Four-Year")</f>
        <v>233</v>
      </c>
      <c r="P57" s="199">
        <f>SUM(B57:O57)</f>
        <v>160744</v>
      </c>
    </row>
    <row r="58" spans="1:16" ht="15" customHeight="1">
      <c r="A58" s="196" t="s">
        <v>35</v>
      </c>
      <c r="B58" s="197">
        <f>+GETPIVOTDATA(" Old-Less Than 2-Year",'Pivot Table for 1-11'!$A$3,"State","VA","SREB Type2","Four-Year")+GETPIVOTDATA(" Old-2 But Less Than 4-Year",'Pivot Table for 1-11'!$A$3,"State","VA","SREB Type2","Four-Year")</f>
        <v>153</v>
      </c>
      <c r="C58" s="197">
        <f>+GETPIVOTDATA(" Old-Associate's",'Pivot Table for 1-11'!$A$3,"State","VA","SREB Type2","Four-Year")</f>
        <v>57</v>
      </c>
      <c r="D58" s="197">
        <f>+GETPIVOTDATA(" Old-Bachelor's",'Pivot Table for 1-11'!$A$3,"State","VA","SREB Type2","Four-Year")</f>
        <v>38461</v>
      </c>
      <c r="E58" s="197">
        <f>+GETPIVOTDATA(" Old-Post-Bachelor's",'Pivot Table for 1-11'!$A$3,"State","VA","SREB Type2","Four-Year")</f>
        <v>1637</v>
      </c>
      <c r="F58" s="197">
        <f>+GETPIVOTDATA(" Old-Total Master's#",'Pivot Table for 1-11'!$A$3,"State","VA","SREB Type2","Four-Year")</f>
        <v>11545</v>
      </c>
      <c r="G58" s="197">
        <f>+GETPIVOTDATA(" Old-Total Doctorates#",'Pivot Table for 1-11'!$A$3,"State","VA","SREB Type2","Four-Year")</f>
        <v>1858</v>
      </c>
      <c r="H58" s="230">
        <f>+GETPIVOTDATA(" Old-Law",'Pivot Table for 1-11'!$A$3,"State","VA","SREB Type2","Four-Year")</f>
        <v>690</v>
      </c>
      <c r="I58" s="197">
        <f>+GETPIVOTDATA(" Old-Medicine",'Pivot Table for 1-11'!$A$3,"State","VA","SREB Type2","Four-Year")</f>
        <v>391</v>
      </c>
      <c r="J58" s="197">
        <f>+GETPIVOTDATA(" Old-Dentistry",'Pivot Table for 1-11'!$A$3,"State","VA","SREB Type2","Four-Year")</f>
        <v>101</v>
      </c>
      <c r="K58" s="197">
        <f>+GETPIVOTDATA(" Old-Pharmacy",'Pivot Table for 1-11'!$A$3,"State","VA","SREB Type2","Four-Year")</f>
        <v>124</v>
      </c>
      <c r="L58" s="197">
        <f>+GETPIVOTDATA(" Old-Optometry",'Pivot Table for 1-11'!$A$3,"State","VA","SREB Type2","Four-Year")</f>
        <v>0</v>
      </c>
      <c r="M58" s="197">
        <f>+GETPIVOTDATA(" Old-Osteopathic Medicine",'Pivot Table for 1-11'!$A$3,"State","VA","SREB Type2","Four-Year")</f>
        <v>0</v>
      </c>
      <c r="N58" s="197">
        <f>+GETPIVOTDATA(" Old-Veterinary Medicine",'Pivot Table for 1-11'!$A$3,"State","VA","SREB Type2","Four-Year")</f>
        <v>123</v>
      </c>
      <c r="O58" s="198">
        <f>+GETPIVOTDATA(" Old-Oth PP",'Pivot Table for 1-11'!$A$3,"State","VA","SREB Type2","Four-Year")</f>
        <v>0</v>
      </c>
      <c r="P58" s="199">
        <f>SUM(B58:O58)</f>
        <v>55140</v>
      </c>
    </row>
    <row r="59" spans="1:16" ht="15" customHeight="1">
      <c r="A59" s="200" t="s">
        <v>36</v>
      </c>
      <c r="B59" s="201">
        <f>+GETPIVOTDATA(" Old-Less Than 2-Year",'Pivot Table for 1-11'!$A$3,"State","WV","SREB Type2","Four-Year")+GETPIVOTDATA(" Old-2 But Less Than 4-Year",'Pivot Table for 1-11'!$A$3,"State","WV","SREB Type2","Four-Year")</f>
        <v>0</v>
      </c>
      <c r="C59" s="201">
        <f>+GETPIVOTDATA(" Old-Associate's",'Pivot Table for 1-11'!$A$3,"State","WV","SREB Type2","Four-Year")</f>
        <v>501</v>
      </c>
      <c r="D59" s="201">
        <f>+GETPIVOTDATA(" Old-Bachelor's",'Pivot Table for 1-11'!$A$3,"State","WV","SREB Type2","Four-Year")</f>
        <v>9219</v>
      </c>
      <c r="E59" s="201">
        <f>+GETPIVOTDATA(" Old-Post-Bachelor's",'Pivot Table for 1-11'!$A$3,"State","WV","SREB Type2","Four-Year")</f>
        <v>0</v>
      </c>
      <c r="F59" s="201">
        <f>+GETPIVOTDATA(" Old-Total Master's#",'Pivot Table for 1-11'!$A$3,"State","WV","SREB Type2","Four-Year")</f>
        <v>2735</v>
      </c>
      <c r="G59" s="201">
        <f>+GETPIVOTDATA(" Old-Total Doctorates#",'Pivot Table for 1-11'!$A$3,"State","WV","SREB Type2","Four-Year")</f>
        <v>220</v>
      </c>
      <c r="H59" s="202">
        <f>+GETPIVOTDATA(" Old-Law",'Pivot Table for 1-11'!$A$3,"State","WV","SREB Type2","Four-Year")</f>
        <v>101</v>
      </c>
      <c r="I59" s="201">
        <f>+GETPIVOTDATA(" Old-Medicine",'Pivot Table for 1-11'!$A$3,"State","WV","SREB Type2","Four-Year")</f>
        <v>153</v>
      </c>
      <c r="J59" s="201">
        <f>+GETPIVOTDATA(" Old-Dentistry",'Pivot Table for 1-11'!$A$3,"State","WV","SREB Type2","Four-Year")</f>
        <v>45</v>
      </c>
      <c r="K59" s="201">
        <f>+GETPIVOTDATA(" Old-Pharmacy",'Pivot Table for 1-11'!$A$3,"State","WV","SREB Type2","Four-Year")</f>
        <v>147</v>
      </c>
      <c r="L59" s="201">
        <f>+GETPIVOTDATA(" Old-Optometry",'Pivot Table for 1-11'!$A$3,"State","WV","SREB Type2","Four-Year")</f>
        <v>0</v>
      </c>
      <c r="M59" s="201">
        <f>+GETPIVOTDATA(" Old-Osteopathic Medicine",'Pivot Table for 1-11'!$A$3,"State","WV","SREB Type2","Four-Year")</f>
        <v>0</v>
      </c>
      <c r="N59" s="201">
        <f>+GETPIVOTDATA(" Old-Veterinary Medicine",'Pivot Table for 1-11'!$A$3,"State","WV","SREB Type2","Four-Year")</f>
        <v>0</v>
      </c>
      <c r="O59" s="319">
        <f>+GETPIVOTDATA(" Old-Oth PP",'Pivot Table for 1-11'!$A$3,"State","WV","SREB Type2","Four-Year")</f>
        <v>136</v>
      </c>
      <c r="P59" s="203">
        <f>SUM(B59:O59)</f>
        <v>13257</v>
      </c>
    </row>
    <row r="60" spans="1:16">
      <c r="B60" s="197"/>
      <c r="C60" s="197"/>
      <c r="D60" s="197"/>
      <c r="E60" s="197"/>
      <c r="F60" s="197"/>
      <c r="G60" s="197"/>
      <c r="H60" s="197"/>
      <c r="I60" s="197"/>
      <c r="J60" s="197"/>
      <c r="K60" s="197"/>
      <c r="L60" s="197"/>
      <c r="M60" s="197"/>
      <c r="N60" s="197"/>
      <c r="O60" s="197"/>
      <c r="P60" s="197"/>
    </row>
    <row r="61" spans="1:16" ht="24" customHeight="1">
      <c r="A61" s="545" t="s">
        <v>37</v>
      </c>
      <c r="B61" s="546"/>
      <c r="C61" s="546"/>
      <c r="D61" s="546"/>
      <c r="E61" s="546"/>
      <c r="F61" s="546"/>
      <c r="G61" s="546"/>
      <c r="H61" s="546"/>
      <c r="I61" s="546"/>
      <c r="J61" s="546"/>
      <c r="K61" s="546"/>
      <c r="L61" s="546"/>
      <c r="M61" s="546"/>
      <c r="N61" s="546"/>
      <c r="O61" s="546"/>
      <c r="P61" s="546"/>
    </row>
    <row r="62" spans="1:16" ht="15" customHeight="1">
      <c r="A62" s="263"/>
      <c r="B62" s="263"/>
      <c r="C62" s="263"/>
      <c r="D62" s="263"/>
      <c r="E62" s="263"/>
      <c r="F62" s="263"/>
      <c r="G62" s="263"/>
      <c r="H62" s="263"/>
      <c r="I62" s="263"/>
      <c r="J62" s="263"/>
      <c r="K62" s="263"/>
      <c r="L62" s="263"/>
      <c r="M62" s="263"/>
      <c r="N62" s="263"/>
      <c r="O62" s="263"/>
      <c r="P62" s="263"/>
    </row>
    <row r="63" spans="1:16">
      <c r="P63" s="204" t="s">
        <v>1178</v>
      </c>
    </row>
    <row r="64" spans="1:16" ht="18">
      <c r="A64" s="186" t="s">
        <v>42</v>
      </c>
      <c r="B64" s="187"/>
      <c r="C64" s="187"/>
      <c r="D64" s="187"/>
      <c r="E64" s="187"/>
      <c r="F64" s="187"/>
      <c r="G64" s="187"/>
      <c r="H64" s="187"/>
      <c r="I64" s="187"/>
      <c r="J64" s="187"/>
      <c r="K64" s="187"/>
      <c r="L64" s="187"/>
      <c r="M64" s="187"/>
      <c r="N64" s="187"/>
      <c r="O64" s="187"/>
      <c r="P64" s="187"/>
    </row>
    <row r="65" spans="1:16" ht="15.75" customHeight="1">
      <c r="A65" s="188"/>
      <c r="B65" s="188"/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</row>
    <row r="66" spans="1:16" ht="15.5">
      <c r="A66" s="187" t="s">
        <v>2</v>
      </c>
      <c r="B66" s="187"/>
      <c r="C66" s="187"/>
      <c r="D66" s="187"/>
      <c r="E66" s="187"/>
      <c r="F66" s="187"/>
      <c r="G66" s="187"/>
      <c r="H66" s="187"/>
      <c r="I66" s="187"/>
      <c r="J66" s="187"/>
      <c r="K66" s="187"/>
      <c r="L66" s="187"/>
      <c r="M66" s="187"/>
      <c r="N66" s="187"/>
      <c r="O66" s="187"/>
      <c r="P66" s="187"/>
    </row>
    <row r="67" spans="1:16" ht="15.5">
      <c r="A67" s="187" t="s">
        <v>43</v>
      </c>
      <c r="B67" s="187"/>
      <c r="C67" s="187"/>
      <c r="D67" s="187"/>
      <c r="E67" s="187"/>
      <c r="F67" s="187"/>
      <c r="G67" s="187"/>
      <c r="H67" s="187"/>
      <c r="I67" s="187"/>
      <c r="J67" s="187"/>
      <c r="K67" s="187"/>
      <c r="L67" s="187"/>
      <c r="M67" s="187"/>
      <c r="N67" s="187"/>
      <c r="O67" s="187"/>
      <c r="P67" s="187"/>
    </row>
    <row r="68" spans="1:16" ht="15" customHeight="1">
      <c r="A68" s="189"/>
      <c r="B68" s="189"/>
      <c r="C68" s="189"/>
      <c r="D68" s="189"/>
      <c r="E68" s="189"/>
      <c r="F68" s="189"/>
      <c r="G68" s="189"/>
      <c r="H68" s="189"/>
      <c r="I68" s="189"/>
      <c r="J68" s="189"/>
      <c r="K68" s="189"/>
      <c r="L68" s="189"/>
      <c r="M68" s="189"/>
      <c r="N68" s="189"/>
      <c r="O68" s="189"/>
      <c r="P68" s="189"/>
    </row>
    <row r="69" spans="1:16" ht="15.5">
      <c r="A69" s="190"/>
      <c r="B69" s="190"/>
      <c r="C69" s="190"/>
      <c r="D69" s="190"/>
      <c r="E69" s="190"/>
      <c r="F69" s="190"/>
      <c r="G69" s="190"/>
      <c r="H69" s="326" t="s">
        <v>4</v>
      </c>
      <c r="I69" s="191"/>
      <c r="J69" s="191"/>
      <c r="K69" s="191"/>
      <c r="L69" s="191"/>
      <c r="M69" s="191"/>
      <c r="N69" s="191"/>
      <c r="O69" s="327"/>
      <c r="P69" s="192" t="s">
        <v>1</v>
      </c>
    </row>
    <row r="70" spans="1:16" ht="36.75" customHeight="1">
      <c r="A70" s="193"/>
      <c r="B70" s="194" t="s">
        <v>5</v>
      </c>
      <c r="C70" s="194" t="s">
        <v>6</v>
      </c>
      <c r="D70" s="194" t="s">
        <v>7</v>
      </c>
      <c r="E70" s="194" t="s">
        <v>8</v>
      </c>
      <c r="F70" s="194" t="s">
        <v>9</v>
      </c>
      <c r="G70" s="194" t="s">
        <v>10</v>
      </c>
      <c r="H70" s="195" t="s">
        <v>11</v>
      </c>
      <c r="I70" s="194" t="s">
        <v>81</v>
      </c>
      <c r="J70" s="194" t="s">
        <v>13</v>
      </c>
      <c r="K70" s="194" t="s">
        <v>14</v>
      </c>
      <c r="L70" s="194" t="s">
        <v>15</v>
      </c>
      <c r="M70" s="194" t="s">
        <v>16</v>
      </c>
      <c r="N70" s="194" t="s">
        <v>82</v>
      </c>
      <c r="O70" s="328" t="s">
        <v>83</v>
      </c>
      <c r="P70" s="194" t="s">
        <v>19</v>
      </c>
    </row>
    <row r="71" spans="1:16" ht="15" customHeight="1">
      <c r="A71" s="196" t="s">
        <v>20</v>
      </c>
      <c r="B71" s="197">
        <f>+GETPIVOTDATA(" Old-Less Than 2-Year",'Pivot Table for 1-11'!$A$3,"SREB Type",1,"SREB Type2","Four-Year")+GETPIVOTDATA(" Old-2 But Less Than 4-Year",'Pivot Table for 1-11'!$A$3,"SREB Type",1,"SREB Type2","Four-Year")</f>
        <v>1715</v>
      </c>
      <c r="C71" s="197">
        <f>+GETPIVOTDATA(" Old-Associate's",'Pivot Table for 1-11'!$A$3,"SREB Type",1,"SREB Type2","Four-Year")</f>
        <v>2718</v>
      </c>
      <c r="D71" s="197">
        <f>+GETPIVOTDATA(" Old-Bachelor's",'Pivot Table for 1-11'!$A$3,"SREB Type",1,"SREB Type2","Four-Year")</f>
        <v>192441</v>
      </c>
      <c r="E71" s="197">
        <f>+GETPIVOTDATA(" Old-Post-Bachelor's",'Pivot Table for 1-11'!$A$3,"SREB Type",1,"SREB Type2","Four-Year")</f>
        <v>3357</v>
      </c>
      <c r="F71" s="197">
        <f>+GETPIVOTDATA(" Old-Total Master's#",'Pivot Table for 1-11'!$A$3,"SREB Type",1,"SREB Type2","Four-Year")</f>
        <v>63227</v>
      </c>
      <c r="G71" s="197">
        <f>+GETPIVOTDATA(" Old-Total Doctorates#",'Pivot Table for 1-11'!$A$3,"SREB Type",1,"SREB Type2","Four-Year")</f>
        <v>10864</v>
      </c>
      <c r="H71" s="230">
        <f>+GETPIVOTDATA(" Old-Law",'Pivot Table for 1-11'!$A$3,"SREB Type",1,"SREB Type2","Four-Year")</f>
        <v>3132</v>
      </c>
      <c r="I71" s="197">
        <f>+GETPIVOTDATA(" Old-Medicine",'Pivot Table for 1-11'!$A$3,"SREB Type",1,"SREB Type2","Four-Year")</f>
        <v>1442</v>
      </c>
      <c r="J71" s="197">
        <f>+GETPIVOTDATA(" Old-Dentistry",'Pivot Table for 1-11'!$A$3,"SREB Type",1,"SREB Type2","Four-Year")</f>
        <v>495</v>
      </c>
      <c r="K71" s="197">
        <f>+GETPIVOTDATA(" Old-Pharmacy",'Pivot Table for 1-11'!$A$3,"SREB Type",1,"SREB Type2","Four-Year")</f>
        <v>1228</v>
      </c>
      <c r="L71" s="197">
        <f>+GETPIVOTDATA(" Old-Optometry",'Pivot Table for 1-11'!$A$3,"SREB Type",1,"SREB Type2","Four-Year")</f>
        <v>149</v>
      </c>
      <c r="M71" s="197">
        <f>+GETPIVOTDATA(" Old-Osteopathic Medicine",'Pivot Table for 1-11'!$A$3,"SREB Type",1,"SREB Type2","Four-Year")</f>
        <v>0</v>
      </c>
      <c r="N71" s="197">
        <f>+GETPIVOTDATA(" Old-Veterinary Medicine",'Pivot Table for 1-11'!$A$3,"SREB Type",1,"SREB Type2","Four-Year")</f>
        <v>850</v>
      </c>
      <c r="O71" s="198">
        <f>+GETPIVOTDATA(" Old-Oth PP",'Pivot Table for 1-11'!$A$3,"SREB Type",1,"SREB Type2","Four-Year")</f>
        <v>692</v>
      </c>
      <c r="P71" s="199">
        <f>SUM(B71:O71)</f>
        <v>282310</v>
      </c>
    </row>
    <row r="72" spans="1:16" ht="15" customHeight="1">
      <c r="A72" s="196"/>
      <c r="B72" s="197"/>
      <c r="C72" s="197"/>
      <c r="D72" s="197"/>
      <c r="E72" s="197"/>
      <c r="F72" s="197"/>
      <c r="G72" s="197"/>
      <c r="H72" s="230"/>
      <c r="I72" s="197"/>
      <c r="J72" s="197"/>
      <c r="K72" s="197"/>
      <c r="L72" s="197"/>
      <c r="M72" s="197"/>
      <c r="N72" s="197"/>
      <c r="O72" s="198"/>
      <c r="P72" s="199"/>
    </row>
    <row r="73" spans="1:16" ht="15" customHeight="1">
      <c r="A73" s="196" t="s">
        <v>21</v>
      </c>
      <c r="B73" s="197">
        <f>GETPIVOTDATA(" Old-Less Than 2-Year",'Pivot Table for 1-11'!$A$3,"State","AL","SREB Type",1,"SREB Type2","Four-Year")+GETPIVOTDATA(" Old-2 But Less Than 4-Year",'Pivot Table for 1-11'!$A$3,"State","AL","SREB Type",1,"SREB Type2","Four-Year")</f>
        <v>78</v>
      </c>
      <c r="C73" s="197">
        <f>+GETPIVOTDATA(" Old-Associate's",'Pivot Table for 1-11'!$A$3,"State","AL","SREB Type",1,"SREB Type2","Four-Year")</f>
        <v>0</v>
      </c>
      <c r="D73" s="197">
        <f>+GETPIVOTDATA(" Old-Bachelor's",'Pivot Table for 1-11'!$A$3,"State","AL","SREB Type",1,"SREB Type2","Four-Year")</f>
        <v>14711</v>
      </c>
      <c r="E73" s="197">
        <f>+GETPIVOTDATA(" Old-Post-Bachelor's",'Pivot Table for 1-11'!$A$3,"State","AL","SREB Type",1,"SREB Type2","Four-Year")</f>
        <v>383</v>
      </c>
      <c r="F73" s="197">
        <f>+GETPIVOTDATA(" Old-Total Master's#",'Pivot Table for 1-11'!$A$3,"State","AL","SREB Type",1,"SREB Type2","Four-Year")</f>
        <v>5417</v>
      </c>
      <c r="G73" s="197">
        <f>+GETPIVOTDATA(" Old-Total Doctorates#",'Pivot Table for 1-11'!$A$3,"State","AL","SREB Type",1,"SREB Type2","Four-Year")</f>
        <v>619</v>
      </c>
      <c r="H73" s="230">
        <f>+GETPIVOTDATA(" Old-Law",'Pivot Table for 1-11'!$A$3,"State","AL","SREB Type",1,"SREB Type2","Four-Year")</f>
        <v>134</v>
      </c>
      <c r="I73" s="197">
        <f>+GETPIVOTDATA(" Old-Medicine",'Pivot Table for 1-11'!$A$3,"State","AL","SREB Type",1,"SREB Type2","Four-Year")</f>
        <v>182</v>
      </c>
      <c r="J73" s="197">
        <f>+GETPIVOTDATA(" Old-Dentistry",'Pivot Table for 1-11'!$A$3,"State","AL","SREB Type",1,"SREB Type2","Four-Year")</f>
        <v>64</v>
      </c>
      <c r="K73" s="197">
        <f>+GETPIVOTDATA(" Old-Pharmacy",'Pivot Table for 1-11'!$A$3,"State","AL","SREB Type",1,"SREB Type2","Four-Year")</f>
        <v>145</v>
      </c>
      <c r="L73" s="197">
        <f>+GETPIVOTDATA(" Old-Optometry",'Pivot Table for 1-11'!$A$3,"State","AL","SREB Type",1,"SREB Type2","Four-Year")</f>
        <v>47</v>
      </c>
      <c r="M73" s="197">
        <f>+GETPIVOTDATA(" Old-Osteopathic Medicine",'Pivot Table for 1-11'!$A$3,"State","AL","SREB Type",1,"SREB Type2","Four-Year")</f>
        <v>0</v>
      </c>
      <c r="N73" s="197">
        <f>+GETPIVOTDATA(" Old-Veterinary Medicine",'Pivot Table for 1-11'!$A$3,"State","AL","SREB Type",1,"SREB Type2","Four-Year")</f>
        <v>123</v>
      </c>
      <c r="O73" s="198">
        <f>+GETPIVOTDATA(" Old-Oth PP",'Pivot Table for 1-11'!$A$3,"State","AL","SREB Type",1,"SREB Type2","Four-Year")</f>
        <v>181</v>
      </c>
      <c r="P73" s="199">
        <f t="shared" ref="P73:P91" si="1">SUM(B73:O73)</f>
        <v>22084</v>
      </c>
    </row>
    <row r="74" spans="1:16" ht="15" customHeight="1">
      <c r="A74" s="196" t="s">
        <v>22</v>
      </c>
      <c r="B74" s="197">
        <f>+GETPIVOTDATA(" Old-Less Than 2-Year",'Pivot Table for 1-11'!$A$3,"State","AR","SREB Type",1,"SREB Type2","Four-Year")+GETPIVOTDATA(" Old-2 But Less Than 4-Year",'Pivot Table for 1-11'!$A$3,"State","AR","SREB Type",1,"SREB Type2","Four-Year")</f>
        <v>5</v>
      </c>
      <c r="C74" s="197">
        <f>+GETPIVOTDATA(" Old-Associate's",'Pivot Table for 1-11'!$A$3,"State","AR","SREB Type",1,"SREB Type2","Four-Year")</f>
        <v>0</v>
      </c>
      <c r="D74" s="197">
        <f>+GETPIVOTDATA(" Old-Bachelor's",'Pivot Table for 1-11'!$A$3,"State","AR","SREB Type",1,"SREB Type2","Four-Year")</f>
        <v>4903</v>
      </c>
      <c r="E74" s="197">
        <f>+GETPIVOTDATA(" Old-Post-Bachelor's",'Pivot Table for 1-11'!$A$3,"State","AR","SREB Type",1,"SREB Type2","Four-Year")</f>
        <v>185</v>
      </c>
      <c r="F74" s="197">
        <f>+GETPIVOTDATA(" Old-Total Master's#",'Pivot Table for 1-11'!$A$3,"State","AR","SREB Type",1,"SREB Type2","Four-Year")</f>
        <v>1116</v>
      </c>
      <c r="G74" s="197">
        <f>+GETPIVOTDATA(" Old-Total Doctorates#",'Pivot Table for 1-11'!$A$3,"State","AR","SREB Type",1,"SREB Type2","Four-Year")</f>
        <v>209</v>
      </c>
      <c r="H74" s="230">
        <f>+GETPIVOTDATA(" Old-Law",'Pivot Table for 1-11'!$A$3,"State","AR","SREB Type",1,"SREB Type2","Four-Year")</f>
        <v>104</v>
      </c>
      <c r="I74" s="197">
        <f>+GETPIVOTDATA(" Old-Medicine",'Pivot Table for 1-11'!$A$3,"State","AR","SREB Type",1,"SREB Type2","Four-Year")</f>
        <v>0</v>
      </c>
      <c r="J74" s="197">
        <f>+GETPIVOTDATA(" Old-Dentistry",'Pivot Table for 1-11'!$A$3,"State","AR","SREB Type",1,"SREB Type2","Four-Year")</f>
        <v>0</v>
      </c>
      <c r="K74" s="197">
        <f>+GETPIVOTDATA(" Old-Pharmacy",'Pivot Table for 1-11'!$A$3,"State","AR","SREB Type",1,"SREB Type2","Four-Year")</f>
        <v>0</v>
      </c>
      <c r="L74" s="197">
        <f>+GETPIVOTDATA(" Old-Optometry",'Pivot Table for 1-11'!$A$3,"State","AR","SREB Type",1,"SREB Type2","Four-Year")</f>
        <v>0</v>
      </c>
      <c r="M74" s="197">
        <f>+GETPIVOTDATA(" Old-Osteopathic Medicine",'Pivot Table for 1-11'!$A$3,"State","AR","SREB Type",1,"SREB Type2","Four-Year")</f>
        <v>0</v>
      </c>
      <c r="N74" s="197">
        <f>+GETPIVOTDATA(" Old-Veterinary Medicine",'Pivot Table for 1-11'!$A$3,"State","AR","SREB Type",1,"SREB Type2","Four-Year")</f>
        <v>0</v>
      </c>
      <c r="O74" s="198">
        <f>+GETPIVOTDATA(" Old-Oth PP",'Pivot Table for 1-11'!$A$3,"State","AR","SREB Type",1,"SREB Type2","Four-Year")</f>
        <v>18</v>
      </c>
      <c r="P74" s="199">
        <f t="shared" si="1"/>
        <v>6540</v>
      </c>
    </row>
    <row r="75" spans="1:16" ht="15" customHeight="1">
      <c r="A75" s="196" t="s">
        <v>23</v>
      </c>
      <c r="B75" s="197">
        <f>+GETPIVOTDATA(" Old-Less Than 2-Year",'Pivot Table for 1-11'!$A$3,"State","DE","SREB Type",1,"SREB Type2","Four-Year")+GETPIVOTDATA(" Old-2 But Less Than 4-Year",'Pivot Table for 1-11'!$A$3,"State","DE","SREB Type",1,"SREB Type2","Four-Year")</f>
        <v>0</v>
      </c>
      <c r="C75" s="197">
        <f>+GETPIVOTDATA(" Old-Associate's",'Pivot Table for 1-11'!$A$3,"State","DE","SREB Type",1,"SREB Type2","Four-Year")</f>
        <v>271</v>
      </c>
      <c r="D75" s="197">
        <f>+GETPIVOTDATA(" Old-Bachelor's",'Pivot Table for 1-11'!$A$3,"State","DE","SREB Type",1,"SREB Type2","Four-Year")</f>
        <v>4320</v>
      </c>
      <c r="E75" s="197">
        <f>+GETPIVOTDATA(" Old-Post-Bachelor's",'Pivot Table for 1-11'!$A$3,"State","DE","SREB Type",1,"SREB Type2","Four-Year")</f>
        <v>0</v>
      </c>
      <c r="F75" s="197">
        <f>+GETPIVOTDATA(" Old-Total Master's#",'Pivot Table for 1-11'!$A$3,"State","DE","SREB Type",1,"SREB Type2","Four-Year")</f>
        <v>1029</v>
      </c>
      <c r="G75" s="197">
        <f>+GETPIVOTDATA(" Old-Total Doctorates#",'Pivot Table for 1-11'!$A$3,"State","DE","SREB Type",1,"SREB Type2","Four-Year")</f>
        <v>263</v>
      </c>
      <c r="H75" s="230">
        <f>+GETPIVOTDATA(" Old-Law",'Pivot Table for 1-11'!$A$3,"State","DE","SREB Type",1,"SREB Type2","Four-Year")</f>
        <v>0</v>
      </c>
      <c r="I75" s="197">
        <f>+GETPIVOTDATA(" Old-Medicine",'Pivot Table for 1-11'!$A$3,"State","DE","SREB Type",1,"SREB Type2","Four-Year")</f>
        <v>0</v>
      </c>
      <c r="J75" s="197">
        <f>+GETPIVOTDATA(" Old-Dentistry",'Pivot Table for 1-11'!$A$3,"State","DE","SREB Type",1,"SREB Type2","Four-Year")</f>
        <v>0</v>
      </c>
      <c r="K75" s="197">
        <f>+GETPIVOTDATA(" Old-Pharmacy",'Pivot Table for 1-11'!$A$3,"State","DE","SREB Type",1,"SREB Type2","Four-Year")</f>
        <v>0</v>
      </c>
      <c r="L75" s="197">
        <f>+GETPIVOTDATA(" Old-Optometry",'Pivot Table for 1-11'!$A$3,"State","DE","SREB Type",1,"SREB Type2","Four-Year")</f>
        <v>0</v>
      </c>
      <c r="M75" s="197">
        <f>+GETPIVOTDATA(" Old-Osteopathic Medicine",'Pivot Table for 1-11'!$A$3,"State","DE","SREB Type",1,"SREB Type2","Four-Year")</f>
        <v>0</v>
      </c>
      <c r="N75" s="197">
        <f>+GETPIVOTDATA(" Old-Veterinary Medicine",'Pivot Table for 1-11'!$A$3,"State","DE","SREB Type",1,"SREB Type2","Four-Year")</f>
        <v>0</v>
      </c>
      <c r="O75" s="198">
        <f>+GETPIVOTDATA(" Old-Oth PP",'Pivot Table for 1-11'!$A$3,"State","DE","SREB Type",1,"SREB Type2","Four-Year")</f>
        <v>54</v>
      </c>
      <c r="P75" s="199">
        <f t="shared" si="1"/>
        <v>5937</v>
      </c>
    </row>
    <row r="76" spans="1:16" ht="15" customHeight="1">
      <c r="A76" s="196" t="s">
        <v>24</v>
      </c>
      <c r="B76" s="197">
        <f>+GETPIVOTDATA(" Old-Less Than 2-Year",'Pivot Table for 1-11'!$A$3,"State","FL","SREB Type",1,"SREB Type2","Four-Year")+GETPIVOTDATA(" Old-2 But Less Than 4-Year",'Pivot Table for 1-11'!$A$3,"State","FL","SREB Type",1,"SREB Type2","Four-Year")</f>
        <v>0</v>
      </c>
      <c r="C76" s="197">
        <f>+GETPIVOTDATA(" Old-Associate's",'Pivot Table for 1-11'!$A$3,"State","FL","SREB Type",1,"SREB Type2","Four-Year")</f>
        <v>0</v>
      </c>
      <c r="D76" s="197">
        <f>+GETPIVOTDATA(" Old-Bachelor's",'Pivot Table for 1-11'!$A$3,"State","FL","SREB Type",1,"SREB Type2","Four-Year")</f>
        <v>0</v>
      </c>
      <c r="E76" s="197">
        <f>+GETPIVOTDATA(" Old-Post-Bachelor's",'Pivot Table for 1-11'!$A$3,"State","FL","SREB Type",1,"SREB Type2","Four-Year")</f>
        <v>0</v>
      </c>
      <c r="F76" s="197">
        <f>+GETPIVOTDATA(" Old-Total Master's#",'Pivot Table for 1-11'!$A$3,"State","FL","SREB Type",1,"SREB Type2","Four-Year")</f>
        <v>0</v>
      </c>
      <c r="G76" s="197">
        <f>+GETPIVOTDATA(" Old-Total Doctorates#",'Pivot Table for 1-11'!$A$3,"State","FL","SREB Type",1,"SREB Type2","Four-Year")</f>
        <v>0</v>
      </c>
      <c r="H76" s="230">
        <f>+GETPIVOTDATA(" Old-Law",'Pivot Table for 1-11'!$A$3,"State","FL","SREB Type",1,"SREB Type2","Four-Year")</f>
        <v>0</v>
      </c>
      <c r="I76" s="197">
        <f>+GETPIVOTDATA(" Old-Medicine",'Pivot Table for 1-11'!$A$3,"State","FL","SREB Type",1,"SREB Type2","Four-Year")</f>
        <v>0</v>
      </c>
      <c r="J76" s="197">
        <f>+GETPIVOTDATA(" Old-Dentistry",'Pivot Table for 1-11'!$A$3,"State","FL","SREB Type",1,"SREB Type2","Four-Year")</f>
        <v>0</v>
      </c>
      <c r="K76" s="197">
        <f>+GETPIVOTDATA(" Old-Pharmacy",'Pivot Table for 1-11'!$A$3,"State","FL","SREB Type",1,"SREB Type2","Four-Year")</f>
        <v>0</v>
      </c>
      <c r="L76" s="197">
        <f>+GETPIVOTDATA(" Old-Optometry",'Pivot Table for 1-11'!$A$3,"State","FL","SREB Type",1,"SREB Type2","Four-Year")</f>
        <v>0</v>
      </c>
      <c r="M76" s="197">
        <f>+GETPIVOTDATA(" Old-Osteopathic Medicine",'Pivot Table for 1-11'!$A$3,"State","FL","SREB Type",1,"SREB Type2","Four-Year")</f>
        <v>0</v>
      </c>
      <c r="N76" s="197">
        <f>+GETPIVOTDATA(" Old-Veterinary Medicine",'Pivot Table for 1-11'!$A$3,"State","FL","SREB Type",1,"SREB Type2","Four-Year")</f>
        <v>0</v>
      </c>
      <c r="O76" s="198">
        <f>+GETPIVOTDATA(" Old-Oth PP",'Pivot Table for 1-11'!$A$3,"State","FL","SREB Type",1,"SREB Type2","Four-Year")</f>
        <v>0</v>
      </c>
      <c r="P76" s="199">
        <f t="shared" si="1"/>
        <v>0</v>
      </c>
    </row>
    <row r="77" spans="1:16" ht="15" customHeight="1">
      <c r="A77" s="196"/>
      <c r="B77" s="197"/>
      <c r="C77" s="197"/>
      <c r="D77" s="197"/>
      <c r="E77" s="197"/>
      <c r="F77" s="197"/>
      <c r="G77" s="197"/>
      <c r="H77" s="230"/>
      <c r="I77" s="197"/>
      <c r="J77" s="197"/>
      <c r="K77" s="197"/>
      <c r="L77" s="197"/>
      <c r="M77" s="197"/>
      <c r="N77" s="197"/>
      <c r="O77" s="198"/>
      <c r="P77" s="199"/>
    </row>
    <row r="78" spans="1:16" ht="15" customHeight="1">
      <c r="A78" s="196" t="s">
        <v>25</v>
      </c>
      <c r="B78" s="197">
        <f>+GETPIVOTDATA(" Old-Less Than 2-Year",'Pivot Table for 1-11'!$A$3,"State","GA","SREB Type",1,"SREB Type2","Four-Year")+GETPIVOTDATA(" Old-2 But Less Than 4-Year",'Pivot Table for 1-11'!$A$3,"State","GA","SREB Type",1,"SREB Type2","Four-Year")</f>
        <v>1110</v>
      </c>
      <c r="C78" s="197">
        <f>+GETPIVOTDATA(" Old-Associate's",'Pivot Table for 1-11'!$A$3,"State","GA","SREB Type",1,"SREB Type2","Four-Year")</f>
        <v>2240</v>
      </c>
      <c r="D78" s="197">
        <f>+GETPIVOTDATA(" Old-Bachelor's",'Pivot Table for 1-11'!$A$3,"State","GA","SREB Type",1,"SREB Type2","Four-Year")</f>
        <v>13174</v>
      </c>
      <c r="E78" s="197">
        <f>+GETPIVOTDATA(" Old-Post-Bachelor's",'Pivot Table for 1-11'!$A$3,"State","GA","SREB Type",1,"SREB Type2","Four-Year")</f>
        <v>307</v>
      </c>
      <c r="F78" s="197">
        <f>+GETPIVOTDATA(" Old-Total Master's#",'Pivot Table for 1-11'!$A$3,"State","GA","SREB Type",1,"SREB Type2","Four-Year")</f>
        <v>3894</v>
      </c>
      <c r="G78" s="197">
        <f>+GETPIVOTDATA(" Old-Total Doctorates#",'Pivot Table for 1-11'!$A$3,"State","GA","SREB Type",1,"SREB Type2","Four-Year")</f>
        <v>811</v>
      </c>
      <c r="H78" s="230">
        <f>+GETPIVOTDATA(" Old-Law",'Pivot Table for 1-11'!$A$3,"State","GA","SREB Type",1,"SREB Type2","Four-Year")</f>
        <v>380</v>
      </c>
      <c r="I78" s="197">
        <f>+GETPIVOTDATA(" Old-Medicine",'Pivot Table for 1-11'!$A$3,"State","GA","SREB Type",1,"SREB Type2","Four-Year")</f>
        <v>0</v>
      </c>
      <c r="J78" s="197">
        <f>+GETPIVOTDATA(" Old-Dentistry",'Pivot Table for 1-11'!$A$3,"State","GA","SREB Type",1,"SREB Type2","Four-Year")</f>
        <v>0</v>
      </c>
      <c r="K78" s="197">
        <f>+GETPIVOTDATA(" Old-Pharmacy",'Pivot Table for 1-11'!$A$3,"State","GA","SREB Type",1,"SREB Type2","Four-Year")</f>
        <v>133</v>
      </c>
      <c r="L78" s="197">
        <f>+GETPIVOTDATA(" Old-Optometry",'Pivot Table for 1-11'!$A$3,"State","GA","SREB Type",1,"SREB Type2","Four-Year")</f>
        <v>0</v>
      </c>
      <c r="M78" s="197">
        <f>+GETPIVOTDATA(" Old-Osteopathic Medicine",'Pivot Table for 1-11'!$A$3,"State","GA","SREB Type",1,"SREB Type2","Four-Year")</f>
        <v>0</v>
      </c>
      <c r="N78" s="197">
        <f>+GETPIVOTDATA(" Old-Veterinary Medicine",'Pivot Table for 1-11'!$A$3,"State","GA","SREB Type",1,"SREB Type2","Four-Year")</f>
        <v>116</v>
      </c>
      <c r="O78" s="198">
        <f>+GETPIVOTDATA(" Old-Oth PP",'Pivot Table for 1-11'!$A$3,"State","GA","SREB Type",1,"SREB Type2","Four-Year")</f>
        <v>0</v>
      </c>
      <c r="P78" s="199">
        <f t="shared" si="1"/>
        <v>22165</v>
      </c>
    </row>
    <row r="79" spans="1:16" ht="15" customHeight="1">
      <c r="A79" s="196" t="s">
        <v>26</v>
      </c>
      <c r="B79" s="197">
        <f>+GETPIVOTDATA(" Old-Less Than 2-Year",'Pivot Table for 1-11'!$A$3,"State","KY","SREB Type",1,"SREB Type2","Four-Year")+GETPIVOTDATA(" Old-2 But Less Than 4-Year",'Pivot Table for 1-11'!$A$3,"State","KY","SREB Type",1,"SREB Type2","Four-Year")</f>
        <v>255</v>
      </c>
      <c r="C79" s="197">
        <f>+GETPIVOTDATA(" Old-Associate's",'Pivot Table for 1-11'!$A$3,"State","KY","SREB Type",1,"SREB Type2","Four-Year")</f>
        <v>10</v>
      </c>
      <c r="D79" s="197">
        <f>+GETPIVOTDATA(" Old-Bachelor's",'Pivot Table for 1-11'!$A$3,"State","KY","SREB Type",1,"SREB Type2","Four-Year")</f>
        <v>8154</v>
      </c>
      <c r="E79" s="197">
        <f>+GETPIVOTDATA(" Old-Post-Bachelor's",'Pivot Table for 1-11'!$A$3,"State","KY","SREB Type",1,"SREB Type2","Four-Year")</f>
        <v>270</v>
      </c>
      <c r="F79" s="197">
        <f>+GETPIVOTDATA(" Old-Total Master's#",'Pivot Table for 1-11'!$A$3,"State","KY","SREB Type",1,"SREB Type2","Four-Year")</f>
        <v>2719</v>
      </c>
      <c r="G79" s="197">
        <f>+GETPIVOTDATA(" Old-Total Doctorates#",'Pivot Table for 1-11'!$A$3,"State","KY","SREB Type",1,"SREB Type2","Four-Year")</f>
        <v>503</v>
      </c>
      <c r="H79" s="230">
        <f>+GETPIVOTDATA(" Old-Law",'Pivot Table for 1-11'!$A$3,"State","KY","SREB Type",1,"SREB Type2","Four-Year")</f>
        <v>270</v>
      </c>
      <c r="I79" s="197">
        <f>+GETPIVOTDATA(" Old-Medicine",'Pivot Table for 1-11'!$A$3,"State","KY","SREB Type",1,"SREB Type2","Four-Year")</f>
        <v>279</v>
      </c>
      <c r="J79" s="197">
        <f>+GETPIVOTDATA(" Old-Dentistry",'Pivot Table for 1-11'!$A$3,"State","KY","SREB Type",1,"SREB Type2","Four-Year")</f>
        <v>171</v>
      </c>
      <c r="K79" s="197">
        <f>+GETPIVOTDATA(" Old-Pharmacy",'Pivot Table for 1-11'!$A$3,"State","KY","SREB Type",1,"SREB Type2","Four-Year")</f>
        <v>141</v>
      </c>
      <c r="L79" s="197">
        <f>+GETPIVOTDATA(" Old-Optometry",'Pivot Table for 1-11'!$A$3,"State","KY","SREB Type",1,"SREB Type2","Four-Year")</f>
        <v>0</v>
      </c>
      <c r="M79" s="197">
        <f>+GETPIVOTDATA(" Old-Osteopathic Medicine",'Pivot Table for 1-11'!$A$3,"State","KY","SREB Type",1,"SREB Type2","Four-Year")</f>
        <v>0</v>
      </c>
      <c r="N79" s="197">
        <f>+GETPIVOTDATA(" Old-Veterinary Medicine",'Pivot Table for 1-11'!$A$3,"State","KY","SREB Type",1,"SREB Type2","Four-Year")</f>
        <v>0</v>
      </c>
      <c r="O79" s="198">
        <f>+GETPIVOTDATA(" Old-Oth PP",'Pivot Table for 1-11'!$A$3,"State","KY","SREB Type",1,"SREB Type2","Four-Year")</f>
        <v>144</v>
      </c>
      <c r="P79" s="199">
        <f t="shared" si="1"/>
        <v>12916</v>
      </c>
    </row>
    <row r="80" spans="1:16" ht="15" customHeight="1">
      <c r="A80" s="196" t="s">
        <v>27</v>
      </c>
      <c r="B80" s="197">
        <f>+GETPIVOTDATA(" Old-Less Than 2-Year",'Pivot Table for 1-11'!$A$3,"State","LA","SREB Type",1,"SREB Type2","Four-Year")+GETPIVOTDATA(" Old-2 But Less Than 4-Year",'Pivot Table for 1-11'!$A$3,"State","LA","SREB Type",1,"SREB Type2","Four-Year")</f>
        <v>0</v>
      </c>
      <c r="C80" s="197">
        <f>+GETPIVOTDATA(" Old-Associate's",'Pivot Table for 1-11'!$A$3,"State","LA","SREB Type",1,"SREB Type2","Four-Year")</f>
        <v>0</v>
      </c>
      <c r="D80" s="197">
        <f>+GETPIVOTDATA(" Old-Bachelor's",'Pivot Table for 1-11'!$A$3,"State","LA","SREB Type",1,"SREB Type2","Four-Year")</f>
        <v>5097</v>
      </c>
      <c r="E80" s="197">
        <f>+GETPIVOTDATA(" Old-Post-Bachelor's",'Pivot Table for 1-11'!$A$3,"State","LA","SREB Type",1,"SREB Type2","Four-Year")</f>
        <v>97</v>
      </c>
      <c r="F80" s="197">
        <f>+GETPIVOTDATA(" Old-Total Master's#",'Pivot Table for 1-11'!$A$3,"State","LA","SREB Type",1,"SREB Type2","Four-Year")</f>
        <v>1410</v>
      </c>
      <c r="G80" s="197">
        <f>+GETPIVOTDATA(" Old-Total Doctorates#",'Pivot Table for 1-11'!$A$3,"State","LA","SREB Type",1,"SREB Type2","Four-Year")</f>
        <v>325</v>
      </c>
      <c r="H80" s="230">
        <f>+GETPIVOTDATA(" Old-Law",'Pivot Table for 1-11'!$A$3,"State","LA","SREB Type",1,"SREB Type2","Four-Year")</f>
        <v>174</v>
      </c>
      <c r="I80" s="197">
        <f>+GETPIVOTDATA(" Old-Medicine",'Pivot Table for 1-11'!$A$3,"State","LA","SREB Type",1,"SREB Type2","Four-Year")</f>
        <v>0</v>
      </c>
      <c r="J80" s="197">
        <f>+GETPIVOTDATA(" Old-Dentistry",'Pivot Table for 1-11'!$A$3,"State","LA","SREB Type",1,"SREB Type2","Four-Year")</f>
        <v>0</v>
      </c>
      <c r="K80" s="197">
        <f>+GETPIVOTDATA(" Old-Pharmacy",'Pivot Table for 1-11'!$A$3,"State","LA","SREB Type",1,"SREB Type2","Four-Year")</f>
        <v>0</v>
      </c>
      <c r="L80" s="197">
        <f>+GETPIVOTDATA(" Old-Optometry",'Pivot Table for 1-11'!$A$3,"State","LA","SREB Type",1,"SREB Type2","Four-Year")</f>
        <v>0</v>
      </c>
      <c r="M80" s="197">
        <f>+GETPIVOTDATA(" Old-Osteopathic Medicine",'Pivot Table for 1-11'!$A$3,"State","LA","SREB Type",1,"SREB Type2","Four-Year")</f>
        <v>0</v>
      </c>
      <c r="N80" s="197">
        <f>+GETPIVOTDATA(" Old-Veterinary Medicine",'Pivot Table for 1-11'!$A$3,"State","LA","SREB Type",1,"SREB Type2","Four-Year")</f>
        <v>83</v>
      </c>
      <c r="O80" s="198">
        <f>+GETPIVOTDATA(" Old-Oth PP",'Pivot Table for 1-11'!$A$3,"State","LA","SREB Type",1,"SREB Type2","Four-Year")</f>
        <v>0</v>
      </c>
      <c r="P80" s="199">
        <f t="shared" si="1"/>
        <v>7186</v>
      </c>
    </row>
    <row r="81" spans="1:16" ht="15" customHeight="1">
      <c r="A81" s="196" t="s">
        <v>28</v>
      </c>
      <c r="B81" s="197">
        <f>+GETPIVOTDATA(" Old-Less Than 2-Year",'Pivot Table for 1-11'!$A$3,"State","MD","SREB Type",1,"SREB Type2","Four-Year")+GETPIVOTDATA(" Old-2 But Less Than 4-Year",'Pivot Table for 1-11'!$A$3,"State","MD","SREB Type",1,"SREB Type2","Four-Year")</f>
        <v>0</v>
      </c>
      <c r="C81" s="197">
        <f>+GETPIVOTDATA(" Old-Associate's",'Pivot Table for 1-11'!$A$3,"State","MD","SREB Type",1,"SREB Type2","Four-Year")</f>
        <v>0</v>
      </c>
      <c r="D81" s="197">
        <f>+GETPIVOTDATA(" Old-Bachelor's",'Pivot Table for 1-11'!$A$3,"State","MD","SREB Type",1,"SREB Type2","Four-Year")</f>
        <v>0</v>
      </c>
      <c r="E81" s="197">
        <f>+GETPIVOTDATA(" Old-Post-Bachelor's",'Pivot Table for 1-11'!$A$3,"State","MD","SREB Type",1,"SREB Type2","Four-Year")</f>
        <v>0</v>
      </c>
      <c r="F81" s="197">
        <f>+GETPIVOTDATA(" Old-Total Master's#",'Pivot Table for 1-11'!$A$3,"State","MD","SREB Type",1,"SREB Type2","Four-Year")</f>
        <v>0</v>
      </c>
      <c r="G81" s="197">
        <f>+GETPIVOTDATA(" Old-Total Doctorates#",'Pivot Table for 1-11'!$A$3,"State","MD","SREB Type",1,"SREB Type2","Four-Year")</f>
        <v>0</v>
      </c>
      <c r="H81" s="230">
        <f>+GETPIVOTDATA(" Old-Law",'Pivot Table for 1-11'!$A$3,"State","MD","SREB Type",1,"SREB Type2","Four-Year")</f>
        <v>0</v>
      </c>
      <c r="I81" s="197">
        <f>+GETPIVOTDATA(" Old-Medicine",'Pivot Table for 1-11'!$A$3,"State","MD","SREB Type",1,"SREB Type2","Four-Year")</f>
        <v>0</v>
      </c>
      <c r="J81" s="197">
        <f>+GETPIVOTDATA(" Old-Dentistry",'Pivot Table for 1-11'!$A$3,"State","MD","SREB Type",1,"SREB Type2","Four-Year")</f>
        <v>0</v>
      </c>
      <c r="K81" s="197">
        <f>+GETPIVOTDATA(" Old-Pharmacy",'Pivot Table for 1-11'!$A$3,"State","MD","SREB Type",1,"SREB Type2","Four-Year")</f>
        <v>0</v>
      </c>
      <c r="L81" s="197">
        <f>+GETPIVOTDATA(" Old-Optometry",'Pivot Table for 1-11'!$A$3,"State","MD","SREB Type",1,"SREB Type2","Four-Year")</f>
        <v>0</v>
      </c>
      <c r="M81" s="197">
        <f>+GETPIVOTDATA(" Old-Osteopathic Medicine",'Pivot Table for 1-11'!$A$3,"State","MD","SREB Type",1,"SREB Type2","Four-Year")</f>
        <v>0</v>
      </c>
      <c r="N81" s="197">
        <f>+GETPIVOTDATA(" Old-Veterinary Medicine",'Pivot Table for 1-11'!$A$3,"State","MD","SREB Type",1,"SREB Type2","Four-Year")</f>
        <v>0</v>
      </c>
      <c r="O81" s="198">
        <f>+GETPIVOTDATA(" Old-Oth PP",'Pivot Table for 1-11'!$A$3,"State","MD","SREB Type",1,"SREB Type2","Four-Year")</f>
        <v>0</v>
      </c>
      <c r="P81" s="199">
        <f t="shared" si="1"/>
        <v>0</v>
      </c>
    </row>
    <row r="82" spans="1:16" ht="15" customHeight="1">
      <c r="A82" s="196"/>
      <c r="B82" s="197"/>
      <c r="C82" s="197"/>
      <c r="D82" s="197"/>
      <c r="E82" s="197"/>
      <c r="F82" s="197"/>
      <c r="G82" s="197"/>
      <c r="H82" s="230"/>
      <c r="I82" s="197"/>
      <c r="J82" s="197"/>
      <c r="K82" s="197"/>
      <c r="L82" s="197"/>
      <c r="M82" s="197"/>
      <c r="N82" s="197"/>
      <c r="O82" s="198"/>
      <c r="P82" s="199"/>
    </row>
    <row r="83" spans="1:16" ht="15" customHeight="1">
      <c r="A83" s="196" t="s">
        <v>29</v>
      </c>
      <c r="B83" s="197">
        <f>+GETPIVOTDATA(" Old-Less Than 2-Year",'Pivot Table for 1-11'!$A$3,"State","MS","SREB Type",1,"SREB Type2","Four-Year")+GETPIVOTDATA(" Old-2 But Less Than 4-Year",'Pivot Table for 1-11'!$A$3,"State","MS","SREB Type",1,"SREB Type2","Four-Year")</f>
        <v>0</v>
      </c>
      <c r="C83" s="197">
        <f>+GETPIVOTDATA(" Old-Associate's",'Pivot Table for 1-11'!$A$3,"State","MS","SREB Type",1,"SREB Type2","Four-Year")</f>
        <v>0</v>
      </c>
      <c r="D83" s="197">
        <f>+GETPIVOTDATA(" Old-Bachelor's",'Pivot Table for 1-11'!$A$3,"State","MS","SREB Type",1,"SREB Type2","Four-Year")</f>
        <v>10981</v>
      </c>
      <c r="E83" s="197">
        <f>+GETPIVOTDATA(" Old-Post-Bachelor's",'Pivot Table for 1-11'!$A$3,"State","MS","SREB Type",1,"SREB Type2","Four-Year")</f>
        <v>0</v>
      </c>
      <c r="F83" s="197">
        <f>+GETPIVOTDATA(" Old-Total Master's#",'Pivot Table for 1-11'!$A$3,"State","MS","SREB Type",1,"SREB Type2","Four-Year")</f>
        <v>2413</v>
      </c>
      <c r="G83" s="197">
        <f>+GETPIVOTDATA(" Old-Total Doctorates#",'Pivot Table for 1-11'!$A$3,"State","MS","SREB Type",1,"SREB Type2","Four-Year")</f>
        <v>545</v>
      </c>
      <c r="H83" s="230">
        <f>+GETPIVOTDATA(" Old-Law",'Pivot Table for 1-11'!$A$3,"State","MS","SREB Type",1,"SREB Type2","Four-Year")</f>
        <v>108</v>
      </c>
      <c r="I83" s="197">
        <f>+GETPIVOTDATA(" Old-Medicine",'Pivot Table for 1-11'!$A$3,"State","MS","SREB Type",1,"SREB Type2","Four-Year")</f>
        <v>147</v>
      </c>
      <c r="J83" s="197">
        <f>+GETPIVOTDATA(" Old-Dentistry",'Pivot Table for 1-11'!$A$3,"State","MS","SREB Type",1,"SREB Type2","Four-Year")</f>
        <v>30</v>
      </c>
      <c r="K83" s="197">
        <f>+GETPIVOTDATA(" Old-Pharmacy",'Pivot Table for 1-11'!$A$3,"State","MS","SREB Type",1,"SREB Type2","Four-Year")</f>
        <v>115</v>
      </c>
      <c r="L83" s="197">
        <f>+GETPIVOTDATA(" Old-Optometry",'Pivot Table for 1-11'!$A$3,"State","MS","SREB Type",1,"SREB Type2","Four-Year")</f>
        <v>0</v>
      </c>
      <c r="M83" s="197">
        <f>+GETPIVOTDATA(" Old-Osteopathic Medicine",'Pivot Table for 1-11'!$A$3,"State","MS","SREB Type",1,"SREB Type2","Four-Year")</f>
        <v>0</v>
      </c>
      <c r="N83" s="197">
        <f>+GETPIVOTDATA(" Old-Veterinary Medicine",'Pivot Table for 1-11'!$A$3,"State","MS","SREB Type",1,"SREB Type2","Four-Year")</f>
        <v>91</v>
      </c>
      <c r="O83" s="198">
        <f>+GETPIVOTDATA(" Old-Oth PP",'Pivot Table for 1-11'!$A$3,"State","MS","SREB Type",1,"SREB Type2","Four-Year")</f>
        <v>46</v>
      </c>
      <c r="P83" s="199">
        <f t="shared" si="1"/>
        <v>14476</v>
      </c>
    </row>
    <row r="84" spans="1:16" ht="15" customHeight="1">
      <c r="A84" s="196" t="s">
        <v>30</v>
      </c>
      <c r="B84" s="197">
        <f>+GETPIVOTDATA(" Old-Less Than 2-Year",'Pivot Table for 1-11'!$A$3,"State","NC","SREB Type",1,"SREB Type2","Four-Year")+GETPIVOTDATA(" Old-2 But Less Than 4-Year",'Pivot Table for 1-11'!$A$3,"State","NC","SREB Type",1,"SREB Type2","Four-Year")</f>
        <v>1</v>
      </c>
      <c r="C84" s="197">
        <f>+GETPIVOTDATA(" Old-Associate's",'Pivot Table for 1-11'!$A$3,"State","NC","SREB Type",1,"SREB Type2","Four-Year")</f>
        <v>143</v>
      </c>
      <c r="D84" s="197">
        <f>+GETPIVOTDATA(" Old-Bachelor's",'Pivot Table for 1-11'!$A$3,"State","NC","SREB Type",1,"SREB Type2","Four-Year")</f>
        <v>19767</v>
      </c>
      <c r="E84" s="197">
        <f>+GETPIVOTDATA(" Old-Post-Bachelor's",'Pivot Table for 1-11'!$A$3,"State","NC","SREB Type",1,"SREB Type2","Four-Year")</f>
        <v>208</v>
      </c>
      <c r="F84" s="197">
        <f>+GETPIVOTDATA(" Old-Total Master's#",'Pivot Table for 1-11'!$A$3,"State","NC","SREB Type",1,"SREB Type2","Four-Year")</f>
        <v>7750</v>
      </c>
      <c r="G84" s="197">
        <f>+GETPIVOTDATA(" Old-Total Doctorates#",'Pivot Table for 1-11'!$A$3,"State","NC","SREB Type",1,"SREB Type2","Four-Year")</f>
        <v>1390</v>
      </c>
      <c r="H84" s="230">
        <f>+GETPIVOTDATA(" Old-Law",'Pivot Table for 1-11'!$A$3,"State","NC","SREB Type",1,"SREB Type2","Four-Year")</f>
        <v>206</v>
      </c>
      <c r="I84" s="197">
        <f>+GETPIVOTDATA(" Old-Medicine",'Pivot Table for 1-11'!$A$3,"State","NC","SREB Type",1,"SREB Type2","Four-Year")</f>
        <v>171</v>
      </c>
      <c r="J84" s="197">
        <f>+GETPIVOTDATA(" Old-Dentistry",'Pivot Table for 1-11'!$A$3,"State","NC","SREB Type",1,"SREB Type2","Four-Year")</f>
        <v>84</v>
      </c>
      <c r="K84" s="197">
        <f>+GETPIVOTDATA(" Old-Pharmacy",'Pivot Table for 1-11'!$A$3,"State","NC","SREB Type",1,"SREB Type2","Four-Year")</f>
        <v>137</v>
      </c>
      <c r="L84" s="197">
        <f>+GETPIVOTDATA(" Old-Optometry",'Pivot Table for 1-11'!$A$3,"State","NC","SREB Type",1,"SREB Type2","Four-Year")</f>
        <v>0</v>
      </c>
      <c r="M84" s="197">
        <f>+GETPIVOTDATA(" Old-Osteopathic Medicine",'Pivot Table for 1-11'!$A$3,"State","NC","SREB Type",1,"SREB Type2","Four-Year")</f>
        <v>0</v>
      </c>
      <c r="N84" s="197">
        <f>+GETPIVOTDATA(" Old-Veterinary Medicine",'Pivot Table for 1-11'!$A$3,"State","NC","SREB Type",1,"SREB Type2","Four-Year")</f>
        <v>99</v>
      </c>
      <c r="O84" s="198">
        <f>+GETPIVOTDATA(" Old-Oth PP",'Pivot Table for 1-11'!$A$3,"State","NC","SREB Type",1,"SREB Type2","Four-Year")</f>
        <v>154</v>
      </c>
      <c r="P84" s="199">
        <f t="shared" si="1"/>
        <v>30110</v>
      </c>
    </row>
    <row r="85" spans="1:16" ht="15" customHeight="1">
      <c r="A85" s="196" t="s">
        <v>31</v>
      </c>
      <c r="B85" s="197">
        <f>+GETPIVOTDATA(" Old-Less Than 2-Year",'Pivot Table for 1-11'!$A$3,"State","OK","SREB Type",1,"SREB Type2","Four-Year")+GETPIVOTDATA(" Old-2 But Less Than 4-Year",'Pivot Table for 1-11'!$A$3,"State","OK","SREB Type",1,"SREB Type2","Four-Year")</f>
        <v>0</v>
      </c>
      <c r="C85" s="197">
        <f>+GETPIVOTDATA(" Old-Associate's",'Pivot Table for 1-11'!$A$3,"State","OK","SREB Type",1,"SREB Type2","Four-Year")</f>
        <v>0</v>
      </c>
      <c r="D85" s="197">
        <f>+GETPIVOTDATA(" Old-Bachelor's",'Pivot Table for 1-11'!$A$3,"State","OK","SREB Type",1,"SREB Type2","Four-Year")</f>
        <v>0</v>
      </c>
      <c r="E85" s="197">
        <f>+GETPIVOTDATA(" Old-Post-Bachelor's",'Pivot Table for 1-11'!$A$3,"State","OK","SREB Type",1,"SREB Type2","Four-Year")</f>
        <v>0</v>
      </c>
      <c r="F85" s="197">
        <f>+GETPIVOTDATA(" Old-Total Master's#",'Pivot Table for 1-11'!$A$3,"State","OK","SREB Type",1,"SREB Type2","Four-Year")</f>
        <v>0</v>
      </c>
      <c r="G85" s="197">
        <f>+GETPIVOTDATA(" Old-Total Doctorates#",'Pivot Table for 1-11'!$A$3,"State","OK","SREB Type",1,"SREB Type2","Four-Year")</f>
        <v>0</v>
      </c>
      <c r="H85" s="230">
        <f>+GETPIVOTDATA(" Old-Law",'Pivot Table for 1-11'!$A$3,"State","OK","SREB Type",1,"SREB Type2","Four-Year")</f>
        <v>0</v>
      </c>
      <c r="I85" s="197">
        <f>+GETPIVOTDATA(" Old-Medicine",'Pivot Table for 1-11'!$A$3,"State","OK","SREB Type",1,"SREB Type2","Four-Year")</f>
        <v>0</v>
      </c>
      <c r="J85" s="197">
        <f>+GETPIVOTDATA(" Old-Dentistry",'Pivot Table for 1-11'!$A$3,"State","OK","SREB Type",1,"SREB Type2","Four-Year")</f>
        <v>0</v>
      </c>
      <c r="K85" s="197">
        <f>+GETPIVOTDATA(" Old-Pharmacy",'Pivot Table for 1-11'!$A$3,"State","OK","SREB Type",1,"SREB Type2","Four-Year")</f>
        <v>0</v>
      </c>
      <c r="L85" s="197">
        <f>+GETPIVOTDATA(" Old-Optometry",'Pivot Table for 1-11'!$A$3,"State","OK","SREB Type",1,"SREB Type2","Four-Year")</f>
        <v>0</v>
      </c>
      <c r="M85" s="197">
        <f>+GETPIVOTDATA(" Old-Osteopathic Medicine",'Pivot Table for 1-11'!$A$3,"State","OK","SREB Type",1,"SREB Type2","Four-Year")</f>
        <v>0</v>
      </c>
      <c r="N85" s="197">
        <f>+GETPIVOTDATA(" Old-Veterinary Medicine",'Pivot Table for 1-11'!$A$3,"State","OK","SREB Type",1,"SREB Type2","Four-Year")</f>
        <v>0</v>
      </c>
      <c r="O85" s="198">
        <f>+GETPIVOTDATA(" Old-Oth PP",'Pivot Table for 1-11'!$A$3,"State","OK","SREB Type",1,"SREB Type2","Four-Year")</f>
        <v>0</v>
      </c>
      <c r="P85" s="199">
        <f t="shared" si="1"/>
        <v>0</v>
      </c>
    </row>
    <row r="86" spans="1:16" ht="15" customHeight="1">
      <c r="A86" s="196" t="s">
        <v>32</v>
      </c>
      <c r="B86" s="197">
        <f>+GETPIVOTDATA(" Old-Less Than 2-Year",'Pivot Table for 1-11'!$A$3,"State","SC","SREB Type",1,"SREB Type2","Four-Year")+GETPIVOTDATA(" Old-2 But Less Than 4-Year",'Pivot Table for 1-11'!$A$3,"State","SC","SREB Type",1,"SREB Type2","Four-Year")</f>
        <v>172</v>
      </c>
      <c r="C86" s="197">
        <f>+GETPIVOTDATA(" Old-Associate's",'Pivot Table for 1-11'!$A$3,"State","SC","SREB Type",1,"SREB Type2","Four-Year")</f>
        <v>0</v>
      </c>
      <c r="D86" s="197">
        <f>+GETPIVOTDATA(" Old-Bachelor's",'Pivot Table for 1-11'!$A$3,"State","SC","SREB Type",1,"SREB Type2","Four-Year")</f>
        <v>10670</v>
      </c>
      <c r="E86" s="197">
        <f>+GETPIVOTDATA(" Old-Post-Bachelor's",'Pivot Table for 1-11'!$A$3,"State","SC","SREB Type",1,"SREB Type2","Four-Year")</f>
        <v>338</v>
      </c>
      <c r="F86" s="197">
        <f>+GETPIVOTDATA(" Old-Total Master's#",'Pivot Table for 1-11'!$A$3,"State","SC","SREB Type",1,"SREB Type2","Four-Year")</f>
        <v>3395</v>
      </c>
      <c r="G86" s="197">
        <f>+GETPIVOTDATA(" Old-Total Doctorates#",'Pivot Table for 1-11'!$A$3,"State","SC","SREB Type",1,"SREB Type2","Four-Year")</f>
        <v>674</v>
      </c>
      <c r="H86" s="230">
        <f>+GETPIVOTDATA(" Old-Law",'Pivot Table for 1-11'!$A$3,"State","SC","SREB Type",1,"SREB Type2","Four-Year")</f>
        <v>203</v>
      </c>
      <c r="I86" s="197">
        <f>+GETPIVOTDATA(" Old-Medicine",'Pivot Table for 1-11'!$A$3,"State","SC","SREB Type",1,"SREB Type2","Four-Year")</f>
        <v>179</v>
      </c>
      <c r="J86" s="197">
        <f>+GETPIVOTDATA(" Old-Dentistry",'Pivot Table for 1-11'!$A$3,"State","SC","SREB Type",1,"SREB Type2","Four-Year")</f>
        <v>0</v>
      </c>
      <c r="K86" s="197">
        <f>+GETPIVOTDATA(" Old-Pharmacy",'Pivot Table for 1-11'!$A$3,"State","SC","SREB Type",1,"SREB Type2","Four-Year")</f>
        <v>106</v>
      </c>
      <c r="L86" s="197">
        <f>+GETPIVOTDATA(" Old-Optometry",'Pivot Table for 1-11'!$A$3,"State","SC","SREB Type",1,"SREB Type2","Four-Year")</f>
        <v>0</v>
      </c>
      <c r="M86" s="197">
        <f>+GETPIVOTDATA(" Old-Osteopathic Medicine",'Pivot Table for 1-11'!$A$3,"State","SC","SREB Type",1,"SREB Type2","Four-Year")</f>
        <v>0</v>
      </c>
      <c r="N86" s="197">
        <f>+GETPIVOTDATA(" Old-Veterinary Medicine",'Pivot Table for 1-11'!$A$3,"State","SC","SREB Type",1,"SREB Type2","Four-Year")</f>
        <v>0</v>
      </c>
      <c r="O86" s="198">
        <f>+GETPIVOTDATA(" Old-Oth PP",'Pivot Table for 1-11'!$A$3,"State","SC","SREB Type",1,"SREB Type2","Four-Year")</f>
        <v>0</v>
      </c>
      <c r="P86" s="199">
        <f t="shared" si="1"/>
        <v>15737</v>
      </c>
    </row>
    <row r="87" spans="1:16" ht="15" customHeight="1">
      <c r="A87" s="196"/>
      <c r="B87" s="197"/>
      <c r="C87" s="197"/>
      <c r="D87" s="197"/>
      <c r="E87" s="197"/>
      <c r="F87" s="197"/>
      <c r="G87" s="197"/>
      <c r="H87" s="230"/>
      <c r="I87" s="197"/>
      <c r="J87" s="197"/>
      <c r="K87" s="197"/>
      <c r="L87" s="197"/>
      <c r="M87" s="197"/>
      <c r="N87" s="197"/>
      <c r="O87" s="198"/>
      <c r="P87" s="199"/>
    </row>
    <row r="88" spans="1:16" ht="15" customHeight="1">
      <c r="A88" s="196" t="s">
        <v>33</v>
      </c>
      <c r="B88" s="197">
        <f>+GETPIVOTDATA(" Old-Less Than 2-Year",'Pivot Table for 1-11'!$A$3,"State","TN","SREB Type",1,"SREB Type2","Four-Year")+GETPIVOTDATA(" Old-2 But Less Than 4-Year",'Pivot Table for 1-11'!$A$3,"State","TN","SREB Type",1,"SREB Type2","Four-Year")</f>
        <v>0</v>
      </c>
      <c r="C88" s="197">
        <f>+GETPIVOTDATA(" Old-Associate's",'Pivot Table for 1-11'!$A$3,"State","TN","SREB Type",1,"SREB Type2","Four-Year")</f>
        <v>0</v>
      </c>
      <c r="D88" s="197">
        <f>+GETPIVOTDATA(" Old-Bachelor's",'Pivot Table for 1-11'!$A$3,"State","TN","SREB Type",1,"SREB Type2","Four-Year")</f>
        <v>7890</v>
      </c>
      <c r="E88" s="197">
        <f>+GETPIVOTDATA(" Old-Post-Bachelor's",'Pivot Table for 1-11'!$A$3,"State","TN","SREB Type",1,"SREB Type2","Four-Year")</f>
        <v>0</v>
      </c>
      <c r="F88" s="197">
        <f>+GETPIVOTDATA(" Old-Total Master's#",'Pivot Table for 1-11'!$A$3,"State","TN","SREB Type",1,"SREB Type2","Four-Year")</f>
        <v>2462</v>
      </c>
      <c r="G88" s="197">
        <f>+GETPIVOTDATA(" Old-Total Doctorates#",'Pivot Table for 1-11'!$A$3,"State","TN","SREB Type",1,"SREB Type2","Four-Year")</f>
        <v>534</v>
      </c>
      <c r="H88" s="230">
        <f>+GETPIVOTDATA(" Old-Law",'Pivot Table for 1-11'!$A$3,"State","TN","SREB Type",1,"SREB Type2","Four-Year")</f>
        <v>199</v>
      </c>
      <c r="I88" s="197">
        <f>+GETPIVOTDATA(" Old-Medicine",'Pivot Table for 1-11'!$A$3,"State","TN","SREB Type",1,"SREB Type2","Four-Year")</f>
        <v>0</v>
      </c>
      <c r="J88" s="197">
        <f>+GETPIVOTDATA(" Old-Dentistry",'Pivot Table for 1-11'!$A$3,"State","TN","SREB Type",1,"SREB Type2","Four-Year")</f>
        <v>0</v>
      </c>
      <c r="K88" s="197">
        <f>+GETPIVOTDATA(" Old-Pharmacy",'Pivot Table for 1-11'!$A$3,"State","TN","SREB Type",1,"SREB Type2","Four-Year")</f>
        <v>0</v>
      </c>
      <c r="L88" s="197">
        <f>+GETPIVOTDATA(" Old-Optometry",'Pivot Table for 1-11'!$A$3,"State","TN","SREB Type",1,"SREB Type2","Four-Year")</f>
        <v>0</v>
      </c>
      <c r="M88" s="197">
        <f>+GETPIVOTDATA(" Old-Osteopathic Medicine",'Pivot Table for 1-11'!$A$3,"State","TN","SREB Type",1,"SREB Type2","Four-Year")</f>
        <v>0</v>
      </c>
      <c r="N88" s="197">
        <f>+GETPIVOTDATA(" Old-Veterinary Medicine",'Pivot Table for 1-11'!$A$3,"State","TN","SREB Type",1,"SREB Type2","Four-Year")</f>
        <v>84</v>
      </c>
      <c r="O88" s="198">
        <f>+GETPIVOTDATA(" Old-Oth PP",'Pivot Table for 1-11'!$A$3,"State","TN","SREB Type",1,"SREB Type2","Four-Year")</f>
        <v>0</v>
      </c>
      <c r="P88" s="199">
        <f t="shared" si="1"/>
        <v>11169</v>
      </c>
    </row>
    <row r="89" spans="1:16" ht="15" customHeight="1">
      <c r="A89" s="196" t="s">
        <v>34</v>
      </c>
      <c r="B89" s="197">
        <f>+GETPIVOTDATA(" Old-Less Than 2-Year",'Pivot Table for 1-11'!$A$3,"State","TX","SREB Type",1,"SREB Type2","Four-Year")+GETPIVOTDATA(" Old-2 But Less Than 4-Year",'Pivot Table for 1-11'!$A$3,"State","TX","SREB Type",1,"SREB Type2","Four-Year")</f>
        <v>0</v>
      </c>
      <c r="C89" s="197">
        <f>+GETPIVOTDATA(" Old-Associate's",'Pivot Table for 1-11'!$A$3,"State","TX","SREB Type",1,"SREB Type2","Four-Year")</f>
        <v>0</v>
      </c>
      <c r="D89" s="197">
        <f>+GETPIVOTDATA(" Old-Bachelor's",'Pivot Table for 1-11'!$A$3,"State","TX","SREB Type",1,"SREB Type2","Four-Year")</f>
        <v>62372</v>
      </c>
      <c r="E89" s="197">
        <f>+GETPIVOTDATA(" Old-Post-Bachelor's",'Pivot Table for 1-11'!$A$3,"State","TX","SREB Type",1,"SREB Type2","Four-Year")</f>
        <v>0</v>
      </c>
      <c r="F89" s="197">
        <f>+GETPIVOTDATA(" Old-Total Master's#",'Pivot Table for 1-11'!$A$3,"State","TX","SREB Type",1,"SREB Type2","Four-Year")</f>
        <v>21024</v>
      </c>
      <c r="G89" s="197">
        <f>+GETPIVOTDATA(" Old-Total Doctorates#",'Pivot Table for 1-11'!$A$3,"State","TX","SREB Type",1,"SREB Type2","Four-Year")</f>
        <v>3130</v>
      </c>
      <c r="H89" s="230">
        <f>+GETPIVOTDATA(" Old-Law",'Pivot Table for 1-11'!$A$3,"State","TX","SREB Type",1,"SREB Type2","Four-Year")</f>
        <v>793</v>
      </c>
      <c r="I89" s="197">
        <f>+GETPIVOTDATA(" Old-Medicine",'Pivot Table for 1-11'!$A$3,"State","TX","SREB Type",1,"SREB Type2","Four-Year")</f>
        <v>0</v>
      </c>
      <c r="J89" s="197">
        <f>+GETPIVOTDATA(" Old-Dentistry",'Pivot Table for 1-11'!$A$3,"State","TX","SREB Type",1,"SREB Type2","Four-Year")</f>
        <v>0</v>
      </c>
      <c r="K89" s="197">
        <f>+GETPIVOTDATA(" Old-Pharmacy",'Pivot Table for 1-11'!$A$3,"State","TX","SREB Type",1,"SREB Type2","Four-Year")</f>
        <v>256</v>
      </c>
      <c r="L89" s="197">
        <f>+GETPIVOTDATA(" Old-Optometry",'Pivot Table for 1-11'!$A$3,"State","TX","SREB Type",1,"SREB Type2","Four-Year")</f>
        <v>102</v>
      </c>
      <c r="M89" s="197">
        <f>+GETPIVOTDATA(" Old-Osteopathic Medicine",'Pivot Table for 1-11'!$A$3,"State","TX","SREB Type",1,"SREB Type2","Four-Year")</f>
        <v>0</v>
      </c>
      <c r="N89" s="197">
        <f>+GETPIVOTDATA(" Old-Veterinary Medicine",'Pivot Table for 1-11'!$A$3,"State","TX","SREB Type",1,"SREB Type2","Four-Year")</f>
        <v>131</v>
      </c>
      <c r="O89" s="198">
        <f>+GETPIVOTDATA(" Old-Oth PP",'Pivot Table for 1-11'!$A$3,"State","TX","SREB Type",1,"SREB Type2","Four-Year")</f>
        <v>32</v>
      </c>
      <c r="P89" s="199">
        <f t="shared" si="1"/>
        <v>87840</v>
      </c>
    </row>
    <row r="90" spans="1:16" ht="15" customHeight="1">
      <c r="A90" s="196" t="s">
        <v>35</v>
      </c>
      <c r="B90" s="197">
        <f>+GETPIVOTDATA(" Old-Less Than 2-Year",'Pivot Table for 1-11'!$A$3,"State","VA","SREB Type",1,"SREB Type2","Four-Year")+GETPIVOTDATA(" Old-2 But Less Than 4-Year",'Pivot Table for 1-11'!$A$3,"State","VA","SREB Type",1,"SREB Type2","Four-Year")</f>
        <v>94</v>
      </c>
      <c r="C90" s="197">
        <f>+GETPIVOTDATA(" Old-Associate's",'Pivot Table for 1-11'!$A$3,"State","VA","SREB Type",1,"SREB Type2","Four-Year")</f>
        <v>54</v>
      </c>
      <c r="D90" s="197">
        <f>+GETPIVOTDATA(" Old-Bachelor's",'Pivot Table for 1-11'!$A$3,"State","VA","SREB Type",1,"SREB Type2","Four-Year")</f>
        <v>25841</v>
      </c>
      <c r="E90" s="197">
        <f>+GETPIVOTDATA(" Old-Post-Bachelor's",'Pivot Table for 1-11'!$A$3,"State","VA","SREB Type",1,"SREB Type2","Four-Year")</f>
        <v>1569</v>
      </c>
      <c r="F90" s="197">
        <f>+GETPIVOTDATA(" Old-Total Master's#",'Pivot Table for 1-11'!$A$3,"State","VA","SREB Type",1,"SREB Type2","Four-Year")</f>
        <v>9117</v>
      </c>
      <c r="G90" s="197">
        <f>+GETPIVOTDATA(" Old-Total Doctorates#",'Pivot Table for 1-11'!$A$3,"State","VA","SREB Type",1,"SREB Type2","Four-Year")</f>
        <v>1667</v>
      </c>
      <c r="H90" s="230">
        <f>+GETPIVOTDATA(" Old-Law",'Pivot Table for 1-11'!$A$3,"State","VA","SREB Type",1,"SREB Type2","Four-Year")</f>
        <v>460</v>
      </c>
      <c r="I90" s="197">
        <f>+GETPIVOTDATA(" Old-Medicine",'Pivot Table for 1-11'!$A$3,"State","VA","SREB Type",1,"SREB Type2","Four-Year")</f>
        <v>391</v>
      </c>
      <c r="J90" s="197">
        <f>+GETPIVOTDATA(" Old-Dentistry",'Pivot Table for 1-11'!$A$3,"State","VA","SREB Type",1,"SREB Type2","Four-Year")</f>
        <v>101</v>
      </c>
      <c r="K90" s="197">
        <f>+GETPIVOTDATA(" Old-Pharmacy",'Pivot Table for 1-11'!$A$3,"State","VA","SREB Type",1,"SREB Type2","Four-Year")</f>
        <v>124</v>
      </c>
      <c r="L90" s="197">
        <f>+GETPIVOTDATA(" Old-Optometry",'Pivot Table for 1-11'!$A$3,"State","VA","SREB Type",1,"SREB Type2","Four-Year")</f>
        <v>0</v>
      </c>
      <c r="M90" s="197">
        <f>+GETPIVOTDATA(" Old-Osteopathic Medicine",'Pivot Table for 1-11'!$A$3,"State","VA","SREB Type",1,"SREB Type2","Four-Year")</f>
        <v>0</v>
      </c>
      <c r="N90" s="197">
        <f>+GETPIVOTDATA(" Old-Veterinary Medicine",'Pivot Table for 1-11'!$A$3,"State","VA","SREB Type",1,"SREB Type2","Four-Year")</f>
        <v>123</v>
      </c>
      <c r="O90" s="198">
        <f>+GETPIVOTDATA(" Old-Oth PP",'Pivot Table for 1-11'!$A$3,"State","VA","SREB Type",1,"SREB Type2","Four-Year")</f>
        <v>0</v>
      </c>
      <c r="P90" s="199">
        <f t="shared" si="1"/>
        <v>39541</v>
      </c>
    </row>
    <row r="91" spans="1:16" ht="15" customHeight="1">
      <c r="A91" s="200" t="s">
        <v>36</v>
      </c>
      <c r="B91" s="201">
        <f>+GETPIVOTDATA(" Old-Less Than 2-Year",'Pivot Table for 1-11'!$A$3,"State","WV","SREB Type",1,"SREB Type2","Four-Year")+GETPIVOTDATA(" Old-2 But Less Than 4-Year",'Pivot Table for 1-11'!$A$3,"State","WV","SREB Type",1,"SREB Type2","Four-Year")</f>
        <v>0</v>
      </c>
      <c r="C91" s="201">
        <f>+GETPIVOTDATA(" Old-Associate's",'Pivot Table for 1-11'!$A$3,"State","WV","SREB Type",1,"SREB Type2","Four-Year")</f>
        <v>0</v>
      </c>
      <c r="D91" s="201">
        <f>+GETPIVOTDATA(" Old-Bachelor's",'Pivot Table for 1-11'!$A$3,"State","WV","SREB Type",1,"SREB Type2","Four-Year")</f>
        <v>4561</v>
      </c>
      <c r="E91" s="201">
        <f>+GETPIVOTDATA(" Old-Post-Bachelor's",'Pivot Table for 1-11'!$A$3,"State","WV","SREB Type",1,"SREB Type2","Four-Year")</f>
        <v>0</v>
      </c>
      <c r="F91" s="201">
        <f>+GETPIVOTDATA(" Old-Total Master's#",'Pivot Table for 1-11'!$A$3,"State","WV","SREB Type",1,"SREB Type2","Four-Year")</f>
        <v>1481</v>
      </c>
      <c r="G91" s="201">
        <f>+GETPIVOTDATA(" Old-Total Doctorates#",'Pivot Table for 1-11'!$A$3,"State","WV","SREB Type",1,"SREB Type2","Four-Year")</f>
        <v>194</v>
      </c>
      <c r="H91" s="202">
        <f>+GETPIVOTDATA(" Old-Law",'Pivot Table for 1-11'!$A$3,"State","WV","SREB Type",1,"SREB Type2","Four-Year")</f>
        <v>101</v>
      </c>
      <c r="I91" s="201">
        <f>+GETPIVOTDATA(" Old-Medicine",'Pivot Table for 1-11'!$A$3,"State","WV","SREB Type",1,"SREB Type2","Four-Year")</f>
        <v>93</v>
      </c>
      <c r="J91" s="201">
        <f>+GETPIVOTDATA(" Old-Dentistry",'Pivot Table for 1-11'!$A$3,"State","WV","SREB Type",1,"SREB Type2","Four-Year")</f>
        <v>45</v>
      </c>
      <c r="K91" s="201">
        <f>+GETPIVOTDATA(" Old-Pharmacy",'Pivot Table for 1-11'!$A$3,"State","WV","SREB Type",1,"SREB Type2","Four-Year")</f>
        <v>71</v>
      </c>
      <c r="L91" s="201">
        <f>+GETPIVOTDATA(" Old-Optometry",'Pivot Table for 1-11'!$A$3,"State","WV","SREB Type",1,"SREB Type2","Four-Year")</f>
        <v>0</v>
      </c>
      <c r="M91" s="201">
        <f>+GETPIVOTDATA(" Old-Osteopathic Medicine",'Pivot Table for 1-11'!$A$3,"State","WV","SREB Type",1,"SREB Type2","Four-Year")</f>
        <v>0</v>
      </c>
      <c r="N91" s="201">
        <f>+GETPIVOTDATA(" Old-Veterinary Medicine",'Pivot Table for 1-11'!$A$3,"State","WV","SREB Type",1,"SREB Type2","Four-Year")</f>
        <v>0</v>
      </c>
      <c r="O91" s="319">
        <f>+GETPIVOTDATA(" Old-Oth PP",'Pivot Table for 1-11'!$A$3,"State","WV","SREB Type",1,"SREB Type2","Four-Year")</f>
        <v>63</v>
      </c>
      <c r="P91" s="203">
        <f t="shared" si="1"/>
        <v>6609</v>
      </c>
    </row>
    <row r="92" spans="1:16">
      <c r="B92" s="197"/>
      <c r="C92" s="197"/>
      <c r="D92" s="197"/>
      <c r="E92" s="197"/>
      <c r="F92" s="197"/>
      <c r="G92" s="197"/>
      <c r="H92" s="197"/>
      <c r="I92" s="197"/>
      <c r="J92" s="197"/>
      <c r="K92" s="197"/>
      <c r="L92" s="197"/>
      <c r="M92" s="197"/>
      <c r="N92" s="197"/>
      <c r="O92" s="197"/>
      <c r="P92" s="197"/>
    </row>
    <row r="93" spans="1:16" ht="27" customHeight="1">
      <c r="A93" s="545" t="s">
        <v>37</v>
      </c>
      <c r="B93" s="546"/>
      <c r="C93" s="546"/>
      <c r="D93" s="546"/>
      <c r="E93" s="546"/>
      <c r="F93" s="546"/>
      <c r="G93" s="546"/>
      <c r="H93" s="546"/>
      <c r="I93" s="546"/>
      <c r="J93" s="546"/>
      <c r="K93" s="546"/>
      <c r="L93" s="546"/>
      <c r="M93" s="546"/>
      <c r="N93" s="546"/>
      <c r="O93" s="546"/>
      <c r="P93" s="546"/>
    </row>
    <row r="94" spans="1:16">
      <c r="P94" s="204" t="s">
        <v>1178</v>
      </c>
    </row>
    <row r="95" spans="1:16" ht="18">
      <c r="A95" s="186" t="s">
        <v>44</v>
      </c>
      <c r="B95" s="187"/>
      <c r="C95" s="187"/>
      <c r="D95" s="187"/>
      <c r="E95" s="187"/>
      <c r="F95" s="187"/>
      <c r="G95" s="187"/>
      <c r="H95" s="187"/>
      <c r="I95" s="187"/>
      <c r="J95" s="187"/>
      <c r="K95" s="187"/>
      <c r="L95" s="187"/>
      <c r="M95" s="187"/>
      <c r="N95" s="187"/>
      <c r="O95" s="187"/>
      <c r="P95" s="187"/>
    </row>
    <row r="96" spans="1:16" ht="15.75" customHeight="1">
      <c r="A96" s="188"/>
      <c r="B96" s="188"/>
      <c r="C96" s="188"/>
      <c r="D96" s="188"/>
      <c r="E96" s="188"/>
      <c r="F96" s="188"/>
      <c r="G96" s="188"/>
      <c r="H96" s="188"/>
      <c r="I96" s="188"/>
      <c r="J96" s="188"/>
      <c r="K96" s="188"/>
      <c r="L96" s="188"/>
      <c r="M96" s="188"/>
      <c r="N96" s="188"/>
      <c r="O96" s="188"/>
      <c r="P96" s="188"/>
    </row>
    <row r="97" spans="1:16" ht="15.5">
      <c r="A97" s="187" t="s">
        <v>2</v>
      </c>
      <c r="B97" s="187"/>
      <c r="C97" s="187"/>
      <c r="D97" s="187"/>
      <c r="E97" s="187"/>
      <c r="F97" s="187"/>
      <c r="G97" s="187"/>
      <c r="H97" s="187"/>
      <c r="I97" s="187"/>
      <c r="J97" s="187"/>
      <c r="K97" s="187"/>
      <c r="L97" s="187"/>
      <c r="M97" s="187"/>
      <c r="N97" s="187"/>
      <c r="O97" s="187"/>
      <c r="P97" s="187"/>
    </row>
    <row r="98" spans="1:16" ht="15.5">
      <c r="A98" s="187" t="s">
        <v>45</v>
      </c>
      <c r="B98" s="187"/>
      <c r="C98" s="187"/>
      <c r="D98" s="187"/>
      <c r="E98" s="187"/>
      <c r="F98" s="187"/>
      <c r="G98" s="187"/>
      <c r="H98" s="187"/>
      <c r="I98" s="187"/>
      <c r="J98" s="187"/>
      <c r="K98" s="187"/>
      <c r="L98" s="187"/>
      <c r="M98" s="187"/>
      <c r="N98" s="187"/>
      <c r="O98" s="187"/>
      <c r="P98" s="187"/>
    </row>
    <row r="99" spans="1:16" ht="15.5">
      <c r="A99" s="189"/>
      <c r="B99" s="189"/>
      <c r="C99" s="189"/>
      <c r="D99" s="189"/>
      <c r="E99" s="189"/>
      <c r="F99" s="189"/>
      <c r="G99" s="189"/>
      <c r="H99" s="189"/>
      <c r="I99" s="189"/>
      <c r="J99" s="189"/>
      <c r="K99" s="189"/>
      <c r="L99" s="189"/>
      <c r="M99" s="189"/>
      <c r="N99" s="189"/>
      <c r="O99" s="189"/>
      <c r="P99" s="189"/>
    </row>
    <row r="100" spans="1:16" ht="15.5">
      <c r="A100" s="190"/>
      <c r="B100" s="190"/>
      <c r="C100" s="190"/>
      <c r="D100" s="190"/>
      <c r="E100" s="190"/>
      <c r="F100" s="190"/>
      <c r="G100" s="190"/>
      <c r="H100" s="326" t="s">
        <v>4</v>
      </c>
      <c r="I100" s="191"/>
      <c r="J100" s="191"/>
      <c r="K100" s="191"/>
      <c r="L100" s="191"/>
      <c r="M100" s="191"/>
      <c r="N100" s="191"/>
      <c r="O100" s="327"/>
      <c r="P100" s="192" t="s">
        <v>1</v>
      </c>
    </row>
    <row r="101" spans="1:16" ht="42" customHeight="1">
      <c r="A101" s="193"/>
      <c r="B101" s="194" t="s">
        <v>5</v>
      </c>
      <c r="C101" s="194" t="s">
        <v>6</v>
      </c>
      <c r="D101" s="194" t="s">
        <v>7</v>
      </c>
      <c r="E101" s="194" t="s">
        <v>8</v>
      </c>
      <c r="F101" s="194" t="s">
        <v>9</v>
      </c>
      <c r="G101" s="194" t="s">
        <v>10</v>
      </c>
      <c r="H101" s="195" t="s">
        <v>11</v>
      </c>
      <c r="I101" s="194" t="s">
        <v>81</v>
      </c>
      <c r="J101" s="194" t="s">
        <v>13</v>
      </c>
      <c r="K101" s="194" t="s">
        <v>46</v>
      </c>
      <c r="L101" s="194" t="s">
        <v>15</v>
      </c>
      <c r="M101" s="194" t="s">
        <v>16</v>
      </c>
      <c r="N101" s="194" t="s">
        <v>82</v>
      </c>
      <c r="O101" s="328" t="s">
        <v>83</v>
      </c>
      <c r="P101" s="194" t="s">
        <v>19</v>
      </c>
    </row>
    <row r="102" spans="1:16" ht="15" customHeight="1">
      <c r="A102" s="65" t="s">
        <v>20</v>
      </c>
      <c r="B102" s="197">
        <f>+GETPIVOTDATA(" Old-Less Than 2-Year",'Pivot Table for 1-11'!$A$3,"SREB Type",2,"SREB Type2","Four-Year")+GETPIVOTDATA(" Old-2 But Less Than 4-Year",'Pivot Table for 1-11'!$A$3,"SREB Type",2,"SREB Type2","Four-Year")</f>
        <v>154</v>
      </c>
      <c r="C102" s="197">
        <f>+GETPIVOTDATA(" Old-Associate's",'Pivot Table for 1-11'!$A$3,"SREB Type",2,"SREB Type2","Four-Year")</f>
        <v>503</v>
      </c>
      <c r="D102" s="197">
        <f>+GETPIVOTDATA(" Old-Bachelor's",'Pivot Table for 1-11'!$A$3,"SREB Type",2,"SREB Type2","Four-Year")</f>
        <v>42268</v>
      </c>
      <c r="E102" s="197">
        <f>+GETPIVOTDATA(" Old-Post-Bachelor's",'Pivot Table for 1-11'!$A$3,"SREB Type",2,"SREB Type2","Four-Year")</f>
        <v>237</v>
      </c>
      <c r="F102" s="197">
        <f>+GETPIVOTDATA(" Old-Total Master's#",'Pivot Table for 1-11'!$A$3,"SREB Type",2,"SREB Type2","Four-Year")</f>
        <v>15646</v>
      </c>
      <c r="G102" s="197">
        <f>+GETPIVOTDATA(" Old-Total Doctorates#",'Pivot Table for 1-11'!$A$3,"SREB Type",2,"SREB Type2","Four-Year")</f>
        <v>1605</v>
      </c>
      <c r="H102" s="230">
        <f>+GETPIVOTDATA(" Old-Law",'Pivot Table for 1-11'!$A$3,"SREB Type",2,"SREB Type2","Four-Year")</f>
        <v>354</v>
      </c>
      <c r="I102" s="197">
        <f>+GETPIVOTDATA(" Old-Medicine",'Pivot Table for 1-11'!$A$3,"SREB Type",2,"SREB Type2","Four-Year")</f>
        <v>213</v>
      </c>
      <c r="J102" s="197">
        <f>+GETPIVOTDATA(" Old-Dentistry",'Pivot Table for 1-11'!$A$3,"SREB Type",2,"SREB Type2","Four-Year")</f>
        <v>50</v>
      </c>
      <c r="K102" s="197">
        <f>+GETPIVOTDATA(" Old-Pharmacy",'Pivot Table for 1-11'!$A$3,"SREB Type",2,"SREB Type2","Four-Year")</f>
        <v>74</v>
      </c>
      <c r="L102" s="197">
        <f>+GETPIVOTDATA(" Old-Optometry",'Pivot Table for 1-11'!$A$3,"SREB Type",2,"SREB Type2","Four-Year")</f>
        <v>0</v>
      </c>
      <c r="M102" s="197">
        <f>+GETPIVOTDATA(" Old-Osteopathic Medicine",'Pivot Table for 1-11'!$A$3,"SREB Type",2,"SREB Type2","Four-Year")</f>
        <v>0</v>
      </c>
      <c r="N102" s="197">
        <f>+GETPIVOTDATA(" Old-Veterinary Medicine",'Pivot Table for 1-11'!$A$3,"SREB Type",2,"SREB Type2","Four-Year")</f>
        <v>0</v>
      </c>
      <c r="O102" s="198">
        <f>+GETPIVOTDATA(" Old-Oth PP",'Pivot Table for 1-11'!$A$3,"SREB Type",2,"SREB Type2","Four-Year")</f>
        <v>506</v>
      </c>
      <c r="P102" s="199">
        <f>SUM(C102:O102)</f>
        <v>61456</v>
      </c>
    </row>
    <row r="103" spans="1:16" ht="15" customHeight="1">
      <c r="B103" s="197"/>
      <c r="C103" s="197"/>
      <c r="D103" s="197"/>
      <c r="E103" s="197"/>
      <c r="F103" s="197"/>
      <c r="G103" s="197"/>
      <c r="H103" s="230"/>
      <c r="I103" s="197"/>
      <c r="J103" s="197"/>
      <c r="K103" s="197"/>
      <c r="L103" s="197"/>
      <c r="M103" s="197"/>
      <c r="N103" s="197"/>
      <c r="O103" s="198"/>
      <c r="P103" s="199"/>
    </row>
    <row r="104" spans="1:16" ht="15" customHeight="1">
      <c r="A104" s="196" t="s">
        <v>21</v>
      </c>
      <c r="B104" s="197">
        <f>GETPIVOTDATA(" Old-Less Than 2-Year",'Pivot Table for 1-11'!$A$3,"State","AL","SREB Type",2,"SREB Type2","Four-Year")+GETPIVOTDATA(" Old-2 But Less Than 4-Year",'Pivot Table for 1-11'!$A$3,"State","AL","SREB Type",2,"SREB Type2","Four-Year")</f>
        <v>124</v>
      </c>
      <c r="C104" s="197">
        <f>+GETPIVOTDATA(" Old-Associate's",'Pivot Table for 1-11'!$A$3,"State","AL","SREB Type",2,"SREB Type2","Four-Year")</f>
        <v>0</v>
      </c>
      <c r="D104" s="197">
        <f>+GETPIVOTDATA(" Old-Bachelor's",'Pivot Table for 1-11'!$A$3,"State","AL","SREB Type",2,"SREB Type2","Four-Year")</f>
        <v>3222</v>
      </c>
      <c r="E104" s="197">
        <f>+GETPIVOTDATA(" Old-Post-Bachelor's",'Pivot Table for 1-11'!$A$3,"State","AL","SREB Type",2,"SREB Type2","Four-Year")</f>
        <v>26</v>
      </c>
      <c r="F104" s="197">
        <f>+GETPIVOTDATA(" Old-Total Master's#",'Pivot Table for 1-11'!$A$3,"State","AL","SREB Type",2,"SREB Type2","Four-Year")</f>
        <v>1763</v>
      </c>
      <c r="G104" s="197">
        <f>+GETPIVOTDATA(" Old-Total Doctorates#",'Pivot Table for 1-11'!$A$3,"State","AL","SREB Type",2,"SREB Type2","Four-Year")</f>
        <v>87</v>
      </c>
      <c r="H104" s="230">
        <f>+GETPIVOTDATA(" Old-Law",'Pivot Table for 1-11'!$A$3,"State","AL","SREB Type",2,"SREB Type2","Four-Year")</f>
        <v>0</v>
      </c>
      <c r="I104" s="197">
        <f>+GETPIVOTDATA(" Old-Medicine",'Pivot Table for 1-11'!$A$3,"State","AL","SREB Type",2,"SREB Type2","Four-Year")</f>
        <v>80</v>
      </c>
      <c r="J104" s="197">
        <f>+GETPIVOTDATA(" Old-Dentistry",'Pivot Table for 1-11'!$A$3,"State","AL","SREB Type",2,"SREB Type2","Four-Year")</f>
        <v>0</v>
      </c>
      <c r="K104" s="197">
        <f>+GETPIVOTDATA(" Old-Pharmacy",'Pivot Table for 1-11'!$A$3,"State","AL","SREB Type",2,"SREB Type2","Four-Year")</f>
        <v>0</v>
      </c>
      <c r="L104" s="197">
        <f>+GETPIVOTDATA(" Old-Optometry",'Pivot Table for 1-11'!$A$3,"State","AL","SREB Type",2,"SREB Type2","Four-Year")</f>
        <v>0</v>
      </c>
      <c r="M104" s="197">
        <f>+GETPIVOTDATA(" Old-Osteopathic Medicine",'Pivot Table for 1-11'!$A$3,"State","AL","SREB Type",2,"SREB Type2","Four-Year")</f>
        <v>0</v>
      </c>
      <c r="N104" s="197">
        <f>+GETPIVOTDATA(" Old-Veterinary Medicine",'Pivot Table for 1-11'!$A$3,"State","AL","SREB Type",2,"SREB Type2","Four-Year")</f>
        <v>0</v>
      </c>
      <c r="O104" s="198">
        <f>+GETPIVOTDATA(" Old-Oth PP",'Pivot Table for 1-11'!$A$3,"State","AL","SREB Type",2,"SREB Type2","Four-Year")</f>
        <v>243</v>
      </c>
      <c r="P104" s="199">
        <f t="shared" ref="P104:P122" si="2">SUM(C104:O104)</f>
        <v>5421</v>
      </c>
    </row>
    <row r="105" spans="1:16" ht="15" customHeight="1">
      <c r="A105" s="196" t="s">
        <v>22</v>
      </c>
      <c r="B105" s="197">
        <f>+GETPIVOTDATA(" Old-Less Than 2-Year",'Pivot Table for 1-11'!$A$3,"State","AR","SREB Type",2,"SREB Type2","Four-Year")+GETPIVOTDATA(" Old-2 But Less Than 4-Year",'Pivot Table for 1-11'!$A$3,"State","AR","SREB Type",2,"SREB Type2","Four-Year")</f>
        <v>30</v>
      </c>
      <c r="C105" s="197">
        <f>+GETPIVOTDATA(" Old-Associate's",'Pivot Table for 1-11'!$A$3,"State","AR","SREB Type",2,"SREB Type2","Four-Year")</f>
        <v>401</v>
      </c>
      <c r="D105" s="197">
        <f>+GETPIVOTDATA(" Old-Bachelor's",'Pivot Table for 1-11'!$A$3,"State","AR","SREB Type",2,"SREB Type2","Four-Year")</f>
        <v>1316</v>
      </c>
      <c r="E105" s="197">
        <f>+GETPIVOTDATA(" Old-Post-Bachelor's",'Pivot Table for 1-11'!$A$3,"State","AR","SREB Type",2,"SREB Type2","Four-Year")</f>
        <v>129</v>
      </c>
      <c r="F105" s="197">
        <f>+GETPIVOTDATA(" Old-Total Master's#",'Pivot Table for 1-11'!$A$3,"State","AR","SREB Type",2,"SREB Type2","Four-Year")</f>
        <v>532</v>
      </c>
      <c r="G105" s="197">
        <f>+GETPIVOTDATA(" Old-Total Doctorates#",'Pivot Table for 1-11'!$A$3,"State","AR","SREB Type",2,"SREB Type2","Four-Year")</f>
        <v>36</v>
      </c>
      <c r="H105" s="230">
        <f>+GETPIVOTDATA(" Old-Law",'Pivot Table for 1-11'!$A$3,"State","AR","SREB Type",2,"SREB Type2","Four-Year")</f>
        <v>124</v>
      </c>
      <c r="I105" s="197">
        <f>+GETPIVOTDATA(" Old-Medicine",'Pivot Table for 1-11'!$A$3,"State","AR","SREB Type",2,"SREB Type2","Four-Year")</f>
        <v>0</v>
      </c>
      <c r="J105" s="197">
        <f>+GETPIVOTDATA(" Old-Dentistry",'Pivot Table for 1-11'!$A$3,"State","AR","SREB Type",2,"SREB Type2","Four-Year")</f>
        <v>0</v>
      </c>
      <c r="K105" s="197">
        <f>+GETPIVOTDATA(" Old-Pharmacy",'Pivot Table for 1-11'!$A$3,"State","AR","SREB Type",2,"SREB Type2","Four-Year")</f>
        <v>0</v>
      </c>
      <c r="L105" s="197">
        <f>+GETPIVOTDATA(" Old-Optometry",'Pivot Table for 1-11'!$A$3,"State","AR","SREB Type",2,"SREB Type2","Four-Year")</f>
        <v>0</v>
      </c>
      <c r="M105" s="197">
        <f>+GETPIVOTDATA(" Old-Osteopathic Medicine",'Pivot Table for 1-11'!$A$3,"State","AR","SREB Type",2,"SREB Type2","Four-Year")</f>
        <v>0</v>
      </c>
      <c r="N105" s="197">
        <f>+GETPIVOTDATA(" Old-Veterinary Medicine",'Pivot Table for 1-11'!$A$3,"State","AR","SREB Type",2,"SREB Type2","Four-Year")</f>
        <v>0</v>
      </c>
      <c r="O105" s="198">
        <f>+GETPIVOTDATA(" Old-Oth PP",'Pivot Table for 1-11'!$A$3,"State","AR","SREB Type",2,"SREB Type2","Four-Year")</f>
        <v>0</v>
      </c>
      <c r="P105" s="199">
        <f t="shared" si="2"/>
        <v>2538</v>
      </c>
    </row>
    <row r="106" spans="1:16" ht="15" customHeight="1">
      <c r="A106" s="196" t="s">
        <v>23</v>
      </c>
      <c r="B106" s="197">
        <f>+GETPIVOTDATA(" Old-Less Than 2-Year",'Pivot Table for 1-11'!$A$3,"State","DE","SREB Type",2,"SREB Type2","Four-Year")+GETPIVOTDATA(" Old-2 But Less Than 4-Year",'Pivot Table for 1-11'!$A$3,"State","DE","SREB Type",2,"SREB Type2","Four-Year")</f>
        <v>0</v>
      </c>
      <c r="C106" s="197">
        <f>+GETPIVOTDATA(" Old-Associate's",'Pivot Table for 1-11'!$A$3,"State","DE","SREB Type",2,"SREB Type2","Four-Year")</f>
        <v>0</v>
      </c>
      <c r="D106" s="197">
        <f>+GETPIVOTDATA(" Old-Bachelor's",'Pivot Table for 1-11'!$A$3,"State","DE","SREB Type",2,"SREB Type2","Four-Year")</f>
        <v>0</v>
      </c>
      <c r="E106" s="197">
        <f>+GETPIVOTDATA(" Old-Post-Bachelor's",'Pivot Table for 1-11'!$A$3,"State","DE","SREB Type",2,"SREB Type2","Four-Year")</f>
        <v>0</v>
      </c>
      <c r="F106" s="197">
        <f>+GETPIVOTDATA(" Old-Total Master's#",'Pivot Table for 1-11'!$A$3,"State","DE","SREB Type",2,"SREB Type2","Four-Year")</f>
        <v>0</v>
      </c>
      <c r="G106" s="197">
        <f>+GETPIVOTDATA(" Old-Total Doctorates#",'Pivot Table for 1-11'!$A$3,"State","DE","SREB Type",2,"SREB Type2","Four-Year")</f>
        <v>0</v>
      </c>
      <c r="H106" s="230">
        <f>+GETPIVOTDATA(" Old-Law",'Pivot Table for 1-11'!$A$3,"State","DE","SREB Type",2,"SREB Type2","Four-Year")</f>
        <v>0</v>
      </c>
      <c r="I106" s="197">
        <f>+GETPIVOTDATA(" Old-Medicine",'Pivot Table for 1-11'!$A$3,"State","DE","SREB Type",2,"SREB Type2","Four-Year")</f>
        <v>0</v>
      </c>
      <c r="J106" s="197">
        <f>+GETPIVOTDATA(" Old-Dentistry",'Pivot Table for 1-11'!$A$3,"State","DE","SREB Type",2,"SREB Type2","Four-Year")</f>
        <v>0</v>
      </c>
      <c r="K106" s="197">
        <f>+GETPIVOTDATA(" Old-Pharmacy",'Pivot Table for 1-11'!$A$3,"State","DE","SREB Type",2,"SREB Type2","Four-Year")</f>
        <v>0</v>
      </c>
      <c r="L106" s="197">
        <f>+GETPIVOTDATA(" Old-Optometry",'Pivot Table for 1-11'!$A$3,"State","DE","SREB Type",2,"SREB Type2","Four-Year")</f>
        <v>0</v>
      </c>
      <c r="M106" s="197">
        <f>+GETPIVOTDATA(" Old-Osteopathic Medicine",'Pivot Table for 1-11'!$A$3,"State","DE","SREB Type",2,"SREB Type2","Four-Year")</f>
        <v>0</v>
      </c>
      <c r="N106" s="197">
        <f>+GETPIVOTDATA(" Old-Veterinary Medicine",'Pivot Table for 1-11'!$A$3,"State","DE","SREB Type",2,"SREB Type2","Four-Year")</f>
        <v>0</v>
      </c>
      <c r="O106" s="198">
        <f>+GETPIVOTDATA(" Old-Oth PP",'Pivot Table for 1-11'!$A$3,"State","DE","SREB Type",2,"SREB Type2","Four-Year")</f>
        <v>0</v>
      </c>
      <c r="P106" s="199">
        <f t="shared" si="2"/>
        <v>0</v>
      </c>
    </row>
    <row r="107" spans="1:16" ht="15" customHeight="1">
      <c r="A107" s="196" t="s">
        <v>24</v>
      </c>
      <c r="B107" s="197">
        <f>+GETPIVOTDATA(" Old-Less Than 2-Year",'Pivot Table for 1-11'!$A$3,"State","FL","SREB Type",2,"SREB Type2","Four-Year")+GETPIVOTDATA(" Old-2 But Less Than 4-Year",'Pivot Table for 1-11'!$A$3,"State","FL","SREB Type",2,"SREB Type2","Four-Year")</f>
        <v>0</v>
      </c>
      <c r="C107" s="197">
        <f>+GETPIVOTDATA(" Old-Associate's",'Pivot Table for 1-11'!$A$3,"State","FL","SREB Type",2,"SREB Type2","Four-Year")</f>
        <v>0</v>
      </c>
      <c r="D107" s="197">
        <f>+GETPIVOTDATA(" Old-Bachelor's",'Pivot Table for 1-11'!$A$3,"State","FL","SREB Type",2,"SREB Type2","Four-Year")</f>
        <v>0</v>
      </c>
      <c r="E107" s="197">
        <f>+GETPIVOTDATA(" Old-Post-Bachelor's",'Pivot Table for 1-11'!$A$3,"State","FL","SREB Type",2,"SREB Type2","Four-Year")</f>
        <v>0</v>
      </c>
      <c r="F107" s="197">
        <f>+GETPIVOTDATA(" Old-Total Master's#",'Pivot Table for 1-11'!$A$3,"State","FL","SREB Type",2,"SREB Type2","Four-Year")</f>
        <v>0</v>
      </c>
      <c r="G107" s="197">
        <f>+GETPIVOTDATA(" Old-Total Doctorates#",'Pivot Table for 1-11'!$A$3,"State","FL","SREB Type",2,"SREB Type2","Four-Year")</f>
        <v>0</v>
      </c>
      <c r="H107" s="230">
        <f>+GETPIVOTDATA(" Old-Law",'Pivot Table for 1-11'!$A$3,"State","FL","SREB Type",2,"SREB Type2","Four-Year")</f>
        <v>0</v>
      </c>
      <c r="I107" s="197">
        <f>+GETPIVOTDATA(" Old-Medicine",'Pivot Table for 1-11'!$A$3,"State","FL","SREB Type",2,"SREB Type2","Four-Year")</f>
        <v>0</v>
      </c>
      <c r="J107" s="197">
        <f>+GETPIVOTDATA(" Old-Dentistry",'Pivot Table for 1-11'!$A$3,"State","FL","SREB Type",2,"SREB Type2","Four-Year")</f>
        <v>0</v>
      </c>
      <c r="K107" s="197">
        <f>+GETPIVOTDATA(" Old-Pharmacy",'Pivot Table for 1-11'!$A$3,"State","FL","SREB Type",2,"SREB Type2","Four-Year")</f>
        <v>0</v>
      </c>
      <c r="L107" s="197">
        <f>+GETPIVOTDATA(" Old-Optometry",'Pivot Table for 1-11'!$A$3,"State","FL","SREB Type",2,"SREB Type2","Four-Year")</f>
        <v>0</v>
      </c>
      <c r="M107" s="197">
        <f>+GETPIVOTDATA(" Old-Osteopathic Medicine",'Pivot Table for 1-11'!$A$3,"State","FL","SREB Type",2,"SREB Type2","Four-Year")</f>
        <v>0</v>
      </c>
      <c r="N107" s="197">
        <f>+GETPIVOTDATA(" Old-Veterinary Medicine",'Pivot Table for 1-11'!$A$3,"State","FL","SREB Type",2,"SREB Type2","Four-Year")</f>
        <v>0</v>
      </c>
      <c r="O107" s="198">
        <f>+GETPIVOTDATA(" Old-Oth PP",'Pivot Table for 1-11'!$A$3,"State","FL","SREB Type",2,"SREB Type2","Four-Year")</f>
        <v>0</v>
      </c>
      <c r="P107" s="199">
        <f t="shared" si="2"/>
        <v>0</v>
      </c>
    </row>
    <row r="108" spans="1:16" ht="15" customHeight="1">
      <c r="A108" s="196"/>
      <c r="B108" s="197"/>
      <c r="C108" s="197"/>
      <c r="D108" s="197"/>
      <c r="E108" s="197"/>
      <c r="F108" s="197"/>
      <c r="G108" s="197"/>
      <c r="H108" s="230"/>
      <c r="I108" s="197"/>
      <c r="J108" s="197"/>
      <c r="K108" s="197"/>
      <c r="L108" s="197"/>
      <c r="M108" s="197"/>
      <c r="N108" s="197"/>
      <c r="O108" s="198"/>
      <c r="P108" s="199"/>
    </row>
    <row r="109" spans="1:16" ht="15" customHeight="1">
      <c r="A109" s="196" t="s">
        <v>25</v>
      </c>
      <c r="B109" s="197">
        <f>+GETPIVOTDATA(" Old-Less Than 2-Year",'Pivot Table for 1-11'!$A$3,"State","GA","SREB Type",2,"SREB Type2","Four-Year")+GETPIVOTDATA(" Old-2 But Less Than 4-Year",'Pivot Table for 1-11'!$A$3,"State","GA","SREB Type",2,"SREB Type2","Four-Year")</f>
        <v>0</v>
      </c>
      <c r="C109" s="197">
        <f>+GETPIVOTDATA(" Old-Associate's",'Pivot Table for 1-11'!$A$3,"State","GA","SREB Type",2,"SREB Type2","Four-Year")</f>
        <v>0</v>
      </c>
      <c r="D109" s="197">
        <f>+GETPIVOTDATA(" Old-Bachelor's",'Pivot Table for 1-11'!$A$3,"State","GA","SREB Type",2,"SREB Type2","Four-Year")</f>
        <v>3714</v>
      </c>
      <c r="E109" s="197">
        <f>+GETPIVOTDATA(" Old-Post-Bachelor's",'Pivot Table for 1-11'!$A$3,"State","GA","SREB Type",2,"SREB Type2","Four-Year")</f>
        <v>0</v>
      </c>
      <c r="F109" s="197">
        <f>+GETPIVOTDATA(" Old-Total Master's#",'Pivot Table for 1-11'!$A$3,"State","GA","SREB Type",2,"SREB Type2","Four-Year")</f>
        <v>3232</v>
      </c>
      <c r="G109" s="197">
        <f>+GETPIVOTDATA(" Old-Total Doctorates#",'Pivot Table for 1-11'!$A$3,"State","GA","SREB Type",2,"SREB Type2","Four-Year")</f>
        <v>526</v>
      </c>
      <c r="H109" s="230">
        <f>+GETPIVOTDATA(" Old-Law",'Pivot Table for 1-11'!$A$3,"State","GA","SREB Type",2,"SREB Type2","Four-Year")</f>
        <v>0</v>
      </c>
      <c r="I109" s="197">
        <f>+GETPIVOTDATA(" Old-Medicine",'Pivot Table for 1-11'!$A$3,"State","GA","SREB Type",2,"SREB Type2","Four-Year")</f>
        <v>0</v>
      </c>
      <c r="J109" s="197">
        <f>+GETPIVOTDATA(" Old-Dentistry",'Pivot Table for 1-11'!$A$3,"State","GA","SREB Type",2,"SREB Type2","Four-Year")</f>
        <v>0</v>
      </c>
      <c r="K109" s="197">
        <f>+GETPIVOTDATA(" Old-Pharmacy",'Pivot Table for 1-11'!$A$3,"State","GA","SREB Type",2,"SREB Type2","Four-Year")</f>
        <v>0</v>
      </c>
      <c r="L109" s="197">
        <f>+GETPIVOTDATA(" Old-Optometry",'Pivot Table for 1-11'!$A$3,"State","GA","SREB Type",2,"SREB Type2","Four-Year")</f>
        <v>0</v>
      </c>
      <c r="M109" s="197">
        <f>+GETPIVOTDATA(" Old-Osteopathic Medicine",'Pivot Table for 1-11'!$A$3,"State","GA","SREB Type",2,"SREB Type2","Four-Year")</f>
        <v>0</v>
      </c>
      <c r="N109" s="197">
        <f>+GETPIVOTDATA(" Old-Veterinary Medicine",'Pivot Table for 1-11'!$A$3,"State","GA","SREB Type",2,"SREB Type2","Four-Year")</f>
        <v>0</v>
      </c>
      <c r="O109" s="198">
        <f>+GETPIVOTDATA(" Old-Oth PP",'Pivot Table for 1-11'!$A$3,"State","GA","SREB Type",2,"SREB Type2","Four-Year")</f>
        <v>0</v>
      </c>
      <c r="P109" s="199">
        <f t="shared" si="2"/>
        <v>7472</v>
      </c>
    </row>
    <row r="110" spans="1:16" ht="15" customHeight="1">
      <c r="A110" s="196" t="s">
        <v>26</v>
      </c>
      <c r="B110" s="197">
        <f>+GETPIVOTDATA(" Old-Less Than 2-Year",'Pivot Table for 1-11'!$A$3,"State","KY","SREB Type",2,"SREB Type2","Four-Year")+GETPIVOTDATA(" Old-2 But Less Than 4-Year",'Pivot Table for 1-11'!$A$3,"State","KY","SREB Type",2,"SREB Type2","Four-Year")</f>
        <v>0</v>
      </c>
      <c r="C110" s="197">
        <f>+GETPIVOTDATA(" Old-Associate's",'Pivot Table for 1-11'!$A$3,"State","KY","SREB Type",2,"SREB Type2","Four-Year")</f>
        <v>0</v>
      </c>
      <c r="D110" s="197">
        <f>+GETPIVOTDATA(" Old-Bachelor's",'Pivot Table for 1-11'!$A$3,"State","KY","SREB Type",2,"SREB Type2","Four-Year")</f>
        <v>0</v>
      </c>
      <c r="E110" s="197">
        <f>+GETPIVOTDATA(" Old-Post-Bachelor's",'Pivot Table for 1-11'!$A$3,"State","KY","SREB Type",2,"SREB Type2","Four-Year")</f>
        <v>0</v>
      </c>
      <c r="F110" s="197">
        <f>+GETPIVOTDATA(" Old-Total Master's#",'Pivot Table for 1-11'!$A$3,"State","KY","SREB Type",2,"SREB Type2","Four-Year")</f>
        <v>0</v>
      </c>
      <c r="G110" s="197">
        <f>+GETPIVOTDATA(" Old-Total Doctorates#",'Pivot Table for 1-11'!$A$3,"State","KY","SREB Type",2,"SREB Type2","Four-Year")</f>
        <v>0</v>
      </c>
      <c r="H110" s="230">
        <f>+GETPIVOTDATA(" Old-Law",'Pivot Table for 1-11'!$A$3,"State","KY","SREB Type",2,"SREB Type2","Four-Year")</f>
        <v>0</v>
      </c>
      <c r="I110" s="197">
        <f>+GETPIVOTDATA(" Old-Medicine",'Pivot Table for 1-11'!$A$3,"State","KY","SREB Type",2,"SREB Type2","Four-Year")</f>
        <v>0</v>
      </c>
      <c r="J110" s="197">
        <f>+GETPIVOTDATA(" Old-Dentistry",'Pivot Table for 1-11'!$A$3,"State","KY","SREB Type",2,"SREB Type2","Four-Year")</f>
        <v>0</v>
      </c>
      <c r="K110" s="197">
        <f>+GETPIVOTDATA(" Old-Pharmacy",'Pivot Table for 1-11'!$A$3,"State","KY","SREB Type",2,"SREB Type2","Four-Year")</f>
        <v>0</v>
      </c>
      <c r="L110" s="197">
        <f>+GETPIVOTDATA(" Old-Optometry",'Pivot Table for 1-11'!$A$3,"State","KY","SREB Type",2,"SREB Type2","Four-Year")</f>
        <v>0</v>
      </c>
      <c r="M110" s="197">
        <f>+GETPIVOTDATA(" Old-Osteopathic Medicine",'Pivot Table for 1-11'!$A$3,"State","KY","SREB Type",2,"SREB Type2","Four-Year")</f>
        <v>0</v>
      </c>
      <c r="N110" s="197">
        <f>+GETPIVOTDATA(" Old-Veterinary Medicine",'Pivot Table for 1-11'!$A$3,"State","KY","SREB Type",2,"SREB Type2","Four-Year")</f>
        <v>0</v>
      </c>
      <c r="O110" s="198">
        <f>+GETPIVOTDATA(" Old-Oth PP",'Pivot Table for 1-11'!$A$3,"State","KY","SREB Type",2,"SREB Type2","Four-Year")</f>
        <v>0</v>
      </c>
      <c r="P110" s="199">
        <f t="shared" si="2"/>
        <v>0</v>
      </c>
    </row>
    <row r="111" spans="1:16" ht="15" customHeight="1">
      <c r="A111" s="196" t="s">
        <v>27</v>
      </c>
      <c r="B111" s="197">
        <f>+GETPIVOTDATA(" Old-Less Than 2-Year",'Pivot Table for 1-11'!$A$3,"State","LA","SREB Type",2,"SREB Type2","Four-Year")+GETPIVOTDATA(" Old-2 But Less Than 4-Year",'Pivot Table for 1-11'!$A$3,"State","LA","SREB Type",2,"SREB Type2","Four-Year")</f>
        <v>0</v>
      </c>
      <c r="C111" s="197">
        <f>+GETPIVOTDATA(" Old-Associate's",'Pivot Table for 1-11'!$A$3,"State","LA","SREB Type",2,"SREB Type2","Four-Year")</f>
        <v>61</v>
      </c>
      <c r="D111" s="197">
        <f>+GETPIVOTDATA(" Old-Bachelor's",'Pivot Table for 1-11'!$A$3,"State","LA","SREB Type",2,"SREB Type2","Four-Year")</f>
        <v>5470</v>
      </c>
      <c r="E111" s="197">
        <f>+GETPIVOTDATA(" Old-Post-Bachelor's",'Pivot Table for 1-11'!$A$3,"State","LA","SREB Type",2,"SREB Type2","Four-Year")</f>
        <v>27</v>
      </c>
      <c r="F111" s="197">
        <f>+GETPIVOTDATA(" Old-Total Master's#",'Pivot Table for 1-11'!$A$3,"State","LA","SREB Type",2,"SREB Type2","Four-Year")</f>
        <v>1552</v>
      </c>
      <c r="G111" s="197">
        <f>+GETPIVOTDATA(" Old-Total Doctorates#",'Pivot Table for 1-11'!$A$3,"State","LA","SREB Type",2,"SREB Type2","Four-Year")</f>
        <v>149</v>
      </c>
      <c r="H111" s="230">
        <f>+GETPIVOTDATA(" Old-Law",'Pivot Table for 1-11'!$A$3,"State","LA","SREB Type",2,"SREB Type2","Four-Year")</f>
        <v>0</v>
      </c>
      <c r="I111" s="197">
        <f>+GETPIVOTDATA(" Old-Medicine",'Pivot Table for 1-11'!$A$3,"State","LA","SREB Type",2,"SREB Type2","Four-Year")</f>
        <v>0</v>
      </c>
      <c r="J111" s="197">
        <f>+GETPIVOTDATA(" Old-Dentistry",'Pivot Table for 1-11'!$A$3,"State","LA","SREB Type",2,"SREB Type2","Four-Year")</f>
        <v>0</v>
      </c>
      <c r="K111" s="197">
        <f>+GETPIVOTDATA(" Old-Pharmacy",'Pivot Table for 1-11'!$A$3,"State","LA","SREB Type",2,"SREB Type2","Four-Year")</f>
        <v>0</v>
      </c>
      <c r="L111" s="197">
        <f>+GETPIVOTDATA(" Old-Optometry",'Pivot Table for 1-11'!$A$3,"State","LA","SREB Type",2,"SREB Type2","Four-Year")</f>
        <v>0</v>
      </c>
      <c r="M111" s="197">
        <f>+GETPIVOTDATA(" Old-Osteopathic Medicine",'Pivot Table for 1-11'!$A$3,"State","LA","SREB Type",2,"SREB Type2","Four-Year")</f>
        <v>0</v>
      </c>
      <c r="N111" s="197">
        <f>+GETPIVOTDATA(" Old-Veterinary Medicine",'Pivot Table for 1-11'!$A$3,"State","LA","SREB Type",2,"SREB Type2","Four-Year")</f>
        <v>0</v>
      </c>
      <c r="O111" s="198">
        <f>+GETPIVOTDATA(" Old-Oth PP",'Pivot Table for 1-11'!$A$3,"State","LA","SREB Type",2,"SREB Type2","Four-Year")</f>
        <v>5</v>
      </c>
      <c r="P111" s="199">
        <f t="shared" si="2"/>
        <v>7264</v>
      </c>
    </row>
    <row r="112" spans="1:16" ht="15" customHeight="1">
      <c r="A112" s="196" t="s">
        <v>28</v>
      </c>
      <c r="B112" s="197">
        <f>+GETPIVOTDATA(" Old-Less Than 2-Year",'Pivot Table for 1-11'!$A$3,"State","MD","SREB Type",2,"SREB Type2","Four-Year")+GETPIVOTDATA(" Old-2 But Less Than 4-Year",'Pivot Table for 1-11'!$A$3,"State","MD","SREB Type",2,"SREB Type2","Four-Year")</f>
        <v>0</v>
      </c>
      <c r="C112" s="197">
        <f>+GETPIVOTDATA(" Old-Associate's",'Pivot Table for 1-11'!$A$3,"State","MD","SREB Type",2,"SREB Type2","Four-Year")</f>
        <v>0</v>
      </c>
      <c r="D112" s="197">
        <f>+GETPIVOTDATA(" Old-Bachelor's",'Pivot Table for 1-11'!$A$3,"State","MD","SREB Type",2,"SREB Type2","Four-Year")</f>
        <v>0</v>
      </c>
      <c r="E112" s="197">
        <f>+GETPIVOTDATA(" Old-Post-Bachelor's",'Pivot Table for 1-11'!$A$3,"State","MD","SREB Type",2,"SREB Type2","Four-Year")</f>
        <v>0</v>
      </c>
      <c r="F112" s="197">
        <f>+GETPIVOTDATA(" Old-Total Master's#",'Pivot Table for 1-11'!$A$3,"State","MD","SREB Type",2,"SREB Type2","Four-Year")</f>
        <v>0</v>
      </c>
      <c r="G112" s="197">
        <f>+GETPIVOTDATA(" Old-Total Doctorates#",'Pivot Table for 1-11'!$A$3,"State","MD","SREB Type",2,"SREB Type2","Four-Year")</f>
        <v>0</v>
      </c>
      <c r="H112" s="230">
        <f>+GETPIVOTDATA(" Old-Law",'Pivot Table for 1-11'!$A$3,"State","MD","SREB Type",2,"SREB Type2","Four-Year")</f>
        <v>0</v>
      </c>
      <c r="I112" s="197">
        <f>+GETPIVOTDATA(" Old-Medicine",'Pivot Table for 1-11'!$A$3,"State","MD","SREB Type",2,"SREB Type2","Four-Year")</f>
        <v>0</v>
      </c>
      <c r="J112" s="197">
        <f>+GETPIVOTDATA(" Old-Dentistry",'Pivot Table for 1-11'!$A$3,"State","MD","SREB Type",2,"SREB Type2","Four-Year")</f>
        <v>0</v>
      </c>
      <c r="K112" s="197">
        <f>+GETPIVOTDATA(" Old-Pharmacy",'Pivot Table for 1-11'!$A$3,"State","MD","SREB Type",2,"SREB Type2","Four-Year")</f>
        <v>0</v>
      </c>
      <c r="L112" s="197">
        <f>+GETPIVOTDATA(" Old-Optometry",'Pivot Table for 1-11'!$A$3,"State","MD","SREB Type",2,"SREB Type2","Four-Year")</f>
        <v>0</v>
      </c>
      <c r="M112" s="197">
        <f>+GETPIVOTDATA(" Old-Osteopathic Medicine",'Pivot Table for 1-11'!$A$3,"State","MD","SREB Type",2,"SREB Type2","Four-Year")</f>
        <v>0</v>
      </c>
      <c r="N112" s="197">
        <f>+GETPIVOTDATA(" Old-Veterinary Medicine",'Pivot Table for 1-11'!$A$3,"State","MD","SREB Type",2,"SREB Type2","Four-Year")</f>
        <v>0</v>
      </c>
      <c r="O112" s="198">
        <f>+GETPIVOTDATA(" Old-Oth PP",'Pivot Table for 1-11'!$A$3,"State","MD","SREB Type",2,"SREB Type2","Four-Year")</f>
        <v>0</v>
      </c>
      <c r="P112" s="199">
        <f t="shared" si="2"/>
        <v>0</v>
      </c>
    </row>
    <row r="113" spans="1:16" ht="15" customHeight="1">
      <c r="A113" s="196"/>
      <c r="B113" s="197"/>
      <c r="C113" s="197"/>
      <c r="D113" s="197"/>
      <c r="E113" s="197"/>
      <c r="F113" s="197"/>
      <c r="G113" s="197"/>
      <c r="H113" s="230"/>
      <c r="I113" s="197"/>
      <c r="J113" s="197"/>
      <c r="K113" s="197"/>
      <c r="L113" s="197"/>
      <c r="M113" s="197"/>
      <c r="N113" s="197"/>
      <c r="O113" s="198"/>
      <c r="P113" s="199"/>
    </row>
    <row r="114" spans="1:16" ht="15" customHeight="1">
      <c r="A114" s="196" t="s">
        <v>29</v>
      </c>
      <c r="B114" s="197">
        <f>+GETPIVOTDATA(" Old-Less Than 2-Year",'Pivot Table for 1-11'!$A$3,"State","MS","SREB Type",2,"SREB Type2","Four-Year")+GETPIVOTDATA(" Old-2 But Less Than 4-Year",'Pivot Table for 1-11'!$A$3,"State","MS","SREB Type",2,"SREB Type2","Four-Year")</f>
        <v>0</v>
      </c>
      <c r="C114" s="197">
        <f>+GETPIVOTDATA(" Old-Associate's",'Pivot Table for 1-11'!$A$3,"State","MS","SREB Type",2,"SREB Type2","Four-Year")</f>
        <v>0</v>
      </c>
      <c r="D114" s="197">
        <f>+GETPIVOTDATA(" Old-Bachelor's",'Pivot Table for 1-11'!$A$3,"State","MS","SREB Type",2,"SREB Type2","Four-Year")</f>
        <v>1155</v>
      </c>
      <c r="E114" s="197">
        <f>+GETPIVOTDATA(" Old-Post-Bachelor's",'Pivot Table for 1-11'!$A$3,"State","MS","SREB Type",2,"SREB Type2","Four-Year")</f>
        <v>0</v>
      </c>
      <c r="F114" s="197">
        <f>+GETPIVOTDATA(" Old-Total Master's#",'Pivot Table for 1-11'!$A$3,"State","MS","SREB Type",2,"SREB Type2","Four-Year")</f>
        <v>455</v>
      </c>
      <c r="G114" s="197">
        <f>+GETPIVOTDATA(" Old-Total Doctorates#",'Pivot Table for 1-11'!$A$3,"State","MS","SREB Type",2,"SREB Type2","Four-Year")</f>
        <v>98</v>
      </c>
      <c r="H114" s="230">
        <f>+GETPIVOTDATA(" Old-Law",'Pivot Table for 1-11'!$A$3,"State","MS","SREB Type",2,"SREB Type2","Four-Year")</f>
        <v>0</v>
      </c>
      <c r="I114" s="197">
        <f>+GETPIVOTDATA(" Old-Medicine",'Pivot Table for 1-11'!$A$3,"State","MS","SREB Type",2,"SREB Type2","Four-Year")</f>
        <v>0</v>
      </c>
      <c r="J114" s="197">
        <f>+GETPIVOTDATA(" Old-Dentistry",'Pivot Table for 1-11'!$A$3,"State","MS","SREB Type",2,"SREB Type2","Four-Year")</f>
        <v>0</v>
      </c>
      <c r="K114" s="197">
        <f>+GETPIVOTDATA(" Old-Pharmacy",'Pivot Table for 1-11'!$A$3,"State","MS","SREB Type",2,"SREB Type2","Four-Year")</f>
        <v>0</v>
      </c>
      <c r="L114" s="197">
        <f>+GETPIVOTDATA(" Old-Optometry",'Pivot Table for 1-11'!$A$3,"State","MS","SREB Type",2,"SREB Type2","Four-Year")</f>
        <v>0</v>
      </c>
      <c r="M114" s="197">
        <f>+GETPIVOTDATA(" Old-Osteopathic Medicine",'Pivot Table for 1-11'!$A$3,"State","MS","SREB Type",2,"SREB Type2","Four-Year")</f>
        <v>0</v>
      </c>
      <c r="N114" s="197">
        <f>+GETPIVOTDATA(" Old-Veterinary Medicine",'Pivot Table for 1-11'!$A$3,"State","MS","SREB Type",2,"SREB Type2","Four-Year")</f>
        <v>0</v>
      </c>
      <c r="O114" s="198">
        <f>+GETPIVOTDATA(" Old-Oth PP",'Pivot Table for 1-11'!$A$3,"State","MS","SREB Type",2,"SREB Type2","Four-Year")</f>
        <v>0</v>
      </c>
      <c r="P114" s="199">
        <f t="shared" si="2"/>
        <v>1708</v>
      </c>
    </row>
    <row r="115" spans="1:16" ht="15" customHeight="1">
      <c r="A115" s="196" t="s">
        <v>30</v>
      </c>
      <c r="B115" s="197">
        <f>+GETPIVOTDATA(" Old-Less Than 2-Year",'Pivot Table for 1-11'!$A$3,"State","NC","SREB Type",2,"SREB Type2","Four-Year")+GETPIVOTDATA(" Old-2 But Less Than 4-Year",'Pivot Table for 1-11'!$A$3,"State","NC","SREB Type",2,"SREB Type2","Four-Year")</f>
        <v>0</v>
      </c>
      <c r="C115" s="197">
        <f>+GETPIVOTDATA(" Old-Associate's",'Pivot Table for 1-11'!$A$3,"State","NC","SREB Type",2,"SREB Type2","Four-Year")</f>
        <v>0</v>
      </c>
      <c r="D115" s="197">
        <f>+GETPIVOTDATA(" Old-Bachelor's",'Pivot Table for 1-11'!$A$3,"State","NC","SREB Type",2,"SREB Type2","Four-Year")</f>
        <v>5045</v>
      </c>
      <c r="E115" s="197">
        <f>+GETPIVOTDATA(" Old-Post-Bachelor's",'Pivot Table for 1-11'!$A$3,"State","NC","SREB Type",2,"SREB Type2","Four-Year")</f>
        <v>46</v>
      </c>
      <c r="F115" s="197">
        <f>+GETPIVOTDATA(" Old-Total Master's#",'Pivot Table for 1-11'!$A$3,"State","NC","SREB Type",2,"SREB Type2","Four-Year")</f>
        <v>1440</v>
      </c>
      <c r="G115" s="197">
        <f>+GETPIVOTDATA(" Old-Total Doctorates#",'Pivot Table for 1-11'!$A$3,"State","NC","SREB Type",2,"SREB Type2","Four-Year")</f>
        <v>92</v>
      </c>
      <c r="H115" s="230">
        <f>+GETPIVOTDATA(" Old-Law",'Pivot Table for 1-11'!$A$3,"State","NC","SREB Type",2,"SREB Type2","Four-Year")</f>
        <v>0</v>
      </c>
      <c r="I115" s="197">
        <f>+GETPIVOTDATA(" Old-Medicine",'Pivot Table for 1-11'!$A$3,"State","NC","SREB Type",2,"SREB Type2","Four-Year")</f>
        <v>73</v>
      </c>
      <c r="J115" s="197">
        <f>+GETPIVOTDATA(" Old-Dentistry",'Pivot Table for 1-11'!$A$3,"State","NC","SREB Type",2,"SREB Type2","Four-Year")</f>
        <v>50</v>
      </c>
      <c r="K115" s="197">
        <f>+GETPIVOTDATA(" Old-Pharmacy",'Pivot Table for 1-11'!$A$3,"State","NC","SREB Type",2,"SREB Type2","Four-Year")</f>
        <v>0</v>
      </c>
      <c r="L115" s="197">
        <f>+GETPIVOTDATA(" Old-Optometry",'Pivot Table for 1-11'!$A$3,"State","NC","SREB Type",2,"SREB Type2","Four-Year")</f>
        <v>0</v>
      </c>
      <c r="M115" s="197">
        <f>+GETPIVOTDATA(" Old-Osteopathic Medicine",'Pivot Table for 1-11'!$A$3,"State","NC","SREB Type",2,"SREB Type2","Four-Year")</f>
        <v>0</v>
      </c>
      <c r="N115" s="197">
        <f>+GETPIVOTDATA(" Old-Veterinary Medicine",'Pivot Table for 1-11'!$A$3,"State","NC","SREB Type",2,"SREB Type2","Four-Year")</f>
        <v>0</v>
      </c>
      <c r="O115" s="198">
        <f>+GETPIVOTDATA(" Old-Oth PP",'Pivot Table for 1-11'!$A$3,"State","NC","SREB Type",2,"SREB Type2","Four-Year")</f>
        <v>91</v>
      </c>
      <c r="P115" s="199">
        <f t="shared" si="2"/>
        <v>6837</v>
      </c>
    </row>
    <row r="116" spans="1:16" ht="15" customHeight="1">
      <c r="A116" s="196" t="s">
        <v>31</v>
      </c>
      <c r="B116" s="197">
        <f>+GETPIVOTDATA(" Old-Less Than 2-Year",'Pivot Table for 1-11'!$A$3,"State","OK","SREB Type",2,"SREB Type2","Four-Year")+GETPIVOTDATA(" Old-2 But Less Than 4-Year",'Pivot Table for 1-11'!$A$3,"State","OK","SREB Type",2,"SREB Type2","Four-Year")</f>
        <v>0</v>
      </c>
      <c r="C116" s="197">
        <f>+GETPIVOTDATA(" Old-Associate's",'Pivot Table for 1-11'!$A$3,"State","OK","SREB Type",2,"SREB Type2","Four-Year")</f>
        <v>0</v>
      </c>
      <c r="D116" s="197">
        <f>+GETPIVOTDATA(" Old-Bachelor's",'Pivot Table for 1-11'!$A$3,"State","OK","SREB Type",2,"SREB Type2","Four-Year")</f>
        <v>0</v>
      </c>
      <c r="E116" s="197">
        <f>+GETPIVOTDATA(" Old-Post-Bachelor's",'Pivot Table for 1-11'!$A$3,"State","OK","SREB Type",2,"SREB Type2","Four-Year")</f>
        <v>0</v>
      </c>
      <c r="F116" s="197">
        <f>+GETPIVOTDATA(" Old-Total Master's#",'Pivot Table for 1-11'!$A$3,"State","OK","SREB Type",2,"SREB Type2","Four-Year")</f>
        <v>0</v>
      </c>
      <c r="G116" s="197">
        <f>+GETPIVOTDATA(" Old-Total Doctorates#",'Pivot Table for 1-11'!$A$3,"State","OK","SREB Type",2,"SREB Type2","Four-Year")</f>
        <v>0</v>
      </c>
      <c r="H116" s="230">
        <f>+GETPIVOTDATA(" Old-Law",'Pivot Table for 1-11'!$A$3,"State","OK","SREB Type",2,"SREB Type2","Four-Year")</f>
        <v>0</v>
      </c>
      <c r="I116" s="197">
        <f>+GETPIVOTDATA(" Old-Medicine",'Pivot Table for 1-11'!$A$3,"State","OK","SREB Type",2,"SREB Type2","Four-Year")</f>
        <v>0</v>
      </c>
      <c r="J116" s="197">
        <f>+GETPIVOTDATA(" Old-Dentistry",'Pivot Table for 1-11'!$A$3,"State","OK","SREB Type",2,"SREB Type2","Four-Year")</f>
        <v>0</v>
      </c>
      <c r="K116" s="197">
        <f>+GETPIVOTDATA(" Old-Pharmacy",'Pivot Table for 1-11'!$A$3,"State","OK","SREB Type",2,"SREB Type2","Four-Year")</f>
        <v>0</v>
      </c>
      <c r="L116" s="197">
        <f>+GETPIVOTDATA(" Old-Optometry",'Pivot Table for 1-11'!$A$3,"State","OK","SREB Type",2,"SREB Type2","Four-Year")</f>
        <v>0</v>
      </c>
      <c r="M116" s="197">
        <f>+GETPIVOTDATA(" Old-Osteopathic Medicine",'Pivot Table for 1-11'!$A$3,"State","OK","SREB Type",2,"SREB Type2","Four-Year")</f>
        <v>0</v>
      </c>
      <c r="N116" s="197">
        <f>+GETPIVOTDATA(" Old-Veterinary Medicine",'Pivot Table for 1-11'!$A$3,"State","OK","SREB Type",2,"SREB Type2","Four-Year")</f>
        <v>0</v>
      </c>
      <c r="O116" s="198">
        <f>+GETPIVOTDATA(" Old-Oth PP",'Pivot Table for 1-11'!$A$3,"State","OK","SREB Type",2,"SREB Type2","Four-Year")</f>
        <v>0</v>
      </c>
      <c r="P116" s="199">
        <f t="shared" si="2"/>
        <v>0</v>
      </c>
    </row>
    <row r="117" spans="1:16" ht="15" customHeight="1">
      <c r="A117" s="196" t="s">
        <v>32</v>
      </c>
      <c r="B117" s="197">
        <f>+GETPIVOTDATA(" Old-Less Than 2-Year",'Pivot Table for 1-11'!$A$3,"State","SC","SREB Type",2,"SREB Type2","Four-Year")+GETPIVOTDATA(" Old-2 But Less Than 4-Year",'Pivot Table for 1-11'!$A$3,"State","SC","SREB Type",2,"SREB Type2","Four-Year")</f>
        <v>0</v>
      </c>
      <c r="C117" s="197">
        <f>+GETPIVOTDATA(" Old-Associate's",'Pivot Table for 1-11'!$A$3,"State","SC","SREB Type",2,"SREB Type2","Four-Year")</f>
        <v>0</v>
      </c>
      <c r="D117" s="197">
        <f>+GETPIVOTDATA(" Old-Bachelor's",'Pivot Table for 1-11'!$A$3,"State","SC","SREB Type",2,"SREB Type2","Four-Year")</f>
        <v>0</v>
      </c>
      <c r="E117" s="197">
        <f>+GETPIVOTDATA(" Old-Post-Bachelor's",'Pivot Table for 1-11'!$A$3,"State","SC","SREB Type",2,"SREB Type2","Four-Year")</f>
        <v>0</v>
      </c>
      <c r="F117" s="197">
        <f>+GETPIVOTDATA(" Old-Total Master's#",'Pivot Table for 1-11'!$A$3,"State","SC","SREB Type",2,"SREB Type2","Four-Year")</f>
        <v>0</v>
      </c>
      <c r="G117" s="197">
        <f>+GETPIVOTDATA(" Old-Total Doctorates#",'Pivot Table for 1-11'!$A$3,"State","SC","SREB Type",2,"SREB Type2","Four-Year")</f>
        <v>0</v>
      </c>
      <c r="H117" s="230">
        <f>+GETPIVOTDATA(" Old-Law",'Pivot Table for 1-11'!$A$3,"State","SC","SREB Type",2,"SREB Type2","Four-Year")</f>
        <v>0</v>
      </c>
      <c r="I117" s="197">
        <f>+GETPIVOTDATA(" Old-Medicine",'Pivot Table for 1-11'!$A$3,"State","SC","SREB Type",2,"SREB Type2","Four-Year")</f>
        <v>0</v>
      </c>
      <c r="J117" s="197">
        <f>+GETPIVOTDATA(" Old-Dentistry",'Pivot Table for 1-11'!$A$3,"State","SC","SREB Type",2,"SREB Type2","Four-Year")</f>
        <v>0</v>
      </c>
      <c r="K117" s="197">
        <f>+GETPIVOTDATA(" Old-Pharmacy",'Pivot Table for 1-11'!$A$3,"State","SC","SREB Type",2,"SREB Type2","Four-Year")</f>
        <v>0</v>
      </c>
      <c r="L117" s="197">
        <f>+GETPIVOTDATA(" Old-Optometry",'Pivot Table for 1-11'!$A$3,"State","SC","SREB Type",2,"SREB Type2","Four-Year")</f>
        <v>0</v>
      </c>
      <c r="M117" s="197">
        <f>+GETPIVOTDATA(" Old-Osteopathic Medicine",'Pivot Table for 1-11'!$A$3,"State","SC","SREB Type",2,"SREB Type2","Four-Year")</f>
        <v>0</v>
      </c>
      <c r="N117" s="197">
        <f>+GETPIVOTDATA(" Old-Veterinary Medicine",'Pivot Table for 1-11'!$A$3,"State","SC","SREB Type",2,"SREB Type2","Four-Year")</f>
        <v>0</v>
      </c>
      <c r="O117" s="198">
        <f>+GETPIVOTDATA(" Old-Oth PP",'Pivot Table for 1-11'!$A$3,"State","SC","SREB Type",2,"SREB Type2","Four-Year")</f>
        <v>0</v>
      </c>
      <c r="P117" s="199">
        <f t="shared" si="2"/>
        <v>0</v>
      </c>
    </row>
    <row r="118" spans="1:16" ht="15" customHeight="1">
      <c r="A118" s="196"/>
      <c r="B118" s="197"/>
      <c r="C118" s="197"/>
      <c r="D118" s="197"/>
      <c r="E118" s="197"/>
      <c r="F118" s="197"/>
      <c r="G118" s="197"/>
      <c r="H118" s="230"/>
      <c r="I118" s="197"/>
      <c r="J118" s="197"/>
      <c r="K118" s="197"/>
      <c r="L118" s="197"/>
      <c r="M118" s="197"/>
      <c r="N118" s="197"/>
      <c r="O118" s="198"/>
      <c r="P118" s="199"/>
    </row>
    <row r="119" spans="1:16" ht="15" customHeight="1">
      <c r="A119" s="196" t="s">
        <v>33</v>
      </c>
      <c r="B119" s="197">
        <f>+GETPIVOTDATA(" Old-Less Than 2-Year",'Pivot Table for 1-11'!$A$3,"State","TN","SREB Type",2,"SREB Type2","Four-Year")+GETPIVOTDATA(" Old-2 But Less Than 4-Year",'Pivot Table for 1-11'!$A$3,"State","TN","SREB Type",2,"SREB Type2","Four-Year")</f>
        <v>0</v>
      </c>
      <c r="C119" s="197">
        <f>+GETPIVOTDATA(" Old-Associate's",'Pivot Table for 1-11'!$A$3,"State","TN","SREB Type",2,"SREB Type2","Four-Year")</f>
        <v>41</v>
      </c>
      <c r="D119" s="197">
        <f>+GETPIVOTDATA(" Old-Bachelor's",'Pivot Table for 1-11'!$A$3,"State","TN","SREB Type",2,"SREB Type2","Four-Year")</f>
        <v>7586</v>
      </c>
      <c r="E119" s="197">
        <f>+GETPIVOTDATA(" Old-Post-Bachelor's",'Pivot Table for 1-11'!$A$3,"State","TN","SREB Type",2,"SREB Type2","Four-Year")</f>
        <v>0</v>
      </c>
      <c r="F119" s="197">
        <f>+GETPIVOTDATA(" Old-Total Master's#",'Pivot Table for 1-11'!$A$3,"State","TN","SREB Type",2,"SREB Type2","Four-Year")</f>
        <v>1831</v>
      </c>
      <c r="G119" s="197">
        <f>+GETPIVOTDATA(" Old-Total Doctorates#",'Pivot Table for 1-11'!$A$3,"State","TN","SREB Type",2,"SREB Type2","Four-Year")</f>
        <v>248</v>
      </c>
      <c r="H119" s="230">
        <f>+GETPIVOTDATA(" Old-Law",'Pivot Table for 1-11'!$A$3,"State","TN","SREB Type",2,"SREB Type2","Four-Year")</f>
        <v>0</v>
      </c>
      <c r="I119" s="197">
        <f>+GETPIVOTDATA(" Old-Medicine",'Pivot Table for 1-11'!$A$3,"State","TN","SREB Type",2,"SREB Type2","Four-Year")</f>
        <v>60</v>
      </c>
      <c r="J119" s="197">
        <f>+GETPIVOTDATA(" Old-Dentistry",'Pivot Table for 1-11'!$A$3,"State","TN","SREB Type",2,"SREB Type2","Four-Year")</f>
        <v>0</v>
      </c>
      <c r="K119" s="197">
        <f>+GETPIVOTDATA(" Old-Pharmacy",'Pivot Table for 1-11'!$A$3,"State","TN","SREB Type",2,"SREB Type2","Four-Year")</f>
        <v>74</v>
      </c>
      <c r="L119" s="197">
        <f>+GETPIVOTDATA(" Old-Optometry",'Pivot Table for 1-11'!$A$3,"State","TN","SREB Type",2,"SREB Type2","Four-Year")</f>
        <v>0</v>
      </c>
      <c r="M119" s="197">
        <f>+GETPIVOTDATA(" Old-Osteopathic Medicine",'Pivot Table for 1-11'!$A$3,"State","TN","SREB Type",2,"SREB Type2","Four-Year")</f>
        <v>0</v>
      </c>
      <c r="N119" s="197">
        <f>+GETPIVOTDATA(" Old-Veterinary Medicine",'Pivot Table for 1-11'!$A$3,"State","TN","SREB Type",2,"SREB Type2","Four-Year")</f>
        <v>0</v>
      </c>
      <c r="O119" s="198">
        <f>+GETPIVOTDATA(" Old-Oth PP",'Pivot Table for 1-11'!$A$3,"State","TN","SREB Type",2,"SREB Type2","Four-Year")</f>
        <v>0</v>
      </c>
      <c r="P119" s="199">
        <f t="shared" si="2"/>
        <v>9840</v>
      </c>
    </row>
    <row r="120" spans="1:16" ht="15" customHeight="1">
      <c r="A120" s="196" t="s">
        <v>34</v>
      </c>
      <c r="B120" s="197">
        <f>+GETPIVOTDATA(" Old-Less Than 2-Year",'Pivot Table for 1-11'!$A$3,"State","TX","SREB Type",2,"SREB Type2","Four-Year")+GETPIVOTDATA(" Old-2 But Less Than 4-Year",'Pivot Table for 1-11'!$A$3,"State","TX","SREB Type",2,"SREB Type2","Four-Year")</f>
        <v>0</v>
      </c>
      <c r="C120" s="197">
        <f>+GETPIVOTDATA(" Old-Associate's",'Pivot Table for 1-11'!$A$3,"State","TX","SREB Type",2,"SREB Type2","Four-Year")</f>
        <v>0</v>
      </c>
      <c r="D120" s="197">
        <f>+GETPIVOTDATA(" Old-Bachelor's",'Pivot Table for 1-11'!$A$3,"State","TX","SREB Type",2,"SREB Type2","Four-Year")</f>
        <v>13107</v>
      </c>
      <c r="E120" s="197">
        <f>+GETPIVOTDATA(" Old-Post-Bachelor's",'Pivot Table for 1-11'!$A$3,"State","TX","SREB Type",2,"SREB Type2","Four-Year")</f>
        <v>0</v>
      </c>
      <c r="F120" s="197">
        <f>+GETPIVOTDATA(" Old-Total Master's#",'Pivot Table for 1-11'!$A$3,"State","TX","SREB Type",2,"SREB Type2","Four-Year")</f>
        <v>4098</v>
      </c>
      <c r="G120" s="197">
        <f>+GETPIVOTDATA(" Old-Total Doctorates#",'Pivot Table for 1-11'!$A$3,"State","TX","SREB Type",2,"SREB Type2","Four-Year")</f>
        <v>284</v>
      </c>
      <c r="H120" s="230">
        <f>+GETPIVOTDATA(" Old-Law",'Pivot Table for 1-11'!$A$3,"State","TX","SREB Type",2,"SREB Type2","Four-Year")</f>
        <v>0</v>
      </c>
      <c r="I120" s="197">
        <f>+GETPIVOTDATA(" Old-Medicine",'Pivot Table for 1-11'!$A$3,"State","TX","SREB Type",2,"SREB Type2","Four-Year")</f>
        <v>0</v>
      </c>
      <c r="J120" s="197">
        <f>+GETPIVOTDATA(" Old-Dentistry",'Pivot Table for 1-11'!$A$3,"State","TX","SREB Type",2,"SREB Type2","Four-Year")</f>
        <v>0</v>
      </c>
      <c r="K120" s="197">
        <f>+GETPIVOTDATA(" Old-Pharmacy",'Pivot Table for 1-11'!$A$3,"State","TX","SREB Type",2,"SREB Type2","Four-Year")</f>
        <v>0</v>
      </c>
      <c r="L120" s="197">
        <f>+GETPIVOTDATA(" Old-Optometry",'Pivot Table for 1-11'!$A$3,"State","TX","SREB Type",2,"SREB Type2","Four-Year")</f>
        <v>0</v>
      </c>
      <c r="M120" s="197">
        <f>+GETPIVOTDATA(" Old-Osteopathic Medicine",'Pivot Table for 1-11'!$A$3,"State","TX","SREB Type",2,"SREB Type2","Four-Year")</f>
        <v>0</v>
      </c>
      <c r="N120" s="197">
        <f>+GETPIVOTDATA(" Old-Veterinary Medicine",'Pivot Table for 1-11'!$A$3,"State","TX","SREB Type",2,"SREB Type2","Four-Year")</f>
        <v>0</v>
      </c>
      <c r="O120" s="198">
        <f>+GETPIVOTDATA(" Old-Oth PP",'Pivot Table for 1-11'!$A$3,"State","TX","SREB Type",2,"SREB Type2","Four-Year")</f>
        <v>167</v>
      </c>
      <c r="P120" s="199">
        <f t="shared" si="2"/>
        <v>17656</v>
      </c>
    </row>
    <row r="121" spans="1:16" ht="15" customHeight="1">
      <c r="A121" s="196" t="s">
        <v>35</v>
      </c>
      <c r="B121" s="197">
        <f>+GETPIVOTDATA(" Old-Less Than 2-Year",'Pivot Table for 1-11'!$A$3,"State","VA","SREB Type",2,"SREB Type2","Four-Year")+GETPIVOTDATA(" Old-2 But Less Than 4-Year",'Pivot Table for 1-11'!$A$3,"State","VA","SREB Type",2,"SREB Type2","Four-Year")</f>
        <v>0</v>
      </c>
      <c r="C121" s="197">
        <f>+GETPIVOTDATA(" Old-Associate's",'Pivot Table for 1-11'!$A$3,"State","VA","SREB Type",2,"SREB Type2","Four-Year")</f>
        <v>0</v>
      </c>
      <c r="D121" s="197">
        <f>+GETPIVOTDATA(" Old-Bachelor's",'Pivot Table for 1-11'!$A$3,"State","VA","SREB Type",2,"SREB Type2","Four-Year")</f>
        <v>1653</v>
      </c>
      <c r="E121" s="197">
        <f>+GETPIVOTDATA(" Old-Post-Bachelor's",'Pivot Table for 1-11'!$A$3,"State","VA","SREB Type",2,"SREB Type2","Four-Year")</f>
        <v>9</v>
      </c>
      <c r="F121" s="197">
        <f>+GETPIVOTDATA(" Old-Total Master's#",'Pivot Table for 1-11'!$A$3,"State","VA","SREB Type",2,"SREB Type2","Four-Year")</f>
        <v>743</v>
      </c>
      <c r="G121" s="197">
        <f>+GETPIVOTDATA(" Old-Total Doctorates#",'Pivot Table for 1-11'!$A$3,"State","VA","SREB Type",2,"SREB Type2","Four-Year")</f>
        <v>85</v>
      </c>
      <c r="H121" s="230">
        <f>+GETPIVOTDATA(" Old-Law",'Pivot Table for 1-11'!$A$3,"State","VA","SREB Type",2,"SREB Type2","Four-Year")</f>
        <v>230</v>
      </c>
      <c r="I121" s="197">
        <f>+GETPIVOTDATA(" Old-Medicine",'Pivot Table for 1-11'!$A$3,"State","VA","SREB Type",2,"SREB Type2","Four-Year")</f>
        <v>0</v>
      </c>
      <c r="J121" s="197">
        <f>+GETPIVOTDATA(" Old-Dentistry",'Pivot Table for 1-11'!$A$3,"State","VA","SREB Type",2,"SREB Type2","Four-Year")</f>
        <v>0</v>
      </c>
      <c r="K121" s="197">
        <f>+GETPIVOTDATA(" Old-Pharmacy",'Pivot Table for 1-11'!$A$3,"State","VA","SREB Type",2,"SREB Type2","Four-Year")</f>
        <v>0</v>
      </c>
      <c r="L121" s="197">
        <f>+GETPIVOTDATA(" Old-Optometry",'Pivot Table for 1-11'!$A$3,"State","VA","SREB Type",2,"SREB Type2","Four-Year")</f>
        <v>0</v>
      </c>
      <c r="M121" s="197">
        <f>+GETPIVOTDATA(" Old-Osteopathic Medicine",'Pivot Table for 1-11'!$A$3,"State","VA","SREB Type",2,"SREB Type2","Four-Year")</f>
        <v>0</v>
      </c>
      <c r="N121" s="197">
        <f>+GETPIVOTDATA(" Old-Veterinary Medicine",'Pivot Table for 1-11'!$A$3,"State","VA","SREB Type",2,"SREB Type2","Four-Year")</f>
        <v>0</v>
      </c>
      <c r="O121" s="198">
        <f>+GETPIVOTDATA(" Old-Oth PP",'Pivot Table for 1-11'!$A$3,"State","VA","SREB Type",2,"SREB Type2","Four-Year")</f>
        <v>0</v>
      </c>
      <c r="P121" s="199">
        <f t="shared" si="2"/>
        <v>2720</v>
      </c>
    </row>
    <row r="122" spans="1:16" ht="15" customHeight="1">
      <c r="A122" s="200" t="s">
        <v>36</v>
      </c>
      <c r="B122" s="201">
        <f>+GETPIVOTDATA(" Old-Less Than 2-Year",'Pivot Table for 1-11'!$A$3,"State","WV","SREB Type",2,"SREB Type2","Four-Year")+GETPIVOTDATA(" Old-2 But Less Than 4-Year",'Pivot Table for 1-11'!$A$3,"State","WV","SREB Type",2,"SREB Type2","Four-Year")</f>
        <v>0</v>
      </c>
      <c r="C122" s="201">
        <f>+GETPIVOTDATA(" Old-Associate's",'Pivot Table for 1-11'!$A$3,"State","WV","SREB Type",2,"SREB Type2","Four-Year")</f>
        <v>0</v>
      </c>
      <c r="D122" s="201">
        <f>+GETPIVOTDATA(" Old-Bachelor's",'Pivot Table for 1-11'!$A$3,"State","WV","SREB Type",2,"SREB Type2","Four-Year")</f>
        <v>0</v>
      </c>
      <c r="E122" s="201">
        <f>+GETPIVOTDATA(" Old-Post-Bachelor's",'Pivot Table for 1-11'!$A$3,"State","WV","SREB Type",2,"SREB Type2","Four-Year")</f>
        <v>0</v>
      </c>
      <c r="F122" s="201">
        <f>+GETPIVOTDATA(" Old-Total Master's#",'Pivot Table for 1-11'!$A$3,"State","WV","SREB Type",2,"SREB Type2","Four-Year")</f>
        <v>0</v>
      </c>
      <c r="G122" s="201">
        <f>+GETPIVOTDATA(" Old-Total Doctorates#",'Pivot Table for 1-11'!$A$3,"State","WV","SREB Type",2,"SREB Type2","Four-Year")</f>
        <v>0</v>
      </c>
      <c r="H122" s="202">
        <f>+GETPIVOTDATA(" Old-Law",'Pivot Table for 1-11'!$A$3,"State","WV","SREB Type",2,"SREB Type2","Four-Year")</f>
        <v>0</v>
      </c>
      <c r="I122" s="201">
        <f>+GETPIVOTDATA(" Old-Medicine",'Pivot Table for 1-11'!$A$3,"State","WV","SREB Type",2,"SREB Type2","Four-Year")</f>
        <v>0</v>
      </c>
      <c r="J122" s="201">
        <f>+GETPIVOTDATA(" Old-Dentistry",'Pivot Table for 1-11'!$A$3,"State","WV","SREB Type",2,"SREB Type2","Four-Year")</f>
        <v>0</v>
      </c>
      <c r="K122" s="201">
        <f>+GETPIVOTDATA(" Old-Pharmacy",'Pivot Table for 1-11'!$A$3,"State","WV","SREB Type",2,"SREB Type2","Four-Year")</f>
        <v>0</v>
      </c>
      <c r="L122" s="201">
        <f>+GETPIVOTDATA(" Old-Optometry",'Pivot Table for 1-11'!$A$3,"State","WV","SREB Type",2,"SREB Type2","Four-Year")</f>
        <v>0</v>
      </c>
      <c r="M122" s="201">
        <f>+GETPIVOTDATA(" Old-Osteopathic Medicine",'Pivot Table for 1-11'!$A$3,"State","WV","SREB Type",2,"SREB Type2","Four-Year")</f>
        <v>0</v>
      </c>
      <c r="N122" s="201">
        <f>+GETPIVOTDATA(" Old-Veterinary Medicine",'Pivot Table for 1-11'!$A$3,"State","WV","SREB Type",2,"SREB Type2","Four-Year")</f>
        <v>0</v>
      </c>
      <c r="O122" s="319">
        <f>+GETPIVOTDATA(" Old-Oth PP",'Pivot Table for 1-11'!$A$3,"State","WV","SREB Type",2,"SREB Type2","Four-Year")</f>
        <v>0</v>
      </c>
      <c r="P122" s="203">
        <f t="shared" si="2"/>
        <v>0</v>
      </c>
    </row>
    <row r="123" spans="1:16" ht="15" customHeight="1">
      <c r="B123" s="197"/>
      <c r="C123" s="197"/>
      <c r="D123" s="197"/>
      <c r="E123" s="197"/>
      <c r="F123" s="197"/>
      <c r="G123" s="197"/>
      <c r="H123" s="197"/>
      <c r="I123" s="197"/>
      <c r="J123" s="197"/>
      <c r="K123" s="197"/>
      <c r="L123" s="197"/>
      <c r="M123" s="197"/>
      <c r="N123" s="197"/>
      <c r="O123" s="197"/>
      <c r="P123" s="197"/>
    </row>
    <row r="124" spans="1:16" ht="24" customHeight="1">
      <c r="A124" s="545" t="s">
        <v>37</v>
      </c>
      <c r="B124" s="546"/>
      <c r="C124" s="546"/>
      <c r="D124" s="546"/>
      <c r="E124" s="546"/>
      <c r="F124" s="546"/>
      <c r="G124" s="546"/>
      <c r="H124" s="546"/>
      <c r="I124" s="546"/>
      <c r="J124" s="546"/>
      <c r="K124" s="546"/>
      <c r="L124" s="546"/>
      <c r="M124" s="546"/>
      <c r="N124" s="546"/>
      <c r="O124" s="546"/>
      <c r="P124" s="546"/>
    </row>
    <row r="125" spans="1:16">
      <c r="P125" s="204" t="s">
        <v>1178</v>
      </c>
    </row>
    <row r="126" spans="1:16" ht="18">
      <c r="A126" s="186" t="s">
        <v>47</v>
      </c>
      <c r="B126" s="187"/>
      <c r="C126" s="187"/>
      <c r="D126" s="187"/>
      <c r="E126" s="187"/>
      <c r="F126" s="187"/>
      <c r="G126" s="187"/>
      <c r="H126" s="187"/>
      <c r="I126" s="187"/>
      <c r="J126" s="187"/>
      <c r="K126" s="187"/>
      <c r="L126" s="187"/>
      <c r="M126" s="187"/>
      <c r="N126" s="187"/>
      <c r="O126" s="187"/>
      <c r="P126" s="187"/>
    </row>
    <row r="127" spans="1:16" ht="15.75" customHeight="1">
      <c r="A127" s="188"/>
      <c r="B127" s="188"/>
      <c r="C127" s="188"/>
      <c r="D127" s="188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8"/>
    </row>
    <row r="128" spans="1:16" ht="15.5">
      <c r="A128" s="187" t="s">
        <v>2</v>
      </c>
      <c r="B128" s="187"/>
      <c r="C128" s="187"/>
      <c r="D128" s="187"/>
      <c r="E128" s="187"/>
      <c r="F128" s="187"/>
      <c r="G128" s="187"/>
      <c r="H128" s="187"/>
      <c r="I128" s="187"/>
      <c r="J128" s="187"/>
      <c r="K128" s="187"/>
      <c r="L128" s="187"/>
      <c r="M128" s="187"/>
      <c r="N128" s="187"/>
      <c r="O128" s="187"/>
      <c r="P128" s="187"/>
    </row>
    <row r="129" spans="1:16" ht="15.5">
      <c r="A129" s="187" t="s">
        <v>48</v>
      </c>
      <c r="B129" s="187"/>
      <c r="C129" s="187"/>
      <c r="D129" s="187"/>
      <c r="E129" s="187"/>
      <c r="F129" s="187"/>
      <c r="G129" s="187"/>
      <c r="H129" s="187"/>
      <c r="I129" s="187"/>
      <c r="J129" s="187"/>
      <c r="K129" s="187"/>
      <c r="L129" s="187"/>
      <c r="M129" s="187"/>
      <c r="N129" s="187"/>
      <c r="O129" s="187"/>
      <c r="P129" s="187"/>
    </row>
    <row r="130" spans="1:16" ht="15.5">
      <c r="A130" s="189"/>
      <c r="B130" s="189"/>
      <c r="C130" s="189"/>
      <c r="D130" s="189"/>
      <c r="E130" s="189"/>
      <c r="F130" s="189"/>
      <c r="G130" s="189"/>
      <c r="H130" s="189"/>
      <c r="I130" s="189"/>
      <c r="J130" s="189"/>
      <c r="K130" s="189"/>
      <c r="L130" s="189"/>
      <c r="M130" s="189"/>
      <c r="N130" s="189"/>
      <c r="O130" s="189"/>
      <c r="P130" s="189"/>
    </row>
    <row r="131" spans="1:16" ht="15.5">
      <c r="A131" s="190"/>
      <c r="B131" s="190"/>
      <c r="C131" s="190"/>
      <c r="D131" s="190"/>
      <c r="E131" s="190"/>
      <c r="F131" s="190"/>
      <c r="G131" s="190"/>
      <c r="H131" s="326" t="s">
        <v>4</v>
      </c>
      <c r="I131" s="191"/>
      <c r="J131" s="191"/>
      <c r="K131" s="191"/>
      <c r="L131" s="191"/>
      <c r="M131" s="191"/>
      <c r="N131" s="191"/>
      <c r="O131" s="327"/>
      <c r="P131" s="192" t="s">
        <v>1</v>
      </c>
    </row>
    <row r="132" spans="1:16" ht="41.25" customHeight="1">
      <c r="A132" s="193"/>
      <c r="B132" s="194" t="s">
        <v>5</v>
      </c>
      <c r="C132" s="194" t="s">
        <v>6</v>
      </c>
      <c r="D132" s="194" t="s">
        <v>7</v>
      </c>
      <c r="E132" s="194" t="s">
        <v>8</v>
      </c>
      <c r="F132" s="194" t="s">
        <v>9</v>
      </c>
      <c r="G132" s="194" t="s">
        <v>10</v>
      </c>
      <c r="H132" s="195" t="s">
        <v>11</v>
      </c>
      <c r="I132" s="194" t="s">
        <v>81</v>
      </c>
      <c r="J132" s="194" t="s">
        <v>13</v>
      </c>
      <c r="K132" s="194" t="s">
        <v>14</v>
      </c>
      <c r="L132" s="194" t="s">
        <v>15</v>
      </c>
      <c r="M132" s="194" t="s">
        <v>16</v>
      </c>
      <c r="N132" s="194" t="s">
        <v>82</v>
      </c>
      <c r="O132" s="328" t="s">
        <v>83</v>
      </c>
      <c r="P132" s="194" t="s">
        <v>19</v>
      </c>
    </row>
    <row r="133" spans="1:16" ht="15" customHeight="1">
      <c r="A133" s="196" t="s">
        <v>20</v>
      </c>
      <c r="B133" s="197">
        <f>+GETPIVOTDATA(" Old-Less Than 2-Year",'Pivot Table for 1-11'!$A$3,"SREB Type",3,"SREB Type2","Four-Year")+GETPIVOTDATA(" Old-2 But Less Than 4-Year",'Pivot Table for 1-11'!$A$3,"SREB Type",3,"SREB Type2","Four-Year")</f>
        <v>1891</v>
      </c>
      <c r="C133" s="197">
        <f>+GETPIVOTDATA(" Old-Associate's",'Pivot Table for 1-11'!$A$3,"SREB Type",3,"SREB Type2","Four-Year")</f>
        <v>3379</v>
      </c>
      <c r="D133" s="197">
        <f>+GETPIVOTDATA(" Old-Bachelor's",'Pivot Table for 1-11'!$A$3,"SREB Type",3,"SREB Type2","Four-Year")</f>
        <v>103267</v>
      </c>
      <c r="E133" s="197">
        <f>+GETPIVOTDATA(" Old-Post-Bachelor's",'Pivot Table for 1-11'!$A$3,"SREB Type",3,"SREB Type2","Four-Year")</f>
        <v>962</v>
      </c>
      <c r="F133" s="197">
        <f>+GETPIVOTDATA(" Old-Total Master's#",'Pivot Table for 1-11'!$A$3,"SREB Type",3,"SREB Type2","Four-Year")</f>
        <v>34652</v>
      </c>
      <c r="G133" s="197">
        <f>+GETPIVOTDATA(" Old-Total Doctorates#",'Pivot Table for 1-11'!$A$3,"SREB Type",3,"SREB Type2","Four-Year")</f>
        <v>1084</v>
      </c>
      <c r="H133" s="230">
        <f>+GETPIVOTDATA(" Old-Law",'Pivot Table for 1-11'!$A$3,"SREB Type",3,"SREB Type2","Four-Year")</f>
        <v>421</v>
      </c>
      <c r="I133" s="197">
        <f>+GETPIVOTDATA(" Old-Medicine",'Pivot Table for 1-11'!$A$3,"SREB Type",3,"SREB Type2","Four-Year")</f>
        <v>60</v>
      </c>
      <c r="J133" s="197">
        <f>+GETPIVOTDATA(" Old-Dentistry",'Pivot Table for 1-11'!$A$3,"SREB Type",3,"SREB Type2","Four-Year")</f>
        <v>0</v>
      </c>
      <c r="K133" s="197">
        <f>+GETPIVOTDATA(" Old-Pharmacy",'Pivot Table for 1-11'!$A$3,"SREB Type",3,"SREB Type2","Four-Year")</f>
        <v>340</v>
      </c>
      <c r="L133" s="197">
        <f>+GETPIVOTDATA(" Old-Optometry",'Pivot Table for 1-11'!$A$3,"SREB Type",3,"SREB Type2","Four-Year")</f>
        <v>0</v>
      </c>
      <c r="M133" s="197">
        <f>+GETPIVOTDATA(" Old-Osteopathic Medicine",'Pivot Table for 1-11'!$A$3,"SREB Type",3,"SREB Type2","Four-Year")</f>
        <v>0</v>
      </c>
      <c r="N133" s="197">
        <f>+GETPIVOTDATA(" Old-Veterinary Medicine",'Pivot Table for 1-11'!$A$3,"SREB Type",3,"SREB Type2","Four-Year")</f>
        <v>0</v>
      </c>
      <c r="O133" s="198">
        <f>+GETPIVOTDATA(" Old-Oth PP",'Pivot Table for 1-11'!$A$3,"SREB Type",3,"SREB Type2","Four-Year")</f>
        <v>410</v>
      </c>
      <c r="P133" s="199">
        <f>SUM(B133:O133)</f>
        <v>146466</v>
      </c>
    </row>
    <row r="134" spans="1:16" ht="15" customHeight="1">
      <c r="A134" s="196"/>
      <c r="B134" s="197"/>
      <c r="C134" s="197"/>
      <c r="D134" s="197"/>
      <c r="E134" s="197"/>
      <c r="F134" s="197"/>
      <c r="G134" s="197"/>
      <c r="H134" s="230"/>
      <c r="I134" s="197"/>
      <c r="J134" s="197"/>
      <c r="K134" s="197"/>
      <c r="L134" s="197"/>
      <c r="M134" s="197"/>
      <c r="N134" s="197"/>
      <c r="O134" s="198"/>
      <c r="P134" s="199"/>
    </row>
    <row r="135" spans="1:16" ht="15" customHeight="1">
      <c r="A135" s="196" t="s">
        <v>21</v>
      </c>
      <c r="B135" s="197">
        <f>GETPIVOTDATA(" Old-Less Than 2-Year",'Pivot Table for 1-11'!$A$3,"State","AL","SREB Type",3,"SREB Type2","Four-Year")+GETPIVOTDATA(" Old-2 But Less Than 4-Year",'Pivot Table for 1-11'!$A$3,"State","AL","SREB Type",3,"SREB Type2","Four-Year")</f>
        <v>7</v>
      </c>
      <c r="C135" s="197">
        <f>+GETPIVOTDATA(" Old-Associate's",'Pivot Table for 1-11'!$A$3,"State","AL","SREB Type",3,"SREB Type2","Four-Year")</f>
        <v>295</v>
      </c>
      <c r="D135" s="197">
        <f>+GETPIVOTDATA(" Old-Bachelor's",'Pivot Table for 1-11'!$A$3,"State","AL","SREB Type",3,"SREB Type2","Four-Year")</f>
        <v>6019</v>
      </c>
      <c r="E135" s="197">
        <f>+GETPIVOTDATA(" Old-Post-Bachelor's",'Pivot Table for 1-11'!$A$3,"State","AL","SREB Type",3,"SREB Type2","Four-Year")</f>
        <v>59</v>
      </c>
      <c r="F135" s="197">
        <f>+GETPIVOTDATA(" Old-Total Master's#",'Pivot Table for 1-11'!$A$3,"State","AL","SREB Type",3,"SREB Type2","Four-Year")</f>
        <v>2309</v>
      </c>
      <c r="G135" s="197">
        <f>+GETPIVOTDATA(" Old-Total Doctorates#",'Pivot Table for 1-11'!$A$3,"State","AL","SREB Type",3,"SREB Type2","Four-Year")</f>
        <v>11</v>
      </c>
      <c r="H135" s="230">
        <f>+GETPIVOTDATA(" Old-Law",'Pivot Table for 1-11'!$A$3,"State","AL","SREB Type",3,"SREB Type2","Four-Year")</f>
        <v>0</v>
      </c>
      <c r="I135" s="197">
        <f>+GETPIVOTDATA(" Old-Medicine",'Pivot Table for 1-11'!$A$3,"State","AL","SREB Type",3,"SREB Type2","Four-Year")</f>
        <v>0</v>
      </c>
      <c r="J135" s="197">
        <f>+GETPIVOTDATA(" Old-Dentistry",'Pivot Table for 1-11'!$A$3,"State","AL","SREB Type",3,"SREB Type2","Four-Year")</f>
        <v>0</v>
      </c>
      <c r="K135" s="197">
        <f>+GETPIVOTDATA(" Old-Pharmacy",'Pivot Table for 1-11'!$A$3,"State","AL","SREB Type",3,"SREB Type2","Four-Year")</f>
        <v>0</v>
      </c>
      <c r="L135" s="197">
        <f>+GETPIVOTDATA(" Old-Optometry",'Pivot Table for 1-11'!$A$3,"State","AL","SREB Type",3,"SREB Type2","Four-Year")</f>
        <v>0</v>
      </c>
      <c r="M135" s="197">
        <f>+GETPIVOTDATA(" Old-Osteopathic Medicine",'Pivot Table for 1-11'!$A$3,"State","AL","SREB Type",3,"SREB Type2","Four-Year")</f>
        <v>0</v>
      </c>
      <c r="N135" s="197">
        <f>+GETPIVOTDATA(" Old-Veterinary Medicine",'Pivot Table for 1-11'!$A$3,"State","AL","SREB Type",3,"SREB Type2","Four-Year")</f>
        <v>0</v>
      </c>
      <c r="O135" s="198">
        <f>+GETPIVOTDATA(" Old-Oth PP",'Pivot Table for 1-11'!$A$3,"State","AL","SREB Type",3,"SREB Type2","Four-Year")</f>
        <v>20</v>
      </c>
      <c r="P135" s="199">
        <f t="shared" ref="P135:P153" si="3">SUM(B135:O135)</f>
        <v>8720</v>
      </c>
    </row>
    <row r="136" spans="1:16" ht="15" customHeight="1">
      <c r="A136" s="196" t="s">
        <v>22</v>
      </c>
      <c r="B136" s="197">
        <f>+GETPIVOTDATA(" Old-Less Than 2-Year",'Pivot Table for 1-11'!$A$3,"State","AR","SREB Type",3,"SREB Type2","Four-Year")+GETPIVOTDATA(" Old-2 But Less Than 4-Year",'Pivot Table for 1-11'!$A$3,"State","AR","SREB Type",3,"SREB Type2","Four-Year")</f>
        <v>1270</v>
      </c>
      <c r="C136" s="197">
        <f>+GETPIVOTDATA(" Old-Associate's",'Pivot Table for 1-11'!$A$3,"State","AR","SREB Type",3,"SREB Type2","Four-Year")</f>
        <v>1665</v>
      </c>
      <c r="D136" s="197">
        <f>+GETPIVOTDATA(" Old-Bachelor's",'Pivot Table for 1-11'!$A$3,"State","AR","SREB Type",3,"SREB Type2","Four-Year")</f>
        <v>4927</v>
      </c>
      <c r="E136" s="197">
        <f>+GETPIVOTDATA(" Old-Post-Bachelor's",'Pivot Table for 1-11'!$A$3,"State","AR","SREB Type",3,"SREB Type2","Four-Year")</f>
        <v>168</v>
      </c>
      <c r="F136" s="197">
        <f>+GETPIVOTDATA(" Old-Total Master's#",'Pivot Table for 1-11'!$A$3,"State","AR","SREB Type",3,"SREB Type2","Four-Year")</f>
        <v>3303</v>
      </c>
      <c r="G136" s="197">
        <f>+GETPIVOTDATA(" Old-Total Doctorates#",'Pivot Table for 1-11'!$A$3,"State","AR","SREB Type",3,"SREB Type2","Four-Year")</f>
        <v>44</v>
      </c>
      <c r="H136" s="230">
        <f>+GETPIVOTDATA(" Old-Law",'Pivot Table for 1-11'!$A$3,"State","AR","SREB Type",3,"SREB Type2","Four-Year")</f>
        <v>0</v>
      </c>
      <c r="I136" s="197">
        <f>+GETPIVOTDATA(" Old-Medicine",'Pivot Table for 1-11'!$A$3,"State","AR","SREB Type",3,"SREB Type2","Four-Year")</f>
        <v>0</v>
      </c>
      <c r="J136" s="197">
        <f>+GETPIVOTDATA(" Old-Dentistry",'Pivot Table for 1-11'!$A$3,"State","AR","SREB Type",3,"SREB Type2","Four-Year")</f>
        <v>0</v>
      </c>
      <c r="K136" s="197">
        <f>+GETPIVOTDATA(" Old-Pharmacy",'Pivot Table for 1-11'!$A$3,"State","AR","SREB Type",3,"SREB Type2","Four-Year")</f>
        <v>0</v>
      </c>
      <c r="L136" s="197">
        <f>+GETPIVOTDATA(" Old-Optometry",'Pivot Table for 1-11'!$A$3,"State","AR","SREB Type",3,"SREB Type2","Four-Year")</f>
        <v>0</v>
      </c>
      <c r="M136" s="197">
        <f>+GETPIVOTDATA(" Old-Osteopathic Medicine",'Pivot Table for 1-11'!$A$3,"State","AR","SREB Type",3,"SREB Type2","Four-Year")</f>
        <v>0</v>
      </c>
      <c r="N136" s="197">
        <f>+GETPIVOTDATA(" Old-Veterinary Medicine",'Pivot Table for 1-11'!$A$3,"State","AR","SREB Type",3,"SREB Type2","Four-Year")</f>
        <v>0</v>
      </c>
      <c r="O136" s="198">
        <f>+GETPIVOTDATA(" Old-Oth PP",'Pivot Table for 1-11'!$A$3,"State","AR","SREB Type",3,"SREB Type2","Four-Year")</f>
        <v>108</v>
      </c>
      <c r="P136" s="199">
        <f t="shared" si="3"/>
        <v>11485</v>
      </c>
    </row>
    <row r="137" spans="1:16" ht="15" customHeight="1">
      <c r="A137" s="196" t="s">
        <v>23</v>
      </c>
      <c r="B137" s="197">
        <f>+GETPIVOTDATA(" Old-Less Than 2-Year",'Pivot Table for 1-11'!$A$3,"State","DE","SREB Type",3,"SREB Type2","Four-Year")+GETPIVOTDATA(" Old-2 But Less Than 4-Year",'Pivot Table for 1-11'!$A$3,"State","DE","SREB Type",3,"SREB Type2","Four-Year")</f>
        <v>0</v>
      </c>
      <c r="C137" s="197">
        <f>+GETPIVOTDATA(" Old-Associate's",'Pivot Table for 1-11'!$A$3,"State","DE","SREB Type",3,"SREB Type2","Four-Year")</f>
        <v>0</v>
      </c>
      <c r="D137" s="197">
        <f>+GETPIVOTDATA(" Old-Bachelor's",'Pivot Table for 1-11'!$A$3,"State","DE","SREB Type",3,"SREB Type2","Four-Year")</f>
        <v>658</v>
      </c>
      <c r="E137" s="197">
        <f>+GETPIVOTDATA(" Old-Post-Bachelor's",'Pivot Table for 1-11'!$A$3,"State","DE","SREB Type",3,"SREB Type2","Four-Year")</f>
        <v>0</v>
      </c>
      <c r="F137" s="197">
        <f>+GETPIVOTDATA(" Old-Total Master's#",'Pivot Table for 1-11'!$A$3,"State","DE","SREB Type",3,"SREB Type2","Four-Year")</f>
        <v>89</v>
      </c>
      <c r="G137" s="197">
        <f>+GETPIVOTDATA(" Old-Total Doctorates#",'Pivot Table for 1-11'!$A$3,"State","DE","SREB Type",3,"SREB Type2","Four-Year")</f>
        <v>14</v>
      </c>
      <c r="H137" s="230">
        <f>+GETPIVOTDATA(" Old-Law",'Pivot Table for 1-11'!$A$3,"State","DE","SREB Type",3,"SREB Type2","Four-Year")</f>
        <v>0</v>
      </c>
      <c r="I137" s="197">
        <f>+GETPIVOTDATA(" Old-Medicine",'Pivot Table for 1-11'!$A$3,"State","DE","SREB Type",3,"SREB Type2","Four-Year")</f>
        <v>0</v>
      </c>
      <c r="J137" s="197">
        <f>+GETPIVOTDATA(" Old-Dentistry",'Pivot Table for 1-11'!$A$3,"State","DE","SREB Type",3,"SREB Type2","Four-Year")</f>
        <v>0</v>
      </c>
      <c r="K137" s="197">
        <f>+GETPIVOTDATA(" Old-Pharmacy",'Pivot Table for 1-11'!$A$3,"State","DE","SREB Type",3,"SREB Type2","Four-Year")</f>
        <v>0</v>
      </c>
      <c r="L137" s="197">
        <f>+GETPIVOTDATA(" Old-Optometry",'Pivot Table for 1-11'!$A$3,"State","DE","SREB Type",3,"SREB Type2","Four-Year")</f>
        <v>0</v>
      </c>
      <c r="M137" s="197">
        <f>+GETPIVOTDATA(" Old-Osteopathic Medicine",'Pivot Table for 1-11'!$A$3,"State","DE","SREB Type",3,"SREB Type2","Four-Year")</f>
        <v>0</v>
      </c>
      <c r="N137" s="197">
        <f>+GETPIVOTDATA(" Old-Veterinary Medicine",'Pivot Table for 1-11'!$A$3,"State","DE","SREB Type",3,"SREB Type2","Four-Year")</f>
        <v>0</v>
      </c>
      <c r="O137" s="198">
        <f>+GETPIVOTDATA(" Old-Oth PP",'Pivot Table for 1-11'!$A$3,"State","DE","SREB Type",3,"SREB Type2","Four-Year")</f>
        <v>0</v>
      </c>
      <c r="P137" s="199">
        <f t="shared" si="3"/>
        <v>761</v>
      </c>
    </row>
    <row r="138" spans="1:16" ht="15" customHeight="1">
      <c r="A138" s="196" t="s">
        <v>24</v>
      </c>
      <c r="B138" s="197">
        <f>+GETPIVOTDATA(" Old-Less Than 2-Year",'Pivot Table for 1-11'!$A$3,"State","FL","SREB Type",3,"SREB Type2","Four-Year")+GETPIVOTDATA(" Old-2 But Less Than 4-Year",'Pivot Table for 1-11'!$A$3,"State","FL","SREB Type",3,"SREB Type2","Four-Year")</f>
        <v>0</v>
      </c>
      <c r="C138" s="197">
        <f>+GETPIVOTDATA(" Old-Associate's",'Pivot Table for 1-11'!$A$3,"State","FL","SREB Type",3,"SREB Type2","Four-Year")</f>
        <v>0</v>
      </c>
      <c r="D138" s="197">
        <f>+GETPIVOTDATA(" Old-Bachelor's",'Pivot Table for 1-11'!$A$3,"State","FL","SREB Type",3,"SREB Type2","Four-Year")</f>
        <v>0</v>
      </c>
      <c r="E138" s="197">
        <f>+GETPIVOTDATA(" Old-Post-Bachelor's",'Pivot Table for 1-11'!$A$3,"State","FL","SREB Type",3,"SREB Type2","Four-Year")</f>
        <v>0</v>
      </c>
      <c r="F138" s="197">
        <f>+GETPIVOTDATA(" Old-Total Master's#",'Pivot Table for 1-11'!$A$3,"State","FL","SREB Type",3,"SREB Type2","Four-Year")</f>
        <v>0</v>
      </c>
      <c r="G138" s="197">
        <f>+GETPIVOTDATA(" Old-Total Doctorates#",'Pivot Table for 1-11'!$A$3,"State","FL","SREB Type",3,"SREB Type2","Four-Year")</f>
        <v>0</v>
      </c>
      <c r="H138" s="230">
        <f>+GETPIVOTDATA(" Old-Law",'Pivot Table for 1-11'!$A$3,"State","FL","SREB Type",3,"SREB Type2","Four-Year")</f>
        <v>0</v>
      </c>
      <c r="I138" s="197">
        <f>+GETPIVOTDATA(" Old-Medicine",'Pivot Table for 1-11'!$A$3,"State","FL","SREB Type",3,"SREB Type2","Four-Year")</f>
        <v>0</v>
      </c>
      <c r="J138" s="197">
        <f>+GETPIVOTDATA(" Old-Dentistry",'Pivot Table for 1-11'!$A$3,"State","FL","SREB Type",3,"SREB Type2","Four-Year")</f>
        <v>0</v>
      </c>
      <c r="K138" s="197">
        <f>+GETPIVOTDATA(" Old-Pharmacy",'Pivot Table for 1-11'!$A$3,"State","FL","SREB Type",3,"SREB Type2","Four-Year")</f>
        <v>0</v>
      </c>
      <c r="L138" s="197">
        <f>+GETPIVOTDATA(" Old-Optometry",'Pivot Table for 1-11'!$A$3,"State","FL","SREB Type",3,"SREB Type2","Four-Year")</f>
        <v>0</v>
      </c>
      <c r="M138" s="197">
        <f>+GETPIVOTDATA(" Old-Osteopathic Medicine",'Pivot Table for 1-11'!$A$3,"State","FL","SREB Type",3,"SREB Type2","Four-Year")</f>
        <v>0</v>
      </c>
      <c r="N138" s="197">
        <f>+GETPIVOTDATA(" Old-Veterinary Medicine",'Pivot Table for 1-11'!$A$3,"State","FL","SREB Type",3,"SREB Type2","Four-Year")</f>
        <v>0</v>
      </c>
      <c r="O138" s="198">
        <f>+GETPIVOTDATA(" Old-Oth PP",'Pivot Table for 1-11'!$A$3,"State","FL","SREB Type",3,"SREB Type2","Four-Year")</f>
        <v>0</v>
      </c>
      <c r="P138" s="199">
        <f t="shared" si="3"/>
        <v>0</v>
      </c>
    </row>
    <row r="139" spans="1:16" ht="15" customHeight="1">
      <c r="A139" s="196"/>
      <c r="B139" s="197"/>
      <c r="C139" s="197"/>
      <c r="D139" s="197"/>
      <c r="E139" s="197"/>
      <c r="F139" s="197"/>
      <c r="G139" s="197"/>
      <c r="H139" s="230"/>
      <c r="I139" s="197"/>
      <c r="J139" s="197"/>
      <c r="K139" s="197"/>
      <c r="L139" s="197"/>
      <c r="M139" s="197"/>
      <c r="N139" s="197"/>
      <c r="O139" s="198"/>
      <c r="P139" s="199"/>
    </row>
    <row r="140" spans="1:16" ht="15" customHeight="1">
      <c r="A140" s="196" t="s">
        <v>25</v>
      </c>
      <c r="B140" s="197">
        <f>+GETPIVOTDATA(" Old-Less Than 2-Year",'Pivot Table for 1-11'!$A$3,"State","GA","SREB Type",3,"SREB Type2","Four-Year")+GETPIVOTDATA(" Old-2 But Less Than 4-Year",'Pivot Table for 1-11'!$A$3,"State","GA","SREB Type",3,"SREB Type2","Four-Year")</f>
        <v>99</v>
      </c>
      <c r="C140" s="197">
        <f>+GETPIVOTDATA(" Old-Associate's",'Pivot Table for 1-11'!$A$3,"State","GA","SREB Type",3,"SREB Type2","Four-Year")</f>
        <v>65</v>
      </c>
      <c r="D140" s="197">
        <f>+GETPIVOTDATA(" Old-Bachelor's",'Pivot Table for 1-11'!$A$3,"State","GA","SREB Type",3,"SREB Type2","Four-Year")</f>
        <v>13160</v>
      </c>
      <c r="E140" s="197">
        <f>+GETPIVOTDATA(" Old-Post-Bachelor's",'Pivot Table for 1-11'!$A$3,"State","GA","SREB Type",3,"SREB Type2","Four-Year")</f>
        <v>210</v>
      </c>
      <c r="F140" s="197">
        <f>+GETPIVOTDATA(" Old-Total Master's#",'Pivot Table for 1-11'!$A$3,"State","GA","SREB Type",3,"SREB Type2","Four-Year")</f>
        <v>4113</v>
      </c>
      <c r="G140" s="197">
        <f>+GETPIVOTDATA(" Old-Total Doctorates#",'Pivot Table for 1-11'!$A$3,"State","GA","SREB Type",3,"SREB Type2","Four-Year")</f>
        <v>222</v>
      </c>
      <c r="H140" s="230">
        <f>+GETPIVOTDATA(" Old-Law",'Pivot Table for 1-11'!$A$3,"State","GA","SREB Type",3,"SREB Type2","Four-Year")</f>
        <v>0</v>
      </c>
      <c r="I140" s="197">
        <f>+GETPIVOTDATA(" Old-Medicine",'Pivot Table for 1-11'!$A$3,"State","GA","SREB Type",3,"SREB Type2","Four-Year")</f>
        <v>0</v>
      </c>
      <c r="J140" s="197">
        <f>+GETPIVOTDATA(" Old-Dentistry",'Pivot Table for 1-11'!$A$3,"State","GA","SREB Type",3,"SREB Type2","Four-Year")</f>
        <v>0</v>
      </c>
      <c r="K140" s="197">
        <f>+GETPIVOTDATA(" Old-Pharmacy",'Pivot Table for 1-11'!$A$3,"State","GA","SREB Type",3,"SREB Type2","Four-Year")</f>
        <v>0</v>
      </c>
      <c r="L140" s="197">
        <f>+GETPIVOTDATA(" Old-Optometry",'Pivot Table for 1-11'!$A$3,"State","GA","SREB Type",3,"SREB Type2","Four-Year")</f>
        <v>0</v>
      </c>
      <c r="M140" s="197">
        <f>+GETPIVOTDATA(" Old-Osteopathic Medicine",'Pivot Table for 1-11'!$A$3,"State","GA","SREB Type",3,"SREB Type2","Four-Year")</f>
        <v>0</v>
      </c>
      <c r="N140" s="197">
        <f>+GETPIVOTDATA(" Old-Veterinary Medicine",'Pivot Table for 1-11'!$A$3,"State","GA","SREB Type",3,"SREB Type2","Four-Year")</f>
        <v>0</v>
      </c>
      <c r="O140" s="198">
        <f>+GETPIVOTDATA(" Old-Oth PP",'Pivot Table for 1-11'!$A$3,"State","GA","SREB Type",3,"SREB Type2","Four-Year")</f>
        <v>0</v>
      </c>
      <c r="P140" s="199">
        <f t="shared" si="3"/>
        <v>17869</v>
      </c>
    </row>
    <row r="141" spans="1:16" ht="15" customHeight="1">
      <c r="A141" s="196" t="s">
        <v>26</v>
      </c>
      <c r="B141" s="197">
        <f>+GETPIVOTDATA(" Old-Less Than 2-Year",'Pivot Table for 1-11'!$A$3,"State","KY","SREB Type",3,"SREB Type2","Four-Year")+GETPIVOTDATA(" Old-2 But Less Than 4-Year",'Pivot Table for 1-11'!$A$3,"State","KY","SREB Type",3,"SREB Type2","Four-Year")</f>
        <v>485</v>
      </c>
      <c r="C141" s="197">
        <f>+GETPIVOTDATA(" Old-Associate's",'Pivot Table for 1-11'!$A$3,"State","KY","SREB Type",3,"SREB Type2","Four-Year")</f>
        <v>640</v>
      </c>
      <c r="D141" s="197">
        <f>+GETPIVOTDATA(" Old-Bachelor's",'Pivot Table for 1-11'!$A$3,"State","KY","SREB Type",3,"SREB Type2","Four-Year")</f>
        <v>10645</v>
      </c>
      <c r="E141" s="197">
        <f>+GETPIVOTDATA(" Old-Post-Bachelor's",'Pivot Table for 1-11'!$A$3,"State","KY","SREB Type",3,"SREB Type2","Four-Year")</f>
        <v>233</v>
      </c>
      <c r="F141" s="197">
        <f>+GETPIVOTDATA(" Old-Total Master's#",'Pivot Table for 1-11'!$A$3,"State","KY","SREB Type",3,"SREB Type2","Four-Year")</f>
        <v>2864</v>
      </c>
      <c r="G141" s="197">
        <f>+GETPIVOTDATA(" Old-Total Doctorates#",'Pivot Table for 1-11'!$A$3,"State","KY","SREB Type",3,"SREB Type2","Four-Year")</f>
        <v>0</v>
      </c>
      <c r="H141" s="230">
        <f>+GETPIVOTDATA(" Old-Law",'Pivot Table for 1-11'!$A$3,"State","KY","SREB Type",3,"SREB Type2","Four-Year")</f>
        <v>119</v>
      </c>
      <c r="I141" s="197">
        <f>+GETPIVOTDATA(" Old-Medicine",'Pivot Table for 1-11'!$A$3,"State","KY","SREB Type",3,"SREB Type2","Four-Year")</f>
        <v>0</v>
      </c>
      <c r="J141" s="197">
        <f>+GETPIVOTDATA(" Old-Dentistry",'Pivot Table for 1-11'!$A$3,"State","KY","SREB Type",3,"SREB Type2","Four-Year")</f>
        <v>0</v>
      </c>
      <c r="K141" s="197">
        <f>+GETPIVOTDATA(" Old-Pharmacy",'Pivot Table for 1-11'!$A$3,"State","KY","SREB Type",3,"SREB Type2","Four-Year")</f>
        <v>0</v>
      </c>
      <c r="L141" s="197">
        <f>+GETPIVOTDATA(" Old-Optometry",'Pivot Table for 1-11'!$A$3,"State","KY","SREB Type",3,"SREB Type2","Four-Year")</f>
        <v>0</v>
      </c>
      <c r="M141" s="197">
        <f>+GETPIVOTDATA(" Old-Osteopathic Medicine",'Pivot Table for 1-11'!$A$3,"State","KY","SREB Type",3,"SREB Type2","Four-Year")</f>
        <v>0</v>
      </c>
      <c r="N141" s="197">
        <f>+GETPIVOTDATA(" Old-Veterinary Medicine",'Pivot Table for 1-11'!$A$3,"State","KY","SREB Type",3,"SREB Type2","Four-Year")</f>
        <v>0</v>
      </c>
      <c r="O141" s="198">
        <f>+GETPIVOTDATA(" Old-Oth PP",'Pivot Table for 1-11'!$A$3,"State","KY","SREB Type",3,"SREB Type2","Four-Year")</f>
        <v>119</v>
      </c>
      <c r="P141" s="199">
        <f t="shared" si="3"/>
        <v>15105</v>
      </c>
    </row>
    <row r="142" spans="1:16" ht="15" customHeight="1">
      <c r="A142" s="196" t="s">
        <v>27</v>
      </c>
      <c r="B142" s="197">
        <f>+GETPIVOTDATA(" Old-Less Than 2-Year",'Pivot Table for 1-11'!$A$3,"State","LA","SREB Type",3,"SREB Type2","Four-Year")+GETPIVOTDATA(" Old-2 But Less Than 4-Year",'Pivot Table for 1-11'!$A$3,"State","LA","SREB Type",3,"SREB Type2","Four-Year")</f>
        <v>0</v>
      </c>
      <c r="C142" s="197">
        <f>+GETPIVOTDATA(" Old-Associate's",'Pivot Table for 1-11'!$A$3,"State","LA","SREB Type",3,"SREB Type2","Four-Year")</f>
        <v>156</v>
      </c>
      <c r="D142" s="197">
        <f>+GETPIVOTDATA(" Old-Bachelor's",'Pivot Table for 1-11'!$A$3,"State","LA","SREB Type",3,"SREB Type2","Four-Year")</f>
        <v>4761</v>
      </c>
      <c r="E142" s="197">
        <f>+GETPIVOTDATA(" Old-Post-Bachelor's",'Pivot Table for 1-11'!$A$3,"State","LA","SREB Type",3,"SREB Type2","Four-Year")</f>
        <v>26</v>
      </c>
      <c r="F142" s="197">
        <f>+GETPIVOTDATA(" Old-Total Master's#",'Pivot Table for 1-11'!$A$3,"State","LA","SREB Type",3,"SREB Type2","Four-Year")</f>
        <v>1044</v>
      </c>
      <c r="G142" s="197">
        <f>+GETPIVOTDATA(" Old-Total Doctorates#",'Pivot Table for 1-11'!$A$3,"State","LA","SREB Type",3,"SREB Type2","Four-Year")</f>
        <v>50</v>
      </c>
      <c r="H142" s="230">
        <f>+GETPIVOTDATA(" Old-Law",'Pivot Table for 1-11'!$A$3,"State","LA","SREB Type",3,"SREB Type2","Four-Year")</f>
        <v>0</v>
      </c>
      <c r="I142" s="197">
        <f>+GETPIVOTDATA(" Old-Medicine",'Pivot Table for 1-11'!$A$3,"State","LA","SREB Type",3,"SREB Type2","Four-Year")</f>
        <v>0</v>
      </c>
      <c r="J142" s="197">
        <f>+GETPIVOTDATA(" Old-Dentistry",'Pivot Table for 1-11'!$A$3,"State","LA","SREB Type",3,"SREB Type2","Four-Year")</f>
        <v>0</v>
      </c>
      <c r="K142" s="197">
        <f>+GETPIVOTDATA(" Old-Pharmacy",'Pivot Table for 1-11'!$A$3,"State","LA","SREB Type",3,"SREB Type2","Four-Year")</f>
        <v>93</v>
      </c>
      <c r="L142" s="197">
        <f>+GETPIVOTDATA(" Old-Optometry",'Pivot Table for 1-11'!$A$3,"State","LA","SREB Type",3,"SREB Type2","Four-Year")</f>
        <v>0</v>
      </c>
      <c r="M142" s="197">
        <f>+GETPIVOTDATA(" Old-Osteopathic Medicine",'Pivot Table for 1-11'!$A$3,"State","LA","SREB Type",3,"SREB Type2","Four-Year")</f>
        <v>0</v>
      </c>
      <c r="N142" s="197">
        <f>+GETPIVOTDATA(" Old-Veterinary Medicine",'Pivot Table for 1-11'!$A$3,"State","LA","SREB Type",3,"SREB Type2","Four-Year")</f>
        <v>0</v>
      </c>
      <c r="O142" s="198">
        <f>+GETPIVOTDATA(" Old-Oth PP",'Pivot Table for 1-11'!$A$3,"State","LA","SREB Type",3,"SREB Type2","Four-Year")</f>
        <v>14</v>
      </c>
      <c r="P142" s="199">
        <f t="shared" si="3"/>
        <v>6144</v>
      </c>
    </row>
    <row r="143" spans="1:16" ht="15" customHeight="1">
      <c r="A143" s="196" t="s">
        <v>28</v>
      </c>
      <c r="B143" s="197">
        <f>+GETPIVOTDATA(" Old-Less Than 2-Year",'Pivot Table for 1-11'!$A$3,"State","MD","SREB Type",3,"SREB Type2","Four-Year")+GETPIVOTDATA(" Old-2 But Less Than 4-Year",'Pivot Table for 1-11'!$A$3,"State","MD","SREB Type",3,"SREB Type2","Four-Year")</f>
        <v>0</v>
      </c>
      <c r="C143" s="197">
        <f>+GETPIVOTDATA(" Old-Associate's",'Pivot Table for 1-11'!$A$3,"State","MD","SREB Type",3,"SREB Type2","Four-Year")</f>
        <v>0</v>
      </c>
      <c r="D143" s="197">
        <f>+GETPIVOTDATA(" Old-Bachelor's",'Pivot Table for 1-11'!$A$3,"State","MD","SREB Type",3,"SREB Type2","Four-Year")</f>
        <v>0</v>
      </c>
      <c r="E143" s="197">
        <f>+GETPIVOTDATA(" Old-Post-Bachelor's",'Pivot Table for 1-11'!$A$3,"State","MD","SREB Type",3,"SREB Type2","Four-Year")</f>
        <v>0</v>
      </c>
      <c r="F143" s="197">
        <f>+GETPIVOTDATA(" Old-Total Master's#",'Pivot Table for 1-11'!$A$3,"State","MD","SREB Type",3,"SREB Type2","Four-Year")</f>
        <v>0</v>
      </c>
      <c r="G143" s="197">
        <f>+GETPIVOTDATA(" Old-Total Doctorates#",'Pivot Table for 1-11'!$A$3,"State","MD","SREB Type",3,"SREB Type2","Four-Year")</f>
        <v>0</v>
      </c>
      <c r="H143" s="230">
        <f>+GETPIVOTDATA(" Old-Law",'Pivot Table for 1-11'!$A$3,"State","MD","SREB Type",3,"SREB Type2","Four-Year")</f>
        <v>0</v>
      </c>
      <c r="I143" s="197">
        <f>+GETPIVOTDATA(" Old-Medicine",'Pivot Table for 1-11'!$A$3,"State","MD","SREB Type",3,"SREB Type2","Four-Year")</f>
        <v>0</v>
      </c>
      <c r="J143" s="197">
        <f>+GETPIVOTDATA(" Old-Dentistry",'Pivot Table for 1-11'!$A$3,"State","MD","SREB Type",3,"SREB Type2","Four-Year")</f>
        <v>0</v>
      </c>
      <c r="K143" s="197">
        <f>+GETPIVOTDATA(" Old-Pharmacy",'Pivot Table for 1-11'!$A$3,"State","MD","SREB Type",3,"SREB Type2","Four-Year")</f>
        <v>0</v>
      </c>
      <c r="L143" s="197">
        <f>+GETPIVOTDATA(" Old-Optometry",'Pivot Table for 1-11'!$A$3,"State","MD","SREB Type",3,"SREB Type2","Four-Year")</f>
        <v>0</v>
      </c>
      <c r="M143" s="197">
        <f>+GETPIVOTDATA(" Old-Osteopathic Medicine",'Pivot Table for 1-11'!$A$3,"State","MD","SREB Type",3,"SREB Type2","Four-Year")</f>
        <v>0</v>
      </c>
      <c r="N143" s="197">
        <f>+GETPIVOTDATA(" Old-Veterinary Medicine",'Pivot Table for 1-11'!$A$3,"State","MD","SREB Type",3,"SREB Type2","Four-Year")</f>
        <v>0</v>
      </c>
      <c r="O143" s="198">
        <f>+GETPIVOTDATA(" Old-Oth PP",'Pivot Table for 1-11'!$A$3,"State","MD","SREB Type",3,"SREB Type2","Four-Year")</f>
        <v>0</v>
      </c>
      <c r="P143" s="199">
        <f t="shared" si="3"/>
        <v>0</v>
      </c>
    </row>
    <row r="144" spans="1:16" ht="15" customHeight="1">
      <c r="A144" s="196"/>
      <c r="B144" s="197"/>
      <c r="C144" s="197"/>
      <c r="D144" s="197"/>
      <c r="E144" s="197"/>
      <c r="F144" s="197"/>
      <c r="G144" s="197"/>
      <c r="H144" s="230"/>
      <c r="I144" s="197"/>
      <c r="J144" s="197"/>
      <c r="K144" s="197"/>
      <c r="L144" s="197"/>
      <c r="M144" s="197"/>
      <c r="N144" s="197"/>
      <c r="O144" s="198"/>
      <c r="P144" s="199"/>
    </row>
    <row r="145" spans="1:16" ht="15" customHeight="1">
      <c r="A145" s="196" t="s">
        <v>29</v>
      </c>
      <c r="B145" s="197">
        <f>+GETPIVOTDATA(" Old-Less Than 2-Year",'Pivot Table for 1-11'!$A$3,"State","MS","SREB Type",3,"SREB Type2","Four-Year")+GETPIVOTDATA(" Old-2 But Less Than 4-Year",'Pivot Table for 1-11'!$A$3,"State","MS","SREB Type",3,"SREB Type2","Four-Year")</f>
        <v>0</v>
      </c>
      <c r="C145" s="197">
        <f>+GETPIVOTDATA(" Old-Associate's",'Pivot Table for 1-11'!$A$3,"State","MS","SREB Type",3,"SREB Type2","Four-Year")</f>
        <v>0</v>
      </c>
      <c r="D145" s="197">
        <f>+GETPIVOTDATA(" Old-Bachelor's",'Pivot Table for 1-11'!$A$3,"State","MS","SREB Type",3,"SREB Type2","Four-Year")</f>
        <v>0</v>
      </c>
      <c r="E145" s="197">
        <f>+GETPIVOTDATA(" Old-Post-Bachelor's",'Pivot Table for 1-11'!$A$3,"State","MS","SREB Type",3,"SREB Type2","Four-Year")</f>
        <v>0</v>
      </c>
      <c r="F145" s="197">
        <f>+GETPIVOTDATA(" Old-Total Master's#",'Pivot Table for 1-11'!$A$3,"State","MS","SREB Type",3,"SREB Type2","Four-Year")</f>
        <v>0</v>
      </c>
      <c r="G145" s="197">
        <f>+GETPIVOTDATA(" Old-Total Doctorates#",'Pivot Table for 1-11'!$A$3,"State","MS","SREB Type",3,"SREB Type2","Four-Year")</f>
        <v>0</v>
      </c>
      <c r="H145" s="230">
        <f>+GETPIVOTDATA(" Old-Law",'Pivot Table for 1-11'!$A$3,"State","MS","SREB Type",3,"SREB Type2","Four-Year")</f>
        <v>0</v>
      </c>
      <c r="I145" s="197">
        <f>+GETPIVOTDATA(" Old-Medicine",'Pivot Table for 1-11'!$A$3,"State","MS","SREB Type",3,"SREB Type2","Four-Year")</f>
        <v>0</v>
      </c>
      <c r="J145" s="197">
        <f>+GETPIVOTDATA(" Old-Dentistry",'Pivot Table for 1-11'!$A$3,"State","MS","SREB Type",3,"SREB Type2","Four-Year")</f>
        <v>0</v>
      </c>
      <c r="K145" s="197">
        <f>+GETPIVOTDATA(" Old-Pharmacy",'Pivot Table for 1-11'!$A$3,"State","MS","SREB Type",3,"SREB Type2","Four-Year")</f>
        <v>0</v>
      </c>
      <c r="L145" s="197">
        <f>+GETPIVOTDATA(" Old-Optometry",'Pivot Table for 1-11'!$A$3,"State","MS","SREB Type",3,"SREB Type2","Four-Year")</f>
        <v>0</v>
      </c>
      <c r="M145" s="197">
        <f>+GETPIVOTDATA(" Old-Osteopathic Medicine",'Pivot Table for 1-11'!$A$3,"State","MS","SREB Type",3,"SREB Type2","Four-Year")</f>
        <v>0</v>
      </c>
      <c r="N145" s="197">
        <f>+GETPIVOTDATA(" Old-Veterinary Medicine",'Pivot Table for 1-11'!$A$3,"State","MS","SREB Type",3,"SREB Type2","Four-Year")</f>
        <v>0</v>
      </c>
      <c r="O145" s="198">
        <f>+GETPIVOTDATA(" Old-Oth PP",'Pivot Table for 1-11'!$A$3,"State","MS","SREB Type",3,"SREB Type2","Four-Year")</f>
        <v>0</v>
      </c>
      <c r="P145" s="199">
        <f t="shared" si="3"/>
        <v>0</v>
      </c>
    </row>
    <row r="146" spans="1:16" ht="15" customHeight="1">
      <c r="A146" s="196" t="s">
        <v>30</v>
      </c>
      <c r="B146" s="197">
        <f>+GETPIVOTDATA(" Old-Less Than 2-Year",'Pivot Table for 1-11'!$A$3,"State","NC","SREB Type",3,"SREB Type2","Four-Year")+GETPIVOTDATA(" Old-2 But Less Than 4-Year",'Pivot Table for 1-11'!$A$3,"State","NC","SREB Type",3,"SREB Type2","Four-Year")</f>
        <v>0</v>
      </c>
      <c r="C146" s="197">
        <f>+GETPIVOTDATA(" Old-Associate's",'Pivot Table for 1-11'!$A$3,"State","NC","SREB Type",3,"SREB Type2","Four-Year")</f>
        <v>0</v>
      </c>
      <c r="D146" s="197">
        <f>+GETPIVOTDATA(" Old-Bachelor's",'Pivot Table for 1-11'!$A$3,"State","NC","SREB Type",3,"SREB Type2","Four-Year")</f>
        <v>12809</v>
      </c>
      <c r="E146" s="197">
        <f>+GETPIVOTDATA(" Old-Post-Bachelor's",'Pivot Table for 1-11'!$A$3,"State","NC","SREB Type",3,"SREB Type2","Four-Year")</f>
        <v>59</v>
      </c>
      <c r="F146" s="197">
        <f>+GETPIVOTDATA(" Old-Total Master's#",'Pivot Table for 1-11'!$A$3,"State","NC","SREB Type",3,"SREB Type2","Four-Year")</f>
        <v>2916</v>
      </c>
      <c r="G146" s="197">
        <f>+GETPIVOTDATA(" Old-Total Doctorates#",'Pivot Table for 1-11'!$A$3,"State","NC","SREB Type",3,"SREB Type2","Four-Year")</f>
        <v>102</v>
      </c>
      <c r="H146" s="230">
        <f>+GETPIVOTDATA(" Old-Law",'Pivot Table for 1-11'!$A$3,"State","NC","SREB Type",3,"SREB Type2","Four-Year")</f>
        <v>129</v>
      </c>
      <c r="I146" s="197">
        <f>+GETPIVOTDATA(" Old-Medicine",'Pivot Table for 1-11'!$A$3,"State","NC","SREB Type",3,"SREB Type2","Four-Year")</f>
        <v>0</v>
      </c>
      <c r="J146" s="197">
        <f>+GETPIVOTDATA(" Old-Dentistry",'Pivot Table for 1-11'!$A$3,"State","NC","SREB Type",3,"SREB Type2","Four-Year")</f>
        <v>0</v>
      </c>
      <c r="K146" s="197">
        <f>+GETPIVOTDATA(" Old-Pharmacy",'Pivot Table for 1-11'!$A$3,"State","NC","SREB Type",3,"SREB Type2","Four-Year")</f>
        <v>0</v>
      </c>
      <c r="L146" s="197">
        <f>+GETPIVOTDATA(" Old-Optometry",'Pivot Table for 1-11'!$A$3,"State","NC","SREB Type",3,"SREB Type2","Four-Year")</f>
        <v>0</v>
      </c>
      <c r="M146" s="197">
        <f>+GETPIVOTDATA(" Old-Osteopathic Medicine",'Pivot Table for 1-11'!$A$3,"State","NC","SREB Type",3,"SREB Type2","Four-Year")</f>
        <v>0</v>
      </c>
      <c r="N146" s="197">
        <f>+GETPIVOTDATA(" Old-Veterinary Medicine",'Pivot Table for 1-11'!$A$3,"State","NC","SREB Type",3,"SREB Type2","Four-Year")</f>
        <v>0</v>
      </c>
      <c r="O146" s="198">
        <f>+GETPIVOTDATA(" Old-Oth PP",'Pivot Table for 1-11'!$A$3,"State","NC","SREB Type",3,"SREB Type2","Four-Year")</f>
        <v>45</v>
      </c>
      <c r="P146" s="199">
        <f t="shared" si="3"/>
        <v>16060</v>
      </c>
    </row>
    <row r="147" spans="1:16" ht="15" customHeight="1">
      <c r="A147" s="196" t="s">
        <v>31</v>
      </c>
      <c r="B147" s="197">
        <f>+GETPIVOTDATA(" Old-Less Than 2-Year",'Pivot Table for 1-11'!$A$3,"State","OK","SREB Type",3,"SREB Type2","Four-Year")+GETPIVOTDATA(" Old-2 But Less Than 4-Year",'Pivot Table for 1-11'!$A$3,"State","OK","SREB Type",3,"SREB Type2","Four-Year")</f>
        <v>0</v>
      </c>
      <c r="C147" s="197">
        <f>+GETPIVOTDATA(" Old-Associate's",'Pivot Table for 1-11'!$A$3,"State","OK","SREB Type",3,"SREB Type2","Four-Year")</f>
        <v>0</v>
      </c>
      <c r="D147" s="197">
        <f>+GETPIVOTDATA(" Old-Bachelor's",'Pivot Table for 1-11'!$A$3,"State","OK","SREB Type",3,"SREB Type2","Four-Year")</f>
        <v>0</v>
      </c>
      <c r="E147" s="197">
        <f>+GETPIVOTDATA(" Old-Post-Bachelor's",'Pivot Table for 1-11'!$A$3,"State","OK","SREB Type",3,"SREB Type2","Four-Year")</f>
        <v>0</v>
      </c>
      <c r="F147" s="197">
        <f>+GETPIVOTDATA(" Old-Total Master's#",'Pivot Table for 1-11'!$A$3,"State","OK","SREB Type",3,"SREB Type2","Four-Year")</f>
        <v>0</v>
      </c>
      <c r="G147" s="197">
        <f>+GETPIVOTDATA(" Old-Total Doctorates#",'Pivot Table for 1-11'!$A$3,"State","OK","SREB Type",3,"SREB Type2","Four-Year")</f>
        <v>0</v>
      </c>
      <c r="H147" s="230">
        <f>+GETPIVOTDATA(" Old-Law",'Pivot Table for 1-11'!$A$3,"State","OK","SREB Type",3,"SREB Type2","Four-Year")</f>
        <v>0</v>
      </c>
      <c r="I147" s="197">
        <f>+GETPIVOTDATA(" Old-Medicine",'Pivot Table for 1-11'!$A$3,"State","OK","SREB Type",3,"SREB Type2","Four-Year")</f>
        <v>0</v>
      </c>
      <c r="J147" s="197">
        <f>+GETPIVOTDATA(" Old-Dentistry",'Pivot Table for 1-11'!$A$3,"State","OK","SREB Type",3,"SREB Type2","Four-Year")</f>
        <v>0</v>
      </c>
      <c r="K147" s="197">
        <f>+GETPIVOTDATA(" Old-Pharmacy",'Pivot Table for 1-11'!$A$3,"State","OK","SREB Type",3,"SREB Type2","Four-Year")</f>
        <v>0</v>
      </c>
      <c r="L147" s="197">
        <f>+GETPIVOTDATA(" Old-Optometry",'Pivot Table for 1-11'!$A$3,"State","OK","SREB Type",3,"SREB Type2","Four-Year")</f>
        <v>0</v>
      </c>
      <c r="M147" s="197">
        <f>+GETPIVOTDATA(" Old-Osteopathic Medicine",'Pivot Table for 1-11'!$A$3,"State","OK","SREB Type",3,"SREB Type2","Four-Year")</f>
        <v>0</v>
      </c>
      <c r="N147" s="197">
        <f>+GETPIVOTDATA(" Old-Veterinary Medicine",'Pivot Table for 1-11'!$A$3,"State","OK","SREB Type",3,"SREB Type2","Four-Year")</f>
        <v>0</v>
      </c>
      <c r="O147" s="198">
        <f>+GETPIVOTDATA(" Old-Oth PP",'Pivot Table for 1-11'!$A$3,"State","OK","SREB Type",3,"SREB Type2","Four-Year")</f>
        <v>0</v>
      </c>
      <c r="P147" s="199">
        <f t="shared" si="3"/>
        <v>0</v>
      </c>
    </row>
    <row r="148" spans="1:16" ht="15" customHeight="1">
      <c r="A148" s="196" t="s">
        <v>32</v>
      </c>
      <c r="B148" s="197">
        <f>+GETPIVOTDATA(" Old-Less Than 2-Year",'Pivot Table for 1-11'!$A$3,"State","SC","SREB Type",3,"SREB Type2","Four-Year")+GETPIVOTDATA(" Old-2 But Less Than 4-Year",'Pivot Table for 1-11'!$A$3,"State","SC","SREB Type",3,"SREB Type2","Four-Year")</f>
        <v>0</v>
      </c>
      <c r="C148" s="197">
        <f>+GETPIVOTDATA(" Old-Associate's",'Pivot Table for 1-11'!$A$3,"State","SC","SREB Type",3,"SREB Type2","Four-Year")</f>
        <v>0</v>
      </c>
      <c r="D148" s="197">
        <f>+GETPIVOTDATA(" Old-Bachelor's",'Pivot Table for 1-11'!$A$3,"State","SC","SREB Type",3,"SREB Type2","Four-Year")</f>
        <v>3852</v>
      </c>
      <c r="E148" s="197">
        <f>+GETPIVOTDATA(" Old-Post-Bachelor's",'Pivot Table for 1-11'!$A$3,"State","SC","SREB Type",3,"SREB Type2","Four-Year")</f>
        <v>149</v>
      </c>
      <c r="F148" s="197">
        <f>+GETPIVOTDATA(" Old-Total Master's#",'Pivot Table for 1-11'!$A$3,"State","SC","SREB Type",3,"SREB Type2","Four-Year")</f>
        <v>846</v>
      </c>
      <c r="G148" s="197">
        <f>+GETPIVOTDATA(" Old-Total Doctorates#",'Pivot Table for 1-11'!$A$3,"State","SC","SREB Type",3,"SREB Type2","Four-Year")</f>
        <v>0</v>
      </c>
      <c r="H148" s="230">
        <f>+GETPIVOTDATA(" Old-Law",'Pivot Table for 1-11'!$A$3,"State","SC","SREB Type",3,"SREB Type2","Four-Year")</f>
        <v>0</v>
      </c>
      <c r="I148" s="197">
        <f>+GETPIVOTDATA(" Old-Medicine",'Pivot Table for 1-11'!$A$3,"State","SC","SREB Type",3,"SREB Type2","Four-Year")</f>
        <v>0</v>
      </c>
      <c r="J148" s="197">
        <f>+GETPIVOTDATA(" Old-Dentistry",'Pivot Table for 1-11'!$A$3,"State","SC","SREB Type",3,"SREB Type2","Four-Year")</f>
        <v>0</v>
      </c>
      <c r="K148" s="197">
        <f>+GETPIVOTDATA(" Old-Pharmacy",'Pivot Table for 1-11'!$A$3,"State","SC","SREB Type",3,"SREB Type2","Four-Year")</f>
        <v>0</v>
      </c>
      <c r="L148" s="197">
        <f>+GETPIVOTDATA(" Old-Optometry",'Pivot Table for 1-11'!$A$3,"State","SC","SREB Type",3,"SREB Type2","Four-Year")</f>
        <v>0</v>
      </c>
      <c r="M148" s="197">
        <f>+GETPIVOTDATA(" Old-Osteopathic Medicine",'Pivot Table for 1-11'!$A$3,"State","SC","SREB Type",3,"SREB Type2","Four-Year")</f>
        <v>0</v>
      </c>
      <c r="N148" s="197">
        <f>+GETPIVOTDATA(" Old-Veterinary Medicine",'Pivot Table for 1-11'!$A$3,"State","SC","SREB Type",3,"SREB Type2","Four-Year")</f>
        <v>0</v>
      </c>
      <c r="O148" s="198">
        <f>+GETPIVOTDATA(" Old-Oth PP",'Pivot Table for 1-11'!$A$3,"State","SC","SREB Type",3,"SREB Type2","Four-Year")</f>
        <v>0</v>
      </c>
      <c r="P148" s="199">
        <f t="shared" si="3"/>
        <v>4847</v>
      </c>
    </row>
    <row r="149" spans="1:16" ht="15" customHeight="1">
      <c r="A149" s="196"/>
      <c r="B149" s="197"/>
      <c r="C149" s="197"/>
      <c r="D149" s="197"/>
      <c r="E149" s="197"/>
      <c r="F149" s="197"/>
      <c r="G149" s="197"/>
      <c r="H149" s="230"/>
      <c r="I149" s="197"/>
      <c r="J149" s="197"/>
      <c r="K149" s="197"/>
      <c r="L149" s="197"/>
      <c r="M149" s="197"/>
      <c r="N149" s="197"/>
      <c r="O149" s="198"/>
      <c r="P149" s="199"/>
    </row>
    <row r="150" spans="1:16" ht="15" customHeight="1">
      <c r="A150" s="196" t="s">
        <v>33</v>
      </c>
      <c r="B150" s="197">
        <f>+GETPIVOTDATA(" Old-Less Than 2-Year",'Pivot Table for 1-11'!$A$3,"State","TN","SREB Type",3,"SREB Type2","Four-Year")+GETPIVOTDATA(" Old-2 But Less Than 4-Year",'Pivot Table for 1-11'!$A$3,"State","TN","SREB Type",3,"SREB Type2","Four-Year")</f>
        <v>0</v>
      </c>
      <c r="C150" s="197">
        <f>+GETPIVOTDATA(" Old-Associate's",'Pivot Table for 1-11'!$A$3,"State","TN","SREB Type",3,"SREB Type2","Four-Year")</f>
        <v>406</v>
      </c>
      <c r="D150" s="197">
        <f>+GETPIVOTDATA(" Old-Bachelor's",'Pivot Table for 1-11'!$A$3,"State","TN","SREB Type",3,"SREB Type2","Four-Year")</f>
        <v>5563</v>
      </c>
      <c r="E150" s="197">
        <f>+GETPIVOTDATA(" Old-Post-Bachelor's",'Pivot Table for 1-11'!$A$3,"State","TN","SREB Type",3,"SREB Type2","Four-Year")</f>
        <v>0</v>
      </c>
      <c r="F150" s="197">
        <f>+GETPIVOTDATA(" Old-Total Master's#",'Pivot Table for 1-11'!$A$3,"State","TN","SREB Type",3,"SREB Type2","Four-Year")</f>
        <v>1208</v>
      </c>
      <c r="G150" s="197">
        <f>+GETPIVOTDATA(" Old-Total Doctorates#",'Pivot Table for 1-11'!$A$3,"State","TN","SREB Type",3,"SREB Type2","Four-Year")</f>
        <v>93</v>
      </c>
      <c r="H150" s="230">
        <f>+GETPIVOTDATA(" Old-Law",'Pivot Table for 1-11'!$A$3,"State","TN","SREB Type",3,"SREB Type2","Four-Year")</f>
        <v>0</v>
      </c>
      <c r="I150" s="197">
        <f>+GETPIVOTDATA(" Old-Medicine",'Pivot Table for 1-11'!$A$3,"State","TN","SREB Type",3,"SREB Type2","Four-Year")</f>
        <v>0</v>
      </c>
      <c r="J150" s="197">
        <f>+GETPIVOTDATA(" Old-Dentistry",'Pivot Table for 1-11'!$A$3,"State","TN","SREB Type",3,"SREB Type2","Four-Year")</f>
        <v>0</v>
      </c>
      <c r="K150" s="197">
        <f>+GETPIVOTDATA(" Old-Pharmacy",'Pivot Table for 1-11'!$A$3,"State","TN","SREB Type",3,"SREB Type2","Four-Year")</f>
        <v>0</v>
      </c>
      <c r="L150" s="197">
        <f>+GETPIVOTDATA(" Old-Optometry",'Pivot Table for 1-11'!$A$3,"State","TN","SREB Type",3,"SREB Type2","Four-Year")</f>
        <v>0</v>
      </c>
      <c r="M150" s="197">
        <f>+GETPIVOTDATA(" Old-Osteopathic Medicine",'Pivot Table for 1-11'!$A$3,"State","TN","SREB Type",3,"SREB Type2","Four-Year")</f>
        <v>0</v>
      </c>
      <c r="N150" s="197">
        <f>+GETPIVOTDATA(" Old-Veterinary Medicine",'Pivot Table for 1-11'!$A$3,"State","TN","SREB Type",3,"SREB Type2","Four-Year")</f>
        <v>0</v>
      </c>
      <c r="O150" s="198">
        <f>+GETPIVOTDATA(" Old-Oth PP",'Pivot Table for 1-11'!$A$3,"State","TN","SREB Type",3,"SREB Type2","Four-Year")</f>
        <v>0</v>
      </c>
      <c r="P150" s="199">
        <f t="shared" si="3"/>
        <v>7270</v>
      </c>
    </row>
    <row r="151" spans="1:16" ht="15" customHeight="1">
      <c r="A151" s="196" t="s">
        <v>34</v>
      </c>
      <c r="B151" s="197">
        <f>+GETPIVOTDATA(" Old-Less Than 2-Year",'Pivot Table for 1-11'!$A$3,"State","TX","SREB Type",3,"SREB Type2","Four-Year")+GETPIVOTDATA(" Old-2 But Less Than 4-Year",'Pivot Table for 1-11'!$A$3,"State","TX","SREB Type",3,"SREB Type2","Four-Year")</f>
        <v>0</v>
      </c>
      <c r="C151" s="197">
        <f>+GETPIVOTDATA(" Old-Associate's",'Pivot Table for 1-11'!$A$3,"State","TX","SREB Type",3,"SREB Type2","Four-Year")</f>
        <v>37</v>
      </c>
      <c r="D151" s="197">
        <f>+GETPIVOTDATA(" Old-Bachelor's",'Pivot Table for 1-11'!$A$3,"State","TX","SREB Type",3,"SREB Type2","Four-Year")</f>
        <v>32202</v>
      </c>
      <c r="E151" s="197">
        <f>+GETPIVOTDATA(" Old-Post-Bachelor's",'Pivot Table for 1-11'!$A$3,"State","TX","SREB Type",3,"SREB Type2","Four-Year")</f>
        <v>0</v>
      </c>
      <c r="F151" s="197">
        <f>+GETPIVOTDATA(" Old-Total Master's#",'Pivot Table for 1-11'!$A$3,"State","TX","SREB Type",3,"SREB Type2","Four-Year")</f>
        <v>13924</v>
      </c>
      <c r="G151" s="197">
        <f>+GETPIVOTDATA(" Old-Total Doctorates#",'Pivot Table for 1-11'!$A$3,"State","TX","SREB Type",3,"SREB Type2","Four-Year")</f>
        <v>426</v>
      </c>
      <c r="H151" s="230">
        <f>+GETPIVOTDATA(" Old-Law",'Pivot Table for 1-11'!$A$3,"State","TX","SREB Type",3,"SREB Type2","Four-Year")</f>
        <v>173</v>
      </c>
      <c r="I151" s="197">
        <f>+GETPIVOTDATA(" Old-Medicine",'Pivot Table for 1-11'!$A$3,"State","TX","SREB Type",3,"SREB Type2","Four-Year")</f>
        <v>0</v>
      </c>
      <c r="J151" s="197">
        <f>+GETPIVOTDATA(" Old-Dentistry",'Pivot Table for 1-11'!$A$3,"State","TX","SREB Type",3,"SREB Type2","Four-Year")</f>
        <v>0</v>
      </c>
      <c r="K151" s="197">
        <f>+GETPIVOTDATA(" Old-Pharmacy",'Pivot Table for 1-11'!$A$3,"State","TX","SREB Type",3,"SREB Type2","Four-Year")</f>
        <v>171</v>
      </c>
      <c r="L151" s="197">
        <f>+GETPIVOTDATA(" Old-Optometry",'Pivot Table for 1-11'!$A$3,"State","TX","SREB Type",3,"SREB Type2","Four-Year")</f>
        <v>0</v>
      </c>
      <c r="M151" s="197">
        <f>+GETPIVOTDATA(" Old-Osteopathic Medicine",'Pivot Table for 1-11'!$A$3,"State","TX","SREB Type",3,"SREB Type2","Four-Year")</f>
        <v>0</v>
      </c>
      <c r="N151" s="197">
        <f>+GETPIVOTDATA(" Old-Veterinary Medicine",'Pivot Table for 1-11'!$A$3,"State","TX","SREB Type",3,"SREB Type2","Four-Year")</f>
        <v>0</v>
      </c>
      <c r="O151" s="198">
        <f>+GETPIVOTDATA(" Old-Oth PP",'Pivot Table for 1-11'!$A$3,"State","TX","SREB Type",3,"SREB Type2","Four-Year")</f>
        <v>34</v>
      </c>
      <c r="P151" s="199">
        <f t="shared" si="3"/>
        <v>46967</v>
      </c>
    </row>
    <row r="152" spans="1:16" ht="15" customHeight="1">
      <c r="A152" s="196" t="s">
        <v>35</v>
      </c>
      <c r="B152" s="197">
        <f>+GETPIVOTDATA(" Old-Less Than 2-Year",'Pivot Table for 1-11'!$A$3,"State","VA","SREB Type",3,"SREB Type2","Four-Year")+GETPIVOTDATA(" Old-2 But Less Than 4-Year",'Pivot Table for 1-11'!$A$3,"State","VA","SREB Type",3,"SREB Type2","Four-Year")</f>
        <v>30</v>
      </c>
      <c r="C152" s="197">
        <f>+GETPIVOTDATA(" Old-Associate's",'Pivot Table for 1-11'!$A$3,"State","VA","SREB Type",3,"SREB Type2","Four-Year")</f>
        <v>0</v>
      </c>
      <c r="D152" s="197">
        <f>+GETPIVOTDATA(" Old-Bachelor's",'Pivot Table for 1-11'!$A$3,"State","VA","SREB Type",3,"SREB Type2","Four-Year")</f>
        <v>7010</v>
      </c>
      <c r="E152" s="197">
        <f>+GETPIVOTDATA(" Old-Post-Bachelor's",'Pivot Table for 1-11'!$A$3,"State","VA","SREB Type",3,"SREB Type2","Four-Year")</f>
        <v>58</v>
      </c>
      <c r="F152" s="197">
        <f>+GETPIVOTDATA(" Old-Total Master's#",'Pivot Table for 1-11'!$A$3,"State","VA","SREB Type",3,"SREB Type2","Four-Year")</f>
        <v>1154</v>
      </c>
      <c r="G152" s="197">
        <f>+GETPIVOTDATA(" Old-Total Doctorates#",'Pivot Table for 1-11'!$A$3,"State","VA","SREB Type",3,"SREB Type2","Four-Year")</f>
        <v>96</v>
      </c>
      <c r="H152" s="230">
        <f>+GETPIVOTDATA(" Old-Law",'Pivot Table for 1-11'!$A$3,"State","VA","SREB Type",3,"SREB Type2","Four-Year")</f>
        <v>0</v>
      </c>
      <c r="I152" s="197">
        <f>+GETPIVOTDATA(" Old-Medicine",'Pivot Table for 1-11'!$A$3,"State","VA","SREB Type",3,"SREB Type2","Four-Year")</f>
        <v>0</v>
      </c>
      <c r="J152" s="197">
        <f>+GETPIVOTDATA(" Old-Dentistry",'Pivot Table for 1-11'!$A$3,"State","VA","SREB Type",3,"SREB Type2","Four-Year")</f>
        <v>0</v>
      </c>
      <c r="K152" s="197">
        <f>+GETPIVOTDATA(" Old-Pharmacy",'Pivot Table for 1-11'!$A$3,"State","VA","SREB Type",3,"SREB Type2","Four-Year")</f>
        <v>0</v>
      </c>
      <c r="L152" s="197">
        <f>+GETPIVOTDATA(" Old-Optometry",'Pivot Table for 1-11'!$A$3,"State","VA","SREB Type",3,"SREB Type2","Four-Year")</f>
        <v>0</v>
      </c>
      <c r="M152" s="197">
        <f>+GETPIVOTDATA(" Old-Osteopathic Medicine",'Pivot Table for 1-11'!$A$3,"State","VA","SREB Type",3,"SREB Type2","Four-Year")</f>
        <v>0</v>
      </c>
      <c r="N152" s="197">
        <f>+GETPIVOTDATA(" Old-Veterinary Medicine",'Pivot Table for 1-11'!$A$3,"State","VA","SREB Type",3,"SREB Type2","Four-Year")</f>
        <v>0</v>
      </c>
      <c r="O152" s="198">
        <f>+GETPIVOTDATA(" Old-Oth PP",'Pivot Table for 1-11'!$A$3,"State","VA","SREB Type",3,"SREB Type2","Four-Year")</f>
        <v>0</v>
      </c>
      <c r="P152" s="199">
        <f t="shared" si="3"/>
        <v>8348</v>
      </c>
    </row>
    <row r="153" spans="1:16" ht="15" customHeight="1">
      <c r="A153" s="200" t="s">
        <v>36</v>
      </c>
      <c r="B153" s="201">
        <f>+GETPIVOTDATA(" Old-Less Than 2-Year",'Pivot Table for 1-11'!$A$3,"State","WV","SREB Type",3,"SREB Type2","Four-Year")+GETPIVOTDATA(" Old-2 But Less Than 4-Year",'Pivot Table for 1-11'!$A$3,"State","WV","SREB Type",3,"SREB Type2","Four-Year")</f>
        <v>0</v>
      </c>
      <c r="C153" s="201">
        <f>+GETPIVOTDATA(" Old-Associate's",'Pivot Table for 1-11'!$A$3,"State","WV","SREB Type",3,"SREB Type2","Four-Year")</f>
        <v>115</v>
      </c>
      <c r="D153" s="201">
        <f>+GETPIVOTDATA(" Old-Bachelor's",'Pivot Table for 1-11'!$A$3,"State","WV","SREB Type",3,"SREB Type2","Four-Year")</f>
        <v>1661</v>
      </c>
      <c r="E153" s="201">
        <f>+GETPIVOTDATA(" Old-Post-Bachelor's",'Pivot Table for 1-11'!$A$3,"State","WV","SREB Type",3,"SREB Type2","Four-Year")</f>
        <v>0</v>
      </c>
      <c r="F153" s="201">
        <f>+GETPIVOTDATA(" Old-Total Master's#",'Pivot Table for 1-11'!$A$3,"State","WV","SREB Type",3,"SREB Type2","Four-Year")</f>
        <v>882</v>
      </c>
      <c r="G153" s="201">
        <f>+GETPIVOTDATA(" Old-Total Doctorates#",'Pivot Table for 1-11'!$A$3,"State","WV","SREB Type",3,"SREB Type2","Four-Year")</f>
        <v>26</v>
      </c>
      <c r="H153" s="202">
        <f>+GETPIVOTDATA(" Old-Law",'Pivot Table for 1-11'!$A$3,"State","WV","SREB Type",3,"SREB Type2","Four-Year")</f>
        <v>0</v>
      </c>
      <c r="I153" s="201">
        <f>+GETPIVOTDATA(" Old-Medicine",'Pivot Table for 1-11'!$A$3,"State","WV","SREB Type",3,"SREB Type2","Four-Year")</f>
        <v>60</v>
      </c>
      <c r="J153" s="201">
        <f>+GETPIVOTDATA(" Old-Dentistry",'Pivot Table for 1-11'!$A$3,"State","WV","SREB Type",3,"SREB Type2","Four-Year")</f>
        <v>0</v>
      </c>
      <c r="K153" s="201">
        <f>+GETPIVOTDATA(" Old-Pharmacy",'Pivot Table for 1-11'!$A$3,"State","WV","SREB Type",3,"SREB Type2","Four-Year")</f>
        <v>76</v>
      </c>
      <c r="L153" s="201">
        <f>+GETPIVOTDATA(" Old-Optometry",'Pivot Table for 1-11'!$A$3,"State","WV","SREB Type",3,"SREB Type2","Four-Year")</f>
        <v>0</v>
      </c>
      <c r="M153" s="201">
        <f>+GETPIVOTDATA(" Old-Osteopathic Medicine",'Pivot Table for 1-11'!$A$3,"State","WV","SREB Type",3,"SREB Type2","Four-Year")</f>
        <v>0</v>
      </c>
      <c r="N153" s="201">
        <f>+GETPIVOTDATA(" Old-Veterinary Medicine",'Pivot Table for 1-11'!$A$3,"State","WV","SREB Type",3,"SREB Type2","Four-Year")</f>
        <v>0</v>
      </c>
      <c r="O153" s="319">
        <f>+GETPIVOTDATA(" Old-Oth PP",'Pivot Table for 1-11'!$A$3,"State","WV","SREB Type",3,"SREB Type2","Four-Year")</f>
        <v>70</v>
      </c>
      <c r="P153" s="203">
        <f t="shared" si="3"/>
        <v>2890</v>
      </c>
    </row>
    <row r="154" spans="1:16">
      <c r="B154" s="197"/>
      <c r="C154" s="197"/>
      <c r="D154" s="197"/>
      <c r="E154" s="197"/>
      <c r="F154" s="197"/>
      <c r="G154" s="197"/>
      <c r="H154" s="197"/>
      <c r="I154" s="197"/>
      <c r="J154" s="197"/>
      <c r="K154" s="197"/>
      <c r="L154" s="197"/>
      <c r="M154" s="197"/>
      <c r="N154" s="197"/>
      <c r="O154" s="197"/>
      <c r="P154" s="197"/>
    </row>
    <row r="155" spans="1:16" ht="27.75" customHeight="1">
      <c r="A155" s="545" t="s">
        <v>37</v>
      </c>
      <c r="B155" s="546"/>
      <c r="C155" s="546"/>
      <c r="D155" s="546"/>
      <c r="E155" s="546"/>
      <c r="F155" s="546"/>
      <c r="G155" s="546"/>
      <c r="H155" s="546"/>
      <c r="I155" s="546"/>
      <c r="J155" s="546"/>
      <c r="K155" s="546"/>
      <c r="L155" s="546"/>
      <c r="M155" s="546"/>
      <c r="N155" s="546"/>
      <c r="O155" s="546"/>
      <c r="P155" s="546"/>
    </row>
    <row r="156" spans="1:16" ht="13.5" customHeight="1">
      <c r="B156" s="197"/>
      <c r="C156" s="197"/>
      <c r="D156" s="197"/>
      <c r="E156" s="197"/>
      <c r="F156" s="197"/>
      <c r="G156" s="197"/>
      <c r="H156" s="197"/>
      <c r="I156" s="197"/>
      <c r="J156" s="197"/>
      <c r="K156" s="197"/>
      <c r="L156" s="197"/>
      <c r="M156" s="197"/>
      <c r="N156" s="197"/>
      <c r="O156" s="197"/>
      <c r="P156" s="204" t="s">
        <v>1178</v>
      </c>
    </row>
    <row r="157" spans="1:16" ht="18">
      <c r="A157" s="186" t="s">
        <v>49</v>
      </c>
      <c r="B157" s="187"/>
      <c r="C157" s="187"/>
      <c r="D157" s="187"/>
      <c r="E157" s="187"/>
      <c r="F157" s="187"/>
      <c r="G157" s="187"/>
      <c r="H157" s="187"/>
      <c r="I157" s="187"/>
      <c r="J157" s="187"/>
      <c r="K157" s="187"/>
      <c r="L157" s="187"/>
      <c r="M157" s="187"/>
      <c r="N157" s="187"/>
      <c r="O157" s="187"/>
      <c r="P157" s="187"/>
    </row>
    <row r="158" spans="1:16" ht="15.75" customHeight="1">
      <c r="A158" s="188"/>
      <c r="B158" s="188"/>
      <c r="C158" s="188"/>
      <c r="D158" s="188"/>
      <c r="E158" s="188"/>
      <c r="F158" s="188"/>
      <c r="G158" s="188"/>
      <c r="H158" s="188"/>
      <c r="I158" s="188"/>
      <c r="J158" s="188"/>
      <c r="K158" s="188"/>
      <c r="L158" s="188"/>
      <c r="M158" s="188"/>
      <c r="N158" s="188"/>
      <c r="O158" s="188"/>
      <c r="P158" s="188"/>
    </row>
    <row r="159" spans="1:16" ht="15.5">
      <c r="A159" s="187" t="s">
        <v>2</v>
      </c>
      <c r="B159" s="187"/>
      <c r="C159" s="187"/>
      <c r="D159" s="187"/>
      <c r="E159" s="187"/>
      <c r="F159" s="187"/>
      <c r="G159" s="187"/>
      <c r="H159" s="187"/>
      <c r="I159" s="187"/>
      <c r="J159" s="187"/>
      <c r="K159" s="187"/>
      <c r="L159" s="187"/>
      <c r="M159" s="187"/>
      <c r="N159" s="187"/>
      <c r="O159" s="187"/>
      <c r="P159" s="187"/>
    </row>
    <row r="160" spans="1:16" ht="15.5">
      <c r="A160" s="187" t="s">
        <v>50</v>
      </c>
      <c r="B160" s="187"/>
      <c r="C160" s="187"/>
      <c r="D160" s="187"/>
      <c r="E160" s="187"/>
      <c r="F160" s="187"/>
      <c r="G160" s="187"/>
      <c r="H160" s="187"/>
      <c r="I160" s="187"/>
      <c r="J160" s="187"/>
      <c r="K160" s="187"/>
      <c r="L160" s="187"/>
      <c r="M160" s="187"/>
      <c r="N160" s="187"/>
      <c r="O160" s="187"/>
      <c r="P160" s="187"/>
    </row>
    <row r="161" spans="1:16" ht="15.5">
      <c r="A161" s="189"/>
      <c r="B161" s="189"/>
      <c r="C161" s="189"/>
      <c r="D161" s="189"/>
      <c r="E161" s="189"/>
      <c r="F161" s="189"/>
      <c r="G161" s="189"/>
      <c r="H161" s="189"/>
      <c r="I161" s="189"/>
      <c r="J161" s="189"/>
      <c r="K161" s="189"/>
      <c r="L161" s="189"/>
      <c r="M161" s="189"/>
      <c r="N161" s="189"/>
      <c r="O161" s="189"/>
      <c r="P161" s="189"/>
    </row>
    <row r="162" spans="1:16" ht="15.5">
      <c r="A162" s="190"/>
      <c r="B162" s="190"/>
      <c r="C162" s="190"/>
      <c r="D162" s="190"/>
      <c r="E162" s="190"/>
      <c r="F162" s="190"/>
      <c r="G162" s="190"/>
      <c r="H162" s="326" t="s">
        <v>4</v>
      </c>
      <c r="I162" s="191"/>
      <c r="J162" s="191"/>
      <c r="K162" s="191"/>
      <c r="L162" s="191"/>
      <c r="M162" s="191"/>
      <c r="N162" s="191"/>
      <c r="O162" s="327"/>
      <c r="P162" s="192" t="s">
        <v>1</v>
      </c>
    </row>
    <row r="163" spans="1:16" ht="42" customHeight="1">
      <c r="A163" s="193"/>
      <c r="B163" s="194" t="s">
        <v>5</v>
      </c>
      <c r="C163" s="194" t="s">
        <v>6</v>
      </c>
      <c r="D163" s="194" t="s">
        <v>7</v>
      </c>
      <c r="E163" s="194" t="s">
        <v>8</v>
      </c>
      <c r="F163" s="194" t="s">
        <v>9</v>
      </c>
      <c r="G163" s="194" t="s">
        <v>10</v>
      </c>
      <c r="H163" s="195" t="s">
        <v>11</v>
      </c>
      <c r="I163" s="194" t="s">
        <v>81</v>
      </c>
      <c r="J163" s="194" t="s">
        <v>13</v>
      </c>
      <c r="K163" s="194" t="s">
        <v>14</v>
      </c>
      <c r="L163" s="194" t="s">
        <v>15</v>
      </c>
      <c r="M163" s="194" t="s">
        <v>16</v>
      </c>
      <c r="N163" s="194" t="s">
        <v>82</v>
      </c>
      <c r="O163" s="328" t="s">
        <v>83</v>
      </c>
      <c r="P163" s="194" t="s">
        <v>19</v>
      </c>
    </row>
    <row r="164" spans="1:16" ht="15" customHeight="1">
      <c r="A164" s="196" t="s">
        <v>20</v>
      </c>
      <c r="B164" s="197">
        <f>+GETPIVOTDATA(" Old-Less Than 2-Year",'Pivot Table for 1-11'!$A$3,"SREB Type",4,"SREB Type2","Four-Year")+GETPIVOTDATA(" Old-2 But Less Than 4-Year",'Pivot Table for 1-11'!$A$3,"SREB Type",4,"SREB Type2","Four-Year")</f>
        <v>827</v>
      </c>
      <c r="C164" s="197">
        <f>+GETPIVOTDATA(" Old-Associate's",'Pivot Table for 1-11'!$A$3,"SREB Type",4,"SREB Type2","Four-Year")</f>
        <v>3065</v>
      </c>
      <c r="D164" s="197">
        <f>+GETPIVOTDATA(" Old-Bachelor's",'Pivot Table for 1-11'!$A$3,"SREB Type",4,"SREB Type2","Four-Year")</f>
        <v>25635</v>
      </c>
      <c r="E164" s="197">
        <f>+GETPIVOTDATA(" Old-Post-Bachelor's",'Pivot Table for 1-11'!$A$3,"SREB Type",4,"SREB Type2","Four-Year")</f>
        <v>311</v>
      </c>
      <c r="F164" s="197">
        <f>+GETPIVOTDATA(" Old-Total Master's#",'Pivot Table for 1-11'!$A$3,"SREB Type",4,"SREB Type2","Four-Year")</f>
        <v>9504</v>
      </c>
      <c r="G164" s="197">
        <f>+GETPIVOTDATA(" Old-Total Doctorates#",'Pivot Table for 1-11'!$A$3,"SREB Type",4,"SREB Type2","Four-Year")</f>
        <v>217</v>
      </c>
      <c r="H164" s="230">
        <f>+GETPIVOTDATA(" Old-Law",'Pivot Table for 1-11'!$A$3,"SREB Type",4,"SREB Type2","Four-Year")</f>
        <v>113</v>
      </c>
      <c r="I164" s="197">
        <f>+GETPIVOTDATA(" Old-Medicine",'Pivot Table for 1-11'!$A$3,"SREB Type",4,"SREB Type2","Four-Year")</f>
        <v>246</v>
      </c>
      <c r="J164" s="197">
        <f>+GETPIVOTDATA(" Old-Dentistry",'Pivot Table for 1-11'!$A$3,"SREB Type",4,"SREB Type2","Four-Year")</f>
        <v>96</v>
      </c>
      <c r="K164" s="197">
        <f>+GETPIVOTDATA(" Old-Pharmacy",'Pivot Table for 1-11'!$A$3,"SREB Type",4,"SREB Type2","Four-Year")</f>
        <v>0</v>
      </c>
      <c r="L164" s="197">
        <f>+GETPIVOTDATA(" Old-Optometry",'Pivot Table for 1-11'!$A$3,"SREB Type",4,"SREB Type2","Four-Year")</f>
        <v>0</v>
      </c>
      <c r="M164" s="197">
        <f>+GETPIVOTDATA(" Old-Osteopathic Medicine",'Pivot Table for 1-11'!$A$3,"SREB Type",4,"SREB Type2","Four-Year")</f>
        <v>0</v>
      </c>
      <c r="N164" s="197">
        <f>+GETPIVOTDATA(" Old-Veterinary Medicine",'Pivot Table for 1-11'!$A$3,"SREB Type",4,"SREB Type2","Four-Year")</f>
        <v>0</v>
      </c>
      <c r="O164" s="198">
        <f>+GETPIVOTDATA(" Old-Oth PP",'Pivot Table for 1-11'!$A$3,"SREB Type",4,"SREB Type2","Four-Year")</f>
        <v>39</v>
      </c>
      <c r="P164" s="199">
        <f>SUM(B164:O164)</f>
        <v>40053</v>
      </c>
    </row>
    <row r="165" spans="1:16" ht="15" customHeight="1">
      <c r="A165" s="196"/>
      <c r="B165" s="197"/>
      <c r="C165" s="197"/>
      <c r="D165" s="197"/>
      <c r="E165" s="197"/>
      <c r="F165" s="197"/>
      <c r="G165" s="197"/>
      <c r="H165" s="230"/>
      <c r="I165" s="197"/>
      <c r="J165" s="197"/>
      <c r="K165" s="197"/>
      <c r="L165" s="197"/>
      <c r="M165" s="197"/>
      <c r="N165" s="197"/>
      <c r="O165" s="198"/>
      <c r="P165" s="199"/>
    </row>
    <row r="166" spans="1:16" ht="15" customHeight="1">
      <c r="A166" s="196" t="s">
        <v>21</v>
      </c>
      <c r="B166" s="197">
        <f>GETPIVOTDATA(" Old-Less Than 2-Year",'Pivot Table for 1-11'!$A$3,"State","AL","SREB Type",4,"SREB Type2","Four-Year")+GETPIVOTDATA(" Old-2 But Less Than 4-Year",'Pivot Table for 1-11'!$A$3,"State","AL","SREB Type",4,"SREB Type2","Four-Year")</f>
        <v>0</v>
      </c>
      <c r="C166" s="197">
        <f>+GETPIVOTDATA(" Old-Associate's",'Pivot Table for 1-11'!$A$3,"State","AL","SREB Type",4,"SREB Type2","Four-Year")</f>
        <v>57</v>
      </c>
      <c r="D166" s="197">
        <f>+GETPIVOTDATA(" Old-Bachelor's",'Pivot Table for 1-11'!$A$3,"State","AL","SREB Type",4,"SREB Type2","Four-Year")</f>
        <v>829</v>
      </c>
      <c r="E166" s="197">
        <f>+GETPIVOTDATA(" Old-Post-Bachelor's",'Pivot Table for 1-11'!$A$3,"State","AL","SREB Type",4,"SREB Type2","Four-Year")</f>
        <v>0</v>
      </c>
      <c r="F166" s="197">
        <f>+GETPIVOTDATA(" Old-Total Master's#",'Pivot Table for 1-11'!$A$3,"State","AL","SREB Type",4,"SREB Type2","Four-Year")</f>
        <v>1114</v>
      </c>
      <c r="G166" s="197">
        <f>+GETPIVOTDATA(" Old-Total Doctorates#",'Pivot Table for 1-11'!$A$3,"State","AL","SREB Type",4,"SREB Type2","Four-Year")</f>
        <v>4</v>
      </c>
      <c r="H166" s="230">
        <f>+GETPIVOTDATA(" Old-Law",'Pivot Table for 1-11'!$A$3,"State","AL","SREB Type",4,"SREB Type2","Four-Year")</f>
        <v>0</v>
      </c>
      <c r="I166" s="197">
        <f>+GETPIVOTDATA(" Old-Medicine",'Pivot Table for 1-11'!$A$3,"State","AL","SREB Type",4,"SREB Type2","Four-Year")</f>
        <v>0</v>
      </c>
      <c r="J166" s="197">
        <f>+GETPIVOTDATA(" Old-Dentistry",'Pivot Table for 1-11'!$A$3,"State","AL","SREB Type",4,"SREB Type2","Four-Year")</f>
        <v>0</v>
      </c>
      <c r="K166" s="197">
        <f>+GETPIVOTDATA(" Old-Pharmacy",'Pivot Table for 1-11'!$A$3,"State","AL","SREB Type",4,"SREB Type2","Four-Year")</f>
        <v>0</v>
      </c>
      <c r="L166" s="197">
        <f>+GETPIVOTDATA(" Old-Optometry",'Pivot Table for 1-11'!$A$3,"State","AL","SREB Type",4,"SREB Type2","Four-Year")</f>
        <v>0</v>
      </c>
      <c r="M166" s="197">
        <f>+GETPIVOTDATA(" Old-Osteopathic Medicine",'Pivot Table for 1-11'!$A$3,"State","AL","SREB Type",4,"SREB Type2","Four-Year")</f>
        <v>0</v>
      </c>
      <c r="N166" s="197">
        <f>+GETPIVOTDATA(" Old-Veterinary Medicine",'Pivot Table for 1-11'!$A$3,"State","AL","SREB Type",4,"SREB Type2","Four-Year")</f>
        <v>0</v>
      </c>
      <c r="O166" s="198">
        <f>+GETPIVOTDATA(" Old-Oth PP",'Pivot Table for 1-11'!$A$3,"State","AL","SREB Type",4,"SREB Type2","Four-Year")</f>
        <v>23</v>
      </c>
      <c r="P166" s="199">
        <f t="shared" ref="P166:P184" si="4">SUM(B166:O166)</f>
        <v>2027</v>
      </c>
    </row>
    <row r="167" spans="1:16" ht="15" customHeight="1">
      <c r="A167" s="196" t="s">
        <v>22</v>
      </c>
      <c r="B167" s="197">
        <f>+GETPIVOTDATA(" Old-Less Than 2-Year",'Pivot Table for 1-11'!$A$3,"State","AR","SREB Type",4,"SREB Type2","Four-Year")+GETPIVOTDATA(" Old-2 But Less Than 4-Year",'Pivot Table for 1-11'!$A$3,"State","AR","SREB Type",4,"SREB Type2","Four-Year")</f>
        <v>495</v>
      </c>
      <c r="C167" s="197">
        <f>+GETPIVOTDATA(" Old-Associate's",'Pivot Table for 1-11'!$A$3,"State","AR","SREB Type",4,"SREB Type2","Four-Year")</f>
        <v>719</v>
      </c>
      <c r="D167" s="197">
        <f>+GETPIVOTDATA(" Old-Bachelor's",'Pivot Table for 1-11'!$A$3,"State","AR","SREB Type",4,"SREB Type2","Four-Year")</f>
        <v>1382</v>
      </c>
      <c r="E167" s="197">
        <f>+GETPIVOTDATA(" Old-Post-Bachelor's",'Pivot Table for 1-11'!$A$3,"State","AR","SREB Type",4,"SREB Type2","Four-Year")</f>
        <v>43</v>
      </c>
      <c r="F167" s="197">
        <f>+GETPIVOTDATA(" Old-Total Master's#",'Pivot Table for 1-11'!$A$3,"State","AR","SREB Type",4,"SREB Type2","Four-Year")</f>
        <v>656</v>
      </c>
      <c r="G167" s="197">
        <f>+GETPIVOTDATA(" Old-Total Doctorates#",'Pivot Table for 1-11'!$A$3,"State","AR","SREB Type",4,"SREB Type2","Four-Year")</f>
        <v>0</v>
      </c>
      <c r="H167" s="230">
        <f>+GETPIVOTDATA(" Old-Law",'Pivot Table for 1-11'!$A$3,"State","AR","SREB Type",4,"SREB Type2","Four-Year")</f>
        <v>0</v>
      </c>
      <c r="I167" s="197">
        <f>+GETPIVOTDATA(" Old-Medicine",'Pivot Table for 1-11'!$A$3,"State","AR","SREB Type",4,"SREB Type2","Four-Year")</f>
        <v>0</v>
      </c>
      <c r="J167" s="197">
        <f>+GETPIVOTDATA(" Old-Dentistry",'Pivot Table for 1-11'!$A$3,"State","AR","SREB Type",4,"SREB Type2","Four-Year")</f>
        <v>0</v>
      </c>
      <c r="K167" s="197">
        <f>+GETPIVOTDATA(" Old-Pharmacy",'Pivot Table for 1-11'!$A$3,"State","AR","SREB Type",4,"SREB Type2","Four-Year")</f>
        <v>0</v>
      </c>
      <c r="L167" s="197">
        <f>+GETPIVOTDATA(" Old-Optometry",'Pivot Table for 1-11'!$A$3,"State","AR","SREB Type",4,"SREB Type2","Four-Year")</f>
        <v>0</v>
      </c>
      <c r="M167" s="197">
        <f>+GETPIVOTDATA(" Old-Osteopathic Medicine",'Pivot Table for 1-11'!$A$3,"State","AR","SREB Type",4,"SREB Type2","Four-Year")</f>
        <v>0</v>
      </c>
      <c r="N167" s="197">
        <f>+GETPIVOTDATA(" Old-Veterinary Medicine",'Pivot Table for 1-11'!$A$3,"State","AR","SREB Type",4,"SREB Type2","Four-Year")</f>
        <v>0</v>
      </c>
      <c r="O167" s="198">
        <f>+GETPIVOTDATA(" Old-Oth PP",'Pivot Table for 1-11'!$A$3,"State","AR","SREB Type",4,"SREB Type2","Four-Year")</f>
        <v>0</v>
      </c>
      <c r="P167" s="199">
        <f t="shared" si="4"/>
        <v>3295</v>
      </c>
    </row>
    <row r="168" spans="1:16" ht="15" customHeight="1">
      <c r="A168" s="196" t="s">
        <v>23</v>
      </c>
      <c r="B168" s="197">
        <f>+GETPIVOTDATA(" Old-Less Than 2-Year",'Pivot Table for 1-11'!$A$3,"State","DE","SREB Type",4,"SREB Type2","Four-Year")+GETPIVOTDATA(" Old-2 But Less Than 4-Year",'Pivot Table for 1-11'!$A$3,"State","DE","SREB Type",4,"SREB Type2","Four-Year")</f>
        <v>0</v>
      </c>
      <c r="C168" s="197">
        <f>+GETPIVOTDATA(" Old-Associate's",'Pivot Table for 1-11'!$A$3,"State","DE","SREB Type",4,"SREB Type2","Four-Year")</f>
        <v>0</v>
      </c>
      <c r="D168" s="197">
        <f>+GETPIVOTDATA(" Old-Bachelor's",'Pivot Table for 1-11'!$A$3,"State","DE","SREB Type",4,"SREB Type2","Four-Year")</f>
        <v>0</v>
      </c>
      <c r="E168" s="197">
        <f>+GETPIVOTDATA(" Old-Post-Bachelor's",'Pivot Table for 1-11'!$A$3,"State","DE","SREB Type",4,"SREB Type2","Four-Year")</f>
        <v>0</v>
      </c>
      <c r="F168" s="197">
        <f>+GETPIVOTDATA(" Old-Total Master's#",'Pivot Table for 1-11'!$A$3,"State","DE","SREB Type",4,"SREB Type2","Four-Year")</f>
        <v>0</v>
      </c>
      <c r="G168" s="197">
        <f>+GETPIVOTDATA(" Old-Total Doctorates#",'Pivot Table for 1-11'!$A$3,"State","DE","SREB Type",4,"SREB Type2","Four-Year")</f>
        <v>0</v>
      </c>
      <c r="H168" s="230">
        <f>+GETPIVOTDATA(" Old-Law",'Pivot Table for 1-11'!$A$3,"State","DE","SREB Type",4,"SREB Type2","Four-Year")</f>
        <v>0</v>
      </c>
      <c r="I168" s="197">
        <f>+GETPIVOTDATA(" Old-Medicine",'Pivot Table for 1-11'!$A$3,"State","DE","SREB Type",4,"SREB Type2","Four-Year")</f>
        <v>0</v>
      </c>
      <c r="J168" s="197">
        <f>+GETPIVOTDATA(" Old-Dentistry",'Pivot Table for 1-11'!$A$3,"State","DE","SREB Type",4,"SREB Type2","Four-Year")</f>
        <v>0</v>
      </c>
      <c r="K168" s="197">
        <f>+GETPIVOTDATA(" Old-Pharmacy",'Pivot Table for 1-11'!$A$3,"State","DE","SREB Type",4,"SREB Type2","Four-Year")</f>
        <v>0</v>
      </c>
      <c r="L168" s="197">
        <f>+GETPIVOTDATA(" Old-Optometry",'Pivot Table for 1-11'!$A$3,"State","DE","SREB Type",4,"SREB Type2","Four-Year")</f>
        <v>0</v>
      </c>
      <c r="M168" s="197">
        <f>+GETPIVOTDATA(" Old-Osteopathic Medicine",'Pivot Table for 1-11'!$A$3,"State","DE","SREB Type",4,"SREB Type2","Four-Year")</f>
        <v>0</v>
      </c>
      <c r="N168" s="197">
        <f>+GETPIVOTDATA(" Old-Veterinary Medicine",'Pivot Table for 1-11'!$A$3,"State","DE","SREB Type",4,"SREB Type2","Four-Year")</f>
        <v>0</v>
      </c>
      <c r="O168" s="198">
        <f>+GETPIVOTDATA(" Old-Oth PP",'Pivot Table for 1-11'!$A$3,"State","DE","SREB Type",4,"SREB Type2","Four-Year")</f>
        <v>0</v>
      </c>
      <c r="P168" s="199">
        <f t="shared" si="4"/>
        <v>0</v>
      </c>
    </row>
    <row r="169" spans="1:16" ht="15" customHeight="1">
      <c r="A169" s="196" t="s">
        <v>24</v>
      </c>
      <c r="B169" s="197">
        <f>+GETPIVOTDATA(" Old-Less Than 2-Year",'Pivot Table for 1-11'!$A$3,"State","FL","SREB Type",4,"SREB Type2","Four-Year")+GETPIVOTDATA(" Old-2 But Less Than 4-Year",'Pivot Table for 1-11'!$A$3,"State","FL","SREB Type",4,"SREB Type2","Four-Year")</f>
        <v>0</v>
      </c>
      <c r="C169" s="197">
        <f>+GETPIVOTDATA(" Old-Associate's",'Pivot Table for 1-11'!$A$3,"State","FL","SREB Type",4,"SREB Type2","Four-Year")</f>
        <v>0</v>
      </c>
      <c r="D169" s="197">
        <f>+GETPIVOTDATA(" Old-Bachelor's",'Pivot Table for 1-11'!$A$3,"State","FL","SREB Type",4,"SREB Type2","Four-Year")</f>
        <v>0</v>
      </c>
      <c r="E169" s="197">
        <f>+GETPIVOTDATA(" Old-Post-Bachelor's",'Pivot Table for 1-11'!$A$3,"State","FL","SREB Type",4,"SREB Type2","Four-Year")</f>
        <v>0</v>
      </c>
      <c r="F169" s="197">
        <f>+GETPIVOTDATA(" Old-Total Master's#",'Pivot Table for 1-11'!$A$3,"State","FL","SREB Type",4,"SREB Type2","Four-Year")</f>
        <v>0</v>
      </c>
      <c r="G169" s="197">
        <f>+GETPIVOTDATA(" Old-Total Doctorates#",'Pivot Table for 1-11'!$A$3,"State","FL","SREB Type",4,"SREB Type2","Four-Year")</f>
        <v>0</v>
      </c>
      <c r="H169" s="230">
        <f>+GETPIVOTDATA(" Old-Law",'Pivot Table for 1-11'!$A$3,"State","FL","SREB Type",4,"SREB Type2","Four-Year")</f>
        <v>0</v>
      </c>
      <c r="I169" s="197">
        <f>+GETPIVOTDATA(" Old-Medicine",'Pivot Table for 1-11'!$A$3,"State","FL","SREB Type",4,"SREB Type2","Four-Year")</f>
        <v>0</v>
      </c>
      <c r="J169" s="197">
        <f>+GETPIVOTDATA(" Old-Dentistry",'Pivot Table for 1-11'!$A$3,"State","FL","SREB Type",4,"SREB Type2","Four-Year")</f>
        <v>0</v>
      </c>
      <c r="K169" s="197">
        <f>+GETPIVOTDATA(" Old-Pharmacy",'Pivot Table for 1-11'!$A$3,"State","FL","SREB Type",4,"SREB Type2","Four-Year")</f>
        <v>0</v>
      </c>
      <c r="L169" s="197">
        <f>+GETPIVOTDATA(" Old-Optometry",'Pivot Table for 1-11'!$A$3,"State","FL","SREB Type",4,"SREB Type2","Four-Year")</f>
        <v>0</v>
      </c>
      <c r="M169" s="197">
        <f>+GETPIVOTDATA(" Old-Osteopathic Medicine",'Pivot Table for 1-11'!$A$3,"State","FL","SREB Type",4,"SREB Type2","Four-Year")</f>
        <v>0</v>
      </c>
      <c r="N169" s="197">
        <f>+GETPIVOTDATA(" Old-Veterinary Medicine",'Pivot Table for 1-11'!$A$3,"State","FL","SREB Type",4,"SREB Type2","Four-Year")</f>
        <v>0</v>
      </c>
      <c r="O169" s="198">
        <f>+GETPIVOTDATA(" Old-Oth PP",'Pivot Table for 1-11'!$A$3,"State","FL","SREB Type",4,"SREB Type2","Four-Year")</f>
        <v>0</v>
      </c>
      <c r="P169" s="199">
        <f t="shared" si="4"/>
        <v>0</v>
      </c>
    </row>
    <row r="170" spans="1:16" ht="15" customHeight="1">
      <c r="A170" s="196"/>
      <c r="B170" s="197"/>
      <c r="C170" s="197"/>
      <c r="D170" s="197"/>
      <c r="E170" s="197"/>
      <c r="F170" s="197"/>
      <c r="G170" s="197"/>
      <c r="H170" s="230"/>
      <c r="I170" s="197"/>
      <c r="J170" s="197"/>
      <c r="K170" s="197"/>
      <c r="L170" s="197"/>
      <c r="M170" s="197"/>
      <c r="N170" s="197"/>
      <c r="O170" s="198"/>
      <c r="P170" s="199"/>
    </row>
    <row r="171" spans="1:16" ht="15" customHeight="1">
      <c r="A171" s="196" t="s">
        <v>25</v>
      </c>
      <c r="B171" s="197">
        <f>+GETPIVOTDATA(" Old-Less Than 2-Year",'Pivot Table for 1-11'!$A$3,"State","GA","SREB Type",4,"SREB Type2","Four-Year")+GETPIVOTDATA(" Old-2 But Less Than 4-Year",'Pivot Table for 1-11'!$A$3,"State","GA","SREB Type",4,"SREB Type2","Four-Year")</f>
        <v>327</v>
      </c>
      <c r="C171" s="197">
        <f>+GETPIVOTDATA(" Old-Associate's",'Pivot Table for 1-11'!$A$3,"State","GA","SREB Type",4,"SREB Type2","Four-Year")</f>
        <v>1625</v>
      </c>
      <c r="D171" s="197">
        <f>+GETPIVOTDATA(" Old-Bachelor's",'Pivot Table for 1-11'!$A$3,"State","GA","SREB Type",4,"SREB Type2","Four-Year")</f>
        <v>7196</v>
      </c>
      <c r="E171" s="197">
        <f>+GETPIVOTDATA(" Old-Post-Bachelor's",'Pivot Table for 1-11'!$A$3,"State","GA","SREB Type",4,"SREB Type2","Four-Year")</f>
        <v>205</v>
      </c>
      <c r="F171" s="197">
        <f>+GETPIVOTDATA(" Old-Total Master's#",'Pivot Table for 1-11'!$A$3,"State","GA","SREB Type",4,"SREB Type2","Four-Year")</f>
        <v>2300</v>
      </c>
      <c r="G171" s="197">
        <f>+GETPIVOTDATA(" Old-Total Doctorates#",'Pivot Table for 1-11'!$A$3,"State","GA","SREB Type",4,"SREB Type2","Four-Year")</f>
        <v>170</v>
      </c>
      <c r="H171" s="230">
        <f>+GETPIVOTDATA(" Old-Law",'Pivot Table for 1-11'!$A$3,"State","GA","SREB Type",4,"SREB Type2","Four-Year")</f>
        <v>0</v>
      </c>
      <c r="I171" s="197">
        <f>+GETPIVOTDATA(" Old-Medicine",'Pivot Table for 1-11'!$A$3,"State","GA","SREB Type",4,"SREB Type2","Four-Year")</f>
        <v>246</v>
      </c>
      <c r="J171" s="197">
        <f>+GETPIVOTDATA(" Old-Dentistry",'Pivot Table for 1-11'!$A$3,"State","GA","SREB Type",4,"SREB Type2","Four-Year")</f>
        <v>96</v>
      </c>
      <c r="K171" s="197">
        <f>+GETPIVOTDATA(" Old-Pharmacy",'Pivot Table for 1-11'!$A$3,"State","GA","SREB Type",4,"SREB Type2","Four-Year")</f>
        <v>0</v>
      </c>
      <c r="L171" s="197">
        <f>+GETPIVOTDATA(" Old-Optometry",'Pivot Table for 1-11'!$A$3,"State","GA","SREB Type",4,"SREB Type2","Four-Year")</f>
        <v>0</v>
      </c>
      <c r="M171" s="197">
        <f>+GETPIVOTDATA(" Old-Osteopathic Medicine",'Pivot Table for 1-11'!$A$3,"State","GA","SREB Type",4,"SREB Type2","Four-Year")</f>
        <v>0</v>
      </c>
      <c r="N171" s="197">
        <f>+GETPIVOTDATA(" Old-Veterinary Medicine",'Pivot Table for 1-11'!$A$3,"State","GA","SREB Type",4,"SREB Type2","Four-Year")</f>
        <v>0</v>
      </c>
      <c r="O171" s="198">
        <f>+GETPIVOTDATA(" Old-Oth PP",'Pivot Table for 1-11'!$A$3,"State","GA","SREB Type",4,"SREB Type2","Four-Year")</f>
        <v>0</v>
      </c>
      <c r="P171" s="199">
        <f t="shared" si="4"/>
        <v>12165</v>
      </c>
    </row>
    <row r="172" spans="1:16" ht="15" customHeight="1">
      <c r="A172" s="196" t="s">
        <v>26</v>
      </c>
      <c r="B172" s="197">
        <f>+GETPIVOTDATA(" Old-Less Than 2-Year",'Pivot Table for 1-11'!$A$3,"State","KY","SREB Type",4,"SREB Type2","Four-Year")+GETPIVOTDATA(" Old-2 But Less Than 4-Year",'Pivot Table for 1-11'!$A$3,"State","KY","SREB Type",4,"SREB Type2","Four-Year")</f>
        <v>5</v>
      </c>
      <c r="C172" s="197">
        <f>+GETPIVOTDATA(" Old-Associate's",'Pivot Table for 1-11'!$A$3,"State","KY","SREB Type",4,"SREB Type2","Four-Year")</f>
        <v>32</v>
      </c>
      <c r="D172" s="197">
        <f>+GETPIVOTDATA(" Old-Bachelor's",'Pivot Table for 1-11'!$A$3,"State","KY","SREB Type",4,"SREB Type2","Four-Year")</f>
        <v>212</v>
      </c>
      <c r="E172" s="197">
        <f>+GETPIVOTDATA(" Old-Post-Bachelor's",'Pivot Table for 1-11'!$A$3,"State","KY","SREB Type",4,"SREB Type2","Four-Year")</f>
        <v>0</v>
      </c>
      <c r="F172" s="197">
        <f>+GETPIVOTDATA(" Old-Total Master's#",'Pivot Table for 1-11'!$A$3,"State","KY","SREB Type",4,"SREB Type2","Four-Year")</f>
        <v>49</v>
      </c>
      <c r="G172" s="197">
        <f>+GETPIVOTDATA(" Old-Total Doctorates#",'Pivot Table for 1-11'!$A$3,"State","KY","SREB Type",4,"SREB Type2","Four-Year")</f>
        <v>0</v>
      </c>
      <c r="H172" s="230">
        <f>+GETPIVOTDATA(" Old-Law",'Pivot Table for 1-11'!$A$3,"State","KY","SREB Type",4,"SREB Type2","Four-Year")</f>
        <v>0</v>
      </c>
      <c r="I172" s="197">
        <f>+GETPIVOTDATA(" Old-Medicine",'Pivot Table for 1-11'!$A$3,"State","KY","SREB Type",4,"SREB Type2","Four-Year")</f>
        <v>0</v>
      </c>
      <c r="J172" s="197">
        <f>+GETPIVOTDATA(" Old-Dentistry",'Pivot Table for 1-11'!$A$3,"State","KY","SREB Type",4,"SREB Type2","Four-Year")</f>
        <v>0</v>
      </c>
      <c r="K172" s="197">
        <f>+GETPIVOTDATA(" Old-Pharmacy",'Pivot Table for 1-11'!$A$3,"State","KY","SREB Type",4,"SREB Type2","Four-Year")</f>
        <v>0</v>
      </c>
      <c r="L172" s="197">
        <f>+GETPIVOTDATA(" Old-Optometry",'Pivot Table for 1-11'!$A$3,"State","KY","SREB Type",4,"SREB Type2","Four-Year")</f>
        <v>0</v>
      </c>
      <c r="M172" s="197">
        <f>+GETPIVOTDATA(" Old-Osteopathic Medicine",'Pivot Table for 1-11'!$A$3,"State","KY","SREB Type",4,"SREB Type2","Four-Year")</f>
        <v>0</v>
      </c>
      <c r="N172" s="197">
        <f>+GETPIVOTDATA(" Old-Veterinary Medicine",'Pivot Table for 1-11'!$A$3,"State","KY","SREB Type",4,"SREB Type2","Four-Year")</f>
        <v>0</v>
      </c>
      <c r="O172" s="198">
        <f>+GETPIVOTDATA(" Old-Oth PP",'Pivot Table for 1-11'!$A$3,"State","KY","SREB Type",4,"SREB Type2","Four-Year")</f>
        <v>2</v>
      </c>
      <c r="P172" s="199">
        <f t="shared" si="4"/>
        <v>300</v>
      </c>
    </row>
    <row r="173" spans="1:16" ht="15" customHeight="1">
      <c r="A173" s="196" t="s">
        <v>27</v>
      </c>
      <c r="B173" s="197">
        <f>+GETPIVOTDATA(" Old-Less Than 2-Year",'Pivot Table for 1-11'!$A$3,"State","LA","SREB Type",4,"SREB Type2","Four-Year")+GETPIVOTDATA(" Old-2 But Less Than 4-Year",'Pivot Table for 1-11'!$A$3,"State","LA","SREB Type",4,"SREB Type2","Four-Year")</f>
        <v>0</v>
      </c>
      <c r="C173" s="197">
        <f>+GETPIVOTDATA(" Old-Associate's",'Pivot Table for 1-11'!$A$3,"State","LA","SREB Type",4,"SREB Type2","Four-Year")</f>
        <v>564</v>
      </c>
      <c r="D173" s="197">
        <f>+GETPIVOTDATA(" Old-Bachelor's",'Pivot Table for 1-11'!$A$3,"State","LA","SREB Type",4,"SREB Type2","Four-Year")</f>
        <v>3185</v>
      </c>
      <c r="E173" s="197">
        <f>+GETPIVOTDATA(" Old-Post-Bachelor's",'Pivot Table for 1-11'!$A$3,"State","LA","SREB Type",4,"SREB Type2","Four-Year")</f>
        <v>60</v>
      </c>
      <c r="F173" s="197">
        <f>+GETPIVOTDATA(" Old-Total Master's#",'Pivot Table for 1-11'!$A$3,"State","LA","SREB Type",4,"SREB Type2","Four-Year")</f>
        <v>2490</v>
      </c>
      <c r="G173" s="197">
        <f>+GETPIVOTDATA(" Old-Total Doctorates#",'Pivot Table for 1-11'!$A$3,"State","LA","SREB Type",4,"SREB Type2","Four-Year")</f>
        <v>11</v>
      </c>
      <c r="H173" s="230">
        <f>+GETPIVOTDATA(" Old-Law",'Pivot Table for 1-11'!$A$3,"State","LA","SREB Type",4,"SREB Type2","Four-Year")</f>
        <v>0</v>
      </c>
      <c r="I173" s="197">
        <f>+GETPIVOTDATA(" Old-Medicine",'Pivot Table for 1-11'!$A$3,"State","LA","SREB Type",4,"SREB Type2","Four-Year")</f>
        <v>0</v>
      </c>
      <c r="J173" s="197">
        <f>+GETPIVOTDATA(" Old-Dentistry",'Pivot Table for 1-11'!$A$3,"State","LA","SREB Type",4,"SREB Type2","Four-Year")</f>
        <v>0</v>
      </c>
      <c r="K173" s="197">
        <f>+GETPIVOTDATA(" Old-Pharmacy",'Pivot Table for 1-11'!$A$3,"State","LA","SREB Type",4,"SREB Type2","Four-Year")</f>
        <v>0</v>
      </c>
      <c r="L173" s="197">
        <f>+GETPIVOTDATA(" Old-Optometry",'Pivot Table for 1-11'!$A$3,"State","LA","SREB Type",4,"SREB Type2","Four-Year")</f>
        <v>0</v>
      </c>
      <c r="M173" s="197">
        <f>+GETPIVOTDATA(" Old-Osteopathic Medicine",'Pivot Table for 1-11'!$A$3,"State","LA","SREB Type",4,"SREB Type2","Four-Year")</f>
        <v>0</v>
      </c>
      <c r="N173" s="197">
        <f>+GETPIVOTDATA(" Old-Veterinary Medicine",'Pivot Table for 1-11'!$A$3,"State","LA","SREB Type",4,"SREB Type2","Four-Year")</f>
        <v>0</v>
      </c>
      <c r="O173" s="198">
        <f>+GETPIVOTDATA(" Old-Oth PP",'Pivot Table for 1-11'!$A$3,"State","LA","SREB Type",4,"SREB Type2","Four-Year")</f>
        <v>7</v>
      </c>
      <c r="P173" s="199">
        <f t="shared" si="4"/>
        <v>6317</v>
      </c>
    </row>
    <row r="174" spans="1:16" ht="15" customHeight="1">
      <c r="A174" s="196" t="s">
        <v>28</v>
      </c>
      <c r="B174" s="197">
        <f>+GETPIVOTDATA(" Old-Less Than 2-Year",'Pivot Table for 1-11'!$A$3,"State","MD","SREB Type",4,"SREB Type2","Four-Year")+GETPIVOTDATA(" Old-2 But Less Than 4-Year",'Pivot Table for 1-11'!$A$3,"State","MD","SREB Type",4,"SREB Type2","Four-Year")</f>
        <v>0</v>
      </c>
      <c r="C174" s="197">
        <f>+GETPIVOTDATA(" Old-Associate's",'Pivot Table for 1-11'!$A$3,"State","MD","SREB Type",4,"SREB Type2","Four-Year")</f>
        <v>0</v>
      </c>
      <c r="D174" s="197">
        <f>+GETPIVOTDATA(" Old-Bachelor's",'Pivot Table for 1-11'!$A$3,"State","MD","SREB Type",4,"SREB Type2","Four-Year")</f>
        <v>0</v>
      </c>
      <c r="E174" s="197">
        <f>+GETPIVOTDATA(" Old-Post-Bachelor's",'Pivot Table for 1-11'!$A$3,"State","MD","SREB Type",4,"SREB Type2","Four-Year")</f>
        <v>0</v>
      </c>
      <c r="F174" s="197">
        <f>+GETPIVOTDATA(" Old-Total Master's#",'Pivot Table for 1-11'!$A$3,"State","MD","SREB Type",4,"SREB Type2","Four-Year")</f>
        <v>0</v>
      </c>
      <c r="G174" s="197">
        <f>+GETPIVOTDATA(" Old-Total Doctorates#",'Pivot Table for 1-11'!$A$3,"State","MD","SREB Type",4,"SREB Type2","Four-Year")</f>
        <v>0</v>
      </c>
      <c r="H174" s="230">
        <f>+GETPIVOTDATA(" Old-Law",'Pivot Table for 1-11'!$A$3,"State","MD","SREB Type",4,"SREB Type2","Four-Year")</f>
        <v>0</v>
      </c>
      <c r="I174" s="197">
        <f>+GETPIVOTDATA(" Old-Medicine",'Pivot Table for 1-11'!$A$3,"State","MD","SREB Type",4,"SREB Type2","Four-Year")</f>
        <v>0</v>
      </c>
      <c r="J174" s="197">
        <f>+GETPIVOTDATA(" Old-Dentistry",'Pivot Table for 1-11'!$A$3,"State","MD","SREB Type",4,"SREB Type2","Four-Year")</f>
        <v>0</v>
      </c>
      <c r="K174" s="197">
        <f>+GETPIVOTDATA(" Old-Pharmacy",'Pivot Table for 1-11'!$A$3,"State","MD","SREB Type",4,"SREB Type2","Four-Year")</f>
        <v>0</v>
      </c>
      <c r="L174" s="197">
        <f>+GETPIVOTDATA(" Old-Optometry",'Pivot Table for 1-11'!$A$3,"State","MD","SREB Type",4,"SREB Type2","Four-Year")</f>
        <v>0</v>
      </c>
      <c r="M174" s="197">
        <f>+GETPIVOTDATA(" Old-Osteopathic Medicine",'Pivot Table for 1-11'!$A$3,"State","MD","SREB Type",4,"SREB Type2","Four-Year")</f>
        <v>0</v>
      </c>
      <c r="N174" s="197">
        <f>+GETPIVOTDATA(" Old-Veterinary Medicine",'Pivot Table for 1-11'!$A$3,"State","MD","SREB Type",4,"SREB Type2","Four-Year")</f>
        <v>0</v>
      </c>
      <c r="O174" s="198">
        <f>+GETPIVOTDATA(" Old-Oth PP",'Pivot Table for 1-11'!$A$3,"State","MD","SREB Type",4,"SREB Type2","Four-Year")</f>
        <v>0</v>
      </c>
      <c r="P174" s="199">
        <f t="shared" si="4"/>
        <v>0</v>
      </c>
    </row>
    <row r="175" spans="1:16" ht="15" customHeight="1">
      <c r="A175" s="196"/>
      <c r="B175" s="197"/>
      <c r="C175" s="197"/>
      <c r="D175" s="197"/>
      <c r="E175" s="197"/>
      <c r="F175" s="197"/>
      <c r="G175" s="197"/>
      <c r="H175" s="230"/>
      <c r="I175" s="197"/>
      <c r="J175" s="197"/>
      <c r="K175" s="197"/>
      <c r="L175" s="197"/>
      <c r="M175" s="197"/>
      <c r="N175" s="197"/>
      <c r="O175" s="198"/>
      <c r="P175" s="199"/>
    </row>
    <row r="176" spans="1:16" ht="15" customHeight="1">
      <c r="A176" s="196" t="s">
        <v>29</v>
      </c>
      <c r="B176" s="197">
        <f>+GETPIVOTDATA(" Old-Less Than 2-Year",'Pivot Table for 1-11'!$A$3,"State","MS","SREB Type",4,"SREB Type2","Four-Year")+GETPIVOTDATA(" Old-2 But Less Than 4-Year",'Pivot Table for 1-11'!$A$3,"State","MS","SREB Type",4,"SREB Type2","Four-Year")</f>
        <v>0</v>
      </c>
      <c r="C176" s="197">
        <f>+GETPIVOTDATA(" Old-Associate's",'Pivot Table for 1-11'!$A$3,"State","MS","SREB Type",4,"SREB Type2","Four-Year")</f>
        <v>65</v>
      </c>
      <c r="D176" s="197">
        <f>+GETPIVOTDATA(" Old-Bachelor's",'Pivot Table for 1-11'!$A$3,"State","MS","SREB Type",4,"SREB Type2","Four-Year")</f>
        <v>2138</v>
      </c>
      <c r="E176" s="197">
        <f>+GETPIVOTDATA(" Old-Post-Bachelor's",'Pivot Table for 1-11'!$A$3,"State","MS","SREB Type",4,"SREB Type2","Four-Year")</f>
        <v>0</v>
      </c>
      <c r="F176" s="197">
        <f>+GETPIVOTDATA(" Old-Total Master's#",'Pivot Table for 1-11'!$A$3,"State","MS","SREB Type",4,"SREB Type2","Four-Year")</f>
        <v>620</v>
      </c>
      <c r="G176" s="197">
        <f>+GETPIVOTDATA(" Old-Total Doctorates#",'Pivot Table for 1-11'!$A$3,"State","MS","SREB Type",4,"SREB Type2","Four-Year")</f>
        <v>12</v>
      </c>
      <c r="H176" s="230">
        <f>+GETPIVOTDATA(" Old-Law",'Pivot Table for 1-11'!$A$3,"State","MS","SREB Type",4,"SREB Type2","Four-Year")</f>
        <v>0</v>
      </c>
      <c r="I176" s="197">
        <f>+GETPIVOTDATA(" Old-Medicine",'Pivot Table for 1-11'!$A$3,"State","MS","SREB Type",4,"SREB Type2","Four-Year")</f>
        <v>0</v>
      </c>
      <c r="J176" s="197">
        <f>+GETPIVOTDATA(" Old-Dentistry",'Pivot Table for 1-11'!$A$3,"State","MS","SREB Type",4,"SREB Type2","Four-Year")</f>
        <v>0</v>
      </c>
      <c r="K176" s="197">
        <f>+GETPIVOTDATA(" Old-Pharmacy",'Pivot Table for 1-11'!$A$3,"State","MS","SREB Type",4,"SREB Type2","Four-Year")</f>
        <v>0</v>
      </c>
      <c r="L176" s="197">
        <f>+GETPIVOTDATA(" Old-Optometry",'Pivot Table for 1-11'!$A$3,"State","MS","SREB Type",4,"SREB Type2","Four-Year")</f>
        <v>0</v>
      </c>
      <c r="M176" s="197">
        <f>+GETPIVOTDATA(" Old-Osteopathic Medicine",'Pivot Table for 1-11'!$A$3,"State","MS","SREB Type",4,"SREB Type2","Four-Year")</f>
        <v>0</v>
      </c>
      <c r="N176" s="197">
        <f>+GETPIVOTDATA(" Old-Veterinary Medicine",'Pivot Table for 1-11'!$A$3,"State","MS","SREB Type",4,"SREB Type2","Four-Year")</f>
        <v>0</v>
      </c>
      <c r="O176" s="198">
        <f>+GETPIVOTDATA(" Old-Oth PP",'Pivot Table for 1-11'!$A$3,"State","MS","SREB Type",4,"SREB Type2","Four-Year")</f>
        <v>7</v>
      </c>
      <c r="P176" s="199">
        <f t="shared" si="4"/>
        <v>2842</v>
      </c>
    </row>
    <row r="177" spans="1:16" ht="15" customHeight="1">
      <c r="A177" s="196" t="s">
        <v>30</v>
      </c>
      <c r="B177" s="197">
        <f>+GETPIVOTDATA(" Old-Less Than 2-Year",'Pivot Table for 1-11'!$A$3,"State","NC","SREB Type",4,"SREB Type2","Four-Year")+GETPIVOTDATA(" Old-2 But Less Than 4-Year",'Pivot Table for 1-11'!$A$3,"State","NC","SREB Type",4,"SREB Type2","Four-Year")</f>
        <v>0</v>
      </c>
      <c r="C177" s="197">
        <f>+GETPIVOTDATA(" Old-Associate's",'Pivot Table for 1-11'!$A$3,"State","NC","SREB Type",4,"SREB Type2","Four-Year")</f>
        <v>0</v>
      </c>
      <c r="D177" s="197">
        <f>+GETPIVOTDATA(" Old-Bachelor's",'Pivot Table for 1-11'!$A$3,"State","NC","SREB Type",4,"SREB Type2","Four-Year")</f>
        <v>1006</v>
      </c>
      <c r="E177" s="197">
        <f>+GETPIVOTDATA(" Old-Post-Bachelor's",'Pivot Table for 1-11'!$A$3,"State","NC","SREB Type",4,"SREB Type2","Four-Year")</f>
        <v>1</v>
      </c>
      <c r="F177" s="197">
        <f>+GETPIVOTDATA(" Old-Total Master's#",'Pivot Table for 1-11'!$A$3,"State","NC","SREB Type",4,"SREB Type2","Four-Year")</f>
        <v>191</v>
      </c>
      <c r="G177" s="197">
        <f>+GETPIVOTDATA(" Old-Total Doctorates#",'Pivot Table for 1-11'!$A$3,"State","NC","SREB Type",4,"SREB Type2","Four-Year")</f>
        <v>9</v>
      </c>
      <c r="H177" s="230">
        <f>+GETPIVOTDATA(" Old-Law",'Pivot Table for 1-11'!$A$3,"State","NC","SREB Type",4,"SREB Type2","Four-Year")</f>
        <v>0</v>
      </c>
      <c r="I177" s="197">
        <f>+GETPIVOTDATA(" Old-Medicine",'Pivot Table for 1-11'!$A$3,"State","NC","SREB Type",4,"SREB Type2","Four-Year")</f>
        <v>0</v>
      </c>
      <c r="J177" s="197">
        <f>+GETPIVOTDATA(" Old-Dentistry",'Pivot Table for 1-11'!$A$3,"State","NC","SREB Type",4,"SREB Type2","Four-Year")</f>
        <v>0</v>
      </c>
      <c r="K177" s="197">
        <f>+GETPIVOTDATA(" Old-Pharmacy",'Pivot Table for 1-11'!$A$3,"State","NC","SREB Type",4,"SREB Type2","Four-Year")</f>
        <v>0</v>
      </c>
      <c r="L177" s="197">
        <f>+GETPIVOTDATA(" Old-Optometry",'Pivot Table for 1-11'!$A$3,"State","NC","SREB Type",4,"SREB Type2","Four-Year")</f>
        <v>0</v>
      </c>
      <c r="M177" s="197">
        <f>+GETPIVOTDATA(" Old-Osteopathic Medicine",'Pivot Table for 1-11'!$A$3,"State","NC","SREB Type",4,"SREB Type2","Four-Year")</f>
        <v>0</v>
      </c>
      <c r="N177" s="197">
        <f>+GETPIVOTDATA(" Old-Veterinary Medicine",'Pivot Table for 1-11'!$A$3,"State","NC","SREB Type",4,"SREB Type2","Four-Year")</f>
        <v>0</v>
      </c>
      <c r="O177" s="198">
        <f>+GETPIVOTDATA(" Old-Oth PP",'Pivot Table for 1-11'!$A$3,"State","NC","SREB Type",4,"SREB Type2","Four-Year")</f>
        <v>0</v>
      </c>
      <c r="P177" s="199">
        <f t="shared" si="4"/>
        <v>1207</v>
      </c>
    </row>
    <row r="178" spans="1:16" ht="15" customHeight="1">
      <c r="A178" s="196" t="s">
        <v>31</v>
      </c>
      <c r="B178" s="197">
        <f>+GETPIVOTDATA(" Old-Less Than 2-Year",'Pivot Table for 1-11'!$A$3,"State","OK","SREB Type",4,"SREB Type2","Four-Year")+GETPIVOTDATA(" Old-2 But Less Than 4-Year",'Pivot Table for 1-11'!$A$3,"State","OK","SREB Type",4,"SREB Type2","Four-Year")</f>
        <v>0</v>
      </c>
      <c r="C178" s="197">
        <f>+GETPIVOTDATA(" Old-Associate's",'Pivot Table for 1-11'!$A$3,"State","OK","SREB Type",4,"SREB Type2","Four-Year")</f>
        <v>0</v>
      </c>
      <c r="D178" s="197">
        <f>+GETPIVOTDATA(" Old-Bachelor's",'Pivot Table for 1-11'!$A$3,"State","OK","SREB Type",4,"SREB Type2","Four-Year")</f>
        <v>0</v>
      </c>
      <c r="E178" s="197">
        <f>+GETPIVOTDATA(" Old-Post-Bachelor's",'Pivot Table for 1-11'!$A$3,"State","OK","SREB Type",4,"SREB Type2","Four-Year")</f>
        <v>0</v>
      </c>
      <c r="F178" s="197">
        <f>+GETPIVOTDATA(" Old-Total Master's#",'Pivot Table for 1-11'!$A$3,"State","OK","SREB Type",4,"SREB Type2","Four-Year")</f>
        <v>0</v>
      </c>
      <c r="G178" s="197">
        <f>+GETPIVOTDATA(" Old-Total Doctorates#",'Pivot Table for 1-11'!$A$3,"State","OK","SREB Type",4,"SREB Type2","Four-Year")</f>
        <v>0</v>
      </c>
      <c r="H178" s="230">
        <f>+GETPIVOTDATA(" Old-Law",'Pivot Table for 1-11'!$A$3,"State","OK","SREB Type",4,"SREB Type2","Four-Year")</f>
        <v>0</v>
      </c>
      <c r="I178" s="197">
        <f>+GETPIVOTDATA(" Old-Medicine",'Pivot Table for 1-11'!$A$3,"State","OK","SREB Type",4,"SREB Type2","Four-Year")</f>
        <v>0</v>
      </c>
      <c r="J178" s="197">
        <f>+GETPIVOTDATA(" Old-Dentistry",'Pivot Table for 1-11'!$A$3,"State","OK","SREB Type",4,"SREB Type2","Four-Year")</f>
        <v>0</v>
      </c>
      <c r="K178" s="197">
        <f>+GETPIVOTDATA(" Old-Pharmacy",'Pivot Table for 1-11'!$A$3,"State","OK","SREB Type",4,"SREB Type2","Four-Year")</f>
        <v>0</v>
      </c>
      <c r="L178" s="197">
        <f>+GETPIVOTDATA(" Old-Optometry",'Pivot Table for 1-11'!$A$3,"State","OK","SREB Type",4,"SREB Type2","Four-Year")</f>
        <v>0</v>
      </c>
      <c r="M178" s="197">
        <f>+GETPIVOTDATA(" Old-Osteopathic Medicine",'Pivot Table for 1-11'!$A$3,"State","OK","SREB Type",4,"SREB Type2","Four-Year")</f>
        <v>0</v>
      </c>
      <c r="N178" s="197">
        <f>+GETPIVOTDATA(" Old-Veterinary Medicine",'Pivot Table for 1-11'!$A$3,"State","OK","SREB Type",4,"SREB Type2","Four-Year")</f>
        <v>0</v>
      </c>
      <c r="O178" s="198">
        <f>+GETPIVOTDATA(" Old-Oth PP",'Pivot Table for 1-11'!$A$3,"State","OK","SREB Type",4,"SREB Type2","Four-Year")</f>
        <v>0</v>
      </c>
      <c r="P178" s="199">
        <f t="shared" si="4"/>
        <v>0</v>
      </c>
    </row>
    <row r="179" spans="1:16" ht="15" customHeight="1">
      <c r="A179" s="196" t="s">
        <v>32</v>
      </c>
      <c r="B179" s="197">
        <f>+GETPIVOTDATA(" Old-Less Than 2-Year",'Pivot Table for 1-11'!$A$3,"State","SC","SREB Type",4,"SREB Type2","Four-Year")+GETPIVOTDATA(" Old-2 But Less Than 4-Year",'Pivot Table for 1-11'!$A$3,"State","SC","SREB Type",4,"SREB Type2","Four-Year")</f>
        <v>0</v>
      </c>
      <c r="C179" s="197">
        <f>+GETPIVOTDATA(" Old-Associate's",'Pivot Table for 1-11'!$A$3,"State","SC","SREB Type",4,"SREB Type2","Four-Year")</f>
        <v>0</v>
      </c>
      <c r="D179" s="197">
        <f>+GETPIVOTDATA(" Old-Bachelor's",'Pivot Table for 1-11'!$A$3,"State","SC","SREB Type",4,"SREB Type2","Four-Year")</f>
        <v>1892</v>
      </c>
      <c r="E179" s="197">
        <f>+GETPIVOTDATA(" Old-Post-Bachelor's",'Pivot Table for 1-11'!$A$3,"State","SC","SREB Type",4,"SREB Type2","Four-Year")</f>
        <v>2</v>
      </c>
      <c r="F179" s="197">
        <f>+GETPIVOTDATA(" Old-Total Master's#",'Pivot Table for 1-11'!$A$3,"State","SC","SREB Type",4,"SREB Type2","Four-Year")</f>
        <v>317</v>
      </c>
      <c r="G179" s="197">
        <f>+GETPIVOTDATA(" Old-Total Doctorates#",'Pivot Table for 1-11'!$A$3,"State","SC","SREB Type",4,"SREB Type2","Four-Year")</f>
        <v>0</v>
      </c>
      <c r="H179" s="230">
        <f>+GETPIVOTDATA(" Old-Law",'Pivot Table for 1-11'!$A$3,"State","SC","SREB Type",4,"SREB Type2","Four-Year")</f>
        <v>0</v>
      </c>
      <c r="I179" s="197">
        <f>+GETPIVOTDATA(" Old-Medicine",'Pivot Table for 1-11'!$A$3,"State","SC","SREB Type",4,"SREB Type2","Four-Year")</f>
        <v>0</v>
      </c>
      <c r="J179" s="197">
        <f>+GETPIVOTDATA(" Old-Dentistry",'Pivot Table for 1-11'!$A$3,"State","SC","SREB Type",4,"SREB Type2","Four-Year")</f>
        <v>0</v>
      </c>
      <c r="K179" s="197">
        <f>+GETPIVOTDATA(" Old-Pharmacy",'Pivot Table for 1-11'!$A$3,"State","SC","SREB Type",4,"SREB Type2","Four-Year")</f>
        <v>0</v>
      </c>
      <c r="L179" s="197">
        <f>+GETPIVOTDATA(" Old-Optometry",'Pivot Table for 1-11'!$A$3,"State","SC","SREB Type",4,"SREB Type2","Four-Year")</f>
        <v>0</v>
      </c>
      <c r="M179" s="197">
        <f>+GETPIVOTDATA(" Old-Osteopathic Medicine",'Pivot Table for 1-11'!$A$3,"State","SC","SREB Type",4,"SREB Type2","Four-Year")</f>
        <v>0</v>
      </c>
      <c r="N179" s="197">
        <f>+GETPIVOTDATA(" Old-Veterinary Medicine",'Pivot Table for 1-11'!$A$3,"State","SC","SREB Type",4,"SREB Type2","Four-Year")</f>
        <v>0</v>
      </c>
      <c r="O179" s="198">
        <f>+GETPIVOTDATA(" Old-Oth PP",'Pivot Table for 1-11'!$A$3,"State","SC","SREB Type",4,"SREB Type2","Four-Year")</f>
        <v>0</v>
      </c>
      <c r="P179" s="199">
        <f t="shared" si="4"/>
        <v>2211</v>
      </c>
    </row>
    <row r="180" spans="1:16" ht="15" customHeight="1">
      <c r="A180" s="196"/>
      <c r="B180" s="197"/>
      <c r="C180" s="197"/>
      <c r="D180" s="197"/>
      <c r="E180" s="197"/>
      <c r="F180" s="197"/>
      <c r="G180" s="197"/>
      <c r="H180" s="230"/>
      <c r="I180" s="197"/>
      <c r="J180" s="197"/>
      <c r="K180" s="197"/>
      <c r="L180" s="197"/>
      <c r="M180" s="197"/>
      <c r="N180" s="197"/>
      <c r="O180" s="198"/>
      <c r="P180" s="199"/>
    </row>
    <row r="181" spans="1:16" ht="15" customHeight="1">
      <c r="A181" s="196" t="s">
        <v>33</v>
      </c>
      <c r="B181" s="197">
        <f>+GETPIVOTDATA(" Old-Less Than 2-Year",'Pivot Table for 1-11'!$A$3,"State","TN","SREB Type",4,"SREB Type2","Four-Year")+GETPIVOTDATA(" Old-2 But Less Than 4-Year",'Pivot Table for 1-11'!$A$3,"State","TN","SREB Type",4,"SREB Type2","Four-Year")</f>
        <v>0</v>
      </c>
      <c r="C181" s="197">
        <f>+GETPIVOTDATA(" Old-Associate's",'Pivot Table for 1-11'!$A$3,"State","TN","SREB Type",4,"SREB Type2","Four-Year")</f>
        <v>0</v>
      </c>
      <c r="D181" s="197">
        <f>+GETPIVOTDATA(" Old-Bachelor's",'Pivot Table for 1-11'!$A$3,"State","TN","SREB Type",4,"SREB Type2","Four-Year")</f>
        <v>1166</v>
      </c>
      <c r="E181" s="197">
        <f>+GETPIVOTDATA(" Old-Post-Bachelor's",'Pivot Table for 1-11'!$A$3,"State","TN","SREB Type",4,"SREB Type2","Four-Year")</f>
        <v>0</v>
      </c>
      <c r="F181" s="197">
        <f>+GETPIVOTDATA(" Old-Total Master's#",'Pivot Table for 1-11'!$A$3,"State","TN","SREB Type",4,"SREB Type2","Four-Year")</f>
        <v>109</v>
      </c>
      <c r="G181" s="197">
        <f>+GETPIVOTDATA(" Old-Total Doctorates#",'Pivot Table for 1-11'!$A$3,"State","TN","SREB Type",4,"SREB Type2","Four-Year")</f>
        <v>0</v>
      </c>
      <c r="H181" s="230">
        <f>+GETPIVOTDATA(" Old-Law",'Pivot Table for 1-11'!$A$3,"State","TN","SREB Type",4,"SREB Type2","Four-Year")</f>
        <v>0</v>
      </c>
      <c r="I181" s="197">
        <f>+GETPIVOTDATA(" Old-Medicine",'Pivot Table for 1-11'!$A$3,"State","TN","SREB Type",4,"SREB Type2","Four-Year")</f>
        <v>0</v>
      </c>
      <c r="J181" s="197">
        <f>+GETPIVOTDATA(" Old-Dentistry",'Pivot Table for 1-11'!$A$3,"State","TN","SREB Type",4,"SREB Type2","Four-Year")</f>
        <v>0</v>
      </c>
      <c r="K181" s="197">
        <f>+GETPIVOTDATA(" Old-Pharmacy",'Pivot Table for 1-11'!$A$3,"State","TN","SREB Type",4,"SREB Type2","Four-Year")</f>
        <v>0</v>
      </c>
      <c r="L181" s="197">
        <f>+GETPIVOTDATA(" Old-Optometry",'Pivot Table for 1-11'!$A$3,"State","TN","SREB Type",4,"SREB Type2","Four-Year")</f>
        <v>0</v>
      </c>
      <c r="M181" s="197">
        <f>+GETPIVOTDATA(" Old-Osteopathic Medicine",'Pivot Table for 1-11'!$A$3,"State","TN","SREB Type",4,"SREB Type2","Four-Year")</f>
        <v>0</v>
      </c>
      <c r="N181" s="197">
        <f>+GETPIVOTDATA(" Old-Veterinary Medicine",'Pivot Table for 1-11'!$A$3,"State","TN","SREB Type",4,"SREB Type2","Four-Year")</f>
        <v>0</v>
      </c>
      <c r="O181" s="198"/>
      <c r="P181" s="199">
        <f t="shared" si="4"/>
        <v>1275</v>
      </c>
    </row>
    <row r="182" spans="1:16" ht="15" customHeight="1">
      <c r="A182" s="196" t="s">
        <v>34</v>
      </c>
      <c r="B182" s="197">
        <f>+GETPIVOTDATA(" Old-Less Than 2-Year",'Pivot Table for 1-11'!$A$3,"State","TX","SREB Type",4,"SREB Type2","Four-Year")+GETPIVOTDATA(" Old-2 But Less Than 4-Year",'Pivot Table for 1-11'!$A$3,"State","TX","SREB Type",4,"SREB Type2","Four-Year")</f>
        <v>0</v>
      </c>
      <c r="C182" s="197">
        <f>+GETPIVOTDATA(" Old-Associate's",'Pivot Table for 1-11'!$A$3,"State","TX","SREB Type",4,"SREB Type2","Four-Year")</f>
        <v>0</v>
      </c>
      <c r="D182" s="197">
        <f>+GETPIVOTDATA(" Old-Bachelor's",'Pivot Table for 1-11'!$A$3,"State","TX","SREB Type",4,"SREB Type2","Four-Year")</f>
        <v>6019</v>
      </c>
      <c r="E182" s="197">
        <f>+GETPIVOTDATA(" Old-Post-Bachelor's",'Pivot Table for 1-11'!$A$3,"State","TX","SREB Type",4,"SREB Type2","Four-Year")</f>
        <v>0</v>
      </c>
      <c r="F182" s="197">
        <f>+GETPIVOTDATA(" Old-Total Master's#",'Pivot Table for 1-11'!$A$3,"State","TX","SREB Type",4,"SREB Type2","Four-Year")</f>
        <v>1481</v>
      </c>
      <c r="G182" s="197">
        <f>+GETPIVOTDATA(" Old-Total Doctorates#",'Pivot Table for 1-11'!$A$3,"State","TX","SREB Type",4,"SREB Type2","Four-Year")</f>
        <v>1</v>
      </c>
      <c r="H182" s="230">
        <f>+GETPIVOTDATA(" Old-Law",'Pivot Table for 1-11'!$A$3,"State","TX","SREB Type",4,"SREB Type2","Four-Year")</f>
        <v>113</v>
      </c>
      <c r="I182" s="197">
        <f>+GETPIVOTDATA(" Old-Medicine",'Pivot Table for 1-11'!$A$3,"State","TX","SREB Type",4,"SREB Type2","Four-Year")</f>
        <v>0</v>
      </c>
      <c r="J182" s="197">
        <f>+GETPIVOTDATA(" Old-Dentistry",'Pivot Table for 1-11'!$A$3,"State","TX","SREB Type",4,"SREB Type2","Four-Year")</f>
        <v>0</v>
      </c>
      <c r="K182" s="197">
        <f>+GETPIVOTDATA(" Old-Pharmacy",'Pivot Table for 1-11'!$A$3,"State","TX","SREB Type",4,"SREB Type2","Four-Year")</f>
        <v>0</v>
      </c>
      <c r="L182" s="197">
        <f>+GETPIVOTDATA(" Old-Optometry",'Pivot Table for 1-11'!$A$3,"State","TX","SREB Type",4,"SREB Type2","Four-Year")</f>
        <v>0</v>
      </c>
      <c r="M182" s="197">
        <f>+GETPIVOTDATA(" Old-Osteopathic Medicine",'Pivot Table for 1-11'!$A$3,"State","TX","SREB Type",4,"SREB Type2","Four-Year")</f>
        <v>0</v>
      </c>
      <c r="N182" s="197">
        <f>+GETPIVOTDATA(" Old-Veterinary Medicine",'Pivot Table for 1-11'!$A$3,"State","TX","SREB Type",4,"SREB Type2","Four-Year")</f>
        <v>0</v>
      </c>
      <c r="O182" s="198"/>
      <c r="P182" s="199">
        <f t="shared" si="4"/>
        <v>7614</v>
      </c>
    </row>
    <row r="183" spans="1:16" ht="15" customHeight="1">
      <c r="A183" s="196" t="s">
        <v>35</v>
      </c>
      <c r="B183" s="197">
        <f>+GETPIVOTDATA(" Old-Less Than 2-Year",'Pivot Table for 1-11'!$A$3,"State","VA","SREB Type",4,"SREB Type2","Four-Year")+GETPIVOTDATA(" Old-2 But Less Than 4-Year",'Pivot Table for 1-11'!$A$3,"State","VA","SREB Type",4,"SREB Type2","Four-Year")</f>
        <v>0</v>
      </c>
      <c r="C183" s="197">
        <f>+GETPIVOTDATA(" Old-Associate's",'Pivot Table for 1-11'!$A$3,"State","VA","SREB Type",4,"SREB Type2","Four-Year")</f>
        <v>3</v>
      </c>
      <c r="D183" s="197">
        <f>+GETPIVOTDATA(" Old-Bachelor's",'Pivot Table for 1-11'!$A$3,"State","VA","SREB Type",4,"SREB Type2","Four-Year")</f>
        <v>610</v>
      </c>
      <c r="E183" s="197">
        <f>+GETPIVOTDATA(" Old-Post-Bachelor's",'Pivot Table for 1-11'!$A$3,"State","VA","SREB Type",4,"SREB Type2","Four-Year")</f>
        <v>0</v>
      </c>
      <c r="F183" s="197">
        <f>+GETPIVOTDATA(" Old-Total Master's#",'Pivot Table for 1-11'!$A$3,"State","VA","SREB Type",4,"SREB Type2","Four-Year")</f>
        <v>177</v>
      </c>
      <c r="G183" s="197">
        <f>+GETPIVOTDATA(" Old-Total Doctorates#",'Pivot Table for 1-11'!$A$3,"State","VA","SREB Type",4,"SREB Type2","Four-Year")</f>
        <v>10</v>
      </c>
      <c r="H183" s="230">
        <f>+GETPIVOTDATA(" Old-Law",'Pivot Table for 1-11'!$A$3,"State","VA","SREB Type",4,"SREB Type2","Four-Year")</f>
        <v>0</v>
      </c>
      <c r="I183" s="197">
        <f>+GETPIVOTDATA(" Old-Medicine",'Pivot Table for 1-11'!$A$3,"State","VA","SREB Type",4,"SREB Type2","Four-Year")</f>
        <v>0</v>
      </c>
      <c r="J183" s="197">
        <f>+GETPIVOTDATA(" Old-Dentistry",'Pivot Table for 1-11'!$A$3,"State","VA","SREB Type",4,"SREB Type2","Four-Year")</f>
        <v>0</v>
      </c>
      <c r="K183" s="197">
        <f>+GETPIVOTDATA(" Old-Pharmacy",'Pivot Table for 1-11'!$A$3,"State","VA","SREB Type",4,"SREB Type2","Four-Year")</f>
        <v>0</v>
      </c>
      <c r="L183" s="197">
        <f>+GETPIVOTDATA(" Old-Optometry",'Pivot Table for 1-11'!$A$3,"State","VA","SREB Type",4,"SREB Type2","Four-Year")</f>
        <v>0</v>
      </c>
      <c r="M183" s="197">
        <f>+GETPIVOTDATA(" Old-Osteopathic Medicine",'Pivot Table for 1-11'!$A$3,"State","VA","SREB Type",4,"SREB Type2","Four-Year")</f>
        <v>0</v>
      </c>
      <c r="N183" s="197">
        <f>+GETPIVOTDATA(" Old-Veterinary Medicine",'Pivot Table for 1-11'!$A$3,"State","VA","SREB Type",4,"SREB Type2","Four-Year")</f>
        <v>0</v>
      </c>
      <c r="O183" s="198"/>
      <c r="P183" s="199">
        <f t="shared" si="4"/>
        <v>800</v>
      </c>
    </row>
    <row r="184" spans="1:16" ht="15" customHeight="1">
      <c r="A184" s="205" t="s">
        <v>36</v>
      </c>
      <c r="B184" s="201">
        <f>+GETPIVOTDATA(" Old-Less Than 2-Year",'Pivot Table for 1-11'!$A$3,"State","WV","SREB Type",4,"SREB Type2","Four-Year")+GETPIVOTDATA(" Old-2 But Less Than 4-Year",'Pivot Table for 1-11'!$A$3,"State","WV","SREB Type",4,"SREB Type2","Four-Year")</f>
        <v>0</v>
      </c>
      <c r="C184" s="201">
        <f>+GETPIVOTDATA(" Old-Associate's",'Pivot Table for 1-11'!$A$3,"State","WV","SREB Type",4,"SREB Type2","Four-Year")</f>
        <v>0</v>
      </c>
      <c r="D184" s="201">
        <f>+GETPIVOTDATA(" Old-Bachelor's",'Pivot Table for 1-11'!$A$3,"State","WV","SREB Type",4,"SREB Type2","Four-Year")</f>
        <v>0</v>
      </c>
      <c r="E184" s="201">
        <f>+GETPIVOTDATA(" Old-Post-Bachelor's",'Pivot Table for 1-11'!$A$3,"State","WV","SREB Type",4,"SREB Type2","Four-Year")</f>
        <v>0</v>
      </c>
      <c r="F184" s="201">
        <f>+GETPIVOTDATA(" Old-Total Master's#",'Pivot Table for 1-11'!$A$3,"State","WV","SREB Type",4,"SREB Type2","Four-Year")</f>
        <v>0</v>
      </c>
      <c r="G184" s="201">
        <f>+GETPIVOTDATA(" Old-Total Doctorates#",'Pivot Table for 1-11'!$A$3,"State","WV","SREB Type",4,"SREB Type2","Four-Year")</f>
        <v>0</v>
      </c>
      <c r="H184" s="202">
        <f>+GETPIVOTDATA(" Old-Law",'Pivot Table for 1-11'!$A$3,"State","WV","SREB Type",4,"SREB Type2","Four-Year")</f>
        <v>0</v>
      </c>
      <c r="I184" s="201">
        <f>+GETPIVOTDATA(" Old-Medicine",'Pivot Table for 1-11'!$A$3,"State","WV","SREB Type",4,"SREB Type2","Four-Year")</f>
        <v>0</v>
      </c>
      <c r="J184" s="201">
        <f>+GETPIVOTDATA(" Old-Dentistry",'Pivot Table for 1-11'!$A$3,"State","WV","SREB Type",4,"SREB Type2","Four-Year")</f>
        <v>0</v>
      </c>
      <c r="K184" s="201">
        <f>+GETPIVOTDATA(" Old-Pharmacy",'Pivot Table for 1-11'!$A$3,"State","WV","SREB Type",4,"SREB Type2","Four-Year")</f>
        <v>0</v>
      </c>
      <c r="L184" s="201">
        <f>+GETPIVOTDATA(" Old-Optometry",'Pivot Table for 1-11'!$A$3,"State","WV","SREB Type",4,"SREB Type2","Four-Year")</f>
        <v>0</v>
      </c>
      <c r="M184" s="201">
        <f>+GETPIVOTDATA(" Old-Osteopathic Medicine",'Pivot Table for 1-11'!$A$3,"State","WV","SREB Type",4,"SREB Type2","Four-Year")</f>
        <v>0</v>
      </c>
      <c r="N184" s="201">
        <f>+GETPIVOTDATA(" Old-Veterinary Medicine",'Pivot Table for 1-11'!$A$3,"State","WV","SREB Type",4,"SREB Type2","Four-Year")</f>
        <v>0</v>
      </c>
      <c r="O184" s="319"/>
      <c r="P184" s="203">
        <f t="shared" si="4"/>
        <v>0</v>
      </c>
    </row>
    <row r="185" spans="1:16">
      <c r="A185" s="197"/>
      <c r="B185" s="197"/>
      <c r="C185" s="197"/>
      <c r="D185" s="197"/>
      <c r="E185" s="197"/>
      <c r="F185" s="197"/>
      <c r="G185" s="197"/>
      <c r="H185" s="197"/>
      <c r="I185" s="197"/>
      <c r="J185" s="197"/>
      <c r="K185" s="197"/>
      <c r="L185" s="197"/>
      <c r="M185" s="197"/>
      <c r="N185" s="197"/>
      <c r="O185" s="197"/>
      <c r="P185" s="197"/>
    </row>
    <row r="186" spans="1:16" ht="27" customHeight="1">
      <c r="A186" s="545" t="s">
        <v>37</v>
      </c>
      <c r="B186" s="546"/>
      <c r="C186" s="546"/>
      <c r="D186" s="546"/>
      <c r="E186" s="546"/>
      <c r="F186" s="546"/>
      <c r="G186" s="546"/>
      <c r="H186" s="546"/>
      <c r="I186" s="546"/>
      <c r="J186" s="546"/>
      <c r="K186" s="546"/>
      <c r="L186" s="546"/>
      <c r="M186" s="546"/>
      <c r="N186" s="546"/>
      <c r="O186" s="546"/>
      <c r="P186" s="546"/>
    </row>
    <row r="187" spans="1:16">
      <c r="B187" s="197"/>
      <c r="C187" s="197"/>
      <c r="D187" s="197"/>
      <c r="E187" s="197"/>
      <c r="F187" s="197"/>
      <c r="G187" s="197"/>
      <c r="H187" s="197"/>
      <c r="I187" s="197"/>
      <c r="J187" s="197"/>
      <c r="K187" s="197"/>
      <c r="L187" s="197"/>
      <c r="M187" s="197"/>
      <c r="N187" s="197"/>
      <c r="O187" s="197"/>
      <c r="P187" s="204" t="s">
        <v>1178</v>
      </c>
    </row>
    <row r="188" spans="1:16" ht="18">
      <c r="A188" s="186" t="s">
        <v>52</v>
      </c>
      <c r="B188" s="187"/>
      <c r="C188" s="187"/>
      <c r="D188" s="187"/>
      <c r="E188" s="187"/>
      <c r="F188" s="187"/>
      <c r="G188" s="187"/>
      <c r="H188" s="187"/>
      <c r="I188" s="187"/>
      <c r="J188" s="187"/>
      <c r="K188" s="187"/>
      <c r="L188" s="187"/>
      <c r="M188" s="187"/>
      <c r="N188" s="187"/>
      <c r="O188" s="187"/>
      <c r="P188" s="187"/>
    </row>
    <row r="189" spans="1:16" ht="15.75" customHeight="1">
      <c r="A189" s="188"/>
      <c r="B189" s="188"/>
      <c r="C189" s="188"/>
      <c r="D189" s="188"/>
      <c r="E189" s="188"/>
      <c r="F189" s="188"/>
      <c r="G189" s="188"/>
      <c r="H189" s="188"/>
      <c r="I189" s="188"/>
      <c r="J189" s="188"/>
      <c r="K189" s="188"/>
      <c r="L189" s="188"/>
      <c r="M189" s="188"/>
      <c r="N189" s="188"/>
      <c r="O189" s="188"/>
      <c r="P189" s="188"/>
    </row>
    <row r="190" spans="1:16" ht="15.5">
      <c r="A190" s="187" t="s">
        <v>2</v>
      </c>
      <c r="B190" s="187"/>
      <c r="C190" s="187"/>
      <c r="D190" s="187"/>
      <c r="E190" s="187"/>
      <c r="F190" s="187"/>
      <c r="G190" s="187"/>
      <c r="H190" s="187"/>
      <c r="I190" s="187"/>
      <c r="J190" s="187"/>
      <c r="K190" s="187"/>
      <c r="L190" s="187"/>
      <c r="M190" s="187"/>
      <c r="N190" s="187"/>
      <c r="O190" s="187"/>
      <c r="P190" s="187"/>
    </row>
    <row r="191" spans="1:16" ht="15.5">
      <c r="A191" s="187" t="s">
        <v>53</v>
      </c>
      <c r="B191" s="187"/>
      <c r="C191" s="187"/>
      <c r="D191" s="187"/>
      <c r="E191" s="187"/>
      <c r="F191" s="187"/>
      <c r="G191" s="187"/>
      <c r="H191" s="187"/>
      <c r="I191" s="187"/>
      <c r="J191" s="187"/>
      <c r="K191" s="187"/>
      <c r="L191" s="187"/>
      <c r="M191" s="187"/>
      <c r="N191" s="187"/>
      <c r="O191" s="187"/>
      <c r="P191" s="187"/>
    </row>
    <row r="192" spans="1:16" ht="15.5">
      <c r="A192" s="189"/>
      <c r="B192" s="189"/>
      <c r="C192" s="189"/>
      <c r="D192" s="189"/>
      <c r="E192" s="189"/>
      <c r="F192" s="189"/>
      <c r="G192" s="189"/>
      <c r="H192" s="189"/>
      <c r="I192" s="189"/>
      <c r="J192" s="189"/>
      <c r="K192" s="189"/>
      <c r="L192" s="189"/>
      <c r="M192" s="189"/>
      <c r="N192" s="189"/>
      <c r="O192" s="189"/>
      <c r="P192" s="189"/>
    </row>
    <row r="193" spans="1:16" ht="15.5">
      <c r="A193" s="190"/>
      <c r="B193" s="190"/>
      <c r="C193" s="190"/>
      <c r="D193" s="190"/>
      <c r="E193" s="190"/>
      <c r="F193" s="190"/>
      <c r="G193" s="190"/>
      <c r="H193" s="326" t="s">
        <v>4</v>
      </c>
      <c r="I193" s="191"/>
      <c r="J193" s="191"/>
      <c r="K193" s="191"/>
      <c r="L193" s="191"/>
      <c r="M193" s="191"/>
      <c r="N193" s="191"/>
      <c r="O193" s="327"/>
      <c r="P193" s="192" t="s">
        <v>1</v>
      </c>
    </row>
    <row r="194" spans="1:16" ht="50.25" customHeight="1">
      <c r="A194" s="193"/>
      <c r="B194" s="194" t="s">
        <v>5</v>
      </c>
      <c r="C194" s="194" t="s">
        <v>6</v>
      </c>
      <c r="D194" s="194" t="s">
        <v>7</v>
      </c>
      <c r="E194" s="194" t="s">
        <v>8</v>
      </c>
      <c r="F194" s="194" t="s">
        <v>9</v>
      </c>
      <c r="G194" s="194" t="s">
        <v>10</v>
      </c>
      <c r="H194" s="195" t="s">
        <v>11</v>
      </c>
      <c r="I194" s="194" t="s">
        <v>81</v>
      </c>
      <c r="J194" s="194" t="s">
        <v>13</v>
      </c>
      <c r="K194" s="194" t="s">
        <v>14</v>
      </c>
      <c r="L194" s="194" t="s">
        <v>15</v>
      </c>
      <c r="M194" s="194" t="s">
        <v>16</v>
      </c>
      <c r="N194" s="194" t="s">
        <v>82</v>
      </c>
      <c r="O194" s="328" t="s">
        <v>83</v>
      </c>
      <c r="P194" s="194" t="s">
        <v>19</v>
      </c>
    </row>
    <row r="195" spans="1:16" ht="15" customHeight="1">
      <c r="A195" s="161" t="s">
        <v>20</v>
      </c>
      <c r="B195" s="197">
        <f>+GETPIVOTDATA(" Old-Less Than 2-Year",'Pivot Table for 1-11'!$A$3,"SREB Type",5,"SREB Type2","Four-Year")+GETPIVOTDATA(" Old-2 But Less Than 4-Year",'Pivot Table for 1-11'!$A$3,"SREB Type",5,"SREB Type2","Four-Year")</f>
        <v>76</v>
      </c>
      <c r="C195" s="197">
        <f>+GETPIVOTDATA(" Old-Associate's",'Pivot Table for 1-11'!$A$3,"SREB Type",5,"SREB Type2","Four-Year")</f>
        <v>630</v>
      </c>
      <c r="D195" s="197">
        <f>+GETPIVOTDATA(" Old-Bachelor's",'Pivot Table for 1-11'!$A$3,"SREB Type",5,"SREB Type2","Four-Year")</f>
        <v>11082</v>
      </c>
      <c r="E195" s="197">
        <f>+GETPIVOTDATA(" Old-Post-Bachelor's",'Pivot Table for 1-11'!$A$3,"SREB Type",5,"SREB Type2","Four-Year")</f>
        <v>8</v>
      </c>
      <c r="F195" s="197">
        <f>+GETPIVOTDATA(" Old-Total Master's#",'Pivot Table for 1-11'!$A$3,"SREB Type",5,"SREB Type2","Four-Year")</f>
        <v>1955</v>
      </c>
      <c r="G195" s="197">
        <f>+GETPIVOTDATA(" Old-Total Doctorates#",'Pivot Table for 1-11'!$A$3,"SREB Type",5,"SREB Type2","Four-Year")</f>
        <v>14</v>
      </c>
      <c r="H195" s="230">
        <f>+GETPIVOTDATA(" Old-Law",'Pivot Table for 1-11'!$A$3,"SREB Type",5,"SREB Type2","Four-Year")</f>
        <v>0</v>
      </c>
      <c r="I195" s="197">
        <f>+GETPIVOTDATA(" Old-Medicine",'Pivot Table for 1-11'!$A$3,"SREB Type",5,"SREB Type2","Four-Year")</f>
        <v>0</v>
      </c>
      <c r="J195" s="197">
        <f>+GETPIVOTDATA(" Old-Dentistry",'Pivot Table for 1-11'!$A$3,"SREB Type",5,"SREB Type2","Four-Year")</f>
        <v>0</v>
      </c>
      <c r="K195" s="197">
        <f>+GETPIVOTDATA(" Old-Pharmacy",'Pivot Table for 1-11'!$A$3,"SREB Type",5,"SREB Type2","Four-Year")</f>
        <v>0</v>
      </c>
      <c r="L195" s="197">
        <f>+GETPIVOTDATA(" Old-Optometry",'Pivot Table for 1-11'!$A$3,"SREB Type",5,"SREB Type2","Four-Year")</f>
        <v>0</v>
      </c>
      <c r="M195" s="197">
        <f>+GETPIVOTDATA(" Old-Osteopathic Medicine",'Pivot Table for 1-11'!$A$3,"SREB Type",5,"SREB Type2","Four-Year")</f>
        <v>0</v>
      </c>
      <c r="N195" s="197">
        <f>+GETPIVOTDATA(" Old-Veterinary Medicine",'Pivot Table for 1-11'!$A$3,"SREB Type",5,"SREB Type2","Four-Year")</f>
        <v>0</v>
      </c>
      <c r="O195" s="198">
        <f>+GETPIVOTDATA(" Old-Oth PP",'Pivot Table for 1-11'!$A$3,"SREB Type",5,"SREB Type2","Four-Year")</f>
        <v>50</v>
      </c>
      <c r="P195" s="199">
        <f>SUM(B195:O195)</f>
        <v>13815</v>
      </c>
    </row>
    <row r="196" spans="1:16" ht="15" customHeight="1">
      <c r="A196" s="161"/>
      <c r="B196" s="197"/>
      <c r="C196" s="197"/>
      <c r="D196" s="197"/>
      <c r="E196" s="197"/>
      <c r="F196" s="197"/>
      <c r="G196" s="197"/>
      <c r="H196" s="230"/>
      <c r="I196" s="197"/>
      <c r="J196" s="197"/>
      <c r="K196" s="197"/>
      <c r="L196" s="197"/>
      <c r="M196" s="197"/>
      <c r="N196" s="197"/>
      <c r="O196" s="198"/>
      <c r="P196" s="199"/>
    </row>
    <row r="197" spans="1:16" ht="15" customHeight="1">
      <c r="A197" s="196" t="s">
        <v>21</v>
      </c>
      <c r="B197" s="197">
        <f>GETPIVOTDATA(" Old-Less Than 2-Year",'Pivot Table for 1-11'!$A$3,"State","AL","SREB Type",5,"SREB Type2","Four-Year")+GETPIVOTDATA(" Old-2 But Less Than 4-Year",'Pivot Table for 1-11'!$A$3,"State","AL","SREB Type",5,"SREB Type2","Four-Year")</f>
        <v>0</v>
      </c>
      <c r="C197" s="197">
        <f>+GETPIVOTDATA(" Old-Associate's",'Pivot Table for 1-11'!$A$3,"State","AL","SREB Type",5,"SREB Type2","Four-Year")</f>
        <v>0</v>
      </c>
      <c r="D197" s="197">
        <f>+GETPIVOTDATA(" Old-Bachelor's",'Pivot Table for 1-11'!$A$3,"State","AL","SREB Type",5,"SREB Type2","Four-Year")</f>
        <v>452</v>
      </c>
      <c r="E197" s="197">
        <f>+GETPIVOTDATA(" Old-Post-Bachelor's",'Pivot Table for 1-11'!$A$3,"State","AL","SREB Type",5,"SREB Type2","Four-Year")</f>
        <v>0</v>
      </c>
      <c r="F197" s="197">
        <f>+GETPIVOTDATA(" Old-Total Master's#",'Pivot Table for 1-11'!$A$3,"State","AL","SREB Type",5,"SREB Type2","Four-Year")</f>
        <v>132</v>
      </c>
      <c r="G197" s="197">
        <f>+GETPIVOTDATA(" Old-Total Doctorates#",'Pivot Table for 1-11'!$A$3,"State","AL","SREB Type",5,"SREB Type2","Four-Year")</f>
        <v>0</v>
      </c>
      <c r="H197" s="230">
        <f>+GETPIVOTDATA(" Old-Law",'Pivot Table for 1-11'!$A$3,"State","AL","SREB Type",5,"SREB Type2","Four-Year")</f>
        <v>0</v>
      </c>
      <c r="I197" s="197">
        <f>+GETPIVOTDATA(" Old-Medicine",'Pivot Table for 1-11'!$A$3,"State","AL","SREB Type",5,"SREB Type2","Four-Year")</f>
        <v>0</v>
      </c>
      <c r="J197" s="197">
        <f>+GETPIVOTDATA(" Old-Dentistry",'Pivot Table for 1-11'!$A$3,"State","AL","SREB Type",5,"SREB Type2","Four-Year")</f>
        <v>0</v>
      </c>
      <c r="K197" s="197">
        <f>+GETPIVOTDATA(" Old-Pharmacy",'Pivot Table for 1-11'!$A$3,"State","AL","SREB Type",5,"SREB Type2","Four-Year")</f>
        <v>0</v>
      </c>
      <c r="L197" s="197">
        <f>+GETPIVOTDATA(" Old-Optometry",'Pivot Table for 1-11'!$A$3,"State","AL","SREB Type",5,"SREB Type2","Four-Year")</f>
        <v>0</v>
      </c>
      <c r="M197" s="197">
        <f>+GETPIVOTDATA(" Old-Osteopathic Medicine",'Pivot Table for 1-11'!$A$3,"State","AL","SREB Type",5,"SREB Type2","Four-Year")</f>
        <v>0</v>
      </c>
      <c r="N197" s="197">
        <f>+GETPIVOTDATA(" Old-Veterinary Medicine",'Pivot Table for 1-11'!$A$3,"State","AL","SREB Type",5,"SREB Type2","Four-Year")</f>
        <v>0</v>
      </c>
      <c r="O197" s="198">
        <f>+GETPIVOTDATA(" Old-Oth PP",'Pivot Table for 1-11'!$A$3,"State","AL","SREB Type",5,"SREB Type2","Four-Year")</f>
        <v>0</v>
      </c>
      <c r="P197" s="199">
        <f t="shared" ref="P197:P215" si="5">SUM(B197:O197)</f>
        <v>584</v>
      </c>
    </row>
    <row r="198" spans="1:16" ht="15" customHeight="1">
      <c r="A198" s="196" t="s">
        <v>22</v>
      </c>
      <c r="B198" s="197">
        <f>+GETPIVOTDATA(" Old-Less Than 2-Year",'Pivot Table for 1-11'!$A$3,"State","AR","SREB Type",5,"SREB Type2","Four-Year")+GETPIVOTDATA(" Old-2 But Less Than 4-Year",'Pivot Table for 1-11'!$A$3,"State","AR","SREB Type",5,"SREB Type2","Four-Year")</f>
        <v>0</v>
      </c>
      <c r="C198" s="197">
        <f>+GETPIVOTDATA(" Old-Associate's",'Pivot Table for 1-11'!$A$3,"State","AR","SREB Type",5,"SREB Type2","Four-Year")</f>
        <v>0</v>
      </c>
      <c r="D198" s="197">
        <f>+GETPIVOTDATA(" Old-Bachelor's",'Pivot Table for 1-11'!$A$3,"State","AR","SREB Type",5,"SREB Type2","Four-Year")</f>
        <v>0</v>
      </c>
      <c r="E198" s="197">
        <f>+GETPIVOTDATA(" Old-Post-Bachelor's",'Pivot Table for 1-11'!$A$3,"State","AR","SREB Type",5,"SREB Type2","Four-Year")</f>
        <v>0</v>
      </c>
      <c r="F198" s="197">
        <f>+GETPIVOTDATA(" Old-Total Master's#",'Pivot Table for 1-11'!$A$3,"State","AR","SREB Type",5,"SREB Type2","Four-Year")</f>
        <v>0</v>
      </c>
      <c r="G198" s="197">
        <f>+GETPIVOTDATA(" Old-Total Doctorates#",'Pivot Table for 1-11'!$A$3,"State","AR","SREB Type",5,"SREB Type2","Four-Year")</f>
        <v>0</v>
      </c>
      <c r="H198" s="230">
        <f>+GETPIVOTDATA(" Old-Law",'Pivot Table for 1-11'!$A$3,"State","AR","SREB Type",5,"SREB Type2","Four-Year")</f>
        <v>0</v>
      </c>
      <c r="I198" s="197">
        <f>+GETPIVOTDATA(" Old-Medicine",'Pivot Table for 1-11'!$A$3,"State","AR","SREB Type",5,"SREB Type2","Four-Year")</f>
        <v>0</v>
      </c>
      <c r="J198" s="197">
        <f>+GETPIVOTDATA(" Old-Dentistry",'Pivot Table for 1-11'!$A$3,"State","AR","SREB Type",5,"SREB Type2","Four-Year")</f>
        <v>0</v>
      </c>
      <c r="K198" s="197">
        <f>+GETPIVOTDATA(" Old-Pharmacy",'Pivot Table for 1-11'!$A$3,"State","AR","SREB Type",5,"SREB Type2","Four-Year")</f>
        <v>0</v>
      </c>
      <c r="L198" s="197">
        <f>+GETPIVOTDATA(" Old-Optometry",'Pivot Table for 1-11'!$A$3,"State","AR","SREB Type",5,"SREB Type2","Four-Year")</f>
        <v>0</v>
      </c>
      <c r="M198" s="197">
        <f>+GETPIVOTDATA(" Old-Osteopathic Medicine",'Pivot Table for 1-11'!$A$3,"State","AR","SREB Type",5,"SREB Type2","Four-Year")</f>
        <v>0</v>
      </c>
      <c r="N198" s="197">
        <f>+GETPIVOTDATA(" Old-Veterinary Medicine",'Pivot Table for 1-11'!$A$3,"State","AR","SREB Type",5,"SREB Type2","Four-Year")</f>
        <v>0</v>
      </c>
      <c r="O198" s="198">
        <f>+GETPIVOTDATA(" Old-Oth PP",'Pivot Table for 1-11'!$A$3,"State","AR","SREB Type",5,"SREB Type2","Four-Year")</f>
        <v>0</v>
      </c>
      <c r="P198" s="199">
        <f t="shared" si="5"/>
        <v>0</v>
      </c>
    </row>
    <row r="199" spans="1:16" ht="15" customHeight="1">
      <c r="A199" s="196" t="s">
        <v>23</v>
      </c>
      <c r="B199" s="197">
        <f>+GETPIVOTDATA(" Old-Less Than 2-Year",'Pivot Table for 1-11'!$A$3,"State","DE","SREB Type",5,"SREB Type2","Four-Year")+GETPIVOTDATA(" Old-2 But Less Than 4-Year",'Pivot Table for 1-11'!$A$3,"State","DE","SREB Type",5,"SREB Type2","Four-Year")</f>
        <v>0</v>
      </c>
      <c r="C199" s="197">
        <f>+GETPIVOTDATA(" Old-Associate's",'Pivot Table for 1-11'!$A$3,"State","DE","SREB Type",5,"SREB Type2","Four-Year")</f>
        <v>0</v>
      </c>
      <c r="D199" s="197">
        <f>+GETPIVOTDATA(" Old-Bachelor's",'Pivot Table for 1-11'!$A$3,"State","DE","SREB Type",5,"SREB Type2","Four-Year")</f>
        <v>0</v>
      </c>
      <c r="E199" s="197">
        <f>+GETPIVOTDATA(" Old-Post-Bachelor's",'Pivot Table for 1-11'!$A$3,"State","DE","SREB Type",5,"SREB Type2","Four-Year")</f>
        <v>0</v>
      </c>
      <c r="F199" s="197">
        <f>+GETPIVOTDATA(" Old-Total Master's#",'Pivot Table for 1-11'!$A$3,"State","DE","SREB Type",5,"SREB Type2","Four-Year")</f>
        <v>0</v>
      </c>
      <c r="G199" s="197">
        <f>+GETPIVOTDATA(" Old-Total Doctorates#",'Pivot Table for 1-11'!$A$3,"State","DE","SREB Type",5,"SREB Type2","Four-Year")</f>
        <v>0</v>
      </c>
      <c r="H199" s="230">
        <f>+GETPIVOTDATA(" Old-Law",'Pivot Table for 1-11'!$A$3,"State","DE","SREB Type",5,"SREB Type2","Four-Year")</f>
        <v>0</v>
      </c>
      <c r="I199" s="197">
        <f>+GETPIVOTDATA(" Old-Medicine",'Pivot Table for 1-11'!$A$3,"State","DE","SREB Type",5,"SREB Type2","Four-Year")</f>
        <v>0</v>
      </c>
      <c r="J199" s="197">
        <f>+GETPIVOTDATA(" Old-Dentistry",'Pivot Table for 1-11'!$A$3,"State","DE","SREB Type",5,"SREB Type2","Four-Year")</f>
        <v>0</v>
      </c>
      <c r="K199" s="197">
        <f>+GETPIVOTDATA(" Old-Pharmacy",'Pivot Table for 1-11'!$A$3,"State","DE","SREB Type",5,"SREB Type2","Four-Year")</f>
        <v>0</v>
      </c>
      <c r="L199" s="197">
        <f>+GETPIVOTDATA(" Old-Optometry",'Pivot Table for 1-11'!$A$3,"State","DE","SREB Type",5,"SREB Type2","Four-Year")</f>
        <v>0</v>
      </c>
      <c r="M199" s="197">
        <f>+GETPIVOTDATA(" Old-Osteopathic Medicine",'Pivot Table for 1-11'!$A$3,"State","DE","SREB Type",5,"SREB Type2","Four-Year")</f>
        <v>0</v>
      </c>
      <c r="N199" s="197">
        <f>+GETPIVOTDATA(" Old-Veterinary Medicine",'Pivot Table for 1-11'!$A$3,"State","DE","SREB Type",5,"SREB Type2","Four-Year")</f>
        <v>0</v>
      </c>
      <c r="O199" s="198">
        <f>+GETPIVOTDATA(" Old-Oth PP",'Pivot Table for 1-11'!$A$3,"State","DE","SREB Type",5,"SREB Type2","Four-Year")</f>
        <v>0</v>
      </c>
      <c r="P199" s="199">
        <f t="shared" si="5"/>
        <v>0</v>
      </c>
    </row>
    <row r="200" spans="1:16" ht="15" customHeight="1">
      <c r="A200" s="196" t="s">
        <v>24</v>
      </c>
      <c r="B200" s="197">
        <f>+GETPIVOTDATA(" Old-Less Than 2-Year",'Pivot Table for 1-11'!$A$3,"State","FL","SREB Type",5,"SREB Type2","Four-Year")+GETPIVOTDATA(" Old-2 But Less Than 4-Year",'Pivot Table for 1-11'!$A$3,"State","FL","SREB Type",5,"SREB Type2","Four-Year")</f>
        <v>0</v>
      </c>
      <c r="C200" s="197">
        <f>+GETPIVOTDATA(" Old-Associate's",'Pivot Table for 1-11'!$A$3,"State","FL","SREB Type",5,"SREB Type2","Four-Year")</f>
        <v>0</v>
      </c>
      <c r="D200" s="197">
        <f>+GETPIVOTDATA(" Old-Bachelor's",'Pivot Table for 1-11'!$A$3,"State","FL","SREB Type",5,"SREB Type2","Four-Year")</f>
        <v>0</v>
      </c>
      <c r="E200" s="197">
        <f>+GETPIVOTDATA(" Old-Post-Bachelor's",'Pivot Table for 1-11'!$A$3,"State","FL","SREB Type",5,"SREB Type2","Four-Year")</f>
        <v>0</v>
      </c>
      <c r="F200" s="197">
        <f>+GETPIVOTDATA(" Old-Total Master's#",'Pivot Table for 1-11'!$A$3,"State","FL","SREB Type",5,"SREB Type2","Four-Year")</f>
        <v>0</v>
      </c>
      <c r="G200" s="197">
        <f>+GETPIVOTDATA(" Old-Total Doctorates#",'Pivot Table for 1-11'!$A$3,"State","FL","SREB Type",5,"SREB Type2","Four-Year")</f>
        <v>0</v>
      </c>
      <c r="H200" s="230">
        <f>+GETPIVOTDATA(" Old-Law",'Pivot Table for 1-11'!$A$3,"State","FL","SREB Type",5,"SREB Type2","Four-Year")</f>
        <v>0</v>
      </c>
      <c r="I200" s="197">
        <f>+GETPIVOTDATA(" Old-Medicine",'Pivot Table for 1-11'!$A$3,"State","FL","SREB Type",5,"SREB Type2","Four-Year")</f>
        <v>0</v>
      </c>
      <c r="J200" s="197">
        <f>+GETPIVOTDATA(" Old-Dentistry",'Pivot Table for 1-11'!$A$3,"State","FL","SREB Type",5,"SREB Type2","Four-Year")</f>
        <v>0</v>
      </c>
      <c r="K200" s="197">
        <f>+GETPIVOTDATA(" Old-Pharmacy",'Pivot Table for 1-11'!$A$3,"State","FL","SREB Type",5,"SREB Type2","Four-Year")</f>
        <v>0</v>
      </c>
      <c r="L200" s="197">
        <f>+GETPIVOTDATA(" Old-Optometry",'Pivot Table for 1-11'!$A$3,"State","FL","SREB Type",5,"SREB Type2","Four-Year")</f>
        <v>0</v>
      </c>
      <c r="M200" s="197">
        <f>+GETPIVOTDATA(" Old-Osteopathic Medicine",'Pivot Table for 1-11'!$A$3,"State","FL","SREB Type",5,"SREB Type2","Four-Year")</f>
        <v>0</v>
      </c>
      <c r="N200" s="197">
        <f>+GETPIVOTDATA(" Old-Veterinary Medicine",'Pivot Table for 1-11'!$A$3,"State","FL","SREB Type",5,"SREB Type2","Four-Year")</f>
        <v>0</v>
      </c>
      <c r="O200" s="198">
        <f>+GETPIVOTDATA(" Old-Oth PP",'Pivot Table for 1-11'!$A$3,"State","FL","SREB Type",5,"SREB Type2","Four-Year")</f>
        <v>0</v>
      </c>
      <c r="P200" s="199">
        <f t="shared" si="5"/>
        <v>0</v>
      </c>
    </row>
    <row r="201" spans="1:16" ht="15" customHeight="1">
      <c r="A201" s="196"/>
      <c r="B201" s="197"/>
      <c r="C201" s="197"/>
      <c r="D201" s="197"/>
      <c r="E201" s="197"/>
      <c r="F201" s="197"/>
      <c r="G201" s="197"/>
      <c r="H201" s="230"/>
      <c r="I201" s="197"/>
      <c r="J201" s="197"/>
      <c r="K201" s="197"/>
      <c r="L201" s="197"/>
      <c r="M201" s="197"/>
      <c r="N201" s="197"/>
      <c r="O201" s="198"/>
      <c r="P201" s="199"/>
    </row>
    <row r="202" spans="1:16" ht="15" customHeight="1">
      <c r="A202" s="196" t="s">
        <v>25</v>
      </c>
      <c r="B202" s="197">
        <f>+GETPIVOTDATA(" Old-Less Than 2-Year",'Pivot Table for 1-11'!$A$3,"State","GA","SREB Type",5,"SREB Type2","Four-Year")+GETPIVOTDATA(" Old-2 But Less Than 4-Year",'Pivot Table for 1-11'!$A$3,"State","GA","SREB Type",5,"SREB Type2","Four-Year")</f>
        <v>47</v>
      </c>
      <c r="C202" s="197">
        <f>+GETPIVOTDATA(" Old-Associate's",'Pivot Table for 1-11'!$A$3,"State","GA","SREB Type",5,"SREB Type2","Four-Year")</f>
        <v>476</v>
      </c>
      <c r="D202" s="197">
        <f>+GETPIVOTDATA(" Old-Bachelor's",'Pivot Table for 1-11'!$A$3,"State","GA","SREB Type",5,"SREB Type2","Four-Year")</f>
        <v>1685</v>
      </c>
      <c r="E202" s="197">
        <f>+GETPIVOTDATA(" Old-Post-Bachelor's",'Pivot Table for 1-11'!$A$3,"State","GA","SREB Type",5,"SREB Type2","Four-Year")</f>
        <v>7</v>
      </c>
      <c r="F202" s="197">
        <f>+GETPIVOTDATA(" Old-Total Master's#",'Pivot Table for 1-11'!$A$3,"State","GA","SREB Type",5,"SREB Type2","Four-Year")</f>
        <v>272</v>
      </c>
      <c r="G202" s="197">
        <f>+GETPIVOTDATA(" Old-Total Doctorates#",'Pivot Table for 1-11'!$A$3,"State","GA","SREB Type",5,"SREB Type2","Four-Year")</f>
        <v>0</v>
      </c>
      <c r="H202" s="230">
        <f>+GETPIVOTDATA(" Old-Law",'Pivot Table for 1-11'!$A$3,"State","GA","SREB Type",5,"SREB Type2","Four-Year")</f>
        <v>0</v>
      </c>
      <c r="I202" s="197">
        <f>+GETPIVOTDATA(" Old-Medicine",'Pivot Table for 1-11'!$A$3,"State","GA","SREB Type",5,"SREB Type2","Four-Year")</f>
        <v>0</v>
      </c>
      <c r="J202" s="197">
        <f>+GETPIVOTDATA(" Old-Dentistry",'Pivot Table for 1-11'!$A$3,"State","GA","SREB Type",5,"SREB Type2","Four-Year")</f>
        <v>0</v>
      </c>
      <c r="K202" s="197">
        <f>+GETPIVOTDATA(" Old-Pharmacy",'Pivot Table for 1-11'!$A$3,"State","GA","SREB Type",5,"SREB Type2","Four-Year")</f>
        <v>0</v>
      </c>
      <c r="L202" s="197">
        <f>+GETPIVOTDATA(" Old-Optometry",'Pivot Table for 1-11'!$A$3,"State","GA","SREB Type",5,"SREB Type2","Four-Year")</f>
        <v>0</v>
      </c>
      <c r="M202" s="197">
        <f>+GETPIVOTDATA(" Old-Osteopathic Medicine",'Pivot Table for 1-11'!$A$3,"State","GA","SREB Type",5,"SREB Type2","Four-Year")</f>
        <v>0</v>
      </c>
      <c r="N202" s="197">
        <f>+GETPIVOTDATA(" Old-Veterinary Medicine",'Pivot Table for 1-11'!$A$3,"State","GA","SREB Type",5,"SREB Type2","Four-Year")</f>
        <v>0</v>
      </c>
      <c r="O202" s="198">
        <f>+GETPIVOTDATA(" Old-Oth PP",'Pivot Table for 1-11'!$A$3,"State","GA","SREB Type",5,"SREB Type2","Four-Year")</f>
        <v>0</v>
      </c>
      <c r="P202" s="199">
        <f t="shared" si="5"/>
        <v>2487</v>
      </c>
    </row>
    <row r="203" spans="1:16" ht="15" customHeight="1">
      <c r="A203" s="196" t="s">
        <v>26</v>
      </c>
      <c r="B203" s="197">
        <f>+GETPIVOTDATA(" Old-Less Than 2-Year",'Pivot Table for 1-11'!$A$3,"State","KY","SREB Type",5,"SREB Type2","Four-Year")+GETPIVOTDATA(" Old-2 But Less Than 4-Year",'Pivot Table for 1-11'!$A$3,"State","KY","SREB Type",5,"SREB Type2","Four-Year")</f>
        <v>0</v>
      </c>
      <c r="C203" s="197">
        <f>+GETPIVOTDATA(" Old-Associate's",'Pivot Table for 1-11'!$A$3,"State","KY","SREB Type",5,"SREB Type2","Four-Year")</f>
        <v>0</v>
      </c>
      <c r="D203" s="197">
        <f>+GETPIVOTDATA(" Old-Bachelor's",'Pivot Table for 1-11'!$A$3,"State","KY","SREB Type",5,"SREB Type2","Four-Year")</f>
        <v>0</v>
      </c>
      <c r="E203" s="197">
        <f>+GETPIVOTDATA(" Old-Post-Bachelor's",'Pivot Table for 1-11'!$A$3,"State","KY","SREB Type",5,"SREB Type2","Four-Year")</f>
        <v>0</v>
      </c>
      <c r="F203" s="197">
        <f>+GETPIVOTDATA(" Old-Total Master's#",'Pivot Table for 1-11'!$A$3,"State","KY","SREB Type",5,"SREB Type2","Four-Year")</f>
        <v>0</v>
      </c>
      <c r="G203" s="197">
        <f>+GETPIVOTDATA(" Old-Total Doctorates#",'Pivot Table for 1-11'!$A$3,"State","KY","SREB Type",5,"SREB Type2","Four-Year")</f>
        <v>0</v>
      </c>
      <c r="H203" s="230">
        <f>+GETPIVOTDATA(" Old-Law",'Pivot Table for 1-11'!$A$3,"State","KY","SREB Type",5,"SREB Type2","Four-Year")</f>
        <v>0</v>
      </c>
      <c r="I203" s="197">
        <f>+GETPIVOTDATA(" Old-Medicine",'Pivot Table for 1-11'!$A$3,"State","KY","SREB Type",5,"SREB Type2","Four-Year")</f>
        <v>0</v>
      </c>
      <c r="J203" s="197">
        <f>+GETPIVOTDATA(" Old-Dentistry",'Pivot Table for 1-11'!$A$3,"State","KY","SREB Type",5,"SREB Type2","Four-Year")</f>
        <v>0</v>
      </c>
      <c r="K203" s="197">
        <f>+GETPIVOTDATA(" Old-Pharmacy",'Pivot Table for 1-11'!$A$3,"State","KY","SREB Type",5,"SREB Type2","Four-Year")</f>
        <v>0</v>
      </c>
      <c r="L203" s="197">
        <f>+GETPIVOTDATA(" Old-Optometry",'Pivot Table for 1-11'!$A$3,"State","KY","SREB Type",5,"SREB Type2","Four-Year")</f>
        <v>0</v>
      </c>
      <c r="M203" s="197">
        <f>+GETPIVOTDATA(" Old-Osteopathic Medicine",'Pivot Table for 1-11'!$A$3,"State","KY","SREB Type",5,"SREB Type2","Four-Year")</f>
        <v>0</v>
      </c>
      <c r="N203" s="197">
        <f>+GETPIVOTDATA(" Old-Veterinary Medicine",'Pivot Table for 1-11'!$A$3,"State","KY","SREB Type",5,"SREB Type2","Four-Year")</f>
        <v>0</v>
      </c>
      <c r="O203" s="198">
        <f>+GETPIVOTDATA(" Old-Oth PP",'Pivot Table for 1-11'!$A$3,"State","KY","SREB Type",5,"SREB Type2","Four-Year")</f>
        <v>0</v>
      </c>
      <c r="P203" s="199">
        <f t="shared" si="5"/>
        <v>0</v>
      </c>
    </row>
    <row r="204" spans="1:16" ht="15" customHeight="1">
      <c r="A204" s="196" t="s">
        <v>27</v>
      </c>
      <c r="B204" s="197">
        <f>+GETPIVOTDATA(" Old-Less Than 2-Year",'Pivot Table for 1-11'!$A$3,"State","LA","SREB Type",5,"SREB Type2","Four-Year")+GETPIVOTDATA(" Old-2 But Less Than 4-Year",'Pivot Table for 1-11'!$A$3,"State","LA","SREB Type",5,"SREB Type2","Four-Year")</f>
        <v>0</v>
      </c>
      <c r="C204" s="197">
        <f>+GETPIVOTDATA(" Old-Associate's",'Pivot Table for 1-11'!$A$3,"State","LA","SREB Type",5,"SREB Type2","Four-Year")</f>
        <v>12</v>
      </c>
      <c r="D204" s="197">
        <f>+GETPIVOTDATA(" Old-Bachelor's",'Pivot Table for 1-11'!$A$3,"State","LA","SREB Type",5,"SREB Type2","Four-Year")</f>
        <v>288</v>
      </c>
      <c r="E204" s="197">
        <f>+GETPIVOTDATA(" Old-Post-Bachelor's",'Pivot Table for 1-11'!$A$3,"State","LA","SREB Type",5,"SREB Type2","Four-Year")</f>
        <v>0</v>
      </c>
      <c r="F204" s="197">
        <f>+GETPIVOTDATA(" Old-Total Master's#",'Pivot Table for 1-11'!$A$3,"State","LA","SREB Type",5,"SREB Type2","Four-Year")</f>
        <v>170</v>
      </c>
      <c r="G204" s="197">
        <f>+GETPIVOTDATA(" Old-Total Doctorates#",'Pivot Table for 1-11'!$A$3,"State","LA","SREB Type",5,"SREB Type2","Four-Year")</f>
        <v>0</v>
      </c>
      <c r="H204" s="230">
        <f>+GETPIVOTDATA(" Old-Law",'Pivot Table for 1-11'!$A$3,"State","LA","SREB Type",5,"SREB Type2","Four-Year")</f>
        <v>0</v>
      </c>
      <c r="I204" s="197">
        <f>+GETPIVOTDATA(" Old-Medicine",'Pivot Table for 1-11'!$A$3,"State","LA","SREB Type",5,"SREB Type2","Four-Year")</f>
        <v>0</v>
      </c>
      <c r="J204" s="197">
        <f>+GETPIVOTDATA(" Old-Dentistry",'Pivot Table for 1-11'!$A$3,"State","LA","SREB Type",5,"SREB Type2","Four-Year")</f>
        <v>0</v>
      </c>
      <c r="K204" s="197">
        <f>+GETPIVOTDATA(" Old-Pharmacy",'Pivot Table for 1-11'!$A$3,"State","LA","SREB Type",5,"SREB Type2","Four-Year")</f>
        <v>0</v>
      </c>
      <c r="L204" s="197">
        <f>+GETPIVOTDATA(" Old-Optometry",'Pivot Table for 1-11'!$A$3,"State","LA","SREB Type",5,"SREB Type2","Four-Year")</f>
        <v>0</v>
      </c>
      <c r="M204" s="197">
        <f>+GETPIVOTDATA(" Old-Osteopathic Medicine",'Pivot Table for 1-11'!$A$3,"State","LA","SREB Type",5,"SREB Type2","Four-Year")</f>
        <v>0</v>
      </c>
      <c r="N204" s="197">
        <f>+GETPIVOTDATA(" Old-Veterinary Medicine",'Pivot Table for 1-11'!$A$3,"State","LA","SREB Type",5,"SREB Type2","Four-Year")</f>
        <v>0</v>
      </c>
      <c r="O204" s="198">
        <f>+GETPIVOTDATA(" Old-Oth PP",'Pivot Table for 1-11'!$A$3,"State","LA","SREB Type",5,"SREB Type2","Four-Year")</f>
        <v>0</v>
      </c>
      <c r="P204" s="199">
        <f t="shared" si="5"/>
        <v>470</v>
      </c>
    </row>
    <row r="205" spans="1:16" ht="15" customHeight="1">
      <c r="A205" s="196" t="s">
        <v>28</v>
      </c>
      <c r="B205" s="197">
        <f>+GETPIVOTDATA(" Old-Less Than 2-Year",'Pivot Table for 1-11'!$A$3,"State","MD","SREB Type",5,"SREB Type2","Four-Year")+GETPIVOTDATA(" Old-2 But Less Than 4-Year",'Pivot Table for 1-11'!$A$3,"State","MD","SREB Type",5,"SREB Type2","Four-Year")</f>
        <v>0</v>
      </c>
      <c r="C205" s="197">
        <f>+GETPIVOTDATA(" Old-Associate's",'Pivot Table for 1-11'!$A$3,"State","MD","SREB Type",5,"SREB Type2","Four-Year")</f>
        <v>0</v>
      </c>
      <c r="D205" s="197">
        <f>+GETPIVOTDATA(" Old-Bachelor's",'Pivot Table for 1-11'!$A$3,"State","MD","SREB Type",5,"SREB Type2","Four-Year")</f>
        <v>0</v>
      </c>
      <c r="E205" s="197">
        <f>+GETPIVOTDATA(" Old-Post-Bachelor's",'Pivot Table for 1-11'!$A$3,"State","MD","SREB Type",5,"SREB Type2","Four-Year")</f>
        <v>0</v>
      </c>
      <c r="F205" s="197">
        <f>+GETPIVOTDATA(" Old-Total Master's#",'Pivot Table for 1-11'!$A$3,"State","MD","SREB Type",5,"SREB Type2","Four-Year")</f>
        <v>0</v>
      </c>
      <c r="G205" s="197">
        <f>+GETPIVOTDATA(" Old-Total Doctorates#",'Pivot Table for 1-11'!$A$3,"State","MD","SREB Type",5,"SREB Type2","Four-Year")</f>
        <v>0</v>
      </c>
      <c r="H205" s="230">
        <f>+GETPIVOTDATA(" Old-Law",'Pivot Table for 1-11'!$A$3,"State","MD","SREB Type",5,"SREB Type2","Four-Year")</f>
        <v>0</v>
      </c>
      <c r="I205" s="197">
        <f>+GETPIVOTDATA(" Old-Medicine",'Pivot Table for 1-11'!$A$3,"State","MD","SREB Type",5,"SREB Type2","Four-Year")</f>
        <v>0</v>
      </c>
      <c r="J205" s="197">
        <f>+GETPIVOTDATA(" Old-Dentistry",'Pivot Table for 1-11'!$A$3,"State","MD","SREB Type",5,"SREB Type2","Four-Year")</f>
        <v>0</v>
      </c>
      <c r="K205" s="197">
        <f>+GETPIVOTDATA(" Old-Pharmacy",'Pivot Table for 1-11'!$A$3,"State","MD","SREB Type",5,"SREB Type2","Four-Year")</f>
        <v>0</v>
      </c>
      <c r="L205" s="197">
        <f>+GETPIVOTDATA(" Old-Optometry",'Pivot Table for 1-11'!$A$3,"State","MD","SREB Type",5,"SREB Type2","Four-Year")</f>
        <v>0</v>
      </c>
      <c r="M205" s="197">
        <f>+GETPIVOTDATA(" Old-Osteopathic Medicine",'Pivot Table for 1-11'!$A$3,"State","MD","SREB Type",5,"SREB Type2","Four-Year")</f>
        <v>0</v>
      </c>
      <c r="N205" s="197">
        <f>+GETPIVOTDATA(" Old-Veterinary Medicine",'Pivot Table for 1-11'!$A$3,"State","MD","SREB Type",5,"SREB Type2","Four-Year")</f>
        <v>0</v>
      </c>
      <c r="O205" s="198">
        <f>+GETPIVOTDATA(" Old-Oth PP",'Pivot Table for 1-11'!$A$3,"State","MD","SREB Type",5,"SREB Type2","Four-Year")</f>
        <v>0</v>
      </c>
      <c r="P205" s="199">
        <f t="shared" si="5"/>
        <v>0</v>
      </c>
    </row>
    <row r="206" spans="1:16" ht="15" customHeight="1">
      <c r="A206" s="196"/>
      <c r="B206" s="197"/>
      <c r="C206" s="197"/>
      <c r="D206" s="197"/>
      <c r="E206" s="197"/>
      <c r="F206" s="197"/>
      <c r="G206" s="197"/>
      <c r="H206" s="230"/>
      <c r="I206" s="197"/>
      <c r="J206" s="197"/>
      <c r="K206" s="197"/>
      <c r="L206" s="197"/>
      <c r="M206" s="197"/>
      <c r="N206" s="197"/>
      <c r="O206" s="198"/>
      <c r="P206" s="199"/>
    </row>
    <row r="207" spans="1:16" ht="15" customHeight="1">
      <c r="A207" s="196" t="s">
        <v>29</v>
      </c>
      <c r="B207" s="197">
        <f>+GETPIVOTDATA(" Old-Less Than 2-Year",'Pivot Table for 1-11'!$A$3,"State","MS","SREB Type",5,"SREB Type2","Four-Year")+GETPIVOTDATA(" Old-2 But Less Than 4-Year",'Pivot Table for 1-11'!$A$3,"State","MS","SREB Type",5,"SREB Type2","Four-Year")</f>
        <v>0</v>
      </c>
      <c r="C207" s="197">
        <f>+GETPIVOTDATA(" Old-Associate's",'Pivot Table for 1-11'!$A$3,"State","MS","SREB Type",5,"SREB Type2","Four-Year")</f>
        <v>0</v>
      </c>
      <c r="D207" s="197">
        <f>+GETPIVOTDATA(" Old-Bachelor's",'Pivot Table for 1-11'!$A$3,"State","MS","SREB Type",5,"SREB Type2","Four-Year")</f>
        <v>0</v>
      </c>
      <c r="E207" s="197">
        <f>+GETPIVOTDATA(" Old-Post-Bachelor's",'Pivot Table for 1-11'!$A$3,"State","MS","SREB Type",5,"SREB Type2","Four-Year")</f>
        <v>0</v>
      </c>
      <c r="F207" s="197">
        <f>+GETPIVOTDATA(" Old-Total Master's#",'Pivot Table for 1-11'!$A$3,"State","MS","SREB Type",5,"SREB Type2","Four-Year")</f>
        <v>0</v>
      </c>
      <c r="G207" s="197">
        <f>+GETPIVOTDATA(" Old-Total Doctorates#",'Pivot Table for 1-11'!$A$3,"State","MS","SREB Type",5,"SREB Type2","Four-Year")</f>
        <v>0</v>
      </c>
      <c r="H207" s="230">
        <f>+GETPIVOTDATA(" Old-Law",'Pivot Table for 1-11'!$A$3,"State","MS","SREB Type",5,"SREB Type2","Four-Year")</f>
        <v>0</v>
      </c>
      <c r="I207" s="197">
        <f>+GETPIVOTDATA(" Old-Medicine",'Pivot Table for 1-11'!$A$3,"State","MS","SREB Type",5,"SREB Type2","Four-Year")</f>
        <v>0</v>
      </c>
      <c r="J207" s="197">
        <f>+GETPIVOTDATA(" Old-Dentistry",'Pivot Table for 1-11'!$A$3,"State","MS","SREB Type",5,"SREB Type2","Four-Year")</f>
        <v>0</v>
      </c>
      <c r="K207" s="197">
        <f>+GETPIVOTDATA(" Old-Pharmacy",'Pivot Table for 1-11'!$A$3,"State","MS","SREB Type",5,"SREB Type2","Four-Year")</f>
        <v>0</v>
      </c>
      <c r="L207" s="197">
        <f>+GETPIVOTDATA(" Old-Optometry",'Pivot Table for 1-11'!$A$3,"State","MS","SREB Type",5,"SREB Type2","Four-Year")</f>
        <v>0</v>
      </c>
      <c r="M207" s="197">
        <f>+GETPIVOTDATA(" Old-Osteopathic Medicine",'Pivot Table for 1-11'!$A$3,"State","MS","SREB Type",5,"SREB Type2","Four-Year")</f>
        <v>0</v>
      </c>
      <c r="N207" s="197">
        <f>+GETPIVOTDATA(" Old-Veterinary Medicine",'Pivot Table for 1-11'!$A$3,"State","MS","SREB Type",5,"SREB Type2","Four-Year")</f>
        <v>0</v>
      </c>
      <c r="O207" s="198">
        <f>+GETPIVOTDATA(" Old-Oth PP",'Pivot Table for 1-11'!$A$3,"State","MS","SREB Type",5,"SREB Type2","Four-Year")</f>
        <v>0</v>
      </c>
      <c r="P207" s="199">
        <f t="shared" si="5"/>
        <v>0</v>
      </c>
    </row>
    <row r="208" spans="1:16" ht="15" customHeight="1">
      <c r="A208" s="196" t="s">
        <v>30</v>
      </c>
      <c r="B208" s="197">
        <f>+GETPIVOTDATA(" Old-Less Than 2-Year",'Pivot Table for 1-11'!$A$3,"State","NC","SREB Type",5,"SREB Type2","Four-Year")+GETPIVOTDATA(" Old-2 But Less Than 4-Year",'Pivot Table for 1-11'!$A$3,"State","NC","SREB Type",5,"SREB Type2","Four-Year")</f>
        <v>0</v>
      </c>
      <c r="C208" s="197">
        <f>+GETPIVOTDATA(" Old-Associate's",'Pivot Table for 1-11'!$A$3,"State","NC","SREB Type",5,"SREB Type2","Four-Year")</f>
        <v>0</v>
      </c>
      <c r="D208" s="197">
        <f>+GETPIVOTDATA(" Old-Bachelor's",'Pivot Table for 1-11'!$A$3,"State","NC","SREB Type",5,"SREB Type2","Four-Year")</f>
        <v>2012</v>
      </c>
      <c r="E208" s="197">
        <f>+GETPIVOTDATA(" Old-Post-Bachelor's",'Pivot Table for 1-11'!$A$3,"State","NC","SREB Type",5,"SREB Type2","Four-Year")</f>
        <v>0</v>
      </c>
      <c r="F208" s="197">
        <f>+GETPIVOTDATA(" Old-Total Master's#",'Pivot Table for 1-11'!$A$3,"State","NC","SREB Type",5,"SREB Type2","Four-Year")</f>
        <v>351</v>
      </c>
      <c r="G208" s="197">
        <f>+GETPIVOTDATA(" Old-Total Doctorates#",'Pivot Table for 1-11'!$A$3,"State","NC","SREB Type",5,"SREB Type2","Four-Year")</f>
        <v>0</v>
      </c>
      <c r="H208" s="230">
        <f>+GETPIVOTDATA(" Old-Law",'Pivot Table for 1-11'!$A$3,"State","NC","SREB Type",5,"SREB Type2","Four-Year")</f>
        <v>0</v>
      </c>
      <c r="I208" s="197">
        <f>+GETPIVOTDATA(" Old-Medicine",'Pivot Table for 1-11'!$A$3,"State","NC","SREB Type",5,"SREB Type2","Four-Year")</f>
        <v>0</v>
      </c>
      <c r="J208" s="197">
        <f>+GETPIVOTDATA(" Old-Dentistry",'Pivot Table for 1-11'!$A$3,"State","NC","SREB Type",5,"SREB Type2","Four-Year")</f>
        <v>0</v>
      </c>
      <c r="K208" s="197">
        <f>+GETPIVOTDATA(" Old-Pharmacy",'Pivot Table for 1-11'!$A$3,"State","NC","SREB Type",5,"SREB Type2","Four-Year")</f>
        <v>0</v>
      </c>
      <c r="L208" s="197">
        <f>+GETPIVOTDATA(" Old-Optometry",'Pivot Table for 1-11'!$A$3,"State","NC","SREB Type",5,"SREB Type2","Four-Year")</f>
        <v>0</v>
      </c>
      <c r="M208" s="197">
        <f>+GETPIVOTDATA(" Old-Osteopathic Medicine",'Pivot Table for 1-11'!$A$3,"State","NC","SREB Type",5,"SREB Type2","Four-Year")</f>
        <v>0</v>
      </c>
      <c r="N208" s="197">
        <f>+GETPIVOTDATA(" Old-Veterinary Medicine",'Pivot Table for 1-11'!$A$3,"State","NC","SREB Type",5,"SREB Type2","Four-Year")</f>
        <v>0</v>
      </c>
      <c r="O208" s="198">
        <f>+GETPIVOTDATA(" Old-Oth PP",'Pivot Table for 1-11'!$A$3,"State","NC","SREB Type",5,"SREB Type2","Four-Year")</f>
        <v>40</v>
      </c>
      <c r="P208" s="199">
        <f t="shared" si="5"/>
        <v>2403</v>
      </c>
    </row>
    <row r="209" spans="1:16" ht="15" customHeight="1">
      <c r="A209" s="196" t="s">
        <v>31</v>
      </c>
      <c r="B209" s="197">
        <f>+GETPIVOTDATA(" Old-Less Than 2-Year",'Pivot Table for 1-11'!$A$3,"State","OK","SREB Type",5,"SREB Type2","Four-Year")+GETPIVOTDATA(" Old-2 But Less Than 4-Year",'Pivot Table for 1-11'!$A$3,"State","OK","SREB Type",5,"SREB Type2","Four-Year")</f>
        <v>0</v>
      </c>
      <c r="C209" s="197">
        <f>+GETPIVOTDATA(" Old-Associate's",'Pivot Table for 1-11'!$A$3,"State","OK","SREB Type",5,"SREB Type2","Four-Year")</f>
        <v>0</v>
      </c>
      <c r="D209" s="197">
        <f>+GETPIVOTDATA(" Old-Bachelor's",'Pivot Table for 1-11'!$A$3,"State","OK","SREB Type",5,"SREB Type2","Four-Year")</f>
        <v>0</v>
      </c>
      <c r="E209" s="197">
        <f>+GETPIVOTDATA(" Old-Post-Bachelor's",'Pivot Table for 1-11'!$A$3,"State","OK","SREB Type",5,"SREB Type2","Four-Year")</f>
        <v>0</v>
      </c>
      <c r="F209" s="197">
        <f>+GETPIVOTDATA(" Old-Total Master's#",'Pivot Table for 1-11'!$A$3,"State","OK","SREB Type",5,"SREB Type2","Four-Year")</f>
        <v>0</v>
      </c>
      <c r="G209" s="197">
        <f>+GETPIVOTDATA(" Old-Total Doctorates#",'Pivot Table for 1-11'!$A$3,"State","OK","SREB Type",5,"SREB Type2","Four-Year")</f>
        <v>0</v>
      </c>
      <c r="H209" s="230">
        <f>+GETPIVOTDATA(" Old-Law",'Pivot Table for 1-11'!$A$3,"State","OK","SREB Type",5,"SREB Type2","Four-Year")</f>
        <v>0</v>
      </c>
      <c r="I209" s="197">
        <f>+GETPIVOTDATA(" Old-Medicine",'Pivot Table for 1-11'!$A$3,"State","OK","SREB Type",5,"SREB Type2","Four-Year")</f>
        <v>0</v>
      </c>
      <c r="J209" s="197">
        <f>+GETPIVOTDATA(" Old-Dentistry",'Pivot Table for 1-11'!$A$3,"State","OK","SREB Type",5,"SREB Type2","Four-Year")</f>
        <v>0</v>
      </c>
      <c r="K209" s="197">
        <f>+GETPIVOTDATA(" Old-Pharmacy",'Pivot Table for 1-11'!$A$3,"State","OK","SREB Type",5,"SREB Type2","Four-Year")</f>
        <v>0</v>
      </c>
      <c r="L209" s="197">
        <f>+GETPIVOTDATA(" Old-Optometry",'Pivot Table for 1-11'!$A$3,"State","OK","SREB Type",5,"SREB Type2","Four-Year")</f>
        <v>0</v>
      </c>
      <c r="M209" s="197">
        <f>+GETPIVOTDATA(" Old-Osteopathic Medicine",'Pivot Table for 1-11'!$A$3,"State","OK","SREB Type",5,"SREB Type2","Four-Year")</f>
        <v>0</v>
      </c>
      <c r="N209" s="197">
        <f>+GETPIVOTDATA(" Old-Veterinary Medicine",'Pivot Table for 1-11'!$A$3,"State","OK","SREB Type",5,"SREB Type2","Four-Year")</f>
        <v>0</v>
      </c>
      <c r="O209" s="198">
        <f>+GETPIVOTDATA(" Old-Oth PP",'Pivot Table for 1-11'!$A$3,"State","OK","SREB Type",5,"SREB Type2","Four-Year")</f>
        <v>0</v>
      </c>
      <c r="P209" s="199">
        <f t="shared" si="5"/>
        <v>0</v>
      </c>
    </row>
    <row r="210" spans="1:16" ht="15" customHeight="1">
      <c r="A210" s="196" t="s">
        <v>32</v>
      </c>
      <c r="B210" s="197">
        <f>+GETPIVOTDATA(" Old-Less Than 2-Year",'Pivot Table for 1-11'!$A$3,"State","SC","SREB Type",5,"SREB Type2","Four-Year")+GETPIVOTDATA(" Old-2 But Less Than 4-Year",'Pivot Table for 1-11'!$A$3,"State","SC","SREB Type",5,"SREB Type2","Four-Year")</f>
        <v>0</v>
      </c>
      <c r="C210" s="197">
        <f>+GETPIVOTDATA(" Old-Associate's",'Pivot Table for 1-11'!$A$3,"State","SC","SREB Type",5,"SREB Type2","Four-Year")</f>
        <v>0</v>
      </c>
      <c r="D210" s="197">
        <f>+GETPIVOTDATA(" Old-Bachelor's",'Pivot Table for 1-11'!$A$3,"State","SC","SREB Type",5,"SREB Type2","Four-Year")</f>
        <v>860</v>
      </c>
      <c r="E210" s="197">
        <f>+GETPIVOTDATA(" Old-Post-Bachelor's",'Pivot Table for 1-11'!$A$3,"State","SC","SREB Type",5,"SREB Type2","Four-Year")</f>
        <v>0</v>
      </c>
      <c r="F210" s="197">
        <f>+GETPIVOTDATA(" Old-Total Master's#",'Pivot Table for 1-11'!$A$3,"State","SC","SREB Type",5,"SREB Type2","Four-Year")</f>
        <v>267</v>
      </c>
      <c r="G210" s="197">
        <f>+GETPIVOTDATA(" Old-Total Doctorates#",'Pivot Table for 1-11'!$A$3,"State","SC","SREB Type",5,"SREB Type2","Four-Year")</f>
        <v>14</v>
      </c>
      <c r="H210" s="230">
        <f>+GETPIVOTDATA(" Old-Law",'Pivot Table for 1-11'!$A$3,"State","SC","SREB Type",5,"SREB Type2","Four-Year")</f>
        <v>0</v>
      </c>
      <c r="I210" s="197">
        <f>+GETPIVOTDATA(" Old-Medicine",'Pivot Table for 1-11'!$A$3,"State","SC","SREB Type",5,"SREB Type2","Four-Year")</f>
        <v>0</v>
      </c>
      <c r="J210" s="197">
        <f>+GETPIVOTDATA(" Old-Dentistry",'Pivot Table for 1-11'!$A$3,"State","SC","SREB Type",5,"SREB Type2","Four-Year")</f>
        <v>0</v>
      </c>
      <c r="K210" s="197">
        <f>+GETPIVOTDATA(" Old-Pharmacy",'Pivot Table for 1-11'!$A$3,"State","SC","SREB Type",5,"SREB Type2","Four-Year")</f>
        <v>0</v>
      </c>
      <c r="L210" s="197">
        <f>+GETPIVOTDATA(" Old-Optometry",'Pivot Table for 1-11'!$A$3,"State","SC","SREB Type",5,"SREB Type2","Four-Year")</f>
        <v>0</v>
      </c>
      <c r="M210" s="197">
        <f>+GETPIVOTDATA(" Old-Osteopathic Medicine",'Pivot Table for 1-11'!$A$3,"State","SC","SREB Type",5,"SREB Type2","Four-Year")</f>
        <v>0</v>
      </c>
      <c r="N210" s="197">
        <f>+GETPIVOTDATA(" Old-Veterinary Medicine",'Pivot Table for 1-11'!$A$3,"State","SC","SREB Type",5,"SREB Type2","Four-Year")</f>
        <v>0</v>
      </c>
      <c r="O210" s="198">
        <f>+GETPIVOTDATA(" Old-Oth PP",'Pivot Table for 1-11'!$A$3,"State","SC","SREB Type",5,"SREB Type2","Four-Year")</f>
        <v>7</v>
      </c>
      <c r="P210" s="199">
        <f t="shared" si="5"/>
        <v>1148</v>
      </c>
    </row>
    <row r="211" spans="1:16" ht="15" customHeight="1">
      <c r="A211" s="196"/>
      <c r="B211" s="197"/>
      <c r="C211" s="197"/>
      <c r="D211" s="197"/>
      <c r="E211" s="197"/>
      <c r="F211" s="197"/>
      <c r="G211" s="197"/>
      <c r="H211" s="230"/>
      <c r="I211" s="197"/>
      <c r="J211" s="197"/>
      <c r="K211" s="197"/>
      <c r="L211" s="197"/>
      <c r="M211" s="197"/>
      <c r="N211" s="197"/>
      <c r="O211" s="198"/>
      <c r="P211" s="199"/>
    </row>
    <row r="212" spans="1:16" ht="15" customHeight="1">
      <c r="A212" s="196" t="s">
        <v>33</v>
      </c>
      <c r="B212" s="197">
        <f>+GETPIVOTDATA(" Old-Less Than 2-Year",'Pivot Table for 1-11'!$A$3,"State","TN","SREB Type",5,"SREB Type2","Four-Year")+GETPIVOTDATA(" Old-2 But Less Than 4-Year",'Pivot Table for 1-11'!$A$3,"State","TN","SREB Type",5,"SREB Type2","Four-Year")</f>
        <v>0</v>
      </c>
      <c r="C212" s="197">
        <f>+GETPIVOTDATA(" Old-Associate's",'Pivot Table for 1-11'!$A$3,"State","TN","SREB Type",5,"SREB Type2","Four-Year")</f>
        <v>0</v>
      </c>
      <c r="D212" s="197">
        <f>+GETPIVOTDATA(" Old-Bachelor's",'Pivot Table for 1-11'!$A$3,"State","TN","SREB Type",5,"SREB Type2","Four-Year")</f>
        <v>0</v>
      </c>
      <c r="E212" s="197">
        <f>+GETPIVOTDATA(" Old-Post-Bachelor's",'Pivot Table for 1-11'!$A$3,"State","TN","SREB Type",5,"SREB Type2","Four-Year")</f>
        <v>0</v>
      </c>
      <c r="F212" s="197">
        <f>+GETPIVOTDATA(" Old-Total Master's#",'Pivot Table for 1-11'!$A$3,"State","TN","SREB Type",5,"SREB Type2","Four-Year")</f>
        <v>0</v>
      </c>
      <c r="G212" s="197">
        <f>+GETPIVOTDATA(" Old-Total Doctorates#",'Pivot Table for 1-11'!$A$3,"State","TN","SREB Type",5,"SREB Type2","Four-Year")</f>
        <v>0</v>
      </c>
      <c r="H212" s="230">
        <f>+GETPIVOTDATA(" Old-Law",'Pivot Table for 1-11'!$A$3,"State","TN","SREB Type",5,"SREB Type2","Four-Year")</f>
        <v>0</v>
      </c>
      <c r="I212" s="197">
        <f>+GETPIVOTDATA(" Old-Medicine",'Pivot Table for 1-11'!$A$3,"State","TN","SREB Type",5,"SREB Type2","Four-Year")</f>
        <v>0</v>
      </c>
      <c r="J212" s="197">
        <f>+GETPIVOTDATA(" Old-Dentistry",'Pivot Table for 1-11'!$A$3,"State","TN","SREB Type",5,"SREB Type2","Four-Year")</f>
        <v>0</v>
      </c>
      <c r="K212" s="197">
        <f>+GETPIVOTDATA(" Old-Pharmacy",'Pivot Table for 1-11'!$A$3,"State","TN","SREB Type",5,"SREB Type2","Four-Year")</f>
        <v>0</v>
      </c>
      <c r="L212" s="197">
        <f>+GETPIVOTDATA(" Old-Optometry",'Pivot Table for 1-11'!$A$3,"State","TN","SREB Type",5,"SREB Type2","Four-Year")</f>
        <v>0</v>
      </c>
      <c r="M212" s="197">
        <f>+GETPIVOTDATA(" Old-Osteopathic Medicine",'Pivot Table for 1-11'!$A$3,"State","TN","SREB Type",5,"SREB Type2","Four-Year")</f>
        <v>0</v>
      </c>
      <c r="N212" s="197">
        <f>+GETPIVOTDATA(" Old-Veterinary Medicine",'Pivot Table for 1-11'!$A$3,"State","TN","SREB Type",5,"SREB Type2","Four-Year")</f>
        <v>0</v>
      </c>
      <c r="O212" s="198">
        <f>+GETPIVOTDATA(" Old-Oth PP",'Pivot Table for 1-11'!$A$3,"State","TN","SREB Type",5,"SREB Type2","Four-Year")</f>
        <v>0</v>
      </c>
      <c r="P212" s="199">
        <f t="shared" si="5"/>
        <v>0</v>
      </c>
    </row>
    <row r="213" spans="1:16" ht="15" customHeight="1">
      <c r="A213" s="196" t="s">
        <v>34</v>
      </c>
      <c r="B213" s="197">
        <f>+GETPIVOTDATA(" Old-Less Than 2-Year",'Pivot Table for 1-11'!$A$3,"State","TX","SREB Type",5,"SREB Type2","Four-Year")+GETPIVOTDATA(" Old-2 But Less Than 4-Year",'Pivot Table for 1-11'!$A$3,"State","TX","SREB Type",5,"SREB Type2","Four-Year")</f>
        <v>0</v>
      </c>
      <c r="C213" s="197">
        <f>+GETPIVOTDATA(" Old-Associate's",'Pivot Table for 1-11'!$A$3,"State","TX","SREB Type",5,"SREB Type2","Four-Year")</f>
        <v>0</v>
      </c>
      <c r="D213" s="197">
        <f>+GETPIVOTDATA(" Old-Bachelor's",'Pivot Table for 1-11'!$A$3,"State","TX","SREB Type",5,"SREB Type2","Four-Year")</f>
        <v>592</v>
      </c>
      <c r="E213" s="197">
        <f>+GETPIVOTDATA(" Old-Post-Bachelor's",'Pivot Table for 1-11'!$A$3,"State","TX","SREB Type",5,"SREB Type2","Four-Year")</f>
        <v>0</v>
      </c>
      <c r="F213" s="197">
        <f>+GETPIVOTDATA(" Old-Total Master's#",'Pivot Table for 1-11'!$A$3,"State","TX","SREB Type",5,"SREB Type2","Four-Year")</f>
        <v>75</v>
      </c>
      <c r="G213" s="197">
        <f>+GETPIVOTDATA(" Old-Total Doctorates#",'Pivot Table for 1-11'!$A$3,"State","TX","SREB Type",5,"SREB Type2","Four-Year")</f>
        <v>0</v>
      </c>
      <c r="H213" s="230">
        <f>+GETPIVOTDATA(" Old-Law",'Pivot Table for 1-11'!$A$3,"State","TX","SREB Type",5,"SREB Type2","Four-Year")</f>
        <v>0</v>
      </c>
      <c r="I213" s="197">
        <f>+GETPIVOTDATA(" Old-Medicine",'Pivot Table for 1-11'!$A$3,"State","TX","SREB Type",5,"SREB Type2","Four-Year")</f>
        <v>0</v>
      </c>
      <c r="J213" s="197">
        <f>+GETPIVOTDATA(" Old-Dentistry",'Pivot Table for 1-11'!$A$3,"State","TX","SREB Type",5,"SREB Type2","Four-Year")</f>
        <v>0</v>
      </c>
      <c r="K213" s="197">
        <f>+GETPIVOTDATA(" Old-Pharmacy",'Pivot Table for 1-11'!$A$3,"State","TX","SREB Type",5,"SREB Type2","Four-Year")</f>
        <v>0</v>
      </c>
      <c r="L213" s="197">
        <f>+GETPIVOTDATA(" Old-Optometry",'Pivot Table for 1-11'!$A$3,"State","TX","SREB Type",5,"SREB Type2","Four-Year")</f>
        <v>0</v>
      </c>
      <c r="M213" s="197">
        <f>+GETPIVOTDATA(" Old-Osteopathic Medicine",'Pivot Table for 1-11'!$A$3,"State","TX","SREB Type",5,"SREB Type2","Four-Year")</f>
        <v>0</v>
      </c>
      <c r="N213" s="197">
        <f>+GETPIVOTDATA(" Old-Veterinary Medicine",'Pivot Table for 1-11'!$A$3,"State","TX","SREB Type",5,"SREB Type2","Four-Year")</f>
        <v>0</v>
      </c>
      <c r="O213" s="198">
        <f>+GETPIVOTDATA(" Old-Oth PP",'Pivot Table for 1-11'!$A$3,"State","TX","SREB Type",5,"SREB Type2","Four-Year")</f>
        <v>0</v>
      </c>
      <c r="P213" s="199">
        <f t="shared" si="5"/>
        <v>667</v>
      </c>
    </row>
    <row r="214" spans="1:16" ht="15" customHeight="1">
      <c r="A214" s="196" t="s">
        <v>35</v>
      </c>
      <c r="B214" s="197">
        <f>+GETPIVOTDATA(" Old-Less Than 2-Year",'Pivot Table for 1-11'!$A$3,"State","VA","SREB Type",5,"SREB Type2","Four-Year")+GETPIVOTDATA(" Old-2 But Less Than 4-Year",'Pivot Table for 1-11'!$A$3,"State","VA","SREB Type",5,"SREB Type2","Four-Year")</f>
        <v>29</v>
      </c>
      <c r="C214" s="197">
        <f>+GETPIVOTDATA(" Old-Associate's",'Pivot Table for 1-11'!$A$3,"State","VA","SREB Type",5,"SREB Type2","Four-Year")</f>
        <v>0</v>
      </c>
      <c r="D214" s="197">
        <f>+GETPIVOTDATA(" Old-Bachelor's",'Pivot Table for 1-11'!$A$3,"State","VA","SREB Type",5,"SREB Type2","Four-Year")</f>
        <v>3086</v>
      </c>
      <c r="E214" s="197">
        <f>+GETPIVOTDATA(" Old-Post-Bachelor's",'Pivot Table for 1-11'!$A$3,"State","VA","SREB Type",5,"SREB Type2","Four-Year")</f>
        <v>1</v>
      </c>
      <c r="F214" s="197">
        <f>+GETPIVOTDATA(" Old-Total Master's#",'Pivot Table for 1-11'!$A$3,"State","VA","SREB Type",5,"SREB Type2","Four-Year")</f>
        <v>354</v>
      </c>
      <c r="G214" s="197">
        <f>+GETPIVOTDATA(" Old-Total Doctorates#",'Pivot Table for 1-11'!$A$3,"State","VA","SREB Type",5,"SREB Type2","Four-Year")</f>
        <v>0</v>
      </c>
      <c r="H214" s="230">
        <f>+GETPIVOTDATA(" Old-Law",'Pivot Table for 1-11'!$A$3,"State","VA","SREB Type",5,"SREB Type2","Four-Year")</f>
        <v>0</v>
      </c>
      <c r="I214" s="197">
        <f>+GETPIVOTDATA(" Old-Medicine",'Pivot Table for 1-11'!$A$3,"State","VA","SREB Type",5,"SREB Type2","Four-Year")</f>
        <v>0</v>
      </c>
      <c r="J214" s="197">
        <f>+GETPIVOTDATA(" Old-Dentistry",'Pivot Table for 1-11'!$A$3,"State","VA","SREB Type",5,"SREB Type2","Four-Year")</f>
        <v>0</v>
      </c>
      <c r="K214" s="197">
        <f>+GETPIVOTDATA(" Old-Pharmacy",'Pivot Table for 1-11'!$A$3,"State","VA","SREB Type",5,"SREB Type2","Four-Year")</f>
        <v>0</v>
      </c>
      <c r="L214" s="197">
        <f>+GETPIVOTDATA(" Old-Optometry",'Pivot Table for 1-11'!$A$3,"State","VA","SREB Type",5,"SREB Type2","Four-Year")</f>
        <v>0</v>
      </c>
      <c r="M214" s="197">
        <f>+GETPIVOTDATA(" Old-Osteopathic Medicine",'Pivot Table for 1-11'!$A$3,"State","VA","SREB Type",5,"SREB Type2","Four-Year")</f>
        <v>0</v>
      </c>
      <c r="N214" s="197">
        <f>+GETPIVOTDATA(" Old-Veterinary Medicine",'Pivot Table for 1-11'!$A$3,"State","VA","SREB Type",5,"SREB Type2","Four-Year")</f>
        <v>0</v>
      </c>
      <c r="O214" s="198">
        <f>+GETPIVOTDATA(" Old-Oth PP",'Pivot Table for 1-11'!$A$3,"State","VA","SREB Type",5,"SREB Type2","Four-Year")</f>
        <v>0</v>
      </c>
      <c r="P214" s="199">
        <f t="shared" si="5"/>
        <v>3470</v>
      </c>
    </row>
    <row r="215" spans="1:16" ht="15" customHeight="1">
      <c r="A215" s="205" t="s">
        <v>36</v>
      </c>
      <c r="B215" s="201">
        <f>+GETPIVOTDATA(" Old-Less Than 2-Year",'Pivot Table for 1-11'!$A$3,"State","WV","SREB Type",5,"SREB Type2","Four-Year")+GETPIVOTDATA(" Old-2 But Less Than 4-Year",'Pivot Table for 1-11'!$A$3,"State","WV","SREB Type",5,"SREB Type2","Four-Year")</f>
        <v>0</v>
      </c>
      <c r="C215" s="201">
        <f>+GETPIVOTDATA(" Old-Associate's",'Pivot Table for 1-11'!$A$3,"State","WV","SREB Type",5,"SREB Type2","Four-Year")</f>
        <v>142</v>
      </c>
      <c r="D215" s="201">
        <f>+GETPIVOTDATA(" Old-Bachelor's",'Pivot Table for 1-11'!$A$3,"State","WV","SREB Type",5,"SREB Type2","Four-Year")</f>
        <v>2107</v>
      </c>
      <c r="E215" s="201">
        <f>+GETPIVOTDATA(" Old-Post-Bachelor's",'Pivot Table for 1-11'!$A$3,"State","WV","SREB Type",5,"SREB Type2","Four-Year")</f>
        <v>0</v>
      </c>
      <c r="F215" s="201">
        <f>+GETPIVOTDATA(" Old-Total Master's#",'Pivot Table for 1-11'!$A$3,"State","WV","SREB Type",5,"SREB Type2","Four-Year")</f>
        <v>334</v>
      </c>
      <c r="G215" s="201">
        <f>+GETPIVOTDATA(" Old-Total Doctorates#",'Pivot Table for 1-11'!$A$3,"State","WV","SREB Type",5,"SREB Type2","Four-Year")</f>
        <v>0</v>
      </c>
      <c r="H215" s="202">
        <f>+GETPIVOTDATA(" Old-Law",'Pivot Table for 1-11'!$A$3,"State","WV","SREB Type",5,"SREB Type2","Four-Year")</f>
        <v>0</v>
      </c>
      <c r="I215" s="201">
        <f>+GETPIVOTDATA(" Old-Medicine",'Pivot Table for 1-11'!$A$3,"State","WV","SREB Type",5,"SREB Type2","Four-Year")</f>
        <v>0</v>
      </c>
      <c r="J215" s="201">
        <f>+GETPIVOTDATA(" Old-Dentistry",'Pivot Table for 1-11'!$A$3,"State","WV","SREB Type",5,"SREB Type2","Four-Year")</f>
        <v>0</v>
      </c>
      <c r="K215" s="201">
        <f>+GETPIVOTDATA(" Old-Pharmacy",'Pivot Table for 1-11'!$A$3,"State","WV","SREB Type",5,"SREB Type2","Four-Year")</f>
        <v>0</v>
      </c>
      <c r="L215" s="201">
        <f>+GETPIVOTDATA(" Old-Optometry",'Pivot Table for 1-11'!$A$3,"State","WV","SREB Type",5,"SREB Type2","Four-Year")</f>
        <v>0</v>
      </c>
      <c r="M215" s="201">
        <f>+GETPIVOTDATA(" Old-Osteopathic Medicine",'Pivot Table for 1-11'!$A$3,"State","WV","SREB Type",5,"SREB Type2","Four-Year")</f>
        <v>0</v>
      </c>
      <c r="N215" s="201">
        <f>+GETPIVOTDATA(" Old-Veterinary Medicine",'Pivot Table for 1-11'!$A$3,"State","WV","SREB Type",5,"SREB Type2","Four-Year")</f>
        <v>0</v>
      </c>
      <c r="O215" s="319">
        <f>+GETPIVOTDATA(" Old-Oth PP",'Pivot Table for 1-11'!$A$3,"State","WV","SREB Type",5,"SREB Type2","Four-Year")</f>
        <v>3</v>
      </c>
      <c r="P215" s="203">
        <f t="shared" si="5"/>
        <v>2586</v>
      </c>
    </row>
    <row r="216" spans="1:16">
      <c r="B216" s="197"/>
      <c r="C216" s="197"/>
      <c r="D216" s="197"/>
      <c r="E216" s="197"/>
      <c r="F216" s="197"/>
      <c r="G216" s="197"/>
      <c r="H216" s="197"/>
      <c r="I216" s="197"/>
      <c r="J216" s="197"/>
      <c r="K216" s="197"/>
      <c r="L216" s="197"/>
      <c r="M216" s="197"/>
      <c r="N216" s="197"/>
      <c r="O216" s="197"/>
      <c r="P216" s="197"/>
    </row>
    <row r="217" spans="1:16" ht="24.75" customHeight="1">
      <c r="A217" s="545" t="s">
        <v>37</v>
      </c>
      <c r="B217" s="546"/>
      <c r="C217" s="546"/>
      <c r="D217" s="546"/>
      <c r="E217" s="546"/>
      <c r="F217" s="546"/>
      <c r="G217" s="546"/>
      <c r="H217" s="546"/>
      <c r="I217" s="546"/>
      <c r="J217" s="546"/>
      <c r="K217" s="546"/>
      <c r="L217" s="546"/>
      <c r="M217" s="546"/>
      <c r="N217" s="546"/>
      <c r="O217" s="546"/>
      <c r="P217" s="546"/>
    </row>
    <row r="218" spans="1:16" ht="15.5">
      <c r="A218" s="185"/>
      <c r="B218" s="185"/>
      <c r="C218" s="185"/>
      <c r="D218" s="185"/>
      <c r="E218" s="185"/>
      <c r="F218" s="185"/>
      <c r="G218" s="185"/>
      <c r="H218" s="185"/>
      <c r="I218" s="185"/>
      <c r="J218" s="185"/>
      <c r="K218" s="185"/>
      <c r="L218" s="185"/>
      <c r="M218" s="185"/>
      <c r="N218" s="185"/>
      <c r="O218" s="185"/>
      <c r="P218" s="204" t="s">
        <v>1178</v>
      </c>
    </row>
    <row r="219" spans="1:16" ht="18">
      <c r="A219" s="186" t="s">
        <v>54</v>
      </c>
      <c r="B219" s="187"/>
      <c r="C219" s="187"/>
      <c r="D219" s="187"/>
      <c r="E219" s="187"/>
      <c r="F219" s="187"/>
      <c r="G219" s="187"/>
      <c r="H219" s="187"/>
      <c r="I219" s="187"/>
      <c r="J219" s="187"/>
      <c r="K219" s="187"/>
      <c r="L219" s="187"/>
      <c r="M219" s="187"/>
      <c r="N219" s="187"/>
      <c r="O219" s="187"/>
      <c r="P219" s="187"/>
    </row>
    <row r="220" spans="1:16" ht="15.75" customHeight="1">
      <c r="A220" s="188"/>
      <c r="B220" s="188"/>
      <c r="C220" s="188"/>
      <c r="D220" s="188"/>
      <c r="E220" s="188"/>
      <c r="F220" s="188"/>
      <c r="G220" s="188"/>
      <c r="H220" s="188"/>
      <c r="I220" s="188"/>
      <c r="J220" s="188"/>
      <c r="K220" s="188"/>
      <c r="L220" s="188"/>
      <c r="M220" s="188"/>
      <c r="N220" s="188"/>
      <c r="O220" s="188"/>
      <c r="P220" s="188"/>
    </row>
    <row r="221" spans="1:16" ht="15.5">
      <c r="A221" s="187" t="s">
        <v>2</v>
      </c>
      <c r="B221" s="187"/>
      <c r="C221" s="187"/>
      <c r="D221" s="187"/>
      <c r="E221" s="187"/>
      <c r="F221" s="187"/>
      <c r="G221" s="187"/>
      <c r="H221" s="187"/>
      <c r="I221" s="187"/>
      <c r="J221" s="187"/>
      <c r="K221" s="187"/>
      <c r="L221" s="187"/>
      <c r="M221" s="187"/>
      <c r="N221" s="187"/>
      <c r="O221" s="187"/>
      <c r="P221" s="187"/>
    </row>
    <row r="222" spans="1:16" ht="15.5">
      <c r="A222" s="187" t="s">
        <v>55</v>
      </c>
      <c r="B222" s="187"/>
      <c r="C222" s="187"/>
      <c r="D222" s="187"/>
      <c r="E222" s="187"/>
      <c r="F222" s="187"/>
      <c r="G222" s="187"/>
      <c r="H222" s="187"/>
      <c r="I222" s="187"/>
      <c r="J222" s="187"/>
      <c r="K222" s="187"/>
      <c r="L222" s="187"/>
      <c r="M222" s="187"/>
      <c r="N222" s="187"/>
      <c r="O222" s="187"/>
      <c r="P222" s="187"/>
    </row>
    <row r="223" spans="1:16" ht="15.5">
      <c r="A223" s="189"/>
      <c r="B223" s="189"/>
      <c r="C223" s="189"/>
      <c r="D223" s="189"/>
      <c r="E223" s="189"/>
      <c r="F223" s="189"/>
      <c r="G223" s="189"/>
      <c r="H223" s="189"/>
      <c r="I223" s="189"/>
      <c r="J223" s="189"/>
      <c r="K223" s="189"/>
      <c r="L223" s="189"/>
      <c r="M223" s="189"/>
      <c r="N223" s="189"/>
      <c r="O223" s="189"/>
      <c r="P223" s="189"/>
    </row>
    <row r="224" spans="1:16" ht="15.5">
      <c r="A224" s="190"/>
      <c r="B224" s="190"/>
      <c r="C224" s="190"/>
      <c r="D224" s="190"/>
      <c r="E224" s="190"/>
      <c r="F224" s="190"/>
      <c r="G224" s="190"/>
      <c r="H224" s="326" t="s">
        <v>4</v>
      </c>
      <c r="I224" s="191"/>
      <c r="J224" s="191"/>
      <c r="K224" s="191"/>
      <c r="L224" s="191"/>
      <c r="M224" s="191"/>
      <c r="N224" s="191"/>
      <c r="O224" s="327"/>
      <c r="P224" s="192" t="s">
        <v>1</v>
      </c>
    </row>
    <row r="225" spans="1:16" ht="39.75" customHeight="1">
      <c r="A225" s="193"/>
      <c r="B225" s="194" t="s">
        <v>5</v>
      </c>
      <c r="C225" s="194" t="s">
        <v>6</v>
      </c>
      <c r="D225" s="194" t="s">
        <v>7</v>
      </c>
      <c r="E225" s="194" t="s">
        <v>8</v>
      </c>
      <c r="F225" s="194" t="s">
        <v>9</v>
      </c>
      <c r="G225" s="194" t="s">
        <v>10</v>
      </c>
      <c r="H225" s="195" t="s">
        <v>11</v>
      </c>
      <c r="I225" s="194" t="s">
        <v>81</v>
      </c>
      <c r="J225" s="194" t="s">
        <v>13</v>
      </c>
      <c r="K225" s="194" t="s">
        <v>14</v>
      </c>
      <c r="L225" s="194" t="s">
        <v>15</v>
      </c>
      <c r="M225" s="194" t="s">
        <v>16</v>
      </c>
      <c r="N225" s="194" t="s">
        <v>82</v>
      </c>
      <c r="O225" s="328" t="s">
        <v>83</v>
      </c>
      <c r="P225" s="194" t="s">
        <v>19</v>
      </c>
    </row>
    <row r="226" spans="1:16" ht="15" customHeight="1">
      <c r="A226" s="196" t="s">
        <v>20</v>
      </c>
      <c r="B226" s="197">
        <f>+GETPIVOTDATA(" Old-Less Than 2-Year",'Pivot Table for 1-11'!$A$3,"SREB Type",6,"SREB Type2","Four-Year")+GETPIVOTDATA(" Old-2 But Less Than 4-Year",'Pivot Table for 1-11'!$A$3,"SREB Type",6,"SREB Type2","Four-Year")</f>
        <v>562</v>
      </c>
      <c r="C226" s="197">
        <f>+GETPIVOTDATA(" Old-Associate's",'Pivot Table for 1-11'!$A$3,"SREB Type",6,"SREB Type2","Four-Year")</f>
        <v>1958</v>
      </c>
      <c r="D226" s="197">
        <f>+GETPIVOTDATA(" Old-Bachelor's",'Pivot Table for 1-11'!$A$3,"SREB Type",6,"SREB Type2","Four-Year")</f>
        <v>9752</v>
      </c>
      <c r="E226" s="197">
        <f>+GETPIVOTDATA(" Old-Post-Bachelor's",'Pivot Table for 1-11'!$A$3,"SREB Type",6,"SREB Type2","Four-Year")</f>
        <v>24</v>
      </c>
      <c r="F226" s="197">
        <f>+GETPIVOTDATA(" Old-Total Master's#",'Pivot Table for 1-11'!$A$3,"SREB Type",6,"SREB Type2","Four-Year")</f>
        <v>247</v>
      </c>
      <c r="G226" s="197">
        <f>+GETPIVOTDATA(" Old-Total Doctorates#",'Pivot Table for 1-11'!$A$3,"SREB Type",6,"SREB Type2","Four-Year")</f>
        <v>1</v>
      </c>
      <c r="H226" s="230">
        <f>+GETPIVOTDATA(" Old-Law",'Pivot Table for 1-11'!$A$3,"SREB Type",6,"SREB Type2","Four-Year")</f>
        <v>0</v>
      </c>
      <c r="I226" s="197">
        <f>+GETPIVOTDATA(" Old-Medicine",'Pivot Table for 1-11'!$A$3,"SREB Type",6,"SREB Type2","Four-Year")</f>
        <v>0</v>
      </c>
      <c r="J226" s="197">
        <f>+GETPIVOTDATA(" Old-Dentistry",'Pivot Table for 1-11'!$A$3,"SREB Type",6,"SREB Type2","Four-Year")</f>
        <v>0</v>
      </c>
      <c r="K226" s="197">
        <f>+GETPIVOTDATA(" Old-Pharmacy",'Pivot Table for 1-11'!$A$3,"SREB Type",6,"SREB Type2","Four-Year")</f>
        <v>0</v>
      </c>
      <c r="L226" s="197">
        <f>+GETPIVOTDATA(" Old-Optometry",'Pivot Table for 1-11'!$A$3,"SREB Type",6,"SREB Type2","Four-Year")</f>
        <v>0</v>
      </c>
      <c r="M226" s="197">
        <f>+GETPIVOTDATA(" Old-Osteopathic Medicine",'Pivot Table for 1-11'!$A$3,"SREB Type",6,"SREB Type2","Four-Year")</f>
        <v>0</v>
      </c>
      <c r="N226" s="197">
        <f>+GETPIVOTDATA(" Old-Veterinary Medicine",'Pivot Table for 1-11'!$A$3,"SREB Type",6,"SREB Type2","Four-Year")</f>
        <v>0</v>
      </c>
      <c r="O226" s="198">
        <f>+GETPIVOTDATA(" Old-Oth PP",'Pivot Table for 1-11'!$A$3,"SREB Type",6,"SREB Type2","Four-Year")</f>
        <v>0</v>
      </c>
      <c r="P226" s="199">
        <f>SUM(B226:O226)</f>
        <v>12544</v>
      </c>
    </row>
    <row r="227" spans="1:16" ht="15" customHeight="1">
      <c r="A227" s="196"/>
      <c r="B227" s="197"/>
      <c r="C227" s="197"/>
      <c r="D227" s="197"/>
      <c r="E227" s="197"/>
      <c r="F227" s="197"/>
      <c r="G227" s="197"/>
      <c r="H227" s="230"/>
      <c r="I227" s="197"/>
      <c r="J227" s="197"/>
      <c r="K227" s="197"/>
      <c r="L227" s="197"/>
      <c r="M227" s="197"/>
      <c r="N227" s="197"/>
      <c r="O227" s="198"/>
      <c r="P227" s="199"/>
    </row>
    <row r="228" spans="1:16" ht="15" customHeight="1">
      <c r="A228" s="196" t="s">
        <v>21</v>
      </c>
      <c r="B228" s="197">
        <f>GETPIVOTDATA(" Old-Less Than 2-Year",'Pivot Table for 1-11'!$A$3,"State","AL","SREB Type",6,"SREB Type2","Four-Year")+GETPIVOTDATA(" Old-2 But Less Than 4-Year",'Pivot Table for 1-11'!$A$3,"State","AL","SREB Type",6,"SREB Type2","Four-Year")</f>
        <v>0</v>
      </c>
      <c r="C228" s="197">
        <f>+GETPIVOTDATA(" Old-Associate's",'Pivot Table for 1-11'!$A$3,"State","AL","SREB Type",6,"SREB Type2","Four-Year")</f>
        <v>0</v>
      </c>
      <c r="D228" s="197">
        <f>+GETPIVOTDATA(" Old-Bachelor's",'Pivot Table for 1-11'!$A$3,"State","AL","SREB Type",6,"SREB Type2","Four-Year")</f>
        <v>678</v>
      </c>
      <c r="E228" s="197">
        <f>+GETPIVOTDATA(" Old-Post-Bachelor's",'Pivot Table for 1-11'!$A$3,"State","AL","SREB Type",6,"SREB Type2","Four-Year")</f>
        <v>0</v>
      </c>
      <c r="F228" s="197">
        <f>+GETPIVOTDATA(" Old-Total Master's#",'Pivot Table for 1-11'!$A$3,"State","AL","SREB Type",6,"SREB Type2","Four-Year")</f>
        <v>63</v>
      </c>
      <c r="G228" s="197">
        <f>+GETPIVOTDATA(" Old-Total Doctorates#",'Pivot Table for 1-11'!$A$3,"State","AL","SREB Type",6,"SREB Type2","Four-Year")</f>
        <v>0</v>
      </c>
      <c r="H228" s="230">
        <f>+GETPIVOTDATA(" Old-Law",'Pivot Table for 1-11'!$A$3,"State","AL","SREB Type",6,"SREB Type2","Four-Year")</f>
        <v>0</v>
      </c>
      <c r="I228" s="197">
        <f>+GETPIVOTDATA(" Old-Medicine",'Pivot Table for 1-11'!$A$3,"State","AL","SREB Type",6,"SREB Type2","Four-Year")</f>
        <v>0</v>
      </c>
      <c r="J228" s="197">
        <f>+GETPIVOTDATA(" Old-Dentistry",'Pivot Table for 1-11'!$A$3,"State","AL","SREB Type",6,"SREB Type2","Four-Year")</f>
        <v>0</v>
      </c>
      <c r="K228" s="197">
        <f>+GETPIVOTDATA(" Old-Pharmacy",'Pivot Table for 1-11'!$A$3,"State","AL","SREB Type",6,"SREB Type2","Four-Year")</f>
        <v>0</v>
      </c>
      <c r="L228" s="197">
        <f>+GETPIVOTDATA(" Old-Optometry",'Pivot Table for 1-11'!$A$3,"State","AL","SREB Type",6,"SREB Type2","Four-Year")</f>
        <v>0</v>
      </c>
      <c r="M228" s="197">
        <f>+GETPIVOTDATA(" Old-Osteopathic Medicine",'Pivot Table for 1-11'!$A$3,"State","AL","SREB Type",6,"SREB Type2","Four-Year")</f>
        <v>0</v>
      </c>
      <c r="N228" s="197">
        <f>+GETPIVOTDATA(" Old-Veterinary Medicine",'Pivot Table for 1-11'!$A$3,"State","AL","SREB Type",6,"SREB Type2","Four-Year")</f>
        <v>0</v>
      </c>
      <c r="O228" s="198">
        <f>+GETPIVOTDATA(" Old-Oth PP",'Pivot Table for 1-11'!$A$3,"State","AL","SREB Type",6,"SREB Type2","Four-Year")</f>
        <v>0</v>
      </c>
      <c r="P228" s="199">
        <f t="shared" ref="P228:P246" si="6">SUM(B228:O228)</f>
        <v>741</v>
      </c>
    </row>
    <row r="229" spans="1:16" ht="15" customHeight="1">
      <c r="A229" s="196" t="s">
        <v>22</v>
      </c>
      <c r="B229" s="197">
        <f>+GETPIVOTDATA(" Old-Less Than 2-Year",'Pivot Table for 1-11'!$A$3,"State","AR","SREB Type",6,"SREB Type2","Four-Year")+GETPIVOTDATA(" Old-2 But Less Than 4-Year",'Pivot Table for 1-11'!$A$3,"State","AR","SREB Type",6,"SREB Type2","Four-Year")</f>
        <v>498</v>
      </c>
      <c r="C229" s="197">
        <f>+GETPIVOTDATA(" Old-Associate's",'Pivot Table for 1-11'!$A$3,"State","AR","SREB Type",6,"SREB Type2","Four-Year")</f>
        <v>284</v>
      </c>
      <c r="D229" s="197">
        <f>+GETPIVOTDATA(" Old-Bachelor's",'Pivot Table for 1-11'!$A$3,"State","AR","SREB Type",6,"SREB Type2","Four-Year")</f>
        <v>1259</v>
      </c>
      <c r="E229" s="197">
        <f>+GETPIVOTDATA(" Old-Post-Bachelor's",'Pivot Table for 1-11'!$A$3,"State","AR","SREB Type",6,"SREB Type2","Four-Year")</f>
        <v>0</v>
      </c>
      <c r="F229" s="197">
        <f>+GETPIVOTDATA(" Old-Total Master's#",'Pivot Table for 1-11'!$A$3,"State","AR","SREB Type",6,"SREB Type2","Four-Year")</f>
        <v>30</v>
      </c>
      <c r="G229" s="197">
        <f>+GETPIVOTDATA(" Old-Total Doctorates#",'Pivot Table for 1-11'!$A$3,"State","AR","SREB Type",6,"SREB Type2","Four-Year")</f>
        <v>1</v>
      </c>
      <c r="H229" s="230">
        <f>+GETPIVOTDATA(" Old-Law",'Pivot Table for 1-11'!$A$3,"State","AR","SREB Type",6,"SREB Type2","Four-Year")</f>
        <v>0</v>
      </c>
      <c r="I229" s="197">
        <f>+GETPIVOTDATA(" Old-Medicine",'Pivot Table for 1-11'!$A$3,"State","AR","SREB Type",6,"SREB Type2","Four-Year")</f>
        <v>0</v>
      </c>
      <c r="J229" s="197">
        <f>+GETPIVOTDATA(" Old-Dentistry",'Pivot Table for 1-11'!$A$3,"State","AR","SREB Type",6,"SREB Type2","Four-Year")</f>
        <v>0</v>
      </c>
      <c r="K229" s="197">
        <f>+GETPIVOTDATA(" Old-Pharmacy",'Pivot Table for 1-11'!$A$3,"State","AR","SREB Type",6,"SREB Type2","Four-Year")</f>
        <v>0</v>
      </c>
      <c r="L229" s="197">
        <f>+GETPIVOTDATA(" Old-Optometry",'Pivot Table for 1-11'!$A$3,"State","AR","SREB Type",6,"SREB Type2","Four-Year")</f>
        <v>0</v>
      </c>
      <c r="M229" s="197">
        <f>+GETPIVOTDATA(" Old-Osteopathic Medicine",'Pivot Table for 1-11'!$A$3,"State","AR","SREB Type",6,"SREB Type2","Four-Year")</f>
        <v>0</v>
      </c>
      <c r="N229" s="197">
        <f>+GETPIVOTDATA(" Old-Veterinary Medicine",'Pivot Table for 1-11'!$A$3,"State","AR","SREB Type",6,"SREB Type2","Four-Year")</f>
        <v>0</v>
      </c>
      <c r="O229" s="198">
        <f>+GETPIVOTDATA(" Old-Oth PP",'Pivot Table for 1-11'!$A$3,"State","AR","SREB Type",6,"SREB Type2","Four-Year")</f>
        <v>0</v>
      </c>
      <c r="P229" s="199">
        <f t="shared" si="6"/>
        <v>2072</v>
      </c>
    </row>
    <row r="230" spans="1:16" ht="15" customHeight="1">
      <c r="A230" s="196" t="s">
        <v>23</v>
      </c>
      <c r="B230" s="197">
        <f>+GETPIVOTDATA(" Old-Less Than 2-Year",'Pivot Table for 1-11'!$A$3,"State","DE","SREB Type",6,"SREB Type2","Four-Year")+GETPIVOTDATA(" Old-2 But Less Than 4-Year",'Pivot Table for 1-11'!$A$3,"State","DE","SREB Type",6,"SREB Type2","Four-Year")</f>
        <v>0</v>
      </c>
      <c r="C230" s="197">
        <f>+GETPIVOTDATA(" Old-Associate's",'Pivot Table for 1-11'!$A$3,"State","DE","SREB Type",6,"SREB Type2","Four-Year")</f>
        <v>0</v>
      </c>
      <c r="D230" s="197">
        <f>+GETPIVOTDATA(" Old-Bachelor's",'Pivot Table for 1-11'!$A$3,"State","DE","SREB Type",6,"SREB Type2","Four-Year")</f>
        <v>0</v>
      </c>
      <c r="E230" s="197">
        <f>+GETPIVOTDATA(" Old-Post-Bachelor's",'Pivot Table for 1-11'!$A$3,"State","DE","SREB Type",6,"SREB Type2","Four-Year")</f>
        <v>0</v>
      </c>
      <c r="F230" s="197">
        <f>+GETPIVOTDATA(" Old-Total Master's#",'Pivot Table for 1-11'!$A$3,"State","DE","SREB Type",6,"SREB Type2","Four-Year")</f>
        <v>0</v>
      </c>
      <c r="G230" s="197">
        <f>+GETPIVOTDATA(" Old-Total Doctorates#",'Pivot Table for 1-11'!$A$3,"State","DE","SREB Type",6,"SREB Type2","Four-Year")</f>
        <v>0</v>
      </c>
      <c r="H230" s="230">
        <f>+GETPIVOTDATA(" Old-Law",'Pivot Table for 1-11'!$A$3,"State","DE","SREB Type",6,"SREB Type2","Four-Year")</f>
        <v>0</v>
      </c>
      <c r="I230" s="197">
        <f>+GETPIVOTDATA(" Old-Medicine",'Pivot Table for 1-11'!$A$3,"State","DE","SREB Type",6,"SREB Type2","Four-Year")</f>
        <v>0</v>
      </c>
      <c r="J230" s="197">
        <f>+GETPIVOTDATA(" Old-Dentistry",'Pivot Table for 1-11'!$A$3,"State","DE","SREB Type",6,"SREB Type2","Four-Year")</f>
        <v>0</v>
      </c>
      <c r="K230" s="197">
        <f>+GETPIVOTDATA(" Old-Pharmacy",'Pivot Table for 1-11'!$A$3,"State","DE","SREB Type",6,"SREB Type2","Four-Year")</f>
        <v>0</v>
      </c>
      <c r="L230" s="197">
        <f>+GETPIVOTDATA(" Old-Optometry",'Pivot Table for 1-11'!$A$3,"State","DE","SREB Type",6,"SREB Type2","Four-Year")</f>
        <v>0</v>
      </c>
      <c r="M230" s="197">
        <f>+GETPIVOTDATA(" Old-Osteopathic Medicine",'Pivot Table for 1-11'!$A$3,"State","DE","SREB Type",6,"SREB Type2","Four-Year")</f>
        <v>0</v>
      </c>
      <c r="N230" s="197">
        <f>+GETPIVOTDATA(" Old-Veterinary Medicine",'Pivot Table for 1-11'!$A$3,"State","DE","SREB Type",6,"SREB Type2","Four-Year")</f>
        <v>0</v>
      </c>
      <c r="O230" s="198">
        <f>+GETPIVOTDATA(" Old-Oth PP",'Pivot Table for 1-11'!$A$3,"State","DE","SREB Type",6,"SREB Type2","Four-Year")</f>
        <v>0</v>
      </c>
      <c r="P230" s="199">
        <f t="shared" si="6"/>
        <v>0</v>
      </c>
    </row>
    <row r="231" spans="1:16" ht="15" customHeight="1">
      <c r="A231" s="196" t="s">
        <v>24</v>
      </c>
      <c r="B231" s="197">
        <f>+GETPIVOTDATA(" Old-Less Than 2-Year",'Pivot Table for 1-11'!$A$3,"State","FL","SREB Type",6,"SREB Type2","Four-Year")+GETPIVOTDATA(" Old-2 But Less Than 4-Year",'Pivot Table for 1-11'!$A$3,"State","FL","SREB Type",6,"SREB Type2","Four-Year")</f>
        <v>0</v>
      </c>
      <c r="C231" s="197">
        <f>+GETPIVOTDATA(" Old-Associate's",'Pivot Table for 1-11'!$A$3,"State","FL","SREB Type",6,"SREB Type2","Four-Year")</f>
        <v>0</v>
      </c>
      <c r="D231" s="197">
        <f>+GETPIVOTDATA(" Old-Bachelor's",'Pivot Table for 1-11'!$A$3,"State","FL","SREB Type",6,"SREB Type2","Four-Year")</f>
        <v>0</v>
      </c>
      <c r="E231" s="197">
        <f>+GETPIVOTDATA(" Old-Post-Bachelor's",'Pivot Table for 1-11'!$A$3,"State","FL","SREB Type",6,"SREB Type2","Four-Year")</f>
        <v>0</v>
      </c>
      <c r="F231" s="197">
        <f>+GETPIVOTDATA(" Old-Total Master's#",'Pivot Table for 1-11'!$A$3,"State","FL","SREB Type",6,"SREB Type2","Four-Year")</f>
        <v>0</v>
      </c>
      <c r="G231" s="197">
        <f>+GETPIVOTDATA(" Old-Total Doctorates#",'Pivot Table for 1-11'!$A$3,"State","FL","SREB Type",6,"SREB Type2","Four-Year")</f>
        <v>0</v>
      </c>
      <c r="H231" s="230">
        <f>+GETPIVOTDATA(" Old-Law",'Pivot Table for 1-11'!$A$3,"State","FL","SREB Type",6,"SREB Type2","Four-Year")</f>
        <v>0</v>
      </c>
      <c r="I231" s="197">
        <f>+GETPIVOTDATA(" Old-Medicine",'Pivot Table for 1-11'!$A$3,"State","FL","SREB Type",6,"SREB Type2","Four-Year")</f>
        <v>0</v>
      </c>
      <c r="J231" s="197">
        <f>+GETPIVOTDATA(" Old-Dentistry",'Pivot Table for 1-11'!$A$3,"State","FL","SREB Type",6,"SREB Type2","Four-Year")</f>
        <v>0</v>
      </c>
      <c r="K231" s="197">
        <f>+GETPIVOTDATA(" Old-Pharmacy",'Pivot Table for 1-11'!$A$3,"State","FL","SREB Type",6,"SREB Type2","Four-Year")</f>
        <v>0</v>
      </c>
      <c r="L231" s="197">
        <f>+GETPIVOTDATA(" Old-Optometry",'Pivot Table for 1-11'!$A$3,"State","FL","SREB Type",6,"SREB Type2","Four-Year")</f>
        <v>0</v>
      </c>
      <c r="M231" s="197">
        <f>+GETPIVOTDATA(" Old-Osteopathic Medicine",'Pivot Table for 1-11'!$A$3,"State","FL","SREB Type",6,"SREB Type2","Four-Year")</f>
        <v>0</v>
      </c>
      <c r="N231" s="197">
        <f>+GETPIVOTDATA(" Old-Veterinary Medicine",'Pivot Table for 1-11'!$A$3,"State","FL","SREB Type",6,"SREB Type2","Four-Year")</f>
        <v>0</v>
      </c>
      <c r="O231" s="198">
        <f>+GETPIVOTDATA(" Old-Oth PP",'Pivot Table for 1-11'!$A$3,"State","FL","SREB Type",6,"SREB Type2","Four-Year")</f>
        <v>0</v>
      </c>
      <c r="P231" s="199">
        <f t="shared" si="6"/>
        <v>0</v>
      </c>
    </row>
    <row r="232" spans="1:16" ht="15" customHeight="1">
      <c r="A232" s="196"/>
      <c r="B232" s="197"/>
      <c r="C232" s="197"/>
      <c r="D232" s="197"/>
      <c r="E232" s="197"/>
      <c r="F232" s="197"/>
      <c r="G232" s="197"/>
      <c r="H232" s="230"/>
      <c r="I232" s="197"/>
      <c r="J232" s="197"/>
      <c r="K232" s="197"/>
      <c r="L232" s="197"/>
      <c r="M232" s="197"/>
      <c r="N232" s="197"/>
      <c r="O232" s="198"/>
      <c r="P232" s="199"/>
    </row>
    <row r="233" spans="1:16" ht="15" customHeight="1">
      <c r="A233" s="196" t="s">
        <v>25</v>
      </c>
      <c r="B233" s="197">
        <f>+GETPIVOTDATA(" Old-Less Than 2-Year",'Pivot Table for 1-11'!$A$3,"State","GA","SREB Type",6,"SREB Type2","Four-Year")+GETPIVOTDATA(" Old-2 But Less Than 4-Year",'Pivot Table for 1-11'!$A$3,"State","GA","SREB Type",6,"SREB Type2","Four-Year")</f>
        <v>54</v>
      </c>
      <c r="C233" s="197">
        <f>+GETPIVOTDATA(" Old-Associate's",'Pivot Table for 1-11'!$A$3,"State","GA","SREB Type",6,"SREB Type2","Four-Year")</f>
        <v>1304</v>
      </c>
      <c r="D233" s="197">
        <f>+GETPIVOTDATA(" Old-Bachelor's",'Pivot Table for 1-11'!$A$3,"State","GA","SREB Type",6,"SREB Type2","Four-Year")</f>
        <v>2544</v>
      </c>
      <c r="E233" s="197">
        <f>+GETPIVOTDATA(" Old-Post-Bachelor's",'Pivot Table for 1-11'!$A$3,"State","GA","SREB Type",6,"SREB Type2","Four-Year")</f>
        <v>0</v>
      </c>
      <c r="F233" s="197">
        <f>+GETPIVOTDATA(" Old-Total Master's#",'Pivot Table for 1-11'!$A$3,"State","GA","SREB Type",6,"SREB Type2","Four-Year")</f>
        <v>0</v>
      </c>
      <c r="G233" s="197">
        <f>+GETPIVOTDATA(" Old-Total Doctorates#",'Pivot Table for 1-11'!$A$3,"State","GA","SREB Type",6,"SREB Type2","Four-Year")</f>
        <v>0</v>
      </c>
      <c r="H233" s="230">
        <f>+GETPIVOTDATA(" Old-Law",'Pivot Table for 1-11'!$A$3,"State","GA","SREB Type",6,"SREB Type2","Four-Year")</f>
        <v>0</v>
      </c>
      <c r="I233" s="197">
        <f>+GETPIVOTDATA(" Old-Medicine",'Pivot Table for 1-11'!$A$3,"State","GA","SREB Type",6,"SREB Type2","Four-Year")</f>
        <v>0</v>
      </c>
      <c r="J233" s="197">
        <f>+GETPIVOTDATA(" Old-Dentistry",'Pivot Table for 1-11'!$A$3,"State","GA","SREB Type",6,"SREB Type2","Four-Year")</f>
        <v>0</v>
      </c>
      <c r="K233" s="197">
        <f>+GETPIVOTDATA(" Old-Pharmacy",'Pivot Table for 1-11'!$A$3,"State","GA","SREB Type",6,"SREB Type2","Four-Year")</f>
        <v>0</v>
      </c>
      <c r="L233" s="197">
        <f>+GETPIVOTDATA(" Old-Optometry",'Pivot Table for 1-11'!$A$3,"State","GA","SREB Type",6,"SREB Type2","Four-Year")</f>
        <v>0</v>
      </c>
      <c r="M233" s="197">
        <f>+GETPIVOTDATA(" Old-Osteopathic Medicine",'Pivot Table for 1-11'!$A$3,"State","GA","SREB Type",6,"SREB Type2","Four-Year")</f>
        <v>0</v>
      </c>
      <c r="N233" s="197">
        <f>+GETPIVOTDATA(" Old-Veterinary Medicine",'Pivot Table for 1-11'!$A$3,"State","GA","SREB Type",6,"SREB Type2","Four-Year")</f>
        <v>0</v>
      </c>
      <c r="O233" s="198">
        <f>+GETPIVOTDATA(" Old-Oth PP",'Pivot Table for 1-11'!$A$3,"State","GA","SREB Type",6,"SREB Type2","Four-Year")</f>
        <v>0</v>
      </c>
      <c r="P233" s="199">
        <f t="shared" si="6"/>
        <v>3902</v>
      </c>
    </row>
    <row r="234" spans="1:16" ht="15" customHeight="1">
      <c r="A234" s="196" t="s">
        <v>26</v>
      </c>
      <c r="B234" s="197">
        <f>+GETPIVOTDATA(" Old-Less Than 2-Year",'Pivot Table for 1-11'!$A$3,"State","KY","SREB Type",6,"SREB Type2","Four-Year")+GETPIVOTDATA(" Old-2 But Less Than 4-Year",'Pivot Table for 1-11'!$A$3,"State","KY","SREB Type",6,"SREB Type2","Four-Year")</f>
        <v>0</v>
      </c>
      <c r="C234" s="197">
        <f>+GETPIVOTDATA(" Old-Associate's",'Pivot Table for 1-11'!$A$3,"State","KY","SREB Type",6,"SREB Type2","Four-Year")</f>
        <v>0</v>
      </c>
      <c r="D234" s="197">
        <f>+GETPIVOTDATA(" Old-Bachelor's",'Pivot Table for 1-11'!$A$3,"State","KY","SREB Type",6,"SREB Type2","Four-Year")</f>
        <v>0</v>
      </c>
      <c r="E234" s="197">
        <f>+GETPIVOTDATA(" Old-Post-Bachelor's",'Pivot Table for 1-11'!$A$3,"State","KY","SREB Type",6,"SREB Type2","Four-Year")</f>
        <v>0</v>
      </c>
      <c r="F234" s="197">
        <f>+GETPIVOTDATA(" Old-Total Master's#",'Pivot Table for 1-11'!$A$3,"State","KY","SREB Type",6,"SREB Type2","Four-Year")</f>
        <v>0</v>
      </c>
      <c r="G234" s="197">
        <f>+GETPIVOTDATA(" Old-Total Doctorates#",'Pivot Table for 1-11'!$A$3,"State","KY","SREB Type",6,"SREB Type2","Four-Year")</f>
        <v>0</v>
      </c>
      <c r="H234" s="230">
        <f>+GETPIVOTDATA(" Old-Law",'Pivot Table for 1-11'!$A$3,"State","KY","SREB Type",6,"SREB Type2","Four-Year")</f>
        <v>0</v>
      </c>
      <c r="I234" s="197">
        <f>+GETPIVOTDATA(" Old-Medicine",'Pivot Table for 1-11'!$A$3,"State","KY","SREB Type",6,"SREB Type2","Four-Year")</f>
        <v>0</v>
      </c>
      <c r="J234" s="197">
        <f>+GETPIVOTDATA(" Old-Dentistry",'Pivot Table for 1-11'!$A$3,"State","KY","SREB Type",6,"SREB Type2","Four-Year")</f>
        <v>0</v>
      </c>
      <c r="K234" s="197">
        <f>+GETPIVOTDATA(" Old-Pharmacy",'Pivot Table for 1-11'!$A$3,"State","KY","SREB Type",6,"SREB Type2","Four-Year")</f>
        <v>0</v>
      </c>
      <c r="L234" s="197">
        <f>+GETPIVOTDATA(" Old-Optometry",'Pivot Table for 1-11'!$A$3,"State","KY","SREB Type",6,"SREB Type2","Four-Year")</f>
        <v>0</v>
      </c>
      <c r="M234" s="197">
        <f>+GETPIVOTDATA(" Old-Osteopathic Medicine",'Pivot Table for 1-11'!$A$3,"State","KY","SREB Type",6,"SREB Type2","Four-Year")</f>
        <v>0</v>
      </c>
      <c r="N234" s="197">
        <f>+GETPIVOTDATA(" Old-Veterinary Medicine",'Pivot Table for 1-11'!$A$3,"State","KY","SREB Type",6,"SREB Type2","Four-Year")</f>
        <v>0</v>
      </c>
      <c r="O234" s="198">
        <f>+GETPIVOTDATA(" Old-Oth PP",'Pivot Table for 1-11'!$A$3,"State","KY","SREB Type",6,"SREB Type2","Four-Year")</f>
        <v>0</v>
      </c>
      <c r="P234" s="199">
        <f t="shared" si="6"/>
        <v>0</v>
      </c>
    </row>
    <row r="235" spans="1:16" ht="15" customHeight="1">
      <c r="A235" s="196" t="s">
        <v>27</v>
      </c>
      <c r="B235" s="197">
        <f>+GETPIVOTDATA(" Old-Less Than 2-Year",'Pivot Table for 1-11'!$A$3,"State","LA","SREB Type",6,"SREB Type2","Four-Year")+GETPIVOTDATA(" Old-2 But Less Than 4-Year",'Pivot Table for 1-11'!$A$3,"State","LA","SREB Type",6,"SREB Type2","Four-Year")</f>
        <v>7</v>
      </c>
      <c r="C235" s="197">
        <f>+GETPIVOTDATA(" Old-Associate's",'Pivot Table for 1-11'!$A$3,"State","LA","SREB Type",6,"SREB Type2","Four-Year")</f>
        <v>125</v>
      </c>
      <c r="D235" s="197">
        <f>+GETPIVOTDATA(" Old-Bachelor's",'Pivot Table for 1-11'!$A$3,"State","LA","SREB Type",6,"SREB Type2","Four-Year")</f>
        <v>390</v>
      </c>
      <c r="E235" s="197">
        <f>+GETPIVOTDATA(" Old-Post-Bachelor's",'Pivot Table for 1-11'!$A$3,"State","LA","SREB Type",6,"SREB Type2","Four-Year")</f>
        <v>18</v>
      </c>
      <c r="F235" s="197">
        <f>+GETPIVOTDATA(" Old-Total Master's#",'Pivot Table for 1-11'!$A$3,"State","LA","SREB Type",6,"SREB Type2","Four-Year")</f>
        <v>0</v>
      </c>
      <c r="G235" s="197">
        <f>+GETPIVOTDATA(" Old-Total Doctorates#",'Pivot Table for 1-11'!$A$3,"State","LA","SREB Type",6,"SREB Type2","Four-Year")</f>
        <v>0</v>
      </c>
      <c r="H235" s="230">
        <f>+GETPIVOTDATA(" Old-Law",'Pivot Table for 1-11'!$A$3,"State","LA","SREB Type",6,"SREB Type2","Four-Year")</f>
        <v>0</v>
      </c>
      <c r="I235" s="197">
        <f>+GETPIVOTDATA(" Old-Medicine",'Pivot Table for 1-11'!$A$3,"State","LA","SREB Type",6,"SREB Type2","Four-Year")</f>
        <v>0</v>
      </c>
      <c r="J235" s="197">
        <f>+GETPIVOTDATA(" Old-Dentistry",'Pivot Table for 1-11'!$A$3,"State","LA","SREB Type",6,"SREB Type2","Four-Year")</f>
        <v>0</v>
      </c>
      <c r="K235" s="197">
        <f>+GETPIVOTDATA(" Old-Pharmacy",'Pivot Table for 1-11'!$A$3,"State","LA","SREB Type",6,"SREB Type2","Four-Year")</f>
        <v>0</v>
      </c>
      <c r="L235" s="197">
        <f>+GETPIVOTDATA(" Old-Optometry",'Pivot Table for 1-11'!$A$3,"State","LA","SREB Type",6,"SREB Type2","Four-Year")</f>
        <v>0</v>
      </c>
      <c r="M235" s="197">
        <f>+GETPIVOTDATA(" Old-Osteopathic Medicine",'Pivot Table for 1-11'!$A$3,"State","LA","SREB Type",6,"SREB Type2","Four-Year")</f>
        <v>0</v>
      </c>
      <c r="N235" s="197">
        <f>+GETPIVOTDATA(" Old-Veterinary Medicine",'Pivot Table for 1-11'!$A$3,"State","LA","SREB Type",6,"SREB Type2","Four-Year")</f>
        <v>0</v>
      </c>
      <c r="O235" s="198">
        <f>+GETPIVOTDATA(" Old-Oth PP",'Pivot Table for 1-11'!$A$3,"State","LA","SREB Type",6,"SREB Type2","Four-Year")</f>
        <v>0</v>
      </c>
      <c r="P235" s="199">
        <f t="shared" si="6"/>
        <v>540</v>
      </c>
    </row>
    <row r="236" spans="1:16" ht="15" customHeight="1">
      <c r="A236" s="196" t="s">
        <v>28</v>
      </c>
      <c r="B236" s="197">
        <f>+GETPIVOTDATA(" Old-Less Than 2-Year",'Pivot Table for 1-11'!$A$3,"State","MD","SREB Type",6,"SREB Type2","Four-Year")+GETPIVOTDATA(" Old-2 But Less Than 4-Year",'Pivot Table for 1-11'!$A$3,"State","MD","SREB Type",6,"SREB Type2","Four-Year")</f>
        <v>0</v>
      </c>
      <c r="C236" s="197">
        <f>+GETPIVOTDATA(" Old-Associate's",'Pivot Table for 1-11'!$A$3,"State","MD","SREB Type",6,"SREB Type2","Four-Year")</f>
        <v>0</v>
      </c>
      <c r="D236" s="197">
        <f>+GETPIVOTDATA(" Old-Bachelor's",'Pivot Table for 1-11'!$A$3,"State","MD","SREB Type",6,"SREB Type2","Four-Year")</f>
        <v>0</v>
      </c>
      <c r="E236" s="197">
        <f>+GETPIVOTDATA(" Old-Post-Bachelor's",'Pivot Table for 1-11'!$A$3,"State","MD","SREB Type",6,"SREB Type2","Four-Year")</f>
        <v>0</v>
      </c>
      <c r="F236" s="197">
        <f>+GETPIVOTDATA(" Old-Total Master's#",'Pivot Table for 1-11'!$A$3,"State","MD","SREB Type",6,"SREB Type2","Four-Year")</f>
        <v>0</v>
      </c>
      <c r="G236" s="197">
        <f>+GETPIVOTDATA(" Old-Total Doctorates#",'Pivot Table for 1-11'!$A$3,"State","MD","SREB Type",6,"SREB Type2","Four-Year")</f>
        <v>0</v>
      </c>
      <c r="H236" s="230">
        <f>+GETPIVOTDATA(" Old-Law",'Pivot Table for 1-11'!$A$3,"State","MD","SREB Type",6,"SREB Type2","Four-Year")</f>
        <v>0</v>
      </c>
      <c r="I236" s="197">
        <f>+GETPIVOTDATA(" Old-Medicine",'Pivot Table for 1-11'!$A$3,"State","MD","SREB Type",6,"SREB Type2","Four-Year")</f>
        <v>0</v>
      </c>
      <c r="J236" s="197">
        <f>+GETPIVOTDATA(" Old-Dentistry",'Pivot Table for 1-11'!$A$3,"State","MD","SREB Type",6,"SREB Type2","Four-Year")</f>
        <v>0</v>
      </c>
      <c r="K236" s="197">
        <f>+GETPIVOTDATA(" Old-Pharmacy",'Pivot Table for 1-11'!$A$3,"State","MD","SREB Type",6,"SREB Type2","Four-Year")</f>
        <v>0</v>
      </c>
      <c r="L236" s="197">
        <f>+GETPIVOTDATA(" Old-Optometry",'Pivot Table for 1-11'!$A$3,"State","MD","SREB Type",6,"SREB Type2","Four-Year")</f>
        <v>0</v>
      </c>
      <c r="M236" s="197">
        <f>+GETPIVOTDATA(" Old-Osteopathic Medicine",'Pivot Table for 1-11'!$A$3,"State","MD","SREB Type",6,"SREB Type2","Four-Year")</f>
        <v>0</v>
      </c>
      <c r="N236" s="197">
        <f>+GETPIVOTDATA(" Old-Veterinary Medicine",'Pivot Table for 1-11'!$A$3,"State","MD","SREB Type",6,"SREB Type2","Four-Year")</f>
        <v>0</v>
      </c>
      <c r="O236" s="198">
        <f>+GETPIVOTDATA(" Old-Oth PP",'Pivot Table for 1-11'!$A$3,"State","MD","SREB Type",6,"SREB Type2","Four-Year")</f>
        <v>0</v>
      </c>
      <c r="P236" s="199">
        <f t="shared" si="6"/>
        <v>0</v>
      </c>
    </row>
    <row r="237" spans="1:16" ht="15" customHeight="1">
      <c r="A237" s="196"/>
      <c r="B237" s="197"/>
      <c r="C237" s="197"/>
      <c r="D237" s="197"/>
      <c r="E237" s="197"/>
      <c r="F237" s="197"/>
      <c r="G237" s="197"/>
      <c r="H237" s="230"/>
      <c r="I237" s="197"/>
      <c r="J237" s="197"/>
      <c r="K237" s="197"/>
      <c r="L237" s="197"/>
      <c r="M237" s="197"/>
      <c r="N237" s="197"/>
      <c r="O237" s="198"/>
      <c r="P237" s="199"/>
    </row>
    <row r="238" spans="1:16" ht="15" customHeight="1">
      <c r="A238" s="196" t="s">
        <v>29</v>
      </c>
      <c r="B238" s="197">
        <f>+GETPIVOTDATA(" Old-Less Than 2-Year",'Pivot Table for 1-11'!$A$3,"State","MS","SREB Type",6,"SREB Type2","Four-Year")+GETPIVOTDATA(" Old-2 But Less Than 4-Year",'Pivot Table for 1-11'!$A$3,"State","MS","SREB Type",6,"SREB Type2","Four-Year")</f>
        <v>0</v>
      </c>
      <c r="C238" s="197">
        <f>+GETPIVOTDATA(" Old-Associate's",'Pivot Table for 1-11'!$A$3,"State","MS","SREB Type",6,"SREB Type2","Four-Year")</f>
        <v>0</v>
      </c>
      <c r="D238" s="197">
        <f>+GETPIVOTDATA(" Old-Bachelor's",'Pivot Table for 1-11'!$A$3,"State","MS","SREB Type",6,"SREB Type2","Four-Year")</f>
        <v>0</v>
      </c>
      <c r="E238" s="197">
        <f>+GETPIVOTDATA(" Old-Post-Bachelor's",'Pivot Table for 1-11'!$A$3,"State","MS","SREB Type",6,"SREB Type2","Four-Year")</f>
        <v>0</v>
      </c>
      <c r="F238" s="197">
        <f>+GETPIVOTDATA(" Old-Total Master's#",'Pivot Table for 1-11'!$A$3,"State","MS","SREB Type",6,"SREB Type2","Four-Year")</f>
        <v>0</v>
      </c>
      <c r="G238" s="197">
        <f>+GETPIVOTDATA(" Old-Total Doctorates#",'Pivot Table for 1-11'!$A$3,"State","MS","SREB Type",6,"SREB Type2","Four-Year")</f>
        <v>0</v>
      </c>
      <c r="H238" s="230">
        <f>+GETPIVOTDATA(" Old-Law",'Pivot Table for 1-11'!$A$3,"State","MS","SREB Type",6,"SREB Type2","Four-Year")</f>
        <v>0</v>
      </c>
      <c r="I238" s="197">
        <f>+GETPIVOTDATA(" Old-Medicine",'Pivot Table for 1-11'!$A$3,"State","MS","SREB Type",6,"SREB Type2","Four-Year")</f>
        <v>0</v>
      </c>
      <c r="J238" s="197">
        <f>+GETPIVOTDATA(" Old-Dentistry",'Pivot Table for 1-11'!$A$3,"State","MS","SREB Type",6,"SREB Type2","Four-Year")</f>
        <v>0</v>
      </c>
      <c r="K238" s="197">
        <f>+GETPIVOTDATA(" Old-Pharmacy",'Pivot Table for 1-11'!$A$3,"State","MS","SREB Type",6,"SREB Type2","Four-Year")</f>
        <v>0</v>
      </c>
      <c r="L238" s="197">
        <f>+GETPIVOTDATA(" Old-Optometry",'Pivot Table for 1-11'!$A$3,"State","MS","SREB Type",6,"SREB Type2","Four-Year")</f>
        <v>0</v>
      </c>
      <c r="M238" s="197">
        <f>+GETPIVOTDATA(" Old-Osteopathic Medicine",'Pivot Table for 1-11'!$A$3,"State","MS","SREB Type",6,"SREB Type2","Four-Year")</f>
        <v>0</v>
      </c>
      <c r="N238" s="197">
        <f>+GETPIVOTDATA(" Old-Veterinary Medicine",'Pivot Table for 1-11'!$A$3,"State","MS","SREB Type",6,"SREB Type2","Four-Year")</f>
        <v>0</v>
      </c>
      <c r="O238" s="198">
        <f>+GETPIVOTDATA(" Old-Oth PP",'Pivot Table for 1-11'!$A$3,"State","MS","SREB Type",6,"SREB Type2","Four-Year")</f>
        <v>0</v>
      </c>
      <c r="P238" s="199">
        <f t="shared" si="6"/>
        <v>0</v>
      </c>
    </row>
    <row r="239" spans="1:16" ht="15" customHeight="1">
      <c r="A239" s="196" t="s">
        <v>30</v>
      </c>
      <c r="B239" s="197">
        <f>+GETPIVOTDATA(" Old-Less Than 2-Year",'Pivot Table for 1-11'!$A$3,"State","NC","SREB Type",6,"SREB Type2","Four-Year")+GETPIVOTDATA(" Old-2 But Less Than 4-Year",'Pivot Table for 1-11'!$A$3,"State","NC","SREB Type",6,"SREB Type2","Four-Year")</f>
        <v>0</v>
      </c>
      <c r="C239" s="197">
        <f>+GETPIVOTDATA(" Old-Associate's",'Pivot Table for 1-11'!$A$3,"State","NC","SREB Type",6,"SREB Type2","Four-Year")</f>
        <v>0</v>
      </c>
      <c r="D239" s="197">
        <f>+GETPIVOTDATA(" Old-Bachelor's",'Pivot Table for 1-11'!$A$3,"State","NC","SREB Type",6,"SREB Type2","Four-Year")</f>
        <v>1049</v>
      </c>
      <c r="E239" s="197">
        <f>+GETPIVOTDATA(" Old-Post-Bachelor's",'Pivot Table for 1-11'!$A$3,"State","NC","SREB Type",6,"SREB Type2","Four-Year")</f>
        <v>0</v>
      </c>
      <c r="F239" s="197">
        <f>+GETPIVOTDATA(" Old-Total Master's#",'Pivot Table for 1-11'!$A$3,"State","NC","SREB Type",6,"SREB Type2","Four-Year")</f>
        <v>26</v>
      </c>
      <c r="G239" s="197">
        <f>+GETPIVOTDATA(" Old-Total Doctorates#",'Pivot Table for 1-11'!$A$3,"State","NC","SREB Type",6,"SREB Type2","Four-Year")</f>
        <v>0</v>
      </c>
      <c r="H239" s="230">
        <f>+GETPIVOTDATA(" Old-Law",'Pivot Table for 1-11'!$A$3,"State","NC","SREB Type",6,"SREB Type2","Four-Year")</f>
        <v>0</v>
      </c>
      <c r="I239" s="197">
        <f>+GETPIVOTDATA(" Old-Medicine",'Pivot Table for 1-11'!$A$3,"State","NC","SREB Type",6,"SREB Type2","Four-Year")</f>
        <v>0</v>
      </c>
      <c r="J239" s="197">
        <f>+GETPIVOTDATA(" Old-Dentistry",'Pivot Table for 1-11'!$A$3,"State","NC","SREB Type",6,"SREB Type2","Four-Year")</f>
        <v>0</v>
      </c>
      <c r="K239" s="197">
        <f>+GETPIVOTDATA(" Old-Pharmacy",'Pivot Table for 1-11'!$A$3,"State","NC","SREB Type",6,"SREB Type2","Four-Year")</f>
        <v>0</v>
      </c>
      <c r="L239" s="197">
        <f>+GETPIVOTDATA(" Old-Optometry",'Pivot Table for 1-11'!$A$3,"State","NC","SREB Type",6,"SREB Type2","Four-Year")</f>
        <v>0</v>
      </c>
      <c r="M239" s="197">
        <f>+GETPIVOTDATA(" Old-Osteopathic Medicine",'Pivot Table for 1-11'!$A$3,"State","NC","SREB Type",6,"SREB Type2","Four-Year")</f>
        <v>0</v>
      </c>
      <c r="N239" s="197">
        <f>+GETPIVOTDATA(" Old-Veterinary Medicine",'Pivot Table for 1-11'!$A$3,"State","NC","SREB Type",6,"SREB Type2","Four-Year")</f>
        <v>0</v>
      </c>
      <c r="O239" s="198">
        <f>+GETPIVOTDATA(" Old-Oth PP",'Pivot Table for 1-11'!$A$3,"State","NC","SREB Type",6,"SREB Type2","Four-Year")</f>
        <v>0</v>
      </c>
      <c r="P239" s="199">
        <f t="shared" si="6"/>
        <v>1075</v>
      </c>
    </row>
    <row r="240" spans="1:16" ht="15" customHeight="1">
      <c r="A240" s="196" t="s">
        <v>31</v>
      </c>
      <c r="B240" s="197">
        <f>+GETPIVOTDATA(" Old-Less Than 2-Year",'Pivot Table for 1-11'!$A$3,"State","OK","SREB Type",6,"SREB Type2","Four-Year")+GETPIVOTDATA(" Old-2 But Less Than 4-Year",'Pivot Table for 1-11'!$A$3,"State","OK","SREB Type",6,"SREB Type2","Four-Year")</f>
        <v>0</v>
      </c>
      <c r="C240" s="197">
        <f>+GETPIVOTDATA(" Old-Associate's",'Pivot Table for 1-11'!$A$3,"State","OK","SREB Type",6,"SREB Type2","Four-Year")</f>
        <v>0</v>
      </c>
      <c r="D240" s="197">
        <f>+GETPIVOTDATA(" Old-Bachelor's",'Pivot Table for 1-11'!$A$3,"State","OK","SREB Type",6,"SREB Type2","Four-Year")</f>
        <v>0</v>
      </c>
      <c r="E240" s="197">
        <f>+GETPIVOTDATA(" Old-Post-Bachelor's",'Pivot Table for 1-11'!$A$3,"State","OK","SREB Type",6,"SREB Type2","Four-Year")</f>
        <v>0</v>
      </c>
      <c r="F240" s="197">
        <f>+GETPIVOTDATA(" Old-Total Master's#",'Pivot Table for 1-11'!$A$3,"State","OK","SREB Type",6,"SREB Type2","Four-Year")</f>
        <v>0</v>
      </c>
      <c r="G240" s="197">
        <f>+GETPIVOTDATA(" Old-Total Doctorates#",'Pivot Table for 1-11'!$A$3,"State","OK","SREB Type",6,"SREB Type2","Four-Year")</f>
        <v>0</v>
      </c>
      <c r="H240" s="230">
        <f>+GETPIVOTDATA(" Old-Law",'Pivot Table for 1-11'!$A$3,"State","OK","SREB Type",6,"SREB Type2","Four-Year")</f>
        <v>0</v>
      </c>
      <c r="I240" s="197">
        <f>+GETPIVOTDATA(" Old-Medicine",'Pivot Table for 1-11'!$A$3,"State","OK","SREB Type",6,"SREB Type2","Four-Year")</f>
        <v>0</v>
      </c>
      <c r="J240" s="197">
        <f>+GETPIVOTDATA(" Old-Dentistry",'Pivot Table for 1-11'!$A$3,"State","OK","SREB Type",6,"SREB Type2","Four-Year")</f>
        <v>0</v>
      </c>
      <c r="K240" s="197">
        <f>+GETPIVOTDATA(" Old-Pharmacy",'Pivot Table for 1-11'!$A$3,"State","OK","SREB Type",6,"SREB Type2","Four-Year")</f>
        <v>0</v>
      </c>
      <c r="L240" s="197">
        <f>+GETPIVOTDATA(" Old-Optometry",'Pivot Table for 1-11'!$A$3,"State","OK","SREB Type",6,"SREB Type2","Four-Year")</f>
        <v>0</v>
      </c>
      <c r="M240" s="197">
        <f>+GETPIVOTDATA(" Old-Osteopathic Medicine",'Pivot Table for 1-11'!$A$3,"State","OK","SREB Type",6,"SREB Type2","Four-Year")</f>
        <v>0</v>
      </c>
      <c r="N240" s="197">
        <f>+GETPIVOTDATA(" Old-Veterinary Medicine",'Pivot Table for 1-11'!$A$3,"State","OK","SREB Type",6,"SREB Type2","Four-Year")</f>
        <v>0</v>
      </c>
      <c r="O240" s="198">
        <f>+GETPIVOTDATA(" Old-Oth PP",'Pivot Table for 1-11'!$A$3,"State","OK","SREB Type",6,"SREB Type2","Four-Year")</f>
        <v>0</v>
      </c>
      <c r="P240" s="199">
        <f t="shared" si="6"/>
        <v>0</v>
      </c>
    </row>
    <row r="241" spans="1:16" ht="15" customHeight="1">
      <c r="A241" s="196" t="s">
        <v>32</v>
      </c>
      <c r="B241" s="197">
        <f>+GETPIVOTDATA(" Old-Less Than 2-Year",'Pivot Table for 1-11'!$A$3,"State","SC","SREB Type",6,"SREB Type2","Four-Year")+GETPIVOTDATA(" Old-2 But Less Than 4-Year",'Pivot Table for 1-11'!$A$3,"State","SC","SREB Type",6,"SREB Type2","Four-Year")</f>
        <v>3</v>
      </c>
      <c r="C241" s="197">
        <f>+GETPIVOTDATA(" Old-Associate's",'Pivot Table for 1-11'!$A$3,"State","SC","SREB Type",6,"SREB Type2","Four-Year")</f>
        <v>1</v>
      </c>
      <c r="D241" s="197">
        <f>+GETPIVOTDATA(" Old-Bachelor's",'Pivot Table for 1-11'!$A$3,"State","SC","SREB Type",6,"SREB Type2","Four-Year")</f>
        <v>2681</v>
      </c>
      <c r="E241" s="197">
        <f>+GETPIVOTDATA(" Old-Post-Bachelor's",'Pivot Table for 1-11'!$A$3,"State","SC","SREB Type",6,"SREB Type2","Four-Year")</f>
        <v>6</v>
      </c>
      <c r="F241" s="197">
        <f>+GETPIVOTDATA(" Old-Total Master's#",'Pivot Table for 1-11'!$A$3,"State","SC","SREB Type",6,"SREB Type2","Four-Year")</f>
        <v>90</v>
      </c>
      <c r="G241" s="197">
        <f>+GETPIVOTDATA(" Old-Total Doctorates#",'Pivot Table for 1-11'!$A$3,"State","SC","SREB Type",6,"SREB Type2","Four-Year")</f>
        <v>0</v>
      </c>
      <c r="H241" s="230">
        <f>+GETPIVOTDATA(" Old-Law",'Pivot Table for 1-11'!$A$3,"State","SC","SREB Type",6,"SREB Type2","Four-Year")</f>
        <v>0</v>
      </c>
      <c r="I241" s="197">
        <f>+GETPIVOTDATA(" Old-Medicine",'Pivot Table for 1-11'!$A$3,"State","SC","SREB Type",6,"SREB Type2","Four-Year")</f>
        <v>0</v>
      </c>
      <c r="J241" s="197">
        <f>+GETPIVOTDATA(" Old-Dentistry",'Pivot Table for 1-11'!$A$3,"State","SC","SREB Type",6,"SREB Type2","Four-Year")</f>
        <v>0</v>
      </c>
      <c r="K241" s="197">
        <f>+GETPIVOTDATA(" Old-Pharmacy",'Pivot Table for 1-11'!$A$3,"State","SC","SREB Type",6,"SREB Type2","Four-Year")</f>
        <v>0</v>
      </c>
      <c r="L241" s="197">
        <f>+GETPIVOTDATA(" Old-Optometry",'Pivot Table for 1-11'!$A$3,"State","SC","SREB Type",6,"SREB Type2","Four-Year")</f>
        <v>0</v>
      </c>
      <c r="M241" s="197">
        <f>+GETPIVOTDATA(" Old-Osteopathic Medicine",'Pivot Table for 1-11'!$A$3,"State","SC","SREB Type",6,"SREB Type2","Four-Year")</f>
        <v>0</v>
      </c>
      <c r="N241" s="197">
        <f>+GETPIVOTDATA(" Old-Veterinary Medicine",'Pivot Table for 1-11'!$A$3,"State","SC","SREB Type",6,"SREB Type2","Four-Year")</f>
        <v>0</v>
      </c>
      <c r="O241" s="198">
        <f>+GETPIVOTDATA(" Old-Oth PP",'Pivot Table for 1-11'!$A$3,"State","SC","SREB Type",6,"SREB Type2","Four-Year")</f>
        <v>0</v>
      </c>
      <c r="P241" s="199">
        <f t="shared" si="6"/>
        <v>2781</v>
      </c>
    </row>
    <row r="242" spans="1:16" ht="15" customHeight="1">
      <c r="A242" s="196"/>
      <c r="B242" s="197"/>
      <c r="C242" s="197"/>
      <c r="D242" s="197"/>
      <c r="E242" s="197"/>
      <c r="F242" s="197"/>
      <c r="G242" s="197"/>
      <c r="H242" s="230"/>
      <c r="I242" s="197"/>
      <c r="J242" s="197"/>
      <c r="K242" s="197"/>
      <c r="L242" s="197"/>
      <c r="M242" s="197"/>
      <c r="N242" s="197"/>
      <c r="O242" s="198"/>
      <c r="P242" s="199"/>
    </row>
    <row r="243" spans="1:16" ht="15" customHeight="1">
      <c r="A243" s="196" t="s">
        <v>33</v>
      </c>
      <c r="B243" s="197">
        <f>+GETPIVOTDATA(" Old-Less Than 2-Year",'Pivot Table for 1-11'!$A$3,"State","TN","SREB Type",6,"SREB Type2","Four-Year")+GETPIVOTDATA(" Old-2 But Less Than 4-Year",'Pivot Table for 1-11'!$A$3,"State","TN","SREB Type",6,"SREB Type2","Four-Year")</f>
        <v>0</v>
      </c>
      <c r="C243" s="197">
        <f>+GETPIVOTDATA(" Old-Associate's",'Pivot Table for 1-11'!$A$3,"State","TN","SREB Type",6,"SREB Type2","Four-Year")</f>
        <v>0</v>
      </c>
      <c r="D243" s="197">
        <f>+GETPIVOTDATA(" Old-Bachelor's",'Pivot Table for 1-11'!$A$3,"State","TN","SREB Type",6,"SREB Type2","Four-Year")</f>
        <v>0</v>
      </c>
      <c r="E243" s="197">
        <f>+GETPIVOTDATA(" Old-Post-Bachelor's",'Pivot Table for 1-11'!$A$3,"State","TN","SREB Type",6,"SREB Type2","Four-Year")</f>
        <v>0</v>
      </c>
      <c r="F243" s="197">
        <f>+GETPIVOTDATA(" Old-Total Master's#",'Pivot Table for 1-11'!$A$3,"State","TN","SREB Type",6,"SREB Type2","Four-Year")</f>
        <v>0</v>
      </c>
      <c r="G243" s="197">
        <f>+GETPIVOTDATA(" Old-Total Doctorates#",'Pivot Table for 1-11'!$A$3,"State","TN","SREB Type",6,"SREB Type2","Four-Year")</f>
        <v>0</v>
      </c>
      <c r="H243" s="230">
        <f>+GETPIVOTDATA(" Old-Law",'Pivot Table for 1-11'!$A$3,"State","TN","SREB Type",6,"SREB Type2","Four-Year")</f>
        <v>0</v>
      </c>
      <c r="I243" s="197">
        <f>+GETPIVOTDATA(" Old-Medicine",'Pivot Table for 1-11'!$A$3,"State","TN","SREB Type",6,"SREB Type2","Four-Year")</f>
        <v>0</v>
      </c>
      <c r="J243" s="197">
        <f>+GETPIVOTDATA(" Old-Dentistry",'Pivot Table for 1-11'!$A$3,"State","TN","SREB Type",6,"SREB Type2","Four-Year")</f>
        <v>0</v>
      </c>
      <c r="K243" s="197">
        <f>+GETPIVOTDATA(" Old-Pharmacy",'Pivot Table for 1-11'!$A$3,"State","TN","SREB Type",6,"SREB Type2","Four-Year")</f>
        <v>0</v>
      </c>
      <c r="L243" s="197">
        <f>+GETPIVOTDATA(" Old-Optometry",'Pivot Table for 1-11'!$A$3,"State","TN","SREB Type",6,"SREB Type2","Four-Year")</f>
        <v>0</v>
      </c>
      <c r="M243" s="197">
        <f>+GETPIVOTDATA(" Old-Osteopathic Medicine",'Pivot Table for 1-11'!$A$3,"State","TN","SREB Type",6,"SREB Type2","Four-Year")</f>
        <v>0</v>
      </c>
      <c r="N243" s="197">
        <f>+GETPIVOTDATA(" Old-Veterinary Medicine",'Pivot Table for 1-11'!$A$3,"State","TN","SREB Type",6,"SREB Type2","Four-Year")</f>
        <v>0</v>
      </c>
      <c r="O243" s="198">
        <f>+GETPIVOTDATA(" Old-Oth PP",'Pivot Table for 1-11'!$A$3,"State","TN","SREB Type",6,"SREB Type2","Four-Year")</f>
        <v>0</v>
      </c>
      <c r="P243" s="199">
        <f t="shared" si="6"/>
        <v>0</v>
      </c>
    </row>
    <row r="244" spans="1:16" ht="15" customHeight="1">
      <c r="A244" s="196" t="s">
        <v>34</v>
      </c>
      <c r="B244" s="197">
        <f>+GETPIVOTDATA(" Old-Less Than 2-Year",'Pivot Table for 1-11'!$A$3,"State","TX","SREB Type",6,"SREB Type2","Four-Year")+GETPIVOTDATA(" Old-2 But Less Than 4-Year",'Pivot Table for 1-11'!$A$3,"State","TX","SREB Type",6,"SREB Type2","Four-Year")</f>
        <v>0</v>
      </c>
      <c r="C244" s="197">
        <f>+GETPIVOTDATA(" Old-Associate's",'Pivot Table for 1-11'!$A$3,"State","TX","SREB Type",6,"SREB Type2","Four-Year")</f>
        <v>0</v>
      </c>
      <c r="D244" s="197">
        <f>+GETPIVOTDATA(" Old-Bachelor's",'Pivot Table for 1-11'!$A$3,"State","TX","SREB Type",6,"SREB Type2","Four-Year")</f>
        <v>0</v>
      </c>
      <c r="E244" s="197">
        <f>+GETPIVOTDATA(" Old-Post-Bachelor's",'Pivot Table for 1-11'!$A$3,"State","TX","SREB Type",6,"SREB Type2","Four-Year")</f>
        <v>0</v>
      </c>
      <c r="F244" s="197">
        <f>+GETPIVOTDATA(" Old-Total Master's#",'Pivot Table for 1-11'!$A$3,"State","TX","SREB Type",6,"SREB Type2","Four-Year")</f>
        <v>0</v>
      </c>
      <c r="G244" s="197">
        <f>+GETPIVOTDATA(" Old-Total Doctorates#",'Pivot Table for 1-11'!$A$3,"State","TX","SREB Type",6,"SREB Type2","Four-Year")</f>
        <v>0</v>
      </c>
      <c r="H244" s="230">
        <f>+GETPIVOTDATA(" Old-Law",'Pivot Table for 1-11'!$A$3,"State","TX","SREB Type",6,"SREB Type2","Four-Year")</f>
        <v>0</v>
      </c>
      <c r="I244" s="197">
        <f>+GETPIVOTDATA(" Old-Medicine",'Pivot Table for 1-11'!$A$3,"State","TX","SREB Type",6,"SREB Type2","Four-Year")</f>
        <v>0</v>
      </c>
      <c r="J244" s="197">
        <f>+GETPIVOTDATA(" Old-Dentistry",'Pivot Table for 1-11'!$A$3,"State","TX","SREB Type",6,"SREB Type2","Four-Year")</f>
        <v>0</v>
      </c>
      <c r="K244" s="197">
        <f>+GETPIVOTDATA(" Old-Pharmacy",'Pivot Table for 1-11'!$A$3,"State","TX","SREB Type",6,"SREB Type2","Four-Year")</f>
        <v>0</v>
      </c>
      <c r="L244" s="197">
        <f>+GETPIVOTDATA(" Old-Optometry",'Pivot Table for 1-11'!$A$3,"State","TX","SREB Type",6,"SREB Type2","Four-Year")</f>
        <v>0</v>
      </c>
      <c r="M244" s="197">
        <f>+GETPIVOTDATA(" Old-Osteopathic Medicine",'Pivot Table for 1-11'!$A$3,"State","TX","SREB Type",6,"SREB Type2","Four-Year")</f>
        <v>0</v>
      </c>
      <c r="N244" s="197">
        <f>+GETPIVOTDATA(" Old-Veterinary Medicine",'Pivot Table for 1-11'!$A$3,"State","TX","SREB Type",6,"SREB Type2","Four-Year")</f>
        <v>0</v>
      </c>
      <c r="O244" s="198">
        <f>+GETPIVOTDATA(" Old-Oth PP",'Pivot Table for 1-11'!$A$3,"State","TX","SREB Type",6,"SREB Type2","Four-Year")</f>
        <v>0</v>
      </c>
      <c r="P244" s="199">
        <f t="shared" si="6"/>
        <v>0</v>
      </c>
    </row>
    <row r="245" spans="1:16" ht="15" customHeight="1">
      <c r="A245" s="196" t="s">
        <v>35</v>
      </c>
      <c r="B245" s="197">
        <f>+GETPIVOTDATA(" Old-Less Than 2-Year",'Pivot Table for 1-11'!$A$3,"State","VA","SREB Type",6,"SREB Type2","Four-Year")+GETPIVOTDATA(" Old-2 But Less Than 4-Year",'Pivot Table for 1-11'!$A$3,"State","VA","SREB Type",6,"SREB Type2","Four-Year")</f>
        <v>0</v>
      </c>
      <c r="C245" s="197">
        <f>+GETPIVOTDATA(" Old-Associate's",'Pivot Table for 1-11'!$A$3,"State","VA","SREB Type",6,"SREB Type2","Four-Year")</f>
        <v>0</v>
      </c>
      <c r="D245" s="197">
        <f>+GETPIVOTDATA(" Old-Bachelor's",'Pivot Table for 1-11'!$A$3,"State","VA","SREB Type",6,"SREB Type2","Four-Year")</f>
        <v>261</v>
      </c>
      <c r="E245" s="197">
        <f>+GETPIVOTDATA(" Old-Post-Bachelor's",'Pivot Table for 1-11'!$A$3,"State","VA","SREB Type",6,"SREB Type2","Four-Year")</f>
        <v>0</v>
      </c>
      <c r="F245" s="197">
        <f>+GETPIVOTDATA(" Old-Total Master's#",'Pivot Table for 1-11'!$A$3,"State","VA","SREB Type",6,"SREB Type2","Four-Year")</f>
        <v>0</v>
      </c>
      <c r="G245" s="197">
        <f>+GETPIVOTDATA(" Old-Total Doctorates#",'Pivot Table for 1-11'!$A$3,"State","VA","SREB Type",6,"SREB Type2","Four-Year")</f>
        <v>0</v>
      </c>
      <c r="H245" s="230">
        <f>+GETPIVOTDATA(" Old-Law",'Pivot Table for 1-11'!$A$3,"State","VA","SREB Type",6,"SREB Type2","Four-Year")</f>
        <v>0</v>
      </c>
      <c r="I245" s="197">
        <f>+GETPIVOTDATA(" Old-Medicine",'Pivot Table for 1-11'!$A$3,"State","VA","SREB Type",6,"SREB Type2","Four-Year")</f>
        <v>0</v>
      </c>
      <c r="J245" s="197">
        <f>+GETPIVOTDATA(" Old-Dentistry",'Pivot Table for 1-11'!$A$3,"State","VA","SREB Type",6,"SREB Type2","Four-Year")</f>
        <v>0</v>
      </c>
      <c r="K245" s="197">
        <f>+GETPIVOTDATA(" Old-Pharmacy",'Pivot Table for 1-11'!$A$3,"State","VA","SREB Type",6,"SREB Type2","Four-Year")</f>
        <v>0</v>
      </c>
      <c r="L245" s="197">
        <f>+GETPIVOTDATA(" Old-Optometry",'Pivot Table for 1-11'!$A$3,"State","VA","SREB Type",6,"SREB Type2","Four-Year")</f>
        <v>0</v>
      </c>
      <c r="M245" s="197">
        <f>+GETPIVOTDATA(" Old-Osteopathic Medicine",'Pivot Table for 1-11'!$A$3,"State","VA","SREB Type",6,"SREB Type2","Four-Year")</f>
        <v>0</v>
      </c>
      <c r="N245" s="197">
        <f>+GETPIVOTDATA(" Old-Veterinary Medicine",'Pivot Table for 1-11'!$A$3,"State","VA","SREB Type",6,"SREB Type2","Four-Year")</f>
        <v>0</v>
      </c>
      <c r="O245" s="198">
        <f>+GETPIVOTDATA(" Old-Oth PP",'Pivot Table for 1-11'!$A$3,"State","VA","SREB Type",6,"SREB Type2","Four-Year")</f>
        <v>0</v>
      </c>
      <c r="P245" s="199">
        <f t="shared" si="6"/>
        <v>261</v>
      </c>
    </row>
    <row r="246" spans="1:16" ht="15" customHeight="1">
      <c r="A246" s="200" t="s">
        <v>36</v>
      </c>
      <c r="B246" s="201">
        <f>+GETPIVOTDATA(" Old-Less Than 2-Year",'Pivot Table for 1-11'!$A$3,"State","WV","SREB Type",6,"SREB Type2","Four-Year")+GETPIVOTDATA(" Old-2 But Less Than 4-Year",'Pivot Table for 1-11'!$A$3,"State","WV","SREB Type",6,"SREB Type2","Four-Year")</f>
        <v>0</v>
      </c>
      <c r="C246" s="201">
        <f>+GETPIVOTDATA(" Old-Associate's",'Pivot Table for 1-11'!$A$3,"State","WV","SREB Type",6,"SREB Type2","Four-Year")</f>
        <v>244</v>
      </c>
      <c r="D246" s="201">
        <f>+GETPIVOTDATA(" Old-Bachelor's",'Pivot Table for 1-11'!$A$3,"State","WV","SREB Type",6,"SREB Type2","Four-Year")</f>
        <v>890</v>
      </c>
      <c r="E246" s="201">
        <f>+GETPIVOTDATA(" Old-Post-Bachelor's",'Pivot Table for 1-11'!$A$3,"State","WV","SREB Type",6,"SREB Type2","Four-Year")</f>
        <v>0</v>
      </c>
      <c r="F246" s="201">
        <f>+GETPIVOTDATA(" Old-Total Master's#",'Pivot Table for 1-11'!$A$3,"State","WV","SREB Type",6,"SREB Type2","Four-Year")</f>
        <v>38</v>
      </c>
      <c r="G246" s="201">
        <f>+GETPIVOTDATA(" Old-Total Doctorates#",'Pivot Table for 1-11'!$A$3,"State","WV","SREB Type",6,"SREB Type2","Four-Year")</f>
        <v>0</v>
      </c>
      <c r="H246" s="202">
        <f>+GETPIVOTDATA(" Old-Law",'Pivot Table for 1-11'!$A$3,"State","WV","SREB Type",6,"SREB Type2","Four-Year")</f>
        <v>0</v>
      </c>
      <c r="I246" s="201">
        <f>+GETPIVOTDATA(" Old-Medicine",'Pivot Table for 1-11'!$A$3,"State","WV","SREB Type",6,"SREB Type2","Four-Year")</f>
        <v>0</v>
      </c>
      <c r="J246" s="201">
        <f>+GETPIVOTDATA(" Old-Dentistry",'Pivot Table for 1-11'!$A$3,"State","WV","SREB Type",6,"SREB Type2","Four-Year")</f>
        <v>0</v>
      </c>
      <c r="K246" s="201">
        <f>+GETPIVOTDATA(" Old-Pharmacy",'Pivot Table for 1-11'!$A$3,"State","WV","SREB Type",6,"SREB Type2","Four-Year")</f>
        <v>0</v>
      </c>
      <c r="L246" s="201">
        <f>+GETPIVOTDATA(" Old-Optometry",'Pivot Table for 1-11'!$A$3,"State","WV","SREB Type",6,"SREB Type2","Four-Year")</f>
        <v>0</v>
      </c>
      <c r="M246" s="201">
        <f>+GETPIVOTDATA(" Old-Osteopathic Medicine",'Pivot Table for 1-11'!$A$3,"State","WV","SREB Type",6,"SREB Type2","Four-Year")</f>
        <v>0</v>
      </c>
      <c r="N246" s="201">
        <f>+GETPIVOTDATA(" Old-Veterinary Medicine",'Pivot Table for 1-11'!$A$3,"State","WV","SREB Type",6,"SREB Type2","Four-Year")</f>
        <v>0</v>
      </c>
      <c r="O246" s="319">
        <f>+GETPIVOTDATA(" Old-Oth PP",'Pivot Table for 1-11'!$A$3,"State","WV","SREB Type",6,"SREB Type2","Four-Year")</f>
        <v>0</v>
      </c>
      <c r="P246" s="203">
        <f t="shared" si="6"/>
        <v>1172</v>
      </c>
    </row>
    <row r="247" spans="1:16">
      <c r="B247" s="197"/>
      <c r="C247" s="197"/>
      <c r="D247" s="197"/>
      <c r="E247" s="197"/>
      <c r="F247" s="197"/>
      <c r="G247" s="197"/>
      <c r="H247" s="197"/>
      <c r="I247" s="197"/>
      <c r="J247" s="197"/>
      <c r="K247" s="197"/>
      <c r="L247" s="197"/>
      <c r="M247" s="197"/>
      <c r="N247" s="197"/>
      <c r="O247" s="197"/>
      <c r="P247" s="197"/>
    </row>
    <row r="248" spans="1:16" ht="29.25" customHeight="1">
      <c r="A248" s="545" t="s">
        <v>37</v>
      </c>
      <c r="B248" s="546"/>
      <c r="C248" s="546"/>
      <c r="D248" s="546"/>
      <c r="E248" s="546"/>
      <c r="F248" s="546"/>
      <c r="G248" s="546"/>
      <c r="H248" s="546"/>
      <c r="I248" s="546"/>
      <c r="J248" s="546"/>
      <c r="K248" s="546"/>
      <c r="L248" s="546"/>
      <c r="M248" s="546"/>
      <c r="N248" s="546"/>
      <c r="O248" s="546"/>
      <c r="P248" s="546"/>
    </row>
    <row r="249" spans="1:16" ht="15.5">
      <c r="A249" s="185"/>
      <c r="B249" s="185"/>
      <c r="C249" s="185"/>
      <c r="D249" s="185"/>
      <c r="E249" s="185"/>
      <c r="F249" s="185"/>
      <c r="G249" s="185"/>
      <c r="H249" s="185"/>
      <c r="I249" s="185"/>
      <c r="J249" s="185"/>
      <c r="K249" s="185"/>
      <c r="L249" s="185"/>
      <c r="M249" s="185"/>
      <c r="N249" s="185"/>
      <c r="O249" s="185"/>
      <c r="P249" s="204" t="s">
        <v>1178</v>
      </c>
    </row>
    <row r="250" spans="1:16" ht="18">
      <c r="A250" s="186" t="s">
        <v>56</v>
      </c>
      <c r="B250" s="187"/>
      <c r="C250" s="187"/>
      <c r="D250" s="187"/>
      <c r="E250" s="187"/>
      <c r="F250" s="187"/>
      <c r="G250" s="187"/>
      <c r="H250" s="187"/>
      <c r="I250" s="187"/>
      <c r="J250" s="187"/>
      <c r="K250" s="187"/>
      <c r="L250" s="187"/>
      <c r="M250" s="187"/>
      <c r="N250" s="187" t="s">
        <v>1</v>
      </c>
      <c r="O250" s="187"/>
      <c r="P250" s="187"/>
    </row>
    <row r="251" spans="1:16" ht="15.75" customHeight="1">
      <c r="A251" s="188"/>
      <c r="B251" s="188"/>
      <c r="C251" s="188"/>
      <c r="D251" s="188"/>
      <c r="E251" s="188"/>
      <c r="F251" s="188"/>
      <c r="G251" s="188"/>
      <c r="H251" s="188"/>
      <c r="I251" s="188"/>
      <c r="J251" s="188"/>
      <c r="K251" s="188"/>
      <c r="L251" s="188"/>
      <c r="M251" s="188"/>
      <c r="N251" s="188" t="s">
        <v>1</v>
      </c>
      <c r="O251" s="188"/>
      <c r="P251" s="188"/>
    </row>
    <row r="252" spans="1:16" ht="15.5">
      <c r="A252" s="187" t="s">
        <v>2</v>
      </c>
      <c r="B252" s="187"/>
      <c r="C252" s="187"/>
      <c r="D252" s="187"/>
      <c r="E252" s="187"/>
      <c r="F252" s="187"/>
      <c r="G252" s="187"/>
      <c r="H252" s="187"/>
      <c r="I252" s="187"/>
      <c r="J252" s="187"/>
      <c r="K252" s="187"/>
      <c r="L252" s="187"/>
      <c r="M252" s="187"/>
      <c r="N252" s="187" t="s">
        <v>1</v>
      </c>
      <c r="O252" s="187"/>
      <c r="P252" s="187"/>
    </row>
    <row r="253" spans="1:16" ht="15.5">
      <c r="A253" s="187" t="s">
        <v>57</v>
      </c>
      <c r="B253" s="187"/>
      <c r="C253" s="187"/>
      <c r="D253" s="187"/>
      <c r="E253" s="187"/>
      <c r="F253" s="187"/>
      <c r="G253" s="187"/>
      <c r="H253" s="187"/>
      <c r="I253" s="187"/>
      <c r="J253" s="187"/>
      <c r="K253" s="187"/>
      <c r="L253" s="187"/>
      <c r="M253" s="187"/>
      <c r="N253" s="187" t="s">
        <v>1</v>
      </c>
      <c r="O253" s="187"/>
      <c r="P253" s="187"/>
    </row>
    <row r="254" spans="1:16">
      <c r="A254" s="188"/>
      <c r="B254" s="188"/>
      <c r="C254" s="188"/>
      <c r="D254" s="188"/>
      <c r="E254" s="188"/>
      <c r="F254" s="188"/>
      <c r="G254" s="188"/>
      <c r="H254" s="188"/>
      <c r="I254" s="188"/>
      <c r="N254" s="188" t="s">
        <v>1</v>
      </c>
      <c r="O254" s="188"/>
    </row>
    <row r="255" spans="1:16" ht="13">
      <c r="A255" s="206"/>
      <c r="B255" s="207" t="s">
        <v>58</v>
      </c>
      <c r="C255" s="207"/>
      <c r="D255" s="329"/>
      <c r="E255" s="330" t="s">
        <v>59</v>
      </c>
      <c r="F255" s="207"/>
      <c r="G255" s="329"/>
      <c r="H255" s="330" t="s">
        <v>60</v>
      </c>
      <c r="I255" s="329"/>
      <c r="J255" s="330" t="s">
        <v>61</v>
      </c>
      <c r="K255" s="329"/>
      <c r="L255" s="330" t="s">
        <v>62</v>
      </c>
      <c r="M255" s="207"/>
      <c r="N255" s="188" t="s">
        <v>1</v>
      </c>
      <c r="O255" s="188"/>
    </row>
    <row r="256" spans="1:16" ht="23.5">
      <c r="A256" s="193"/>
      <c r="B256" s="194" t="s">
        <v>5</v>
      </c>
      <c r="C256" s="194" t="s">
        <v>63</v>
      </c>
      <c r="D256" s="321" t="s">
        <v>65</v>
      </c>
      <c r="E256" s="195" t="s">
        <v>5</v>
      </c>
      <c r="F256" s="194" t="s">
        <v>63</v>
      </c>
      <c r="G256" s="321" t="s">
        <v>65</v>
      </c>
      <c r="H256" s="195" t="s">
        <v>5</v>
      </c>
      <c r="I256" s="321" t="s">
        <v>63</v>
      </c>
      <c r="J256" s="195" t="s">
        <v>5</v>
      </c>
      <c r="K256" s="321" t="s">
        <v>63</v>
      </c>
      <c r="L256" s="195" t="s">
        <v>5</v>
      </c>
      <c r="M256" s="194" t="s">
        <v>63</v>
      </c>
      <c r="N256" s="188"/>
      <c r="O256" s="188"/>
    </row>
    <row r="257" spans="1:16" ht="15" customHeight="1">
      <c r="A257" s="196" t="s">
        <v>20</v>
      </c>
      <c r="B257" s="197">
        <f>+GETPIVOTDATA(" Old-Less Than 2-Year",'Pivot Table for 1-11'!$A$3,"SREB Type2","Two-Year")+GETPIVOTDATA(" Old-2 But Less Than 4-Year",'Pivot Table for 1-11'!$A$3,"SREB Type2","Two-Year")</f>
        <v>190417</v>
      </c>
      <c r="C257" s="197">
        <f>+GETPIVOTDATA(" Old-Associate's",'Pivot Table for 1-11'!$A$3,"SREB Type2","Two-Year")</f>
        <v>270076</v>
      </c>
      <c r="D257" s="197">
        <f>+GETPIVOTDATA(" Old-Bachelor's",'Pivot Table for 1-11'!$A$3,"SREB Type2","Two-Year")</f>
        <v>10039</v>
      </c>
      <c r="E257" s="208">
        <f>+GETPIVOTDATA(" Old-Less Than 2-Year",'Pivot Table for 1-11'!$A$3,"SREB Type",7,"SREB Type2","Two-Year")+GETPIVOTDATA(" Old-2 But Less Than 4-Year",'Pivot Table for 1-11'!$A$3,"SREB Type",7,"SREB Type2","Two-Year")</f>
        <v>40074</v>
      </c>
      <c r="F257" s="209">
        <f>+GETPIVOTDATA(" Old-Associate's",'Pivot Table for 1-11'!$A$3,"SREB Type",7,"SREB Type2","Two-Year")</f>
        <v>74373</v>
      </c>
      <c r="G257" s="210">
        <f>+GETPIVOTDATA(" Old-Bachelor's",'Pivot Table for 1-11'!$A$3,"SREB Type",7,"SREB Type2","Two-Year")</f>
        <v>9938</v>
      </c>
      <c r="H257" s="208">
        <f>+GETPIVOTDATA(" Old-Less Than 2-Year",'Pivot Table for 1-11'!$A$3,"SREB Type",8,"SREB Type2","Two-Year")+GETPIVOTDATA(" Old-2 But Less Than 4-Year",'Pivot Table for 1-11'!$A$3,"SREB Type",8,"SREB Type2","Two-Year")</f>
        <v>62711</v>
      </c>
      <c r="I257" s="210">
        <f>+GETPIVOTDATA(" Old-Associate's",'Pivot Table for 1-11'!$A$3,"SREB Type",8,"SREB Type2","Two-Year")</f>
        <v>115284</v>
      </c>
      <c r="J257" s="208">
        <f>+GETPIVOTDATA(" Old-Less Than 2-Year",'Pivot Table for 1-11'!$A$3,"SREB Type",9,"SREB Type2","Two-Year")+GETPIVOTDATA(" Old-2 But Less Than 4-Year",'Pivot Table for 1-11'!$A$3,"SREB Type",9,"SREB Type2","Two-Year")</f>
        <v>55071</v>
      </c>
      <c r="K257" s="210">
        <f>+GETPIVOTDATA(" Old-Associate's",'Pivot Table for 1-11'!$A$3,"SREB Type",9,"SREB Type2","Two-Year")</f>
        <v>56975</v>
      </c>
      <c r="L257" s="197">
        <f>+GETPIVOTDATA(" Old-Less Than 2-Year",'Pivot Table for 1-11'!$A$3,"SREB Type",10,"SREB Type2","Two-Year")+GETPIVOTDATA(" Old-2 But Less Than 4-Year",'Pivot Table for 1-11'!$A$3,"SREB Type",10,"SREB Type2","Two-Year")</f>
        <v>32561</v>
      </c>
      <c r="M257" s="197">
        <f>+GETPIVOTDATA(" Old-Associate's",'Pivot Table for 1-11'!$A$3,"SREB Type",10,"SREB Type2","Two-Year")</f>
        <v>23444</v>
      </c>
      <c r="N257" s="197"/>
      <c r="O257" s="197"/>
    </row>
    <row r="258" spans="1:16" ht="15" customHeight="1">
      <c r="A258" s="196"/>
      <c r="B258" s="197"/>
      <c r="C258" s="197"/>
      <c r="D258" s="197"/>
      <c r="E258" s="230"/>
      <c r="F258" s="197"/>
      <c r="G258" s="198"/>
      <c r="H258" s="230"/>
      <c r="I258" s="198"/>
      <c r="J258" s="230"/>
      <c r="K258" s="198"/>
      <c r="L258" s="197"/>
      <c r="M258" s="197"/>
      <c r="N258" s="197"/>
      <c r="O258" s="197"/>
      <c r="P258" s="211"/>
    </row>
    <row r="259" spans="1:16" ht="15" customHeight="1">
      <c r="A259" s="196" t="s">
        <v>21</v>
      </c>
      <c r="B259" s="197">
        <f>+GETPIVOTDATA(" Old-Less Than 2-Year",'Pivot Table for 1-11'!$A$3,"State","AL","SREB Type2","Two-Year")+GETPIVOTDATA(" Old-2 But Less Than 4-Year",'Pivot Table for 1-11'!$A$3,"State","AL","SREB Type2","Two-Year")</f>
        <v>10802</v>
      </c>
      <c r="C259" s="197">
        <f>+GETPIVOTDATA(" Old-Associate's",'Pivot Table for 1-11'!$A$3,"State","AL","SREB Type2","Two-Year")</f>
        <v>9988</v>
      </c>
      <c r="D259" s="197">
        <f>+GETPIVOTDATA(" Old-Bachelor's",'Pivot Table for 1-11'!$A$3,"State","AL","SREB Type2","Two-Year")</f>
        <v>0</v>
      </c>
      <c r="E259" s="230">
        <f>GETPIVOTDATA(" Old-Less Than 2-Year",'Pivot Table for 1-11'!$A$3,"State","AL")+GETPIVOTDATA(" Old-2 But Less Than 4-Year",'Pivot Table for 1-11'!$A$3,"State","AL","SREB Type",7,"SREB Type2","Two-Year")</f>
        <v>12188</v>
      </c>
      <c r="F259" s="197">
        <f>+GETPIVOTDATA(" Old-Associate's",'Pivot Table for 1-11'!$A$3,"State","AL","SREB Type",7,"SREB Type2","Two-Year")</f>
        <v>0</v>
      </c>
      <c r="G259" s="198">
        <f>+GETPIVOTDATA(" Old-Bachelor's",'Pivot Table for 1-11'!$A$3,"State","AL","SREB Type",7,"SREB Type2","Two-Year")</f>
        <v>0</v>
      </c>
      <c r="H259" s="230">
        <f>GETPIVOTDATA(" Old-Less Than 2-Year",'Pivot Table for 1-11'!$A$3,"State","AL")+GETPIVOTDATA(" Old-2 But Less Than 4-Year",'Pivot Table for 1-11'!$A$3,"State","AL","SREB Type",8,"SREB Type2","Two-Year")</f>
        <v>12188</v>
      </c>
      <c r="I259" s="198">
        <f>+GETPIVOTDATA(" Old-Associate's",'Pivot Table for 1-11'!$A$3,"State","AL","SREB Type",8,"SREB Type2","Two-Year")</f>
        <v>2705</v>
      </c>
      <c r="J259" s="230">
        <f>GETPIVOTDATA(" Old-Less Than 2-Year",'Pivot Table for 1-11'!$A$3,"State","AL")+GETPIVOTDATA(" Old-2 But Less Than 4-Year",'Pivot Table for 1-11'!$A$3,"State","AL","SREB Type",9,"SREB Type2","Two-Year")</f>
        <v>12188</v>
      </c>
      <c r="K259" s="198">
        <f>+GETPIVOTDATA(" Old-Associate's",'Pivot Table for 1-11'!$A$3,"State","AL","SREB Type",9,"SREB Type2","Two-Year")</f>
        <v>5110</v>
      </c>
      <c r="L259" s="197">
        <f>GETPIVOTDATA(" Old-Less Than 2-Year",'Pivot Table for 1-11'!$A$3,"State","AL")+GETPIVOTDATA(" Old-2 But Less Than 4-Year",'Pivot Table for 1-11'!$A$3,"State","AL","SREB Type",10,"SREB Type2","Two-Year")</f>
        <v>12188</v>
      </c>
      <c r="M259" s="197">
        <f>+GETPIVOTDATA(" Old-Associate's",'Pivot Table for 1-11'!$A$3,"State","AL","SREB Type",10,"SREB Type2","Two-Year")</f>
        <v>2173</v>
      </c>
      <c r="N259" s="197"/>
      <c r="O259" s="197"/>
    </row>
    <row r="260" spans="1:16" ht="15" customHeight="1">
      <c r="A260" s="196" t="s">
        <v>22</v>
      </c>
      <c r="B260" s="197">
        <f>+GETPIVOTDATA(" Old-Less Than 2-Year",'Pivot Table for 1-11'!$A$3,"State","AR","SREB Type2","Two-Year")+GETPIVOTDATA(" Old-2 But Less Than 4-Year",'Pivot Table for 1-11'!$A$3,"State","AR","SREB Type2","Two-Year")</f>
        <v>11025</v>
      </c>
      <c r="C260" s="197">
        <f>+GETPIVOTDATA(" Old-Associate's",'Pivot Table for 1-11'!$A$3,"State","AR","SREB Type2","Two-Year")</f>
        <v>6318</v>
      </c>
      <c r="D260" s="197">
        <f>+GETPIVOTDATA(" Old-Bachelor's",'Pivot Table for 1-11'!$A$3,"State","AR","SREB Type2","Two-Year")</f>
        <v>0</v>
      </c>
      <c r="E260" s="230">
        <f>+GETPIVOTDATA(" Old-Less Than 2-Year",'Pivot Table for 1-11'!$A$3,"State","AR","SREB Type",7,"SREB Type2","Two-Year")+GETPIVOTDATA(" Old-2 But Less Than 4-Year",'Pivot Table for 1-11'!$A$3,"State","AR","SREB Type",7,"SREB Type2","Two-Year")</f>
        <v>0</v>
      </c>
      <c r="F260" s="197">
        <f>+GETPIVOTDATA(" Old-Associate's",'Pivot Table for 1-11'!$A$3,"State","AR","SREB Type",7,"SREB Type2","Two-Year")</f>
        <v>0</v>
      </c>
      <c r="G260" s="198">
        <f>+GETPIVOTDATA(" Old-Bachelor's",'Pivot Table for 1-11'!$A$3,"State","AR","SREB Type",7,"SREB Type2","Two-Year")</f>
        <v>0</v>
      </c>
      <c r="H260" s="230">
        <f>+GETPIVOTDATA(" Old-Less Than 2-Year",'Pivot Table for 1-11'!$A$3,"State","AR","SREB Type",8,"SREB Type2","Two-Year")+GETPIVOTDATA(" Old-2 But Less Than 4-Year",'Pivot Table for 1-11'!$A$3,"State","AR","SREB Type",8,"SREB Type2","Two-Year")</f>
        <v>605</v>
      </c>
      <c r="I260" s="198">
        <f>+GETPIVOTDATA(" Old-Associate's",'Pivot Table for 1-11'!$A$3,"State","AR","SREB Type",8,"SREB Type2","Two-Year")</f>
        <v>995</v>
      </c>
      <c r="J260" s="230">
        <f>+GETPIVOTDATA(" Old-Less Than 2-Year",'Pivot Table for 1-11'!$A$3,"State","AR","SREB Type",9,"SREB Type2","Two-Year")+GETPIVOTDATA(" Old-2 But Less Than 4-Year",'Pivot Table for 1-11'!$A$3,"State","AR","SREB Type",9,"SREB Type2","Two-Year")</f>
        <v>1663</v>
      </c>
      <c r="K260" s="198">
        <f>+GETPIVOTDATA(" Old-Associate's",'Pivot Table for 1-11'!$A$3,"State","AR","SREB Type",9,"SREB Type2","Two-Year")</f>
        <v>1521</v>
      </c>
      <c r="L260" s="197">
        <f>+GETPIVOTDATA(" Old-Less Than 2-Year",'Pivot Table for 1-11'!$A$3,"State","AR","SREB Type",10,"SREB Type2","Two-Year")+GETPIVOTDATA(" Old-2 But Less Than 4-Year",'Pivot Table for 1-11'!$A$3,"State","AR","SREB Type",10,"SREB Type2","Two-Year")</f>
        <v>8757</v>
      </c>
      <c r="M260" s="197">
        <f>+GETPIVOTDATA(" Old-Associate's",'Pivot Table for 1-11'!$A$3,"State","AR","SREB Type",10,"SREB Type2","Two-Year")</f>
        <v>3802</v>
      </c>
      <c r="N260" s="197"/>
      <c r="O260" s="197"/>
      <c r="P260" s="211"/>
    </row>
    <row r="261" spans="1:16" ht="15" customHeight="1">
      <c r="A261" s="196" t="s">
        <v>23</v>
      </c>
      <c r="B261" s="197">
        <f>+GETPIVOTDATA(" Old-Less Than 2-Year",'Pivot Table for 1-11'!$A$3,"State","DE","SREB Type2","Two-Year")+GETPIVOTDATA(" Old-2 But Less Than 4-Year",'Pivot Table for 1-11'!$A$3,"State","DE","SREB Type2","Two-Year")</f>
        <v>187</v>
      </c>
      <c r="C261" s="197">
        <f>+GETPIVOTDATA(" Old-Associate's",'Pivot Table for 1-11'!$A$3,"State","DE","SREB Type2","Two-Year")</f>
        <v>1674</v>
      </c>
      <c r="D261" s="197">
        <f>+GETPIVOTDATA(" Old-Bachelor's",'Pivot Table for 1-11'!$A$3,"State","DE","SREB Type2","Two-Year")</f>
        <v>43</v>
      </c>
      <c r="E261" s="230">
        <f>+GETPIVOTDATA(" Old-Less Than 2-Year",'Pivot Table for 1-11'!$A$3,"State","DE","SREB Type",7,"SREB Type2","Two-Year")+GETPIVOTDATA(" Old-2 But Less Than 4-Year",'Pivot Table for 1-11'!$A$3,"State","DE","SREB Type",7,"SREB Type2","Two-Year")</f>
        <v>0</v>
      </c>
      <c r="F261" s="197">
        <f>+GETPIVOTDATA(" Old-Associate's",'Pivot Table for 1-11'!$A$3,"State","DE","SREB Type",7,"SREB Type2","Two-Year")</f>
        <v>0</v>
      </c>
      <c r="G261" s="198">
        <f>+GETPIVOTDATA(" Old-Bachelor's",'Pivot Table for 1-11'!$A$3,"State","DE","SREB Type",7,"SREB Type2","Two-Year")</f>
        <v>0</v>
      </c>
      <c r="H261" s="230">
        <f>+GETPIVOTDATA(" Old-Less Than 2-Year",'Pivot Table for 1-11'!$A$3,"State","DE","SREB Type",8,"SREB Type2","Two-Year")+GETPIVOTDATA(" Old-2 But Less Than 4-Year",'Pivot Table for 1-11'!$A$3,"State","DE","SREB Type",8,"SREB Type2","Two-Year")</f>
        <v>0</v>
      </c>
      <c r="I261" s="198">
        <f>+GETPIVOTDATA(" Old-Associate's",'Pivot Table for 1-11'!$A$3,"State","DE","SREB Type",8,"SREB Type2","Two-Year")</f>
        <v>0</v>
      </c>
      <c r="J261" s="230">
        <f>+GETPIVOTDATA(" Old-Less Than 2-Year",'Pivot Table for 1-11'!$A$3,"State","DE","SREB Type",9,"SREB Type2","Two-Year")+GETPIVOTDATA(" Old-2 But Less Than 4-Year",'Pivot Table for 1-11'!$A$3,"State","DE","SREB Type",9,"SREB Type2","Two-Year")</f>
        <v>187</v>
      </c>
      <c r="K261" s="198">
        <f>+GETPIVOTDATA(" Old-Associate's",'Pivot Table for 1-11'!$A$3,"State","DE","SREB Type",9,"SREB Type2","Two-Year")</f>
        <v>1674</v>
      </c>
      <c r="L261" s="197">
        <f>+GETPIVOTDATA(" Old-Less Than 2-Year",'Pivot Table for 1-11'!$A$3,"State","DE","SREB Type",10,"SREB Type2","Two-Year")+GETPIVOTDATA(" Old-2 But Less Than 4-Year",'Pivot Table for 1-11'!$A$3,"State","DE","SREB Type",10,"SREB Type2","Two-Year")</f>
        <v>0</v>
      </c>
      <c r="M261" s="197">
        <f>+GETPIVOTDATA(" Old-Associate's",'Pivot Table for 1-11'!$A$3,"State","DE","SREB Type",10,"SREB Type2","Two-Year")</f>
        <v>0</v>
      </c>
      <c r="N261" s="197"/>
      <c r="O261" s="197"/>
      <c r="P261" s="211"/>
    </row>
    <row r="262" spans="1:16" ht="15" customHeight="1">
      <c r="A262" s="196" t="s">
        <v>24</v>
      </c>
      <c r="B262" s="197">
        <f>+GETPIVOTDATA(" Old-Less Than 2-Year",'Pivot Table for 1-11'!$A$3,"State","FL","SREB Type2","Two-Year")+GETPIVOTDATA(" Old-2 But Less Than 4-Year",'Pivot Table for 1-11'!$A$3,"State","FL","SREB Type2","Two-Year")</f>
        <v>40260</v>
      </c>
      <c r="C262" s="197">
        <f>+GETPIVOTDATA(" Old-Associate's",'Pivot Table for 1-11'!$A$3,"State","FL","SREB Type2","Two-Year")</f>
        <v>73776</v>
      </c>
      <c r="D262" s="197">
        <f>+GETPIVOTDATA(" Old-Bachelor's",'Pivot Table for 1-11'!$A$3,"State","FL","SREB Type2","Two-Year")</f>
        <v>9064</v>
      </c>
      <c r="E262" s="230">
        <f>+GETPIVOTDATA(" Old-Less Than 2-Year",'Pivot Table for 1-11'!$A$3,"State","FL","SREB Type",7,"SREB Type2","Two-Year")+GETPIVOTDATA(" Old-2 But Less Than 4-Year",'Pivot Table for 1-11'!$A$3,"State","FL","SREB Type",7,"SREB Type2","Two-Year")</f>
        <v>37487</v>
      </c>
      <c r="F262" s="197">
        <f>+GETPIVOTDATA(" Old-Associate's",'Pivot Table for 1-11'!$A$3,"State","FL","SREB Type",7,"SREB Type2","Two-Year")</f>
        <v>66945</v>
      </c>
      <c r="G262" s="198">
        <f>+GETPIVOTDATA(" Old-Bachelor's",'Pivot Table for 1-11'!$A$3,"State","FL","SREB Type",7,"SREB Type2","Two-Year")</f>
        <v>9036</v>
      </c>
      <c r="H262" s="230">
        <f>+GETPIVOTDATA(" Old-Less Than 2-Year",'Pivot Table for 1-11'!$A$3,"State","FL","SREB Type",8,"SREB Type2","Two-Year")+GETPIVOTDATA(" Old-2 But Less Than 4-Year",'Pivot Table for 1-11'!$A$3,"State","FL","SREB Type",8,"SREB Type2","Two-Year")</f>
        <v>2435</v>
      </c>
      <c r="I262" s="198">
        <f>+GETPIVOTDATA(" Old-Associate's",'Pivot Table for 1-11'!$A$3,"State","FL","SREB Type",8,"SREB Type2","Two-Year")</f>
        <v>6416</v>
      </c>
      <c r="J262" s="230">
        <f>+GETPIVOTDATA(" Old-Less Than 2-Year",'Pivot Table for 1-11'!$A$3,"State","FL","SREB Type",9,"SREB Type2","Two-Year")+GETPIVOTDATA(" Old-2 But Less Than 4-Year",'Pivot Table for 1-11'!$A$3,"State","FL","SREB Type",9,"SREB Type2","Two-Year")</f>
        <v>0</v>
      </c>
      <c r="K262" s="198">
        <f>+GETPIVOTDATA(" Old-Associate's",'Pivot Table for 1-11'!$A$3,"State","FL","SREB Type",9,"SREB Type2","Two-Year")</f>
        <v>0</v>
      </c>
      <c r="L262" s="197">
        <f>+GETPIVOTDATA(" Old-Less Than 2-Year",'Pivot Table for 1-11'!$A$3,"State","FL","SREB Type",10,"SREB Type2","Two-Year")+GETPIVOTDATA(" Old-2 But Less Than 4-Year",'Pivot Table for 1-11'!$A$3,"State","FL","SREB Type",10,"SREB Type2","Two-Year")</f>
        <v>338</v>
      </c>
      <c r="M262" s="197">
        <f>+GETPIVOTDATA(" Old-Associate's",'Pivot Table for 1-11'!$A$3,"State","FL","SREB Type",10,"SREB Type2","Two-Year")</f>
        <v>415</v>
      </c>
      <c r="N262" s="197"/>
      <c r="O262" s="197"/>
      <c r="P262" s="211"/>
    </row>
    <row r="263" spans="1:16" ht="15" customHeight="1">
      <c r="A263" s="196"/>
      <c r="B263" s="197"/>
      <c r="C263" s="197"/>
      <c r="D263" s="197"/>
      <c r="E263" s="230"/>
      <c r="F263" s="197"/>
      <c r="G263" s="198"/>
      <c r="H263" s="230"/>
      <c r="I263" s="198"/>
      <c r="J263" s="230"/>
      <c r="K263" s="198"/>
      <c r="L263" s="197"/>
      <c r="M263" s="197"/>
      <c r="N263" s="197"/>
      <c r="O263" s="197"/>
      <c r="P263" s="211"/>
    </row>
    <row r="264" spans="1:16" ht="15" customHeight="1">
      <c r="A264" s="196" t="s">
        <v>25</v>
      </c>
      <c r="B264" s="197">
        <f>+GETPIVOTDATA(" Old-Less Than 2-Year",'Pivot Table for 1-11'!$A$3,"State","GA","SREB Type2","Two-Year")+GETPIVOTDATA(" Old-2 But Less Than 4-Year",'Pivot Table for 1-11'!$A$3,"State","GA","SREB Type2","Two-Year")</f>
        <v>0</v>
      </c>
      <c r="C264" s="197">
        <f>+GETPIVOTDATA(" Old-Associate's",'Pivot Table for 1-11'!$A$3,"State","GA","SREB Type2","Two-Year")</f>
        <v>1566</v>
      </c>
      <c r="D264" s="197">
        <f>+GETPIVOTDATA(" Old-Bachelor's",'Pivot Table for 1-11'!$A$3,"State","GA","SREB Type2","Two-Year")</f>
        <v>228</v>
      </c>
      <c r="E264" s="230">
        <f>+GETPIVOTDATA(" Old-Less Than 2-Year",'Pivot Table for 1-11'!$A$3,"State","GA","SREB Type",7,"SREB Type2","Two-Year")+GETPIVOTDATA(" Old-2 But Less Than 4-Year",'Pivot Table for 1-11'!$A$3,"State","GA","SREB Type",7,"SREB Type2","Two-Year")</f>
        <v>0</v>
      </c>
      <c r="F264" s="197">
        <f>+GETPIVOTDATA(" Old-Associate's",'Pivot Table for 1-11'!$A$3,"State","GA","SREB Type",7,"SREB Type2","Two-Year")</f>
        <v>1566</v>
      </c>
      <c r="G264" s="198">
        <f>+GETPIVOTDATA(" Old-Bachelor's",'Pivot Table for 1-11'!$A$3,"State","GA","SREB Type",7,"SREB Type2","Two-Year")</f>
        <v>228</v>
      </c>
      <c r="H264" s="230">
        <f>+GETPIVOTDATA(" Old-Less Than 2-Year",'Pivot Table for 1-11'!$A$3,"State","GA","SREB Type",8,"SREB Type2","Two-Year")+GETPIVOTDATA(" Old-2 But Less Than 4-Year",'Pivot Table for 1-11'!$A$3,"State","GA","SREB Type",8,"SREB Type2","Two-Year")</f>
        <v>0</v>
      </c>
      <c r="I264" s="198">
        <f>+GETPIVOTDATA(" Old-Associate's",'Pivot Table for 1-11'!$A$3,"State","GA","SREB Type",8,"SREB Type2","Two-Year")</f>
        <v>0</v>
      </c>
      <c r="J264" s="230">
        <f>+GETPIVOTDATA(" Old-Less Than 2-Year",'Pivot Table for 1-11'!$A$3,"State","GA","SREB Type",9,"SREB Type2","Two-Year")+GETPIVOTDATA(" Old-2 But Less Than 4-Year",'Pivot Table for 1-11'!$A$3,"State","GA","SREB Type",9,"SREB Type2","Two-Year")</f>
        <v>0</v>
      </c>
      <c r="K264" s="198">
        <f>+GETPIVOTDATA(" Old-Associate's",'Pivot Table for 1-11'!$A$3,"State","GA","SREB Type",9,"SREB Type2","Two-Year")</f>
        <v>0</v>
      </c>
      <c r="L264" s="197">
        <f>+GETPIVOTDATA(" Old-Less Than 2-Year",'Pivot Table for 1-11'!$A$3,"State","GA","SREB Type",10,"SREB Type2","Two-Year")+GETPIVOTDATA(" Old-2 But Less Than 4-Year",'Pivot Table for 1-11'!$A$3,"State","GA","SREB Type",10,"SREB Type2","Two-Year")</f>
        <v>0</v>
      </c>
      <c r="M264" s="197">
        <f>+GETPIVOTDATA(" Old-Associate's",'Pivot Table for 1-11'!$A$3,"State","GA","SREB Type",10,"SREB Type2","Two-Year")</f>
        <v>0</v>
      </c>
      <c r="N264" s="197"/>
      <c r="O264" s="197"/>
      <c r="P264" s="211"/>
    </row>
    <row r="265" spans="1:16" ht="15" customHeight="1">
      <c r="A265" s="196" t="s">
        <v>26</v>
      </c>
      <c r="B265" s="197">
        <f>+GETPIVOTDATA(" Old-Less Than 2-Year",'Pivot Table for 1-11'!$A$3,"State","KY","SREB Type2","Two-Year")+GETPIVOTDATA(" Old-2 But Less Than 4-Year",'Pivot Table for 1-11'!$A$3,"State","KY","SREB Type2","Two-Year")</f>
        <v>22549</v>
      </c>
      <c r="C265" s="197">
        <f>+GETPIVOTDATA(" Old-Associate's",'Pivot Table for 1-11'!$A$3,"State","KY","SREB Type2","Two-Year")</f>
        <v>8662</v>
      </c>
      <c r="D265" s="197">
        <f>+GETPIVOTDATA(" Old-Bachelor's",'Pivot Table for 1-11'!$A$3,"State","KY","SREB Type2","Two-Year")</f>
        <v>0</v>
      </c>
      <c r="E265" s="230">
        <f>+GETPIVOTDATA(" Old-Less Than 2-Year",'Pivot Table for 1-11'!$A$3,"State","KY","SREB Type",7,"SREB Type2","Two-Year")+GETPIVOTDATA(" Old-2 But Less Than 4-Year",'Pivot Table for 1-11'!$A$3,"State","KY","SREB Type",7,"SREB Type2","Two-Year")</f>
        <v>0</v>
      </c>
      <c r="F265" s="197">
        <f>+GETPIVOTDATA(" Old-Associate's",'Pivot Table for 1-11'!$A$3,"State","KY","SREB Type",7,"SREB Type2","Two-Year")</f>
        <v>0</v>
      </c>
      <c r="G265" s="198">
        <f>+GETPIVOTDATA(" Old-Bachelor's",'Pivot Table for 1-11'!$A$3,"State","KY","SREB Type",7,"SREB Type2","Two-Year")</f>
        <v>0</v>
      </c>
      <c r="H265" s="230">
        <f>+GETPIVOTDATA(" Old-Less Than 2-Year",'Pivot Table for 1-11'!$A$3,"State","KY","SREB Type",8,"SREB Type2","Two-Year")+GETPIVOTDATA(" Old-2 But Less Than 4-Year",'Pivot Table for 1-11'!$A$3,"State","KY","SREB Type",8,"SREB Type2","Two-Year")</f>
        <v>5856</v>
      </c>
      <c r="I265" s="198">
        <f>+GETPIVOTDATA(" Old-Associate's",'Pivot Table for 1-11'!$A$3,"State","KY","SREB Type",8,"SREB Type2","Two-Year")</f>
        <v>2727</v>
      </c>
      <c r="J265" s="230">
        <f>+GETPIVOTDATA(" Old-Less Than 2-Year",'Pivot Table for 1-11'!$A$3,"State","KY","SREB Type",9,"SREB Type2","Two-Year")+GETPIVOTDATA(" Old-2 But Less Than 4-Year",'Pivot Table for 1-11'!$A$3,"State","KY","SREB Type",9,"SREB Type2","Two-Year")</f>
        <v>11016</v>
      </c>
      <c r="K265" s="198">
        <f>+GETPIVOTDATA(" Old-Associate's",'Pivot Table for 1-11'!$A$3,"State","KY","SREB Type",9,"SREB Type2","Two-Year")</f>
        <v>3705</v>
      </c>
      <c r="L265" s="197">
        <f>+GETPIVOTDATA(" Old-Less Than 2-Year",'Pivot Table for 1-11'!$A$3,"State","KY","SREB Type",10,"SREB Type2","Two-Year")+GETPIVOTDATA(" Old-2 But Less Than 4-Year",'Pivot Table for 1-11'!$A$3,"State","KY","SREB Type",10,"SREB Type2","Two-Year")</f>
        <v>5677</v>
      </c>
      <c r="M265" s="197">
        <f>+GETPIVOTDATA(" Old-Associate's",'Pivot Table for 1-11'!$A$3,"State","KY","SREB Type",10,"SREB Type2","Two-Year")</f>
        <v>2230</v>
      </c>
      <c r="N265" s="197"/>
      <c r="O265" s="197"/>
      <c r="P265" s="211"/>
    </row>
    <row r="266" spans="1:16" ht="15" customHeight="1">
      <c r="A266" s="196" t="s">
        <v>27</v>
      </c>
      <c r="B266" s="197">
        <f>+GETPIVOTDATA(" Old-Less Than 2-Year",'Pivot Table for 1-11'!$A$3,"State","LA","SREB Type2","Two-Year")+GETPIVOTDATA(" Old-2 But Less Than 4-Year",'Pivot Table for 1-11'!$A$3,"State","LA","SREB Type2","Two-Year")</f>
        <v>7365</v>
      </c>
      <c r="C266" s="197">
        <f>+GETPIVOTDATA(" Old-Associate's",'Pivot Table for 1-11'!$A$3,"State","LA","SREB Type2","Two-Year")</f>
        <v>4260</v>
      </c>
      <c r="D266" s="197">
        <f>+GETPIVOTDATA(" Old-Bachelor's",'Pivot Table for 1-11'!$A$3,"State","LA","SREB Type2","Two-Year")</f>
        <v>0</v>
      </c>
      <c r="E266" s="230">
        <f>+GETPIVOTDATA(" Old-Less Than 2-Year",'Pivot Table for 1-11'!$A$3,"State","LA","SREB Type",7,"SREB Type2","Two-Year")+GETPIVOTDATA(" Old-2 But Less Than 4-Year",'Pivot Table for 1-11'!$A$3,"State","LA","SREB Type",7,"SREB Type2","Two-Year")</f>
        <v>0</v>
      </c>
      <c r="F266" s="197">
        <f>+GETPIVOTDATA(" Old-Associate's",'Pivot Table for 1-11'!$A$3,"State","LA","SREB Type",7,"SREB Type2","Two-Year")</f>
        <v>0</v>
      </c>
      <c r="G266" s="198">
        <f>+GETPIVOTDATA(" Old-Bachelor's",'Pivot Table for 1-11'!$A$3,"State","LA","SREB Type",7,"SREB Type2","Two-Year")</f>
        <v>0</v>
      </c>
      <c r="H266" s="230">
        <f>+GETPIVOTDATA(" Old-Less Than 2-Year",'Pivot Table for 1-11'!$A$3,"State","LA","SREB Type",8,"SREB Type2","Two-Year")+GETPIVOTDATA(" Old-2 But Less Than 4-Year",'Pivot Table for 1-11'!$A$3,"State","LA","SREB Type",8,"SREB Type2","Two-Year")</f>
        <v>3360</v>
      </c>
      <c r="I266" s="198">
        <f>+GETPIVOTDATA(" Old-Associate's",'Pivot Table for 1-11'!$A$3,"State","LA","SREB Type",8,"SREB Type2","Two-Year")</f>
        <v>1701</v>
      </c>
      <c r="J266" s="230">
        <f>+GETPIVOTDATA(" Old-Less Than 2-Year",'Pivot Table for 1-11'!$A$3,"State","LA","SREB Type",9,"SREB Type2","Two-Year")+GETPIVOTDATA(" Old-2 But Less Than 4-Year",'Pivot Table for 1-11'!$A$3,"State","LA","SREB Type",9,"SREB Type2","Two-Year")</f>
        <v>2827</v>
      </c>
      <c r="K266" s="198">
        <f>+GETPIVOTDATA(" Old-Associate's",'Pivot Table for 1-11'!$A$3,"State","LA","SREB Type",9,"SREB Type2","Two-Year")</f>
        <v>1946</v>
      </c>
      <c r="L266" s="197">
        <f>+GETPIVOTDATA(" Old-Less Than 2-Year",'Pivot Table for 1-11'!$A$3,"State","LA","SREB Type",10,"SREB Type2","Two-Year")+GETPIVOTDATA(" Old-2 But Less Than 4-Year",'Pivot Table for 1-11'!$A$3,"State","LA","SREB Type",10,"SREB Type2","Two-Year")</f>
        <v>1178</v>
      </c>
      <c r="M266" s="197">
        <f>+GETPIVOTDATA(" Old-Associate's",'Pivot Table for 1-11'!$A$3,"State","LA","SREB Type",10,"SREB Type2","Two-Year")</f>
        <v>613</v>
      </c>
      <c r="N266" s="197"/>
      <c r="O266" s="197"/>
      <c r="P266" s="211"/>
    </row>
    <row r="267" spans="1:16" ht="15" customHeight="1">
      <c r="A267" s="196" t="s">
        <v>28</v>
      </c>
      <c r="B267" s="197">
        <f>+GETPIVOTDATA(" Old-Less Than 2-Year",'Pivot Table for 1-11'!$A$3,"State","MD","SREB Type2","Two-Year")+GETPIVOTDATA(" Old-2 But Less Than 4-Year",'Pivot Table for 1-11'!$A$3,"State","MD","SREB Type2","Two-Year")</f>
        <v>0</v>
      </c>
      <c r="C267" s="197">
        <f>+GETPIVOTDATA(" Old-Associate's",'Pivot Table for 1-11'!$A$3,"State","MD","SREB Type2","Two-Year")</f>
        <v>0</v>
      </c>
      <c r="D267" s="197">
        <f>+GETPIVOTDATA(" Old-Bachelor's",'Pivot Table for 1-11'!$A$3,"State","MD","SREB Type2","Two-Year")</f>
        <v>0</v>
      </c>
      <c r="E267" s="230">
        <f>+GETPIVOTDATA(" Old-Less Than 2-Year",'Pivot Table for 1-11'!$A$3,"State","MD","SREB Type",7,"SREB Type2","Two-Year")+GETPIVOTDATA(" Old-2 But Less Than 4-Year",'Pivot Table for 1-11'!$A$3,"State","MD","SREB Type",7,"SREB Type2","Two-Year")</f>
        <v>0</v>
      </c>
      <c r="F267" s="197">
        <f>+GETPIVOTDATA(" Old-Associate's",'Pivot Table for 1-11'!$A$3,"State","MD","SREB Type",7,"SREB Type2","Two-Year")</f>
        <v>0</v>
      </c>
      <c r="G267" s="198">
        <f>+GETPIVOTDATA(" Old-Bachelor's",'Pivot Table for 1-11'!$A$3,"State","MD","SREB Type",7,"SREB Type2","Two-Year")</f>
        <v>0</v>
      </c>
      <c r="H267" s="230">
        <f>+GETPIVOTDATA(" Old-Less Than 2-Year",'Pivot Table for 1-11'!$A$3,"State","MD","SREB Type",8,"SREB Type2","Two-Year")+GETPIVOTDATA(" Old-2 But Less Than 4-Year",'Pivot Table for 1-11'!$A$3,"State","MD","SREB Type",8,"SREB Type2","Two-Year")</f>
        <v>0</v>
      </c>
      <c r="I267" s="198">
        <f>+GETPIVOTDATA(" Old-Associate's",'Pivot Table for 1-11'!$A$3,"State","MD","SREB Type",8,"SREB Type2","Two-Year")</f>
        <v>0</v>
      </c>
      <c r="J267" s="230">
        <f>+GETPIVOTDATA(" Old-Less Than 2-Year",'Pivot Table for 1-11'!$A$3,"State","MD","SREB Type",9,"SREB Type2","Two-Year")+GETPIVOTDATA(" Old-2 But Less Than 4-Year",'Pivot Table for 1-11'!$A$3,"State","MD","SREB Type",9,"SREB Type2","Two-Year")</f>
        <v>0</v>
      </c>
      <c r="K267" s="198">
        <f>+GETPIVOTDATA(" Old-Associate's",'Pivot Table for 1-11'!$A$3,"State","MD","SREB Type",9,"SREB Type2","Two-Year")</f>
        <v>0</v>
      </c>
      <c r="L267" s="197">
        <f>+GETPIVOTDATA(" Old-Less Than 2-Year",'Pivot Table for 1-11'!$A$3,"State","MD","SREB Type",10,"SREB Type2","Two-Year")+GETPIVOTDATA(" Old-2 But Less Than 4-Year",'Pivot Table for 1-11'!$A$3,"State","MD","SREB Type",10,"SREB Type2","Two-Year")</f>
        <v>0</v>
      </c>
      <c r="M267" s="197">
        <f>+GETPIVOTDATA(" Old-Associate's",'Pivot Table for 1-11'!$A$3,"State","MD","SREB Type",10,"SREB Type2","Two-Year")</f>
        <v>0</v>
      </c>
      <c r="N267" s="197"/>
      <c r="O267" s="197"/>
      <c r="P267" s="211"/>
    </row>
    <row r="268" spans="1:16" ht="15" customHeight="1">
      <c r="A268" s="196"/>
      <c r="B268" s="197"/>
      <c r="C268" s="197"/>
      <c r="D268" s="197"/>
      <c r="E268" s="230"/>
      <c r="F268" s="197"/>
      <c r="G268" s="198"/>
      <c r="H268" s="230"/>
      <c r="I268" s="198"/>
      <c r="J268" s="230"/>
      <c r="K268" s="198"/>
      <c r="L268" s="197"/>
      <c r="M268" s="197"/>
      <c r="N268" s="197"/>
      <c r="O268" s="197"/>
      <c r="P268" s="211"/>
    </row>
    <row r="269" spans="1:16" ht="15" customHeight="1">
      <c r="A269" s="196" t="s">
        <v>29</v>
      </c>
      <c r="B269" s="197">
        <f>+GETPIVOTDATA(" Old-Less Than 2-Year",'Pivot Table for 1-11'!$A$3,"State","MS","SREB Type2","Two-Year")+GETPIVOTDATA(" Old-2 But Less Than 4-Year",'Pivot Table for 1-11'!$A$3,"State","MS","SREB Type2","Two-Year")</f>
        <v>0</v>
      </c>
      <c r="C269" s="197">
        <f>+GETPIVOTDATA(" Old-Associate's",'Pivot Table for 1-11'!$A$3,"State","MS","SREB Type2","Two-Year")</f>
        <v>0</v>
      </c>
      <c r="D269" s="197">
        <f>+GETPIVOTDATA(" Old-Bachelor's",'Pivot Table for 1-11'!$A$3,"State","MS","SREB Type2","Two-Year")</f>
        <v>0</v>
      </c>
      <c r="E269" s="230">
        <f>+GETPIVOTDATA(" Old-Less Than 2-Year",'Pivot Table for 1-11'!$A$3,"State","MS","SREB Type",7,"SREB Type2","Two-Year")+GETPIVOTDATA(" Old-2 But Less Than 4-Year",'Pivot Table for 1-11'!$A$3,"State","MS","SREB Type",7,"SREB Type2","Two-Year")</f>
        <v>0</v>
      </c>
      <c r="F269" s="197">
        <f>+GETPIVOTDATA(" Old-Associate's",'Pivot Table for 1-11'!$A$3,"State","MS","SREB Type",7,"SREB Type2","Two-Year")</f>
        <v>0</v>
      </c>
      <c r="G269" s="198">
        <f>+GETPIVOTDATA(" Old-Bachelor's",'Pivot Table for 1-11'!$A$3,"State","MS","SREB Type",7,"SREB Type2","Two-Year")</f>
        <v>0</v>
      </c>
      <c r="H269" s="230">
        <f>+GETPIVOTDATA(" Old-Less Than 2-Year",'Pivot Table for 1-11'!$A$3,"State","MS","SREB Type",8,"SREB Type2","Two-Year")+GETPIVOTDATA(" Old-2 But Less Than 4-Year",'Pivot Table for 1-11'!$A$3,"State","MS","SREB Type",8,"SREB Type2","Two-Year")</f>
        <v>0</v>
      </c>
      <c r="I269" s="198">
        <f>+GETPIVOTDATA(" Old-Associate's",'Pivot Table for 1-11'!$A$3,"State","MS","SREB Type",8,"SREB Type2","Two-Year")</f>
        <v>0</v>
      </c>
      <c r="J269" s="230">
        <f>+GETPIVOTDATA(" Old-Less Than 2-Year",'Pivot Table for 1-11'!$A$3,"State","MS","SREB Type",9,"SREB Type2","Two-Year")+GETPIVOTDATA(" Old-2 But Less Than 4-Year",'Pivot Table for 1-11'!$A$3,"State","MS","SREB Type",9,"SREB Type2","Two-Year")</f>
        <v>0</v>
      </c>
      <c r="K269" s="198">
        <f>+GETPIVOTDATA(" Old-Associate's",'Pivot Table for 1-11'!$A$3,"State","MS","SREB Type",9,"SREB Type2","Two-Year")</f>
        <v>0</v>
      </c>
      <c r="L269" s="197">
        <f>+GETPIVOTDATA(" Old-Less Than 2-Year",'Pivot Table for 1-11'!$A$3,"State","MS","SREB Type",10,"SREB Type2","Two-Year")+GETPIVOTDATA(" Old-2 But Less Than 4-Year",'Pivot Table for 1-11'!$A$3,"State","MS","SREB Type",10,"SREB Type2","Two-Year")</f>
        <v>0</v>
      </c>
      <c r="M269" s="197">
        <f>+GETPIVOTDATA(" Old-Associate's",'Pivot Table for 1-11'!$A$3,"State","MS","SREB Type",10,"SREB Type2","Two-Year")</f>
        <v>0</v>
      </c>
      <c r="N269" s="197"/>
      <c r="O269" s="197"/>
      <c r="P269" s="211"/>
    </row>
    <row r="270" spans="1:16" ht="15" customHeight="1">
      <c r="A270" s="196" t="s">
        <v>30</v>
      </c>
      <c r="B270" s="197">
        <f>+GETPIVOTDATA(" Old-Less Than 2-Year",'Pivot Table for 1-11'!$A$3,"State","NC","SREB Type2","Two-Year")+GETPIVOTDATA(" Old-2 But Less Than 4-Year",'Pivot Table for 1-11'!$A$3,"State","NC","SREB Type2","Two-Year")</f>
        <v>32931</v>
      </c>
      <c r="C270" s="197">
        <f>+GETPIVOTDATA(" Old-Associate's",'Pivot Table for 1-11'!$A$3,"State","NC","SREB Type2","Two-Year")</f>
        <v>32698</v>
      </c>
      <c r="D270" s="197">
        <f>+GETPIVOTDATA(" Old-Bachelor's",'Pivot Table for 1-11'!$A$3,"State","NC","SREB Type2","Two-Year")</f>
        <v>0</v>
      </c>
      <c r="E270" s="230">
        <f>+GETPIVOTDATA(" Old-Less Than 2-Year",'Pivot Table for 1-11'!$A$3,"State","NC","SREB Type",7,"SREB Type2","Two-Year")+GETPIVOTDATA(" Old-2 But Less Than 4-Year",'Pivot Table for 1-11'!$A$3,"State","NC","SREB Type",7,"SREB Type2","Two-Year")</f>
        <v>0</v>
      </c>
      <c r="F270" s="197">
        <f>+GETPIVOTDATA(" Old-Associate's",'Pivot Table for 1-11'!$A$3,"State","NC","SREB Type",7,"SREB Type2","Two-Year")</f>
        <v>0</v>
      </c>
      <c r="G270" s="198">
        <f>+GETPIVOTDATA(" Old-Bachelor's",'Pivot Table for 1-11'!$A$3,"State","NC","SREB Type",7,"SREB Type2","Two-Year")</f>
        <v>0</v>
      </c>
      <c r="H270" s="230">
        <f>+GETPIVOTDATA(" Old-Less Than 2-Year",'Pivot Table for 1-11'!$A$3,"State","NC","SREB Type",8,"SREB Type2","Two-Year")+GETPIVOTDATA(" Old-2 But Less Than 4-Year",'Pivot Table for 1-11'!$A$3,"State","NC","SREB Type",8,"SREB Type2","Two-Year")</f>
        <v>13864</v>
      </c>
      <c r="I270" s="198">
        <f>+GETPIVOTDATA(" Old-Associate's",'Pivot Table for 1-11'!$A$3,"State","NC","SREB Type",8,"SREB Type2","Two-Year")</f>
        <v>14325</v>
      </c>
      <c r="J270" s="230">
        <f>+GETPIVOTDATA(" Old-Less Than 2-Year",'Pivot Table for 1-11'!$A$3,"State","NC","SREB Type",9,"SREB Type2","Two-Year")+GETPIVOTDATA(" Old-2 But Less Than 4-Year",'Pivot Table for 1-11'!$A$3,"State","NC","SREB Type",9,"SREB Type2","Two-Year")</f>
        <v>12580</v>
      </c>
      <c r="K270" s="198">
        <f>+GETPIVOTDATA(" Old-Associate's",'Pivot Table for 1-11'!$A$3,"State","NC","SREB Type",9,"SREB Type2","Two-Year")</f>
        <v>12471</v>
      </c>
      <c r="L270" s="197">
        <f>+GETPIVOTDATA(" Old-Less Than 2-Year",'Pivot Table for 1-11'!$A$3,"State","NC","SREB Type",10,"SREB Type2","Two-Year")+GETPIVOTDATA(" Old-2 But Less Than 4-Year",'Pivot Table for 1-11'!$A$3,"State","NC","SREB Type",10,"SREB Type2","Two-Year")</f>
        <v>6487</v>
      </c>
      <c r="M270" s="197">
        <f>+GETPIVOTDATA(" Old-Associate's",'Pivot Table for 1-11'!$A$3,"State","NC","SREB Type",10,"SREB Type2","Two-Year")</f>
        <v>5902</v>
      </c>
      <c r="N270" s="197"/>
      <c r="O270" s="197"/>
      <c r="P270" s="211"/>
    </row>
    <row r="271" spans="1:16" ht="15" customHeight="1">
      <c r="A271" s="196" t="s">
        <v>31</v>
      </c>
      <c r="B271" s="197">
        <f>+GETPIVOTDATA(" Old-Less Than 2-Year",'Pivot Table for 1-11'!$A$3,"State","OK","SREB Type2","Two-Year")+GETPIVOTDATA(" Old-2 But Less Than 4-Year",'Pivot Table for 1-11'!$A$3,"State","OK","SREB Type2","Two-Year")</f>
        <v>0</v>
      </c>
      <c r="C271" s="197">
        <f>+GETPIVOTDATA(" Old-Associate's",'Pivot Table for 1-11'!$A$3,"State","OK","SREB Type2","Two-Year")</f>
        <v>0</v>
      </c>
      <c r="D271" s="197">
        <f>+GETPIVOTDATA(" Old-Bachelor's",'Pivot Table for 1-11'!$A$3,"State","OK","SREB Type2","Two-Year")</f>
        <v>0</v>
      </c>
      <c r="E271" s="230">
        <f>+GETPIVOTDATA(" Old-Less Than 2-Year",'Pivot Table for 1-11'!$A$3,"State","OK","SREB Type",7,"SREB Type2","Two-Year")+GETPIVOTDATA(" Old-2 But Less Than 4-Year",'Pivot Table for 1-11'!$A$3,"State","OK","SREB Type",7,"SREB Type2","Two-Year")</f>
        <v>0</v>
      </c>
      <c r="F271" s="197">
        <f>+GETPIVOTDATA(" Old-Associate's",'Pivot Table for 1-11'!$A$3,"State","OK","SREB Type",7,"SREB Type2","Two-Year")</f>
        <v>0</v>
      </c>
      <c r="G271" s="198">
        <f>+GETPIVOTDATA(" Old-Bachelor's",'Pivot Table for 1-11'!$A$3,"State","OK","SREB Type",7,"SREB Type2","Two-Year")</f>
        <v>0</v>
      </c>
      <c r="H271" s="230">
        <f>+GETPIVOTDATA(" Old-Less Than 2-Year",'Pivot Table for 1-11'!$A$3,"State","OK","SREB Type",8,"SREB Type2","Two-Year")+GETPIVOTDATA(" Old-2 But Less Than 4-Year",'Pivot Table for 1-11'!$A$3,"State","OK","SREB Type",8,"SREB Type2","Two-Year")</f>
        <v>0</v>
      </c>
      <c r="I271" s="198">
        <f>+GETPIVOTDATA(" Old-Associate's",'Pivot Table for 1-11'!$A$3,"State","OK","SREB Type",8,"SREB Type2","Two-Year")</f>
        <v>0</v>
      </c>
      <c r="J271" s="230">
        <f>+GETPIVOTDATA(" Old-Less Than 2-Year",'Pivot Table for 1-11'!$A$3,"State","OK","SREB Type",9,"SREB Type2","Two-Year")+GETPIVOTDATA(" Old-2 But Less Than 4-Year",'Pivot Table for 1-11'!$A$3,"State","OK","SREB Type",9,"SREB Type2","Two-Year")</f>
        <v>0</v>
      </c>
      <c r="K271" s="198">
        <f>+GETPIVOTDATA(" Old-Associate's",'Pivot Table for 1-11'!$A$3,"State","OK","SREB Type",9,"SREB Type2","Two-Year")</f>
        <v>0</v>
      </c>
      <c r="L271" s="197">
        <f>+GETPIVOTDATA(" Old-Less Than 2-Year",'Pivot Table for 1-11'!$A$3,"State","OK","SREB Type",10,"SREB Type2","Two-Year")+GETPIVOTDATA(" Old-2 But Less Than 4-Year",'Pivot Table for 1-11'!$A$3,"State","OK","SREB Type",10,"SREB Type2","Two-Year")</f>
        <v>0</v>
      </c>
      <c r="M271" s="197">
        <f>+GETPIVOTDATA(" Old-Associate's",'Pivot Table for 1-11'!$A$3,"State","OK","SREB Type",10,"SREB Type2","Two-Year")</f>
        <v>0</v>
      </c>
      <c r="N271" s="197"/>
      <c r="O271" s="197"/>
      <c r="P271" s="211"/>
    </row>
    <row r="272" spans="1:16" ht="15" customHeight="1">
      <c r="A272" s="196" t="s">
        <v>32</v>
      </c>
      <c r="B272" s="197">
        <f>+GETPIVOTDATA(" Old-Less Than 2-Year",'Pivot Table for 1-11'!$A$3,"State","SC","SREB Type2","Two-Year")+GETPIVOTDATA(" Old-2 But Less Than 4-Year",'Pivot Table for 1-11'!$A$3,"State","SC","SREB Type2","Two-Year")</f>
        <v>7272</v>
      </c>
      <c r="C272" s="197">
        <f>+GETPIVOTDATA(" Old-Associate's",'Pivot Table for 1-11'!$A$3,"State","SC","SREB Type2","Two-Year")</f>
        <v>9746</v>
      </c>
      <c r="D272" s="197">
        <f>+GETPIVOTDATA(" Old-Bachelor's",'Pivot Table for 1-11'!$A$3,"State","SC","SREB Type2","Two-Year")</f>
        <v>0</v>
      </c>
      <c r="E272" s="230">
        <f>+GETPIVOTDATA(" Old-Less Than 2-Year",'Pivot Table for 1-11'!$A$3,"State","SC","SREB Type",7,"SREB Type2","Two-Year")+GETPIVOTDATA(" Old-2 But Less Than 4-Year",'Pivot Table for 1-11'!$A$3,"State","SC","SREB Type",7,"SREB Type2","Two-Year")</f>
        <v>0</v>
      </c>
      <c r="F272" s="197">
        <f>+GETPIVOTDATA(" Old-Associate's",'Pivot Table for 1-11'!$A$3,"State","SC","SREB Type",7,"SREB Type2","Two-Year")</f>
        <v>0</v>
      </c>
      <c r="G272" s="198">
        <f>+GETPIVOTDATA(" Old-Bachelor's",'Pivot Table for 1-11'!$A$3,"State","SC","SREB Type",7,"SREB Type2","Two-Year")</f>
        <v>0</v>
      </c>
      <c r="H272" s="230">
        <f>+GETPIVOTDATA(" Old-Less Than 2-Year",'Pivot Table for 1-11'!$A$3,"State","SC","SREB Type",8,"SREB Type2","Two-Year")+GETPIVOTDATA(" Old-2 But Less Than 4-Year",'Pivot Table for 1-11'!$A$3,"State","SC","SREB Type",8,"SREB Type2","Two-Year")</f>
        <v>3056</v>
      </c>
      <c r="I272" s="198">
        <f>+GETPIVOTDATA(" Old-Associate's",'Pivot Table for 1-11'!$A$3,"State","SC","SREB Type",8,"SREB Type2","Two-Year")</f>
        <v>4846</v>
      </c>
      <c r="J272" s="230">
        <f>+GETPIVOTDATA(" Old-Less Than 2-Year",'Pivot Table for 1-11'!$A$3,"State","SC","SREB Type",9,"SREB Type2","Two-Year")+GETPIVOTDATA(" Old-2 But Less Than 4-Year",'Pivot Table for 1-11'!$A$3,"State","SC","SREB Type",9,"SREB Type2","Two-Year")</f>
        <v>3235</v>
      </c>
      <c r="K272" s="198">
        <f>+GETPIVOTDATA(" Old-Associate's",'Pivot Table for 1-11'!$A$3,"State","SC","SREB Type",9,"SREB Type2","Two-Year")</f>
        <v>3468</v>
      </c>
      <c r="L272" s="197">
        <f>+GETPIVOTDATA(" Old-Less Than 2-Year",'Pivot Table for 1-11'!$A$3,"State","SC","SREB Type",10,"SREB Type2","Two-Year")+GETPIVOTDATA(" Old-2 But Less Than 4-Year",'Pivot Table for 1-11'!$A$3,"State","SC","SREB Type",10,"SREB Type2","Two-Year")</f>
        <v>981</v>
      </c>
      <c r="M272" s="197">
        <f>+GETPIVOTDATA(" Old-Associate's",'Pivot Table for 1-11'!$A$3,"State","SC","SREB Type",10,"SREB Type2","Two-Year")</f>
        <v>1432</v>
      </c>
      <c r="N272" s="197"/>
      <c r="O272" s="197"/>
      <c r="P272" s="211"/>
    </row>
    <row r="273" spans="1:16" ht="15" customHeight="1">
      <c r="A273" s="196"/>
      <c r="B273" s="197"/>
      <c r="C273" s="197"/>
      <c r="D273" s="197"/>
      <c r="E273" s="230"/>
      <c r="F273" s="197"/>
      <c r="G273" s="198"/>
      <c r="H273" s="230"/>
      <c r="I273" s="198"/>
      <c r="J273" s="230"/>
      <c r="K273" s="198"/>
      <c r="L273" s="197"/>
      <c r="M273" s="197"/>
      <c r="N273" s="197"/>
      <c r="O273" s="197"/>
      <c r="P273" s="211"/>
    </row>
    <row r="274" spans="1:16" ht="15" customHeight="1">
      <c r="A274" s="196" t="s">
        <v>33</v>
      </c>
      <c r="B274" s="197">
        <f>+GETPIVOTDATA(" Old-Less Than 2-Year",'Pivot Table for 1-11'!$A$3,"State","TN","SREB Type2","Two-Year")+GETPIVOTDATA(" Old-2 But Less Than 4-Year",'Pivot Table for 1-11'!$A$3,"State","TN","SREB Type2","Two-Year")</f>
        <v>0</v>
      </c>
      <c r="C274" s="197">
        <f>+GETPIVOTDATA(" Old-Associate's",'Pivot Table for 1-11'!$A$3,"State","TN","SREB Type2","Two-Year")</f>
        <v>11513</v>
      </c>
      <c r="D274" s="197">
        <f>+GETPIVOTDATA(" Old-Bachelor's",'Pivot Table for 1-11'!$A$3,"State","TN","SREB Type2","Two-Year")</f>
        <v>0</v>
      </c>
      <c r="E274" s="230">
        <f>+GETPIVOTDATA(" Old-Less Than 2-Year",'Pivot Table for 1-11'!$A$3,"State","TN","SREB Type",7,"SREB Type2","Two-Year")+GETPIVOTDATA(" Old-2 But Less Than 4-Year",'Pivot Table for 1-11'!$A$3,"State","TN","SREB Type",7,"SREB Type2","Two-Year")</f>
        <v>0</v>
      </c>
      <c r="F274" s="197">
        <f>+GETPIVOTDATA(" Old-Associate's",'Pivot Table for 1-11'!$A$3,"State","TN","SREB Type",7,"SREB Type2","Two-Year")</f>
        <v>0</v>
      </c>
      <c r="G274" s="198">
        <f>+GETPIVOTDATA(" Old-Bachelor's",'Pivot Table for 1-11'!$A$3,"State","TN","SREB Type",7,"SREB Type2","Two-Year")</f>
        <v>0</v>
      </c>
      <c r="H274" s="230">
        <f>+GETPIVOTDATA(" Old-Less Than 2-Year",'Pivot Table for 1-11'!$A$3,"State","TN","SREB Type",8,"SREB Type2","Two-Year")+GETPIVOTDATA(" Old-2 But Less Than 4-Year",'Pivot Table for 1-11'!$A$3,"State","TN","SREB Type",8,"SREB Type2","Two-Year")</f>
        <v>0</v>
      </c>
      <c r="I274" s="198">
        <f>+GETPIVOTDATA(" Old-Associate's",'Pivot Table for 1-11'!$A$3,"State","TN","SREB Type",8,"SREB Type2","Two-Year")</f>
        <v>5538</v>
      </c>
      <c r="J274" s="230">
        <f>+GETPIVOTDATA(" Old-Less Than 2-Year",'Pivot Table for 1-11'!$A$3,"State","TN","SREB Type",9,"SREB Type2","Two-Year")+GETPIVOTDATA(" Old-2 But Less Than 4-Year",'Pivot Table for 1-11'!$A$3,"State","TN","SREB Type",9,"SREB Type2","Two-Year")</f>
        <v>0</v>
      </c>
      <c r="K274" s="198">
        <f>+GETPIVOTDATA(" Old-Associate's",'Pivot Table for 1-11'!$A$3,"State","TN","SREB Type",9,"SREB Type2","Two-Year")</f>
        <v>5615</v>
      </c>
      <c r="L274" s="197">
        <f>+GETPIVOTDATA(" Old-Less Than 2-Year",'Pivot Table for 1-11'!$A$3,"State","TN","SREB Type",10,"SREB Type2","Two-Year")+GETPIVOTDATA(" Old-2 But Less Than 4-Year",'Pivot Table for 1-11'!$A$3,"State","TN","SREB Type",10,"SREB Type2","Two-Year")</f>
        <v>0</v>
      </c>
      <c r="M274" s="197">
        <f>+GETPIVOTDATA(" Old-Associate's",'Pivot Table for 1-11'!$A$3,"State","TN","SREB Type",10,"SREB Type2","Two-Year")</f>
        <v>360</v>
      </c>
      <c r="N274" s="197"/>
      <c r="O274" s="197"/>
      <c r="P274" s="211"/>
    </row>
    <row r="275" spans="1:16" ht="15" customHeight="1">
      <c r="A275" s="196" t="s">
        <v>34</v>
      </c>
      <c r="B275" s="197">
        <f>+GETPIVOTDATA(" Old-Less Than 2-Year",'Pivot Table for 1-11'!$A$3,"State","TX","SREB Type2","Two-Year")+GETPIVOTDATA(" Old-2 But Less Than 4-Year",'Pivot Table for 1-11'!$A$3,"State","TX","SREB Type2","Two-Year")</f>
        <v>41264</v>
      </c>
      <c r="C275" s="197">
        <f>+GETPIVOTDATA(" Old-Associate's",'Pivot Table for 1-11'!$A$3,"State","TX","SREB Type2","Two-Year")</f>
        <v>89122</v>
      </c>
      <c r="D275" s="197">
        <f>+GETPIVOTDATA(" Old-Bachelor's",'Pivot Table for 1-11'!$A$3,"State","TX","SREB Type2","Two-Year")</f>
        <v>437</v>
      </c>
      <c r="E275" s="230">
        <f>+GETPIVOTDATA(" Old-Less Than 2-Year",'Pivot Table for 1-11'!$A$3,"State","TX","SREB Type",7,"SREB Type2","Two-Year")+GETPIVOTDATA(" Old-2 But Less Than 4-Year",'Pivot Table for 1-11'!$A$3,"State","TX","SREB Type",7,"SREB Type2","Two-Year")</f>
        <v>2453</v>
      </c>
      <c r="F275" s="197">
        <f>+GETPIVOTDATA(" Old-Associate's",'Pivot Table for 1-11'!$A$3,"State","TX","SREB Type",7,"SREB Type2","Two-Year")</f>
        <v>5340</v>
      </c>
      <c r="G275" s="198">
        <f>+GETPIVOTDATA(" Old-Bachelor's",'Pivot Table for 1-11'!$A$3,"State","TX","SREB Type",7,"SREB Type2","Two-Year")</f>
        <v>407</v>
      </c>
      <c r="H275" s="230">
        <f>+GETPIVOTDATA(" Old-Less Than 2-Year",'Pivot Table for 1-11'!$A$3,"State","TX","SREB Type",8,"SREB Type2","Two-Year")+GETPIVOTDATA(" Old-2 But Less Than 4-Year",'Pivot Table for 1-11'!$A$3,"State","TX","SREB Type",8,"SREB Type2","Two-Year")</f>
        <v>25372</v>
      </c>
      <c r="I275" s="198">
        <f>+GETPIVOTDATA(" Old-Associate's",'Pivot Table for 1-11'!$A$3,"State","TX","SREB Type",8,"SREB Type2","Two-Year")</f>
        <v>65378</v>
      </c>
      <c r="J275" s="230">
        <f>+GETPIVOTDATA(" Old-Less Than 2-Year",'Pivot Table for 1-11'!$A$3,"State","TX","SREB Type",9,"SREB Type2","Two-Year")+GETPIVOTDATA(" Old-2 But Less Than 4-Year",'Pivot Table for 1-11'!$A$3,"State","TX","SREB Type",9,"SREB Type2","Two-Year")</f>
        <v>11208</v>
      </c>
      <c r="K275" s="198">
        <f>+GETPIVOTDATA(" Old-Associate's",'Pivot Table for 1-11'!$A$3,"State","TX","SREB Type",9,"SREB Type2","Two-Year")</f>
        <v>16087</v>
      </c>
      <c r="L275" s="197">
        <f>+GETPIVOTDATA(" Old-Less Than 2-Year",'Pivot Table for 1-11'!$A$3,"State","TX","SREB Type",10,"SREB Type2","Two-Year")+GETPIVOTDATA(" Old-2 But Less Than 4-Year",'Pivot Table for 1-11'!$A$3,"State","TX","SREB Type",10,"SREB Type2","Two-Year")</f>
        <v>2231</v>
      </c>
      <c r="M275" s="197">
        <f>+GETPIVOTDATA(" Old-Associate's",'Pivot Table for 1-11'!$A$3,"State","TX","SREB Type",10,"SREB Type2","Two-Year")</f>
        <v>2317</v>
      </c>
      <c r="N275" s="197"/>
      <c r="O275" s="197"/>
      <c r="P275" s="211"/>
    </row>
    <row r="276" spans="1:16" ht="15" customHeight="1">
      <c r="A276" s="196" t="s">
        <v>35</v>
      </c>
      <c r="B276" s="197">
        <f>+GETPIVOTDATA(" Old-Less Than 2-Year",'Pivot Table for 1-11'!$A$3,"State","VA","SREB Type2","Two-Year")+GETPIVOTDATA(" Old-2 But Less Than 4-Year",'Pivot Table for 1-11'!$A$3,"State","VA","SREB Type2","Two-Year")</f>
        <v>14863</v>
      </c>
      <c r="C276" s="197">
        <f>+GETPIVOTDATA(" Old-Associate's",'Pivot Table for 1-11'!$A$3,"State","VA","SREB Type2","Two-Year")</f>
        <v>17934</v>
      </c>
      <c r="D276" s="197">
        <f>+GETPIVOTDATA(" Old-Bachelor's",'Pivot Table for 1-11'!$A$3,"State","VA","SREB Type2","Two-Year")</f>
        <v>0</v>
      </c>
      <c r="E276" s="230">
        <f>+GETPIVOTDATA(" Old-Less Than 2-Year",'Pivot Table for 1-11'!$A$3,"State","VA","SREB Type",7,"SREB Type2","Two-Year")+GETPIVOTDATA(" Old-2 But Less Than 4-Year",'Pivot Table for 1-11'!$A$3,"State","VA","SREB Type",7,"SREB Type2","Two-Year")</f>
        <v>0</v>
      </c>
      <c r="F276" s="197">
        <f>+GETPIVOTDATA(" Old-Associate's",'Pivot Table for 1-11'!$A$3,"State","VA","SREB Type",7,"SREB Type2","Two-Year")</f>
        <v>0</v>
      </c>
      <c r="G276" s="198">
        <f>+GETPIVOTDATA(" Old-Bachelor's",'Pivot Table for 1-11'!$A$3,"State","VA","SREB Type",7,"SREB Type2","Two-Year")</f>
        <v>0</v>
      </c>
      <c r="H276" s="230">
        <f>+GETPIVOTDATA(" Old-Less Than 2-Year",'Pivot Table for 1-11'!$A$3,"State","VA","SREB Type",8,"SREB Type2","Two-Year")+GETPIVOTDATA(" Old-2 But Less Than 4-Year",'Pivot Table for 1-11'!$A$3,"State","VA","SREB Type",8,"SREB Type2","Two-Year")</f>
        <v>6104</v>
      </c>
      <c r="I276" s="198">
        <f>+GETPIVOTDATA(" Old-Associate's",'Pivot Table for 1-11'!$A$3,"State","VA","SREB Type",8,"SREB Type2","Two-Year")</f>
        <v>10653</v>
      </c>
      <c r="J276" s="230">
        <f>+GETPIVOTDATA(" Old-Less Than 2-Year",'Pivot Table for 1-11'!$A$3,"State","VA","SREB Type",9,"SREB Type2","Two-Year")+GETPIVOTDATA(" Old-2 But Less Than 4-Year",'Pivot Table for 1-11'!$A$3,"State","VA","SREB Type",9,"SREB Type2","Two-Year")</f>
        <v>5370</v>
      </c>
      <c r="K276" s="198">
        <f>+GETPIVOTDATA(" Old-Associate's",'Pivot Table for 1-11'!$A$3,"State","VA","SREB Type",9,"SREB Type2","Two-Year")</f>
        <v>4826</v>
      </c>
      <c r="L276" s="197">
        <f>+GETPIVOTDATA(" Old-Less Than 2-Year",'Pivot Table for 1-11'!$A$3,"State","VA","SREB Type",10,"SREB Type2","Two-Year")+GETPIVOTDATA(" Old-2 But Less Than 4-Year",'Pivot Table for 1-11'!$A$3,"State","VA","SREB Type",10,"SREB Type2","Two-Year")</f>
        <v>3389</v>
      </c>
      <c r="M276" s="197">
        <f>+GETPIVOTDATA(" Old-Associate's",'Pivot Table for 1-11'!$A$3,"State","VA","SREB Type",10,"SREB Type2","Two-Year")</f>
        <v>2455</v>
      </c>
      <c r="N276" s="197"/>
      <c r="O276" s="197"/>
      <c r="P276" s="211"/>
    </row>
    <row r="277" spans="1:16" ht="15" customHeight="1">
      <c r="A277" s="200" t="s">
        <v>36</v>
      </c>
      <c r="B277" s="201">
        <f>+GETPIVOTDATA(" Old-Less Than 2-Year",'Pivot Table for 1-11'!$A$3,"State","WV","SREB Type2","Two-Year")+GETPIVOTDATA(" Old-2 But Less Than 4-Year",'Pivot Table for 1-11'!$A$3,"State","WV","SREB Type2","Two-Year")</f>
        <v>1899</v>
      </c>
      <c r="C277" s="201">
        <f>+GETPIVOTDATA(" Old-Associate's",'Pivot Table for 1-11'!$A$3,"State","WV","SREB Type2","Two-Year")</f>
        <v>2819</v>
      </c>
      <c r="D277" s="201">
        <f>+GETPIVOTDATA(" Old-Bachelor's",'Pivot Table for 1-11'!$A$3,"State","WV","SREB Type2","Two-Year")</f>
        <v>267</v>
      </c>
      <c r="E277" s="202">
        <f>+GETPIVOTDATA(" Old-Less Than 2-Year",'Pivot Table for 1-11'!$A$3,"State","WV","SREB Type",7,"SREB Type2","Two-Year")+GETPIVOTDATA(" Old-2 But Less Than 4-Year",'Pivot Table for 1-11'!$A$3,"State","WV","SREB Type",7,"SREB Type2","Two-Year")</f>
        <v>134</v>
      </c>
      <c r="F277" s="201">
        <f>+GETPIVOTDATA(" Old-Associate's",'Pivot Table for 1-11'!$A$3,"State","WV","SREB Type",7,"SREB Type2","Two-Year")</f>
        <v>522</v>
      </c>
      <c r="G277" s="319">
        <f>+GETPIVOTDATA(" Old-Bachelor's",'Pivot Table for 1-11'!$A$3,"State","WV","SREB Type",7,"SREB Type2","Two-Year")</f>
        <v>267</v>
      </c>
      <c r="H277" s="202">
        <f>+GETPIVOTDATA(" Old-Less Than 2-Year",'Pivot Table for 1-11'!$A$3,"State","WV","SREB Type",8,"SREB Type2","Two-Year")+GETPIVOTDATA(" Old-2 But Less Than 4-Year",'Pivot Table for 1-11'!$A$3,"State","WV","SREB Type",8,"SREB Type2","Two-Year")</f>
        <v>0</v>
      </c>
      <c r="I277" s="319">
        <f>+GETPIVOTDATA(" Old-Associate's",'Pivot Table for 1-11'!$A$3,"State","WV","SREB Type",8,"SREB Type2","Two-Year")</f>
        <v>0</v>
      </c>
      <c r="J277" s="202">
        <f>+GETPIVOTDATA(" Old-Less Than 2-Year",'Pivot Table for 1-11'!$A$3,"State","WV","SREB Type",9,"SREB Type2","Two-Year")+GETPIVOTDATA(" Old-2 But Less Than 4-Year",'Pivot Table for 1-11'!$A$3,"State","WV","SREB Type",9,"SREB Type2","Two-Year")</f>
        <v>551</v>
      </c>
      <c r="K277" s="319">
        <f>+GETPIVOTDATA(" Old-Associate's",'Pivot Table for 1-11'!$A$3,"State","WV","SREB Type",9,"SREB Type2","Two-Year")</f>
        <v>552</v>
      </c>
      <c r="L277" s="201">
        <f>+GETPIVOTDATA(" Old-Less Than 2-Year",'Pivot Table for 1-11'!$A$3,"State","WV","SREB Type",10,"SREB Type2","Two-Year")+GETPIVOTDATA(" Old-2 But Less Than 4-Year",'Pivot Table for 1-11'!$A$3,"State","WV","SREB Type",10,"SREB Type2","Two-Year")</f>
        <v>1214</v>
      </c>
      <c r="M277" s="201">
        <f>+GETPIVOTDATA(" Old-Associate's",'Pivot Table for 1-11'!$A$3,"State","WV","SREB Type",10,"SREB Type2","Two-Year")</f>
        <v>1745</v>
      </c>
      <c r="N277" s="197"/>
      <c r="O277" s="197"/>
    </row>
    <row r="278" spans="1:16" ht="15" customHeight="1">
      <c r="A278" s="196"/>
      <c r="B278" s="197"/>
      <c r="C278" s="197"/>
      <c r="D278" s="197"/>
      <c r="E278" s="197"/>
      <c r="F278" s="197"/>
      <c r="G278" s="197"/>
      <c r="H278" s="211"/>
      <c r="I278" s="211"/>
      <c r="J278" s="211"/>
      <c r="K278" s="211"/>
      <c r="L278" s="211"/>
      <c r="M278" s="211"/>
      <c r="N278" s="211"/>
      <c r="O278" s="211"/>
    </row>
    <row r="279" spans="1:16" ht="15.75" customHeight="1">
      <c r="A279" s="545" t="s">
        <v>69</v>
      </c>
      <c r="B279" s="546"/>
      <c r="C279" s="546"/>
      <c r="D279" s="546"/>
      <c r="E279" s="546"/>
      <c r="F279" s="546"/>
      <c r="G279" s="546"/>
      <c r="H279" s="546"/>
      <c r="I279" s="546"/>
      <c r="J279" s="546"/>
      <c r="K279" s="546"/>
      <c r="L279" s="546"/>
      <c r="M279" s="546"/>
      <c r="N279" s="546"/>
      <c r="O279" s="546"/>
      <c r="P279" s="546"/>
    </row>
    <row r="280" spans="1:16" ht="15.5">
      <c r="A280" s="263"/>
      <c r="B280" s="263"/>
      <c r="C280" s="263"/>
      <c r="D280" s="263"/>
      <c r="E280" s="263"/>
      <c r="F280" s="263"/>
      <c r="G280" s="263"/>
      <c r="H280" s="263"/>
      <c r="I280" s="263"/>
      <c r="J280" s="263"/>
      <c r="K280" s="263"/>
      <c r="L280" s="263"/>
      <c r="M280" s="204" t="s">
        <v>1178</v>
      </c>
      <c r="N280" s="204"/>
      <c r="O280" s="204"/>
      <c r="P280" s="212"/>
    </row>
    <row r="281" spans="1:16" ht="18">
      <c r="A281" s="186" t="s">
        <v>70</v>
      </c>
      <c r="B281" s="187"/>
      <c r="C281" s="187"/>
      <c r="D281" s="187"/>
      <c r="E281" s="187"/>
      <c r="F281" s="187"/>
      <c r="G281" s="187"/>
      <c r="H281" s="187"/>
      <c r="I281" s="187"/>
      <c r="J281" s="187" t="s">
        <v>1</v>
      </c>
      <c r="K281" s="187"/>
      <c r="L281" s="187"/>
      <c r="N281" s="187"/>
      <c r="O281" s="187"/>
      <c r="P281" s="187"/>
    </row>
    <row r="282" spans="1:16" ht="15.75" customHeight="1">
      <c r="A282" s="188"/>
      <c r="B282" s="188"/>
      <c r="C282" s="188"/>
      <c r="D282" s="188"/>
      <c r="E282" s="188"/>
      <c r="F282" s="188"/>
      <c r="G282" s="188"/>
      <c r="H282" s="188"/>
      <c r="I282" s="188"/>
      <c r="J282" s="188" t="s">
        <v>1</v>
      </c>
      <c r="K282" s="188"/>
      <c r="L282" s="188"/>
      <c r="M282" s="188"/>
      <c r="N282" s="188"/>
      <c r="O282" s="188"/>
      <c r="P282" s="188"/>
    </row>
    <row r="283" spans="1:16" ht="15.5">
      <c r="A283" s="187" t="s">
        <v>2</v>
      </c>
      <c r="B283" s="187"/>
      <c r="C283" s="187"/>
      <c r="D283" s="187"/>
      <c r="E283" s="187"/>
      <c r="F283" s="187"/>
      <c r="G283" s="187"/>
      <c r="H283" s="187"/>
      <c r="I283" s="187"/>
      <c r="J283" s="187" t="s">
        <v>1</v>
      </c>
      <c r="K283" s="187"/>
      <c r="L283" s="187"/>
      <c r="M283" s="187"/>
      <c r="N283" s="187"/>
      <c r="O283" s="187"/>
      <c r="P283" s="187"/>
    </row>
    <row r="284" spans="1:16" ht="15.5">
      <c r="A284" s="187" t="s">
        <v>71</v>
      </c>
      <c r="B284" s="187"/>
      <c r="C284" s="187"/>
      <c r="D284" s="187"/>
      <c r="E284" s="187"/>
      <c r="F284" s="187"/>
      <c r="G284" s="187"/>
      <c r="H284" s="187"/>
      <c r="I284" s="187"/>
      <c r="J284" s="187" t="s">
        <v>1</v>
      </c>
      <c r="K284" s="187"/>
      <c r="L284" s="187"/>
      <c r="M284" s="187"/>
      <c r="N284" s="187"/>
      <c r="O284" s="187"/>
      <c r="P284" s="187"/>
    </row>
    <row r="285" spans="1:16" ht="13.5" customHeight="1">
      <c r="A285" s="188"/>
      <c r="B285" s="188"/>
      <c r="C285" s="188"/>
      <c r="D285" s="188"/>
      <c r="E285" s="188"/>
      <c r="F285" s="188"/>
      <c r="G285" s="188"/>
      <c r="H285" s="188"/>
      <c r="I285" s="188"/>
    </row>
    <row r="286" spans="1:16" ht="52.5" customHeight="1">
      <c r="A286" s="206"/>
      <c r="B286" s="213" t="s">
        <v>72</v>
      </c>
      <c r="C286" s="331"/>
      <c r="D286" s="213" t="s">
        <v>73</v>
      </c>
      <c r="E286" s="331"/>
      <c r="F286" s="213" t="s">
        <v>74</v>
      </c>
      <c r="G286" s="213"/>
      <c r="H286" s="188" t="s">
        <v>1</v>
      </c>
      <c r="I286" s="188"/>
    </row>
    <row r="287" spans="1:16" ht="32.25" customHeight="1">
      <c r="A287" s="193"/>
      <c r="B287" s="194" t="s">
        <v>5</v>
      </c>
      <c r="C287" s="194" t="s">
        <v>63</v>
      </c>
      <c r="D287" s="195" t="s">
        <v>5</v>
      </c>
      <c r="E287" s="194" t="s">
        <v>63</v>
      </c>
      <c r="F287" s="195" t="s">
        <v>5</v>
      </c>
      <c r="G287" s="194" t="s">
        <v>63</v>
      </c>
      <c r="H287" s="188"/>
      <c r="I287" s="188"/>
    </row>
    <row r="288" spans="1:16" ht="15" customHeight="1">
      <c r="A288" s="196" t="s">
        <v>20</v>
      </c>
      <c r="B288" s="197">
        <f>+GETPIVOTDATA(" Old-Less Than 2-Year",'Pivot Table for 1-11'!$A$3,"SREB Type2","Technical")+GETPIVOTDATA(" Old-2 But Less Than 4-Year",'Pivot Table for 1-11'!$A$3,"SREB Type2","Technical")</f>
        <v>74868</v>
      </c>
      <c r="C288" s="197">
        <f>+GETPIVOTDATA(" Old-Associate's",'Pivot Table for 1-11'!$A$3,"SREB Type2","Technical")</f>
        <v>9552</v>
      </c>
      <c r="D288" s="208">
        <f>+GETPIVOTDATA(" Old-Less Than 2-Year",'Pivot Table for 1-11'!$A$3,"SREB Type",12,"SREB Type2","Technical")+GETPIVOTDATA(" Old-2 But Less Than 4-Year",'Pivot Table for 1-11'!$A$3,"SREB Type",12,"SREB Type2","Technical")</f>
        <v>54066</v>
      </c>
      <c r="E288" s="210">
        <f>+GETPIVOTDATA(" Old-Associate's",'Pivot Table for 1-11'!$A$3,"SREB Type",12,"SREB Type2","Technical")</f>
        <v>9422</v>
      </c>
      <c r="F288" s="208">
        <f>+GETPIVOTDATA(" Old-Less Than 2-Year",'Pivot Table for 1-11'!$A$3,"SREB Type",13,"SREB Type2","Technical")+GETPIVOTDATA(" Old-2 But Less Than 4-Year",'Pivot Table for 1-11'!$A$3,"SREB Type",13,"SREB Type2","Technical")</f>
        <v>19580</v>
      </c>
      <c r="G288" s="209">
        <f>+GETPIVOTDATA(" Old-Associate's",'Pivot Table for 1-11'!$A$3,"SREB Type",13,"SREB Type2","Technical")</f>
        <v>130</v>
      </c>
      <c r="H288" s="188"/>
      <c r="I288" s="188"/>
    </row>
    <row r="289" spans="1:9" ht="15" customHeight="1">
      <c r="A289" s="196"/>
      <c r="B289" s="197"/>
      <c r="C289" s="197"/>
      <c r="D289" s="230"/>
      <c r="E289" s="198"/>
      <c r="F289" s="230"/>
      <c r="G289" s="197"/>
      <c r="H289" s="188"/>
      <c r="I289" s="188"/>
    </row>
    <row r="290" spans="1:9" ht="15" customHeight="1">
      <c r="A290" s="196" t="s">
        <v>21</v>
      </c>
      <c r="B290" s="197">
        <f>+GETPIVOTDATA(" Old-Less Than 2-Year",'Pivot Table for 1-11'!$A$3,"State","AL","SREB Type2","Technical")+GETPIVOTDATA(" Old-2 But Less Than 4-Year",'Pivot Table for 1-11'!$A$3,"State","AL","SREB Type2","Technical")</f>
        <v>1177</v>
      </c>
      <c r="C290" s="197">
        <f>+GETPIVOTDATA(" Old-Associate's",'Pivot Table for 1-11'!$A$3,"State","AL","SREB Type2","Technical")</f>
        <v>295</v>
      </c>
      <c r="D290" s="230">
        <f>+GETPIVOTDATA(" Old-Less Than 2-Year",'Pivot Table for 1-11'!$A$3,"State","AL","SREB Type",12,"SREB Type2","Technical")+GETPIVOTDATA(" Old-2 But Less Than 4-Year",'Pivot Table for 1-11'!$A$3,"State","AL","SREB Type",12,"SREB Type2","Technical")</f>
        <v>206</v>
      </c>
      <c r="E290" s="198">
        <f>+GETPIVOTDATA(" Old-Associate's",'Pivot Table for 1-11'!$A$3,"State","AL","SREB Type",12,"SREB Type2","Technical")</f>
        <v>183</v>
      </c>
      <c r="F290" s="230">
        <f>+GETPIVOTDATA(" Old-Less Than 2-Year",'Pivot Table for 1-11'!$A$3,"State","AL","SREB Type",13,"SREB Type2","Technical")+GETPIVOTDATA(" Old-2 But Less Than 4-Year",'Pivot Table for 1-11'!$A$3,"State","AL","SREB Type",13,"SREB Type2","Technical")</f>
        <v>971</v>
      </c>
      <c r="G290" s="197">
        <f>+GETPIVOTDATA(" Old-Associate's",'Pivot Table for 1-11'!$A$3,"State","AL","SREB Type",13,"SREB Type2","Technical")</f>
        <v>112</v>
      </c>
      <c r="H290" s="188"/>
      <c r="I290" s="188"/>
    </row>
    <row r="291" spans="1:9" ht="15" customHeight="1">
      <c r="A291" s="196" t="s">
        <v>22</v>
      </c>
      <c r="B291" s="197">
        <f>+GETPIVOTDATA(" Old-Less Than 2-Year",'Pivot Table for 1-11'!$A$3,"State","AR","SREB Type2","Technical")+GETPIVOTDATA(" Old-2 But Less Than 4-Year",'Pivot Table for 1-11'!$A$3,"State","AR","SREB Type2","Technical")</f>
        <v>0</v>
      </c>
      <c r="C291" s="197">
        <f>+GETPIVOTDATA(" Old-Associate's",'Pivot Table for 1-11'!$A$3,"State","AR","SREB Type2","Technical")</f>
        <v>0</v>
      </c>
      <c r="D291" s="230">
        <f>+GETPIVOTDATA(" Old-Less Than 2-Year",'Pivot Table for 1-11'!$A$3,"State","AR","SREB Type",12,"SREB Type2","Technical")+GETPIVOTDATA(" Old-2 But Less Than 4-Year",'Pivot Table for 1-11'!$A$3,"State","AR","SREB Type",12,"SREB Type2","Technical")</f>
        <v>0</v>
      </c>
      <c r="E291" s="198">
        <f>+GETPIVOTDATA(" Old-Associate's",'Pivot Table for 1-11'!$A$3,"State","AR","SREB Type",12,"SREB Type2","Technical")</f>
        <v>0</v>
      </c>
      <c r="F291" s="230">
        <f>+GETPIVOTDATA(" Old-Less Than 2-Year",'Pivot Table for 1-11'!$A$3,"State","AR","SREB Type",13,"SREB Type2","Technical")+GETPIVOTDATA(" Old-2 But Less Than 4-Year",'Pivot Table for 1-11'!$A$3,"State","AR","SREB Type",13,"SREB Type2","Technical")</f>
        <v>0</v>
      </c>
      <c r="G291" s="197">
        <f>+GETPIVOTDATA(" Old-Associate's",'Pivot Table for 1-11'!$A$3,"State","AR","SREB Type",13,"SREB Type2","Technical")</f>
        <v>0</v>
      </c>
      <c r="H291" s="188"/>
      <c r="I291" s="188"/>
    </row>
    <row r="292" spans="1:9" ht="15" customHeight="1">
      <c r="A292" s="196" t="s">
        <v>23</v>
      </c>
      <c r="B292" s="197">
        <f>+GETPIVOTDATA(" Old-Less Than 2-Year",'Pivot Table for 1-11'!$A$3,"State","DE","SREB Type2","Technical")+GETPIVOTDATA(" Old-2 But Less Than 4-Year",'Pivot Table for 1-11'!$A$3,"State","DE","SREB Type2","Technical")</f>
        <v>0</v>
      </c>
      <c r="C292" s="197">
        <f>+GETPIVOTDATA(" Old-Associate's",'Pivot Table for 1-11'!$A$3,"State","DE","SREB Type2","Technical")</f>
        <v>0</v>
      </c>
      <c r="D292" s="230">
        <f>+GETPIVOTDATA(" Old-Less Than 2-Year",'Pivot Table for 1-11'!$A$3,"State","DE","SREB Type",12,"SREB Type2","Technical")+GETPIVOTDATA(" Old-2 But Less Than 4-Year",'Pivot Table for 1-11'!$A$3,"State","DE","SREB Type",12,"SREB Type2","Technical")</f>
        <v>0</v>
      </c>
      <c r="E292" s="198">
        <f>+GETPIVOTDATA(" Old-Associate's",'Pivot Table for 1-11'!$A$3,"State","DE","SREB Type",12,"SREB Type2","Technical")</f>
        <v>0</v>
      </c>
      <c r="F292" s="230">
        <f>+GETPIVOTDATA(" Old-Less Than 2-Year",'Pivot Table for 1-11'!$A$3,"State","DE","SREB Type",13,"SREB Type2","Technical")+GETPIVOTDATA(" Old-2 But Less Than 4-Year",'Pivot Table for 1-11'!$A$3,"State","DE","SREB Type",13,"SREB Type2","Technical")</f>
        <v>0</v>
      </c>
      <c r="G292" s="197">
        <f>+GETPIVOTDATA(" Old-Associate's",'Pivot Table for 1-11'!$A$3,"State","DE","SREB Type",13,"SREB Type2","Technical")</f>
        <v>0</v>
      </c>
      <c r="H292" s="188"/>
      <c r="I292" s="188"/>
    </row>
    <row r="293" spans="1:9" ht="15" customHeight="1">
      <c r="A293" s="196" t="s">
        <v>24</v>
      </c>
      <c r="B293" s="197">
        <f>+GETPIVOTDATA(" Old-Less Than 2-Year",'Pivot Table for 1-11'!$A$3,"State","FL","SREB Type2","Technical")+GETPIVOTDATA(" Old-2 But Less Than 4-Year",'Pivot Table for 1-11'!$A$3,"State","FL","SREB Type2","Technical")</f>
        <v>0</v>
      </c>
      <c r="C293" s="197">
        <f>+GETPIVOTDATA(" Old-Associate's",'Pivot Table for 1-11'!$A$3,"State","FL","SREB Type2","Technical")</f>
        <v>0</v>
      </c>
      <c r="D293" s="230">
        <f>+GETPIVOTDATA(" Old-Less Than 2-Year",'Pivot Table for 1-11'!$A$3,"State","FL","SREB Type",12,"SREB Type2","Technical")+GETPIVOTDATA(" Old-2 But Less Than 4-Year",'Pivot Table for 1-11'!$A$3,"State","FL","SREB Type",12,"SREB Type2","Technical")</f>
        <v>0</v>
      </c>
      <c r="E293" s="198">
        <f>+GETPIVOTDATA(" Old-Associate's",'Pivot Table for 1-11'!$A$3,"State","FL","SREB Type",12,"SREB Type2","Technical")</f>
        <v>0</v>
      </c>
      <c r="F293" s="230">
        <f>+GETPIVOTDATA(" Old-Less Than 2-Year",'Pivot Table for 1-11'!$A$3,"State","FL","SREB Type",13,"SREB Type2","Technical")+GETPIVOTDATA(" Old-2 But Less Than 4-Year",'Pivot Table for 1-11'!$A$3,"State","FL","SREB Type",13,"SREB Type2","Technical")</f>
        <v>0</v>
      </c>
      <c r="G293" s="197">
        <f>+GETPIVOTDATA(" Old-Associate's",'Pivot Table for 1-11'!$A$3,"State","FL","SREB Type",13,"SREB Type2","Technical")</f>
        <v>0</v>
      </c>
      <c r="H293" s="188"/>
      <c r="I293" s="188"/>
    </row>
    <row r="294" spans="1:9" ht="15" customHeight="1">
      <c r="A294" s="196"/>
      <c r="B294" s="197"/>
      <c r="C294" s="197"/>
      <c r="D294" s="230"/>
      <c r="E294" s="198"/>
      <c r="F294" s="230"/>
      <c r="G294" s="197"/>
      <c r="H294" s="188"/>
      <c r="I294" s="188"/>
    </row>
    <row r="295" spans="1:9" ht="15" customHeight="1">
      <c r="A295" s="196" t="s">
        <v>25</v>
      </c>
      <c r="B295" s="197">
        <f>+GETPIVOTDATA(" Old-Less Than 2-Year",'Pivot Table for 1-11'!$A$3,"State","GA","SREB Type2","Technical")+GETPIVOTDATA(" Old-2 But Less Than 4-Year",'Pivot Table for 1-11'!$A$3,"State","GA","SREB Type2","Technical")</f>
        <v>42578</v>
      </c>
      <c r="C295" s="197">
        <f>+GETPIVOTDATA(" Old-Associate's",'Pivot Table for 1-11'!$A$3,"State","GA","SREB Type2","Technical")</f>
        <v>7250</v>
      </c>
      <c r="D295" s="230">
        <f>+GETPIVOTDATA(" Old-Less Than 2-Year",'Pivot Table for 1-11'!$A$3,"State","GA","SREB Type",12,"SREB Type2","Technical")+GETPIVOTDATA(" Old-2 But Less Than 4-Year",'Pivot Table for 1-11'!$A$3,"State","GA","SREB Type",12,"SREB Type2","Technical")</f>
        <v>42578</v>
      </c>
      <c r="E295" s="198">
        <f>+GETPIVOTDATA(" Old-Associate's",'Pivot Table for 1-11'!$A$3,"State","GA","SREB Type",12,"SREB Type2","Technical")</f>
        <v>7250</v>
      </c>
      <c r="F295" s="230">
        <f>+GETPIVOTDATA(" Old-Less Than 2-Year",'Pivot Table for 1-11'!$A$3,"State","GA","SREB Type",13,"SREB Type2","Technical")+GETPIVOTDATA(" Old-2 But Less Than 4-Year",'Pivot Table for 1-11'!$A$3,"State","GA","SREB Type",13,"SREB Type2","Technical")</f>
        <v>0</v>
      </c>
      <c r="G295" s="197">
        <f>+GETPIVOTDATA(" Old-Associate's",'Pivot Table for 1-11'!$A$3,"State","GA","SREB Type",13,"SREB Type2","Technical")</f>
        <v>0</v>
      </c>
      <c r="H295" s="188"/>
      <c r="I295" s="188"/>
    </row>
    <row r="296" spans="1:9" ht="15" customHeight="1">
      <c r="A296" s="196" t="s">
        <v>26</v>
      </c>
      <c r="B296" s="197">
        <f>+GETPIVOTDATA(" Old-Less Than 2-Year",'Pivot Table for 1-11'!$A$3,"State","KY","SREB Type2","Technical")+GETPIVOTDATA(" Old-2 But Less Than 4-Year",'Pivot Table for 1-11'!$A$3,"State","KY","SREB Type2","Technical")</f>
        <v>4714</v>
      </c>
      <c r="C296" s="197">
        <f>+GETPIVOTDATA(" Old-Associate's",'Pivot Table for 1-11'!$A$3,"State","KY","SREB Type2","Technical")</f>
        <v>1203</v>
      </c>
      <c r="D296" s="230">
        <f>+GETPIVOTDATA(" Old-Less Than 2-Year",'Pivot Table for 1-11'!$A$3,"State","KY","SREB Type",12,"SREB Type2","Technical")+GETPIVOTDATA(" Old-2 But Less Than 4-Year",'Pivot Table for 1-11'!$A$3,"State","KY","SREB Type",12,"SREB Type2","Technical")</f>
        <v>4714</v>
      </c>
      <c r="E296" s="198">
        <f>+GETPIVOTDATA(" Old-Associate's",'Pivot Table for 1-11'!$A$3,"State","KY","SREB Type",12,"SREB Type2","Technical")</f>
        <v>1203</v>
      </c>
      <c r="F296" s="230">
        <f>+GETPIVOTDATA(" Old-Less Than 2-Year",'Pivot Table for 1-11'!$A$3,"State","KY","SREB Type",13,"SREB Type2","Technical")+GETPIVOTDATA(" Old-2 But Less Than 4-Year",'Pivot Table for 1-11'!$A$3,"State","KY","SREB Type",13,"SREB Type2","Technical")</f>
        <v>0</v>
      </c>
      <c r="G296" s="197">
        <f>+GETPIVOTDATA(" Old-Associate's",'Pivot Table for 1-11'!$A$3,"State","KY","SREB Type",13,"SREB Type2","Technical")</f>
        <v>0</v>
      </c>
      <c r="H296" s="188"/>
      <c r="I296" s="188"/>
    </row>
    <row r="297" spans="1:9" ht="15" customHeight="1">
      <c r="A297" s="196" t="s">
        <v>27</v>
      </c>
      <c r="B297" s="197">
        <f>+GETPIVOTDATA(" Old-Less Than 2-Year",'Pivot Table for 1-11'!$A$3,"State","LA","SREB Type2","Technical")+GETPIVOTDATA(" Old-2 But Less Than 4-Year",'Pivot Table for 1-11'!$A$3,"State","LA","SREB Type2","Technical")</f>
        <v>4504</v>
      </c>
      <c r="C297" s="197">
        <f>+GETPIVOTDATA(" Old-Associate's",'Pivot Table for 1-11'!$A$3,"State","LA","SREB Type2","Technical")</f>
        <v>804</v>
      </c>
      <c r="D297" s="230">
        <f>+GETPIVOTDATA(" Old-Less Than 2-Year",'Pivot Table for 1-11'!$A$3,"State","LA","SREB Type",12,"SREB Type2","Technical")+GETPIVOTDATA(" Old-2 But Less Than 4-Year",'Pivot Table for 1-11'!$A$3,"State","LA","SREB Type",12,"SREB Type2","Technical")</f>
        <v>3929</v>
      </c>
      <c r="E297" s="198">
        <f>+GETPIVOTDATA(" Old-Associate's",'Pivot Table for 1-11'!$A$3,"State","LA","SREB Type",12,"SREB Type2","Technical")</f>
        <v>786</v>
      </c>
      <c r="F297" s="230">
        <f>+GETPIVOTDATA(" Old-Less Than 2-Year",'Pivot Table for 1-11'!$A$3,"State","LA","SREB Type",13,"SREB Type2","Technical")+GETPIVOTDATA(" Old-2 But Less Than 4-Year",'Pivot Table for 1-11'!$A$3,"State","LA","SREB Type",13,"SREB Type2","Technical")</f>
        <v>575</v>
      </c>
      <c r="G297" s="197">
        <f>+GETPIVOTDATA(" Old-Associate's",'Pivot Table for 1-11'!$A$3,"State","LA","SREB Type",13,"SREB Type2","Technical")</f>
        <v>18</v>
      </c>
      <c r="H297" s="188"/>
      <c r="I297" s="188"/>
    </row>
    <row r="298" spans="1:9" ht="15" customHeight="1">
      <c r="A298" s="196" t="s">
        <v>28</v>
      </c>
      <c r="B298" s="197">
        <f>+GETPIVOTDATA(" Old-Less Than 2-Year",'Pivot Table for 1-11'!$A$3,"State","MD","SREB Type2","Technical")+GETPIVOTDATA(" Old-2 But Less Than 4-Year",'Pivot Table for 1-11'!$A$3,"State","MD","SREB Type2","Technical")</f>
        <v>0</v>
      </c>
      <c r="C298" s="197">
        <f>+GETPIVOTDATA(" Old-Associate's",'Pivot Table for 1-11'!$A$3,"State","MD","SREB Type2","Technical")</f>
        <v>0</v>
      </c>
      <c r="D298" s="230">
        <f>+GETPIVOTDATA(" Old-Less Than 2-Year",'Pivot Table for 1-11'!$A$3,"State","MD","SREB Type",12,"SREB Type2","Technical")+GETPIVOTDATA(" Old-2 But Less Than 4-Year",'Pivot Table for 1-11'!$A$3,"State","MD","SREB Type",12,"SREB Type2","Technical")</f>
        <v>0</v>
      </c>
      <c r="E298" s="198">
        <f>+GETPIVOTDATA(" Old-Associate's",'Pivot Table for 1-11'!$A$3,"State","MD","SREB Type",12,"SREB Type2","Technical")</f>
        <v>0</v>
      </c>
      <c r="F298" s="230">
        <f>+GETPIVOTDATA(" Old-Less Than 2-Year",'Pivot Table for 1-11'!$A$3,"State","MD","SREB Type",13,"SREB Type2","Technical")+GETPIVOTDATA(" Old-2 But Less Than 4-Year",'Pivot Table for 1-11'!$A$3,"State","MD","SREB Type",13,"SREB Type2","Technical")</f>
        <v>0</v>
      </c>
      <c r="G298" s="197">
        <f>+GETPIVOTDATA(" Old-Associate's",'Pivot Table for 1-11'!$A$3,"State","MD","SREB Type",13,"SREB Type2","Technical")</f>
        <v>0</v>
      </c>
      <c r="H298" s="188"/>
      <c r="I298" s="188"/>
    </row>
    <row r="299" spans="1:9" ht="15" customHeight="1">
      <c r="A299" s="196"/>
      <c r="B299" s="197"/>
      <c r="C299" s="197"/>
      <c r="D299" s="230"/>
      <c r="E299" s="198"/>
      <c r="F299" s="230"/>
      <c r="G299" s="197"/>
      <c r="H299" s="188"/>
      <c r="I299" s="188"/>
    </row>
    <row r="300" spans="1:9" ht="15" customHeight="1">
      <c r="A300" s="196" t="s">
        <v>29</v>
      </c>
      <c r="B300" s="197">
        <f>+GETPIVOTDATA(" Old-Less Than 2-Year",'Pivot Table for 1-11'!$A$3,"State","MS","SREB Type2","Technical")+GETPIVOTDATA(" Old-2 But Less Than 4-Year",'Pivot Table for 1-11'!$A$3,"State","MS","SREB Type2","Technical")</f>
        <v>0</v>
      </c>
      <c r="C300" s="197">
        <f>+GETPIVOTDATA(" Old-Associate's",'Pivot Table for 1-11'!$A$3,"State","MS","SREB Type2","Technical")</f>
        <v>0</v>
      </c>
      <c r="D300" s="230">
        <f>+GETPIVOTDATA(" Old-Less Than 2-Year",'Pivot Table for 1-11'!$A$3,"State","MS","SREB Type",12,"SREB Type2","Technical")+GETPIVOTDATA(" Old-2 But Less Than 4-Year",'Pivot Table for 1-11'!$A$3,"State","MS","SREB Type",12,"SREB Type2","Technical")</f>
        <v>0</v>
      </c>
      <c r="E300" s="198">
        <f>+GETPIVOTDATA(" Old-Associate's",'Pivot Table for 1-11'!$A$3,"State","MS","SREB Type",12,"SREB Type2","Technical")</f>
        <v>0</v>
      </c>
      <c r="F300" s="230">
        <f>+GETPIVOTDATA(" Old-Less Than 2-Year",'Pivot Table for 1-11'!$A$3,"State","MS","SREB Type",13,"SREB Type2","Technical")+GETPIVOTDATA(" Old-2 But Less Than 4-Year",'Pivot Table for 1-11'!$A$3,"State","MS","SREB Type",13,"SREB Type2","Technical")</f>
        <v>0</v>
      </c>
      <c r="G300" s="197">
        <f>+GETPIVOTDATA(" Old-Associate's",'Pivot Table for 1-11'!$A$3,"State","MS","SREB Type",13,"SREB Type2","Technical")</f>
        <v>0</v>
      </c>
      <c r="H300" s="188"/>
      <c r="I300" s="188"/>
    </row>
    <row r="301" spans="1:9" ht="15" customHeight="1">
      <c r="A301" s="196" t="s">
        <v>30</v>
      </c>
      <c r="B301" s="197">
        <f>+GETPIVOTDATA(" Old-Less Than 2-Year",'Pivot Table for 1-11'!$A$3,"State","NC","SREB Type2","Technical")+GETPIVOTDATA(" Old-2 But Less Than 4-Year",'Pivot Table for 1-11'!$A$3,"State","NC","SREB Type2","Technical")</f>
        <v>0</v>
      </c>
      <c r="C301" s="197">
        <f>+GETPIVOTDATA(" Old-Associate's",'Pivot Table for 1-11'!$A$3,"State","NC","SREB Type2","Technical")</f>
        <v>0</v>
      </c>
      <c r="D301" s="230">
        <f>+GETPIVOTDATA(" Old-Less Than 2-Year",'Pivot Table for 1-11'!$A$3,"State","NC","SREB Type",12,"SREB Type2","Technical")+GETPIVOTDATA(" Old-2 But Less Than 4-Year",'Pivot Table for 1-11'!$A$3,"State","NC","SREB Type",12,"SREB Type2","Technical")</f>
        <v>0</v>
      </c>
      <c r="E301" s="198">
        <f>+GETPIVOTDATA(" Old-Associate's",'Pivot Table for 1-11'!$A$3,"State","NC","SREB Type",12,"SREB Type2","Technical")</f>
        <v>0</v>
      </c>
      <c r="F301" s="230">
        <f>+GETPIVOTDATA(" Old-Less Than 2-Year",'Pivot Table for 1-11'!$A$3,"State","NC","SREB Type",13,"SREB Type2","Technical")+GETPIVOTDATA(" Old-2 But Less Than 4-Year",'Pivot Table for 1-11'!$A$3,"State","NC","SREB Type",13,"SREB Type2","Technical")</f>
        <v>0</v>
      </c>
      <c r="G301" s="197">
        <f>+GETPIVOTDATA(" Old-Associate's",'Pivot Table for 1-11'!$A$3,"State","NC","SREB Type",13,"SREB Type2","Technical")</f>
        <v>0</v>
      </c>
      <c r="H301" s="188"/>
      <c r="I301" s="188"/>
    </row>
    <row r="302" spans="1:9" ht="15" customHeight="1">
      <c r="A302" s="196" t="s">
        <v>31</v>
      </c>
      <c r="B302" s="197">
        <f>+GETPIVOTDATA(" Old-Less Than 2-Year",'Pivot Table for 1-11'!$A$3,"State","OK","SREB Type2","Technical")+GETPIVOTDATA(" Old-2 But Less Than 4-Year",'Pivot Table for 1-11'!$A$3,"State","OK","SREB Type2","Technical")</f>
        <v>13415</v>
      </c>
      <c r="C302" s="197">
        <f>+GETPIVOTDATA(" Old-Associate's",'Pivot Table for 1-11'!$A$3,"State","OK","SREB Type2","Technical")</f>
        <v>0</v>
      </c>
      <c r="D302" s="230">
        <f>+GETPIVOTDATA(" Old-Less Than 2-Year",'Pivot Table for 1-11'!$A$3,"State","OK","SREB Type",12,"SREB Type2","Technical")+GETPIVOTDATA(" Old-2 But Less Than 4-Year",'Pivot Table for 1-11'!$A$3,"State","OK","SREB Type",12,"SREB Type2","Technical")</f>
        <v>2639</v>
      </c>
      <c r="E302" s="198">
        <f>+GETPIVOTDATA(" Old-Associate's",'Pivot Table for 1-11'!$A$3,"State","OK","SREB Type",12,"SREB Type2","Technical")</f>
        <v>0</v>
      </c>
      <c r="F302" s="230">
        <f>+GETPIVOTDATA(" Old-Less Than 2-Year",'Pivot Table for 1-11'!$A$3,"State","OK","SREB Type",13,"SREB Type2","Technical")+GETPIVOTDATA(" Old-2 But Less Than 4-Year",'Pivot Table for 1-11'!$A$3,"State","OK","SREB Type",13,"SREB Type2","Technical")</f>
        <v>10776</v>
      </c>
      <c r="G302" s="197">
        <f>+GETPIVOTDATA(" Old-Associate's",'Pivot Table for 1-11'!$A$3,"State","OK","SREB Type",13,"SREB Type2","Technical")</f>
        <v>0</v>
      </c>
      <c r="H302" s="188"/>
      <c r="I302" s="188"/>
    </row>
    <row r="303" spans="1:9" ht="15" customHeight="1">
      <c r="A303" s="196" t="s">
        <v>32</v>
      </c>
      <c r="B303" s="197">
        <f>+GETPIVOTDATA(" Old-Less Than 2-Year",'Pivot Table for 1-11'!$A$3,"State","SC","SREB Type2","Technical")+GETPIVOTDATA(" Old-2 But Less Than 4-Year",'Pivot Table for 1-11'!$A$3,"State","SC","SREB Type2","Technical")</f>
        <v>0</v>
      </c>
      <c r="C303" s="197">
        <f>+GETPIVOTDATA(" Old-Associate's",'Pivot Table for 1-11'!$A$3,"State","SC","SREB Type2","Technical")</f>
        <v>0</v>
      </c>
      <c r="D303" s="230">
        <f>+GETPIVOTDATA(" Old-Less Than 2-Year",'Pivot Table for 1-11'!$A$3,"State","SC","SREB Type",12,"SREB Type2","Technical")+GETPIVOTDATA(" Old-2 But Less Than 4-Year",'Pivot Table for 1-11'!$A$3,"State","SC","SREB Type",12,"SREB Type2","Technical")</f>
        <v>0</v>
      </c>
      <c r="E303" s="198">
        <f>+GETPIVOTDATA(" Old-Associate's",'Pivot Table for 1-11'!$A$3,"State","SC","SREB Type",12,"SREB Type2","Technical")</f>
        <v>0</v>
      </c>
      <c r="F303" s="230">
        <f>+GETPIVOTDATA(" Old-Less Than 2-Year",'Pivot Table for 1-11'!$A$3,"State","SC","SREB Type",13,"SREB Type2","Technical")+GETPIVOTDATA(" Old-2 But Less Than 4-Year",'Pivot Table for 1-11'!$A$3,"State","SC","SREB Type",13,"SREB Type2","Technical")</f>
        <v>0</v>
      </c>
      <c r="G303" s="197">
        <f>+GETPIVOTDATA(" Old-Associate's",'Pivot Table for 1-11'!$A$3,"State","SC","SREB Type",13,"SREB Type2","Technical")</f>
        <v>0</v>
      </c>
      <c r="H303" s="188"/>
      <c r="I303" s="188"/>
    </row>
    <row r="304" spans="1:9" ht="15" customHeight="1">
      <c r="A304" s="196"/>
      <c r="B304" s="197"/>
      <c r="C304" s="197"/>
      <c r="D304" s="230"/>
      <c r="E304" s="198"/>
      <c r="F304" s="230"/>
      <c r="G304" s="197"/>
      <c r="H304" s="188"/>
      <c r="I304" s="188"/>
    </row>
    <row r="305" spans="1:17" ht="15" customHeight="1">
      <c r="A305" s="196" t="s">
        <v>33</v>
      </c>
      <c r="B305" s="197">
        <f>+GETPIVOTDATA(" Old-Less Than 2-Year",'Pivot Table for 1-11'!$A$3,"State","TN","SREB Type2","Technical")+GETPIVOTDATA(" Old-2 But Less Than 4-Year",'Pivot Table for 1-11'!$A$3,"State","TN","SREB Type2","Technical")</f>
        <v>7258</v>
      </c>
      <c r="C305" s="197">
        <f>+GETPIVOTDATA(" Old-Associate's",'Pivot Table for 1-11'!$A$3,"State","TN","SREB Type2","Technical")</f>
        <v>0</v>
      </c>
      <c r="D305" s="230">
        <f>+GETPIVOTDATA(" Old-Less Than 2-Year",'Pivot Table for 1-11'!$A$3,"State","TN","SREB Type",12,"SREB Type2","Technical")+GETPIVOTDATA(" Old-2 But Less Than 4-Year",'Pivot Table for 1-11'!$A$3,"State","TN","SREB Type",12,"SREB Type2","Technical")</f>
        <v>0</v>
      </c>
      <c r="E305" s="198">
        <f>+GETPIVOTDATA(" Old-Associate's",'Pivot Table for 1-11'!$A$3,"State","TN","SREB Type",12,"SREB Type2","Technical")</f>
        <v>0</v>
      </c>
      <c r="F305" s="230">
        <f>+GETPIVOTDATA(" Old-Less Than 2-Year",'Pivot Table for 1-11'!$A$3,"State","TN","SREB Type",13,"SREB Type2","Technical")+GETPIVOTDATA(" Old-2 But Less Than 4-Year",'Pivot Table for 1-11'!$A$3,"State","TN","SREB Type",13,"SREB Type2","Technical")</f>
        <v>7258</v>
      </c>
      <c r="G305" s="197">
        <f>+GETPIVOTDATA(" Old-Associate's",'Pivot Table for 1-11'!$A$3,"State","TN","SREB Type",13,"SREB Type2","Technical")</f>
        <v>0</v>
      </c>
      <c r="H305" s="188"/>
      <c r="I305" s="188"/>
    </row>
    <row r="306" spans="1:17" ht="15" customHeight="1">
      <c r="A306" s="196" t="s">
        <v>34</v>
      </c>
      <c r="B306" s="197">
        <f>+GETPIVOTDATA(" Old-Less Than 2-Year",'Pivot Table for 1-11'!$A$3,"State","TX","SREB Type2","Technical")+GETPIVOTDATA(" Old-2 But Less Than 4-Year",'Pivot Table for 1-11'!$A$3,"State","TX","SREB Type2","Technical")</f>
        <v>0</v>
      </c>
      <c r="C306" s="197">
        <f>+GETPIVOTDATA(" Old-Associate's",'Pivot Table for 1-11'!$A$3,"State","TX","SREB Type2","Technical")</f>
        <v>0</v>
      </c>
      <c r="D306" s="230">
        <f>+GETPIVOTDATA(" Old-Less Than 2-Year",'Pivot Table for 1-11'!$A$3,"State","TX","SREB Type",12,"SREB Type2","Technical")+GETPIVOTDATA(" Old-2 But Less Than 4-Year",'Pivot Table for 1-11'!$A$3,"State","TX","SREB Type",12,"SREB Type2","Technical")</f>
        <v>0</v>
      </c>
      <c r="E306" s="198">
        <f>+GETPIVOTDATA(" Old-Associate's",'Pivot Table for 1-11'!$A$3,"State","TX","SREB Type",12,"SREB Type2","Technical")</f>
        <v>0</v>
      </c>
      <c r="F306" s="230">
        <f>+GETPIVOTDATA(" Old-Less Than 2-Year",'Pivot Table for 1-11'!$A$3,"State","TX","SREB Type",13,"SREB Type2","Technical")+GETPIVOTDATA(" Old-2 But Less Than 4-Year",'Pivot Table for 1-11'!$A$3,"State","TX","SREB Type",13,"SREB Type2","Technical")</f>
        <v>0</v>
      </c>
      <c r="G306" s="197">
        <f>+GETPIVOTDATA(" Old-Associate's",'Pivot Table for 1-11'!$A$3,"State","TX","SREB Type",13,"SREB Type2","Technical")</f>
        <v>0</v>
      </c>
      <c r="H306" s="188"/>
      <c r="I306" s="188"/>
    </row>
    <row r="307" spans="1:17" ht="15" customHeight="1">
      <c r="A307" s="196" t="s">
        <v>35</v>
      </c>
      <c r="B307" s="197">
        <f>+GETPIVOTDATA(" Old-Less Than 2-Year",'Pivot Table for 1-11'!$A$3,"State","VA","SREB Type2","Technical")+GETPIVOTDATA(" Old-2 But Less Than 4-Year",'Pivot Table for 1-11'!$A$3,"State","VA","SREB Type2","Technical")</f>
        <v>0</v>
      </c>
      <c r="C307" s="197">
        <f>+GETPIVOTDATA(" Old-Associate's",'Pivot Table for 1-11'!$A$3,"State","VA","SREB Type2","Technical")</f>
        <v>0</v>
      </c>
      <c r="D307" s="230">
        <f>+GETPIVOTDATA(" Old-Less Than 2-Year",'Pivot Table for 1-11'!$A$3,"State","VA","SREB Type",12,"SREB Type2","Technical")+GETPIVOTDATA(" Old-2 But Less Than 4-Year",'Pivot Table for 1-11'!$A$3,"State","VA","SREB Type",12,"SREB Type2","Technical")</f>
        <v>0</v>
      </c>
      <c r="E307" s="198">
        <f>+GETPIVOTDATA(" Old-Associate's",'Pivot Table for 1-11'!$A$3,"State","VA","SREB Type",12,"SREB Type2","Technical")</f>
        <v>0</v>
      </c>
      <c r="F307" s="230">
        <f>+GETPIVOTDATA(" Old-Less Than 2-Year",'Pivot Table for 1-11'!$A$3,"State","VA","SREB Type",13,"SREB Type2","Technical")+GETPIVOTDATA(" Old-2 But Less Than 4-Year",'Pivot Table for 1-11'!$A$3,"State","VA","SREB Type",13,"SREB Type2","Technical")</f>
        <v>0</v>
      </c>
      <c r="G307" s="197">
        <f>+GETPIVOTDATA(" Old-Associate's",'Pivot Table for 1-11'!$A$3,"State","VA","SREB Type",13,"SREB Type2","Technical")</f>
        <v>0</v>
      </c>
      <c r="H307" s="188"/>
      <c r="I307" s="188"/>
    </row>
    <row r="308" spans="1:17" ht="15" customHeight="1">
      <c r="A308" s="200" t="s">
        <v>36</v>
      </c>
      <c r="B308" s="201">
        <f>+GETPIVOTDATA(" Old-Less Than 2-Year",'Pivot Table for 1-11'!$A$3,"State","WV","SREB Type2","Technical")+GETPIVOTDATA(" Old-2 But Less Than 4-Year",'Pivot Table for 1-11'!$A$3,"State","WV","SREB Type2","Technical")</f>
        <v>1222</v>
      </c>
      <c r="C308" s="201">
        <f>+GETPIVOTDATA(" Old-Associate's",'Pivot Table for 1-11'!$A$3,"State","WV","SREB Type2","Technical")</f>
        <v>0</v>
      </c>
      <c r="D308" s="202">
        <f>+GETPIVOTDATA(" Old-Less Than 2-Year",'Pivot Table for 1-11'!$A$3,"State","WV","SREB Type",12,"SREB Type2","Technical")+GETPIVOTDATA(" Old-2 But Less Than 4-Year",'Pivot Table for 1-11'!$A$3,"State","WV","SREB Type",12,"SREB Type2","Technical")</f>
        <v>0</v>
      </c>
      <c r="E308" s="319">
        <f>+GETPIVOTDATA(" Old-Associate's",'Pivot Table for 1-11'!$A$3,"State","WV","SREB Type",12,"SREB Type2","Technical")</f>
        <v>0</v>
      </c>
      <c r="F308" s="202">
        <f>+GETPIVOTDATA(" Old-Less Than 2-Year",'Pivot Table for 1-11'!$A$3,"State","WV","SREB Type",13,"SREB Type2","Technical")+GETPIVOTDATA(" Old-2 But Less Than 4-Year",'Pivot Table for 1-11'!$A$3,"State","WV","SREB Type",13,"SREB Type2","Technical")</f>
        <v>0</v>
      </c>
      <c r="G308" s="201">
        <f>+GETPIVOTDATA(" Old-Associate's",'Pivot Table for 1-11'!$A$3,"State","WV","SREB Type",13,"SREB Type2","Technical")</f>
        <v>0</v>
      </c>
      <c r="H308" s="188"/>
      <c r="I308" s="188"/>
      <c r="L308" s="214"/>
    </row>
    <row r="309" spans="1:17" ht="7.5" customHeight="1">
      <c r="A309" s="215"/>
      <c r="B309" s="216"/>
      <c r="C309" s="216"/>
      <c r="D309" s="216"/>
      <c r="E309" s="216"/>
      <c r="F309" s="217"/>
      <c r="G309" s="217"/>
      <c r="H309" s="188"/>
      <c r="I309" s="188"/>
      <c r="L309" s="214"/>
      <c r="Q309" s="218"/>
    </row>
    <row r="310" spans="1:17" ht="25.5" customHeight="1">
      <c r="A310" s="545" t="s">
        <v>69</v>
      </c>
      <c r="B310" s="546"/>
      <c r="C310" s="546"/>
      <c r="D310" s="546"/>
      <c r="E310" s="546"/>
      <c r="F310" s="546"/>
      <c r="G310" s="546"/>
      <c r="H310" s="264"/>
      <c r="I310" s="264"/>
      <c r="J310" s="264"/>
      <c r="K310" s="264"/>
      <c r="L310" s="264"/>
      <c r="M310" s="264"/>
      <c r="N310" s="264"/>
      <c r="O310" s="264"/>
      <c r="P310" s="264"/>
      <c r="Q310" s="218"/>
    </row>
    <row r="311" spans="1:17">
      <c r="G311" s="204" t="s">
        <v>1178</v>
      </c>
      <c r="N311" s="219"/>
      <c r="O311" s="204"/>
    </row>
    <row r="312" spans="1:17" ht="18">
      <c r="A312" s="186" t="s">
        <v>75</v>
      </c>
      <c r="B312" s="186"/>
      <c r="C312" s="186"/>
      <c r="D312" s="186"/>
      <c r="E312" s="186"/>
      <c r="F312" s="186"/>
      <c r="G312" s="186"/>
      <c r="H312" s="186"/>
      <c r="I312" s="186"/>
      <c r="J312" s="186"/>
      <c r="K312" s="186"/>
      <c r="L312" s="186"/>
      <c r="M312" s="186"/>
      <c r="N312" s="186"/>
      <c r="O312" s="186"/>
      <c r="P312" s="186"/>
    </row>
    <row r="313" spans="1:17">
      <c r="A313" s="220"/>
      <c r="B313" s="188"/>
      <c r="C313" s="188"/>
      <c r="D313" s="188"/>
      <c r="E313" s="188"/>
      <c r="F313" s="188"/>
      <c r="G313" s="188"/>
      <c r="H313" s="188"/>
      <c r="I313" s="188"/>
      <c r="J313" s="188"/>
      <c r="K313" s="188"/>
      <c r="L313" s="188"/>
      <c r="M313" s="188"/>
      <c r="N313" s="188"/>
      <c r="O313" s="188"/>
      <c r="P313" s="188"/>
    </row>
    <row r="314" spans="1:17" ht="15.5">
      <c r="A314" s="187" t="s">
        <v>2</v>
      </c>
      <c r="B314" s="187"/>
      <c r="C314" s="187"/>
      <c r="D314" s="187"/>
      <c r="E314" s="187"/>
      <c r="F314" s="187"/>
      <c r="G314" s="187"/>
      <c r="H314" s="187"/>
      <c r="I314" s="187"/>
      <c r="J314" s="187"/>
      <c r="K314" s="187"/>
      <c r="L314" s="187"/>
      <c r="M314" s="187"/>
      <c r="N314" s="187"/>
      <c r="O314" s="187"/>
      <c r="P314" s="187"/>
    </row>
    <row r="315" spans="1:17" ht="15.5">
      <c r="A315" s="187" t="s">
        <v>76</v>
      </c>
      <c r="B315" s="187"/>
      <c r="C315" s="187"/>
      <c r="D315" s="187"/>
      <c r="E315" s="187"/>
      <c r="F315" s="187"/>
      <c r="G315" s="187"/>
      <c r="H315" s="187"/>
      <c r="I315" s="187"/>
      <c r="J315" s="187"/>
      <c r="K315" s="187"/>
      <c r="L315" s="187"/>
      <c r="M315" s="187"/>
      <c r="N315" s="187"/>
      <c r="O315" s="187"/>
      <c r="P315" s="187"/>
    </row>
    <row r="316" spans="1:17" ht="15.5">
      <c r="A316" s="189"/>
      <c r="B316" s="189"/>
      <c r="C316" s="189"/>
      <c r="D316" s="189"/>
      <c r="E316" s="189"/>
      <c r="F316" s="189"/>
      <c r="G316" s="189"/>
      <c r="H316" s="189"/>
      <c r="I316" s="189"/>
      <c r="J316" s="189"/>
      <c r="K316" s="189"/>
      <c r="L316" s="189"/>
      <c r="M316" s="189"/>
      <c r="N316" s="189"/>
      <c r="O316" s="189"/>
      <c r="P316" s="189"/>
    </row>
    <row r="317" spans="1:17" ht="15.5">
      <c r="A317" s="190"/>
      <c r="B317" s="190"/>
      <c r="C317" s="190"/>
      <c r="D317" s="190"/>
      <c r="E317" s="190"/>
      <c r="F317" s="190"/>
      <c r="G317" s="190"/>
      <c r="H317" s="326" t="s">
        <v>4</v>
      </c>
      <c r="I317" s="191"/>
      <c r="J317" s="191"/>
      <c r="K317" s="191"/>
      <c r="L317" s="191"/>
      <c r="M317" s="191"/>
      <c r="N317" s="191"/>
      <c r="O317" s="327"/>
      <c r="P317" s="192" t="s">
        <v>1</v>
      </c>
    </row>
    <row r="318" spans="1:17" ht="40.5" customHeight="1">
      <c r="A318" s="193"/>
      <c r="B318" s="194" t="s">
        <v>5</v>
      </c>
      <c r="C318" s="194" t="s">
        <v>6</v>
      </c>
      <c r="D318" s="194" t="s">
        <v>7</v>
      </c>
      <c r="E318" s="194" t="s">
        <v>8</v>
      </c>
      <c r="F318" s="194" t="s">
        <v>9</v>
      </c>
      <c r="G318" s="194" t="s">
        <v>10</v>
      </c>
      <c r="H318" s="195" t="s">
        <v>11</v>
      </c>
      <c r="I318" s="194" t="s">
        <v>81</v>
      </c>
      <c r="J318" s="194" t="s">
        <v>13</v>
      </c>
      <c r="K318" s="194" t="s">
        <v>14</v>
      </c>
      <c r="L318" s="194" t="s">
        <v>15</v>
      </c>
      <c r="M318" s="194" t="s">
        <v>16</v>
      </c>
      <c r="N318" s="194" t="s">
        <v>82</v>
      </c>
      <c r="O318" s="328" t="s">
        <v>83</v>
      </c>
      <c r="P318" s="194" t="s">
        <v>19</v>
      </c>
    </row>
    <row r="319" spans="1:17" ht="15" customHeight="1">
      <c r="A319" s="196" t="s">
        <v>20</v>
      </c>
      <c r="B319" s="197">
        <f>GETPIVOTDATA(" Old-Less Than 2-Year",'Pivot Table for 1-11'!$A$3,"SREB Type2","Specialized")+GETPIVOTDATA(" Old-2 But Less Than 4-Year",'Pivot Table for 1-11'!$A$3,"SREB Type2","Specialized")</f>
        <v>405</v>
      </c>
      <c r="C319" s="197">
        <f>GETPIVOTDATA(" Old-Associate's",'Pivot Table for 1-11'!$A$3,"SREB Type2","Specialized")</f>
        <v>432</v>
      </c>
      <c r="D319" s="197">
        <f>GETPIVOTDATA(" Old-Bachelor's",'Pivot Table for 1-11'!$A$3,"SREB Type2","Specialized")</f>
        <v>4794</v>
      </c>
      <c r="E319" s="197">
        <f>GETPIVOTDATA(" Old-Post-Bachelor's",'Pivot Table for 1-11'!$A$3,"SREB Type2","Specialized")</f>
        <v>39</v>
      </c>
      <c r="F319" s="197">
        <f>GETPIVOTDATA(" Old-Total Master's#",'Pivot Table for 1-11'!$A$3,"SREB Type2","Specialized")</f>
        <v>3620</v>
      </c>
      <c r="G319" s="197">
        <f>GETPIVOTDATA(" Old-Total Doctorates#",'Pivot Table for 1-11'!$A$3,"SREB Type2","Specialized")</f>
        <v>861</v>
      </c>
      <c r="H319" s="230">
        <f>GETPIVOTDATA(" Old-Law",'Pivot Table for 1-11'!$A$3,"SREB Type2","Specialized")</f>
        <v>159</v>
      </c>
      <c r="I319" s="197">
        <f>GETPIVOTDATA(" Old-Medicine",'Pivot Table for 1-11'!$A$3,"SREB Type2","Specialized")</f>
        <v>2164</v>
      </c>
      <c r="J319" s="197">
        <f>GETPIVOTDATA(" Old-Dentistry",'Pivot Table for 1-11'!$A$3,"SREB Type2","Specialized")</f>
        <v>518</v>
      </c>
      <c r="K319" s="197">
        <f>GETPIVOTDATA(" Old-Pharmacy",'Pivot Table for 1-11'!$A$3,"SREB Type2","Specialized")</f>
        <v>734</v>
      </c>
      <c r="L319" s="197">
        <f>GETPIVOTDATA(" Old-Optometry",'Pivot Table for 1-11'!$A$3,"SREB Type2","Specialized")</f>
        <v>0</v>
      </c>
      <c r="M319" s="197">
        <f>GETPIVOTDATA(" Old-Osteopathic Medicine",'Pivot Table for 1-11'!$A$3,"SREB Type2","Specialized")</f>
        <v>435</v>
      </c>
      <c r="N319" s="197">
        <f>GETPIVOTDATA(" Old-Veterinary Medicine",'Pivot Table for 1-11'!$A$3,"SREB Type2","Specialized")</f>
        <v>0</v>
      </c>
      <c r="O319" s="198">
        <f>+GETPIVOTDATA(" Old-Oth PP",'Pivot Table for 1-11'!$A$3,"SREB Type2","Specialized")</f>
        <v>472</v>
      </c>
      <c r="P319" s="199">
        <f>SUM(B319:O319)</f>
        <v>14633</v>
      </c>
    </row>
    <row r="320" spans="1:17" ht="15" customHeight="1">
      <c r="A320" s="196"/>
      <c r="B320" s="197"/>
      <c r="C320" s="197"/>
      <c r="D320" s="197"/>
      <c r="E320" s="197"/>
      <c r="F320" s="197"/>
      <c r="G320" s="197"/>
      <c r="H320" s="230"/>
      <c r="I320" s="197"/>
      <c r="J320" s="197"/>
      <c r="K320" s="197"/>
      <c r="L320" s="197"/>
      <c r="M320" s="197"/>
      <c r="N320" s="197"/>
      <c r="O320" s="198"/>
      <c r="P320" s="199"/>
    </row>
    <row r="321" spans="1:16" ht="15" customHeight="1">
      <c r="A321" s="196" t="s">
        <v>21</v>
      </c>
      <c r="B321" s="197">
        <f>GETPIVOTDATA(" Old-Less Than 2-Year",'Pivot Table for 1-11'!$A$3,"State","AL","SREB Type2","Specialized")+GETPIVOTDATA(" Old-2 But Less Than 4-Year",'Pivot Table for 1-11'!$A$3,"State","AL","SREB Type2","Specialized")</f>
        <v>0</v>
      </c>
      <c r="C321" s="197">
        <f>GETPIVOTDATA(" Old-Associate's",'Pivot Table for 1-11'!$A$3,"State","AL","SREB Type2","Specialized")</f>
        <v>124</v>
      </c>
      <c r="D321" s="197">
        <f>GETPIVOTDATA(" Old-Bachelor's",'Pivot Table for 1-11'!$A$3,"State","AL","SREB Type2","Specialized")</f>
        <v>0</v>
      </c>
      <c r="E321" s="197">
        <f>GETPIVOTDATA(" Old-Post-Bachelor's",'Pivot Table for 1-11'!$A$3,"State","AL","SREB Type2","Specialized")</f>
        <v>0</v>
      </c>
      <c r="F321" s="197">
        <f>GETPIVOTDATA(" Old-Total Master's#",'Pivot Table for 1-11'!$A$3,"State","AL","SREB Type2","Specialized")</f>
        <v>0</v>
      </c>
      <c r="G321" s="197">
        <f>GETPIVOTDATA(" Old-Total Doctorates#",'Pivot Table for 1-11'!$A$3,"State","AL","SREB Type2","Specialized")</f>
        <v>0</v>
      </c>
      <c r="H321" s="230">
        <f>GETPIVOTDATA(" Old-Law",'Pivot Table for 1-11'!$A$3,"State","AL","SREB Type2","Specialized")</f>
        <v>0</v>
      </c>
      <c r="I321" s="197">
        <f>GETPIVOTDATA(" Old-Medicine",'Pivot Table for 1-11'!$A$3,"State","AL","SREB Type2","Specialized")</f>
        <v>0</v>
      </c>
      <c r="J321" s="197">
        <f>GETPIVOTDATA(" Old-Dentistry",'Pivot Table for 1-11'!$A$3,"State","AL","SREB Type2","Specialized")</f>
        <v>0</v>
      </c>
      <c r="K321" s="197">
        <f>GETPIVOTDATA(" Old-Pharmacy",'Pivot Table for 1-11'!$A$3,"State","AL","SREB Type2","Specialized")</f>
        <v>0</v>
      </c>
      <c r="L321" s="197">
        <f>GETPIVOTDATA(" Old-Optometry",'Pivot Table for 1-11'!$A$3,"State","AL","SREB Type2","Specialized")</f>
        <v>0</v>
      </c>
      <c r="M321" s="197">
        <f>GETPIVOTDATA(" Old-Osteopathic Medicine",'Pivot Table for 1-11'!$A$3,"State","AL","SREB Type2","Specialized")</f>
        <v>0</v>
      </c>
      <c r="N321" s="197">
        <f>GETPIVOTDATA(" Old-Veterinary Medicine",'Pivot Table for 1-11'!$A$3,"State","AL","SREB Type2","Specialized")</f>
        <v>0</v>
      </c>
      <c r="O321" s="198">
        <f>+GETPIVOTDATA(" Old-Oth PP",'Pivot Table for 1-11'!$A$3,"State","AL","SREB Type2","Specialized")</f>
        <v>0</v>
      </c>
      <c r="P321" s="199">
        <f t="shared" ref="P321:P339" si="7">SUM(B321:O321)</f>
        <v>124</v>
      </c>
    </row>
    <row r="322" spans="1:16" ht="15" customHeight="1">
      <c r="A322" s="196" t="s">
        <v>22</v>
      </c>
      <c r="B322" s="197">
        <f>GETPIVOTDATA(" Old-Less Than 2-Year",'Pivot Table for 1-11'!$A$3,"State","AR","SREB Type2","Specialized")+GETPIVOTDATA(" Old-2 But Less Than 4-Year",'Pivot Table for 1-11'!$A$3,"State","AR","SREB Type2","Specialized")</f>
        <v>1</v>
      </c>
      <c r="C322" s="197">
        <f>GETPIVOTDATA(" Old-Associate's",'Pivot Table for 1-11'!$A$3,"State","AR","SREB Type2","Specialized")</f>
        <v>56</v>
      </c>
      <c r="D322" s="197">
        <f>GETPIVOTDATA(" Old-Bachelor's",'Pivot Table for 1-11'!$A$3,"State","AR","SREB Type2","Specialized")</f>
        <v>245</v>
      </c>
      <c r="E322" s="197">
        <f>GETPIVOTDATA(" Old-Post-Bachelor's",'Pivot Table for 1-11'!$A$3,"State","AR","SREB Type2","Specialized")</f>
        <v>38</v>
      </c>
      <c r="F322" s="197">
        <f>GETPIVOTDATA(" Old-Total Master's#",'Pivot Table for 1-11'!$A$3,"State","AR","SREB Type2","Specialized")</f>
        <v>224</v>
      </c>
      <c r="G322" s="197">
        <f>GETPIVOTDATA(" Old-Total Doctorates#",'Pivot Table for 1-11'!$A$3,"State","AR","SREB Type2","Specialized")</f>
        <v>27</v>
      </c>
      <c r="H322" s="230">
        <f>GETPIVOTDATA(" Old-Law",'Pivot Table for 1-11'!$A$3,"State","AR","SREB Type2","Specialized")</f>
        <v>0</v>
      </c>
      <c r="I322" s="197">
        <f>GETPIVOTDATA(" Old-Medicine",'Pivot Table for 1-11'!$A$3,"State","AR","SREB Type2","Specialized")</f>
        <v>163</v>
      </c>
      <c r="J322" s="197">
        <f>GETPIVOTDATA(" Old-Dentistry",'Pivot Table for 1-11'!$A$3,"State","AR","SREB Type2","Specialized")</f>
        <v>0</v>
      </c>
      <c r="K322" s="197">
        <f>GETPIVOTDATA(" Old-Pharmacy",'Pivot Table for 1-11'!$A$3,"State","AR","SREB Type2","Specialized")</f>
        <v>111</v>
      </c>
      <c r="L322" s="197">
        <f>GETPIVOTDATA(" Old-Optometry",'Pivot Table for 1-11'!$A$3,"State","AR","SREB Type2","Specialized")</f>
        <v>0</v>
      </c>
      <c r="M322" s="197">
        <f>GETPIVOTDATA(" Old-Osteopathic Medicine",'Pivot Table for 1-11'!$A$3,"State","AR","SREB Type2","Specialized")</f>
        <v>0</v>
      </c>
      <c r="N322" s="197">
        <f>GETPIVOTDATA(" Old-Veterinary Medicine",'Pivot Table for 1-11'!$A$3,"State","AR","SREB Type2","Specialized")</f>
        <v>0</v>
      </c>
      <c r="O322" s="198">
        <f>+GETPIVOTDATA(" Old-Oth PP",'Pivot Table for 1-11'!$A$3,"State","AR","SREB Type2","Specialized")</f>
        <v>26</v>
      </c>
      <c r="P322" s="199">
        <f t="shared" si="7"/>
        <v>891</v>
      </c>
    </row>
    <row r="323" spans="1:16" ht="15" customHeight="1">
      <c r="A323" s="196" t="s">
        <v>23</v>
      </c>
      <c r="B323" s="197">
        <f>GETPIVOTDATA(" Old-Less Than 2-Year",'Pivot Table for 1-11'!$A$3,"State","DE","SREB Type2","Specialized")+GETPIVOTDATA(" Old-2 But Less Than 4-Year",'Pivot Table for 1-11'!$A$3,"State","DE","SREB Type2","Specialized")</f>
        <v>0</v>
      </c>
      <c r="C323" s="197">
        <f>GETPIVOTDATA(" Old-Associate's",'Pivot Table for 1-11'!$A$3,"State","DE","SREB Type2","Specialized")</f>
        <v>0</v>
      </c>
      <c r="D323" s="197">
        <f>GETPIVOTDATA(" Old-Bachelor's",'Pivot Table for 1-11'!$A$3,"State","DE","SREB Type2","Specialized")</f>
        <v>0</v>
      </c>
      <c r="E323" s="197">
        <f>GETPIVOTDATA(" Old-Post-Bachelor's",'Pivot Table for 1-11'!$A$3,"State","DE","SREB Type2","Specialized")</f>
        <v>0</v>
      </c>
      <c r="F323" s="197">
        <f>GETPIVOTDATA(" Old-Total Master's#",'Pivot Table for 1-11'!$A$3,"State","DE","SREB Type2","Specialized")</f>
        <v>0</v>
      </c>
      <c r="G323" s="197">
        <f>GETPIVOTDATA(" Old-Total Doctorates#",'Pivot Table for 1-11'!$A$3,"State","DE","SREB Type2","Specialized")</f>
        <v>0</v>
      </c>
      <c r="H323" s="230">
        <f>GETPIVOTDATA(" Old-Law",'Pivot Table for 1-11'!$A$3,"State","DE","SREB Type2","Specialized")</f>
        <v>0</v>
      </c>
      <c r="I323" s="197">
        <f>GETPIVOTDATA(" Old-Medicine",'Pivot Table for 1-11'!$A$3,"State","DE","SREB Type2","Specialized")</f>
        <v>0</v>
      </c>
      <c r="J323" s="197">
        <f>GETPIVOTDATA(" Old-Dentistry",'Pivot Table for 1-11'!$A$3,"State","DE","SREB Type2","Specialized")</f>
        <v>0</v>
      </c>
      <c r="K323" s="197">
        <f>GETPIVOTDATA(" Old-Pharmacy",'Pivot Table for 1-11'!$A$3,"State","DE","SREB Type2","Specialized")</f>
        <v>0</v>
      </c>
      <c r="L323" s="197">
        <f>GETPIVOTDATA(" Old-Optometry",'Pivot Table for 1-11'!$A$3,"State","DE","SREB Type2","Specialized")</f>
        <v>0</v>
      </c>
      <c r="M323" s="197">
        <f>GETPIVOTDATA(" Old-Osteopathic Medicine",'Pivot Table for 1-11'!$A$3,"State","DE","SREB Type2","Specialized")</f>
        <v>0</v>
      </c>
      <c r="N323" s="197">
        <f>GETPIVOTDATA(" Old-Veterinary Medicine",'Pivot Table for 1-11'!$A$3,"State","DE","SREB Type2","Specialized")</f>
        <v>0</v>
      </c>
      <c r="O323" s="198">
        <f>+GETPIVOTDATA(" Old-Oth PP",'Pivot Table for 1-11'!$A$3,"State","DE","SREB Type2","Specialized")</f>
        <v>0</v>
      </c>
      <c r="P323" s="199">
        <f t="shared" si="7"/>
        <v>0</v>
      </c>
    </row>
    <row r="324" spans="1:16" ht="15" customHeight="1">
      <c r="A324" s="196" t="s">
        <v>24</v>
      </c>
      <c r="B324" s="197">
        <f>GETPIVOTDATA(" Old-Less Than 2-Year",'Pivot Table for 1-11'!$A$3,"State","FL","SREB Type2","Specialized")+GETPIVOTDATA(" Old-2 But Less Than 4-Year",'Pivot Table for 1-11'!$A$3,"State","FL","SREB Type2","Specialized")</f>
        <v>0</v>
      </c>
      <c r="C324" s="197">
        <f>GETPIVOTDATA(" Old-Associate's",'Pivot Table for 1-11'!$A$3,"State","FL","SREB Type2","Specialized")</f>
        <v>0</v>
      </c>
      <c r="D324" s="197">
        <f>GETPIVOTDATA(" Old-Bachelor's",'Pivot Table for 1-11'!$A$3,"State","FL","SREB Type2","Specialized")</f>
        <v>0</v>
      </c>
      <c r="E324" s="197">
        <f>GETPIVOTDATA(" Old-Post-Bachelor's",'Pivot Table for 1-11'!$A$3,"State","FL","SREB Type2","Specialized")</f>
        <v>0</v>
      </c>
      <c r="F324" s="197">
        <f>GETPIVOTDATA(" Old-Total Master's#",'Pivot Table for 1-11'!$A$3,"State","FL","SREB Type2","Specialized")</f>
        <v>0</v>
      </c>
      <c r="G324" s="197">
        <f>GETPIVOTDATA(" Old-Total Doctorates#",'Pivot Table for 1-11'!$A$3,"State","FL","SREB Type2","Specialized")</f>
        <v>0</v>
      </c>
      <c r="H324" s="230">
        <f>GETPIVOTDATA(" Old-Law",'Pivot Table for 1-11'!$A$3,"State","FL","SREB Type2","Specialized")</f>
        <v>0</v>
      </c>
      <c r="I324" s="197">
        <f>GETPIVOTDATA(" Old-Medicine",'Pivot Table for 1-11'!$A$3,"State","FL","SREB Type2","Specialized")</f>
        <v>0</v>
      </c>
      <c r="J324" s="197">
        <f>GETPIVOTDATA(" Old-Dentistry",'Pivot Table for 1-11'!$A$3,"State","FL","SREB Type2","Specialized")</f>
        <v>0</v>
      </c>
      <c r="K324" s="197">
        <f>GETPIVOTDATA(" Old-Pharmacy",'Pivot Table for 1-11'!$A$3,"State","FL","SREB Type2","Specialized")</f>
        <v>0</v>
      </c>
      <c r="L324" s="197">
        <f>GETPIVOTDATA(" Old-Optometry",'Pivot Table for 1-11'!$A$3,"State","FL","SREB Type2","Specialized")</f>
        <v>0</v>
      </c>
      <c r="M324" s="197">
        <f>GETPIVOTDATA(" Old-Osteopathic Medicine",'Pivot Table for 1-11'!$A$3,"State","FL","SREB Type2","Specialized")</f>
        <v>0</v>
      </c>
      <c r="N324" s="197">
        <f>GETPIVOTDATA(" Old-Veterinary Medicine",'Pivot Table for 1-11'!$A$3,"State","FL","SREB Type2","Specialized")</f>
        <v>0</v>
      </c>
      <c r="O324" s="198">
        <f>+GETPIVOTDATA(" Old-Oth PP",'Pivot Table for 1-11'!$A$3,"State","FL","SREB Type2","Specialized")</f>
        <v>0</v>
      </c>
      <c r="P324" s="199">
        <f t="shared" si="7"/>
        <v>0</v>
      </c>
    </row>
    <row r="325" spans="1:16" ht="15" customHeight="1">
      <c r="A325" s="196"/>
      <c r="B325" s="197"/>
      <c r="C325" s="197"/>
      <c r="D325" s="197"/>
      <c r="E325" s="197"/>
      <c r="F325" s="197"/>
      <c r="G325" s="197"/>
      <c r="H325" s="230"/>
      <c r="I325" s="197"/>
      <c r="J325" s="197"/>
      <c r="K325" s="197"/>
      <c r="L325" s="197"/>
      <c r="M325" s="197"/>
      <c r="N325" s="197"/>
      <c r="O325" s="198"/>
      <c r="P325" s="199"/>
    </row>
    <row r="326" spans="1:16" ht="15" customHeight="1">
      <c r="A326" s="196" t="s">
        <v>25</v>
      </c>
      <c r="B326" s="197">
        <f>GETPIVOTDATA(" Old-Less Than 2-Year",'Pivot Table for 1-11'!$A$3,"State","GA","SREB Type2","Specialized")+GETPIVOTDATA(" Old-2 But Less Than 4-Year",'Pivot Table for 1-11'!$A$3,"State","GA","SREB Type2","Specialized")</f>
        <v>0</v>
      </c>
      <c r="C326" s="197">
        <f>GETPIVOTDATA(" Old-Associate's",'Pivot Table for 1-11'!$A$3,"State","GA","SREB Type2","Specialized")</f>
        <v>0</v>
      </c>
      <c r="D326" s="197">
        <f>GETPIVOTDATA(" Old-Bachelor's",'Pivot Table for 1-11'!$A$3,"State","GA","SREB Type2","Specialized")</f>
        <v>0</v>
      </c>
      <c r="E326" s="197">
        <f>GETPIVOTDATA(" Old-Post-Bachelor's",'Pivot Table for 1-11'!$A$3,"State","GA","SREB Type2","Specialized")</f>
        <v>0</v>
      </c>
      <c r="F326" s="197">
        <f>GETPIVOTDATA(" Old-Total Master's#",'Pivot Table for 1-11'!$A$3,"State","GA","SREB Type2","Specialized")</f>
        <v>0</v>
      </c>
      <c r="G326" s="197">
        <f>GETPIVOTDATA(" Old-Total Doctorates#",'Pivot Table for 1-11'!$A$3,"State","GA","SREB Type2","Specialized")</f>
        <v>0</v>
      </c>
      <c r="H326" s="230">
        <f>GETPIVOTDATA(" Old-Law",'Pivot Table for 1-11'!$A$3,"State","GA","SREB Type2","Specialized")</f>
        <v>0</v>
      </c>
      <c r="I326" s="197">
        <f>GETPIVOTDATA(" Old-Medicine",'Pivot Table for 1-11'!$A$3,"State","GA","SREB Type2","Specialized")</f>
        <v>0</v>
      </c>
      <c r="J326" s="197">
        <f>GETPIVOTDATA(" Old-Dentistry",'Pivot Table for 1-11'!$A$3,"State","GA","SREB Type2","Specialized")</f>
        <v>0</v>
      </c>
      <c r="K326" s="197">
        <f>GETPIVOTDATA(" Old-Pharmacy",'Pivot Table for 1-11'!$A$3,"State","GA","SREB Type2","Specialized")</f>
        <v>0</v>
      </c>
      <c r="L326" s="197">
        <f>GETPIVOTDATA(" Old-Optometry",'Pivot Table for 1-11'!$A$3,"State","GA","SREB Type2","Specialized")</f>
        <v>0</v>
      </c>
      <c r="M326" s="197">
        <f>GETPIVOTDATA(" Old-Osteopathic Medicine",'Pivot Table for 1-11'!$A$3,"State","GA","SREB Type2","Specialized")</f>
        <v>0</v>
      </c>
      <c r="N326" s="197">
        <f>GETPIVOTDATA(" Old-Veterinary Medicine",'Pivot Table for 1-11'!$A$3,"State","GA","SREB Type2","Specialized")</f>
        <v>0</v>
      </c>
      <c r="O326" s="198">
        <f>+GETPIVOTDATA(" Old-Oth PP",'Pivot Table for 1-11'!$A$3,"State","GA","SREB Type2","Specialized")</f>
        <v>0</v>
      </c>
      <c r="P326" s="199">
        <f t="shared" si="7"/>
        <v>0</v>
      </c>
    </row>
    <row r="327" spans="1:16" ht="15" customHeight="1">
      <c r="A327" s="196" t="s">
        <v>26</v>
      </c>
      <c r="B327" s="197">
        <f>GETPIVOTDATA(" Old-Less Than 2-Year",'Pivot Table for 1-11'!$A$3,"State","KY","SREB Type2","Specialized")+GETPIVOTDATA(" Old-2 But Less Than 4-Year",'Pivot Table for 1-11'!$A$3,"State","KY","SREB Type2","Specialized")</f>
        <v>0</v>
      </c>
      <c r="C327" s="197">
        <f>GETPIVOTDATA(" Old-Associate's",'Pivot Table for 1-11'!$A$3,"State","KY","SREB Type2","Specialized")</f>
        <v>0</v>
      </c>
      <c r="D327" s="197">
        <f>GETPIVOTDATA(" Old-Bachelor's",'Pivot Table for 1-11'!$A$3,"State","KY","SREB Type2","Specialized")</f>
        <v>0</v>
      </c>
      <c r="E327" s="197">
        <f>GETPIVOTDATA(" Old-Post-Bachelor's",'Pivot Table for 1-11'!$A$3,"State","KY","SREB Type2","Specialized")</f>
        <v>0</v>
      </c>
      <c r="F327" s="197">
        <f>GETPIVOTDATA(" Old-Total Master's#",'Pivot Table for 1-11'!$A$3,"State","KY","SREB Type2","Specialized")</f>
        <v>0</v>
      </c>
      <c r="G327" s="197">
        <f>GETPIVOTDATA(" Old-Total Doctorates#",'Pivot Table for 1-11'!$A$3,"State","KY","SREB Type2","Specialized")</f>
        <v>0</v>
      </c>
      <c r="H327" s="230">
        <f>GETPIVOTDATA(" Old-Law",'Pivot Table for 1-11'!$A$3,"State","KY","SREB Type2","Specialized")</f>
        <v>0</v>
      </c>
      <c r="I327" s="197">
        <f>GETPIVOTDATA(" Old-Medicine",'Pivot Table for 1-11'!$A$3,"State","KY","SREB Type2","Specialized")</f>
        <v>0</v>
      </c>
      <c r="J327" s="197">
        <f>GETPIVOTDATA(" Old-Dentistry",'Pivot Table for 1-11'!$A$3,"State","KY","SREB Type2","Specialized")</f>
        <v>0</v>
      </c>
      <c r="K327" s="197">
        <f>GETPIVOTDATA(" Old-Pharmacy",'Pivot Table for 1-11'!$A$3,"State","KY","SREB Type2","Specialized")</f>
        <v>0</v>
      </c>
      <c r="L327" s="197">
        <f>GETPIVOTDATA(" Old-Optometry",'Pivot Table for 1-11'!$A$3,"State","KY","SREB Type2","Specialized")</f>
        <v>0</v>
      </c>
      <c r="M327" s="197">
        <f>GETPIVOTDATA(" Old-Osteopathic Medicine",'Pivot Table for 1-11'!$A$3,"State","KY","SREB Type2","Specialized")</f>
        <v>0</v>
      </c>
      <c r="N327" s="197">
        <f>GETPIVOTDATA(" Old-Veterinary Medicine",'Pivot Table for 1-11'!$A$3,"State","KY","SREB Type2","Specialized")</f>
        <v>0</v>
      </c>
      <c r="O327" s="198">
        <f>+GETPIVOTDATA(" Old-Oth PP",'Pivot Table for 1-11'!$A$3,"State","KY","SREB Type2","Specialized")</f>
        <v>0</v>
      </c>
      <c r="P327" s="199">
        <f t="shared" si="7"/>
        <v>0</v>
      </c>
    </row>
    <row r="328" spans="1:16" ht="15" customHeight="1">
      <c r="A328" s="196" t="s">
        <v>27</v>
      </c>
      <c r="B328" s="197">
        <f>GETPIVOTDATA(" Old-Less Than 2-Year",'Pivot Table for 1-11'!$A$3,"State","LA","SREB Type2","Specialized")+GETPIVOTDATA(" Old-2 But Less Than 4-Year",'Pivot Table for 1-11'!$A$3,"State","LA","SREB Type2","Specialized")</f>
        <v>0</v>
      </c>
      <c r="C328" s="197">
        <f>GETPIVOTDATA(" Old-Associate's",'Pivot Table for 1-11'!$A$3,"State","LA","SREB Type2","Specialized")</f>
        <v>2</v>
      </c>
      <c r="D328" s="197">
        <f>GETPIVOTDATA(" Old-Bachelor's",'Pivot Table for 1-11'!$A$3,"State","LA","SREB Type2","Specialized")</f>
        <v>341</v>
      </c>
      <c r="E328" s="197">
        <f>GETPIVOTDATA(" Old-Post-Bachelor's",'Pivot Table for 1-11'!$A$3,"State","LA","SREB Type2","Specialized")</f>
        <v>0</v>
      </c>
      <c r="F328" s="197">
        <f>GETPIVOTDATA(" Old-Total Master's#",'Pivot Table for 1-11'!$A$3,"State","LA","SREB Type2","Specialized")</f>
        <v>202</v>
      </c>
      <c r="G328" s="197">
        <f>GETPIVOTDATA(" Old-Total Doctorates#",'Pivot Table for 1-11'!$A$3,"State","LA","SREB Type2","Specialized")</f>
        <v>37</v>
      </c>
      <c r="H328" s="230">
        <f>GETPIVOTDATA(" Old-Law",'Pivot Table for 1-11'!$A$3,"State","LA","SREB Type2","Specialized")</f>
        <v>159</v>
      </c>
      <c r="I328" s="197">
        <f>GETPIVOTDATA(" Old-Medicine",'Pivot Table for 1-11'!$A$3,"State","LA","SREB Type2","Specialized")</f>
        <v>308</v>
      </c>
      <c r="J328" s="197">
        <f>GETPIVOTDATA(" Old-Dentistry",'Pivot Table for 1-11'!$A$3,"State","LA","SREB Type2","Specialized")</f>
        <v>59</v>
      </c>
      <c r="K328" s="197">
        <f>GETPIVOTDATA(" Old-Pharmacy",'Pivot Table for 1-11'!$A$3,"State","LA","SREB Type2","Specialized")</f>
        <v>0</v>
      </c>
      <c r="L328" s="197">
        <f>GETPIVOTDATA(" Old-Optometry",'Pivot Table for 1-11'!$A$3,"State","LA","SREB Type2","Specialized")</f>
        <v>0</v>
      </c>
      <c r="M328" s="197">
        <f>GETPIVOTDATA(" Old-Osteopathic Medicine",'Pivot Table for 1-11'!$A$3,"State","LA","SREB Type2","Specialized")</f>
        <v>0</v>
      </c>
      <c r="N328" s="197">
        <f>GETPIVOTDATA(" Old-Veterinary Medicine",'Pivot Table for 1-11'!$A$3,"State","LA","SREB Type2","Specialized")</f>
        <v>0</v>
      </c>
      <c r="O328" s="198">
        <f>+GETPIVOTDATA(" Old-Oth PP",'Pivot Table for 1-11'!$A$3,"State","LA","SREB Type2","Specialized")</f>
        <v>153</v>
      </c>
      <c r="P328" s="199">
        <f t="shared" si="7"/>
        <v>1261</v>
      </c>
    </row>
    <row r="329" spans="1:16" ht="15" customHeight="1">
      <c r="A329" s="196" t="s">
        <v>28</v>
      </c>
      <c r="B329" s="197">
        <f>GETPIVOTDATA(" Old-Less Than 2-Year",'Pivot Table for 1-11'!$A$3,"State","MD","SREB Type2","Specialized")+GETPIVOTDATA(" Old-2 But Less Than 4-Year",'Pivot Table for 1-11'!$A$3,"State","MD","SREB Type2","Specialized")</f>
        <v>0</v>
      </c>
      <c r="C329" s="197">
        <f>GETPIVOTDATA(" Old-Associate's",'Pivot Table for 1-11'!$A$3,"State","MD","SREB Type2","Specialized")</f>
        <v>0</v>
      </c>
      <c r="D329" s="197">
        <f>GETPIVOTDATA(" Old-Bachelor's",'Pivot Table for 1-11'!$A$3,"State","MD","SREB Type2","Specialized")</f>
        <v>0</v>
      </c>
      <c r="E329" s="197">
        <f>GETPIVOTDATA(" Old-Post-Bachelor's",'Pivot Table for 1-11'!$A$3,"State","MD","SREB Type2","Specialized")</f>
        <v>0</v>
      </c>
      <c r="F329" s="197">
        <f>GETPIVOTDATA(" Old-Total Master's#",'Pivot Table for 1-11'!$A$3,"State","MD","SREB Type2","Specialized")</f>
        <v>0</v>
      </c>
      <c r="G329" s="197">
        <f>GETPIVOTDATA(" Old-Total Doctorates#",'Pivot Table for 1-11'!$A$3,"State","MD","SREB Type2","Specialized")</f>
        <v>0</v>
      </c>
      <c r="H329" s="230">
        <f>GETPIVOTDATA(" Old-Law",'Pivot Table for 1-11'!$A$3,"State","MD","SREB Type2","Specialized")</f>
        <v>0</v>
      </c>
      <c r="I329" s="197">
        <f>GETPIVOTDATA(" Old-Medicine",'Pivot Table for 1-11'!$A$3,"State","MD","SREB Type2","Specialized")</f>
        <v>0</v>
      </c>
      <c r="J329" s="197">
        <f>GETPIVOTDATA(" Old-Dentistry",'Pivot Table for 1-11'!$A$3,"State","MD","SREB Type2","Specialized")</f>
        <v>0</v>
      </c>
      <c r="K329" s="197">
        <f>GETPIVOTDATA(" Old-Pharmacy",'Pivot Table for 1-11'!$A$3,"State","MD","SREB Type2","Specialized")</f>
        <v>0</v>
      </c>
      <c r="L329" s="197">
        <f>GETPIVOTDATA(" Old-Optometry",'Pivot Table for 1-11'!$A$3,"State","MD","SREB Type2","Specialized")</f>
        <v>0</v>
      </c>
      <c r="M329" s="197">
        <f>GETPIVOTDATA(" Old-Osteopathic Medicine",'Pivot Table for 1-11'!$A$3,"State","MD","SREB Type2","Specialized")</f>
        <v>0</v>
      </c>
      <c r="N329" s="197">
        <f>GETPIVOTDATA(" Old-Veterinary Medicine",'Pivot Table for 1-11'!$A$3,"State","MD","SREB Type2","Specialized")</f>
        <v>0</v>
      </c>
      <c r="O329" s="198">
        <f>+GETPIVOTDATA(" Old-Oth PP",'Pivot Table for 1-11'!$A$3,"State","MD","SREB Type2","Specialized")</f>
        <v>0</v>
      </c>
      <c r="P329" s="199">
        <f t="shared" si="7"/>
        <v>0</v>
      </c>
    </row>
    <row r="330" spans="1:16" ht="10.5" customHeight="1">
      <c r="A330" s="196"/>
      <c r="B330" s="197"/>
      <c r="C330" s="197"/>
      <c r="D330" s="197"/>
      <c r="E330" s="197"/>
      <c r="F330" s="197"/>
      <c r="G330" s="197"/>
      <c r="H330" s="230"/>
      <c r="I330" s="197"/>
      <c r="J330" s="197"/>
      <c r="K330" s="197"/>
      <c r="L330" s="197"/>
      <c r="M330" s="197"/>
      <c r="N330" s="197"/>
      <c r="O330" s="198"/>
      <c r="P330" s="199"/>
    </row>
    <row r="331" spans="1:16" ht="15" customHeight="1">
      <c r="A331" s="196" t="s">
        <v>29</v>
      </c>
      <c r="B331" s="197">
        <f>GETPIVOTDATA(" Old-Less Than 2-Year",'Pivot Table for 1-11'!$A$3,"State","MS","SREB Type2","Specialized")+GETPIVOTDATA(" Old-2 But Less Than 4-Year",'Pivot Table for 1-11'!$A$3,"State","MS","SREB Type2","Specialized")</f>
        <v>0</v>
      </c>
      <c r="C331" s="197">
        <f>GETPIVOTDATA(" Old-Associate's",'Pivot Table for 1-11'!$A$3,"State","MS","SREB Type2","Specialized")</f>
        <v>0</v>
      </c>
      <c r="D331" s="197">
        <f>GETPIVOTDATA(" Old-Bachelor's",'Pivot Table for 1-11'!$A$3,"State","MS","SREB Type2","Specialized")</f>
        <v>0</v>
      </c>
      <c r="E331" s="197">
        <f>GETPIVOTDATA(" Old-Post-Bachelor's",'Pivot Table for 1-11'!$A$3,"State","MS","SREB Type2","Specialized")</f>
        <v>0</v>
      </c>
      <c r="F331" s="197">
        <f>GETPIVOTDATA(" Old-Total Master's#",'Pivot Table for 1-11'!$A$3,"State","MS","SREB Type2","Specialized")</f>
        <v>0</v>
      </c>
      <c r="G331" s="197">
        <f>GETPIVOTDATA(" Old-Total Doctorates#",'Pivot Table for 1-11'!$A$3,"State","MS","SREB Type2","Specialized")</f>
        <v>0</v>
      </c>
      <c r="H331" s="230">
        <f>GETPIVOTDATA(" Old-Law",'Pivot Table for 1-11'!$A$3,"State","MS","SREB Type2","Specialized")</f>
        <v>0</v>
      </c>
      <c r="I331" s="197">
        <f>GETPIVOTDATA(" Old-Medicine",'Pivot Table for 1-11'!$A$3,"State","MS","SREB Type2","Specialized")</f>
        <v>0</v>
      </c>
      <c r="J331" s="197">
        <f>GETPIVOTDATA(" Old-Dentistry",'Pivot Table for 1-11'!$A$3,"State","MS","SREB Type2","Specialized")</f>
        <v>0</v>
      </c>
      <c r="K331" s="197">
        <f>GETPIVOTDATA(" Old-Pharmacy",'Pivot Table for 1-11'!$A$3,"State","MS","SREB Type2","Specialized")</f>
        <v>0</v>
      </c>
      <c r="L331" s="197">
        <f>GETPIVOTDATA(" Old-Optometry",'Pivot Table for 1-11'!$A$3,"State","MS","SREB Type2","Specialized")</f>
        <v>0</v>
      </c>
      <c r="M331" s="197">
        <f>GETPIVOTDATA(" Old-Osteopathic Medicine",'Pivot Table for 1-11'!$A$3,"State","MS","SREB Type2","Specialized")</f>
        <v>0</v>
      </c>
      <c r="N331" s="197">
        <f>GETPIVOTDATA(" Old-Veterinary Medicine",'Pivot Table for 1-11'!$A$3,"State","MS","SREB Type2","Specialized")</f>
        <v>0</v>
      </c>
      <c r="O331" s="198">
        <f>+GETPIVOTDATA(" Old-Oth PP",'Pivot Table for 1-11'!$A$3,"State","MS","SREB Type2","Specialized")</f>
        <v>0</v>
      </c>
      <c r="P331" s="199">
        <f t="shared" si="7"/>
        <v>0</v>
      </c>
    </row>
    <row r="332" spans="1:16" ht="15" customHeight="1">
      <c r="A332" s="196" t="s">
        <v>30</v>
      </c>
      <c r="B332" s="197">
        <f>GETPIVOTDATA(" Old-Less Than 2-Year",'Pivot Table for 1-11'!$A$3,"State","NC","SREB Type2","Specialized")+GETPIVOTDATA(" Old-2 But Less Than 4-Year",'Pivot Table for 1-11'!$A$3,"State","NC","SREB Type2","Specialized")</f>
        <v>0</v>
      </c>
      <c r="C332" s="197">
        <f>GETPIVOTDATA(" Old-Associate's",'Pivot Table for 1-11'!$A$3,"State","NC","SREB Type2","Specialized")</f>
        <v>0</v>
      </c>
      <c r="D332" s="197">
        <f>GETPIVOTDATA(" Old-Bachelor's",'Pivot Table for 1-11'!$A$3,"State","NC","SREB Type2","Specialized")</f>
        <v>196</v>
      </c>
      <c r="E332" s="197">
        <f>GETPIVOTDATA(" Old-Post-Bachelor's",'Pivot Table for 1-11'!$A$3,"State","NC","SREB Type2","Specialized")</f>
        <v>0</v>
      </c>
      <c r="F332" s="197">
        <f>GETPIVOTDATA(" Old-Total Master's#",'Pivot Table for 1-11'!$A$3,"State","NC","SREB Type2","Specialized")</f>
        <v>51</v>
      </c>
      <c r="G332" s="197">
        <f>GETPIVOTDATA(" Old-Total Doctorates#",'Pivot Table for 1-11'!$A$3,"State","NC","SREB Type2","Specialized")</f>
        <v>0</v>
      </c>
      <c r="H332" s="230">
        <f>GETPIVOTDATA(" Old-Law",'Pivot Table for 1-11'!$A$3,"State","NC","SREB Type2","Specialized")</f>
        <v>0</v>
      </c>
      <c r="I332" s="197">
        <f>GETPIVOTDATA(" Old-Medicine",'Pivot Table for 1-11'!$A$3,"State","NC","SREB Type2","Specialized")</f>
        <v>0</v>
      </c>
      <c r="J332" s="197">
        <f>GETPIVOTDATA(" Old-Dentistry",'Pivot Table for 1-11'!$A$3,"State","NC","SREB Type2","Specialized")</f>
        <v>0</v>
      </c>
      <c r="K332" s="197">
        <f>GETPIVOTDATA(" Old-Pharmacy",'Pivot Table for 1-11'!$A$3,"State","NC","SREB Type2","Specialized")</f>
        <v>0</v>
      </c>
      <c r="L332" s="197">
        <f>GETPIVOTDATA(" Old-Optometry",'Pivot Table for 1-11'!$A$3,"State","NC","SREB Type2","Specialized")</f>
        <v>0</v>
      </c>
      <c r="M332" s="197">
        <f>GETPIVOTDATA(" Old-Osteopathic Medicine",'Pivot Table for 1-11'!$A$3,"State","NC","SREB Type2","Specialized")</f>
        <v>0</v>
      </c>
      <c r="N332" s="197">
        <f>GETPIVOTDATA(" Old-Veterinary Medicine",'Pivot Table for 1-11'!$A$3,"State","NC","SREB Type2","Specialized")</f>
        <v>0</v>
      </c>
      <c r="O332" s="198">
        <f>+GETPIVOTDATA(" Old-Oth PP",'Pivot Table for 1-11'!$A$3,"State","NC","SREB Type2","Specialized")</f>
        <v>0</v>
      </c>
      <c r="P332" s="199">
        <f t="shared" si="7"/>
        <v>247</v>
      </c>
    </row>
    <row r="333" spans="1:16" ht="15" customHeight="1">
      <c r="A333" s="196" t="s">
        <v>31</v>
      </c>
      <c r="B333" s="197">
        <f>GETPIVOTDATA(" Old-Less Than 2-Year",'Pivot Table for 1-11'!$A$3,"State","OK","SREB Type2","Specialized")+GETPIVOTDATA(" Old-2 But Less Than 4-Year",'Pivot Table for 1-11'!$A$3,"State","OK","SREB Type2","Specialized")</f>
        <v>0</v>
      </c>
      <c r="C333" s="197">
        <f>GETPIVOTDATA(" Old-Associate's",'Pivot Table for 1-11'!$A$3,"State","OK","SREB Type2","Specialized")</f>
        <v>0</v>
      </c>
      <c r="D333" s="197">
        <f>GETPIVOTDATA(" Old-Bachelor's",'Pivot Table for 1-11'!$A$3,"State","OK","SREB Type2","Specialized")</f>
        <v>0</v>
      </c>
      <c r="E333" s="197">
        <f>GETPIVOTDATA(" Old-Post-Bachelor's",'Pivot Table for 1-11'!$A$3,"State","OK","SREB Type2","Specialized")</f>
        <v>0</v>
      </c>
      <c r="F333" s="197">
        <f>GETPIVOTDATA(" Old-Total Master's#",'Pivot Table for 1-11'!$A$3,"State","OK","SREB Type2","Specialized")</f>
        <v>0</v>
      </c>
      <c r="G333" s="197">
        <f>GETPIVOTDATA(" Old-Total Doctorates#",'Pivot Table for 1-11'!$A$3,"State","OK","SREB Type2","Specialized")</f>
        <v>0</v>
      </c>
      <c r="H333" s="230">
        <f>GETPIVOTDATA(" Old-Law",'Pivot Table for 1-11'!$A$3,"State","OK","SREB Type2","Specialized")</f>
        <v>0</v>
      </c>
      <c r="I333" s="197">
        <f>GETPIVOTDATA(" Old-Medicine",'Pivot Table for 1-11'!$A$3,"State","OK","SREB Type2","Specialized")</f>
        <v>0</v>
      </c>
      <c r="J333" s="197">
        <f>GETPIVOTDATA(" Old-Dentistry",'Pivot Table for 1-11'!$A$3,"State","OK","SREB Type2","Specialized")</f>
        <v>0</v>
      </c>
      <c r="K333" s="197">
        <f>GETPIVOTDATA(" Old-Pharmacy",'Pivot Table for 1-11'!$A$3,"State","OK","SREB Type2","Specialized")</f>
        <v>0</v>
      </c>
      <c r="L333" s="197">
        <f>GETPIVOTDATA(" Old-Optometry",'Pivot Table for 1-11'!$A$3,"State","OK","SREB Type2","Specialized")</f>
        <v>0</v>
      </c>
      <c r="M333" s="197">
        <f>GETPIVOTDATA(" Old-Osteopathic Medicine",'Pivot Table for 1-11'!$A$3,"State","OK","SREB Type2","Specialized")</f>
        <v>0</v>
      </c>
      <c r="N333" s="197">
        <f>GETPIVOTDATA(" Old-Veterinary Medicine",'Pivot Table for 1-11'!$A$3,"State","OK","SREB Type2","Specialized")</f>
        <v>0</v>
      </c>
      <c r="O333" s="198">
        <f>+GETPIVOTDATA(" Old-Oth PP",'Pivot Table for 1-11'!$A$3,"State","OK","SREB Type2","Specialized")</f>
        <v>0</v>
      </c>
      <c r="P333" s="199">
        <f t="shared" si="7"/>
        <v>0</v>
      </c>
    </row>
    <row r="334" spans="1:16" ht="15" customHeight="1">
      <c r="A334" s="196" t="s">
        <v>32</v>
      </c>
      <c r="B334" s="197">
        <f>GETPIVOTDATA(" Old-Less Than 2-Year",'Pivot Table for 1-11'!$A$3,"State","SC","SREB Type2","Specialized")+GETPIVOTDATA(" Old-2 But Less Than 4-Year",'Pivot Table for 1-11'!$A$3,"State","SC","SREB Type2","Specialized")</f>
        <v>0</v>
      </c>
      <c r="C334" s="197">
        <f>GETPIVOTDATA(" Old-Associate's",'Pivot Table for 1-11'!$A$3,"State","SC","SREB Type2","Specialized")</f>
        <v>0</v>
      </c>
      <c r="D334" s="197">
        <f>GETPIVOTDATA(" Old-Bachelor's",'Pivot Table for 1-11'!$A$3,"State","SC","SREB Type2","Specialized")</f>
        <v>223</v>
      </c>
      <c r="E334" s="197">
        <f>GETPIVOTDATA(" Old-Post-Bachelor's",'Pivot Table for 1-11'!$A$3,"State","SC","SREB Type2","Specialized")</f>
        <v>1</v>
      </c>
      <c r="F334" s="197">
        <f>GETPIVOTDATA(" Old-Total Master's#",'Pivot Table for 1-11'!$A$3,"State","SC","SREB Type2","Specialized")</f>
        <v>324</v>
      </c>
      <c r="G334" s="197">
        <f>GETPIVOTDATA(" Old-Total Doctorates#",'Pivot Table for 1-11'!$A$3,"State","SC","SREB Type2","Specialized")</f>
        <v>150</v>
      </c>
      <c r="H334" s="230">
        <f>GETPIVOTDATA(" Old-Law",'Pivot Table for 1-11'!$A$3,"State","SC","SREB Type2","Specialized")</f>
        <v>0</v>
      </c>
      <c r="I334" s="197">
        <f>GETPIVOTDATA(" Old-Medicine",'Pivot Table for 1-11'!$A$3,"State","SC","SREB Type2","Specialized")</f>
        <v>169</v>
      </c>
      <c r="J334" s="197">
        <f>GETPIVOTDATA(" Old-Dentistry",'Pivot Table for 1-11'!$A$3,"State","SC","SREB Type2","Specialized")</f>
        <v>70</v>
      </c>
      <c r="K334" s="197">
        <f>GETPIVOTDATA(" Old-Pharmacy",'Pivot Table for 1-11'!$A$3,"State","SC","SREB Type2","Specialized")</f>
        <v>70</v>
      </c>
      <c r="L334" s="197">
        <f>GETPIVOTDATA(" Old-Optometry",'Pivot Table for 1-11'!$A$3,"State","SC","SREB Type2","Specialized")</f>
        <v>0</v>
      </c>
      <c r="M334" s="197">
        <f>GETPIVOTDATA(" Old-Osteopathic Medicine",'Pivot Table for 1-11'!$A$3,"State","SC","SREB Type2","Specialized")</f>
        <v>0</v>
      </c>
      <c r="N334" s="197">
        <f>GETPIVOTDATA(" Old-Veterinary Medicine",'Pivot Table for 1-11'!$A$3,"State","SC","SREB Type2","Specialized")</f>
        <v>0</v>
      </c>
      <c r="O334" s="198">
        <f>+GETPIVOTDATA(" Old-Oth PP",'Pivot Table for 1-11'!$A$3,"State","SC","SREB Type2","Specialized")</f>
        <v>0</v>
      </c>
      <c r="P334" s="199">
        <f t="shared" si="7"/>
        <v>1007</v>
      </c>
    </row>
    <row r="335" spans="1:16" ht="10.5" customHeight="1">
      <c r="A335" s="196"/>
      <c r="B335" s="197"/>
      <c r="C335" s="197"/>
      <c r="D335" s="197"/>
      <c r="E335" s="197"/>
      <c r="F335" s="197"/>
      <c r="G335" s="197"/>
      <c r="H335" s="230"/>
      <c r="I335" s="197"/>
      <c r="J335" s="197"/>
      <c r="K335" s="197"/>
      <c r="L335" s="197"/>
      <c r="M335" s="197"/>
      <c r="N335" s="197"/>
      <c r="O335" s="198"/>
      <c r="P335" s="199"/>
    </row>
    <row r="336" spans="1:16" ht="15" customHeight="1">
      <c r="A336" s="196" t="s">
        <v>33</v>
      </c>
      <c r="B336" s="197">
        <f>GETPIVOTDATA(" Old-Less Than 2-Year",'Pivot Table for 1-11'!$A$3,"State","TN","SREB Type2","Specialized")+GETPIVOTDATA(" Old-2 But Less Than 4-Year",'Pivot Table for 1-11'!$A$3,"State","TN","SREB Type2","Specialized")</f>
        <v>0</v>
      </c>
      <c r="C336" s="197">
        <f>GETPIVOTDATA(" Old-Associate's",'Pivot Table for 1-11'!$A$3,"State","TN","SREB Type2","Specialized")</f>
        <v>0</v>
      </c>
      <c r="D336" s="197">
        <f>GETPIVOTDATA(" Old-Bachelor's",'Pivot Table for 1-11'!$A$3,"State","TN","SREB Type2","Specialized")</f>
        <v>228</v>
      </c>
      <c r="E336" s="197">
        <f>GETPIVOTDATA(" Old-Post-Bachelor's",'Pivot Table for 1-11'!$A$3,"State","TN","SREB Type2","Specialized")</f>
        <v>0</v>
      </c>
      <c r="F336" s="197">
        <f>GETPIVOTDATA(" Old-Total Master's#",'Pivot Table for 1-11'!$A$3,"State","TN","SREB Type2","Specialized")</f>
        <v>199</v>
      </c>
      <c r="G336" s="197">
        <f>GETPIVOTDATA(" Old-Total Doctorates#",'Pivot Table for 1-11'!$A$3,"State","TN","SREB Type2","Specialized")</f>
        <v>182</v>
      </c>
      <c r="H336" s="230">
        <f>GETPIVOTDATA(" Old-Law",'Pivot Table for 1-11'!$A$3,"State","TN","SREB Type2","Specialized")</f>
        <v>0</v>
      </c>
      <c r="I336" s="197">
        <f>GETPIVOTDATA(" Old-Medicine",'Pivot Table for 1-11'!$A$3,"State","TN","SREB Type2","Specialized")</f>
        <v>161</v>
      </c>
      <c r="J336" s="197">
        <f>GETPIVOTDATA(" Old-Dentistry",'Pivot Table for 1-11'!$A$3,"State","TN","SREB Type2","Specialized")</f>
        <v>90</v>
      </c>
      <c r="K336" s="197">
        <f>GETPIVOTDATA(" Old-Pharmacy",'Pivot Table for 1-11'!$A$3,"State","TN","SREB Type2","Specialized")</f>
        <v>187</v>
      </c>
      <c r="L336" s="197">
        <f>GETPIVOTDATA(" Old-Optometry",'Pivot Table for 1-11'!$A$3,"State","TN","SREB Type2","Specialized")</f>
        <v>0</v>
      </c>
      <c r="M336" s="197">
        <f>GETPIVOTDATA(" Old-Osteopathic Medicine",'Pivot Table for 1-11'!$A$3,"State","TN","SREB Type2","Specialized")</f>
        <v>0</v>
      </c>
      <c r="N336" s="197">
        <f>GETPIVOTDATA(" Old-Veterinary Medicine",'Pivot Table for 1-11'!$A$3,"State","TN","SREB Type2","Specialized")</f>
        <v>0</v>
      </c>
      <c r="O336" s="198">
        <f>+GETPIVOTDATA(" Old-Oth PP",'Pivot Table for 1-11'!$A$3,"State","TN","SREB Type2","Specialized")</f>
        <v>0</v>
      </c>
      <c r="P336" s="199">
        <f t="shared" si="7"/>
        <v>1047</v>
      </c>
    </row>
    <row r="337" spans="1:16" ht="15" customHeight="1">
      <c r="A337" s="196" t="s">
        <v>34</v>
      </c>
      <c r="B337" s="197">
        <f>GETPIVOTDATA(" Old-Less Than 2-Year",'Pivot Table for 1-11'!$A$3,"State","TX","SREB Type2","Specialized")+GETPIVOTDATA(" Old-2 But Less Than 4-Year",'Pivot Table for 1-11'!$A$3,"State","TX","SREB Type2","Specialized")</f>
        <v>327</v>
      </c>
      <c r="C337" s="197">
        <f>GETPIVOTDATA(" Old-Associate's",'Pivot Table for 1-11'!$A$3,"State","TX","SREB Type2","Specialized")</f>
        <v>250</v>
      </c>
      <c r="D337" s="197">
        <f>GETPIVOTDATA(" Old-Bachelor's",'Pivot Table for 1-11'!$A$3,"State","TX","SREB Type2","Specialized")</f>
        <v>3210</v>
      </c>
      <c r="E337" s="197">
        <f>GETPIVOTDATA(" Old-Post-Bachelor's",'Pivot Table for 1-11'!$A$3,"State","TX","SREB Type2","Specialized")</f>
        <v>0</v>
      </c>
      <c r="F337" s="197">
        <f>GETPIVOTDATA(" Old-Total Master's#",'Pivot Table for 1-11'!$A$3,"State","TX","SREB Type2","Specialized")</f>
        <v>2620</v>
      </c>
      <c r="G337" s="197">
        <f>GETPIVOTDATA(" Old-Total Doctorates#",'Pivot Table for 1-11'!$A$3,"State","TX","SREB Type2","Specialized")</f>
        <v>465</v>
      </c>
      <c r="H337" s="230">
        <f>GETPIVOTDATA(" Old-Law",'Pivot Table for 1-11'!$A$3,"State","TX","SREB Type2","Specialized")</f>
        <v>0</v>
      </c>
      <c r="I337" s="197">
        <f>GETPIVOTDATA(" Old-Medicine",'Pivot Table for 1-11'!$A$3,"State","TX","SREB Type2","Specialized")</f>
        <v>1363</v>
      </c>
      <c r="J337" s="197">
        <f>GETPIVOTDATA(" Old-Dentistry",'Pivot Table for 1-11'!$A$3,"State","TX","SREB Type2","Specialized")</f>
        <v>299</v>
      </c>
      <c r="K337" s="197">
        <f>GETPIVOTDATA(" Old-Pharmacy",'Pivot Table for 1-11'!$A$3,"State","TX","SREB Type2","Specialized")</f>
        <v>366</v>
      </c>
      <c r="L337" s="197">
        <f>GETPIVOTDATA(" Old-Optometry",'Pivot Table for 1-11'!$A$3,"State","TX","SREB Type2","Specialized")</f>
        <v>0</v>
      </c>
      <c r="M337" s="197">
        <f>GETPIVOTDATA(" Old-Osteopathic Medicine",'Pivot Table for 1-11'!$A$3,"State","TX","SREB Type2","Specialized")</f>
        <v>226</v>
      </c>
      <c r="N337" s="197">
        <f>GETPIVOTDATA(" Old-Veterinary Medicine",'Pivot Table for 1-11'!$A$3,"State","TX","SREB Type2","Specialized")</f>
        <v>0</v>
      </c>
      <c r="O337" s="198">
        <f>+GETPIVOTDATA(" Old-Oth PP",'Pivot Table for 1-11'!$A$3,"State","TX","SREB Type2","Specialized")</f>
        <v>293</v>
      </c>
      <c r="P337" s="199">
        <f t="shared" si="7"/>
        <v>9419</v>
      </c>
    </row>
    <row r="338" spans="1:16" ht="15" customHeight="1">
      <c r="A338" s="196" t="s">
        <v>35</v>
      </c>
      <c r="B338" s="197">
        <f>GETPIVOTDATA(" Old-Less Than 2-Year",'Pivot Table for 1-11'!$A$3,"State","VA","SREB Type2","Specialized")+GETPIVOTDATA(" Old-2 But Less Than 4-Year",'Pivot Table for 1-11'!$A$3,"State","VA","SREB Type2","Specialized")</f>
        <v>0</v>
      </c>
      <c r="C338" s="197">
        <f>GETPIVOTDATA(" Old-Associate's",'Pivot Table for 1-11'!$A$3,"State","VA","SREB Type2","Specialized")</f>
        <v>0</v>
      </c>
      <c r="D338" s="197">
        <f>GETPIVOTDATA(" Old-Bachelor's",'Pivot Table for 1-11'!$A$3,"State","VA","SREB Type2","Specialized")</f>
        <v>351</v>
      </c>
      <c r="E338" s="197">
        <f>GETPIVOTDATA(" Old-Post-Bachelor's",'Pivot Table for 1-11'!$A$3,"State","VA","SREB Type2","Specialized")</f>
        <v>0</v>
      </c>
      <c r="F338" s="197">
        <f>GETPIVOTDATA(" Old-Total Master's#",'Pivot Table for 1-11'!$A$3,"State","VA","SREB Type2","Specialized")</f>
        <v>0</v>
      </c>
      <c r="G338" s="197">
        <f>GETPIVOTDATA(" Old-Total Doctorates#",'Pivot Table for 1-11'!$A$3,"State","VA","SREB Type2","Specialized")</f>
        <v>0</v>
      </c>
      <c r="H338" s="230">
        <f>GETPIVOTDATA(" Old-Law",'Pivot Table for 1-11'!$A$3,"State","VA","SREB Type2","Specialized")</f>
        <v>0</v>
      </c>
      <c r="I338" s="197">
        <f>GETPIVOTDATA(" Old-Medicine",'Pivot Table for 1-11'!$A$3,"State","VA","SREB Type2","Specialized")</f>
        <v>0</v>
      </c>
      <c r="J338" s="197">
        <f>GETPIVOTDATA(" Old-Dentistry",'Pivot Table for 1-11'!$A$3,"State","VA","SREB Type2","Specialized")</f>
        <v>0</v>
      </c>
      <c r="K338" s="197">
        <f>GETPIVOTDATA(" Old-Pharmacy",'Pivot Table for 1-11'!$A$3,"State","VA","SREB Type2","Specialized")</f>
        <v>0</v>
      </c>
      <c r="L338" s="197">
        <f>GETPIVOTDATA(" Old-Optometry",'Pivot Table for 1-11'!$A$3,"State","VA","SREB Type2","Specialized")</f>
        <v>0</v>
      </c>
      <c r="M338" s="197">
        <f>GETPIVOTDATA(" Old-Osteopathic Medicine",'Pivot Table for 1-11'!$A$3,"State","VA","SREB Type2","Specialized")</f>
        <v>0</v>
      </c>
      <c r="N338" s="197">
        <f>GETPIVOTDATA(" Old-Veterinary Medicine",'Pivot Table for 1-11'!$A$3,"State","VA","SREB Type2","Specialized")</f>
        <v>0</v>
      </c>
      <c r="O338" s="198">
        <f>+GETPIVOTDATA(" Old-Oth PP",'Pivot Table for 1-11'!$A$3,"State","VA","SREB Type2","Specialized")</f>
        <v>0</v>
      </c>
      <c r="P338" s="199">
        <f t="shared" si="7"/>
        <v>351</v>
      </c>
    </row>
    <row r="339" spans="1:16" ht="15" customHeight="1">
      <c r="A339" s="200" t="s">
        <v>36</v>
      </c>
      <c r="B339" s="201">
        <f>GETPIVOTDATA(" Old-Less Than 2-Year",'Pivot Table for 1-11'!$A$3,"State","WV","SREB Type2","Specialized")+GETPIVOTDATA(" Old-2 But Less Than 4-Year",'Pivot Table for 1-11'!$A$3,"State","WV","SREB Type2","Specialized")</f>
        <v>77</v>
      </c>
      <c r="C339" s="201">
        <f>GETPIVOTDATA(" Old-Associate's",'Pivot Table for 1-11'!$A$3,"State","WV","SREB Type2","Specialized")</f>
        <v>0</v>
      </c>
      <c r="D339" s="201">
        <f>GETPIVOTDATA(" Old-Bachelor's",'Pivot Table for 1-11'!$A$3,"State","WV","SREB Type2","Specialized")</f>
        <v>0</v>
      </c>
      <c r="E339" s="201">
        <f>GETPIVOTDATA(" Old-Post-Bachelor's",'Pivot Table for 1-11'!$A$3,"State","WV","SREB Type2","Specialized")</f>
        <v>0</v>
      </c>
      <c r="F339" s="201">
        <f>GETPIVOTDATA(" Old-Total Master's#",'Pivot Table for 1-11'!$A$3,"State","WV","SREB Type2","Specialized")</f>
        <v>0</v>
      </c>
      <c r="G339" s="201">
        <f>GETPIVOTDATA(" Old-Total Doctorates#",'Pivot Table for 1-11'!$A$3,"State","WV","SREB Type2","Specialized")</f>
        <v>0</v>
      </c>
      <c r="H339" s="202">
        <f>GETPIVOTDATA(" Old-Law",'Pivot Table for 1-11'!$A$3,"State","WV","SREB Type2","Specialized")</f>
        <v>0</v>
      </c>
      <c r="I339" s="201">
        <f>GETPIVOTDATA(" Old-Medicine",'Pivot Table for 1-11'!$A$3,"State","WV","SREB Type2","Specialized")</f>
        <v>0</v>
      </c>
      <c r="J339" s="201">
        <f>GETPIVOTDATA(" Old-Dentistry",'Pivot Table for 1-11'!$A$3,"State","WV","SREB Type2","Specialized")</f>
        <v>0</v>
      </c>
      <c r="K339" s="201">
        <f>GETPIVOTDATA(" Old-Pharmacy",'Pivot Table for 1-11'!$A$3,"State","WV","SREB Type2","Specialized")</f>
        <v>0</v>
      </c>
      <c r="L339" s="201">
        <f>GETPIVOTDATA(" Old-Optometry",'Pivot Table for 1-11'!$A$3,"State","WV","SREB Type2","Specialized")</f>
        <v>0</v>
      </c>
      <c r="M339" s="201">
        <f>GETPIVOTDATA(" Old-Osteopathic Medicine",'Pivot Table for 1-11'!$A$3,"State","WV","SREB Type2","Specialized")</f>
        <v>209</v>
      </c>
      <c r="N339" s="201">
        <f>GETPIVOTDATA(" Old-Veterinary Medicine",'Pivot Table for 1-11'!$A$3,"State","WV","SREB Type2","Specialized")</f>
        <v>0</v>
      </c>
      <c r="O339" s="319">
        <f>+GETPIVOTDATA(" Old-Oth PP",'Pivot Table for 1-11'!$A$3,"State","WV","SREB Type2","Specialized")</f>
        <v>0</v>
      </c>
      <c r="P339" s="203">
        <f t="shared" si="7"/>
        <v>286</v>
      </c>
    </row>
    <row r="340" spans="1:16" ht="24" customHeight="1">
      <c r="A340" s="545" t="s">
        <v>37</v>
      </c>
      <c r="B340" s="546"/>
      <c r="C340" s="546"/>
      <c r="D340" s="546"/>
      <c r="E340" s="546"/>
      <c r="F340" s="546"/>
      <c r="G340" s="546"/>
      <c r="H340" s="546"/>
      <c r="I340" s="546"/>
      <c r="J340" s="546"/>
      <c r="K340" s="546"/>
      <c r="L340" s="546"/>
      <c r="M340" s="546"/>
      <c r="N340" s="546"/>
      <c r="O340" s="546"/>
      <c r="P340" s="546"/>
    </row>
    <row r="341" spans="1:16">
      <c r="O341" s="204"/>
      <c r="P341" s="204" t="s">
        <v>1178</v>
      </c>
    </row>
    <row r="342" spans="1:16" ht="18">
      <c r="A342" s="186" t="s">
        <v>77</v>
      </c>
      <c r="B342" s="186"/>
      <c r="C342" s="186"/>
      <c r="D342" s="186"/>
      <c r="E342" s="186"/>
      <c r="F342" s="186"/>
      <c r="G342" s="186"/>
      <c r="H342" s="221" t="s">
        <v>1</v>
      </c>
      <c r="I342" s="221"/>
      <c r="J342" s="221"/>
      <c r="K342" s="221"/>
      <c r="L342" s="221"/>
      <c r="M342" s="221"/>
      <c r="N342" s="221"/>
      <c r="O342" s="221"/>
      <c r="P342" s="221"/>
    </row>
    <row r="343" spans="1:16" ht="6.75" customHeight="1">
      <c r="A343" s="188"/>
      <c r="B343" s="188"/>
      <c r="C343" s="188"/>
      <c r="D343" s="188"/>
      <c r="E343" s="188"/>
      <c r="F343" s="188"/>
      <c r="G343" s="188"/>
      <c r="H343" s="188"/>
      <c r="I343" s="188"/>
      <c r="J343" s="188"/>
      <c r="K343" s="188"/>
    </row>
    <row r="344" spans="1:16" ht="15.5">
      <c r="A344" s="187" t="s">
        <v>78</v>
      </c>
      <c r="B344" s="187"/>
      <c r="C344" s="187"/>
      <c r="D344" s="187"/>
      <c r="E344" s="187"/>
      <c r="F344" s="187"/>
      <c r="G344" s="187"/>
      <c r="H344" s="187" t="s">
        <v>1</v>
      </c>
      <c r="I344" s="187"/>
      <c r="J344" s="187"/>
      <c r="K344" s="187"/>
      <c r="L344" s="189"/>
      <c r="M344" s="189"/>
      <c r="N344" s="189"/>
      <c r="O344" s="189"/>
      <c r="P344" s="189"/>
    </row>
    <row r="345" spans="1:16" ht="15.5">
      <c r="A345" s="187" t="s">
        <v>79</v>
      </c>
      <c r="B345" s="187"/>
      <c r="C345" s="187"/>
      <c r="D345" s="187"/>
      <c r="E345" s="187"/>
      <c r="F345" s="187"/>
      <c r="G345" s="187"/>
      <c r="H345" s="187" t="s">
        <v>1</v>
      </c>
      <c r="I345" s="187"/>
      <c r="J345" s="187"/>
      <c r="K345" s="187"/>
      <c r="L345" s="189"/>
      <c r="M345" s="189"/>
      <c r="N345" s="189"/>
      <c r="O345" s="189"/>
      <c r="P345" s="189"/>
    </row>
    <row r="346" spans="1:16" ht="15.5">
      <c r="A346" s="187" t="s">
        <v>80</v>
      </c>
      <c r="B346" s="187"/>
      <c r="C346" s="187"/>
      <c r="D346" s="187"/>
      <c r="E346" s="187"/>
      <c r="F346" s="187"/>
      <c r="G346" s="187"/>
      <c r="H346" s="187" t="s">
        <v>1</v>
      </c>
      <c r="I346" s="187"/>
      <c r="J346" s="187"/>
      <c r="K346" s="187"/>
      <c r="L346" s="189"/>
      <c r="M346" s="189"/>
      <c r="N346" s="189"/>
      <c r="O346" s="189"/>
      <c r="P346" s="189"/>
    </row>
    <row r="347" spans="1:16" ht="38" customHeight="1">
      <c r="A347" s="189"/>
      <c r="B347" s="543" t="s">
        <v>1224</v>
      </c>
      <c r="C347" s="544"/>
      <c r="D347" s="544"/>
      <c r="E347" s="544"/>
      <c r="F347" s="544"/>
      <c r="G347" s="187"/>
      <c r="H347" s="187"/>
      <c r="I347" s="187"/>
      <c r="J347" s="187"/>
      <c r="K347" s="187"/>
      <c r="L347" s="187"/>
      <c r="M347" s="189"/>
      <c r="N347" s="189"/>
      <c r="O347" s="189"/>
      <c r="P347" s="189"/>
    </row>
    <row r="348" spans="1:16" ht="15" customHeight="1">
      <c r="B348" s="222"/>
      <c r="C348" s="222"/>
      <c r="D348" s="222"/>
      <c r="E348" s="222"/>
      <c r="F348" s="222"/>
      <c r="G348" s="204"/>
      <c r="P348" s="204" t="s">
        <v>1178</v>
      </c>
    </row>
    <row r="349" spans="1:16">
      <c r="A349" s="224"/>
      <c r="B349" s="224"/>
      <c r="C349" s="224"/>
      <c r="D349" s="224"/>
      <c r="E349" s="224"/>
      <c r="F349" s="224"/>
      <c r="H349" s="224"/>
      <c r="I349" s="224"/>
      <c r="J349" s="224"/>
      <c r="K349" s="224"/>
      <c r="L349" s="224"/>
      <c r="M349" s="224"/>
      <c r="N349" s="219"/>
      <c r="O349" s="204"/>
      <c r="P349" s="224"/>
    </row>
  </sheetData>
  <mergeCells count="12">
    <mergeCell ref="B347:F347"/>
    <mergeCell ref="A186:P186"/>
    <mergeCell ref="A30:P30"/>
    <mergeCell ref="A61:P61"/>
    <mergeCell ref="A93:P93"/>
    <mergeCell ref="A124:P124"/>
    <mergeCell ref="A155:P155"/>
    <mergeCell ref="A217:P217"/>
    <mergeCell ref="A248:P248"/>
    <mergeCell ref="A279:P279"/>
    <mergeCell ref="A310:G310"/>
    <mergeCell ref="A340:P340"/>
  </mergeCells>
  <pageMargins left="0.5" right="0.27187499999999998" top="0.75" bottom="0.75" header="0.75" footer="0.5"/>
  <pageSetup scale="87" orientation="landscape" useFirstPageNumber="1" r:id="rId1"/>
  <headerFooter alignWithMargins="0">
    <oddHeader>&amp;R&amp;"Arial,Regular"&amp;8SREB-State Data Exchange</oddHeader>
    <oddFooter>&amp;C&amp;"Arial,Regular"&amp;10C- &amp;P</oddFooter>
  </headerFooter>
  <rowBreaks count="11" manualBreakCount="11">
    <brk id="31" max="15" man="1"/>
    <brk id="63" max="15" man="1"/>
    <brk id="94" max="15" man="1"/>
    <brk id="125" max="15" man="1"/>
    <brk id="156" max="15" man="1"/>
    <brk id="187" max="15" man="1"/>
    <brk id="218" max="15" man="1"/>
    <brk id="249" max="15" man="1"/>
    <brk id="280" max="15" man="1"/>
    <brk id="311" max="15" man="1"/>
    <brk id="341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01D91E-E928-4314-BA38-9FEDE31CE7ED}">
  <sheetPr codeName="Sheet3">
    <tabColor rgb="FF00B050"/>
  </sheetPr>
  <dimension ref="A1:X959"/>
  <sheetViews>
    <sheetView tabSelected="1" workbookViewId="0">
      <pane xSplit="2" ySplit="5" topLeftCell="C35" activePane="bottomRight" state="frozen"/>
      <selection pane="topRight" activeCell="C1" sqref="C1"/>
      <selection pane="bottomLeft" activeCell="A6" sqref="A6"/>
      <selection pane="bottomRight" activeCell="G37" sqref="G37"/>
    </sheetView>
  </sheetViews>
  <sheetFormatPr defaultColWidth="6" defaultRowHeight="12.5"/>
  <cols>
    <col min="1" max="1" width="6" style="128"/>
    <col min="2" max="2" width="25.921875" style="65" bestFit="1" customWidth="1"/>
    <col min="3" max="3" width="11.69140625" style="65" bestFit="1" customWidth="1"/>
    <col min="4" max="4" width="11.69140625" style="130" bestFit="1" customWidth="1"/>
    <col min="5" max="8" width="11.69140625" style="65" bestFit="1" customWidth="1"/>
    <col min="9" max="9" width="7.921875" style="65" bestFit="1" customWidth="1"/>
    <col min="10" max="13" width="9.4609375" style="65" bestFit="1" customWidth="1"/>
    <col min="14" max="14" width="7.69140625" style="65" bestFit="1" customWidth="1"/>
    <col min="15" max="17" width="9.61328125" style="65" bestFit="1" customWidth="1"/>
    <col min="18" max="18" width="7.4609375" style="65" bestFit="1" customWidth="1"/>
    <col min="19" max="19" width="11.15234375" style="65" bestFit="1" customWidth="1"/>
    <col min="20" max="20" width="8.84375" style="65" bestFit="1" customWidth="1"/>
    <col min="21" max="21" width="7.53515625" style="65" bestFit="1" customWidth="1"/>
    <col min="22" max="22" width="9.921875" style="65" bestFit="1" customWidth="1"/>
    <col min="23" max="23" width="7.3046875" style="65" bestFit="1" customWidth="1"/>
    <col min="24" max="24" width="12.23046875" style="65" customWidth="1"/>
    <col min="25" max="25" width="9.765625" style="65" customWidth="1"/>
    <col min="26" max="26" width="6" style="65"/>
    <col min="27" max="27" width="10.84375" style="65" customWidth="1"/>
    <col min="28" max="16384" width="6" style="65"/>
  </cols>
  <sheetData>
    <row r="1" spans="1:24" ht="13">
      <c r="B1" s="129" t="s">
        <v>84</v>
      </c>
    </row>
    <row r="3" spans="1:24" ht="15.5">
      <c r="B3" s="128"/>
      <c r="C3" s="629" t="s">
        <v>85</v>
      </c>
      <c r="D3" s="629" t="s">
        <v>86</v>
      </c>
      <c r="E3" s="629"/>
      <c r="F3" s="629"/>
      <c r="G3" s="629"/>
      <c r="H3" s="637"/>
      <c r="I3" s="629"/>
      <c r="J3" s="629"/>
      <c r="K3" s="629"/>
      <c r="L3" s="629"/>
      <c r="M3" s="637"/>
      <c r="N3" s="629"/>
      <c r="O3" s="629"/>
      <c r="P3" s="637"/>
      <c r="Q3" s="629"/>
      <c r="R3" s="629"/>
      <c r="S3" s="629"/>
      <c r="T3" s="629"/>
      <c r="U3" s="629"/>
      <c r="V3" s="629"/>
      <c r="W3" s="629"/>
      <c r="X3"/>
    </row>
    <row r="4" spans="1:24" ht="26.5">
      <c r="B4" s="128"/>
      <c r="C4" s="629" t="s">
        <v>87</v>
      </c>
      <c r="D4" s="629"/>
      <c r="E4" s="629"/>
      <c r="F4" s="629"/>
      <c r="G4" s="629"/>
      <c r="H4" s="637"/>
      <c r="I4" s="131" t="s">
        <v>88</v>
      </c>
      <c r="J4" s="629" t="s">
        <v>89</v>
      </c>
      <c r="K4" s="629"/>
      <c r="L4" s="629"/>
      <c r="M4" s="637"/>
      <c r="N4" s="131" t="s">
        <v>90</v>
      </c>
      <c r="O4" s="629" t="s">
        <v>91</v>
      </c>
      <c r="P4" s="629"/>
      <c r="Q4" s="637"/>
      <c r="R4" s="131" t="s">
        <v>92</v>
      </c>
      <c r="S4" s="629" t="s">
        <v>93</v>
      </c>
      <c r="T4" s="131" t="s">
        <v>94</v>
      </c>
      <c r="U4" s="65" t="s">
        <v>95</v>
      </c>
      <c r="V4" s="65" t="s">
        <v>96</v>
      </c>
      <c r="W4" s="631" t="s">
        <v>97</v>
      </c>
      <c r="X4"/>
    </row>
    <row r="5" spans="1:24" ht="15.5">
      <c r="A5" s="505" t="s">
        <v>98</v>
      </c>
      <c r="B5" s="602" t="s">
        <v>99</v>
      </c>
      <c r="C5" s="629">
        <v>1</v>
      </c>
      <c r="D5" s="629">
        <v>2</v>
      </c>
      <c r="E5" s="629">
        <v>3</v>
      </c>
      <c r="F5" s="629">
        <v>4</v>
      </c>
      <c r="G5" s="629">
        <v>5</v>
      </c>
      <c r="H5" s="637">
        <v>6</v>
      </c>
      <c r="I5" s="131"/>
      <c r="J5" s="629">
        <v>7</v>
      </c>
      <c r="K5" s="629">
        <v>8</v>
      </c>
      <c r="L5" s="629">
        <v>9</v>
      </c>
      <c r="M5" s="637">
        <v>10</v>
      </c>
      <c r="N5" s="131"/>
      <c r="O5" s="629">
        <v>12</v>
      </c>
      <c r="P5" s="637">
        <v>13</v>
      </c>
      <c r="Q5" s="65">
        <v>14</v>
      </c>
      <c r="R5" s="131"/>
      <c r="S5" s="629">
        <v>15</v>
      </c>
      <c r="T5" s="131"/>
      <c r="U5" s="65" t="s">
        <v>95</v>
      </c>
      <c r="W5" s="631"/>
      <c r="X5"/>
    </row>
    <row r="6" spans="1:24" ht="15.5">
      <c r="A6" s="506" t="s">
        <v>100</v>
      </c>
      <c r="B6" s="603" t="s">
        <v>101</v>
      </c>
      <c r="C6" s="611">
        <v>78</v>
      </c>
      <c r="D6" s="612">
        <v>124</v>
      </c>
      <c r="E6" s="612">
        <v>7</v>
      </c>
      <c r="F6" s="612"/>
      <c r="G6" s="612"/>
      <c r="H6" s="613"/>
      <c r="I6" s="495">
        <v>209</v>
      </c>
      <c r="J6" s="611"/>
      <c r="K6" s="612">
        <v>2059</v>
      </c>
      <c r="L6" s="612">
        <v>6434</v>
      </c>
      <c r="M6" s="613">
        <v>2309</v>
      </c>
      <c r="N6" s="495">
        <v>10802</v>
      </c>
      <c r="O6" s="611">
        <v>206</v>
      </c>
      <c r="P6" s="612">
        <v>971</v>
      </c>
      <c r="Q6" s="495"/>
      <c r="R6" s="495">
        <v>1177</v>
      </c>
      <c r="S6" s="613"/>
      <c r="T6" s="495"/>
      <c r="U6" s="135"/>
      <c r="V6" s="135"/>
      <c r="W6" s="613">
        <v>12188</v>
      </c>
      <c r="X6"/>
    </row>
    <row r="7" spans="1:24" ht="16" thickBot="1">
      <c r="A7" s="507"/>
      <c r="B7" s="604" t="s">
        <v>102</v>
      </c>
      <c r="C7" s="614">
        <v>77</v>
      </c>
      <c r="D7" s="645">
        <v>104</v>
      </c>
      <c r="E7" s="645">
        <v>2</v>
      </c>
      <c r="F7" s="615"/>
      <c r="G7" s="615"/>
      <c r="H7" s="610">
        <v>30</v>
      </c>
      <c r="I7" s="142">
        <v>213</v>
      </c>
      <c r="J7" s="614"/>
      <c r="K7" s="615">
        <v>2192</v>
      </c>
      <c r="L7" s="615">
        <v>5662</v>
      </c>
      <c r="M7" s="610">
        <v>2142</v>
      </c>
      <c r="N7" s="142">
        <v>9996</v>
      </c>
      <c r="O7" s="614">
        <v>170</v>
      </c>
      <c r="P7" s="615">
        <v>868</v>
      </c>
      <c r="Q7" s="142"/>
      <c r="R7" s="142">
        <v>1038</v>
      </c>
      <c r="S7" s="610"/>
      <c r="T7" s="142"/>
      <c r="U7" s="599"/>
      <c r="V7" s="599"/>
      <c r="W7" s="610">
        <v>11247</v>
      </c>
      <c r="X7"/>
    </row>
    <row r="8" spans="1:24" s="149" customFormat="1" ht="16" thickBot="1">
      <c r="A8" s="507"/>
      <c r="B8" s="541" t="s">
        <v>103</v>
      </c>
      <c r="C8" s="659">
        <v>-1.282051282051282E-2</v>
      </c>
      <c r="D8" s="617">
        <v>-0.16129032258064516</v>
      </c>
      <c r="E8" s="646">
        <v>-0.7142857142857143</v>
      </c>
      <c r="F8" s="617">
        <v>0</v>
      </c>
      <c r="G8" s="617">
        <v>0</v>
      </c>
      <c r="H8" s="618">
        <v>0</v>
      </c>
      <c r="I8" s="332">
        <v>1.9138755980861243E-2</v>
      </c>
      <c r="J8" s="616">
        <v>0</v>
      </c>
      <c r="K8" s="675">
        <v>6.4594463331714425E-2</v>
      </c>
      <c r="L8" s="642">
        <v>-0.11998756605533105</v>
      </c>
      <c r="M8" s="497">
        <v>-7.2325682113469028E-2</v>
      </c>
      <c r="N8" s="332">
        <v>-7.4615811886687644E-2</v>
      </c>
      <c r="O8" s="653">
        <v>-0.17475728155339806</v>
      </c>
      <c r="P8" s="644">
        <v>-0.10607621009268794</v>
      </c>
      <c r="Q8" s="332">
        <v>0</v>
      </c>
      <c r="R8" s="332">
        <v>-0.11809685641461343</v>
      </c>
      <c r="S8" s="660">
        <v>0</v>
      </c>
      <c r="T8" s="332">
        <v>0</v>
      </c>
      <c r="U8" s="146">
        <v>0</v>
      </c>
      <c r="V8" s="146">
        <v>0</v>
      </c>
      <c r="W8" s="618">
        <v>-7.7207088939940924E-2</v>
      </c>
      <c r="X8"/>
    </row>
    <row r="9" spans="1:24" ht="15.5">
      <c r="A9" s="507"/>
      <c r="B9" s="604" t="s">
        <v>104</v>
      </c>
      <c r="C9" s="619"/>
      <c r="D9" s="620"/>
      <c r="E9" s="620"/>
      <c r="F9" s="620"/>
      <c r="G9" s="620"/>
      <c r="H9" s="620"/>
      <c r="I9" s="600"/>
      <c r="J9" s="619"/>
      <c r="K9" s="620"/>
      <c r="L9" s="620"/>
      <c r="M9" s="620"/>
      <c r="N9" s="600"/>
      <c r="O9" s="619"/>
      <c r="P9" s="620"/>
      <c r="Q9" s="600"/>
      <c r="R9" s="600"/>
      <c r="S9" s="620"/>
      <c r="T9" s="600"/>
      <c r="U9" s="600"/>
      <c r="V9" s="600"/>
      <c r="W9" s="620"/>
      <c r="X9"/>
    </row>
    <row r="10" spans="1:24" ht="15.5">
      <c r="A10" s="507"/>
      <c r="B10" s="604" t="s">
        <v>105</v>
      </c>
      <c r="C10" s="619"/>
      <c r="D10" s="620"/>
      <c r="E10" s="620"/>
      <c r="F10" s="620"/>
      <c r="G10" s="620"/>
      <c r="H10" s="620"/>
      <c r="I10" s="600"/>
      <c r="J10" s="619"/>
      <c r="K10" s="620"/>
      <c r="L10" s="620"/>
      <c r="M10" s="620"/>
      <c r="N10" s="600"/>
      <c r="O10" s="619"/>
      <c r="P10" s="620"/>
      <c r="Q10" s="600"/>
      <c r="R10" s="600"/>
      <c r="S10" s="620"/>
      <c r="T10" s="600"/>
      <c r="U10" s="600"/>
      <c r="V10" s="600"/>
      <c r="W10" s="620"/>
      <c r="X10"/>
    </row>
    <row r="11" spans="1:24" s="149" customFormat="1" ht="15.5">
      <c r="A11" s="507"/>
      <c r="B11" s="508" t="s">
        <v>106</v>
      </c>
      <c r="C11" s="619">
        <v>0</v>
      </c>
      <c r="D11" s="620">
        <v>0</v>
      </c>
      <c r="E11" s="621">
        <v>0</v>
      </c>
      <c r="F11" s="620">
        <v>0</v>
      </c>
      <c r="G11" s="620">
        <v>0</v>
      </c>
      <c r="H11" s="620">
        <v>0</v>
      </c>
      <c r="I11" s="600">
        <v>0</v>
      </c>
      <c r="J11" s="619">
        <v>0</v>
      </c>
      <c r="K11" s="620">
        <v>0</v>
      </c>
      <c r="L11" s="620">
        <v>0</v>
      </c>
      <c r="M11" s="620">
        <v>0</v>
      </c>
      <c r="N11" s="600">
        <v>0</v>
      </c>
      <c r="O11" s="619">
        <v>0</v>
      </c>
      <c r="P11" s="620">
        <v>0</v>
      </c>
      <c r="Q11" s="600">
        <v>0</v>
      </c>
      <c r="R11" s="600">
        <v>0</v>
      </c>
      <c r="S11" s="620">
        <v>0</v>
      </c>
      <c r="T11" s="600">
        <v>0</v>
      </c>
      <c r="U11" s="600">
        <v>0</v>
      </c>
      <c r="V11" s="600">
        <v>0</v>
      </c>
      <c r="W11" s="620">
        <v>0</v>
      </c>
      <c r="X11"/>
    </row>
    <row r="12" spans="1:24" ht="15.5">
      <c r="A12" s="507"/>
      <c r="B12" s="604" t="s">
        <v>107</v>
      </c>
      <c r="C12" s="619"/>
      <c r="D12" s="620"/>
      <c r="E12" s="620">
        <v>295</v>
      </c>
      <c r="F12" s="620">
        <v>57</v>
      </c>
      <c r="G12" s="620"/>
      <c r="H12" s="620"/>
      <c r="I12" s="600">
        <v>352</v>
      </c>
      <c r="J12" s="619"/>
      <c r="K12" s="620">
        <v>2705</v>
      </c>
      <c r="L12" s="620">
        <v>5110</v>
      </c>
      <c r="M12" s="620">
        <v>2173</v>
      </c>
      <c r="N12" s="600">
        <v>9988</v>
      </c>
      <c r="O12" s="619">
        <v>183</v>
      </c>
      <c r="P12" s="620">
        <v>112</v>
      </c>
      <c r="Q12" s="600"/>
      <c r="R12" s="600">
        <v>295</v>
      </c>
      <c r="S12" s="620">
        <v>124</v>
      </c>
      <c r="T12" s="600">
        <v>124</v>
      </c>
      <c r="U12" s="600"/>
      <c r="V12" s="600"/>
      <c r="W12" s="620">
        <v>10759</v>
      </c>
      <c r="X12"/>
    </row>
    <row r="13" spans="1:24" ht="16" thickBot="1">
      <c r="A13" s="507"/>
      <c r="B13" s="604" t="s">
        <v>108</v>
      </c>
      <c r="C13" s="619"/>
      <c r="D13" s="620"/>
      <c r="E13" s="620">
        <v>319</v>
      </c>
      <c r="F13" s="620">
        <v>29</v>
      </c>
      <c r="G13" s="620"/>
      <c r="H13" s="620"/>
      <c r="I13" s="600">
        <v>348</v>
      </c>
      <c r="J13" s="619"/>
      <c r="K13" s="620">
        <v>2835</v>
      </c>
      <c r="L13" s="620">
        <v>5109</v>
      </c>
      <c r="M13" s="620">
        <v>2191</v>
      </c>
      <c r="N13" s="600">
        <v>10135</v>
      </c>
      <c r="O13" s="619">
        <v>203</v>
      </c>
      <c r="P13" s="620">
        <v>101</v>
      </c>
      <c r="Q13" s="600"/>
      <c r="R13" s="600">
        <v>304</v>
      </c>
      <c r="S13" s="620">
        <v>92</v>
      </c>
      <c r="T13" s="600">
        <v>92</v>
      </c>
      <c r="U13" s="600"/>
      <c r="V13" s="600"/>
      <c r="W13" s="620">
        <v>10879</v>
      </c>
      <c r="X13"/>
    </row>
    <row r="14" spans="1:24" s="149" customFormat="1" ht="16" thickBot="1">
      <c r="A14" s="507"/>
      <c r="B14" s="604" t="s">
        <v>109</v>
      </c>
      <c r="C14" s="619">
        <v>0</v>
      </c>
      <c r="D14" s="620">
        <v>0</v>
      </c>
      <c r="E14" s="621">
        <v>8.1355932203389825E-2</v>
      </c>
      <c r="F14" s="620">
        <v>-0.49122807017543857</v>
      </c>
      <c r="G14" s="620">
        <v>0</v>
      </c>
      <c r="H14" s="620">
        <v>0</v>
      </c>
      <c r="I14" s="600">
        <v>-1.1363636363636364E-2</v>
      </c>
      <c r="J14" s="619">
        <v>0</v>
      </c>
      <c r="K14" s="676">
        <v>4.8059149722735672E-2</v>
      </c>
      <c r="L14" s="620">
        <v>-1.9569471624266145E-4</v>
      </c>
      <c r="M14" s="620">
        <v>8.283479061205707E-3</v>
      </c>
      <c r="N14" s="600">
        <v>1.4717661193432119E-2</v>
      </c>
      <c r="O14" s="510">
        <v>0.10928961748633879</v>
      </c>
      <c r="P14" s="634">
        <v>-9.8214285714285712E-2</v>
      </c>
      <c r="Q14" s="600">
        <v>0</v>
      </c>
      <c r="R14" s="600">
        <v>3.0508474576271188E-2</v>
      </c>
      <c r="S14" s="630">
        <v>-0.25806451612903225</v>
      </c>
      <c r="T14" s="600">
        <v>-0.25806451612903225</v>
      </c>
      <c r="U14" s="600">
        <v>0</v>
      </c>
      <c r="V14" s="600">
        <v>0</v>
      </c>
      <c r="W14" s="620">
        <v>1.1153452923134121E-2</v>
      </c>
      <c r="X14"/>
    </row>
    <row r="15" spans="1:24" ht="15.5">
      <c r="A15" s="507"/>
      <c r="B15" s="604" t="s">
        <v>110</v>
      </c>
      <c r="C15" s="619">
        <v>14711</v>
      </c>
      <c r="D15" s="620">
        <v>3222</v>
      </c>
      <c r="E15" s="620">
        <v>6019</v>
      </c>
      <c r="F15" s="620">
        <v>829</v>
      </c>
      <c r="G15" s="620">
        <v>452</v>
      </c>
      <c r="H15" s="620">
        <v>678</v>
      </c>
      <c r="I15" s="600">
        <v>25911</v>
      </c>
      <c r="J15" s="619"/>
      <c r="K15" s="620"/>
      <c r="L15" s="620"/>
      <c r="M15" s="620"/>
      <c r="N15" s="600"/>
      <c r="O15" s="619"/>
      <c r="P15" s="620"/>
      <c r="Q15" s="600"/>
      <c r="R15" s="600"/>
      <c r="S15" s="620"/>
      <c r="T15" s="600"/>
      <c r="U15" s="600"/>
      <c r="V15" s="600"/>
      <c r="W15" s="620">
        <v>25911</v>
      </c>
      <c r="X15"/>
    </row>
    <row r="16" spans="1:24" ht="15.5">
      <c r="A16" s="507"/>
      <c r="B16" s="604" t="s">
        <v>111</v>
      </c>
      <c r="C16" s="619">
        <v>15658</v>
      </c>
      <c r="D16" s="620">
        <v>3579</v>
      </c>
      <c r="E16" s="620">
        <v>6185</v>
      </c>
      <c r="F16" s="620">
        <v>873</v>
      </c>
      <c r="G16" s="620">
        <v>451</v>
      </c>
      <c r="H16" s="620">
        <v>684</v>
      </c>
      <c r="I16" s="600">
        <v>27430</v>
      </c>
      <c r="J16" s="619"/>
      <c r="K16" s="620"/>
      <c r="L16" s="620"/>
      <c r="M16" s="620"/>
      <c r="N16" s="600"/>
      <c r="O16" s="619"/>
      <c r="P16" s="620"/>
      <c r="Q16" s="600"/>
      <c r="R16" s="600"/>
      <c r="S16" s="620"/>
      <c r="T16" s="600"/>
      <c r="U16" s="600"/>
      <c r="V16" s="600"/>
      <c r="W16" s="620">
        <v>27430</v>
      </c>
      <c r="X16"/>
    </row>
    <row r="17" spans="1:24" s="149" customFormat="1" ht="15.5">
      <c r="A17" s="507"/>
      <c r="B17" s="604" t="s">
        <v>112</v>
      </c>
      <c r="C17" s="619">
        <v>6.4373597987900211E-2</v>
      </c>
      <c r="D17" s="620">
        <v>0.11080074487895716</v>
      </c>
      <c r="E17" s="650">
        <v>2.7579332114969265E-2</v>
      </c>
      <c r="F17" s="620">
        <v>5.3075995174909532E-2</v>
      </c>
      <c r="G17" s="635">
        <v>-2.2123893805309734E-3</v>
      </c>
      <c r="H17" s="620">
        <v>8.8495575221238937E-3</v>
      </c>
      <c r="I17" s="600">
        <v>5.8623750530662655E-2</v>
      </c>
      <c r="J17" s="619">
        <v>0</v>
      </c>
      <c r="K17" s="620">
        <v>0</v>
      </c>
      <c r="L17" s="620">
        <v>0</v>
      </c>
      <c r="M17" s="620">
        <v>0</v>
      </c>
      <c r="N17" s="600">
        <v>0</v>
      </c>
      <c r="O17" s="619">
        <v>0</v>
      </c>
      <c r="P17" s="620">
        <v>0</v>
      </c>
      <c r="Q17" s="600">
        <v>0</v>
      </c>
      <c r="R17" s="600">
        <v>0</v>
      </c>
      <c r="S17" s="620">
        <v>0</v>
      </c>
      <c r="T17" s="600">
        <v>0</v>
      </c>
      <c r="U17" s="600">
        <v>0</v>
      </c>
      <c r="V17" s="600">
        <v>0</v>
      </c>
      <c r="W17" s="620">
        <v>5.8623750530662655E-2</v>
      </c>
      <c r="X17"/>
    </row>
    <row r="18" spans="1:24" ht="15.5">
      <c r="A18" s="507"/>
      <c r="B18" s="604" t="s">
        <v>113</v>
      </c>
      <c r="C18" s="619">
        <v>383</v>
      </c>
      <c r="D18" s="620">
        <v>26</v>
      </c>
      <c r="E18" s="620">
        <v>59</v>
      </c>
      <c r="F18" s="620"/>
      <c r="G18" s="620"/>
      <c r="H18" s="620"/>
      <c r="I18" s="600">
        <v>468</v>
      </c>
      <c r="J18" s="619"/>
      <c r="K18" s="620"/>
      <c r="L18" s="620"/>
      <c r="M18" s="620"/>
      <c r="N18" s="600"/>
      <c r="O18" s="619"/>
      <c r="P18" s="620"/>
      <c r="Q18" s="600"/>
      <c r="R18" s="600"/>
      <c r="S18" s="620"/>
      <c r="T18" s="600"/>
      <c r="U18" s="600"/>
      <c r="V18" s="600"/>
      <c r="W18" s="620">
        <v>468</v>
      </c>
      <c r="X18"/>
    </row>
    <row r="19" spans="1:24" ht="16" thickBot="1">
      <c r="A19" s="507"/>
      <c r="B19" s="604" t="s">
        <v>114</v>
      </c>
      <c r="C19" s="619">
        <v>398</v>
      </c>
      <c r="D19" s="620">
        <v>33</v>
      </c>
      <c r="E19" s="620">
        <v>52</v>
      </c>
      <c r="F19" s="620">
        <v>0</v>
      </c>
      <c r="G19" s="620"/>
      <c r="H19" s="620"/>
      <c r="I19" s="600">
        <v>483</v>
      </c>
      <c r="J19" s="619"/>
      <c r="K19" s="620"/>
      <c r="L19" s="620"/>
      <c r="M19" s="620"/>
      <c r="N19" s="600"/>
      <c r="O19" s="619"/>
      <c r="P19" s="620"/>
      <c r="Q19" s="600"/>
      <c r="R19" s="600"/>
      <c r="S19" s="620"/>
      <c r="T19" s="600"/>
      <c r="U19" s="600"/>
      <c r="V19" s="600"/>
      <c r="W19" s="620">
        <v>483</v>
      </c>
      <c r="X19"/>
    </row>
    <row r="20" spans="1:24" s="149" customFormat="1" ht="16" thickBot="1">
      <c r="A20" s="507"/>
      <c r="B20" s="604" t="s">
        <v>115</v>
      </c>
      <c r="C20" s="647">
        <v>3.91644908616188E-2</v>
      </c>
      <c r="D20" s="643">
        <v>0.26923076923076922</v>
      </c>
      <c r="E20" s="621">
        <v>-0.11864406779661017</v>
      </c>
      <c r="F20" s="620">
        <v>0</v>
      </c>
      <c r="G20" s="620">
        <v>0</v>
      </c>
      <c r="H20" s="620">
        <v>0</v>
      </c>
      <c r="I20" s="600">
        <v>3.2051282051282048E-2</v>
      </c>
      <c r="J20" s="619">
        <v>0</v>
      </c>
      <c r="K20" s="620">
        <v>0</v>
      </c>
      <c r="L20" s="620">
        <v>0</v>
      </c>
      <c r="M20" s="620">
        <v>0</v>
      </c>
      <c r="N20" s="600">
        <v>0</v>
      </c>
      <c r="O20" s="619">
        <v>0</v>
      </c>
      <c r="P20" s="620">
        <v>0</v>
      </c>
      <c r="Q20" s="600">
        <v>0</v>
      </c>
      <c r="R20" s="600">
        <v>0</v>
      </c>
      <c r="S20" s="620">
        <v>0</v>
      </c>
      <c r="T20" s="600">
        <v>0</v>
      </c>
      <c r="U20" s="600">
        <v>0</v>
      </c>
      <c r="V20" s="600">
        <v>0</v>
      </c>
      <c r="W20" s="620">
        <v>3.2051282051282048E-2</v>
      </c>
      <c r="X20"/>
    </row>
    <row r="21" spans="1:24" ht="15.5">
      <c r="A21" s="507"/>
      <c r="B21" s="604" t="s">
        <v>116</v>
      </c>
      <c r="C21" s="619">
        <v>5417</v>
      </c>
      <c r="D21" s="620">
        <v>1763</v>
      </c>
      <c r="E21" s="620">
        <v>2309</v>
      </c>
      <c r="F21" s="620">
        <v>1114</v>
      </c>
      <c r="G21" s="620">
        <v>132</v>
      </c>
      <c r="H21" s="620">
        <v>63</v>
      </c>
      <c r="I21" s="600">
        <v>10798</v>
      </c>
      <c r="J21" s="641"/>
      <c r="K21" s="620">
        <v>0</v>
      </c>
      <c r="L21" s="620">
        <v>0</v>
      </c>
      <c r="M21" s="620">
        <v>0</v>
      </c>
      <c r="N21" s="600">
        <v>0</v>
      </c>
      <c r="O21" s="619">
        <v>0</v>
      </c>
      <c r="P21" s="620">
        <v>0</v>
      </c>
      <c r="Q21" s="600"/>
      <c r="R21" s="600">
        <v>0</v>
      </c>
      <c r="S21" s="620">
        <v>0</v>
      </c>
      <c r="T21" s="600">
        <v>0</v>
      </c>
      <c r="U21" s="600"/>
      <c r="V21" s="600"/>
      <c r="W21" s="620">
        <v>10798</v>
      </c>
      <c r="X21"/>
    </row>
    <row r="22" spans="1:24" ht="16" thickBot="1">
      <c r="A22" s="507"/>
      <c r="B22" s="604" t="s">
        <v>117</v>
      </c>
      <c r="C22" s="619">
        <v>5570</v>
      </c>
      <c r="D22" s="620">
        <v>1855</v>
      </c>
      <c r="E22" s="620">
        <v>2434</v>
      </c>
      <c r="F22" s="620">
        <v>1163</v>
      </c>
      <c r="G22" s="620">
        <v>128</v>
      </c>
      <c r="H22" s="620">
        <v>48</v>
      </c>
      <c r="I22" s="600">
        <v>11198</v>
      </c>
      <c r="J22" s="619"/>
      <c r="K22" s="620">
        <v>0</v>
      </c>
      <c r="L22" s="620">
        <v>0</v>
      </c>
      <c r="M22" s="620">
        <v>0</v>
      </c>
      <c r="N22" s="600">
        <v>0</v>
      </c>
      <c r="O22" s="619">
        <v>0</v>
      </c>
      <c r="P22" s="620">
        <v>0</v>
      </c>
      <c r="Q22" s="600"/>
      <c r="R22" s="600">
        <v>0</v>
      </c>
      <c r="S22" s="620">
        <v>0</v>
      </c>
      <c r="T22" s="600">
        <v>0</v>
      </c>
      <c r="U22" s="600"/>
      <c r="V22" s="600"/>
      <c r="W22" s="620">
        <v>11198</v>
      </c>
      <c r="X22"/>
    </row>
    <row r="23" spans="1:24" s="149" customFormat="1" ht="15.5">
      <c r="A23" s="507"/>
      <c r="B23" s="604" t="s">
        <v>118</v>
      </c>
      <c r="C23" s="619">
        <v>2.8244415728262875E-2</v>
      </c>
      <c r="D23" s="620">
        <v>5.2183777651730004E-2</v>
      </c>
      <c r="E23" s="621">
        <v>5.4135989605889993E-2</v>
      </c>
      <c r="F23" s="672">
        <v>4.3985637342908439E-2</v>
      </c>
      <c r="G23" s="620">
        <v>-3.0303030303030304E-2</v>
      </c>
      <c r="H23" s="620">
        <v>-0.23809523809523808</v>
      </c>
      <c r="I23" s="600">
        <v>3.7043897017966287E-2</v>
      </c>
      <c r="J23" s="619">
        <v>0</v>
      </c>
      <c r="K23" s="620">
        <v>0</v>
      </c>
      <c r="L23" s="620">
        <v>0</v>
      </c>
      <c r="M23" s="620">
        <v>0</v>
      </c>
      <c r="N23" s="600">
        <v>0</v>
      </c>
      <c r="O23" s="619">
        <v>0</v>
      </c>
      <c r="P23" s="620">
        <v>0</v>
      </c>
      <c r="Q23" s="600">
        <v>0</v>
      </c>
      <c r="R23" s="600">
        <v>0</v>
      </c>
      <c r="S23" s="620">
        <v>0</v>
      </c>
      <c r="T23" s="600">
        <v>0</v>
      </c>
      <c r="U23" s="600">
        <v>0</v>
      </c>
      <c r="V23" s="600">
        <v>0</v>
      </c>
      <c r="W23" s="620">
        <v>3.7043897017966287E-2</v>
      </c>
      <c r="X23"/>
    </row>
    <row r="24" spans="1:24" ht="15.5">
      <c r="A24" s="507"/>
      <c r="B24" s="604" t="s">
        <v>119</v>
      </c>
      <c r="C24" s="619">
        <v>619</v>
      </c>
      <c r="D24" s="620">
        <v>87</v>
      </c>
      <c r="E24" s="620">
        <v>11</v>
      </c>
      <c r="F24" s="620">
        <v>4</v>
      </c>
      <c r="G24" s="620">
        <v>0</v>
      </c>
      <c r="H24" s="620">
        <v>0</v>
      </c>
      <c r="I24" s="600">
        <v>721</v>
      </c>
      <c r="J24" s="619"/>
      <c r="K24" s="620">
        <v>0</v>
      </c>
      <c r="L24" s="620">
        <v>0</v>
      </c>
      <c r="M24" s="620">
        <v>0</v>
      </c>
      <c r="N24" s="600">
        <v>0</v>
      </c>
      <c r="O24" s="619">
        <v>0</v>
      </c>
      <c r="P24" s="620">
        <v>0</v>
      </c>
      <c r="Q24" s="600"/>
      <c r="R24" s="600">
        <v>0</v>
      </c>
      <c r="S24" s="620">
        <v>0</v>
      </c>
      <c r="T24" s="600">
        <v>0</v>
      </c>
      <c r="U24" s="600"/>
      <c r="V24" s="600"/>
      <c r="W24" s="620">
        <v>721</v>
      </c>
      <c r="X24"/>
    </row>
    <row r="25" spans="1:24" ht="16" thickBot="1">
      <c r="A25" s="507"/>
      <c r="B25" s="604" t="s">
        <v>120</v>
      </c>
      <c r="C25" s="619">
        <v>613</v>
      </c>
      <c r="D25" s="620">
        <v>93</v>
      </c>
      <c r="E25" s="620">
        <v>12</v>
      </c>
      <c r="F25" s="620">
        <v>9</v>
      </c>
      <c r="G25" s="620">
        <v>0</v>
      </c>
      <c r="H25" s="620">
        <v>0</v>
      </c>
      <c r="I25" s="600">
        <v>727</v>
      </c>
      <c r="J25" s="619"/>
      <c r="K25" s="620">
        <v>0</v>
      </c>
      <c r="L25" s="620">
        <v>0</v>
      </c>
      <c r="M25" s="620">
        <v>0</v>
      </c>
      <c r="N25" s="600">
        <v>0</v>
      </c>
      <c r="O25" s="619">
        <v>0</v>
      </c>
      <c r="P25" s="620">
        <v>0</v>
      </c>
      <c r="Q25" s="600"/>
      <c r="R25" s="600">
        <v>0</v>
      </c>
      <c r="S25" s="620">
        <v>0</v>
      </c>
      <c r="T25" s="600">
        <v>0</v>
      </c>
      <c r="U25" s="600"/>
      <c r="V25" s="600"/>
      <c r="W25" s="620">
        <v>727</v>
      </c>
      <c r="X25"/>
    </row>
    <row r="26" spans="1:24" s="149" customFormat="1" ht="15.5">
      <c r="A26" s="507"/>
      <c r="B26" s="604" t="s">
        <v>121</v>
      </c>
      <c r="C26" s="619">
        <v>-9.6930533117932146E-3</v>
      </c>
      <c r="D26" s="620">
        <v>6.8965517241379309E-2</v>
      </c>
      <c r="E26" s="498">
        <v>9.0909090909090912E-2</v>
      </c>
      <c r="F26" s="620">
        <v>1.25</v>
      </c>
      <c r="G26" s="620">
        <v>0</v>
      </c>
      <c r="H26" s="620">
        <v>0</v>
      </c>
      <c r="I26" s="600">
        <v>8.321775312066574E-3</v>
      </c>
      <c r="J26" s="619">
        <v>0</v>
      </c>
      <c r="K26" s="620">
        <v>0</v>
      </c>
      <c r="L26" s="620">
        <v>0</v>
      </c>
      <c r="M26" s="620">
        <v>0</v>
      </c>
      <c r="N26" s="600">
        <v>0</v>
      </c>
      <c r="O26" s="619">
        <v>0</v>
      </c>
      <c r="P26" s="620">
        <v>0</v>
      </c>
      <c r="Q26" s="600">
        <v>0</v>
      </c>
      <c r="R26" s="600">
        <v>0</v>
      </c>
      <c r="S26" s="620">
        <v>0</v>
      </c>
      <c r="T26" s="600">
        <v>0</v>
      </c>
      <c r="U26" s="600">
        <v>0</v>
      </c>
      <c r="V26" s="600">
        <v>0</v>
      </c>
      <c r="W26" s="620">
        <v>8.321775312066574E-3</v>
      </c>
      <c r="X26"/>
    </row>
    <row r="27" spans="1:24" ht="15.5">
      <c r="A27" s="507"/>
      <c r="B27" s="604" t="s">
        <v>122</v>
      </c>
      <c r="C27" s="619">
        <v>134</v>
      </c>
      <c r="D27" s="620"/>
      <c r="E27" s="620"/>
      <c r="F27" s="620"/>
      <c r="G27" s="620"/>
      <c r="H27" s="620"/>
      <c r="I27" s="600">
        <v>134</v>
      </c>
      <c r="J27" s="619"/>
      <c r="K27" s="620"/>
      <c r="L27" s="620"/>
      <c r="M27" s="620"/>
      <c r="N27" s="600"/>
      <c r="O27" s="619"/>
      <c r="P27" s="620"/>
      <c r="Q27" s="600"/>
      <c r="R27" s="600"/>
      <c r="S27" s="620"/>
      <c r="T27" s="600"/>
      <c r="U27" s="600"/>
      <c r="V27" s="600"/>
      <c r="W27" s="620">
        <v>134</v>
      </c>
      <c r="X27"/>
    </row>
    <row r="28" spans="1:24" ht="15.5">
      <c r="A28" s="507"/>
      <c r="B28" s="604" t="s">
        <v>123</v>
      </c>
      <c r="C28" s="619">
        <v>126</v>
      </c>
      <c r="D28" s="620"/>
      <c r="E28" s="620"/>
      <c r="F28" s="620"/>
      <c r="G28" s="620"/>
      <c r="H28" s="620"/>
      <c r="I28" s="600">
        <v>126</v>
      </c>
      <c r="J28" s="619"/>
      <c r="K28" s="620"/>
      <c r="L28" s="620"/>
      <c r="M28" s="620"/>
      <c r="N28" s="600"/>
      <c r="O28" s="619"/>
      <c r="P28" s="620"/>
      <c r="Q28" s="600"/>
      <c r="R28" s="600"/>
      <c r="S28" s="620"/>
      <c r="T28" s="600"/>
      <c r="U28" s="600"/>
      <c r="V28" s="600"/>
      <c r="W28" s="620">
        <v>126</v>
      </c>
      <c r="X28"/>
    </row>
    <row r="29" spans="1:24" s="149" customFormat="1" ht="15.5">
      <c r="A29" s="507"/>
      <c r="B29" s="604" t="s">
        <v>124</v>
      </c>
      <c r="C29" s="619">
        <v>-5.9701492537313432E-2</v>
      </c>
      <c r="D29" s="620">
        <v>0</v>
      </c>
      <c r="E29" s="620">
        <v>0</v>
      </c>
      <c r="F29" s="620">
        <v>0</v>
      </c>
      <c r="G29" s="620">
        <v>0</v>
      </c>
      <c r="H29" s="620">
        <v>0</v>
      </c>
      <c r="I29" s="600">
        <v>-5.9701492537313432E-2</v>
      </c>
      <c r="J29" s="619">
        <v>0</v>
      </c>
      <c r="K29" s="620">
        <v>0</v>
      </c>
      <c r="L29" s="620">
        <v>0</v>
      </c>
      <c r="M29" s="620">
        <v>0</v>
      </c>
      <c r="N29" s="600">
        <v>0</v>
      </c>
      <c r="O29" s="619">
        <v>0</v>
      </c>
      <c r="P29" s="620">
        <v>0</v>
      </c>
      <c r="Q29" s="600">
        <v>0</v>
      </c>
      <c r="R29" s="600">
        <v>0</v>
      </c>
      <c r="S29" s="620">
        <v>0</v>
      </c>
      <c r="T29" s="600">
        <v>0</v>
      </c>
      <c r="U29" s="600">
        <v>0</v>
      </c>
      <c r="V29" s="600">
        <v>0</v>
      </c>
      <c r="W29" s="620">
        <v>-5.9701492537313432E-2</v>
      </c>
      <c r="X29"/>
    </row>
    <row r="30" spans="1:24" ht="15.5">
      <c r="A30" s="507"/>
      <c r="B30" s="604" t="s">
        <v>125</v>
      </c>
      <c r="C30" s="619">
        <v>182</v>
      </c>
      <c r="D30" s="620">
        <v>80</v>
      </c>
      <c r="E30" s="620"/>
      <c r="F30" s="620"/>
      <c r="G30" s="620"/>
      <c r="H30" s="620"/>
      <c r="I30" s="600">
        <v>262</v>
      </c>
      <c r="J30" s="619"/>
      <c r="K30" s="620"/>
      <c r="L30" s="620"/>
      <c r="M30" s="620"/>
      <c r="N30" s="600"/>
      <c r="O30" s="619"/>
      <c r="P30" s="620"/>
      <c r="Q30" s="600"/>
      <c r="R30" s="600"/>
      <c r="S30" s="620"/>
      <c r="T30" s="600"/>
      <c r="U30" s="600"/>
      <c r="V30" s="600"/>
      <c r="W30" s="620">
        <v>262</v>
      </c>
      <c r="X30"/>
    </row>
    <row r="31" spans="1:24" ht="15.5">
      <c r="A31" s="507"/>
      <c r="B31" s="604" t="s">
        <v>126</v>
      </c>
      <c r="C31" s="619">
        <v>186</v>
      </c>
      <c r="D31" s="620">
        <v>66</v>
      </c>
      <c r="E31" s="620"/>
      <c r="F31" s="620"/>
      <c r="G31" s="620"/>
      <c r="H31" s="620"/>
      <c r="I31" s="600">
        <v>252</v>
      </c>
      <c r="J31" s="619"/>
      <c r="K31" s="620"/>
      <c r="L31" s="620"/>
      <c r="M31" s="620"/>
      <c r="N31" s="600"/>
      <c r="O31" s="619"/>
      <c r="P31" s="620"/>
      <c r="Q31" s="600"/>
      <c r="R31" s="600"/>
      <c r="S31" s="620"/>
      <c r="T31" s="600"/>
      <c r="U31" s="600"/>
      <c r="V31" s="600"/>
      <c r="W31" s="620">
        <v>252</v>
      </c>
      <c r="X31"/>
    </row>
    <row r="32" spans="1:24" s="149" customFormat="1" ht="15.5">
      <c r="A32" s="507"/>
      <c r="B32" s="604" t="s">
        <v>127</v>
      </c>
      <c r="C32" s="619">
        <v>2.197802197802198E-2</v>
      </c>
      <c r="D32" s="620">
        <v>-0.17499999999999999</v>
      </c>
      <c r="E32" s="620">
        <v>0</v>
      </c>
      <c r="F32" s="620">
        <v>0</v>
      </c>
      <c r="G32" s="620">
        <v>0</v>
      </c>
      <c r="H32" s="620">
        <v>0</v>
      </c>
      <c r="I32" s="600">
        <v>-3.8167938931297711E-2</v>
      </c>
      <c r="J32" s="619">
        <v>0</v>
      </c>
      <c r="K32" s="620">
        <v>0</v>
      </c>
      <c r="L32" s="620">
        <v>0</v>
      </c>
      <c r="M32" s="620">
        <v>0</v>
      </c>
      <c r="N32" s="600">
        <v>0</v>
      </c>
      <c r="O32" s="619">
        <v>0</v>
      </c>
      <c r="P32" s="620">
        <v>0</v>
      </c>
      <c r="Q32" s="600">
        <v>0</v>
      </c>
      <c r="R32" s="600">
        <v>0</v>
      </c>
      <c r="S32" s="620">
        <v>0</v>
      </c>
      <c r="T32" s="600">
        <v>0</v>
      </c>
      <c r="U32" s="600">
        <v>0</v>
      </c>
      <c r="V32" s="600">
        <v>0</v>
      </c>
      <c r="W32" s="620">
        <v>-3.8167938931297711E-2</v>
      </c>
      <c r="X32"/>
    </row>
    <row r="33" spans="1:24" ht="15.5">
      <c r="A33" s="507"/>
      <c r="B33" s="604" t="s">
        <v>128</v>
      </c>
      <c r="C33" s="619">
        <v>64</v>
      </c>
      <c r="D33" s="620"/>
      <c r="E33" s="620"/>
      <c r="F33" s="620"/>
      <c r="G33" s="620"/>
      <c r="H33" s="620"/>
      <c r="I33" s="600">
        <v>64</v>
      </c>
      <c r="J33" s="619"/>
      <c r="K33" s="620"/>
      <c r="L33" s="620"/>
      <c r="M33" s="620"/>
      <c r="N33" s="600"/>
      <c r="O33" s="619"/>
      <c r="P33" s="620"/>
      <c r="Q33" s="600"/>
      <c r="R33" s="600"/>
      <c r="S33" s="620"/>
      <c r="T33" s="600"/>
      <c r="U33" s="600"/>
      <c r="V33" s="600"/>
      <c r="W33" s="620">
        <v>64</v>
      </c>
      <c r="X33"/>
    </row>
    <row r="34" spans="1:24" ht="15.5">
      <c r="A34" s="507"/>
      <c r="B34" s="604" t="s">
        <v>129</v>
      </c>
      <c r="C34" s="619">
        <v>75</v>
      </c>
      <c r="D34" s="620"/>
      <c r="E34" s="620"/>
      <c r="F34" s="620"/>
      <c r="G34" s="620"/>
      <c r="H34" s="620"/>
      <c r="I34" s="600">
        <v>75</v>
      </c>
      <c r="J34" s="619"/>
      <c r="K34" s="620"/>
      <c r="L34" s="620"/>
      <c r="M34" s="620"/>
      <c r="N34" s="600"/>
      <c r="O34" s="619"/>
      <c r="P34" s="620"/>
      <c r="Q34" s="600"/>
      <c r="R34" s="600"/>
      <c r="S34" s="620"/>
      <c r="T34" s="600"/>
      <c r="U34" s="600"/>
      <c r="V34" s="600"/>
      <c r="W34" s="620">
        <v>75</v>
      </c>
      <c r="X34"/>
    </row>
    <row r="35" spans="1:24" s="149" customFormat="1" ht="15.5">
      <c r="A35" s="507"/>
      <c r="B35" s="604" t="s">
        <v>130</v>
      </c>
      <c r="C35" s="619">
        <v>0.171875</v>
      </c>
      <c r="D35" s="620">
        <v>0</v>
      </c>
      <c r="E35" s="620">
        <v>0</v>
      </c>
      <c r="F35" s="620">
        <v>0</v>
      </c>
      <c r="G35" s="620">
        <v>0</v>
      </c>
      <c r="H35" s="620">
        <v>0</v>
      </c>
      <c r="I35" s="600">
        <v>0.171875</v>
      </c>
      <c r="J35" s="619">
        <v>0</v>
      </c>
      <c r="K35" s="620">
        <v>0</v>
      </c>
      <c r="L35" s="620">
        <v>0</v>
      </c>
      <c r="M35" s="620">
        <v>0</v>
      </c>
      <c r="N35" s="600">
        <v>0</v>
      </c>
      <c r="O35" s="619">
        <v>0</v>
      </c>
      <c r="P35" s="620">
        <v>0</v>
      </c>
      <c r="Q35" s="600">
        <v>0</v>
      </c>
      <c r="R35" s="600">
        <v>0</v>
      </c>
      <c r="S35" s="620">
        <v>0</v>
      </c>
      <c r="T35" s="600">
        <v>0</v>
      </c>
      <c r="U35" s="600">
        <v>0</v>
      </c>
      <c r="V35" s="600">
        <v>0</v>
      </c>
      <c r="W35" s="620">
        <v>0.171875</v>
      </c>
      <c r="X35"/>
    </row>
    <row r="36" spans="1:24" ht="15.5">
      <c r="A36" s="507"/>
      <c r="B36" s="604" t="s">
        <v>131</v>
      </c>
      <c r="C36" s="619">
        <v>145</v>
      </c>
      <c r="D36" s="620"/>
      <c r="E36" s="620"/>
      <c r="F36" s="620"/>
      <c r="G36" s="620"/>
      <c r="H36" s="620"/>
      <c r="I36" s="600">
        <v>145</v>
      </c>
      <c r="J36" s="619"/>
      <c r="K36" s="620"/>
      <c r="L36" s="620"/>
      <c r="M36" s="620"/>
      <c r="N36" s="600"/>
      <c r="O36" s="619"/>
      <c r="P36" s="620"/>
      <c r="Q36" s="600"/>
      <c r="R36" s="600"/>
      <c r="S36" s="620"/>
      <c r="T36" s="600"/>
      <c r="U36" s="600"/>
      <c r="V36" s="600"/>
      <c r="W36" s="620">
        <v>145</v>
      </c>
      <c r="X36"/>
    </row>
    <row r="37" spans="1:24" ht="15.5">
      <c r="A37" s="507"/>
      <c r="B37" s="604" t="s">
        <v>132</v>
      </c>
      <c r="C37" s="619">
        <v>138</v>
      </c>
      <c r="D37" s="620"/>
      <c r="E37" s="620"/>
      <c r="F37" s="620"/>
      <c r="G37" s="620"/>
      <c r="H37" s="620"/>
      <c r="I37" s="600">
        <v>138</v>
      </c>
      <c r="J37" s="619"/>
      <c r="K37" s="620"/>
      <c r="L37" s="620"/>
      <c r="M37" s="620"/>
      <c r="N37" s="600"/>
      <c r="O37" s="619"/>
      <c r="P37" s="620"/>
      <c r="Q37" s="600"/>
      <c r="R37" s="600"/>
      <c r="S37" s="620"/>
      <c r="T37" s="600"/>
      <c r="U37" s="600"/>
      <c r="V37" s="600"/>
      <c r="W37" s="620">
        <v>138</v>
      </c>
      <c r="X37"/>
    </row>
    <row r="38" spans="1:24" s="149" customFormat="1" ht="15.5">
      <c r="A38" s="507"/>
      <c r="B38" s="604" t="s">
        <v>133</v>
      </c>
      <c r="C38" s="619">
        <v>-4.8275862068965517E-2</v>
      </c>
      <c r="D38" s="620">
        <v>0</v>
      </c>
      <c r="E38" s="620">
        <v>0</v>
      </c>
      <c r="F38" s="620">
        <v>0</v>
      </c>
      <c r="G38" s="620">
        <v>0</v>
      </c>
      <c r="H38" s="620">
        <v>0</v>
      </c>
      <c r="I38" s="600">
        <v>-4.8275862068965517E-2</v>
      </c>
      <c r="J38" s="619">
        <v>0</v>
      </c>
      <c r="K38" s="620">
        <v>0</v>
      </c>
      <c r="L38" s="620">
        <v>0</v>
      </c>
      <c r="M38" s="620">
        <v>0</v>
      </c>
      <c r="N38" s="600">
        <v>0</v>
      </c>
      <c r="O38" s="619">
        <v>0</v>
      </c>
      <c r="P38" s="620">
        <v>0</v>
      </c>
      <c r="Q38" s="600">
        <v>0</v>
      </c>
      <c r="R38" s="600">
        <v>0</v>
      </c>
      <c r="S38" s="620">
        <v>0</v>
      </c>
      <c r="T38" s="600">
        <v>0</v>
      </c>
      <c r="U38" s="600">
        <v>0</v>
      </c>
      <c r="V38" s="600">
        <v>0</v>
      </c>
      <c r="W38" s="620">
        <v>-4.8275862068965517E-2</v>
      </c>
      <c r="X38"/>
    </row>
    <row r="39" spans="1:24" ht="15.5">
      <c r="A39" s="507"/>
      <c r="B39" s="604" t="s">
        <v>134</v>
      </c>
      <c r="C39" s="619"/>
      <c r="D39" s="620"/>
      <c r="E39" s="620"/>
      <c r="F39" s="620"/>
      <c r="G39" s="620"/>
      <c r="H39" s="620"/>
      <c r="I39" s="600"/>
      <c r="J39" s="619"/>
      <c r="K39" s="620"/>
      <c r="L39" s="620"/>
      <c r="M39" s="620"/>
      <c r="N39" s="600"/>
      <c r="O39" s="619"/>
      <c r="P39" s="620"/>
      <c r="Q39" s="600"/>
      <c r="R39" s="600"/>
      <c r="S39" s="620"/>
      <c r="T39" s="600"/>
      <c r="U39" s="600"/>
      <c r="V39" s="600"/>
      <c r="W39" s="620"/>
      <c r="X39"/>
    </row>
    <row r="40" spans="1:24" ht="15.5">
      <c r="A40" s="507"/>
      <c r="B40" s="604" t="s">
        <v>135</v>
      </c>
      <c r="C40" s="619"/>
      <c r="D40" s="620"/>
      <c r="E40" s="620"/>
      <c r="F40" s="620"/>
      <c r="G40" s="620"/>
      <c r="H40" s="620"/>
      <c r="I40" s="600"/>
      <c r="J40" s="619"/>
      <c r="K40" s="620"/>
      <c r="L40" s="620"/>
      <c r="M40" s="620"/>
      <c r="N40" s="600"/>
      <c r="O40" s="619"/>
      <c r="P40" s="620"/>
      <c r="Q40" s="600"/>
      <c r="R40" s="600"/>
      <c r="S40" s="620"/>
      <c r="T40" s="600"/>
      <c r="U40" s="600"/>
      <c r="V40" s="600"/>
      <c r="W40" s="620"/>
      <c r="X40"/>
    </row>
    <row r="41" spans="1:24" s="149" customFormat="1" ht="15.5">
      <c r="A41" s="507"/>
      <c r="B41" s="604" t="s">
        <v>136</v>
      </c>
      <c r="C41" s="619">
        <v>0</v>
      </c>
      <c r="D41" s="620">
        <v>0</v>
      </c>
      <c r="E41" s="620">
        <v>0</v>
      </c>
      <c r="F41" s="620">
        <v>0</v>
      </c>
      <c r="G41" s="620">
        <v>0</v>
      </c>
      <c r="H41" s="620">
        <v>0</v>
      </c>
      <c r="I41" s="600">
        <v>0</v>
      </c>
      <c r="J41" s="619">
        <v>0</v>
      </c>
      <c r="K41" s="620">
        <v>0</v>
      </c>
      <c r="L41" s="620">
        <v>0</v>
      </c>
      <c r="M41" s="620">
        <v>0</v>
      </c>
      <c r="N41" s="600">
        <v>0</v>
      </c>
      <c r="O41" s="619">
        <v>0</v>
      </c>
      <c r="P41" s="620">
        <v>0</v>
      </c>
      <c r="Q41" s="600">
        <v>0</v>
      </c>
      <c r="R41" s="600">
        <v>0</v>
      </c>
      <c r="S41" s="620">
        <v>0</v>
      </c>
      <c r="T41" s="600">
        <v>0</v>
      </c>
      <c r="U41" s="600">
        <v>0</v>
      </c>
      <c r="V41" s="600">
        <v>0</v>
      </c>
      <c r="W41" s="620">
        <v>0</v>
      </c>
      <c r="X41"/>
    </row>
    <row r="42" spans="1:24" ht="15.5">
      <c r="A42" s="507"/>
      <c r="B42" s="604" t="s">
        <v>137</v>
      </c>
      <c r="C42" s="619">
        <v>47</v>
      </c>
      <c r="D42" s="620"/>
      <c r="E42" s="620"/>
      <c r="F42" s="620"/>
      <c r="G42" s="620"/>
      <c r="H42" s="620"/>
      <c r="I42" s="600">
        <v>47</v>
      </c>
      <c r="J42" s="619"/>
      <c r="K42" s="620"/>
      <c r="L42" s="620"/>
      <c r="M42" s="620"/>
      <c r="N42" s="600"/>
      <c r="O42" s="619"/>
      <c r="P42" s="620"/>
      <c r="Q42" s="600"/>
      <c r="R42" s="600"/>
      <c r="S42" s="620"/>
      <c r="T42" s="600"/>
      <c r="U42" s="600"/>
      <c r="V42" s="600"/>
      <c r="W42" s="620">
        <v>47</v>
      </c>
      <c r="X42"/>
    </row>
    <row r="43" spans="1:24" ht="15.5">
      <c r="A43" s="507"/>
      <c r="B43" s="604" t="s">
        <v>138</v>
      </c>
      <c r="C43" s="619">
        <v>41</v>
      </c>
      <c r="D43" s="620"/>
      <c r="E43" s="620"/>
      <c r="F43" s="620"/>
      <c r="G43" s="620"/>
      <c r="H43" s="620"/>
      <c r="I43" s="600">
        <v>41</v>
      </c>
      <c r="J43" s="619"/>
      <c r="K43" s="620"/>
      <c r="L43" s="620"/>
      <c r="M43" s="620"/>
      <c r="N43" s="600"/>
      <c r="O43" s="619"/>
      <c r="P43" s="620"/>
      <c r="Q43" s="600"/>
      <c r="R43" s="600"/>
      <c r="S43" s="620"/>
      <c r="T43" s="600"/>
      <c r="U43" s="600"/>
      <c r="V43" s="600"/>
      <c r="W43" s="620">
        <v>41</v>
      </c>
      <c r="X43"/>
    </row>
    <row r="44" spans="1:24" s="149" customFormat="1" ht="15.5">
      <c r="A44" s="507"/>
      <c r="B44" s="604" t="s">
        <v>139</v>
      </c>
      <c r="C44" s="619">
        <v>-0.1276595744680851</v>
      </c>
      <c r="D44" s="620">
        <v>0</v>
      </c>
      <c r="E44" s="620">
        <v>0</v>
      </c>
      <c r="F44" s="620">
        <v>0</v>
      </c>
      <c r="G44" s="620">
        <v>0</v>
      </c>
      <c r="H44" s="620">
        <v>0</v>
      </c>
      <c r="I44" s="600">
        <v>-0.1276595744680851</v>
      </c>
      <c r="J44" s="619">
        <v>0</v>
      </c>
      <c r="K44" s="620">
        <v>0</v>
      </c>
      <c r="L44" s="620">
        <v>0</v>
      </c>
      <c r="M44" s="620">
        <v>0</v>
      </c>
      <c r="N44" s="600">
        <v>0</v>
      </c>
      <c r="O44" s="619">
        <v>0</v>
      </c>
      <c r="P44" s="620">
        <v>0</v>
      </c>
      <c r="Q44" s="600">
        <v>0</v>
      </c>
      <c r="R44" s="600">
        <v>0</v>
      </c>
      <c r="S44" s="620">
        <v>0</v>
      </c>
      <c r="T44" s="600">
        <v>0</v>
      </c>
      <c r="U44" s="600">
        <v>0</v>
      </c>
      <c r="V44" s="600">
        <v>0</v>
      </c>
      <c r="W44" s="620">
        <v>-0.1276595744680851</v>
      </c>
      <c r="X44"/>
    </row>
    <row r="45" spans="1:24" ht="15.5">
      <c r="A45" s="507"/>
      <c r="B45" s="604" t="s">
        <v>140</v>
      </c>
      <c r="C45" s="619"/>
      <c r="D45" s="620"/>
      <c r="E45" s="620"/>
      <c r="F45" s="620"/>
      <c r="G45" s="620"/>
      <c r="H45" s="620"/>
      <c r="I45" s="600"/>
      <c r="J45" s="619"/>
      <c r="K45" s="620"/>
      <c r="L45" s="620"/>
      <c r="M45" s="620"/>
      <c r="N45" s="600"/>
      <c r="O45" s="619"/>
      <c r="P45" s="620"/>
      <c r="Q45" s="600"/>
      <c r="R45" s="600"/>
      <c r="S45" s="620"/>
      <c r="T45" s="600"/>
      <c r="U45" s="600"/>
      <c r="V45" s="600"/>
      <c r="W45" s="620"/>
      <c r="X45"/>
    </row>
    <row r="46" spans="1:24" ht="15.5">
      <c r="A46" s="507"/>
      <c r="B46" s="604" t="s">
        <v>141</v>
      </c>
      <c r="C46" s="619"/>
      <c r="D46" s="620"/>
      <c r="E46" s="620"/>
      <c r="F46" s="620"/>
      <c r="G46" s="620"/>
      <c r="H46" s="620"/>
      <c r="I46" s="600"/>
      <c r="J46" s="619"/>
      <c r="K46" s="620"/>
      <c r="L46" s="620"/>
      <c r="M46" s="620"/>
      <c r="N46" s="600"/>
      <c r="O46" s="619"/>
      <c r="P46" s="620"/>
      <c r="Q46" s="600"/>
      <c r="R46" s="600"/>
      <c r="S46" s="620"/>
      <c r="T46" s="600"/>
      <c r="U46" s="600"/>
      <c r="V46" s="600"/>
      <c r="W46" s="620"/>
      <c r="X46"/>
    </row>
    <row r="47" spans="1:24" s="149" customFormat="1" ht="15.5">
      <c r="A47" s="507"/>
      <c r="B47" s="604" t="s">
        <v>142</v>
      </c>
      <c r="C47" s="619">
        <v>0</v>
      </c>
      <c r="D47" s="620">
        <v>0</v>
      </c>
      <c r="E47" s="620">
        <v>0</v>
      </c>
      <c r="F47" s="620">
        <v>0</v>
      </c>
      <c r="G47" s="620">
        <v>0</v>
      </c>
      <c r="H47" s="620">
        <v>0</v>
      </c>
      <c r="I47" s="600">
        <v>0</v>
      </c>
      <c r="J47" s="619">
        <v>0</v>
      </c>
      <c r="K47" s="620">
        <v>0</v>
      </c>
      <c r="L47" s="620">
        <v>0</v>
      </c>
      <c r="M47" s="620">
        <v>0</v>
      </c>
      <c r="N47" s="600">
        <v>0</v>
      </c>
      <c r="O47" s="619">
        <v>0</v>
      </c>
      <c r="P47" s="620">
        <v>0</v>
      </c>
      <c r="Q47" s="600">
        <v>0</v>
      </c>
      <c r="R47" s="600">
        <v>0</v>
      </c>
      <c r="S47" s="620">
        <v>0</v>
      </c>
      <c r="T47" s="600">
        <v>0</v>
      </c>
      <c r="U47" s="600">
        <v>0</v>
      </c>
      <c r="V47" s="600">
        <v>0</v>
      </c>
      <c r="W47" s="620">
        <v>0</v>
      </c>
      <c r="X47"/>
    </row>
    <row r="48" spans="1:24" ht="15.5">
      <c r="A48" s="507"/>
      <c r="B48" s="604" t="s">
        <v>143</v>
      </c>
      <c r="C48" s="619">
        <v>123</v>
      </c>
      <c r="D48" s="620"/>
      <c r="E48" s="620"/>
      <c r="F48" s="620"/>
      <c r="G48" s="620"/>
      <c r="H48" s="620"/>
      <c r="I48" s="600">
        <v>123</v>
      </c>
      <c r="J48" s="619"/>
      <c r="K48" s="620"/>
      <c r="L48" s="620"/>
      <c r="M48" s="620"/>
      <c r="N48" s="600"/>
      <c r="O48" s="619"/>
      <c r="P48" s="620"/>
      <c r="Q48" s="600"/>
      <c r="R48" s="600"/>
      <c r="S48" s="620"/>
      <c r="T48" s="600"/>
      <c r="U48" s="600"/>
      <c r="V48" s="600"/>
      <c r="W48" s="620">
        <v>123</v>
      </c>
      <c r="X48"/>
    </row>
    <row r="49" spans="1:24" ht="15.5">
      <c r="A49" s="507"/>
      <c r="B49" s="604" t="s">
        <v>144</v>
      </c>
      <c r="C49" s="619">
        <v>116</v>
      </c>
      <c r="D49" s="620"/>
      <c r="E49" s="620"/>
      <c r="F49" s="620"/>
      <c r="G49" s="620"/>
      <c r="H49" s="620"/>
      <c r="I49" s="600">
        <v>116</v>
      </c>
      <c r="J49" s="619"/>
      <c r="K49" s="620"/>
      <c r="L49" s="620"/>
      <c r="M49" s="620"/>
      <c r="N49" s="600"/>
      <c r="O49" s="619"/>
      <c r="P49" s="620"/>
      <c r="Q49" s="600"/>
      <c r="R49" s="600"/>
      <c r="S49" s="620"/>
      <c r="T49" s="600"/>
      <c r="U49" s="600"/>
      <c r="V49" s="600"/>
      <c r="W49" s="620">
        <v>116</v>
      </c>
      <c r="X49"/>
    </row>
    <row r="50" spans="1:24" s="149" customFormat="1" ht="15.5">
      <c r="A50" s="507"/>
      <c r="B50" s="604" t="s">
        <v>145</v>
      </c>
      <c r="C50" s="682">
        <v>-5.6910569105691054E-2</v>
      </c>
      <c r="D50" s="620">
        <v>0</v>
      </c>
      <c r="E50" s="620">
        <v>0</v>
      </c>
      <c r="F50" s="620">
        <v>0</v>
      </c>
      <c r="G50" s="620">
        <v>0</v>
      </c>
      <c r="H50" s="620">
        <v>0</v>
      </c>
      <c r="I50" s="600">
        <v>-5.6910569105691054E-2</v>
      </c>
      <c r="J50" s="619">
        <v>0</v>
      </c>
      <c r="K50" s="620">
        <v>0</v>
      </c>
      <c r="L50" s="620">
        <v>0</v>
      </c>
      <c r="M50" s="620">
        <v>0</v>
      </c>
      <c r="N50" s="600">
        <v>0</v>
      </c>
      <c r="O50" s="619">
        <v>0</v>
      </c>
      <c r="P50" s="620">
        <v>0</v>
      </c>
      <c r="Q50" s="600">
        <v>0</v>
      </c>
      <c r="R50" s="600">
        <v>0</v>
      </c>
      <c r="S50" s="620">
        <v>0</v>
      </c>
      <c r="T50" s="600">
        <v>0</v>
      </c>
      <c r="U50" s="600">
        <v>0</v>
      </c>
      <c r="V50" s="600">
        <v>0</v>
      </c>
      <c r="W50" s="620">
        <v>-5.6910569105691054E-2</v>
      </c>
      <c r="X50"/>
    </row>
    <row r="51" spans="1:24" ht="15.5">
      <c r="A51" s="507"/>
      <c r="B51" s="604" t="s">
        <v>146</v>
      </c>
      <c r="C51" s="619"/>
      <c r="D51" s="620"/>
      <c r="E51" s="620"/>
      <c r="F51" s="620"/>
      <c r="G51" s="620"/>
      <c r="H51" s="620"/>
      <c r="I51" s="600"/>
      <c r="J51" s="619"/>
      <c r="K51" s="620"/>
      <c r="L51" s="620"/>
      <c r="M51" s="620"/>
      <c r="N51" s="600"/>
      <c r="O51" s="619"/>
      <c r="P51" s="620"/>
      <c r="Q51" s="600"/>
      <c r="R51" s="600"/>
      <c r="S51" s="620"/>
      <c r="T51" s="600"/>
      <c r="U51" s="600"/>
      <c r="V51" s="600"/>
      <c r="W51" s="620"/>
      <c r="X51"/>
    </row>
    <row r="52" spans="1:24" ht="15.5">
      <c r="A52" s="507"/>
      <c r="B52" s="604" t="s">
        <v>147</v>
      </c>
      <c r="C52" s="619"/>
      <c r="D52" s="620"/>
      <c r="E52" s="620"/>
      <c r="F52" s="620"/>
      <c r="G52" s="620"/>
      <c r="H52" s="620"/>
      <c r="I52" s="600"/>
      <c r="J52" s="619"/>
      <c r="K52" s="620"/>
      <c r="L52" s="620"/>
      <c r="M52" s="620"/>
      <c r="N52" s="600"/>
      <c r="O52" s="619"/>
      <c r="P52" s="620"/>
      <c r="Q52" s="600"/>
      <c r="R52" s="600"/>
      <c r="S52" s="620"/>
      <c r="T52" s="600"/>
      <c r="U52" s="600"/>
      <c r="V52" s="600"/>
      <c r="W52" s="620"/>
      <c r="X52"/>
    </row>
    <row r="53" spans="1:24" s="149" customFormat="1" ht="15.5">
      <c r="A53" s="507"/>
      <c r="B53" s="605" t="s">
        <v>148</v>
      </c>
      <c r="C53" s="622">
        <v>0</v>
      </c>
      <c r="D53" s="623">
        <v>0</v>
      </c>
      <c r="E53" s="623">
        <v>0</v>
      </c>
      <c r="F53" s="623">
        <v>0</v>
      </c>
      <c r="G53" s="623">
        <v>0</v>
      </c>
      <c r="H53" s="623">
        <v>0</v>
      </c>
      <c r="I53" s="171">
        <v>0</v>
      </c>
      <c r="J53" s="622">
        <v>0</v>
      </c>
      <c r="K53" s="623">
        <v>0</v>
      </c>
      <c r="L53" s="623">
        <v>0</v>
      </c>
      <c r="M53" s="623">
        <v>0</v>
      </c>
      <c r="N53" s="171">
        <v>0</v>
      </c>
      <c r="O53" s="622">
        <v>0</v>
      </c>
      <c r="P53" s="623">
        <v>0</v>
      </c>
      <c r="Q53" s="171">
        <v>0</v>
      </c>
      <c r="R53" s="171">
        <v>0</v>
      </c>
      <c r="S53" s="623">
        <v>0</v>
      </c>
      <c r="T53" s="171">
        <v>0</v>
      </c>
      <c r="U53" s="171">
        <v>0</v>
      </c>
      <c r="V53" s="171">
        <v>0</v>
      </c>
      <c r="W53" s="623">
        <v>0</v>
      </c>
      <c r="X53"/>
    </row>
    <row r="54" spans="1:24" ht="15.5">
      <c r="A54" s="507"/>
      <c r="B54" s="609" t="s">
        <v>149</v>
      </c>
      <c r="C54" s="624">
        <v>181</v>
      </c>
      <c r="D54" s="624">
        <v>243</v>
      </c>
      <c r="E54" s="624">
        <v>20</v>
      </c>
      <c r="F54" s="624">
        <v>23</v>
      </c>
      <c r="G54" s="624"/>
      <c r="H54" s="624"/>
      <c r="I54" s="608">
        <v>467</v>
      </c>
      <c r="J54" s="638"/>
      <c r="K54" s="624"/>
      <c r="L54" s="624"/>
      <c r="M54" s="624"/>
      <c r="N54" s="608"/>
      <c r="O54" s="638"/>
      <c r="P54" s="624"/>
      <c r="Q54" s="608"/>
      <c r="R54" s="608"/>
      <c r="S54" s="624"/>
      <c r="T54" s="608"/>
      <c r="U54" s="608"/>
      <c r="V54" s="608"/>
      <c r="W54" s="624">
        <v>467</v>
      </c>
      <c r="X54"/>
    </row>
    <row r="55" spans="1:24" ht="15.5">
      <c r="A55" s="507"/>
      <c r="B55" s="509" t="s">
        <v>150</v>
      </c>
      <c r="C55" s="612">
        <v>238</v>
      </c>
      <c r="D55" s="625">
        <v>254</v>
      </c>
      <c r="E55" s="671">
        <v>31</v>
      </c>
      <c r="F55" s="625">
        <v>31</v>
      </c>
      <c r="G55" s="625"/>
      <c r="H55" s="625"/>
      <c r="I55" s="607">
        <v>554</v>
      </c>
      <c r="J55" s="639"/>
      <c r="K55" s="625"/>
      <c r="L55" s="625"/>
      <c r="M55" s="625"/>
      <c r="N55" s="607"/>
      <c r="O55" s="639"/>
      <c r="P55" s="625"/>
      <c r="Q55" s="607"/>
      <c r="R55" s="607"/>
      <c r="S55" s="625"/>
      <c r="T55" s="607"/>
      <c r="U55" s="607"/>
      <c r="V55" s="607"/>
      <c r="W55" s="625">
        <v>554</v>
      </c>
      <c r="X55"/>
    </row>
    <row r="56" spans="1:24" s="149" customFormat="1" ht="16" thickBot="1">
      <c r="A56" s="507"/>
      <c r="B56" s="670" t="s">
        <v>151</v>
      </c>
      <c r="C56" s="674">
        <v>0.31491712707182318</v>
      </c>
      <c r="D56" s="624">
        <v>4.5267489711934158E-2</v>
      </c>
      <c r="E56" s="673">
        <v>0.55000000000000004</v>
      </c>
      <c r="F56" s="626">
        <v>0.34782608695652173</v>
      </c>
      <c r="G56" s="626">
        <v>0</v>
      </c>
      <c r="H56" s="624">
        <v>0</v>
      </c>
      <c r="I56" s="601">
        <v>0.18629550321199143</v>
      </c>
      <c r="J56" s="638">
        <v>0</v>
      </c>
      <c r="K56" s="626">
        <v>0</v>
      </c>
      <c r="L56" s="626">
        <v>0</v>
      </c>
      <c r="M56" s="624">
        <v>0</v>
      </c>
      <c r="N56" s="601">
        <v>0</v>
      </c>
      <c r="O56" s="638">
        <v>0</v>
      </c>
      <c r="P56" s="624">
        <v>0</v>
      </c>
      <c r="Q56" s="601">
        <v>0</v>
      </c>
      <c r="R56" s="601">
        <v>0</v>
      </c>
      <c r="S56" s="626">
        <v>0</v>
      </c>
      <c r="T56" s="601">
        <v>0</v>
      </c>
      <c r="U56" s="601">
        <v>0</v>
      </c>
      <c r="V56" s="601">
        <v>0</v>
      </c>
      <c r="W56" s="626">
        <v>0.18629550321199143</v>
      </c>
      <c r="X56"/>
    </row>
    <row r="57" spans="1:24" ht="15.5">
      <c r="A57" s="507"/>
      <c r="B57" s="65" t="s">
        <v>152</v>
      </c>
      <c r="C57" s="626">
        <v>7</v>
      </c>
      <c r="D57" s="626"/>
      <c r="E57" s="626">
        <v>3</v>
      </c>
      <c r="F57" s="626"/>
      <c r="G57" s="626"/>
      <c r="H57" s="624"/>
      <c r="I57" s="601">
        <v>10</v>
      </c>
      <c r="J57" s="638"/>
      <c r="K57" s="626"/>
      <c r="L57" s="626"/>
      <c r="M57" s="624"/>
      <c r="N57" s="601"/>
      <c r="O57" s="638"/>
      <c r="P57" s="624"/>
      <c r="Q57" s="601"/>
      <c r="R57" s="601"/>
      <c r="S57" s="626"/>
      <c r="T57" s="601"/>
      <c r="U57" s="601"/>
      <c r="V57" s="601"/>
      <c r="W57" s="626">
        <v>10</v>
      </c>
      <c r="X57"/>
    </row>
    <row r="58" spans="1:24" s="149" customFormat="1" ht="15.5">
      <c r="A58" s="540"/>
      <c r="B58" s="65" t="s">
        <v>153</v>
      </c>
      <c r="C58" s="626">
        <v>6</v>
      </c>
      <c r="D58" s="679"/>
      <c r="E58" s="626">
        <v>0</v>
      </c>
      <c r="F58" s="626"/>
      <c r="G58" s="626"/>
      <c r="H58" s="624"/>
      <c r="I58" s="601">
        <v>6</v>
      </c>
      <c r="J58" s="638"/>
      <c r="K58" s="626"/>
      <c r="L58" s="626"/>
      <c r="M58" s="624"/>
      <c r="N58" s="601"/>
      <c r="O58" s="638"/>
      <c r="P58" s="624"/>
      <c r="Q58" s="601"/>
      <c r="R58" s="601"/>
      <c r="S58" s="626"/>
      <c r="T58" s="601"/>
      <c r="U58" s="601"/>
      <c r="V58" s="601"/>
      <c r="W58" s="626">
        <v>6</v>
      </c>
      <c r="X58"/>
    </row>
    <row r="59" spans="1:24" ht="15.5">
      <c r="A59" s="128" t="s">
        <v>154</v>
      </c>
      <c r="B59" s="131" t="s">
        <v>101</v>
      </c>
      <c r="C59" s="626">
        <v>5</v>
      </c>
      <c r="D59" s="626">
        <v>30</v>
      </c>
      <c r="E59" s="626">
        <v>1270</v>
      </c>
      <c r="F59" s="626">
        <v>457</v>
      </c>
      <c r="G59" s="626"/>
      <c r="H59" s="624">
        <v>498</v>
      </c>
      <c r="I59" s="601">
        <v>2260</v>
      </c>
      <c r="J59" s="638"/>
      <c r="K59" s="626">
        <v>605</v>
      </c>
      <c r="L59" s="626">
        <v>1663</v>
      </c>
      <c r="M59" s="624">
        <v>8757</v>
      </c>
      <c r="N59" s="601">
        <v>11025</v>
      </c>
      <c r="O59" s="638"/>
      <c r="P59" s="624"/>
      <c r="Q59" s="601"/>
      <c r="R59" s="601"/>
      <c r="S59" s="626">
        <v>1</v>
      </c>
      <c r="T59" s="601">
        <v>1</v>
      </c>
      <c r="U59" s="601"/>
      <c r="V59" s="601"/>
      <c r="W59" s="626">
        <v>13286</v>
      </c>
      <c r="X59"/>
    </row>
    <row r="60" spans="1:24" ht="15.5">
      <c r="B60" s="131" t="s">
        <v>102</v>
      </c>
      <c r="C60" s="626">
        <v>8</v>
      </c>
      <c r="D60" s="626">
        <v>33</v>
      </c>
      <c r="E60" s="624">
        <v>977</v>
      </c>
      <c r="F60" s="624">
        <v>369</v>
      </c>
      <c r="G60" s="624"/>
      <c r="H60" s="624">
        <v>382</v>
      </c>
      <c r="I60" s="601">
        <v>1769</v>
      </c>
      <c r="J60" s="638"/>
      <c r="K60" s="626">
        <v>748</v>
      </c>
      <c r="L60" s="626">
        <v>1529</v>
      </c>
      <c r="M60" s="624">
        <v>7205</v>
      </c>
      <c r="N60" s="601">
        <v>9482</v>
      </c>
      <c r="O60" s="638"/>
      <c r="P60" s="624"/>
      <c r="Q60" s="601"/>
      <c r="R60" s="601"/>
      <c r="S60" s="626">
        <v>0</v>
      </c>
      <c r="T60" s="601">
        <v>0</v>
      </c>
      <c r="U60" s="601"/>
      <c r="V60" s="601"/>
      <c r="W60" s="626">
        <v>11251</v>
      </c>
      <c r="X60"/>
    </row>
    <row r="61" spans="1:24" s="149" customFormat="1" ht="15.5">
      <c r="A61" s="128"/>
      <c r="B61" s="131" t="s">
        <v>103</v>
      </c>
      <c r="C61" s="626">
        <v>0.6</v>
      </c>
      <c r="D61" s="624">
        <v>0.1</v>
      </c>
      <c r="E61" s="649">
        <v>-0.23070866141732282</v>
      </c>
      <c r="F61" s="624">
        <v>-0.1925601750547046</v>
      </c>
      <c r="G61" s="624">
        <v>0</v>
      </c>
      <c r="H61" s="651">
        <v>-0.23293172690763053</v>
      </c>
      <c r="I61" s="601">
        <v>-0.21725663716814159</v>
      </c>
      <c r="J61" s="661">
        <v>0</v>
      </c>
      <c r="K61" s="677">
        <v>0.23636363636363636</v>
      </c>
      <c r="L61" s="626">
        <v>-8.0577269993986775E-2</v>
      </c>
      <c r="M61" s="624">
        <v>-0.17722964485554413</v>
      </c>
      <c r="N61" s="601">
        <v>-0.13995464852607709</v>
      </c>
      <c r="O61" s="638">
        <v>0</v>
      </c>
      <c r="P61" s="624">
        <v>0</v>
      </c>
      <c r="Q61" s="601">
        <v>0</v>
      </c>
      <c r="R61" s="601">
        <v>0</v>
      </c>
      <c r="S61" s="626">
        <v>-1</v>
      </c>
      <c r="T61" s="601">
        <v>-1</v>
      </c>
      <c r="U61" s="601">
        <v>0</v>
      </c>
      <c r="V61" s="601">
        <v>0</v>
      </c>
      <c r="W61" s="626">
        <v>-0.15316874905916003</v>
      </c>
      <c r="X61"/>
    </row>
    <row r="62" spans="1:24" ht="15.5">
      <c r="B62" s="65" t="s">
        <v>104</v>
      </c>
      <c r="C62" s="626">
        <v>0</v>
      </c>
      <c r="D62" s="626">
        <v>0</v>
      </c>
      <c r="E62" s="626">
        <v>0</v>
      </c>
      <c r="F62" s="626">
        <v>38</v>
      </c>
      <c r="G62" s="626"/>
      <c r="H62" s="624">
        <v>0</v>
      </c>
      <c r="I62" s="601">
        <v>38</v>
      </c>
      <c r="J62" s="638"/>
      <c r="K62" s="626">
        <v>0</v>
      </c>
      <c r="L62" s="626">
        <v>0</v>
      </c>
      <c r="M62" s="624">
        <v>0</v>
      </c>
      <c r="N62" s="601">
        <v>0</v>
      </c>
      <c r="O62" s="638"/>
      <c r="P62" s="624"/>
      <c r="Q62" s="601"/>
      <c r="R62" s="601"/>
      <c r="S62" s="626">
        <v>0</v>
      </c>
      <c r="T62" s="601">
        <v>0</v>
      </c>
      <c r="U62" s="601"/>
      <c r="V62" s="601"/>
      <c r="W62" s="626">
        <v>38</v>
      </c>
      <c r="X62"/>
    </row>
    <row r="63" spans="1:24" ht="15.5">
      <c r="B63" s="65" t="s">
        <v>105</v>
      </c>
      <c r="C63" s="626">
        <v>0</v>
      </c>
      <c r="D63" s="626">
        <v>0</v>
      </c>
      <c r="E63" s="626">
        <v>0</v>
      </c>
      <c r="F63" s="626">
        <v>35</v>
      </c>
      <c r="G63" s="626"/>
      <c r="H63" s="624">
        <v>0</v>
      </c>
      <c r="I63" s="601">
        <v>35</v>
      </c>
      <c r="J63" s="638"/>
      <c r="K63" s="626">
        <v>0</v>
      </c>
      <c r="L63" s="626">
        <v>0</v>
      </c>
      <c r="M63" s="624">
        <v>0</v>
      </c>
      <c r="N63" s="601">
        <v>0</v>
      </c>
      <c r="O63" s="638"/>
      <c r="P63" s="624"/>
      <c r="Q63" s="601"/>
      <c r="R63" s="601"/>
      <c r="S63" s="626">
        <v>0</v>
      </c>
      <c r="T63" s="601">
        <v>0</v>
      </c>
      <c r="U63" s="601"/>
      <c r="V63" s="601"/>
      <c r="W63" s="626">
        <v>35</v>
      </c>
      <c r="X63"/>
    </row>
    <row r="64" spans="1:24" s="149" customFormat="1" ht="15.5">
      <c r="A64" s="128"/>
      <c r="B64" s="65" t="s">
        <v>106</v>
      </c>
      <c r="C64" s="626">
        <v>0</v>
      </c>
      <c r="D64" s="626">
        <v>0</v>
      </c>
      <c r="E64" s="626">
        <v>0</v>
      </c>
      <c r="F64" s="626">
        <v>-7.8947368421052627E-2</v>
      </c>
      <c r="G64" s="648">
        <v>0</v>
      </c>
      <c r="H64" s="624">
        <v>0</v>
      </c>
      <c r="I64" s="601">
        <v>-7.8947368421052627E-2</v>
      </c>
      <c r="J64" s="638">
        <v>0</v>
      </c>
      <c r="K64" s="626">
        <v>0</v>
      </c>
      <c r="L64" s="626">
        <v>0</v>
      </c>
      <c r="M64" s="624">
        <v>0</v>
      </c>
      <c r="N64" s="601">
        <v>0</v>
      </c>
      <c r="O64" s="638">
        <v>0</v>
      </c>
      <c r="P64" s="624">
        <v>0</v>
      </c>
      <c r="Q64" s="601">
        <v>0</v>
      </c>
      <c r="R64" s="601">
        <v>0</v>
      </c>
      <c r="S64" s="626">
        <v>0</v>
      </c>
      <c r="T64" s="601">
        <v>0</v>
      </c>
      <c r="U64" s="601">
        <v>0</v>
      </c>
      <c r="V64" s="601">
        <v>0</v>
      </c>
      <c r="W64" s="626">
        <v>-7.8947368421052627E-2</v>
      </c>
      <c r="X64"/>
    </row>
    <row r="65" spans="1:24" ht="15.5">
      <c r="B65" s="65" t="s">
        <v>107</v>
      </c>
      <c r="C65" s="626">
        <v>0</v>
      </c>
      <c r="D65" s="626">
        <v>401</v>
      </c>
      <c r="E65" s="626">
        <v>1665</v>
      </c>
      <c r="F65" s="626">
        <v>719</v>
      </c>
      <c r="G65" s="626"/>
      <c r="H65" s="624">
        <v>284</v>
      </c>
      <c r="I65" s="601">
        <v>3069</v>
      </c>
      <c r="J65" s="638"/>
      <c r="K65" s="626">
        <v>995</v>
      </c>
      <c r="L65" s="626">
        <v>1521</v>
      </c>
      <c r="M65" s="624">
        <v>3802</v>
      </c>
      <c r="N65" s="601">
        <v>6318</v>
      </c>
      <c r="O65" s="638"/>
      <c r="P65" s="624"/>
      <c r="Q65" s="601"/>
      <c r="R65" s="601"/>
      <c r="S65" s="626">
        <v>56</v>
      </c>
      <c r="T65" s="601">
        <v>56</v>
      </c>
      <c r="U65" s="601"/>
      <c r="V65" s="601"/>
      <c r="W65" s="626">
        <v>9443</v>
      </c>
      <c r="X65"/>
    </row>
    <row r="66" spans="1:24" ht="16" thickBot="1">
      <c r="B66" s="65" t="s">
        <v>108</v>
      </c>
      <c r="C66" s="626">
        <v>0</v>
      </c>
      <c r="D66" s="626">
        <v>333</v>
      </c>
      <c r="E66" s="626">
        <v>1811</v>
      </c>
      <c r="F66" s="626">
        <v>803</v>
      </c>
      <c r="G66" s="626"/>
      <c r="H66" s="624">
        <v>233</v>
      </c>
      <c r="I66" s="601">
        <v>3180</v>
      </c>
      <c r="J66" s="638"/>
      <c r="K66" s="626">
        <v>1001</v>
      </c>
      <c r="L66" s="626">
        <v>1473</v>
      </c>
      <c r="M66" s="624">
        <v>3964</v>
      </c>
      <c r="N66" s="601">
        <v>6438</v>
      </c>
      <c r="O66" s="638"/>
      <c r="P66" s="624"/>
      <c r="Q66" s="601"/>
      <c r="R66" s="601"/>
      <c r="S66" s="626">
        <v>9</v>
      </c>
      <c r="T66" s="601">
        <v>9</v>
      </c>
      <c r="U66" s="601"/>
      <c r="V66" s="601"/>
      <c r="W66" s="626">
        <v>9627</v>
      </c>
      <c r="X66"/>
    </row>
    <row r="67" spans="1:24" s="149" customFormat="1" ht="16" thickBot="1">
      <c r="A67" s="128"/>
      <c r="B67" s="65" t="s">
        <v>109</v>
      </c>
      <c r="C67" s="626">
        <v>0</v>
      </c>
      <c r="D67" s="626">
        <v>-0.16957605985037408</v>
      </c>
      <c r="E67" s="626">
        <v>8.7687687687687685E-2</v>
      </c>
      <c r="F67" s="626">
        <v>0.11682892906815021</v>
      </c>
      <c r="G67" s="662">
        <v>0</v>
      </c>
      <c r="H67" s="624">
        <v>-0.1795774647887324</v>
      </c>
      <c r="I67" s="601">
        <v>3.6168132942326493E-2</v>
      </c>
      <c r="J67" s="638">
        <v>0</v>
      </c>
      <c r="K67" s="626">
        <v>6.030150753768844E-3</v>
      </c>
      <c r="L67" s="626">
        <v>-3.1558185404339252E-2</v>
      </c>
      <c r="M67" s="624">
        <v>4.2609153077327724E-2</v>
      </c>
      <c r="N67" s="601">
        <v>1.8993352326685659E-2</v>
      </c>
      <c r="O67" s="638">
        <v>0</v>
      </c>
      <c r="P67" s="624">
        <v>0</v>
      </c>
      <c r="Q67" s="601">
        <v>0</v>
      </c>
      <c r="R67" s="601">
        <v>0</v>
      </c>
      <c r="S67" s="662">
        <v>-0.8392857142857143</v>
      </c>
      <c r="T67" s="601">
        <v>-0.8392857142857143</v>
      </c>
      <c r="U67" s="601">
        <v>0</v>
      </c>
      <c r="V67" s="601">
        <v>0</v>
      </c>
      <c r="W67" s="626">
        <v>1.9485333050937203E-2</v>
      </c>
      <c r="X67"/>
    </row>
    <row r="68" spans="1:24" ht="15.5">
      <c r="B68" s="65" t="s">
        <v>110</v>
      </c>
      <c r="C68" s="626">
        <v>4903</v>
      </c>
      <c r="D68" s="626">
        <v>1316</v>
      </c>
      <c r="E68" s="626">
        <v>4927</v>
      </c>
      <c r="F68" s="626">
        <v>1382</v>
      </c>
      <c r="G68" s="626"/>
      <c r="H68" s="624">
        <v>1259</v>
      </c>
      <c r="I68" s="601">
        <v>13787</v>
      </c>
      <c r="J68" s="638"/>
      <c r="K68" s="626">
        <v>0</v>
      </c>
      <c r="L68" s="626">
        <v>0</v>
      </c>
      <c r="M68" s="624">
        <v>0</v>
      </c>
      <c r="N68" s="601">
        <v>0</v>
      </c>
      <c r="O68" s="638"/>
      <c r="P68" s="624"/>
      <c r="Q68" s="601"/>
      <c r="R68" s="601"/>
      <c r="S68" s="626">
        <v>245</v>
      </c>
      <c r="T68" s="601">
        <v>245</v>
      </c>
      <c r="U68" s="601"/>
      <c r="V68" s="601"/>
      <c r="W68" s="626">
        <v>14032</v>
      </c>
      <c r="X68"/>
    </row>
    <row r="69" spans="1:24" ht="16" thickBot="1">
      <c r="B69" s="65" t="s">
        <v>111</v>
      </c>
      <c r="C69" s="626">
        <v>5183</v>
      </c>
      <c r="D69" s="626">
        <v>1280</v>
      </c>
      <c r="E69" s="626">
        <v>4820</v>
      </c>
      <c r="F69" s="626">
        <v>1390</v>
      </c>
      <c r="G69" s="626"/>
      <c r="H69" s="624">
        <v>1283</v>
      </c>
      <c r="I69" s="601">
        <v>13956</v>
      </c>
      <c r="J69" s="638"/>
      <c r="K69" s="626">
        <v>0</v>
      </c>
      <c r="L69" s="626">
        <v>0</v>
      </c>
      <c r="M69" s="624">
        <v>0</v>
      </c>
      <c r="N69" s="601">
        <v>0</v>
      </c>
      <c r="O69" s="638"/>
      <c r="P69" s="624"/>
      <c r="Q69" s="601"/>
      <c r="R69" s="601"/>
      <c r="S69" s="626">
        <v>246</v>
      </c>
      <c r="T69" s="601">
        <v>246</v>
      </c>
      <c r="U69" s="601"/>
      <c r="V69" s="601"/>
      <c r="W69" s="626">
        <v>14202</v>
      </c>
      <c r="X69"/>
    </row>
    <row r="70" spans="1:24" s="149" customFormat="1" ht="16" thickBot="1">
      <c r="A70" s="128"/>
      <c r="B70" s="65" t="s">
        <v>112</v>
      </c>
      <c r="C70" s="626">
        <v>5.710789312665715E-2</v>
      </c>
      <c r="D70" s="626">
        <v>-2.7355623100303952E-2</v>
      </c>
      <c r="E70" s="626">
        <v>-2.1717069210472905E-2</v>
      </c>
      <c r="F70" s="626">
        <v>5.7887120115774236E-3</v>
      </c>
      <c r="G70" s="626">
        <v>0</v>
      </c>
      <c r="H70" s="624">
        <v>1.9062748212867357E-2</v>
      </c>
      <c r="I70" s="601">
        <v>1.2257924131428156E-2</v>
      </c>
      <c r="J70" s="638">
        <v>0</v>
      </c>
      <c r="K70" s="626">
        <v>0</v>
      </c>
      <c r="L70" s="626">
        <v>0</v>
      </c>
      <c r="M70" s="624">
        <v>0</v>
      </c>
      <c r="N70" s="601">
        <v>0</v>
      </c>
      <c r="O70" s="638">
        <v>0</v>
      </c>
      <c r="P70" s="624">
        <v>0</v>
      </c>
      <c r="Q70" s="601">
        <v>0</v>
      </c>
      <c r="R70" s="601">
        <v>0</v>
      </c>
      <c r="S70" s="662">
        <v>4.0816326530612249E-3</v>
      </c>
      <c r="T70" s="601">
        <v>4.0816326530612249E-3</v>
      </c>
      <c r="U70" s="601">
        <v>0</v>
      </c>
      <c r="V70" s="601">
        <v>0</v>
      </c>
      <c r="W70" s="626">
        <v>1.2115165336374002E-2</v>
      </c>
      <c r="X70"/>
    </row>
    <row r="71" spans="1:24" ht="15.5">
      <c r="B71" s="65" t="s">
        <v>113</v>
      </c>
      <c r="C71" s="626">
        <v>185</v>
      </c>
      <c r="D71" s="626">
        <v>129</v>
      </c>
      <c r="E71" s="626">
        <v>168</v>
      </c>
      <c r="F71" s="626">
        <v>43</v>
      </c>
      <c r="G71" s="626"/>
      <c r="H71" s="624">
        <v>0</v>
      </c>
      <c r="I71" s="601">
        <v>525</v>
      </c>
      <c r="J71" s="638"/>
      <c r="K71" s="626">
        <v>0</v>
      </c>
      <c r="L71" s="626">
        <v>0</v>
      </c>
      <c r="M71" s="624">
        <v>0</v>
      </c>
      <c r="N71" s="601">
        <v>0</v>
      </c>
      <c r="O71" s="638"/>
      <c r="P71" s="624"/>
      <c r="Q71" s="601"/>
      <c r="R71" s="601"/>
      <c r="S71" s="626">
        <v>38</v>
      </c>
      <c r="T71" s="601">
        <v>38</v>
      </c>
      <c r="U71" s="601"/>
      <c r="V71" s="601"/>
      <c r="W71" s="626">
        <v>563</v>
      </c>
      <c r="X71"/>
    </row>
    <row r="72" spans="1:24" ht="16" thickBot="1">
      <c r="B72" s="65" t="s">
        <v>114</v>
      </c>
      <c r="C72" s="626">
        <v>233</v>
      </c>
      <c r="D72" s="626">
        <v>116</v>
      </c>
      <c r="E72" s="626">
        <v>130</v>
      </c>
      <c r="F72" s="626">
        <v>86</v>
      </c>
      <c r="G72" s="626"/>
      <c r="H72" s="624">
        <v>0</v>
      </c>
      <c r="I72" s="601">
        <v>565</v>
      </c>
      <c r="J72" s="638"/>
      <c r="K72" s="626">
        <v>0</v>
      </c>
      <c r="L72" s="626">
        <v>0</v>
      </c>
      <c r="M72" s="624">
        <v>0</v>
      </c>
      <c r="N72" s="601">
        <v>0</v>
      </c>
      <c r="O72" s="638"/>
      <c r="P72" s="624"/>
      <c r="Q72" s="601"/>
      <c r="R72" s="601"/>
      <c r="S72" s="626">
        <v>32</v>
      </c>
      <c r="T72" s="601">
        <v>32</v>
      </c>
      <c r="U72" s="601"/>
      <c r="V72" s="601"/>
      <c r="W72" s="626">
        <v>597</v>
      </c>
      <c r="X72"/>
    </row>
    <row r="73" spans="1:24" s="149" customFormat="1" ht="16" thickBot="1">
      <c r="A73" s="128"/>
      <c r="B73" s="65" t="s">
        <v>115</v>
      </c>
      <c r="C73" s="662">
        <v>0.25945945945945947</v>
      </c>
      <c r="D73" s="648">
        <v>-0.10077519379844961</v>
      </c>
      <c r="E73" s="648">
        <v>-0.22619047619047619</v>
      </c>
      <c r="F73" s="662">
        <v>1</v>
      </c>
      <c r="G73" s="626">
        <v>0</v>
      </c>
      <c r="H73" s="624">
        <v>0</v>
      </c>
      <c r="I73" s="601">
        <v>7.6190476190476197E-2</v>
      </c>
      <c r="J73" s="638">
        <v>0</v>
      </c>
      <c r="K73" s="626">
        <v>0</v>
      </c>
      <c r="L73" s="626">
        <v>0</v>
      </c>
      <c r="M73" s="624">
        <v>0</v>
      </c>
      <c r="N73" s="601">
        <v>0</v>
      </c>
      <c r="O73" s="638">
        <v>0</v>
      </c>
      <c r="P73" s="624">
        <v>0</v>
      </c>
      <c r="Q73" s="601">
        <v>0</v>
      </c>
      <c r="R73" s="601">
        <v>0</v>
      </c>
      <c r="S73" s="662">
        <v>-0.15789473684210525</v>
      </c>
      <c r="T73" s="601">
        <v>-0.15789473684210525</v>
      </c>
      <c r="U73" s="601">
        <v>0</v>
      </c>
      <c r="V73" s="601">
        <v>0</v>
      </c>
      <c r="W73" s="626">
        <v>6.0390763765541741E-2</v>
      </c>
      <c r="X73"/>
    </row>
    <row r="74" spans="1:24" ht="15.5">
      <c r="B74" s="65" t="s">
        <v>116</v>
      </c>
      <c r="C74" s="626">
        <v>1116</v>
      </c>
      <c r="D74" s="626">
        <v>532</v>
      </c>
      <c r="E74" s="626">
        <v>3303</v>
      </c>
      <c r="F74" s="626">
        <v>656</v>
      </c>
      <c r="G74" s="626"/>
      <c r="H74" s="624">
        <v>30</v>
      </c>
      <c r="I74" s="601">
        <v>5637</v>
      </c>
      <c r="J74" s="638"/>
      <c r="K74" s="626">
        <v>0</v>
      </c>
      <c r="L74" s="626">
        <v>0</v>
      </c>
      <c r="M74" s="624">
        <v>0</v>
      </c>
      <c r="N74" s="601">
        <v>0</v>
      </c>
      <c r="O74" s="638"/>
      <c r="P74" s="624"/>
      <c r="Q74" s="601"/>
      <c r="R74" s="601"/>
      <c r="S74" s="626">
        <v>224</v>
      </c>
      <c r="T74" s="601">
        <v>224</v>
      </c>
      <c r="U74" s="601"/>
      <c r="V74" s="601"/>
      <c r="W74" s="626">
        <v>5861</v>
      </c>
      <c r="X74"/>
    </row>
    <row r="75" spans="1:24" ht="16" thickBot="1">
      <c r="B75" s="65" t="s">
        <v>117</v>
      </c>
      <c r="C75" s="626">
        <v>1136</v>
      </c>
      <c r="D75" s="626">
        <v>490</v>
      </c>
      <c r="E75" s="626">
        <v>3169</v>
      </c>
      <c r="F75" s="626">
        <v>707</v>
      </c>
      <c r="G75" s="626"/>
      <c r="H75" s="624">
        <v>56</v>
      </c>
      <c r="I75" s="601">
        <v>5558</v>
      </c>
      <c r="J75" s="638"/>
      <c r="K75" s="626">
        <v>0</v>
      </c>
      <c r="L75" s="626">
        <v>0</v>
      </c>
      <c r="M75" s="624">
        <v>0</v>
      </c>
      <c r="N75" s="601">
        <v>0</v>
      </c>
      <c r="O75" s="638"/>
      <c r="P75" s="624"/>
      <c r="Q75" s="601"/>
      <c r="R75" s="601"/>
      <c r="S75" s="626">
        <v>228</v>
      </c>
      <c r="T75" s="601">
        <v>228</v>
      </c>
      <c r="U75" s="601"/>
      <c r="V75" s="601"/>
      <c r="W75" s="626">
        <v>5786</v>
      </c>
      <c r="X75"/>
    </row>
    <row r="76" spans="1:24" s="149" customFormat="1" ht="16" thickBot="1">
      <c r="A76" s="128"/>
      <c r="B76" s="65" t="s">
        <v>118</v>
      </c>
      <c r="C76" s="648">
        <v>1.7921146953405017E-2</v>
      </c>
      <c r="D76" s="648">
        <v>-7.8947368421052627E-2</v>
      </c>
      <c r="E76" s="648">
        <v>-4.0569179533757188E-2</v>
      </c>
      <c r="F76" s="648">
        <v>7.774390243902439E-2</v>
      </c>
      <c r="G76" s="662">
        <v>0</v>
      </c>
      <c r="H76" s="649">
        <v>0.8666666666666667</v>
      </c>
      <c r="I76" s="601">
        <v>-1.401454674472237E-2</v>
      </c>
      <c r="J76" s="638">
        <v>0</v>
      </c>
      <c r="K76" s="626">
        <v>0</v>
      </c>
      <c r="L76" s="626">
        <v>0</v>
      </c>
      <c r="M76" s="624">
        <v>0</v>
      </c>
      <c r="N76" s="601">
        <v>0</v>
      </c>
      <c r="O76" s="638">
        <v>0</v>
      </c>
      <c r="P76" s="624">
        <v>0</v>
      </c>
      <c r="Q76" s="601">
        <v>0</v>
      </c>
      <c r="R76" s="601">
        <v>0</v>
      </c>
      <c r="S76" s="648">
        <v>1.7857142857142856E-2</v>
      </c>
      <c r="T76" s="601">
        <v>1.7857142857142856E-2</v>
      </c>
      <c r="U76" s="601">
        <v>0</v>
      </c>
      <c r="V76" s="601">
        <v>0</v>
      </c>
      <c r="W76" s="626">
        <v>-1.279645111755673E-2</v>
      </c>
      <c r="X76"/>
    </row>
    <row r="77" spans="1:24" ht="15.5">
      <c r="B77" s="65" t="s">
        <v>119</v>
      </c>
      <c r="C77" s="626">
        <v>209</v>
      </c>
      <c r="D77" s="626">
        <v>36</v>
      </c>
      <c r="E77" s="626">
        <v>44</v>
      </c>
      <c r="F77" s="626">
        <v>0</v>
      </c>
      <c r="G77" s="626"/>
      <c r="H77" s="624">
        <v>1</v>
      </c>
      <c r="I77" s="601">
        <v>290</v>
      </c>
      <c r="J77" s="638"/>
      <c r="K77" s="626">
        <v>0</v>
      </c>
      <c r="L77" s="626">
        <v>0</v>
      </c>
      <c r="M77" s="624">
        <v>0</v>
      </c>
      <c r="N77" s="601">
        <v>0</v>
      </c>
      <c r="O77" s="638"/>
      <c r="P77" s="624"/>
      <c r="Q77" s="601"/>
      <c r="R77" s="601"/>
      <c r="S77" s="626">
        <v>27</v>
      </c>
      <c r="T77" s="601">
        <v>27</v>
      </c>
      <c r="U77" s="601"/>
      <c r="V77" s="601"/>
      <c r="W77" s="626">
        <v>317</v>
      </c>
      <c r="X77"/>
    </row>
    <row r="78" spans="1:24" ht="16" thickBot="1">
      <c r="B78" s="65" t="s">
        <v>120</v>
      </c>
      <c r="C78" s="626">
        <v>204</v>
      </c>
      <c r="D78" s="626">
        <v>39</v>
      </c>
      <c r="E78" s="626">
        <v>50</v>
      </c>
      <c r="F78" s="626">
        <v>0</v>
      </c>
      <c r="G78" s="626"/>
      <c r="H78" s="624">
        <v>0</v>
      </c>
      <c r="I78" s="601">
        <v>293</v>
      </c>
      <c r="J78" s="638"/>
      <c r="K78" s="626">
        <v>0</v>
      </c>
      <c r="L78" s="626">
        <v>0</v>
      </c>
      <c r="M78" s="624">
        <v>0</v>
      </c>
      <c r="N78" s="601">
        <v>0</v>
      </c>
      <c r="O78" s="638"/>
      <c r="P78" s="624"/>
      <c r="Q78" s="601"/>
      <c r="R78" s="601"/>
      <c r="S78" s="626">
        <v>40</v>
      </c>
      <c r="T78" s="601">
        <v>40</v>
      </c>
      <c r="U78" s="601"/>
      <c r="V78" s="601"/>
      <c r="W78" s="626">
        <v>333</v>
      </c>
      <c r="X78"/>
    </row>
    <row r="79" spans="1:24" s="149" customFormat="1" ht="16" thickBot="1">
      <c r="A79" s="128"/>
      <c r="B79" s="65" t="s">
        <v>121</v>
      </c>
      <c r="C79" s="662">
        <v>-2.3923444976076555E-2</v>
      </c>
      <c r="D79" s="648">
        <v>8.3333333333333329E-2</v>
      </c>
      <c r="E79" s="648">
        <v>0.13636363636363635</v>
      </c>
      <c r="F79" s="626">
        <v>0</v>
      </c>
      <c r="G79" s="626">
        <v>0</v>
      </c>
      <c r="H79" s="624">
        <v>-1</v>
      </c>
      <c r="I79" s="601">
        <v>1.0344827586206896E-2</v>
      </c>
      <c r="J79" s="638">
        <v>0</v>
      </c>
      <c r="K79" s="626">
        <v>0</v>
      </c>
      <c r="L79" s="626">
        <v>0</v>
      </c>
      <c r="M79" s="624">
        <v>0</v>
      </c>
      <c r="N79" s="601">
        <v>0</v>
      </c>
      <c r="O79" s="638">
        <v>0</v>
      </c>
      <c r="P79" s="624">
        <v>0</v>
      </c>
      <c r="Q79" s="601">
        <v>0</v>
      </c>
      <c r="R79" s="601">
        <v>0</v>
      </c>
      <c r="S79" s="648">
        <v>0.48148148148148145</v>
      </c>
      <c r="T79" s="601">
        <v>0.48148148148148145</v>
      </c>
      <c r="U79" s="601">
        <v>0</v>
      </c>
      <c r="V79" s="601">
        <v>0</v>
      </c>
      <c r="W79" s="626">
        <v>5.0473186119873815E-2</v>
      </c>
      <c r="X79"/>
    </row>
    <row r="80" spans="1:24" ht="15.5">
      <c r="B80" s="65" t="s">
        <v>122</v>
      </c>
      <c r="C80" s="626">
        <v>104</v>
      </c>
      <c r="D80" s="626">
        <v>124</v>
      </c>
      <c r="E80" s="626"/>
      <c r="F80" s="626"/>
      <c r="G80" s="626"/>
      <c r="H80" s="624"/>
      <c r="I80" s="601">
        <v>228</v>
      </c>
      <c r="J80" s="638"/>
      <c r="K80" s="626"/>
      <c r="L80" s="626"/>
      <c r="M80" s="624"/>
      <c r="N80" s="601"/>
      <c r="O80" s="638"/>
      <c r="P80" s="624"/>
      <c r="Q80" s="601"/>
      <c r="R80" s="601"/>
      <c r="S80" s="626"/>
      <c r="T80" s="601"/>
      <c r="U80" s="601"/>
      <c r="V80" s="601"/>
      <c r="W80" s="626">
        <v>228</v>
      </c>
      <c r="X80"/>
    </row>
    <row r="81" spans="1:24" ht="15.5">
      <c r="B81" s="65" t="s">
        <v>123</v>
      </c>
      <c r="C81" s="626">
        <v>112</v>
      </c>
      <c r="D81" s="626">
        <v>106</v>
      </c>
      <c r="E81" s="626"/>
      <c r="F81" s="626"/>
      <c r="G81" s="626"/>
      <c r="H81" s="624"/>
      <c r="I81" s="601">
        <v>218</v>
      </c>
      <c r="J81" s="638"/>
      <c r="K81" s="626"/>
      <c r="L81" s="626"/>
      <c r="M81" s="624"/>
      <c r="N81" s="601"/>
      <c r="O81" s="638"/>
      <c r="P81" s="624"/>
      <c r="Q81" s="601"/>
      <c r="R81" s="601"/>
      <c r="S81" s="626"/>
      <c r="T81" s="601"/>
      <c r="U81" s="601"/>
      <c r="V81" s="601"/>
      <c r="W81" s="626">
        <v>218</v>
      </c>
      <c r="X81"/>
    </row>
    <row r="82" spans="1:24" s="149" customFormat="1" ht="15.5">
      <c r="A82" s="128"/>
      <c r="B82" s="65" t="s">
        <v>124</v>
      </c>
      <c r="C82" s="626">
        <v>7.6923076923076927E-2</v>
      </c>
      <c r="D82" s="626">
        <v>-0.14516129032258066</v>
      </c>
      <c r="E82" s="626">
        <v>0</v>
      </c>
      <c r="F82" s="626">
        <v>0</v>
      </c>
      <c r="G82" s="626">
        <v>0</v>
      </c>
      <c r="H82" s="624">
        <v>0</v>
      </c>
      <c r="I82" s="601">
        <v>-4.3859649122807015E-2</v>
      </c>
      <c r="J82" s="638">
        <v>0</v>
      </c>
      <c r="K82" s="626">
        <v>0</v>
      </c>
      <c r="L82" s="626">
        <v>0</v>
      </c>
      <c r="M82" s="624">
        <v>0</v>
      </c>
      <c r="N82" s="601">
        <v>0</v>
      </c>
      <c r="O82" s="638">
        <v>0</v>
      </c>
      <c r="P82" s="624">
        <v>0</v>
      </c>
      <c r="Q82" s="601">
        <v>0</v>
      </c>
      <c r="R82" s="601">
        <v>0</v>
      </c>
      <c r="S82" s="626">
        <v>0</v>
      </c>
      <c r="T82" s="601">
        <v>0</v>
      </c>
      <c r="U82" s="601">
        <v>0</v>
      </c>
      <c r="V82" s="601">
        <v>0</v>
      </c>
      <c r="W82" s="626">
        <v>-4.3859649122807015E-2</v>
      </c>
      <c r="X82"/>
    </row>
    <row r="83" spans="1:24" ht="15.5">
      <c r="B83" s="65" t="s">
        <v>125</v>
      </c>
      <c r="C83" s="626"/>
      <c r="D83" s="626"/>
      <c r="E83" s="626"/>
      <c r="F83" s="626"/>
      <c r="G83" s="626"/>
      <c r="H83" s="624"/>
      <c r="I83" s="601"/>
      <c r="J83" s="638"/>
      <c r="K83" s="626"/>
      <c r="L83" s="626"/>
      <c r="M83" s="624"/>
      <c r="N83" s="601"/>
      <c r="O83" s="638"/>
      <c r="P83" s="624"/>
      <c r="Q83" s="601"/>
      <c r="R83" s="601"/>
      <c r="S83" s="626">
        <v>163</v>
      </c>
      <c r="T83" s="601">
        <v>163</v>
      </c>
      <c r="U83" s="601"/>
      <c r="V83" s="601"/>
      <c r="W83" s="626">
        <v>163</v>
      </c>
      <c r="X83"/>
    </row>
    <row r="84" spans="1:24" ht="16" thickBot="1">
      <c r="B84" s="65" t="s">
        <v>126</v>
      </c>
      <c r="C84" s="626"/>
      <c r="D84" s="626"/>
      <c r="E84" s="626"/>
      <c r="F84" s="626"/>
      <c r="G84" s="626"/>
      <c r="H84" s="624"/>
      <c r="I84" s="601"/>
      <c r="J84" s="638"/>
      <c r="K84" s="626"/>
      <c r="L84" s="626"/>
      <c r="M84" s="624"/>
      <c r="N84" s="601"/>
      <c r="O84" s="638"/>
      <c r="P84" s="624"/>
      <c r="Q84" s="601"/>
      <c r="R84" s="601"/>
      <c r="S84" s="626">
        <v>164</v>
      </c>
      <c r="T84" s="601">
        <v>164</v>
      </c>
      <c r="U84" s="601"/>
      <c r="V84" s="601"/>
      <c r="W84" s="626">
        <v>164</v>
      </c>
      <c r="X84"/>
    </row>
    <row r="85" spans="1:24" s="149" customFormat="1" ht="16" thickBot="1">
      <c r="A85" s="128"/>
      <c r="B85" s="65" t="s">
        <v>127</v>
      </c>
      <c r="C85" s="626">
        <v>0</v>
      </c>
      <c r="D85" s="626">
        <v>0</v>
      </c>
      <c r="E85" s="626">
        <v>0</v>
      </c>
      <c r="F85" s="626">
        <v>0</v>
      </c>
      <c r="G85" s="626">
        <v>0</v>
      </c>
      <c r="H85" s="624">
        <v>0</v>
      </c>
      <c r="I85" s="601">
        <v>0</v>
      </c>
      <c r="J85" s="638">
        <v>0</v>
      </c>
      <c r="K85" s="626">
        <v>0</v>
      </c>
      <c r="L85" s="626">
        <v>0</v>
      </c>
      <c r="M85" s="624">
        <v>0</v>
      </c>
      <c r="N85" s="601">
        <v>0</v>
      </c>
      <c r="O85" s="638">
        <v>0</v>
      </c>
      <c r="P85" s="624">
        <v>0</v>
      </c>
      <c r="Q85" s="601">
        <v>0</v>
      </c>
      <c r="R85" s="601">
        <v>0</v>
      </c>
      <c r="S85" s="662">
        <v>6.1349693251533744E-3</v>
      </c>
      <c r="T85" s="601">
        <v>6.1349693251533744E-3</v>
      </c>
      <c r="U85" s="601">
        <v>0</v>
      </c>
      <c r="V85" s="601">
        <v>0</v>
      </c>
      <c r="W85" s="626">
        <v>6.1349693251533744E-3</v>
      </c>
      <c r="X85"/>
    </row>
    <row r="86" spans="1:24" ht="15.5">
      <c r="B86" s="65" t="s">
        <v>128</v>
      </c>
      <c r="C86" s="626"/>
      <c r="D86" s="626"/>
      <c r="E86" s="626"/>
      <c r="F86" s="626"/>
      <c r="G86" s="626"/>
      <c r="H86" s="624"/>
      <c r="I86" s="601"/>
      <c r="J86" s="638"/>
      <c r="K86" s="626"/>
      <c r="L86" s="626"/>
      <c r="M86" s="624"/>
      <c r="N86" s="601"/>
      <c r="O86" s="638"/>
      <c r="P86" s="624"/>
      <c r="Q86" s="601"/>
      <c r="R86" s="601"/>
      <c r="S86" s="626"/>
      <c r="T86" s="601"/>
      <c r="U86" s="601"/>
      <c r="V86" s="601"/>
      <c r="W86" s="626"/>
      <c r="X86"/>
    </row>
    <row r="87" spans="1:24" ht="15.5">
      <c r="B87" s="65" t="s">
        <v>129</v>
      </c>
      <c r="C87" s="626"/>
      <c r="D87" s="626"/>
      <c r="E87" s="626"/>
      <c r="F87" s="626"/>
      <c r="G87" s="626"/>
      <c r="H87" s="624"/>
      <c r="I87" s="601"/>
      <c r="J87" s="638"/>
      <c r="K87" s="626"/>
      <c r="L87" s="626"/>
      <c r="M87" s="624"/>
      <c r="N87" s="601"/>
      <c r="O87" s="638"/>
      <c r="P87" s="624"/>
      <c r="Q87" s="601"/>
      <c r="R87" s="601"/>
      <c r="S87" s="626"/>
      <c r="T87" s="601"/>
      <c r="U87" s="601"/>
      <c r="V87" s="601"/>
      <c r="W87" s="626"/>
      <c r="X87"/>
    </row>
    <row r="88" spans="1:24" s="149" customFormat="1" ht="15.5">
      <c r="A88" s="128"/>
      <c r="B88" s="65" t="s">
        <v>130</v>
      </c>
      <c r="C88" s="626">
        <v>0</v>
      </c>
      <c r="D88" s="626">
        <v>0</v>
      </c>
      <c r="E88" s="626">
        <v>0</v>
      </c>
      <c r="F88" s="626">
        <v>0</v>
      </c>
      <c r="G88" s="626">
        <v>0</v>
      </c>
      <c r="H88" s="624">
        <v>0</v>
      </c>
      <c r="I88" s="601">
        <v>0</v>
      </c>
      <c r="J88" s="638">
        <v>0</v>
      </c>
      <c r="K88" s="626">
        <v>0</v>
      </c>
      <c r="L88" s="626">
        <v>0</v>
      </c>
      <c r="M88" s="624">
        <v>0</v>
      </c>
      <c r="N88" s="601">
        <v>0</v>
      </c>
      <c r="O88" s="638">
        <v>0</v>
      </c>
      <c r="P88" s="624">
        <v>0</v>
      </c>
      <c r="Q88" s="601">
        <v>0</v>
      </c>
      <c r="R88" s="601">
        <v>0</v>
      </c>
      <c r="S88" s="626">
        <v>0</v>
      </c>
      <c r="T88" s="601">
        <v>0</v>
      </c>
      <c r="U88" s="601">
        <v>0</v>
      </c>
      <c r="V88" s="601">
        <v>0</v>
      </c>
      <c r="W88" s="626">
        <v>0</v>
      </c>
      <c r="X88"/>
    </row>
    <row r="89" spans="1:24" ht="15.5">
      <c r="B89" s="65" t="s">
        <v>131</v>
      </c>
      <c r="C89" s="626"/>
      <c r="D89" s="626"/>
      <c r="E89" s="626"/>
      <c r="F89" s="626"/>
      <c r="G89" s="626"/>
      <c r="H89" s="624"/>
      <c r="I89" s="601"/>
      <c r="J89" s="638"/>
      <c r="K89" s="626"/>
      <c r="L89" s="626"/>
      <c r="M89" s="624"/>
      <c r="N89" s="601"/>
      <c r="O89" s="638"/>
      <c r="P89" s="624"/>
      <c r="Q89" s="601"/>
      <c r="R89" s="601"/>
      <c r="S89" s="626">
        <v>111</v>
      </c>
      <c r="T89" s="601">
        <v>111</v>
      </c>
      <c r="U89" s="601"/>
      <c r="V89" s="601"/>
      <c r="W89" s="626">
        <v>111</v>
      </c>
      <c r="X89"/>
    </row>
    <row r="90" spans="1:24" ht="15.5">
      <c r="B90" s="65" t="s">
        <v>132</v>
      </c>
      <c r="C90" s="626"/>
      <c r="D90" s="626"/>
      <c r="E90" s="626"/>
      <c r="F90" s="626"/>
      <c r="G90" s="626"/>
      <c r="H90" s="624"/>
      <c r="I90" s="601"/>
      <c r="J90" s="638"/>
      <c r="K90" s="626"/>
      <c r="L90" s="626"/>
      <c r="M90" s="624"/>
      <c r="N90" s="601"/>
      <c r="O90" s="638"/>
      <c r="P90" s="624"/>
      <c r="Q90" s="601"/>
      <c r="R90" s="601"/>
      <c r="S90" s="626">
        <v>112</v>
      </c>
      <c r="T90" s="601">
        <v>112</v>
      </c>
      <c r="U90" s="601"/>
      <c r="V90" s="601"/>
      <c r="W90" s="626">
        <v>112</v>
      </c>
      <c r="X90"/>
    </row>
    <row r="91" spans="1:24" s="149" customFormat="1" ht="15.5">
      <c r="A91" s="128"/>
      <c r="B91" s="65" t="s">
        <v>133</v>
      </c>
      <c r="C91" s="626">
        <v>0</v>
      </c>
      <c r="D91" s="626">
        <v>0</v>
      </c>
      <c r="E91" s="626">
        <v>0</v>
      </c>
      <c r="F91" s="626">
        <v>0</v>
      </c>
      <c r="G91" s="626">
        <v>0</v>
      </c>
      <c r="H91" s="624">
        <v>0</v>
      </c>
      <c r="I91" s="601">
        <v>0</v>
      </c>
      <c r="J91" s="638">
        <v>0</v>
      </c>
      <c r="K91" s="626">
        <v>0</v>
      </c>
      <c r="L91" s="626">
        <v>0</v>
      </c>
      <c r="M91" s="624">
        <v>0</v>
      </c>
      <c r="N91" s="601">
        <v>0</v>
      </c>
      <c r="O91" s="638">
        <v>0</v>
      </c>
      <c r="P91" s="624">
        <v>0</v>
      </c>
      <c r="Q91" s="601">
        <v>0</v>
      </c>
      <c r="R91" s="601">
        <v>0</v>
      </c>
      <c r="S91" s="626">
        <v>9.0090090090090089E-3</v>
      </c>
      <c r="T91" s="601">
        <v>9.0090090090090089E-3</v>
      </c>
      <c r="U91" s="601">
        <v>0</v>
      </c>
      <c r="V91" s="601">
        <v>0</v>
      </c>
      <c r="W91" s="626">
        <v>9.0090090090090089E-3</v>
      </c>
      <c r="X91"/>
    </row>
    <row r="92" spans="1:24" ht="15.5">
      <c r="B92" s="65" t="s">
        <v>134</v>
      </c>
      <c r="C92" s="626"/>
      <c r="D92" s="626"/>
      <c r="E92" s="626"/>
      <c r="F92" s="626"/>
      <c r="G92" s="626"/>
      <c r="H92" s="624"/>
      <c r="I92" s="601"/>
      <c r="J92" s="638"/>
      <c r="K92" s="626"/>
      <c r="L92" s="626"/>
      <c r="M92" s="624"/>
      <c r="N92" s="601"/>
      <c r="O92" s="638"/>
      <c r="P92" s="624"/>
      <c r="Q92" s="601"/>
      <c r="R92" s="601"/>
      <c r="S92" s="626"/>
      <c r="T92" s="601"/>
      <c r="U92" s="601"/>
      <c r="V92" s="601"/>
      <c r="W92" s="626"/>
      <c r="X92"/>
    </row>
    <row r="93" spans="1:24" ht="15.5">
      <c r="B93" s="65" t="s">
        <v>135</v>
      </c>
      <c r="C93" s="626"/>
      <c r="D93" s="626"/>
      <c r="E93" s="626"/>
      <c r="F93" s="626"/>
      <c r="G93" s="626"/>
      <c r="H93" s="624"/>
      <c r="I93" s="601"/>
      <c r="J93" s="638"/>
      <c r="K93" s="626"/>
      <c r="L93" s="626"/>
      <c r="M93" s="624"/>
      <c r="N93" s="601"/>
      <c r="O93" s="638"/>
      <c r="P93" s="624"/>
      <c r="Q93" s="601"/>
      <c r="R93" s="601"/>
      <c r="S93" s="626"/>
      <c r="T93" s="601"/>
      <c r="U93" s="601"/>
      <c r="V93" s="601"/>
      <c r="W93" s="626"/>
      <c r="X93"/>
    </row>
    <row r="94" spans="1:24" s="149" customFormat="1" ht="15.5">
      <c r="A94" s="128"/>
      <c r="B94" s="65" t="s">
        <v>136</v>
      </c>
      <c r="C94" s="626">
        <v>0</v>
      </c>
      <c r="D94" s="626">
        <v>0</v>
      </c>
      <c r="E94" s="626">
        <v>0</v>
      </c>
      <c r="F94" s="626">
        <v>0</v>
      </c>
      <c r="G94" s="626">
        <v>0</v>
      </c>
      <c r="H94" s="624">
        <v>0</v>
      </c>
      <c r="I94" s="601">
        <v>0</v>
      </c>
      <c r="J94" s="638">
        <v>0</v>
      </c>
      <c r="K94" s="626">
        <v>0</v>
      </c>
      <c r="L94" s="626">
        <v>0</v>
      </c>
      <c r="M94" s="624">
        <v>0</v>
      </c>
      <c r="N94" s="601">
        <v>0</v>
      </c>
      <c r="O94" s="638">
        <v>0</v>
      </c>
      <c r="P94" s="624">
        <v>0</v>
      </c>
      <c r="Q94" s="601">
        <v>0</v>
      </c>
      <c r="R94" s="601">
        <v>0</v>
      </c>
      <c r="S94" s="626">
        <v>0</v>
      </c>
      <c r="T94" s="601">
        <v>0</v>
      </c>
      <c r="U94" s="601">
        <v>0</v>
      </c>
      <c r="V94" s="601">
        <v>0</v>
      </c>
      <c r="W94" s="626">
        <v>0</v>
      </c>
      <c r="X94"/>
    </row>
    <row r="95" spans="1:24" ht="15.5">
      <c r="B95" s="65" t="s">
        <v>137</v>
      </c>
      <c r="C95" s="626"/>
      <c r="D95" s="626"/>
      <c r="E95" s="626"/>
      <c r="F95" s="626"/>
      <c r="G95" s="626"/>
      <c r="H95" s="624"/>
      <c r="I95" s="601"/>
      <c r="J95" s="638"/>
      <c r="K95" s="626"/>
      <c r="L95" s="626"/>
      <c r="M95" s="624"/>
      <c r="N95" s="601"/>
      <c r="O95" s="638"/>
      <c r="P95" s="624"/>
      <c r="Q95" s="601"/>
      <c r="R95" s="601"/>
      <c r="S95" s="626"/>
      <c r="T95" s="601"/>
      <c r="U95" s="601"/>
      <c r="V95" s="601"/>
      <c r="W95" s="626"/>
      <c r="X95"/>
    </row>
    <row r="96" spans="1:24" ht="15.5">
      <c r="B96" s="65" t="s">
        <v>138</v>
      </c>
      <c r="C96" s="626"/>
      <c r="D96" s="626"/>
      <c r="E96" s="626"/>
      <c r="F96" s="626"/>
      <c r="G96" s="626"/>
      <c r="H96" s="624"/>
      <c r="I96" s="601"/>
      <c r="J96" s="638"/>
      <c r="K96" s="626"/>
      <c r="L96" s="626"/>
      <c r="M96" s="624"/>
      <c r="N96" s="601"/>
      <c r="O96" s="638"/>
      <c r="P96" s="624"/>
      <c r="Q96" s="601"/>
      <c r="R96" s="601"/>
      <c r="S96" s="626"/>
      <c r="T96" s="601"/>
      <c r="U96" s="601"/>
      <c r="V96" s="601"/>
      <c r="W96" s="626"/>
      <c r="X96"/>
    </row>
    <row r="97" spans="1:24" s="149" customFormat="1" ht="15.5">
      <c r="A97" s="128"/>
      <c r="B97" s="65" t="s">
        <v>139</v>
      </c>
      <c r="C97" s="626">
        <v>0</v>
      </c>
      <c r="D97" s="626">
        <v>0</v>
      </c>
      <c r="E97" s="626">
        <v>0</v>
      </c>
      <c r="F97" s="626">
        <v>0</v>
      </c>
      <c r="G97" s="626">
        <v>0</v>
      </c>
      <c r="H97" s="624">
        <v>0</v>
      </c>
      <c r="I97" s="601">
        <v>0</v>
      </c>
      <c r="J97" s="638">
        <v>0</v>
      </c>
      <c r="K97" s="626">
        <v>0</v>
      </c>
      <c r="L97" s="626">
        <v>0</v>
      </c>
      <c r="M97" s="624">
        <v>0</v>
      </c>
      <c r="N97" s="601">
        <v>0</v>
      </c>
      <c r="O97" s="638">
        <v>0</v>
      </c>
      <c r="P97" s="624">
        <v>0</v>
      </c>
      <c r="Q97" s="601">
        <v>0</v>
      </c>
      <c r="R97" s="601">
        <v>0</v>
      </c>
      <c r="S97" s="626">
        <v>0</v>
      </c>
      <c r="T97" s="601">
        <v>0</v>
      </c>
      <c r="U97" s="601">
        <v>0</v>
      </c>
      <c r="V97" s="601">
        <v>0</v>
      </c>
      <c r="W97" s="626">
        <v>0</v>
      </c>
      <c r="X97"/>
    </row>
    <row r="98" spans="1:24" ht="15.5">
      <c r="B98" s="65" t="s">
        <v>140</v>
      </c>
      <c r="C98" s="626"/>
      <c r="D98" s="626"/>
      <c r="E98" s="626"/>
      <c r="F98" s="626"/>
      <c r="G98" s="626"/>
      <c r="H98" s="624"/>
      <c r="I98" s="601"/>
      <c r="J98" s="638"/>
      <c r="K98" s="626"/>
      <c r="L98" s="626"/>
      <c r="M98" s="624"/>
      <c r="N98" s="601"/>
      <c r="O98" s="638"/>
      <c r="P98" s="624"/>
      <c r="Q98" s="601"/>
      <c r="R98" s="601"/>
      <c r="S98" s="626"/>
      <c r="T98" s="601"/>
      <c r="U98" s="601"/>
      <c r="V98" s="601"/>
      <c r="W98" s="626"/>
      <c r="X98"/>
    </row>
    <row r="99" spans="1:24" ht="15.5">
      <c r="B99" s="65" t="s">
        <v>141</v>
      </c>
      <c r="C99" s="626"/>
      <c r="D99" s="626"/>
      <c r="E99" s="626"/>
      <c r="F99" s="626"/>
      <c r="G99" s="626"/>
      <c r="H99" s="624"/>
      <c r="I99" s="601"/>
      <c r="J99" s="638"/>
      <c r="K99" s="626"/>
      <c r="L99" s="626"/>
      <c r="M99" s="624"/>
      <c r="N99" s="601"/>
      <c r="O99" s="638"/>
      <c r="P99" s="624"/>
      <c r="Q99" s="601"/>
      <c r="R99" s="601"/>
      <c r="S99" s="626"/>
      <c r="T99" s="601"/>
      <c r="U99" s="601"/>
      <c r="V99" s="601"/>
      <c r="W99" s="626"/>
      <c r="X99"/>
    </row>
    <row r="100" spans="1:24" s="149" customFormat="1" ht="15.5">
      <c r="A100" s="128"/>
      <c r="B100" s="65" t="s">
        <v>142</v>
      </c>
      <c r="C100" s="626">
        <v>0</v>
      </c>
      <c r="D100" s="626">
        <v>0</v>
      </c>
      <c r="E100" s="626">
        <v>0</v>
      </c>
      <c r="F100" s="626">
        <v>0</v>
      </c>
      <c r="G100" s="626">
        <v>0</v>
      </c>
      <c r="H100" s="624">
        <v>0</v>
      </c>
      <c r="I100" s="601">
        <v>0</v>
      </c>
      <c r="J100" s="638">
        <v>0</v>
      </c>
      <c r="K100" s="626">
        <v>0</v>
      </c>
      <c r="L100" s="626">
        <v>0</v>
      </c>
      <c r="M100" s="624">
        <v>0</v>
      </c>
      <c r="N100" s="601">
        <v>0</v>
      </c>
      <c r="O100" s="638">
        <v>0</v>
      </c>
      <c r="P100" s="624">
        <v>0</v>
      </c>
      <c r="Q100" s="601">
        <v>0</v>
      </c>
      <c r="R100" s="601">
        <v>0</v>
      </c>
      <c r="S100" s="626">
        <v>0</v>
      </c>
      <c r="T100" s="601">
        <v>0</v>
      </c>
      <c r="U100" s="601">
        <v>0</v>
      </c>
      <c r="V100" s="601">
        <v>0</v>
      </c>
      <c r="W100" s="626">
        <v>0</v>
      </c>
      <c r="X100"/>
    </row>
    <row r="101" spans="1:24" ht="15.5">
      <c r="B101" s="65" t="s">
        <v>143</v>
      </c>
      <c r="C101" s="626"/>
      <c r="D101" s="626"/>
      <c r="E101" s="626"/>
      <c r="F101" s="626"/>
      <c r="G101" s="626"/>
      <c r="H101" s="624"/>
      <c r="I101" s="601"/>
      <c r="J101" s="638"/>
      <c r="K101" s="626"/>
      <c r="L101" s="626"/>
      <c r="M101" s="624"/>
      <c r="N101" s="601"/>
      <c r="O101" s="638"/>
      <c r="P101" s="624"/>
      <c r="Q101" s="601"/>
      <c r="R101" s="601"/>
      <c r="S101" s="626"/>
      <c r="T101" s="601"/>
      <c r="U101" s="601"/>
      <c r="V101" s="601"/>
      <c r="W101" s="626"/>
      <c r="X101"/>
    </row>
    <row r="102" spans="1:24" ht="15.5">
      <c r="B102" s="65" t="s">
        <v>144</v>
      </c>
      <c r="C102" s="626"/>
      <c r="D102" s="626"/>
      <c r="E102" s="626"/>
      <c r="F102" s="626"/>
      <c r="G102" s="626"/>
      <c r="H102" s="624"/>
      <c r="I102" s="601"/>
      <c r="J102" s="638"/>
      <c r="K102" s="626"/>
      <c r="L102" s="626"/>
      <c r="M102" s="624"/>
      <c r="N102" s="601"/>
      <c r="O102" s="638"/>
      <c r="P102" s="624"/>
      <c r="Q102" s="601"/>
      <c r="R102" s="601"/>
      <c r="S102" s="626"/>
      <c r="T102" s="601"/>
      <c r="U102" s="601"/>
      <c r="V102" s="601"/>
      <c r="W102" s="626"/>
      <c r="X102"/>
    </row>
    <row r="103" spans="1:24" s="149" customFormat="1" ht="15.5">
      <c r="A103" s="128"/>
      <c r="B103" s="65" t="s">
        <v>145</v>
      </c>
      <c r="C103" s="626">
        <v>0</v>
      </c>
      <c r="D103" s="626">
        <v>0</v>
      </c>
      <c r="E103" s="626">
        <v>0</v>
      </c>
      <c r="F103" s="626">
        <v>0</v>
      </c>
      <c r="G103" s="626">
        <v>0</v>
      </c>
      <c r="H103" s="624">
        <v>0</v>
      </c>
      <c r="I103" s="601">
        <v>0</v>
      </c>
      <c r="J103" s="638">
        <v>0</v>
      </c>
      <c r="K103" s="626">
        <v>0</v>
      </c>
      <c r="L103" s="626">
        <v>0</v>
      </c>
      <c r="M103" s="624">
        <v>0</v>
      </c>
      <c r="N103" s="601">
        <v>0</v>
      </c>
      <c r="O103" s="638">
        <v>0</v>
      </c>
      <c r="P103" s="624">
        <v>0</v>
      </c>
      <c r="Q103" s="601">
        <v>0</v>
      </c>
      <c r="R103" s="601">
        <v>0</v>
      </c>
      <c r="S103" s="626">
        <v>0</v>
      </c>
      <c r="T103" s="601">
        <v>0</v>
      </c>
      <c r="U103" s="601">
        <v>0</v>
      </c>
      <c r="V103" s="601">
        <v>0</v>
      </c>
      <c r="W103" s="626">
        <v>0</v>
      </c>
      <c r="X103"/>
    </row>
    <row r="104" spans="1:24" ht="15.5">
      <c r="B104" s="65" t="s">
        <v>146</v>
      </c>
      <c r="C104" s="626"/>
      <c r="D104" s="626"/>
      <c r="E104" s="626"/>
      <c r="F104" s="626"/>
      <c r="G104" s="626"/>
      <c r="H104" s="624"/>
      <c r="I104" s="601"/>
      <c r="J104" s="638"/>
      <c r="K104" s="626"/>
      <c r="L104" s="626"/>
      <c r="M104" s="624"/>
      <c r="N104" s="601"/>
      <c r="O104" s="638"/>
      <c r="P104" s="624"/>
      <c r="Q104" s="601"/>
      <c r="R104" s="601"/>
      <c r="S104" s="626"/>
      <c r="T104" s="601"/>
      <c r="U104" s="601"/>
      <c r="V104" s="601"/>
      <c r="W104" s="626"/>
      <c r="X104"/>
    </row>
    <row r="105" spans="1:24" ht="15.5">
      <c r="B105" s="65" t="s">
        <v>147</v>
      </c>
      <c r="C105" s="626"/>
      <c r="D105" s="626"/>
      <c r="E105" s="626"/>
      <c r="F105" s="626"/>
      <c r="G105" s="626"/>
      <c r="H105" s="624"/>
      <c r="I105" s="601"/>
      <c r="J105" s="638"/>
      <c r="K105" s="626"/>
      <c r="L105" s="626"/>
      <c r="M105" s="624"/>
      <c r="N105" s="601"/>
      <c r="O105" s="638"/>
      <c r="P105" s="624"/>
      <c r="Q105" s="601"/>
      <c r="R105" s="601"/>
      <c r="S105" s="626"/>
      <c r="T105" s="601"/>
      <c r="U105" s="601"/>
      <c r="V105" s="601"/>
      <c r="W105" s="626"/>
      <c r="X105"/>
    </row>
    <row r="106" spans="1:24" s="149" customFormat="1" ht="15.5">
      <c r="A106" s="128"/>
      <c r="B106" s="65" t="s">
        <v>148</v>
      </c>
      <c r="C106" s="626">
        <v>0</v>
      </c>
      <c r="D106" s="626">
        <v>0</v>
      </c>
      <c r="E106" s="626">
        <v>0</v>
      </c>
      <c r="F106" s="626">
        <v>0</v>
      </c>
      <c r="G106" s="626">
        <v>0</v>
      </c>
      <c r="H106" s="624">
        <v>0</v>
      </c>
      <c r="I106" s="601">
        <v>0</v>
      </c>
      <c r="J106" s="638">
        <v>0</v>
      </c>
      <c r="K106" s="626">
        <v>0</v>
      </c>
      <c r="L106" s="626">
        <v>0</v>
      </c>
      <c r="M106" s="624">
        <v>0</v>
      </c>
      <c r="N106" s="601">
        <v>0</v>
      </c>
      <c r="O106" s="638">
        <v>0</v>
      </c>
      <c r="P106" s="624">
        <v>0</v>
      </c>
      <c r="Q106" s="601">
        <v>0</v>
      </c>
      <c r="R106" s="601">
        <v>0</v>
      </c>
      <c r="S106" s="626">
        <v>0</v>
      </c>
      <c r="T106" s="601">
        <v>0</v>
      </c>
      <c r="U106" s="601">
        <v>0</v>
      </c>
      <c r="V106" s="601">
        <v>0</v>
      </c>
      <c r="W106" s="626">
        <v>0</v>
      </c>
      <c r="X106"/>
    </row>
    <row r="107" spans="1:24" ht="15.5">
      <c r="B107" s="65" t="s">
        <v>149</v>
      </c>
      <c r="C107" s="626">
        <v>18</v>
      </c>
      <c r="D107" s="626"/>
      <c r="E107" s="626">
        <v>108</v>
      </c>
      <c r="F107" s="626"/>
      <c r="G107" s="626"/>
      <c r="H107" s="624"/>
      <c r="I107" s="601">
        <v>126</v>
      </c>
      <c r="J107" s="638"/>
      <c r="K107" s="626"/>
      <c r="L107" s="626"/>
      <c r="M107" s="624"/>
      <c r="N107" s="601"/>
      <c r="O107" s="638"/>
      <c r="P107" s="624"/>
      <c r="Q107" s="601"/>
      <c r="R107" s="601"/>
      <c r="S107" s="626">
        <v>26</v>
      </c>
      <c r="T107" s="601">
        <v>26</v>
      </c>
      <c r="U107" s="601"/>
      <c r="V107" s="601"/>
      <c r="W107" s="626">
        <v>152</v>
      </c>
      <c r="X107"/>
    </row>
    <row r="108" spans="1:24" ht="15.5">
      <c r="B108" s="65" t="s">
        <v>150</v>
      </c>
      <c r="C108" s="648">
        <v>18</v>
      </c>
      <c r="D108" s="626"/>
      <c r="E108" s="626">
        <v>130</v>
      </c>
      <c r="F108" s="626"/>
      <c r="G108" s="626"/>
      <c r="H108" s="624"/>
      <c r="I108" s="601">
        <v>148</v>
      </c>
      <c r="J108" s="638"/>
      <c r="K108" s="626"/>
      <c r="L108" s="626"/>
      <c r="M108" s="624"/>
      <c r="N108" s="601"/>
      <c r="O108" s="638"/>
      <c r="P108" s="624"/>
      <c r="Q108" s="601"/>
      <c r="R108" s="601"/>
      <c r="S108" s="626">
        <v>44</v>
      </c>
      <c r="T108" s="601">
        <v>44</v>
      </c>
      <c r="U108" s="601"/>
      <c r="V108" s="601"/>
      <c r="W108" s="626">
        <v>192</v>
      </c>
      <c r="X108"/>
    </row>
    <row r="109" spans="1:24" s="149" customFormat="1" ht="15.5">
      <c r="A109" s="128"/>
      <c r="B109" s="65" t="s">
        <v>151</v>
      </c>
      <c r="C109" s="626">
        <v>0</v>
      </c>
      <c r="D109" s="626">
        <v>0</v>
      </c>
      <c r="E109" s="626">
        <v>0.20370370370370369</v>
      </c>
      <c r="F109" s="626">
        <v>0</v>
      </c>
      <c r="G109" s="626">
        <v>0</v>
      </c>
      <c r="H109" s="624">
        <v>0</v>
      </c>
      <c r="I109" s="601">
        <v>0.17460317460317459</v>
      </c>
      <c r="J109" s="638">
        <v>0</v>
      </c>
      <c r="K109" s="626">
        <v>0</v>
      </c>
      <c r="L109" s="626">
        <v>0</v>
      </c>
      <c r="M109" s="624">
        <v>0</v>
      </c>
      <c r="N109" s="601">
        <v>0</v>
      </c>
      <c r="O109" s="638">
        <v>0</v>
      </c>
      <c r="P109" s="624">
        <v>0</v>
      </c>
      <c r="Q109" s="601">
        <v>0</v>
      </c>
      <c r="R109" s="601">
        <v>0</v>
      </c>
      <c r="S109" s="626">
        <v>0.69230769230769229</v>
      </c>
      <c r="T109" s="601">
        <v>0.69230769230769229</v>
      </c>
      <c r="U109" s="601">
        <v>0</v>
      </c>
      <c r="V109" s="601">
        <v>0</v>
      </c>
      <c r="W109" s="626">
        <v>0.26315789473684209</v>
      </c>
      <c r="X109"/>
    </row>
    <row r="110" spans="1:24" ht="15.5">
      <c r="B110" s="65" t="s">
        <v>152</v>
      </c>
      <c r="C110" s="626"/>
      <c r="D110" s="626"/>
      <c r="E110" s="626"/>
      <c r="F110" s="626"/>
      <c r="G110" s="626"/>
      <c r="H110" s="624"/>
      <c r="I110" s="601"/>
      <c r="J110" s="638"/>
      <c r="K110" s="626"/>
      <c r="L110" s="626"/>
      <c r="M110" s="624"/>
      <c r="N110" s="601"/>
      <c r="O110" s="638"/>
      <c r="P110" s="624"/>
      <c r="Q110" s="601"/>
      <c r="R110" s="601"/>
      <c r="S110" s="626"/>
      <c r="T110" s="601"/>
      <c r="U110" s="601"/>
      <c r="V110" s="601"/>
      <c r="W110" s="626"/>
      <c r="X110"/>
    </row>
    <row r="111" spans="1:24" s="149" customFormat="1" ht="15.5">
      <c r="A111" s="128"/>
      <c r="B111" s="65" t="s">
        <v>153</v>
      </c>
      <c r="C111" s="626"/>
      <c r="D111" s="626"/>
      <c r="E111" s="626"/>
      <c r="F111" s="626"/>
      <c r="G111" s="626"/>
      <c r="H111" s="624"/>
      <c r="I111" s="601"/>
      <c r="J111" s="638"/>
      <c r="K111" s="626"/>
      <c r="L111" s="626"/>
      <c r="M111" s="624"/>
      <c r="N111" s="601"/>
      <c r="O111" s="638"/>
      <c r="P111" s="624"/>
      <c r="Q111" s="601"/>
      <c r="R111" s="601"/>
      <c r="S111" s="626"/>
      <c r="T111" s="601"/>
      <c r="U111" s="601"/>
      <c r="V111" s="601"/>
      <c r="W111" s="626"/>
      <c r="X111"/>
    </row>
    <row r="112" spans="1:24" ht="15.5">
      <c r="A112" s="128" t="s">
        <v>155</v>
      </c>
      <c r="B112" s="131" t="s">
        <v>101</v>
      </c>
      <c r="C112" s="626"/>
      <c r="D112" s="626"/>
      <c r="E112" s="626"/>
      <c r="F112" s="626"/>
      <c r="G112" s="626"/>
      <c r="H112" s="624"/>
      <c r="I112" s="601"/>
      <c r="J112" s="638"/>
      <c r="K112" s="626"/>
      <c r="L112" s="626">
        <v>187</v>
      </c>
      <c r="M112" s="624"/>
      <c r="N112" s="601">
        <v>187</v>
      </c>
      <c r="O112" s="638"/>
      <c r="P112" s="624"/>
      <c r="Q112" s="601"/>
      <c r="R112" s="601"/>
      <c r="S112" s="626"/>
      <c r="T112" s="601"/>
      <c r="U112" s="601"/>
      <c r="V112" s="601"/>
      <c r="W112" s="626">
        <v>187</v>
      </c>
      <c r="X112"/>
    </row>
    <row r="113" spans="1:24" ht="16" thickBot="1">
      <c r="B113" s="131" t="s">
        <v>102</v>
      </c>
      <c r="C113" s="626"/>
      <c r="D113" s="626"/>
      <c r="E113" s="626">
        <v>16</v>
      </c>
      <c r="F113" s="626"/>
      <c r="G113" s="626"/>
      <c r="H113" s="624"/>
      <c r="I113" s="601">
        <v>16</v>
      </c>
      <c r="J113" s="638"/>
      <c r="K113" s="626"/>
      <c r="L113" s="626">
        <v>173</v>
      </c>
      <c r="M113" s="624"/>
      <c r="N113" s="601">
        <v>173</v>
      </c>
      <c r="O113" s="638"/>
      <c r="P113" s="624"/>
      <c r="Q113" s="601"/>
      <c r="R113" s="601"/>
      <c r="S113" s="626"/>
      <c r="T113" s="601"/>
      <c r="U113" s="601"/>
      <c r="V113" s="601"/>
      <c r="W113" s="626">
        <v>189</v>
      </c>
      <c r="X113"/>
    </row>
    <row r="114" spans="1:24" s="149" customFormat="1" ht="16" thickBot="1">
      <c r="A114" s="128"/>
      <c r="B114" s="131" t="s">
        <v>103</v>
      </c>
      <c r="C114" s="626">
        <v>0</v>
      </c>
      <c r="D114" s="626">
        <v>0</v>
      </c>
      <c r="E114" s="626">
        <v>0</v>
      </c>
      <c r="F114" s="626">
        <v>0</v>
      </c>
      <c r="G114" s="626">
        <v>0</v>
      </c>
      <c r="H114" s="624">
        <v>0</v>
      </c>
      <c r="I114" s="601">
        <v>0</v>
      </c>
      <c r="J114" s="638">
        <v>0</v>
      </c>
      <c r="K114" s="657">
        <v>0</v>
      </c>
      <c r="L114" s="648">
        <v>-7.4866310160427801E-2</v>
      </c>
      <c r="M114" s="624">
        <v>0</v>
      </c>
      <c r="N114" s="601">
        <v>-7.4866310160427801E-2</v>
      </c>
      <c r="O114" s="638">
        <v>0</v>
      </c>
      <c r="P114" s="624">
        <v>0</v>
      </c>
      <c r="Q114" s="601">
        <v>0</v>
      </c>
      <c r="R114" s="601">
        <v>0</v>
      </c>
      <c r="S114" s="626">
        <v>0</v>
      </c>
      <c r="T114" s="601">
        <v>0</v>
      </c>
      <c r="U114" s="601">
        <v>0</v>
      </c>
      <c r="V114" s="601">
        <v>0</v>
      </c>
      <c r="W114" s="626">
        <v>1.06951871657754E-2</v>
      </c>
      <c r="X114"/>
    </row>
    <row r="115" spans="1:24" ht="15.5">
      <c r="B115" s="65" t="s">
        <v>104</v>
      </c>
      <c r="C115" s="626"/>
      <c r="D115" s="626"/>
      <c r="E115" s="626"/>
      <c r="F115" s="626"/>
      <c r="G115" s="626"/>
      <c r="H115" s="624"/>
      <c r="I115" s="601"/>
      <c r="J115" s="638"/>
      <c r="K115" s="626"/>
      <c r="L115" s="626"/>
      <c r="M115" s="624"/>
      <c r="N115" s="601"/>
      <c r="O115" s="638"/>
      <c r="P115" s="624"/>
      <c r="Q115" s="601"/>
      <c r="R115" s="601"/>
      <c r="S115" s="626"/>
      <c r="T115" s="601"/>
      <c r="U115" s="601"/>
      <c r="V115" s="601"/>
      <c r="W115" s="626"/>
      <c r="X115"/>
    </row>
    <row r="116" spans="1:24" ht="15.5">
      <c r="B116" s="65" t="s">
        <v>105</v>
      </c>
      <c r="C116" s="626"/>
      <c r="D116" s="626"/>
      <c r="E116" s="626"/>
      <c r="F116" s="626"/>
      <c r="G116" s="626"/>
      <c r="H116" s="624"/>
      <c r="I116" s="601"/>
      <c r="J116" s="638"/>
      <c r="K116" s="626"/>
      <c r="L116" s="626"/>
      <c r="M116" s="624"/>
      <c r="N116" s="601"/>
      <c r="O116" s="638"/>
      <c r="P116" s="624"/>
      <c r="Q116" s="601"/>
      <c r="R116" s="601"/>
      <c r="S116" s="626"/>
      <c r="T116" s="601"/>
      <c r="U116" s="601"/>
      <c r="V116" s="601"/>
      <c r="W116" s="626"/>
      <c r="X116"/>
    </row>
    <row r="117" spans="1:24" s="149" customFormat="1" ht="15.5">
      <c r="A117" s="128"/>
      <c r="B117" s="65" t="s">
        <v>106</v>
      </c>
      <c r="C117" s="626">
        <v>0</v>
      </c>
      <c r="D117" s="626">
        <v>0</v>
      </c>
      <c r="E117" s="626">
        <v>0</v>
      </c>
      <c r="F117" s="626">
        <v>0</v>
      </c>
      <c r="G117" s="626">
        <v>0</v>
      </c>
      <c r="H117" s="624">
        <v>0</v>
      </c>
      <c r="I117" s="601">
        <v>0</v>
      </c>
      <c r="J117" s="638">
        <v>0</v>
      </c>
      <c r="K117" s="626">
        <v>0</v>
      </c>
      <c r="L117" s="626">
        <v>0</v>
      </c>
      <c r="M117" s="624">
        <v>0</v>
      </c>
      <c r="N117" s="601">
        <v>0</v>
      </c>
      <c r="O117" s="638">
        <v>0</v>
      </c>
      <c r="P117" s="624">
        <v>0</v>
      </c>
      <c r="Q117" s="601">
        <v>0</v>
      </c>
      <c r="R117" s="601">
        <v>0</v>
      </c>
      <c r="S117" s="626">
        <v>0</v>
      </c>
      <c r="T117" s="601">
        <v>0</v>
      </c>
      <c r="U117" s="601">
        <v>0</v>
      </c>
      <c r="V117" s="601">
        <v>0</v>
      </c>
      <c r="W117" s="626">
        <v>0</v>
      </c>
      <c r="X117"/>
    </row>
    <row r="118" spans="1:24" ht="15.5">
      <c r="B118" s="65" t="s">
        <v>107</v>
      </c>
      <c r="C118" s="626">
        <v>271</v>
      </c>
      <c r="D118" s="626"/>
      <c r="E118" s="626"/>
      <c r="F118" s="626"/>
      <c r="G118" s="626"/>
      <c r="H118" s="624"/>
      <c r="I118" s="601">
        <v>271</v>
      </c>
      <c r="J118" s="638"/>
      <c r="K118" s="626"/>
      <c r="L118" s="626">
        <v>1674</v>
      </c>
      <c r="M118" s="624"/>
      <c r="N118" s="601">
        <v>1674</v>
      </c>
      <c r="O118" s="638"/>
      <c r="P118" s="624"/>
      <c r="Q118" s="601"/>
      <c r="R118" s="601"/>
      <c r="S118" s="626"/>
      <c r="T118" s="601"/>
      <c r="U118" s="601"/>
      <c r="V118" s="601"/>
      <c r="W118" s="626">
        <v>1945</v>
      </c>
      <c r="X118"/>
    </row>
    <row r="119" spans="1:24" ht="16" thickBot="1">
      <c r="B119" s="65" t="s">
        <v>108</v>
      </c>
      <c r="C119" s="626">
        <v>261</v>
      </c>
      <c r="D119" s="626"/>
      <c r="E119" s="626"/>
      <c r="F119" s="626"/>
      <c r="G119" s="626"/>
      <c r="H119" s="624"/>
      <c r="I119" s="601">
        <v>261</v>
      </c>
      <c r="J119" s="638"/>
      <c r="K119" s="626"/>
      <c r="L119" s="626">
        <v>1596</v>
      </c>
      <c r="M119" s="624"/>
      <c r="N119" s="601">
        <v>1596</v>
      </c>
      <c r="O119" s="638"/>
      <c r="P119" s="624"/>
      <c r="Q119" s="601"/>
      <c r="R119" s="601"/>
      <c r="S119" s="626"/>
      <c r="T119" s="601"/>
      <c r="U119" s="601"/>
      <c r="V119" s="601"/>
      <c r="W119" s="626">
        <v>1857</v>
      </c>
      <c r="X119"/>
    </row>
    <row r="120" spans="1:24" s="149" customFormat="1" ht="16" thickBot="1">
      <c r="A120" s="128"/>
      <c r="B120" s="65" t="s">
        <v>109</v>
      </c>
      <c r="C120" s="626">
        <v>-3.6900369003690037E-2</v>
      </c>
      <c r="D120" s="626">
        <v>0</v>
      </c>
      <c r="E120" s="626">
        <v>0</v>
      </c>
      <c r="F120" s="626">
        <v>0</v>
      </c>
      <c r="G120" s="626">
        <v>0</v>
      </c>
      <c r="H120" s="624">
        <v>0</v>
      </c>
      <c r="I120" s="601">
        <v>-3.6900369003690037E-2</v>
      </c>
      <c r="J120" s="638">
        <v>0</v>
      </c>
      <c r="K120" s="657">
        <v>0</v>
      </c>
      <c r="L120" s="626">
        <v>-4.6594982078853049E-2</v>
      </c>
      <c r="M120" s="624">
        <v>0</v>
      </c>
      <c r="N120" s="601">
        <v>-4.6594982078853049E-2</v>
      </c>
      <c r="O120" s="638">
        <v>0</v>
      </c>
      <c r="P120" s="624">
        <v>0</v>
      </c>
      <c r="Q120" s="601">
        <v>0</v>
      </c>
      <c r="R120" s="601">
        <v>0</v>
      </c>
      <c r="S120" s="626">
        <v>0</v>
      </c>
      <c r="T120" s="601">
        <v>0</v>
      </c>
      <c r="U120" s="601">
        <v>0</v>
      </c>
      <c r="V120" s="601">
        <v>0</v>
      </c>
      <c r="W120" s="626">
        <v>-4.5244215938303342E-2</v>
      </c>
      <c r="X120"/>
    </row>
    <row r="121" spans="1:24" ht="15.5">
      <c r="B121" s="65" t="s">
        <v>110</v>
      </c>
      <c r="C121" s="626">
        <v>4320</v>
      </c>
      <c r="D121" s="626"/>
      <c r="E121" s="626">
        <v>658</v>
      </c>
      <c r="F121" s="626"/>
      <c r="G121" s="626"/>
      <c r="H121" s="624"/>
      <c r="I121" s="601">
        <v>4978</v>
      </c>
      <c r="J121" s="638"/>
      <c r="K121" s="626"/>
      <c r="L121" s="626">
        <v>43</v>
      </c>
      <c r="M121" s="624"/>
      <c r="N121" s="601">
        <v>43</v>
      </c>
      <c r="O121" s="638"/>
      <c r="P121" s="624"/>
      <c r="Q121" s="601"/>
      <c r="R121" s="601"/>
      <c r="S121" s="626"/>
      <c r="T121" s="601"/>
      <c r="U121" s="601"/>
      <c r="V121" s="601"/>
      <c r="W121" s="626">
        <v>5021</v>
      </c>
      <c r="X121"/>
    </row>
    <row r="122" spans="1:24" ht="15.5">
      <c r="B122" s="65" t="s">
        <v>111</v>
      </c>
      <c r="C122" s="626">
        <v>4243</v>
      </c>
      <c r="D122" s="626"/>
      <c r="E122" s="626">
        <v>637</v>
      </c>
      <c r="F122" s="626"/>
      <c r="G122" s="626"/>
      <c r="H122" s="624"/>
      <c r="I122" s="601">
        <v>4880</v>
      </c>
      <c r="J122" s="638"/>
      <c r="K122" s="626"/>
      <c r="L122" s="626">
        <v>51</v>
      </c>
      <c r="M122" s="624"/>
      <c r="N122" s="601">
        <v>51</v>
      </c>
      <c r="O122" s="638"/>
      <c r="P122" s="624"/>
      <c r="Q122" s="601"/>
      <c r="R122" s="601"/>
      <c r="S122" s="626"/>
      <c r="T122" s="601"/>
      <c r="U122" s="601"/>
      <c r="V122" s="601"/>
      <c r="W122" s="626">
        <v>4931</v>
      </c>
      <c r="X122"/>
    </row>
    <row r="123" spans="1:24" s="149" customFormat="1" ht="15.5">
      <c r="A123" s="128"/>
      <c r="B123" s="65" t="s">
        <v>112</v>
      </c>
      <c r="C123" s="626">
        <v>-1.7824074074074076E-2</v>
      </c>
      <c r="D123" s="626">
        <v>0</v>
      </c>
      <c r="E123" s="626">
        <v>-3.1914893617021274E-2</v>
      </c>
      <c r="F123" s="626">
        <v>0</v>
      </c>
      <c r="G123" s="626">
        <v>0</v>
      </c>
      <c r="H123" s="624">
        <v>0</v>
      </c>
      <c r="I123" s="601">
        <v>-1.9686621132985135E-2</v>
      </c>
      <c r="J123" s="638">
        <v>0</v>
      </c>
      <c r="K123" s="626">
        <v>0</v>
      </c>
      <c r="L123" s="626">
        <v>0.18604651162790697</v>
      </c>
      <c r="M123" s="624">
        <v>0</v>
      </c>
      <c r="N123" s="601">
        <v>0.18604651162790697</v>
      </c>
      <c r="O123" s="638">
        <v>0</v>
      </c>
      <c r="P123" s="624">
        <v>0</v>
      </c>
      <c r="Q123" s="601">
        <v>0</v>
      </c>
      <c r="R123" s="601">
        <v>0</v>
      </c>
      <c r="S123" s="626">
        <v>0</v>
      </c>
      <c r="T123" s="601">
        <v>0</v>
      </c>
      <c r="U123" s="601">
        <v>0</v>
      </c>
      <c r="V123" s="601">
        <v>0</v>
      </c>
      <c r="W123" s="626">
        <v>-1.7924716191993626E-2</v>
      </c>
      <c r="X123"/>
    </row>
    <row r="124" spans="1:24" ht="15.5">
      <c r="B124" s="65" t="s">
        <v>113</v>
      </c>
      <c r="C124" s="626"/>
      <c r="D124" s="626"/>
      <c r="E124" s="626"/>
      <c r="F124" s="626"/>
      <c r="G124" s="626"/>
      <c r="H124" s="624"/>
      <c r="I124" s="601"/>
      <c r="J124" s="638"/>
      <c r="K124" s="626"/>
      <c r="L124" s="626"/>
      <c r="M124" s="624"/>
      <c r="N124" s="601"/>
      <c r="O124" s="638"/>
      <c r="P124" s="624"/>
      <c r="Q124" s="601"/>
      <c r="R124" s="601"/>
      <c r="S124" s="626"/>
      <c r="T124" s="601"/>
      <c r="U124" s="601"/>
      <c r="V124" s="601"/>
      <c r="W124" s="626"/>
      <c r="X124"/>
    </row>
    <row r="125" spans="1:24" ht="15.5">
      <c r="B125" s="65" t="s">
        <v>114</v>
      </c>
      <c r="C125" s="626"/>
      <c r="D125" s="626"/>
      <c r="E125" s="626"/>
      <c r="F125" s="626"/>
      <c r="G125" s="626"/>
      <c r="H125" s="624"/>
      <c r="I125" s="601"/>
      <c r="J125" s="638"/>
      <c r="K125" s="626"/>
      <c r="L125" s="626"/>
      <c r="M125" s="624"/>
      <c r="N125" s="601"/>
      <c r="O125" s="638"/>
      <c r="P125" s="624"/>
      <c r="Q125" s="601"/>
      <c r="R125" s="601"/>
      <c r="S125" s="626"/>
      <c r="T125" s="601"/>
      <c r="U125" s="601"/>
      <c r="V125" s="601"/>
      <c r="W125" s="626"/>
      <c r="X125"/>
    </row>
    <row r="126" spans="1:24" s="149" customFormat="1" ht="15.5">
      <c r="A126" s="128"/>
      <c r="B126" s="65" t="s">
        <v>115</v>
      </c>
      <c r="C126" s="626">
        <v>0</v>
      </c>
      <c r="D126" s="626">
        <v>0</v>
      </c>
      <c r="E126" s="626">
        <v>0</v>
      </c>
      <c r="F126" s="626">
        <v>0</v>
      </c>
      <c r="G126" s="626">
        <v>0</v>
      </c>
      <c r="H126" s="624">
        <v>0</v>
      </c>
      <c r="I126" s="601">
        <v>0</v>
      </c>
      <c r="J126" s="638">
        <v>0</v>
      </c>
      <c r="K126" s="626">
        <v>0</v>
      </c>
      <c r="L126" s="626">
        <v>0</v>
      </c>
      <c r="M126" s="624">
        <v>0</v>
      </c>
      <c r="N126" s="601">
        <v>0</v>
      </c>
      <c r="O126" s="638">
        <v>0</v>
      </c>
      <c r="P126" s="624">
        <v>0</v>
      </c>
      <c r="Q126" s="601">
        <v>0</v>
      </c>
      <c r="R126" s="601">
        <v>0</v>
      </c>
      <c r="S126" s="626">
        <v>0</v>
      </c>
      <c r="T126" s="601">
        <v>0</v>
      </c>
      <c r="U126" s="601">
        <v>0</v>
      </c>
      <c r="V126" s="601">
        <v>0</v>
      </c>
      <c r="W126" s="626">
        <v>0</v>
      </c>
      <c r="X126"/>
    </row>
    <row r="127" spans="1:24" ht="15.5">
      <c r="B127" s="65" t="s">
        <v>116</v>
      </c>
      <c r="C127" s="626">
        <v>1029</v>
      </c>
      <c r="D127" s="626"/>
      <c r="E127" s="626">
        <v>89</v>
      </c>
      <c r="F127" s="626"/>
      <c r="G127" s="626"/>
      <c r="H127" s="624"/>
      <c r="I127" s="601">
        <v>1118</v>
      </c>
      <c r="J127" s="638"/>
      <c r="K127" s="626"/>
      <c r="L127" s="626">
        <v>0</v>
      </c>
      <c r="M127" s="624"/>
      <c r="N127" s="601">
        <v>0</v>
      </c>
      <c r="O127" s="638"/>
      <c r="P127" s="624"/>
      <c r="Q127" s="601"/>
      <c r="R127" s="601"/>
      <c r="S127" s="626"/>
      <c r="T127" s="601"/>
      <c r="U127" s="601"/>
      <c r="V127" s="601"/>
      <c r="W127" s="626">
        <v>1118</v>
      </c>
      <c r="X127"/>
    </row>
    <row r="128" spans="1:24" ht="15.5">
      <c r="B128" s="65" t="s">
        <v>117</v>
      </c>
      <c r="C128" s="626">
        <v>995</v>
      </c>
      <c r="D128" s="626"/>
      <c r="E128" s="626">
        <v>111</v>
      </c>
      <c r="F128" s="626"/>
      <c r="G128" s="626"/>
      <c r="H128" s="624"/>
      <c r="I128" s="601">
        <v>1106</v>
      </c>
      <c r="J128" s="638"/>
      <c r="K128" s="626"/>
      <c r="L128" s="626">
        <v>0</v>
      </c>
      <c r="M128" s="624"/>
      <c r="N128" s="601">
        <v>0</v>
      </c>
      <c r="O128" s="638"/>
      <c r="P128" s="624"/>
      <c r="Q128" s="601"/>
      <c r="R128" s="601"/>
      <c r="S128" s="626"/>
      <c r="T128" s="601"/>
      <c r="U128" s="601"/>
      <c r="V128" s="601"/>
      <c r="W128" s="626">
        <v>1106</v>
      </c>
      <c r="X128"/>
    </row>
    <row r="129" spans="1:24" s="149" customFormat="1" ht="15.5">
      <c r="A129" s="128"/>
      <c r="B129" s="65" t="s">
        <v>118</v>
      </c>
      <c r="C129" s="626">
        <v>-3.3041788143828958E-2</v>
      </c>
      <c r="D129" s="626">
        <v>0</v>
      </c>
      <c r="E129" s="626">
        <v>0.24719101123595505</v>
      </c>
      <c r="F129" s="626">
        <v>0</v>
      </c>
      <c r="G129" s="626">
        <v>0</v>
      </c>
      <c r="H129" s="624">
        <v>0</v>
      </c>
      <c r="I129" s="601">
        <v>-1.0733452593917709E-2</v>
      </c>
      <c r="J129" s="638">
        <v>0</v>
      </c>
      <c r="K129" s="626">
        <v>0</v>
      </c>
      <c r="L129" s="626">
        <v>0</v>
      </c>
      <c r="M129" s="624">
        <v>0</v>
      </c>
      <c r="N129" s="601">
        <v>0</v>
      </c>
      <c r="O129" s="638">
        <v>0</v>
      </c>
      <c r="P129" s="624">
        <v>0</v>
      </c>
      <c r="Q129" s="601">
        <v>0</v>
      </c>
      <c r="R129" s="601">
        <v>0</v>
      </c>
      <c r="S129" s="626">
        <v>0</v>
      </c>
      <c r="T129" s="601">
        <v>0</v>
      </c>
      <c r="U129" s="601">
        <v>0</v>
      </c>
      <c r="V129" s="601">
        <v>0</v>
      </c>
      <c r="W129" s="626">
        <v>-1.0733452593917709E-2</v>
      </c>
      <c r="X129"/>
    </row>
    <row r="130" spans="1:24" ht="15.5">
      <c r="B130" s="65" t="s">
        <v>119</v>
      </c>
      <c r="C130" s="626">
        <v>263</v>
      </c>
      <c r="D130" s="626"/>
      <c r="E130" s="626">
        <v>14</v>
      </c>
      <c r="F130" s="626"/>
      <c r="G130" s="626"/>
      <c r="H130" s="624"/>
      <c r="I130" s="601">
        <v>277</v>
      </c>
      <c r="J130" s="638"/>
      <c r="K130" s="626"/>
      <c r="L130" s="626">
        <v>0</v>
      </c>
      <c r="M130" s="624"/>
      <c r="N130" s="601">
        <v>0</v>
      </c>
      <c r="O130" s="638"/>
      <c r="P130" s="624"/>
      <c r="Q130" s="601"/>
      <c r="R130" s="601"/>
      <c r="S130" s="626"/>
      <c r="T130" s="601"/>
      <c r="U130" s="601"/>
      <c r="V130" s="601"/>
      <c r="W130" s="626">
        <v>277</v>
      </c>
      <c r="X130"/>
    </row>
    <row r="131" spans="1:24" ht="15.5">
      <c r="B131" s="65" t="s">
        <v>120</v>
      </c>
      <c r="C131" s="626">
        <v>230</v>
      </c>
      <c r="D131" s="626"/>
      <c r="E131" s="626">
        <v>14</v>
      </c>
      <c r="F131" s="626"/>
      <c r="G131" s="626"/>
      <c r="H131" s="624"/>
      <c r="I131" s="601">
        <v>244</v>
      </c>
      <c r="J131" s="638"/>
      <c r="K131" s="626"/>
      <c r="L131" s="626">
        <v>0</v>
      </c>
      <c r="M131" s="624"/>
      <c r="N131" s="601">
        <v>0</v>
      </c>
      <c r="O131" s="638"/>
      <c r="P131" s="624"/>
      <c r="Q131" s="601"/>
      <c r="R131" s="601"/>
      <c r="S131" s="626"/>
      <c r="T131" s="601"/>
      <c r="U131" s="601"/>
      <c r="V131" s="601"/>
      <c r="W131" s="626">
        <v>244</v>
      </c>
      <c r="X131"/>
    </row>
    <row r="132" spans="1:24" s="149" customFormat="1" ht="15.5">
      <c r="A132" s="128"/>
      <c r="B132" s="65" t="s">
        <v>121</v>
      </c>
      <c r="C132" s="626">
        <v>-0.12547528517110265</v>
      </c>
      <c r="D132" s="626">
        <v>0</v>
      </c>
      <c r="E132" s="626">
        <v>0</v>
      </c>
      <c r="F132" s="626">
        <v>0</v>
      </c>
      <c r="G132" s="626">
        <v>0</v>
      </c>
      <c r="H132" s="624">
        <v>0</v>
      </c>
      <c r="I132" s="601">
        <v>-0.11913357400722022</v>
      </c>
      <c r="J132" s="638">
        <v>0</v>
      </c>
      <c r="K132" s="626">
        <v>0</v>
      </c>
      <c r="L132" s="626">
        <v>0</v>
      </c>
      <c r="M132" s="624">
        <v>0</v>
      </c>
      <c r="N132" s="601">
        <v>0</v>
      </c>
      <c r="O132" s="638">
        <v>0</v>
      </c>
      <c r="P132" s="624">
        <v>0</v>
      </c>
      <c r="Q132" s="601">
        <v>0</v>
      </c>
      <c r="R132" s="601">
        <v>0</v>
      </c>
      <c r="S132" s="626">
        <v>0</v>
      </c>
      <c r="T132" s="601">
        <v>0</v>
      </c>
      <c r="U132" s="601">
        <v>0</v>
      </c>
      <c r="V132" s="601">
        <v>0</v>
      </c>
      <c r="W132" s="626">
        <v>-0.11913357400722022</v>
      </c>
      <c r="X132"/>
    </row>
    <row r="133" spans="1:24" ht="15.5">
      <c r="B133" s="65" t="s">
        <v>122</v>
      </c>
      <c r="C133" s="626"/>
      <c r="D133" s="626"/>
      <c r="E133" s="626"/>
      <c r="F133" s="626"/>
      <c r="G133" s="626"/>
      <c r="H133" s="624"/>
      <c r="I133" s="601"/>
      <c r="J133" s="638"/>
      <c r="K133" s="626"/>
      <c r="L133" s="626"/>
      <c r="M133" s="624"/>
      <c r="N133" s="601"/>
      <c r="O133" s="638"/>
      <c r="P133" s="624"/>
      <c r="Q133" s="601"/>
      <c r="R133" s="601"/>
      <c r="S133" s="626"/>
      <c r="T133" s="601"/>
      <c r="U133" s="601"/>
      <c r="V133" s="601"/>
      <c r="W133" s="626"/>
      <c r="X133"/>
    </row>
    <row r="134" spans="1:24" ht="15.5">
      <c r="B134" s="65" t="s">
        <v>123</v>
      </c>
      <c r="C134" s="626"/>
      <c r="D134" s="626"/>
      <c r="E134" s="626"/>
      <c r="F134" s="626"/>
      <c r="G134" s="626"/>
      <c r="H134" s="624"/>
      <c r="I134" s="601"/>
      <c r="J134" s="638"/>
      <c r="K134" s="626"/>
      <c r="L134" s="626"/>
      <c r="M134" s="624"/>
      <c r="N134" s="601"/>
      <c r="O134" s="638"/>
      <c r="P134" s="624"/>
      <c r="Q134" s="601"/>
      <c r="R134" s="601"/>
      <c r="S134" s="626"/>
      <c r="T134" s="601"/>
      <c r="U134" s="601"/>
      <c r="V134" s="601"/>
      <c r="W134" s="626"/>
      <c r="X134"/>
    </row>
    <row r="135" spans="1:24" s="149" customFormat="1" ht="15.5">
      <c r="A135" s="128"/>
      <c r="B135" s="65" t="s">
        <v>124</v>
      </c>
      <c r="C135" s="626">
        <v>0</v>
      </c>
      <c r="D135" s="626">
        <v>0</v>
      </c>
      <c r="E135" s="626">
        <v>0</v>
      </c>
      <c r="F135" s="626">
        <v>0</v>
      </c>
      <c r="G135" s="626">
        <v>0</v>
      </c>
      <c r="H135" s="624">
        <v>0</v>
      </c>
      <c r="I135" s="601">
        <v>0</v>
      </c>
      <c r="J135" s="638">
        <v>0</v>
      </c>
      <c r="K135" s="626">
        <v>0</v>
      </c>
      <c r="L135" s="626">
        <v>0</v>
      </c>
      <c r="M135" s="624">
        <v>0</v>
      </c>
      <c r="N135" s="601">
        <v>0</v>
      </c>
      <c r="O135" s="638">
        <v>0</v>
      </c>
      <c r="P135" s="624">
        <v>0</v>
      </c>
      <c r="Q135" s="601">
        <v>0</v>
      </c>
      <c r="R135" s="601">
        <v>0</v>
      </c>
      <c r="S135" s="626">
        <v>0</v>
      </c>
      <c r="T135" s="601">
        <v>0</v>
      </c>
      <c r="U135" s="601">
        <v>0</v>
      </c>
      <c r="V135" s="601">
        <v>0</v>
      </c>
      <c r="W135" s="626">
        <v>0</v>
      </c>
      <c r="X135"/>
    </row>
    <row r="136" spans="1:24" ht="15.5">
      <c r="B136" s="65" t="s">
        <v>125</v>
      </c>
      <c r="C136" s="626"/>
      <c r="D136" s="626"/>
      <c r="E136" s="626"/>
      <c r="F136" s="626"/>
      <c r="G136" s="626"/>
      <c r="H136" s="624"/>
      <c r="I136" s="601"/>
      <c r="J136" s="638"/>
      <c r="K136" s="626"/>
      <c r="L136" s="626"/>
      <c r="M136" s="624"/>
      <c r="N136" s="601"/>
      <c r="O136" s="638"/>
      <c r="P136" s="624"/>
      <c r="Q136" s="601"/>
      <c r="R136" s="601"/>
      <c r="S136" s="626"/>
      <c r="T136" s="601"/>
      <c r="U136" s="601"/>
      <c r="V136" s="601"/>
      <c r="W136" s="626"/>
      <c r="X136"/>
    </row>
    <row r="137" spans="1:24" ht="15.5">
      <c r="B137" s="65" t="s">
        <v>126</v>
      </c>
      <c r="C137" s="626"/>
      <c r="D137" s="626"/>
      <c r="E137" s="626"/>
      <c r="F137" s="626"/>
      <c r="G137" s="626"/>
      <c r="H137" s="624"/>
      <c r="I137" s="601"/>
      <c r="J137" s="638"/>
      <c r="K137" s="626"/>
      <c r="L137" s="626"/>
      <c r="M137" s="624"/>
      <c r="N137" s="601"/>
      <c r="O137" s="638"/>
      <c r="P137" s="624"/>
      <c r="Q137" s="601"/>
      <c r="R137" s="601"/>
      <c r="S137" s="626"/>
      <c r="T137" s="601"/>
      <c r="U137" s="601"/>
      <c r="V137" s="601"/>
      <c r="W137" s="626"/>
      <c r="X137"/>
    </row>
    <row r="138" spans="1:24" s="149" customFormat="1" ht="15.5">
      <c r="A138" s="128"/>
      <c r="B138" s="65" t="s">
        <v>127</v>
      </c>
      <c r="C138" s="626">
        <v>0</v>
      </c>
      <c r="D138" s="626">
        <v>0</v>
      </c>
      <c r="E138" s="626">
        <v>0</v>
      </c>
      <c r="F138" s="626">
        <v>0</v>
      </c>
      <c r="G138" s="626">
        <v>0</v>
      </c>
      <c r="H138" s="624">
        <v>0</v>
      </c>
      <c r="I138" s="601">
        <v>0</v>
      </c>
      <c r="J138" s="638">
        <v>0</v>
      </c>
      <c r="K138" s="626">
        <v>0</v>
      </c>
      <c r="L138" s="626">
        <v>0</v>
      </c>
      <c r="M138" s="624">
        <v>0</v>
      </c>
      <c r="N138" s="601">
        <v>0</v>
      </c>
      <c r="O138" s="638">
        <v>0</v>
      </c>
      <c r="P138" s="624">
        <v>0</v>
      </c>
      <c r="Q138" s="601">
        <v>0</v>
      </c>
      <c r="R138" s="601">
        <v>0</v>
      </c>
      <c r="S138" s="626">
        <v>0</v>
      </c>
      <c r="T138" s="601">
        <v>0</v>
      </c>
      <c r="U138" s="601">
        <v>0</v>
      </c>
      <c r="V138" s="601">
        <v>0</v>
      </c>
      <c r="W138" s="626">
        <v>0</v>
      </c>
      <c r="X138"/>
    </row>
    <row r="139" spans="1:24" ht="15.5">
      <c r="B139" s="65" t="s">
        <v>128</v>
      </c>
      <c r="C139" s="626"/>
      <c r="D139" s="626"/>
      <c r="E139" s="626"/>
      <c r="F139" s="626"/>
      <c r="G139" s="626"/>
      <c r="H139" s="624"/>
      <c r="I139" s="601"/>
      <c r="J139" s="638"/>
      <c r="K139" s="626"/>
      <c r="L139" s="626"/>
      <c r="M139" s="624"/>
      <c r="N139" s="601"/>
      <c r="O139" s="638"/>
      <c r="P139" s="624"/>
      <c r="Q139" s="601"/>
      <c r="R139" s="601"/>
      <c r="S139" s="626"/>
      <c r="T139" s="601"/>
      <c r="U139" s="601"/>
      <c r="V139" s="601"/>
      <c r="W139" s="626"/>
      <c r="X139"/>
    </row>
    <row r="140" spans="1:24" ht="15.5">
      <c r="B140" s="65" t="s">
        <v>129</v>
      </c>
      <c r="C140" s="626"/>
      <c r="D140" s="626"/>
      <c r="E140" s="626"/>
      <c r="F140" s="626"/>
      <c r="G140" s="626"/>
      <c r="H140" s="624"/>
      <c r="I140" s="601"/>
      <c r="J140" s="638"/>
      <c r="K140" s="626"/>
      <c r="L140" s="626"/>
      <c r="M140" s="624"/>
      <c r="N140" s="601"/>
      <c r="O140" s="638"/>
      <c r="P140" s="624"/>
      <c r="Q140" s="601"/>
      <c r="R140" s="601"/>
      <c r="S140" s="626"/>
      <c r="T140" s="601"/>
      <c r="U140" s="601"/>
      <c r="V140" s="601"/>
      <c r="W140" s="626"/>
      <c r="X140"/>
    </row>
    <row r="141" spans="1:24" s="149" customFormat="1" ht="15.5">
      <c r="A141" s="128"/>
      <c r="B141" s="65" t="s">
        <v>130</v>
      </c>
      <c r="C141" s="626">
        <v>0</v>
      </c>
      <c r="D141" s="626">
        <v>0</v>
      </c>
      <c r="E141" s="626">
        <v>0</v>
      </c>
      <c r="F141" s="626">
        <v>0</v>
      </c>
      <c r="G141" s="626">
        <v>0</v>
      </c>
      <c r="H141" s="624">
        <v>0</v>
      </c>
      <c r="I141" s="601">
        <v>0</v>
      </c>
      <c r="J141" s="638">
        <v>0</v>
      </c>
      <c r="K141" s="626">
        <v>0</v>
      </c>
      <c r="L141" s="626">
        <v>0</v>
      </c>
      <c r="M141" s="624">
        <v>0</v>
      </c>
      <c r="N141" s="601">
        <v>0</v>
      </c>
      <c r="O141" s="638">
        <v>0</v>
      </c>
      <c r="P141" s="624">
        <v>0</v>
      </c>
      <c r="Q141" s="601">
        <v>0</v>
      </c>
      <c r="R141" s="601">
        <v>0</v>
      </c>
      <c r="S141" s="626">
        <v>0</v>
      </c>
      <c r="T141" s="601">
        <v>0</v>
      </c>
      <c r="U141" s="601">
        <v>0</v>
      </c>
      <c r="V141" s="601">
        <v>0</v>
      </c>
      <c r="W141" s="626">
        <v>0</v>
      </c>
      <c r="X141"/>
    </row>
    <row r="142" spans="1:24" ht="15.5">
      <c r="B142" s="65" t="s">
        <v>131</v>
      </c>
      <c r="C142" s="626"/>
      <c r="D142" s="626"/>
      <c r="E142" s="626"/>
      <c r="F142" s="626"/>
      <c r="G142" s="626"/>
      <c r="H142" s="624"/>
      <c r="I142" s="601"/>
      <c r="J142" s="638"/>
      <c r="K142" s="626"/>
      <c r="L142" s="626"/>
      <c r="M142" s="624"/>
      <c r="N142" s="601"/>
      <c r="O142" s="638"/>
      <c r="P142" s="624"/>
      <c r="Q142" s="601"/>
      <c r="R142" s="601"/>
      <c r="S142" s="626"/>
      <c r="T142" s="601"/>
      <c r="U142" s="601"/>
      <c r="V142" s="601"/>
      <c r="W142" s="626"/>
      <c r="X142"/>
    </row>
    <row r="143" spans="1:24" ht="15.5">
      <c r="B143" s="65" t="s">
        <v>132</v>
      </c>
      <c r="C143" s="626"/>
      <c r="D143" s="626"/>
      <c r="E143" s="626"/>
      <c r="F143" s="626"/>
      <c r="G143" s="626"/>
      <c r="H143" s="624"/>
      <c r="I143" s="601"/>
      <c r="J143" s="638"/>
      <c r="K143" s="626"/>
      <c r="L143" s="626"/>
      <c r="M143" s="624"/>
      <c r="N143" s="601"/>
      <c r="O143" s="638"/>
      <c r="P143" s="624"/>
      <c r="Q143" s="601"/>
      <c r="R143" s="601"/>
      <c r="S143" s="626"/>
      <c r="T143" s="601"/>
      <c r="U143" s="601"/>
      <c r="V143" s="601"/>
      <c r="W143" s="626"/>
      <c r="X143"/>
    </row>
    <row r="144" spans="1:24" s="149" customFormat="1" ht="15.5">
      <c r="A144" s="128"/>
      <c r="B144" s="65" t="s">
        <v>133</v>
      </c>
      <c r="C144" s="626">
        <v>0</v>
      </c>
      <c r="D144" s="626">
        <v>0</v>
      </c>
      <c r="E144" s="626">
        <v>0</v>
      </c>
      <c r="F144" s="626">
        <v>0</v>
      </c>
      <c r="G144" s="626">
        <v>0</v>
      </c>
      <c r="H144" s="624">
        <v>0</v>
      </c>
      <c r="I144" s="601">
        <v>0</v>
      </c>
      <c r="J144" s="638">
        <v>0</v>
      </c>
      <c r="K144" s="626">
        <v>0</v>
      </c>
      <c r="L144" s="626">
        <v>0</v>
      </c>
      <c r="M144" s="624">
        <v>0</v>
      </c>
      <c r="N144" s="601">
        <v>0</v>
      </c>
      <c r="O144" s="638">
        <v>0</v>
      </c>
      <c r="P144" s="624">
        <v>0</v>
      </c>
      <c r="Q144" s="601">
        <v>0</v>
      </c>
      <c r="R144" s="601">
        <v>0</v>
      </c>
      <c r="S144" s="626">
        <v>0</v>
      </c>
      <c r="T144" s="601">
        <v>0</v>
      </c>
      <c r="U144" s="601">
        <v>0</v>
      </c>
      <c r="V144" s="601">
        <v>0</v>
      </c>
      <c r="W144" s="626">
        <v>0</v>
      </c>
      <c r="X144"/>
    </row>
    <row r="145" spans="1:24" ht="15.5">
      <c r="B145" s="65" t="s">
        <v>134</v>
      </c>
      <c r="C145" s="626"/>
      <c r="D145" s="626"/>
      <c r="E145" s="626"/>
      <c r="F145" s="626"/>
      <c r="G145" s="626"/>
      <c r="H145" s="624"/>
      <c r="I145" s="601"/>
      <c r="J145" s="638"/>
      <c r="K145" s="626"/>
      <c r="L145" s="626"/>
      <c r="M145" s="624"/>
      <c r="N145" s="601"/>
      <c r="O145" s="638"/>
      <c r="P145" s="624"/>
      <c r="Q145" s="601"/>
      <c r="R145" s="601"/>
      <c r="S145" s="626"/>
      <c r="T145" s="601"/>
      <c r="U145" s="601"/>
      <c r="V145" s="601"/>
      <c r="W145" s="626"/>
      <c r="X145"/>
    </row>
    <row r="146" spans="1:24" ht="15.5">
      <c r="B146" s="65" t="s">
        <v>135</v>
      </c>
      <c r="C146" s="626"/>
      <c r="D146" s="626"/>
      <c r="E146" s="626"/>
      <c r="F146" s="626"/>
      <c r="G146" s="626"/>
      <c r="H146" s="624"/>
      <c r="I146" s="601"/>
      <c r="J146" s="638"/>
      <c r="K146" s="626"/>
      <c r="L146" s="626"/>
      <c r="M146" s="624"/>
      <c r="N146" s="601"/>
      <c r="O146" s="638"/>
      <c r="P146" s="624"/>
      <c r="Q146" s="601"/>
      <c r="R146" s="601"/>
      <c r="S146" s="626"/>
      <c r="T146" s="601"/>
      <c r="U146" s="601"/>
      <c r="V146" s="601"/>
      <c r="W146" s="626"/>
      <c r="X146"/>
    </row>
    <row r="147" spans="1:24" s="149" customFormat="1" ht="15.5">
      <c r="A147" s="128"/>
      <c r="B147" s="65" t="s">
        <v>136</v>
      </c>
      <c r="C147" s="626">
        <v>0</v>
      </c>
      <c r="D147" s="626">
        <v>0</v>
      </c>
      <c r="E147" s="626">
        <v>0</v>
      </c>
      <c r="F147" s="626">
        <v>0</v>
      </c>
      <c r="G147" s="626">
        <v>0</v>
      </c>
      <c r="H147" s="624">
        <v>0</v>
      </c>
      <c r="I147" s="601">
        <v>0</v>
      </c>
      <c r="J147" s="638">
        <v>0</v>
      </c>
      <c r="K147" s="626">
        <v>0</v>
      </c>
      <c r="L147" s="626">
        <v>0</v>
      </c>
      <c r="M147" s="624">
        <v>0</v>
      </c>
      <c r="N147" s="601">
        <v>0</v>
      </c>
      <c r="O147" s="638">
        <v>0</v>
      </c>
      <c r="P147" s="624">
        <v>0</v>
      </c>
      <c r="Q147" s="601">
        <v>0</v>
      </c>
      <c r="R147" s="601">
        <v>0</v>
      </c>
      <c r="S147" s="626">
        <v>0</v>
      </c>
      <c r="T147" s="601">
        <v>0</v>
      </c>
      <c r="U147" s="601">
        <v>0</v>
      </c>
      <c r="V147" s="601">
        <v>0</v>
      </c>
      <c r="W147" s="626">
        <v>0</v>
      </c>
      <c r="X147"/>
    </row>
    <row r="148" spans="1:24" ht="15.5">
      <c r="B148" s="65" t="s">
        <v>137</v>
      </c>
      <c r="C148" s="626"/>
      <c r="D148" s="626"/>
      <c r="E148" s="626"/>
      <c r="F148" s="626"/>
      <c r="G148" s="626"/>
      <c r="H148" s="624"/>
      <c r="I148" s="601"/>
      <c r="J148" s="638"/>
      <c r="K148" s="626"/>
      <c r="L148" s="626"/>
      <c r="M148" s="624"/>
      <c r="N148" s="601"/>
      <c r="O148" s="638"/>
      <c r="P148" s="624"/>
      <c r="Q148" s="601"/>
      <c r="R148" s="601"/>
      <c r="S148" s="626"/>
      <c r="T148" s="601"/>
      <c r="U148" s="601"/>
      <c r="V148" s="601"/>
      <c r="W148" s="626"/>
      <c r="X148"/>
    </row>
    <row r="149" spans="1:24" ht="15.5">
      <c r="B149" s="65" t="s">
        <v>138</v>
      </c>
      <c r="C149" s="626"/>
      <c r="D149" s="626"/>
      <c r="E149" s="626"/>
      <c r="F149" s="626"/>
      <c r="G149" s="626"/>
      <c r="H149" s="624"/>
      <c r="I149" s="601"/>
      <c r="J149" s="638"/>
      <c r="K149" s="626"/>
      <c r="L149" s="626"/>
      <c r="M149" s="624"/>
      <c r="N149" s="601"/>
      <c r="O149" s="638"/>
      <c r="P149" s="624"/>
      <c r="Q149" s="601"/>
      <c r="R149" s="601"/>
      <c r="S149" s="626"/>
      <c r="T149" s="601"/>
      <c r="U149" s="601"/>
      <c r="V149" s="601"/>
      <c r="W149" s="626"/>
      <c r="X149"/>
    </row>
    <row r="150" spans="1:24" s="149" customFormat="1" ht="15.5">
      <c r="A150" s="128"/>
      <c r="B150" s="65" t="s">
        <v>139</v>
      </c>
      <c r="C150" s="626">
        <v>0</v>
      </c>
      <c r="D150" s="626">
        <v>0</v>
      </c>
      <c r="E150" s="626">
        <v>0</v>
      </c>
      <c r="F150" s="626">
        <v>0</v>
      </c>
      <c r="G150" s="626">
        <v>0</v>
      </c>
      <c r="H150" s="624">
        <v>0</v>
      </c>
      <c r="I150" s="601">
        <v>0</v>
      </c>
      <c r="J150" s="638">
        <v>0</v>
      </c>
      <c r="K150" s="626">
        <v>0</v>
      </c>
      <c r="L150" s="626">
        <v>0</v>
      </c>
      <c r="M150" s="624">
        <v>0</v>
      </c>
      <c r="N150" s="601">
        <v>0</v>
      </c>
      <c r="O150" s="638">
        <v>0</v>
      </c>
      <c r="P150" s="624">
        <v>0</v>
      </c>
      <c r="Q150" s="601">
        <v>0</v>
      </c>
      <c r="R150" s="601">
        <v>0</v>
      </c>
      <c r="S150" s="626">
        <v>0</v>
      </c>
      <c r="T150" s="601">
        <v>0</v>
      </c>
      <c r="U150" s="601">
        <v>0</v>
      </c>
      <c r="V150" s="601">
        <v>0</v>
      </c>
      <c r="W150" s="626">
        <v>0</v>
      </c>
      <c r="X150"/>
    </row>
    <row r="151" spans="1:24" ht="15.5">
      <c r="B151" s="65" t="s">
        <v>140</v>
      </c>
      <c r="C151" s="626"/>
      <c r="D151" s="626"/>
      <c r="E151" s="626"/>
      <c r="F151" s="626"/>
      <c r="G151" s="626"/>
      <c r="H151" s="624"/>
      <c r="I151" s="601"/>
      <c r="J151" s="638"/>
      <c r="K151" s="626"/>
      <c r="L151" s="626"/>
      <c r="M151" s="624"/>
      <c r="N151" s="601"/>
      <c r="O151" s="638"/>
      <c r="P151" s="624"/>
      <c r="Q151" s="601"/>
      <c r="R151" s="601"/>
      <c r="S151" s="626"/>
      <c r="T151" s="601"/>
      <c r="U151" s="601"/>
      <c r="V151" s="601"/>
      <c r="W151" s="626"/>
      <c r="X151"/>
    </row>
    <row r="152" spans="1:24" ht="15.5">
      <c r="B152" s="65" t="s">
        <v>141</v>
      </c>
      <c r="C152" s="626"/>
      <c r="D152" s="626"/>
      <c r="E152" s="626"/>
      <c r="F152" s="626"/>
      <c r="G152" s="626"/>
      <c r="H152" s="624"/>
      <c r="I152" s="601"/>
      <c r="J152" s="638"/>
      <c r="K152" s="626"/>
      <c r="L152" s="626"/>
      <c r="M152" s="624"/>
      <c r="N152" s="601"/>
      <c r="O152" s="638"/>
      <c r="P152" s="624"/>
      <c r="Q152" s="601"/>
      <c r="R152" s="601"/>
      <c r="S152" s="626"/>
      <c r="T152" s="601"/>
      <c r="U152" s="601"/>
      <c r="V152" s="601"/>
      <c r="W152" s="626"/>
      <c r="X152"/>
    </row>
    <row r="153" spans="1:24" s="149" customFormat="1" ht="15.5">
      <c r="A153" s="128"/>
      <c r="B153" s="65" t="s">
        <v>142</v>
      </c>
      <c r="C153" s="626">
        <v>0</v>
      </c>
      <c r="D153" s="626">
        <v>0</v>
      </c>
      <c r="E153" s="626">
        <v>0</v>
      </c>
      <c r="F153" s="626">
        <v>0</v>
      </c>
      <c r="G153" s="626">
        <v>0</v>
      </c>
      <c r="H153" s="624">
        <v>0</v>
      </c>
      <c r="I153" s="601">
        <v>0</v>
      </c>
      <c r="J153" s="638">
        <v>0</v>
      </c>
      <c r="K153" s="626">
        <v>0</v>
      </c>
      <c r="L153" s="626">
        <v>0</v>
      </c>
      <c r="M153" s="624">
        <v>0</v>
      </c>
      <c r="N153" s="601">
        <v>0</v>
      </c>
      <c r="O153" s="638">
        <v>0</v>
      </c>
      <c r="P153" s="624">
        <v>0</v>
      </c>
      <c r="Q153" s="601">
        <v>0</v>
      </c>
      <c r="R153" s="601">
        <v>0</v>
      </c>
      <c r="S153" s="626">
        <v>0</v>
      </c>
      <c r="T153" s="601">
        <v>0</v>
      </c>
      <c r="U153" s="601">
        <v>0</v>
      </c>
      <c r="V153" s="601">
        <v>0</v>
      </c>
      <c r="W153" s="626">
        <v>0</v>
      </c>
      <c r="X153"/>
    </row>
    <row r="154" spans="1:24" ht="15.5">
      <c r="B154" s="65" t="s">
        <v>143</v>
      </c>
      <c r="C154" s="626"/>
      <c r="D154" s="626"/>
      <c r="E154" s="626"/>
      <c r="F154" s="626"/>
      <c r="G154" s="626"/>
      <c r="H154" s="624"/>
      <c r="I154" s="601"/>
      <c r="J154" s="638"/>
      <c r="K154" s="626"/>
      <c r="L154" s="626"/>
      <c r="M154" s="624"/>
      <c r="N154" s="601"/>
      <c r="O154" s="638"/>
      <c r="P154" s="624"/>
      <c r="Q154" s="601"/>
      <c r="R154" s="601"/>
      <c r="S154" s="626"/>
      <c r="T154" s="601"/>
      <c r="U154" s="601"/>
      <c r="V154" s="601"/>
      <c r="W154" s="626"/>
      <c r="X154"/>
    </row>
    <row r="155" spans="1:24" ht="15.5">
      <c r="B155" s="65" t="s">
        <v>144</v>
      </c>
      <c r="C155" s="626"/>
      <c r="D155" s="626"/>
      <c r="E155" s="626"/>
      <c r="F155" s="626"/>
      <c r="G155" s="626"/>
      <c r="H155" s="624"/>
      <c r="I155" s="601"/>
      <c r="J155" s="638"/>
      <c r="K155" s="626"/>
      <c r="L155" s="626"/>
      <c r="M155" s="624"/>
      <c r="N155" s="601"/>
      <c r="O155" s="638"/>
      <c r="P155" s="624"/>
      <c r="Q155" s="601"/>
      <c r="R155" s="601"/>
      <c r="S155" s="626"/>
      <c r="T155" s="601"/>
      <c r="U155" s="601"/>
      <c r="V155" s="601"/>
      <c r="W155" s="626"/>
      <c r="X155"/>
    </row>
    <row r="156" spans="1:24" s="149" customFormat="1" ht="15.5">
      <c r="A156" s="128"/>
      <c r="B156" s="65" t="s">
        <v>145</v>
      </c>
      <c r="C156" s="626">
        <v>0</v>
      </c>
      <c r="D156" s="626">
        <v>0</v>
      </c>
      <c r="E156" s="626">
        <v>0</v>
      </c>
      <c r="F156" s="626">
        <v>0</v>
      </c>
      <c r="G156" s="626">
        <v>0</v>
      </c>
      <c r="H156" s="624">
        <v>0</v>
      </c>
      <c r="I156" s="601">
        <v>0</v>
      </c>
      <c r="J156" s="638">
        <v>0</v>
      </c>
      <c r="K156" s="626">
        <v>0</v>
      </c>
      <c r="L156" s="626">
        <v>0</v>
      </c>
      <c r="M156" s="624">
        <v>0</v>
      </c>
      <c r="N156" s="601">
        <v>0</v>
      </c>
      <c r="O156" s="638">
        <v>0</v>
      </c>
      <c r="P156" s="624">
        <v>0</v>
      </c>
      <c r="Q156" s="601">
        <v>0</v>
      </c>
      <c r="R156" s="601">
        <v>0</v>
      </c>
      <c r="S156" s="626">
        <v>0</v>
      </c>
      <c r="T156" s="601">
        <v>0</v>
      </c>
      <c r="U156" s="601">
        <v>0</v>
      </c>
      <c r="V156" s="601">
        <v>0</v>
      </c>
      <c r="W156" s="626">
        <v>0</v>
      </c>
      <c r="X156"/>
    </row>
    <row r="157" spans="1:24" ht="15.5">
      <c r="B157" s="65" t="s">
        <v>146</v>
      </c>
      <c r="C157" s="626"/>
      <c r="D157" s="626"/>
      <c r="E157" s="626"/>
      <c r="F157" s="626"/>
      <c r="G157" s="626"/>
      <c r="H157" s="624"/>
      <c r="I157" s="601"/>
      <c r="J157" s="638"/>
      <c r="K157" s="626"/>
      <c r="L157" s="626"/>
      <c r="M157" s="624"/>
      <c r="N157" s="601"/>
      <c r="O157" s="638"/>
      <c r="P157" s="624"/>
      <c r="Q157" s="601"/>
      <c r="R157" s="601"/>
      <c r="S157" s="626"/>
      <c r="T157" s="601"/>
      <c r="U157" s="601"/>
      <c r="V157" s="601"/>
      <c r="W157" s="626"/>
      <c r="X157"/>
    </row>
    <row r="158" spans="1:24" ht="15.5">
      <c r="B158" s="65" t="s">
        <v>147</v>
      </c>
      <c r="C158" s="626"/>
      <c r="D158" s="626"/>
      <c r="E158" s="626"/>
      <c r="F158" s="626"/>
      <c r="G158" s="626"/>
      <c r="H158" s="624"/>
      <c r="I158" s="601"/>
      <c r="J158" s="638"/>
      <c r="K158" s="626"/>
      <c r="L158" s="626"/>
      <c r="M158" s="624"/>
      <c r="N158" s="601"/>
      <c r="O158" s="638"/>
      <c r="P158" s="624"/>
      <c r="Q158" s="601"/>
      <c r="R158" s="601"/>
      <c r="S158" s="626"/>
      <c r="T158" s="601"/>
      <c r="U158" s="601"/>
      <c r="V158" s="601"/>
      <c r="W158" s="626"/>
      <c r="X158"/>
    </row>
    <row r="159" spans="1:24" s="149" customFormat="1" ht="15.5">
      <c r="A159" s="128"/>
      <c r="B159" s="65" t="s">
        <v>148</v>
      </c>
      <c r="C159" s="626">
        <v>0</v>
      </c>
      <c r="D159" s="626">
        <v>0</v>
      </c>
      <c r="E159" s="626">
        <v>0</v>
      </c>
      <c r="F159" s="626">
        <v>0</v>
      </c>
      <c r="G159" s="626">
        <v>0</v>
      </c>
      <c r="H159" s="624">
        <v>0</v>
      </c>
      <c r="I159" s="601">
        <v>0</v>
      </c>
      <c r="J159" s="638">
        <v>0</v>
      </c>
      <c r="K159" s="626">
        <v>0</v>
      </c>
      <c r="L159" s="626">
        <v>0</v>
      </c>
      <c r="M159" s="624">
        <v>0</v>
      </c>
      <c r="N159" s="601">
        <v>0</v>
      </c>
      <c r="O159" s="638">
        <v>0</v>
      </c>
      <c r="P159" s="624">
        <v>0</v>
      </c>
      <c r="Q159" s="601">
        <v>0</v>
      </c>
      <c r="R159" s="601">
        <v>0</v>
      </c>
      <c r="S159" s="626">
        <v>0</v>
      </c>
      <c r="T159" s="601">
        <v>0</v>
      </c>
      <c r="U159" s="601">
        <v>0</v>
      </c>
      <c r="V159" s="601">
        <v>0</v>
      </c>
      <c r="W159" s="626">
        <v>0</v>
      </c>
      <c r="X159"/>
    </row>
    <row r="160" spans="1:24" ht="15.5">
      <c r="B160" s="65" t="s">
        <v>149</v>
      </c>
      <c r="C160" s="626">
        <v>54</v>
      </c>
      <c r="D160" s="626"/>
      <c r="E160" s="626"/>
      <c r="F160" s="626"/>
      <c r="G160" s="626"/>
      <c r="H160" s="624"/>
      <c r="I160" s="601">
        <v>54</v>
      </c>
      <c r="J160" s="638"/>
      <c r="K160" s="626"/>
      <c r="L160" s="626"/>
      <c r="M160" s="624"/>
      <c r="N160" s="601"/>
      <c r="O160" s="638"/>
      <c r="P160" s="624"/>
      <c r="Q160" s="601"/>
      <c r="R160" s="601"/>
      <c r="S160" s="626"/>
      <c r="T160" s="601"/>
      <c r="U160" s="601"/>
      <c r="V160" s="601"/>
      <c r="W160" s="626">
        <v>54</v>
      </c>
      <c r="X160"/>
    </row>
    <row r="161" spans="1:24" ht="16" thickBot="1">
      <c r="B161" s="65" t="s">
        <v>150</v>
      </c>
      <c r="C161" s="626">
        <v>65</v>
      </c>
      <c r="D161" s="626"/>
      <c r="E161" s="626"/>
      <c r="F161" s="626"/>
      <c r="G161" s="626"/>
      <c r="H161" s="624"/>
      <c r="I161" s="601">
        <v>65</v>
      </c>
      <c r="J161" s="638"/>
      <c r="K161" s="626"/>
      <c r="L161" s="626"/>
      <c r="M161" s="624"/>
      <c r="N161" s="601"/>
      <c r="O161" s="638"/>
      <c r="P161" s="624"/>
      <c r="Q161" s="601"/>
      <c r="R161" s="601"/>
      <c r="S161" s="626"/>
      <c r="T161" s="601"/>
      <c r="U161" s="601"/>
      <c r="V161" s="601"/>
      <c r="W161" s="626">
        <v>65</v>
      </c>
      <c r="X161"/>
    </row>
    <row r="162" spans="1:24" s="149" customFormat="1" ht="16" thickBot="1">
      <c r="A162" s="128"/>
      <c r="B162" s="65" t="s">
        <v>151</v>
      </c>
      <c r="C162" s="657">
        <v>0.20370370370370369</v>
      </c>
      <c r="D162" s="626">
        <v>0</v>
      </c>
      <c r="E162" s="626">
        <v>0</v>
      </c>
      <c r="F162" s="626">
        <v>0</v>
      </c>
      <c r="G162" s="626">
        <v>0</v>
      </c>
      <c r="H162" s="624">
        <v>0</v>
      </c>
      <c r="I162" s="601">
        <v>0.20370370370370369</v>
      </c>
      <c r="J162" s="638">
        <v>0</v>
      </c>
      <c r="K162" s="626">
        <v>0</v>
      </c>
      <c r="L162" s="626">
        <v>0</v>
      </c>
      <c r="M162" s="624">
        <v>0</v>
      </c>
      <c r="N162" s="601">
        <v>0</v>
      </c>
      <c r="O162" s="638">
        <v>0</v>
      </c>
      <c r="P162" s="624">
        <v>0</v>
      </c>
      <c r="Q162" s="601">
        <v>0</v>
      </c>
      <c r="R162" s="601">
        <v>0</v>
      </c>
      <c r="S162" s="626">
        <v>0</v>
      </c>
      <c r="T162" s="601">
        <v>0</v>
      </c>
      <c r="U162" s="601">
        <v>0</v>
      </c>
      <c r="V162" s="601">
        <v>0</v>
      </c>
      <c r="W162" s="626">
        <v>0.20370370370370369</v>
      </c>
      <c r="X162"/>
    </row>
    <row r="163" spans="1:24" ht="16" thickBot="1">
      <c r="B163" s="65" t="s">
        <v>152</v>
      </c>
      <c r="C163" s="626"/>
      <c r="D163" s="626"/>
      <c r="E163" s="626"/>
      <c r="F163" s="626"/>
      <c r="G163" s="626"/>
      <c r="H163" s="624"/>
      <c r="I163" s="601"/>
      <c r="J163" s="638"/>
      <c r="K163" s="626"/>
      <c r="L163" s="626"/>
      <c r="M163" s="624"/>
      <c r="N163" s="601"/>
      <c r="O163" s="638"/>
      <c r="P163" s="624"/>
      <c r="Q163" s="601"/>
      <c r="R163" s="601"/>
      <c r="S163" s="626"/>
      <c r="T163" s="601"/>
      <c r="U163" s="601"/>
      <c r="V163" s="601"/>
      <c r="W163" s="626"/>
      <c r="X163"/>
    </row>
    <row r="164" spans="1:24" s="149" customFormat="1" ht="16" thickBot="1">
      <c r="A164" s="128"/>
      <c r="B164" s="65" t="s">
        <v>153</v>
      </c>
      <c r="C164" s="669"/>
      <c r="D164" s="626"/>
      <c r="E164" s="626"/>
      <c r="F164" s="626"/>
      <c r="G164" s="626"/>
      <c r="H164" s="624"/>
      <c r="I164" s="601"/>
      <c r="J164" s="638"/>
      <c r="K164" s="626"/>
      <c r="L164" s="626"/>
      <c r="M164" s="624"/>
      <c r="N164" s="601"/>
      <c r="O164" s="638"/>
      <c r="P164" s="624"/>
      <c r="Q164" s="601"/>
      <c r="R164" s="601"/>
      <c r="S164" s="626"/>
      <c r="T164" s="601"/>
      <c r="U164" s="601"/>
      <c r="V164" s="601"/>
      <c r="W164" s="626"/>
      <c r="X164"/>
    </row>
    <row r="165" spans="1:24" ht="15.5">
      <c r="A165" s="128" t="s">
        <v>156</v>
      </c>
      <c r="B165" s="131" t="s">
        <v>101</v>
      </c>
      <c r="C165" s="626"/>
      <c r="D165" s="626"/>
      <c r="E165" s="626"/>
      <c r="F165" s="626"/>
      <c r="G165" s="626"/>
      <c r="H165" s="624"/>
      <c r="I165" s="601"/>
      <c r="J165" s="638">
        <v>37290</v>
      </c>
      <c r="K165" s="626">
        <v>2308</v>
      </c>
      <c r="L165" s="626"/>
      <c r="M165" s="624">
        <v>338</v>
      </c>
      <c r="N165" s="601">
        <v>39936</v>
      </c>
      <c r="O165" s="638"/>
      <c r="P165" s="624"/>
      <c r="Q165" s="601"/>
      <c r="R165" s="601"/>
      <c r="S165" s="626"/>
      <c r="T165" s="601"/>
      <c r="U165" s="601"/>
      <c r="V165" s="601"/>
      <c r="W165" s="626">
        <v>39936</v>
      </c>
      <c r="X165"/>
    </row>
    <row r="166" spans="1:24" ht="16" thickBot="1">
      <c r="B166" s="131" t="s">
        <v>102</v>
      </c>
      <c r="C166" s="626"/>
      <c r="D166" s="626"/>
      <c r="E166" s="626"/>
      <c r="F166" s="626"/>
      <c r="G166" s="626"/>
      <c r="H166" s="624"/>
      <c r="I166" s="601"/>
      <c r="J166" s="638">
        <v>36616</v>
      </c>
      <c r="K166" s="626">
        <v>2501</v>
      </c>
      <c r="L166" s="626"/>
      <c r="M166" s="624">
        <v>326</v>
      </c>
      <c r="N166" s="601">
        <v>39443</v>
      </c>
      <c r="O166" s="638"/>
      <c r="P166" s="624"/>
      <c r="Q166" s="601"/>
      <c r="R166" s="601"/>
      <c r="S166" s="626"/>
      <c r="T166" s="601"/>
      <c r="U166" s="601"/>
      <c r="V166" s="601"/>
      <c r="W166" s="626">
        <v>39443</v>
      </c>
      <c r="X166"/>
    </row>
    <row r="167" spans="1:24" s="149" customFormat="1" ht="16" thickBot="1">
      <c r="A167" s="128"/>
      <c r="B167" s="131" t="s">
        <v>103</v>
      </c>
      <c r="C167" s="626">
        <v>0</v>
      </c>
      <c r="D167" s="626">
        <v>0</v>
      </c>
      <c r="E167" s="626">
        <v>0</v>
      </c>
      <c r="F167" s="626">
        <v>0</v>
      </c>
      <c r="G167" s="626">
        <v>0</v>
      </c>
      <c r="H167" s="624">
        <v>0</v>
      </c>
      <c r="I167" s="601">
        <v>0</v>
      </c>
      <c r="J167" s="662">
        <v>-1.8074550817913648E-2</v>
      </c>
      <c r="K167" s="662">
        <v>8.3622183708838824E-2</v>
      </c>
      <c r="L167" s="662">
        <v>0</v>
      </c>
      <c r="M167" s="649">
        <v>-3.5502958579881658E-2</v>
      </c>
      <c r="N167" s="601">
        <v>-1.2344751602564102E-2</v>
      </c>
      <c r="O167" s="638">
        <v>0</v>
      </c>
      <c r="P167" s="624">
        <v>0</v>
      </c>
      <c r="Q167" s="601">
        <v>0</v>
      </c>
      <c r="R167" s="601">
        <v>0</v>
      </c>
      <c r="S167" s="626">
        <v>0</v>
      </c>
      <c r="T167" s="601">
        <v>0</v>
      </c>
      <c r="U167" s="601">
        <v>0</v>
      </c>
      <c r="V167" s="601">
        <v>0</v>
      </c>
      <c r="W167" s="626">
        <v>-1.2344751602564102E-2</v>
      </c>
      <c r="X167"/>
    </row>
    <row r="168" spans="1:24" ht="15.5">
      <c r="B168" s="65" t="s">
        <v>104</v>
      </c>
      <c r="C168" s="626"/>
      <c r="D168" s="626"/>
      <c r="E168" s="626"/>
      <c r="F168" s="626"/>
      <c r="G168" s="626"/>
      <c r="H168" s="624"/>
      <c r="I168" s="601"/>
      <c r="J168" s="638">
        <v>197</v>
      </c>
      <c r="K168" s="626">
        <v>127</v>
      </c>
      <c r="L168" s="626"/>
      <c r="M168" s="624">
        <v>0</v>
      </c>
      <c r="N168" s="601">
        <v>324</v>
      </c>
      <c r="O168" s="638"/>
      <c r="P168" s="624"/>
      <c r="Q168" s="601"/>
      <c r="R168" s="601"/>
      <c r="S168" s="626"/>
      <c r="T168" s="601"/>
      <c r="U168" s="601"/>
      <c r="V168" s="601"/>
      <c r="W168" s="626">
        <v>324</v>
      </c>
      <c r="X168"/>
    </row>
    <row r="169" spans="1:24" ht="16" thickBot="1">
      <c r="B169" s="65" t="s">
        <v>105</v>
      </c>
      <c r="C169" s="626"/>
      <c r="D169" s="626"/>
      <c r="E169" s="626"/>
      <c r="F169" s="626"/>
      <c r="G169" s="626"/>
      <c r="H169" s="624"/>
      <c r="I169" s="601"/>
      <c r="J169" s="638">
        <v>157</v>
      </c>
      <c r="K169" s="626">
        <v>48</v>
      </c>
      <c r="L169" s="626"/>
      <c r="M169" s="624">
        <v>0</v>
      </c>
      <c r="N169" s="601">
        <v>205</v>
      </c>
      <c r="O169" s="638"/>
      <c r="P169" s="624"/>
      <c r="Q169" s="601"/>
      <c r="R169" s="601"/>
      <c r="S169" s="626"/>
      <c r="T169" s="601"/>
      <c r="U169" s="601"/>
      <c r="V169" s="601"/>
      <c r="W169" s="626">
        <v>205</v>
      </c>
      <c r="X169"/>
    </row>
    <row r="170" spans="1:24" s="149" customFormat="1" ht="16" thickBot="1">
      <c r="A170" s="128"/>
      <c r="B170" s="65" t="s">
        <v>106</v>
      </c>
      <c r="C170" s="626">
        <v>0</v>
      </c>
      <c r="D170" s="626">
        <v>0</v>
      </c>
      <c r="E170" s="626">
        <v>0</v>
      </c>
      <c r="F170" s="626">
        <v>0</v>
      </c>
      <c r="G170" s="626">
        <v>0</v>
      </c>
      <c r="H170" s="624">
        <v>0</v>
      </c>
      <c r="I170" s="601">
        <v>0</v>
      </c>
      <c r="J170" s="657">
        <v>-0.20304568527918782</v>
      </c>
      <c r="K170" s="657">
        <v>-0.62204724409448819</v>
      </c>
      <c r="L170" s="657">
        <v>0</v>
      </c>
      <c r="M170" s="657">
        <v>0</v>
      </c>
      <c r="N170" s="601">
        <v>-0.36728395061728397</v>
      </c>
      <c r="O170" s="638">
        <v>0</v>
      </c>
      <c r="P170" s="624">
        <v>0</v>
      </c>
      <c r="Q170" s="601">
        <v>0</v>
      </c>
      <c r="R170" s="601">
        <v>0</v>
      </c>
      <c r="S170" s="626">
        <v>0</v>
      </c>
      <c r="T170" s="601">
        <v>0</v>
      </c>
      <c r="U170" s="601">
        <v>0</v>
      </c>
      <c r="V170" s="601">
        <v>0</v>
      </c>
      <c r="W170" s="626">
        <v>-0.36728395061728397</v>
      </c>
      <c r="X170"/>
    </row>
    <row r="171" spans="1:24" ht="15.5">
      <c r="B171" s="65" t="s">
        <v>107</v>
      </c>
      <c r="C171" s="626"/>
      <c r="D171" s="626"/>
      <c r="E171" s="626"/>
      <c r="F171" s="626"/>
      <c r="G171" s="626"/>
      <c r="H171" s="624"/>
      <c r="I171" s="601"/>
      <c r="J171" s="638">
        <v>66945</v>
      </c>
      <c r="K171" s="626">
        <v>6416</v>
      </c>
      <c r="L171" s="626"/>
      <c r="M171" s="624">
        <v>415</v>
      </c>
      <c r="N171" s="601">
        <v>73776</v>
      </c>
      <c r="O171" s="638"/>
      <c r="P171" s="624"/>
      <c r="Q171" s="601"/>
      <c r="R171" s="601"/>
      <c r="S171" s="626"/>
      <c r="T171" s="601"/>
      <c r="U171" s="601"/>
      <c r="V171" s="601"/>
      <c r="W171" s="626">
        <v>73776</v>
      </c>
      <c r="X171"/>
    </row>
    <row r="172" spans="1:24" ht="16" thickBot="1">
      <c r="B172" s="65" t="s">
        <v>108</v>
      </c>
      <c r="C172" s="626"/>
      <c r="D172" s="626"/>
      <c r="E172" s="626"/>
      <c r="F172" s="626"/>
      <c r="G172" s="626"/>
      <c r="H172" s="624"/>
      <c r="I172" s="601"/>
      <c r="J172" s="638">
        <v>65132</v>
      </c>
      <c r="K172" s="626">
        <v>6907</v>
      </c>
      <c r="L172" s="656"/>
      <c r="M172" s="624">
        <v>383</v>
      </c>
      <c r="N172" s="601">
        <v>72422</v>
      </c>
      <c r="O172" s="638"/>
      <c r="P172" s="624"/>
      <c r="Q172" s="601"/>
      <c r="R172" s="601"/>
      <c r="S172" s="626"/>
      <c r="T172" s="601"/>
      <c r="U172" s="601"/>
      <c r="V172" s="601"/>
      <c r="W172" s="626">
        <v>72422</v>
      </c>
      <c r="X172"/>
    </row>
    <row r="173" spans="1:24" s="149" customFormat="1" ht="16" thickBot="1">
      <c r="A173" s="128"/>
      <c r="B173" s="65" t="s">
        <v>109</v>
      </c>
      <c r="C173" s="657">
        <v>0</v>
      </c>
      <c r="D173" s="626">
        <v>0</v>
      </c>
      <c r="E173" s="648">
        <v>0</v>
      </c>
      <c r="F173" s="626">
        <v>0</v>
      </c>
      <c r="G173" s="626">
        <v>0</v>
      </c>
      <c r="H173" s="624">
        <v>0</v>
      </c>
      <c r="I173" s="601">
        <v>0</v>
      </c>
      <c r="J173" s="658">
        <v>-2.7081932930017177E-2</v>
      </c>
      <c r="K173" s="657">
        <v>7.6527431421446385E-2</v>
      </c>
      <c r="L173" s="654">
        <v>0</v>
      </c>
      <c r="M173" s="624">
        <v>-7.7108433734939766E-2</v>
      </c>
      <c r="N173" s="601">
        <v>-1.8352851875948817E-2</v>
      </c>
      <c r="O173" s="638">
        <v>0</v>
      </c>
      <c r="P173" s="624">
        <v>0</v>
      </c>
      <c r="Q173" s="601">
        <v>0</v>
      </c>
      <c r="R173" s="601">
        <v>0</v>
      </c>
      <c r="S173" s="626">
        <v>0</v>
      </c>
      <c r="T173" s="601">
        <v>0</v>
      </c>
      <c r="U173" s="601">
        <v>0</v>
      </c>
      <c r="V173" s="601">
        <v>0</v>
      </c>
      <c r="W173" s="626">
        <v>-1.8352851875948817E-2</v>
      </c>
      <c r="X173"/>
    </row>
    <row r="174" spans="1:24" ht="15.5">
      <c r="B174" s="65" t="s">
        <v>110</v>
      </c>
      <c r="C174" s="626"/>
      <c r="D174" s="626"/>
      <c r="E174" s="626"/>
      <c r="F174" s="626"/>
      <c r="G174" s="626"/>
      <c r="H174" s="624"/>
      <c r="I174" s="601"/>
      <c r="J174" s="638">
        <v>9036</v>
      </c>
      <c r="K174" s="626">
        <v>12</v>
      </c>
      <c r="L174" s="626"/>
      <c r="M174" s="624">
        <v>16</v>
      </c>
      <c r="N174" s="601">
        <v>9064</v>
      </c>
      <c r="O174" s="638"/>
      <c r="P174" s="624"/>
      <c r="Q174" s="601"/>
      <c r="R174" s="601"/>
      <c r="S174" s="626"/>
      <c r="T174" s="601"/>
      <c r="U174" s="601"/>
      <c r="V174" s="601"/>
      <c r="W174" s="626">
        <v>9064</v>
      </c>
      <c r="X174"/>
    </row>
    <row r="175" spans="1:24" ht="16" thickBot="1">
      <c r="B175" s="65" t="s">
        <v>111</v>
      </c>
      <c r="C175" s="626"/>
      <c r="D175" s="626"/>
      <c r="E175" s="626"/>
      <c r="F175" s="626"/>
      <c r="G175" s="626"/>
      <c r="H175" s="624"/>
      <c r="I175" s="601"/>
      <c r="J175" s="638"/>
      <c r="K175" s="648"/>
      <c r="L175" s="626"/>
      <c r="M175" s="624"/>
      <c r="N175" s="601"/>
      <c r="O175" s="638"/>
      <c r="P175" s="624"/>
      <c r="Q175" s="601"/>
      <c r="R175" s="601"/>
      <c r="S175" s="626"/>
      <c r="T175" s="601"/>
      <c r="U175" s="601"/>
      <c r="V175" s="601"/>
      <c r="W175" s="626"/>
      <c r="X175"/>
    </row>
    <row r="176" spans="1:24" s="149" customFormat="1" ht="16" thickBot="1">
      <c r="A176" s="128"/>
      <c r="B176" s="65" t="s">
        <v>112</v>
      </c>
      <c r="C176" s="626">
        <v>0</v>
      </c>
      <c r="D176" s="626">
        <v>0</v>
      </c>
      <c r="E176" s="626">
        <v>0</v>
      </c>
      <c r="F176" s="626">
        <v>0</v>
      </c>
      <c r="G176" s="626">
        <v>0</v>
      </c>
      <c r="H176" s="649">
        <v>0</v>
      </c>
      <c r="I176" s="601">
        <v>0</v>
      </c>
      <c r="J176" s="662">
        <v>-1</v>
      </c>
      <c r="K176" s="663">
        <v>-1</v>
      </c>
      <c r="L176" s="651">
        <v>0</v>
      </c>
      <c r="M176" s="624">
        <v>-1</v>
      </c>
      <c r="N176" s="601">
        <v>-1</v>
      </c>
      <c r="O176" s="638">
        <v>0</v>
      </c>
      <c r="P176" s="624">
        <v>0</v>
      </c>
      <c r="Q176" s="601">
        <v>0</v>
      </c>
      <c r="R176" s="601">
        <v>0</v>
      </c>
      <c r="S176" s="626">
        <v>0</v>
      </c>
      <c r="T176" s="601">
        <v>0</v>
      </c>
      <c r="U176" s="601">
        <v>0</v>
      </c>
      <c r="V176" s="601">
        <v>0</v>
      </c>
      <c r="W176" s="626">
        <v>-1</v>
      </c>
      <c r="X176"/>
    </row>
    <row r="177" spans="1:24" ht="15.5">
      <c r="B177" s="65" t="s">
        <v>113</v>
      </c>
      <c r="C177" s="626"/>
      <c r="D177" s="626"/>
      <c r="E177" s="626"/>
      <c r="F177" s="626"/>
      <c r="G177" s="626"/>
      <c r="H177" s="624"/>
      <c r="I177" s="601"/>
      <c r="J177" s="638"/>
      <c r="K177" s="626"/>
      <c r="L177" s="626"/>
      <c r="M177" s="624"/>
      <c r="N177" s="601"/>
      <c r="O177" s="638"/>
      <c r="P177" s="624"/>
      <c r="Q177" s="601"/>
      <c r="R177" s="601"/>
      <c r="S177" s="626"/>
      <c r="T177" s="601"/>
      <c r="U177" s="601"/>
      <c r="V177" s="601"/>
      <c r="W177" s="626"/>
      <c r="X177"/>
    </row>
    <row r="178" spans="1:24" ht="15.5">
      <c r="B178" s="65" t="s">
        <v>114</v>
      </c>
      <c r="C178" s="626"/>
      <c r="D178" s="626"/>
      <c r="E178" s="626"/>
      <c r="F178" s="648"/>
      <c r="G178" s="626"/>
      <c r="H178" s="624"/>
      <c r="I178" s="601"/>
      <c r="J178" s="638"/>
      <c r="K178" s="626"/>
      <c r="L178" s="626"/>
      <c r="M178" s="624"/>
      <c r="N178" s="601"/>
      <c r="O178" s="638"/>
      <c r="P178" s="624"/>
      <c r="Q178" s="601"/>
      <c r="R178" s="601"/>
      <c r="S178" s="626"/>
      <c r="T178" s="601"/>
      <c r="U178" s="601"/>
      <c r="V178" s="601"/>
      <c r="W178" s="626"/>
      <c r="X178"/>
    </row>
    <row r="179" spans="1:24" s="149" customFormat="1" ht="15.5">
      <c r="A179" s="128"/>
      <c r="B179" s="65" t="s">
        <v>115</v>
      </c>
      <c r="C179" s="648">
        <v>0</v>
      </c>
      <c r="D179" s="626">
        <v>0</v>
      </c>
      <c r="E179" s="626">
        <v>0</v>
      </c>
      <c r="F179" s="626">
        <v>0</v>
      </c>
      <c r="G179" s="626">
        <v>0</v>
      </c>
      <c r="H179" s="624">
        <v>0</v>
      </c>
      <c r="I179" s="601">
        <v>0</v>
      </c>
      <c r="J179" s="638">
        <v>0</v>
      </c>
      <c r="K179" s="626">
        <v>0</v>
      </c>
      <c r="L179" s="626">
        <v>0</v>
      </c>
      <c r="M179" s="624">
        <v>0</v>
      </c>
      <c r="N179" s="601">
        <v>0</v>
      </c>
      <c r="O179" s="638">
        <v>0</v>
      </c>
      <c r="P179" s="624">
        <v>0</v>
      </c>
      <c r="Q179" s="601">
        <v>0</v>
      </c>
      <c r="R179" s="601">
        <v>0</v>
      </c>
      <c r="S179" s="626">
        <v>0</v>
      </c>
      <c r="T179" s="601">
        <v>0</v>
      </c>
      <c r="U179" s="601">
        <v>0</v>
      </c>
      <c r="V179" s="601">
        <v>0</v>
      </c>
      <c r="W179" s="648">
        <v>0</v>
      </c>
      <c r="X179"/>
    </row>
    <row r="180" spans="1:24" ht="15.5">
      <c r="B180" s="65" t="s">
        <v>116</v>
      </c>
      <c r="C180" s="626"/>
      <c r="D180" s="626"/>
      <c r="E180" s="626"/>
      <c r="F180" s="626"/>
      <c r="G180" s="626"/>
      <c r="H180" s="624"/>
      <c r="I180" s="601"/>
      <c r="J180" s="638">
        <v>0</v>
      </c>
      <c r="K180" s="626">
        <v>0</v>
      </c>
      <c r="L180" s="626"/>
      <c r="M180" s="624">
        <v>0</v>
      </c>
      <c r="N180" s="601">
        <v>0</v>
      </c>
      <c r="O180" s="638"/>
      <c r="P180" s="624"/>
      <c r="Q180" s="601"/>
      <c r="R180" s="601"/>
      <c r="S180" s="626"/>
      <c r="T180" s="601"/>
      <c r="U180" s="601">
        <v>0</v>
      </c>
      <c r="V180" s="601">
        <v>0</v>
      </c>
      <c r="W180" s="626">
        <v>0</v>
      </c>
      <c r="X180"/>
    </row>
    <row r="181" spans="1:24" ht="16" thickBot="1">
      <c r="B181" s="65" t="s">
        <v>117</v>
      </c>
      <c r="C181" s="626"/>
      <c r="D181" s="626"/>
      <c r="E181" s="626"/>
      <c r="F181" s="626"/>
      <c r="G181" s="626"/>
      <c r="H181" s="624"/>
      <c r="I181" s="601"/>
      <c r="J181" s="638">
        <v>0</v>
      </c>
      <c r="K181" s="626">
        <v>0</v>
      </c>
      <c r="L181" s="626"/>
      <c r="M181" s="624">
        <v>0</v>
      </c>
      <c r="N181" s="601">
        <v>0</v>
      </c>
      <c r="O181" s="638"/>
      <c r="P181" s="624"/>
      <c r="Q181" s="601"/>
      <c r="R181" s="601"/>
      <c r="S181" s="626"/>
      <c r="T181" s="601"/>
      <c r="U181" s="601">
        <v>0</v>
      </c>
      <c r="V181" s="601">
        <v>0</v>
      </c>
      <c r="W181" s="626">
        <v>0</v>
      </c>
      <c r="X181"/>
    </row>
    <row r="182" spans="1:24" s="149" customFormat="1" ht="16" thickBot="1">
      <c r="A182" s="128"/>
      <c r="B182" s="65" t="s">
        <v>118</v>
      </c>
      <c r="C182" s="626">
        <v>0</v>
      </c>
      <c r="D182" s="657">
        <v>0</v>
      </c>
      <c r="E182" s="626">
        <v>0</v>
      </c>
      <c r="F182" s="626">
        <v>0</v>
      </c>
      <c r="G182" s="626">
        <v>0</v>
      </c>
      <c r="H182" s="624">
        <v>0</v>
      </c>
      <c r="I182" s="601">
        <v>0</v>
      </c>
      <c r="J182" s="638">
        <v>0</v>
      </c>
      <c r="K182" s="626">
        <v>0</v>
      </c>
      <c r="L182" s="626">
        <v>0</v>
      </c>
      <c r="M182" s="624">
        <v>0</v>
      </c>
      <c r="N182" s="601">
        <v>0</v>
      </c>
      <c r="O182" s="638">
        <v>0</v>
      </c>
      <c r="P182" s="624">
        <v>0</v>
      </c>
      <c r="Q182" s="601">
        <v>0</v>
      </c>
      <c r="R182" s="601">
        <v>0</v>
      </c>
      <c r="S182" s="626">
        <v>0</v>
      </c>
      <c r="T182" s="601">
        <v>0</v>
      </c>
      <c r="U182" s="601">
        <v>0</v>
      </c>
      <c r="V182" s="601">
        <v>0</v>
      </c>
      <c r="W182" s="626">
        <v>0</v>
      </c>
      <c r="X182"/>
    </row>
    <row r="183" spans="1:24" ht="15.5">
      <c r="B183" s="65" t="s">
        <v>119</v>
      </c>
      <c r="C183" s="626"/>
      <c r="D183" s="626"/>
      <c r="E183" s="626"/>
      <c r="F183" s="626"/>
      <c r="G183" s="626"/>
      <c r="H183" s="624"/>
      <c r="I183" s="601"/>
      <c r="J183" s="638">
        <v>0</v>
      </c>
      <c r="K183" s="626">
        <v>0</v>
      </c>
      <c r="L183" s="626"/>
      <c r="M183" s="624">
        <v>0</v>
      </c>
      <c r="N183" s="601">
        <v>0</v>
      </c>
      <c r="O183" s="638"/>
      <c r="P183" s="624"/>
      <c r="Q183" s="601"/>
      <c r="R183" s="601"/>
      <c r="S183" s="626"/>
      <c r="T183" s="601"/>
      <c r="U183" s="601">
        <v>0</v>
      </c>
      <c r="V183" s="601">
        <v>0</v>
      </c>
      <c r="W183" s="626">
        <v>0</v>
      </c>
      <c r="X183"/>
    </row>
    <row r="184" spans="1:24" ht="16" thickBot="1">
      <c r="B184" s="65" t="s">
        <v>120</v>
      </c>
      <c r="C184" s="626"/>
      <c r="D184" s="626"/>
      <c r="E184" s="626"/>
      <c r="F184" s="626"/>
      <c r="G184" s="626"/>
      <c r="H184" s="624"/>
      <c r="I184" s="601"/>
      <c r="J184" s="638">
        <v>0</v>
      </c>
      <c r="K184" s="626">
        <v>0</v>
      </c>
      <c r="L184" s="626"/>
      <c r="M184" s="624">
        <v>0</v>
      </c>
      <c r="N184" s="601">
        <v>0</v>
      </c>
      <c r="O184" s="638"/>
      <c r="P184" s="624"/>
      <c r="Q184" s="601"/>
      <c r="R184" s="601"/>
      <c r="S184" s="626"/>
      <c r="T184" s="601"/>
      <c r="U184" s="601">
        <v>0</v>
      </c>
      <c r="V184" s="601">
        <v>0</v>
      </c>
      <c r="W184" s="626">
        <v>0</v>
      </c>
      <c r="X184"/>
    </row>
    <row r="185" spans="1:24" s="149" customFormat="1" ht="16" thickBot="1">
      <c r="A185" s="128"/>
      <c r="B185" s="65" t="s">
        <v>121</v>
      </c>
      <c r="C185" s="626">
        <v>0</v>
      </c>
      <c r="D185" s="626">
        <v>0</v>
      </c>
      <c r="E185" s="626">
        <v>0</v>
      </c>
      <c r="F185" s="657">
        <v>0</v>
      </c>
      <c r="G185" s="626">
        <v>0</v>
      </c>
      <c r="H185" s="624">
        <v>0</v>
      </c>
      <c r="I185" s="601">
        <v>0</v>
      </c>
      <c r="J185" s="638">
        <v>0</v>
      </c>
      <c r="K185" s="626">
        <v>0</v>
      </c>
      <c r="L185" s="626">
        <v>0</v>
      </c>
      <c r="M185" s="624">
        <v>0</v>
      </c>
      <c r="N185" s="601">
        <v>0</v>
      </c>
      <c r="O185" s="638">
        <v>0</v>
      </c>
      <c r="P185" s="624">
        <v>0</v>
      </c>
      <c r="Q185" s="601">
        <v>0</v>
      </c>
      <c r="R185" s="601">
        <v>0</v>
      </c>
      <c r="S185" s="626">
        <v>0</v>
      </c>
      <c r="T185" s="601">
        <v>0</v>
      </c>
      <c r="U185" s="601">
        <v>0</v>
      </c>
      <c r="V185" s="601">
        <v>0</v>
      </c>
      <c r="W185" s="626">
        <v>0</v>
      </c>
      <c r="X185"/>
    </row>
    <row r="186" spans="1:24" ht="15.5">
      <c r="B186" s="65" t="s">
        <v>122</v>
      </c>
      <c r="C186" s="626"/>
      <c r="D186" s="626"/>
      <c r="E186" s="626"/>
      <c r="F186" s="626"/>
      <c r="G186" s="626"/>
      <c r="H186" s="624"/>
      <c r="I186" s="601"/>
      <c r="J186" s="638"/>
      <c r="K186" s="626"/>
      <c r="L186" s="626"/>
      <c r="M186" s="624"/>
      <c r="N186" s="601"/>
      <c r="O186" s="638"/>
      <c r="P186" s="624"/>
      <c r="Q186" s="601"/>
      <c r="R186" s="601"/>
      <c r="S186" s="626"/>
      <c r="T186" s="601"/>
      <c r="U186" s="601"/>
      <c r="V186" s="601"/>
      <c r="W186" s="626"/>
      <c r="X186"/>
    </row>
    <row r="187" spans="1:24" ht="16" thickBot="1">
      <c r="B187" s="65" t="s">
        <v>123</v>
      </c>
      <c r="C187" s="626"/>
      <c r="D187" s="626"/>
      <c r="E187" s="626"/>
      <c r="F187" s="626"/>
      <c r="G187" s="626"/>
      <c r="H187" s="624"/>
      <c r="I187" s="601"/>
      <c r="J187" s="638"/>
      <c r="K187" s="626"/>
      <c r="L187" s="626"/>
      <c r="M187" s="624"/>
      <c r="N187" s="601"/>
      <c r="O187" s="638"/>
      <c r="P187" s="624"/>
      <c r="Q187" s="601"/>
      <c r="R187" s="601"/>
      <c r="S187" s="626"/>
      <c r="T187" s="601"/>
      <c r="U187" s="601"/>
      <c r="V187" s="601"/>
      <c r="W187" s="626"/>
      <c r="X187"/>
    </row>
    <row r="188" spans="1:24" s="149" customFormat="1" ht="16" thickBot="1">
      <c r="A188" s="128"/>
      <c r="B188" s="65" t="s">
        <v>124</v>
      </c>
      <c r="C188" s="626">
        <v>0</v>
      </c>
      <c r="D188" s="626">
        <v>0</v>
      </c>
      <c r="E188" s="657">
        <v>0</v>
      </c>
      <c r="F188" s="626">
        <v>0</v>
      </c>
      <c r="G188" s="626">
        <v>0</v>
      </c>
      <c r="H188" s="624">
        <v>0</v>
      </c>
      <c r="I188" s="601">
        <v>0</v>
      </c>
      <c r="J188" s="638">
        <v>0</v>
      </c>
      <c r="K188" s="626">
        <v>0</v>
      </c>
      <c r="L188" s="626">
        <v>0</v>
      </c>
      <c r="M188" s="624">
        <v>0</v>
      </c>
      <c r="N188" s="601">
        <v>0</v>
      </c>
      <c r="O188" s="638">
        <v>0</v>
      </c>
      <c r="P188" s="624">
        <v>0</v>
      </c>
      <c r="Q188" s="601">
        <v>0</v>
      </c>
      <c r="R188" s="601">
        <v>0</v>
      </c>
      <c r="S188" s="626">
        <v>0</v>
      </c>
      <c r="T188" s="601">
        <v>0</v>
      </c>
      <c r="U188" s="601">
        <v>0</v>
      </c>
      <c r="V188" s="601">
        <v>0</v>
      </c>
      <c r="W188" s="626">
        <v>0</v>
      </c>
      <c r="X188"/>
    </row>
    <row r="189" spans="1:24" ht="15.5">
      <c r="B189" s="65" t="s">
        <v>125</v>
      </c>
      <c r="C189" s="626"/>
      <c r="D189" s="626"/>
      <c r="E189" s="626"/>
      <c r="F189" s="626"/>
      <c r="G189" s="626"/>
      <c r="H189" s="624"/>
      <c r="I189" s="601"/>
      <c r="J189" s="638"/>
      <c r="K189" s="626"/>
      <c r="L189" s="626"/>
      <c r="M189" s="624"/>
      <c r="N189" s="601"/>
      <c r="O189" s="638"/>
      <c r="P189" s="624"/>
      <c r="Q189" s="601"/>
      <c r="R189" s="601"/>
      <c r="S189" s="626"/>
      <c r="T189" s="601"/>
      <c r="U189" s="601"/>
      <c r="V189" s="601"/>
      <c r="W189" s="626"/>
      <c r="X189"/>
    </row>
    <row r="190" spans="1:24" ht="15.5">
      <c r="B190" s="65" t="s">
        <v>126</v>
      </c>
      <c r="C190" s="626"/>
      <c r="D190" s="626"/>
      <c r="E190" s="626"/>
      <c r="F190" s="626"/>
      <c r="G190" s="626"/>
      <c r="H190" s="624"/>
      <c r="I190" s="601"/>
      <c r="J190" s="638"/>
      <c r="K190" s="626"/>
      <c r="L190" s="626"/>
      <c r="M190" s="624"/>
      <c r="N190" s="601"/>
      <c r="O190" s="638"/>
      <c r="P190" s="624"/>
      <c r="Q190" s="601"/>
      <c r="R190" s="601"/>
      <c r="S190" s="626"/>
      <c r="T190" s="601"/>
      <c r="U190" s="601"/>
      <c r="V190" s="601"/>
      <c r="W190" s="626"/>
      <c r="X190"/>
    </row>
    <row r="191" spans="1:24" s="149" customFormat="1" ht="15.5">
      <c r="A191" s="128"/>
      <c r="B191" s="65" t="s">
        <v>127</v>
      </c>
      <c r="C191" s="648">
        <v>0</v>
      </c>
      <c r="D191" s="626">
        <v>0</v>
      </c>
      <c r="E191" s="626">
        <v>0</v>
      </c>
      <c r="F191" s="626">
        <v>0</v>
      </c>
      <c r="G191" s="626">
        <v>0</v>
      </c>
      <c r="H191" s="624">
        <v>0</v>
      </c>
      <c r="I191" s="601">
        <v>0</v>
      </c>
      <c r="J191" s="638">
        <v>0</v>
      </c>
      <c r="K191" s="626">
        <v>0</v>
      </c>
      <c r="L191" s="626">
        <v>0</v>
      </c>
      <c r="M191" s="624">
        <v>0</v>
      </c>
      <c r="N191" s="601">
        <v>0</v>
      </c>
      <c r="O191" s="638">
        <v>0</v>
      </c>
      <c r="P191" s="624">
        <v>0</v>
      </c>
      <c r="Q191" s="601">
        <v>0</v>
      </c>
      <c r="R191" s="601">
        <v>0</v>
      </c>
      <c r="S191" s="626">
        <v>0</v>
      </c>
      <c r="T191" s="601">
        <v>0</v>
      </c>
      <c r="U191" s="601">
        <v>0</v>
      </c>
      <c r="V191" s="601">
        <v>0</v>
      </c>
      <c r="W191" s="626">
        <v>0</v>
      </c>
      <c r="X191"/>
    </row>
    <row r="192" spans="1:24" ht="15.5">
      <c r="B192" s="65" t="s">
        <v>128</v>
      </c>
      <c r="C192" s="626"/>
      <c r="D192" s="626"/>
      <c r="E192" s="626"/>
      <c r="F192" s="626"/>
      <c r="G192" s="626"/>
      <c r="H192" s="624"/>
      <c r="I192" s="601"/>
      <c r="J192" s="638"/>
      <c r="K192" s="626"/>
      <c r="L192" s="626"/>
      <c r="M192" s="624"/>
      <c r="N192" s="601"/>
      <c r="O192" s="638"/>
      <c r="P192" s="624"/>
      <c r="Q192" s="601"/>
      <c r="R192" s="601"/>
      <c r="S192" s="626"/>
      <c r="T192" s="601"/>
      <c r="U192" s="601"/>
      <c r="V192" s="601"/>
      <c r="W192" s="626"/>
      <c r="X192"/>
    </row>
    <row r="193" spans="1:24" ht="15.5">
      <c r="B193" s="65" t="s">
        <v>129</v>
      </c>
      <c r="C193" s="626"/>
      <c r="D193" s="626"/>
      <c r="E193" s="626"/>
      <c r="F193" s="626"/>
      <c r="G193" s="626"/>
      <c r="H193" s="624"/>
      <c r="I193" s="601"/>
      <c r="J193" s="638"/>
      <c r="K193" s="626"/>
      <c r="L193" s="626"/>
      <c r="M193" s="624"/>
      <c r="N193" s="601"/>
      <c r="O193" s="638"/>
      <c r="P193" s="624"/>
      <c r="Q193" s="601"/>
      <c r="R193" s="601"/>
      <c r="S193" s="626"/>
      <c r="T193" s="601"/>
      <c r="U193" s="601"/>
      <c r="V193" s="601"/>
      <c r="W193" s="626"/>
      <c r="X193"/>
    </row>
    <row r="194" spans="1:24" s="149" customFormat="1" ht="15.5">
      <c r="A194" s="128"/>
      <c r="B194" s="65" t="s">
        <v>130</v>
      </c>
      <c r="C194" s="626">
        <v>0</v>
      </c>
      <c r="D194" s="626">
        <v>0</v>
      </c>
      <c r="E194" s="626">
        <v>0</v>
      </c>
      <c r="F194" s="626">
        <v>0</v>
      </c>
      <c r="G194" s="626">
        <v>0</v>
      </c>
      <c r="H194" s="624">
        <v>0</v>
      </c>
      <c r="I194" s="601">
        <v>0</v>
      </c>
      <c r="J194" s="638">
        <v>0</v>
      </c>
      <c r="K194" s="626">
        <v>0</v>
      </c>
      <c r="L194" s="626">
        <v>0</v>
      </c>
      <c r="M194" s="624">
        <v>0</v>
      </c>
      <c r="N194" s="601">
        <v>0</v>
      </c>
      <c r="O194" s="638">
        <v>0</v>
      </c>
      <c r="P194" s="624">
        <v>0</v>
      </c>
      <c r="Q194" s="601">
        <v>0</v>
      </c>
      <c r="R194" s="601">
        <v>0</v>
      </c>
      <c r="S194" s="626">
        <v>0</v>
      </c>
      <c r="T194" s="601">
        <v>0</v>
      </c>
      <c r="U194" s="601">
        <v>0</v>
      </c>
      <c r="V194" s="601">
        <v>0</v>
      </c>
      <c r="W194" s="626">
        <v>0</v>
      </c>
      <c r="X194"/>
    </row>
    <row r="195" spans="1:24" ht="15.5">
      <c r="B195" s="65" t="s">
        <v>131</v>
      </c>
      <c r="C195" s="626"/>
      <c r="D195" s="626"/>
      <c r="E195" s="626"/>
      <c r="F195" s="626"/>
      <c r="G195" s="626"/>
      <c r="H195" s="624"/>
      <c r="I195" s="601"/>
      <c r="J195" s="638"/>
      <c r="K195" s="626"/>
      <c r="L195" s="626"/>
      <c r="M195" s="624"/>
      <c r="N195" s="601"/>
      <c r="O195" s="638"/>
      <c r="P195" s="624"/>
      <c r="Q195" s="601"/>
      <c r="R195" s="601"/>
      <c r="S195" s="626"/>
      <c r="T195" s="601"/>
      <c r="U195" s="601"/>
      <c r="V195" s="601"/>
      <c r="W195" s="626"/>
      <c r="X195"/>
    </row>
    <row r="196" spans="1:24" ht="15.5">
      <c r="B196" s="65" t="s">
        <v>132</v>
      </c>
      <c r="C196" s="626"/>
      <c r="D196" s="626"/>
      <c r="E196" s="626"/>
      <c r="F196" s="626"/>
      <c r="G196" s="626"/>
      <c r="H196" s="624"/>
      <c r="I196" s="601"/>
      <c r="J196" s="638"/>
      <c r="K196" s="626"/>
      <c r="L196" s="626"/>
      <c r="M196" s="624"/>
      <c r="N196" s="601"/>
      <c r="O196" s="638"/>
      <c r="P196" s="624"/>
      <c r="Q196" s="601"/>
      <c r="R196" s="601"/>
      <c r="S196" s="626"/>
      <c r="T196" s="601"/>
      <c r="U196" s="601"/>
      <c r="V196" s="601"/>
      <c r="W196" s="626"/>
      <c r="X196"/>
    </row>
    <row r="197" spans="1:24" s="149" customFormat="1" ht="15.5">
      <c r="A197" s="128"/>
      <c r="B197" s="65" t="s">
        <v>133</v>
      </c>
      <c r="C197" s="626">
        <v>0</v>
      </c>
      <c r="D197" s="626">
        <v>0</v>
      </c>
      <c r="E197" s="648">
        <v>0</v>
      </c>
      <c r="F197" s="626">
        <v>0</v>
      </c>
      <c r="G197" s="626">
        <v>0</v>
      </c>
      <c r="H197" s="624">
        <v>0</v>
      </c>
      <c r="I197" s="601">
        <v>0</v>
      </c>
      <c r="J197" s="638">
        <v>0</v>
      </c>
      <c r="K197" s="626">
        <v>0</v>
      </c>
      <c r="L197" s="626">
        <v>0</v>
      </c>
      <c r="M197" s="624">
        <v>0</v>
      </c>
      <c r="N197" s="601">
        <v>0</v>
      </c>
      <c r="O197" s="638">
        <v>0</v>
      </c>
      <c r="P197" s="624">
        <v>0</v>
      </c>
      <c r="Q197" s="601">
        <v>0</v>
      </c>
      <c r="R197" s="601">
        <v>0</v>
      </c>
      <c r="S197" s="626">
        <v>0</v>
      </c>
      <c r="T197" s="601">
        <v>0</v>
      </c>
      <c r="U197" s="601">
        <v>0</v>
      </c>
      <c r="V197" s="601">
        <v>0</v>
      </c>
      <c r="W197" s="626">
        <v>0</v>
      </c>
      <c r="X197"/>
    </row>
    <row r="198" spans="1:24" ht="15.5">
      <c r="B198" s="65" t="s">
        <v>134</v>
      </c>
      <c r="C198" s="626"/>
      <c r="D198" s="626"/>
      <c r="E198" s="626"/>
      <c r="F198" s="626"/>
      <c r="G198" s="626"/>
      <c r="H198" s="624"/>
      <c r="I198" s="601"/>
      <c r="J198" s="638"/>
      <c r="K198" s="626"/>
      <c r="L198" s="626"/>
      <c r="M198" s="624"/>
      <c r="N198" s="601"/>
      <c r="O198" s="638"/>
      <c r="P198" s="624"/>
      <c r="Q198" s="601"/>
      <c r="R198" s="601"/>
      <c r="S198" s="626"/>
      <c r="T198" s="601"/>
      <c r="U198" s="601"/>
      <c r="V198" s="601"/>
      <c r="W198" s="626"/>
      <c r="X198"/>
    </row>
    <row r="199" spans="1:24" ht="15.5">
      <c r="B199" s="65" t="s">
        <v>135</v>
      </c>
      <c r="C199" s="626"/>
      <c r="D199" s="626"/>
      <c r="E199" s="626"/>
      <c r="F199" s="626"/>
      <c r="G199" s="626"/>
      <c r="H199" s="624"/>
      <c r="I199" s="601"/>
      <c r="J199" s="638"/>
      <c r="K199" s="626"/>
      <c r="L199" s="626"/>
      <c r="M199" s="624"/>
      <c r="N199" s="601"/>
      <c r="O199" s="638"/>
      <c r="P199" s="624"/>
      <c r="Q199" s="601"/>
      <c r="R199" s="601"/>
      <c r="S199" s="626"/>
      <c r="T199" s="601"/>
      <c r="U199" s="601"/>
      <c r="V199" s="601"/>
      <c r="W199" s="626"/>
      <c r="X199"/>
    </row>
    <row r="200" spans="1:24" s="149" customFormat="1" ht="15.5">
      <c r="A200" s="128"/>
      <c r="B200" s="65" t="s">
        <v>136</v>
      </c>
      <c r="C200" s="626">
        <v>0</v>
      </c>
      <c r="D200" s="626">
        <v>0</v>
      </c>
      <c r="E200" s="626">
        <v>0</v>
      </c>
      <c r="F200" s="626">
        <v>0</v>
      </c>
      <c r="G200" s="626">
        <v>0</v>
      </c>
      <c r="H200" s="624">
        <v>0</v>
      </c>
      <c r="I200" s="601">
        <v>0</v>
      </c>
      <c r="J200" s="638">
        <v>0</v>
      </c>
      <c r="K200" s="626">
        <v>0</v>
      </c>
      <c r="L200" s="626">
        <v>0</v>
      </c>
      <c r="M200" s="624">
        <v>0</v>
      </c>
      <c r="N200" s="601">
        <v>0</v>
      </c>
      <c r="O200" s="638">
        <v>0</v>
      </c>
      <c r="P200" s="624">
        <v>0</v>
      </c>
      <c r="Q200" s="601">
        <v>0</v>
      </c>
      <c r="R200" s="601">
        <v>0</v>
      </c>
      <c r="S200" s="626">
        <v>0</v>
      </c>
      <c r="T200" s="601">
        <v>0</v>
      </c>
      <c r="U200" s="601">
        <v>0</v>
      </c>
      <c r="V200" s="601">
        <v>0</v>
      </c>
      <c r="W200" s="626">
        <v>0</v>
      </c>
      <c r="X200"/>
    </row>
    <row r="201" spans="1:24" ht="15.5">
      <c r="B201" s="65" t="s">
        <v>137</v>
      </c>
      <c r="C201" s="626"/>
      <c r="D201" s="626"/>
      <c r="E201" s="626"/>
      <c r="F201" s="626"/>
      <c r="G201" s="626"/>
      <c r="H201" s="624"/>
      <c r="I201" s="601"/>
      <c r="J201" s="638"/>
      <c r="K201" s="626"/>
      <c r="L201" s="626"/>
      <c r="M201" s="624"/>
      <c r="N201" s="601"/>
      <c r="O201" s="638"/>
      <c r="P201" s="624"/>
      <c r="Q201" s="601"/>
      <c r="R201" s="601"/>
      <c r="S201" s="626"/>
      <c r="T201" s="601"/>
      <c r="U201" s="601"/>
      <c r="V201" s="601"/>
      <c r="W201" s="626"/>
      <c r="X201"/>
    </row>
    <row r="202" spans="1:24" ht="15.5">
      <c r="B202" s="65" t="s">
        <v>138</v>
      </c>
      <c r="C202" s="626"/>
      <c r="D202" s="626"/>
      <c r="E202" s="626"/>
      <c r="F202" s="626"/>
      <c r="G202" s="626"/>
      <c r="H202" s="624"/>
      <c r="I202" s="601"/>
      <c r="J202" s="638"/>
      <c r="K202" s="626"/>
      <c r="L202" s="626"/>
      <c r="M202" s="624"/>
      <c r="N202" s="601"/>
      <c r="O202" s="638"/>
      <c r="P202" s="624"/>
      <c r="Q202" s="601"/>
      <c r="R202" s="601"/>
      <c r="S202" s="626"/>
      <c r="T202" s="601"/>
      <c r="U202" s="601"/>
      <c r="V202" s="601"/>
      <c r="W202" s="626"/>
      <c r="X202"/>
    </row>
    <row r="203" spans="1:24" s="149" customFormat="1" ht="15.5">
      <c r="A203" s="128"/>
      <c r="B203" s="65" t="s">
        <v>139</v>
      </c>
      <c r="C203" s="626">
        <v>0</v>
      </c>
      <c r="D203" s="626">
        <v>0</v>
      </c>
      <c r="E203" s="626">
        <v>0</v>
      </c>
      <c r="F203" s="626">
        <v>0</v>
      </c>
      <c r="G203" s="626">
        <v>0</v>
      </c>
      <c r="H203" s="624">
        <v>0</v>
      </c>
      <c r="I203" s="601">
        <v>0</v>
      </c>
      <c r="J203" s="638">
        <v>0</v>
      </c>
      <c r="K203" s="626">
        <v>0</v>
      </c>
      <c r="L203" s="626">
        <v>0</v>
      </c>
      <c r="M203" s="624">
        <v>0</v>
      </c>
      <c r="N203" s="601">
        <v>0</v>
      </c>
      <c r="O203" s="638">
        <v>0</v>
      </c>
      <c r="P203" s="624">
        <v>0</v>
      </c>
      <c r="Q203" s="601">
        <v>0</v>
      </c>
      <c r="R203" s="601">
        <v>0</v>
      </c>
      <c r="S203" s="626">
        <v>0</v>
      </c>
      <c r="T203" s="601">
        <v>0</v>
      </c>
      <c r="U203" s="601">
        <v>0</v>
      </c>
      <c r="V203" s="601">
        <v>0</v>
      </c>
      <c r="W203" s="626">
        <v>0</v>
      </c>
      <c r="X203"/>
    </row>
    <row r="204" spans="1:24" ht="15.5">
      <c r="B204" s="65" t="s">
        <v>140</v>
      </c>
      <c r="C204" s="626"/>
      <c r="D204" s="626"/>
      <c r="E204" s="626"/>
      <c r="F204" s="626"/>
      <c r="G204" s="626"/>
      <c r="H204" s="624"/>
      <c r="I204" s="601"/>
      <c r="J204" s="638"/>
      <c r="K204" s="626"/>
      <c r="L204" s="626"/>
      <c r="M204" s="624"/>
      <c r="N204" s="601"/>
      <c r="O204" s="638"/>
      <c r="P204" s="624"/>
      <c r="Q204" s="601"/>
      <c r="R204" s="601"/>
      <c r="S204" s="626"/>
      <c r="T204" s="601"/>
      <c r="U204" s="601"/>
      <c r="V204" s="601"/>
      <c r="W204" s="626"/>
      <c r="X204"/>
    </row>
    <row r="205" spans="1:24" ht="15.5">
      <c r="B205" s="65" t="s">
        <v>141</v>
      </c>
      <c r="C205" s="626"/>
      <c r="D205" s="626"/>
      <c r="E205" s="626"/>
      <c r="F205" s="626"/>
      <c r="G205" s="626"/>
      <c r="H205" s="624"/>
      <c r="I205" s="601"/>
      <c r="J205" s="638"/>
      <c r="K205" s="626"/>
      <c r="L205" s="626"/>
      <c r="M205" s="624"/>
      <c r="N205" s="601"/>
      <c r="O205" s="638"/>
      <c r="P205" s="624"/>
      <c r="Q205" s="601"/>
      <c r="R205" s="601"/>
      <c r="S205" s="626"/>
      <c r="T205" s="601"/>
      <c r="U205" s="601"/>
      <c r="V205" s="601"/>
      <c r="W205" s="626"/>
      <c r="X205"/>
    </row>
    <row r="206" spans="1:24" s="149" customFormat="1" ht="15.5">
      <c r="A206" s="128"/>
      <c r="B206" s="65" t="s">
        <v>142</v>
      </c>
      <c r="C206" s="626">
        <v>0</v>
      </c>
      <c r="D206" s="626">
        <v>0</v>
      </c>
      <c r="E206" s="626">
        <v>0</v>
      </c>
      <c r="F206" s="626">
        <v>0</v>
      </c>
      <c r="G206" s="626">
        <v>0</v>
      </c>
      <c r="H206" s="624">
        <v>0</v>
      </c>
      <c r="I206" s="601">
        <v>0</v>
      </c>
      <c r="J206" s="638">
        <v>0</v>
      </c>
      <c r="K206" s="626">
        <v>0</v>
      </c>
      <c r="L206" s="626">
        <v>0</v>
      </c>
      <c r="M206" s="624">
        <v>0</v>
      </c>
      <c r="N206" s="601">
        <v>0</v>
      </c>
      <c r="O206" s="638">
        <v>0</v>
      </c>
      <c r="P206" s="624">
        <v>0</v>
      </c>
      <c r="Q206" s="601">
        <v>0</v>
      </c>
      <c r="R206" s="601">
        <v>0</v>
      </c>
      <c r="S206" s="626">
        <v>0</v>
      </c>
      <c r="T206" s="601">
        <v>0</v>
      </c>
      <c r="U206" s="601">
        <v>0</v>
      </c>
      <c r="V206" s="601">
        <v>0</v>
      </c>
      <c r="W206" s="626">
        <v>0</v>
      </c>
      <c r="X206"/>
    </row>
    <row r="207" spans="1:24" ht="15.5">
      <c r="B207" s="65" t="s">
        <v>143</v>
      </c>
      <c r="C207" s="626"/>
      <c r="D207" s="626"/>
      <c r="E207" s="626"/>
      <c r="F207" s="626"/>
      <c r="G207" s="626"/>
      <c r="H207" s="624"/>
      <c r="I207" s="601"/>
      <c r="J207" s="638"/>
      <c r="K207" s="626"/>
      <c r="L207" s="626"/>
      <c r="M207" s="624"/>
      <c r="N207" s="601"/>
      <c r="O207" s="638"/>
      <c r="P207" s="624"/>
      <c r="Q207" s="601"/>
      <c r="R207" s="601"/>
      <c r="S207" s="626"/>
      <c r="T207" s="601"/>
      <c r="U207" s="601"/>
      <c r="V207" s="601"/>
      <c r="W207" s="626"/>
      <c r="X207"/>
    </row>
    <row r="208" spans="1:24" ht="15.5">
      <c r="B208" s="65" t="s">
        <v>144</v>
      </c>
      <c r="C208" s="626"/>
      <c r="D208" s="626"/>
      <c r="E208" s="626"/>
      <c r="F208" s="626"/>
      <c r="G208" s="626"/>
      <c r="H208" s="624"/>
      <c r="I208" s="601"/>
      <c r="J208" s="638"/>
      <c r="K208" s="626"/>
      <c r="L208" s="626"/>
      <c r="M208" s="624"/>
      <c r="N208" s="601"/>
      <c r="O208" s="638"/>
      <c r="P208" s="624"/>
      <c r="Q208" s="601"/>
      <c r="R208" s="601"/>
      <c r="S208" s="626"/>
      <c r="T208" s="601"/>
      <c r="U208" s="601"/>
      <c r="V208" s="601"/>
      <c r="W208" s="626"/>
      <c r="X208"/>
    </row>
    <row r="209" spans="1:24" s="149" customFormat="1" ht="15.5">
      <c r="A209" s="128"/>
      <c r="B209" s="65" t="s">
        <v>145</v>
      </c>
      <c r="C209" s="626">
        <v>0</v>
      </c>
      <c r="D209" s="626">
        <v>0</v>
      </c>
      <c r="E209" s="626">
        <v>0</v>
      </c>
      <c r="F209" s="626">
        <v>0</v>
      </c>
      <c r="G209" s="626">
        <v>0</v>
      </c>
      <c r="H209" s="624">
        <v>0</v>
      </c>
      <c r="I209" s="601">
        <v>0</v>
      </c>
      <c r="J209" s="638">
        <v>0</v>
      </c>
      <c r="K209" s="626">
        <v>0</v>
      </c>
      <c r="L209" s="626">
        <v>0</v>
      </c>
      <c r="M209" s="624">
        <v>0</v>
      </c>
      <c r="N209" s="601">
        <v>0</v>
      </c>
      <c r="O209" s="638">
        <v>0</v>
      </c>
      <c r="P209" s="624">
        <v>0</v>
      </c>
      <c r="Q209" s="601">
        <v>0</v>
      </c>
      <c r="R209" s="601">
        <v>0</v>
      </c>
      <c r="S209" s="626">
        <v>0</v>
      </c>
      <c r="T209" s="601">
        <v>0</v>
      </c>
      <c r="U209" s="601">
        <v>0</v>
      </c>
      <c r="V209" s="601">
        <v>0</v>
      </c>
      <c r="W209" s="626">
        <v>0</v>
      </c>
      <c r="X209"/>
    </row>
    <row r="210" spans="1:24" ht="15.5">
      <c r="B210" s="65" t="s">
        <v>146</v>
      </c>
      <c r="C210" s="626"/>
      <c r="D210" s="626"/>
      <c r="E210" s="626"/>
      <c r="F210" s="626"/>
      <c r="G210" s="626"/>
      <c r="H210" s="624"/>
      <c r="I210" s="601"/>
      <c r="J210" s="638"/>
      <c r="K210" s="626"/>
      <c r="L210" s="626"/>
      <c r="M210" s="624"/>
      <c r="N210" s="601"/>
      <c r="O210" s="638"/>
      <c r="P210" s="624"/>
      <c r="Q210" s="601"/>
      <c r="R210" s="601"/>
      <c r="S210" s="626"/>
      <c r="T210" s="601"/>
      <c r="U210" s="601"/>
      <c r="V210" s="601"/>
      <c r="W210" s="626"/>
      <c r="X210"/>
    </row>
    <row r="211" spans="1:24" ht="15.5">
      <c r="B211" s="65" t="s">
        <v>147</v>
      </c>
      <c r="C211" s="626"/>
      <c r="D211" s="626"/>
      <c r="E211" s="626"/>
      <c r="F211" s="626"/>
      <c r="G211" s="626"/>
      <c r="H211" s="624"/>
      <c r="I211" s="601"/>
      <c r="J211" s="638"/>
      <c r="K211" s="626"/>
      <c r="L211" s="626"/>
      <c r="M211" s="624"/>
      <c r="N211" s="601"/>
      <c r="O211" s="638"/>
      <c r="P211" s="624"/>
      <c r="Q211" s="601"/>
      <c r="R211" s="601"/>
      <c r="S211" s="626"/>
      <c r="T211" s="601"/>
      <c r="U211" s="601"/>
      <c r="V211" s="601"/>
      <c r="W211" s="626"/>
      <c r="X211"/>
    </row>
    <row r="212" spans="1:24" s="149" customFormat="1" ht="15.5">
      <c r="A212" s="128"/>
      <c r="B212" s="65" t="s">
        <v>148</v>
      </c>
      <c r="C212" s="626">
        <v>0</v>
      </c>
      <c r="D212" s="626">
        <v>0</v>
      </c>
      <c r="E212" s="626">
        <v>0</v>
      </c>
      <c r="F212" s="626">
        <v>0</v>
      </c>
      <c r="G212" s="626">
        <v>0</v>
      </c>
      <c r="H212" s="624">
        <v>0</v>
      </c>
      <c r="I212" s="601">
        <v>0</v>
      </c>
      <c r="J212" s="638">
        <v>0</v>
      </c>
      <c r="K212" s="626">
        <v>0</v>
      </c>
      <c r="L212" s="626">
        <v>0</v>
      </c>
      <c r="M212" s="624">
        <v>0</v>
      </c>
      <c r="N212" s="601">
        <v>0</v>
      </c>
      <c r="O212" s="638">
        <v>0</v>
      </c>
      <c r="P212" s="624">
        <v>0</v>
      </c>
      <c r="Q212" s="601">
        <v>0</v>
      </c>
      <c r="R212" s="601">
        <v>0</v>
      </c>
      <c r="S212" s="626">
        <v>0</v>
      </c>
      <c r="T212" s="601">
        <v>0</v>
      </c>
      <c r="U212" s="601">
        <v>0</v>
      </c>
      <c r="V212" s="601">
        <v>0</v>
      </c>
      <c r="W212" s="626">
        <v>0</v>
      </c>
      <c r="X212"/>
    </row>
    <row r="213" spans="1:24" ht="15.5">
      <c r="B213" s="65" t="s">
        <v>149</v>
      </c>
      <c r="C213" s="626"/>
      <c r="D213" s="626"/>
      <c r="E213" s="626"/>
      <c r="F213" s="626"/>
      <c r="G213" s="626"/>
      <c r="H213" s="624"/>
      <c r="I213" s="601"/>
      <c r="J213" s="638"/>
      <c r="K213" s="626"/>
      <c r="L213" s="626"/>
      <c r="M213" s="624"/>
      <c r="N213" s="601"/>
      <c r="O213" s="638"/>
      <c r="P213" s="624"/>
      <c r="Q213" s="601"/>
      <c r="R213" s="601"/>
      <c r="S213" s="626"/>
      <c r="T213" s="601"/>
      <c r="U213" s="601"/>
      <c r="V213" s="601"/>
      <c r="W213" s="626"/>
      <c r="X213"/>
    </row>
    <row r="214" spans="1:24" ht="15.5">
      <c r="B214" s="65" t="s">
        <v>150</v>
      </c>
      <c r="C214" s="626"/>
      <c r="D214" s="626"/>
      <c r="E214" s="626"/>
      <c r="F214" s="626"/>
      <c r="G214" s="626"/>
      <c r="H214" s="624"/>
      <c r="I214" s="601"/>
      <c r="J214" s="638"/>
      <c r="K214" s="626"/>
      <c r="L214" s="626"/>
      <c r="M214" s="624"/>
      <c r="N214" s="601"/>
      <c r="O214" s="638"/>
      <c r="P214" s="624"/>
      <c r="Q214" s="601"/>
      <c r="R214" s="601"/>
      <c r="S214" s="626"/>
      <c r="T214" s="601"/>
      <c r="U214" s="601"/>
      <c r="V214" s="601"/>
      <c r="W214" s="626"/>
      <c r="X214"/>
    </row>
    <row r="215" spans="1:24" s="149" customFormat="1" ht="15.5">
      <c r="A215" s="128"/>
      <c r="B215" s="65" t="s">
        <v>151</v>
      </c>
      <c r="C215" s="626">
        <v>0</v>
      </c>
      <c r="D215" s="626">
        <v>0</v>
      </c>
      <c r="E215" s="626">
        <v>0</v>
      </c>
      <c r="F215" s="626">
        <v>0</v>
      </c>
      <c r="G215" s="626">
        <v>0</v>
      </c>
      <c r="H215" s="624">
        <v>0</v>
      </c>
      <c r="I215" s="601">
        <v>0</v>
      </c>
      <c r="J215" s="638">
        <v>0</v>
      </c>
      <c r="K215" s="626">
        <v>0</v>
      </c>
      <c r="L215" s="626">
        <v>0</v>
      </c>
      <c r="M215" s="624">
        <v>0</v>
      </c>
      <c r="N215" s="601">
        <v>0</v>
      </c>
      <c r="O215" s="638">
        <v>0</v>
      </c>
      <c r="P215" s="624">
        <v>0</v>
      </c>
      <c r="Q215" s="601">
        <v>0</v>
      </c>
      <c r="R215" s="601">
        <v>0</v>
      </c>
      <c r="S215" s="626">
        <v>0</v>
      </c>
      <c r="T215" s="601">
        <v>0</v>
      </c>
      <c r="U215" s="601">
        <v>0</v>
      </c>
      <c r="V215" s="601">
        <v>0</v>
      </c>
      <c r="W215" s="626">
        <v>0</v>
      </c>
      <c r="X215"/>
    </row>
    <row r="216" spans="1:24" ht="15.5">
      <c r="B216" s="65" t="s">
        <v>152</v>
      </c>
      <c r="C216" s="626"/>
      <c r="D216" s="626"/>
      <c r="E216" s="626"/>
      <c r="F216" s="626"/>
      <c r="G216" s="626"/>
      <c r="H216" s="624"/>
      <c r="I216" s="601"/>
      <c r="J216" s="638"/>
      <c r="K216" s="626"/>
      <c r="L216" s="626"/>
      <c r="M216" s="624"/>
      <c r="N216" s="601"/>
      <c r="O216" s="638"/>
      <c r="P216" s="624"/>
      <c r="Q216" s="601"/>
      <c r="R216" s="601"/>
      <c r="S216" s="626"/>
      <c r="T216" s="601"/>
      <c r="U216" s="601"/>
      <c r="V216" s="601"/>
      <c r="W216" s="626"/>
      <c r="X216"/>
    </row>
    <row r="217" spans="1:24" s="149" customFormat="1" ht="15.5">
      <c r="A217" s="128"/>
      <c r="B217" s="65" t="s">
        <v>153</v>
      </c>
      <c r="C217" s="626"/>
      <c r="D217" s="626"/>
      <c r="E217" s="626"/>
      <c r="F217" s="626"/>
      <c r="G217" s="626"/>
      <c r="H217" s="624"/>
      <c r="I217" s="601"/>
      <c r="J217" s="638"/>
      <c r="K217" s="626"/>
      <c r="L217" s="626"/>
      <c r="M217" s="624"/>
      <c r="N217" s="601"/>
      <c r="O217" s="638"/>
      <c r="P217" s="624"/>
      <c r="Q217" s="601"/>
      <c r="R217" s="601"/>
      <c r="S217" s="626"/>
      <c r="T217" s="601"/>
      <c r="U217" s="601"/>
      <c r="V217" s="601"/>
      <c r="W217" s="626"/>
      <c r="X217"/>
    </row>
    <row r="218" spans="1:24" ht="16" thickBot="1">
      <c r="A218" s="128" t="s">
        <v>157</v>
      </c>
      <c r="B218" s="131" t="s">
        <v>101</v>
      </c>
      <c r="C218" s="626">
        <v>1110</v>
      </c>
      <c r="D218" s="626">
        <v>0</v>
      </c>
      <c r="E218" s="626">
        <v>99</v>
      </c>
      <c r="F218" s="626">
        <v>327</v>
      </c>
      <c r="G218" s="626">
        <v>47</v>
      </c>
      <c r="H218" s="624">
        <v>54</v>
      </c>
      <c r="I218" s="601">
        <v>1637</v>
      </c>
      <c r="J218" s="638">
        <v>0</v>
      </c>
      <c r="K218" s="626"/>
      <c r="L218" s="626"/>
      <c r="M218" s="624"/>
      <c r="N218" s="601">
        <v>0</v>
      </c>
      <c r="O218" s="638">
        <v>41298</v>
      </c>
      <c r="P218" s="624"/>
      <c r="Q218" s="601"/>
      <c r="R218" s="601">
        <v>41298</v>
      </c>
      <c r="S218" s="626"/>
      <c r="T218" s="601"/>
      <c r="U218" s="601"/>
      <c r="V218" s="601"/>
      <c r="W218" s="626">
        <v>42935</v>
      </c>
      <c r="X218"/>
    </row>
    <row r="219" spans="1:24" ht="16" thickBot="1">
      <c r="B219" s="131" t="s">
        <v>102</v>
      </c>
      <c r="C219" s="669">
        <v>1087</v>
      </c>
      <c r="D219" s="626">
        <v>1</v>
      </c>
      <c r="E219" s="679">
        <v>72</v>
      </c>
      <c r="F219" s="626">
        <v>362</v>
      </c>
      <c r="G219" s="626">
        <v>39</v>
      </c>
      <c r="H219" s="624">
        <v>28</v>
      </c>
      <c r="I219" s="601">
        <v>1589</v>
      </c>
      <c r="J219" s="638">
        <v>0</v>
      </c>
      <c r="K219" s="626"/>
      <c r="L219" s="626"/>
      <c r="M219" s="624"/>
      <c r="N219" s="601">
        <v>0</v>
      </c>
      <c r="O219" s="638">
        <v>40696</v>
      </c>
      <c r="P219" s="624"/>
      <c r="Q219" s="601"/>
      <c r="R219" s="601">
        <v>40696</v>
      </c>
      <c r="S219" s="626"/>
      <c r="T219" s="601"/>
      <c r="U219" s="601"/>
      <c r="V219" s="601"/>
      <c r="W219" s="626">
        <v>42285</v>
      </c>
      <c r="X219"/>
    </row>
    <row r="220" spans="1:24" s="149" customFormat="1" ht="16" thickBot="1">
      <c r="A220" s="128"/>
      <c r="B220" s="131" t="s">
        <v>103</v>
      </c>
      <c r="C220" s="648">
        <v>-2.0720720720720721E-2</v>
      </c>
      <c r="D220" s="626">
        <v>0</v>
      </c>
      <c r="E220" s="648">
        <v>-0.27272727272727271</v>
      </c>
      <c r="F220" s="662">
        <v>0.10703363914373089</v>
      </c>
      <c r="G220" s="662">
        <v>-0.1702127659574468</v>
      </c>
      <c r="H220" s="662">
        <v>-0.48148148148148145</v>
      </c>
      <c r="I220" s="601">
        <v>-2.9321930360415395E-2</v>
      </c>
      <c r="J220" s="638">
        <v>0</v>
      </c>
      <c r="K220" s="626">
        <v>0</v>
      </c>
      <c r="L220" s="657">
        <v>0</v>
      </c>
      <c r="M220" s="624">
        <v>0</v>
      </c>
      <c r="N220" s="601">
        <v>0</v>
      </c>
      <c r="O220" s="652">
        <v>-1.4576977093321711E-2</v>
      </c>
      <c r="P220" s="624">
        <v>0</v>
      </c>
      <c r="Q220" s="601">
        <v>0</v>
      </c>
      <c r="R220" s="601">
        <v>-1.4576977093321711E-2</v>
      </c>
      <c r="S220" s="662">
        <v>0</v>
      </c>
      <c r="T220" s="601">
        <v>0</v>
      </c>
      <c r="U220" s="601">
        <v>0</v>
      </c>
      <c r="V220" s="601">
        <v>0</v>
      </c>
      <c r="W220" s="626">
        <v>-1.5139163852334925E-2</v>
      </c>
      <c r="X220"/>
    </row>
    <row r="221" spans="1:24" ht="15.5">
      <c r="B221" s="65" t="s">
        <v>104</v>
      </c>
      <c r="C221" s="626"/>
      <c r="D221" s="626"/>
      <c r="E221" s="626"/>
      <c r="F221" s="626"/>
      <c r="G221" s="626"/>
      <c r="H221" s="624"/>
      <c r="I221" s="601"/>
      <c r="J221" s="638"/>
      <c r="K221" s="626"/>
      <c r="L221" s="626"/>
      <c r="M221" s="624"/>
      <c r="N221" s="601"/>
      <c r="O221" s="638">
        <v>1280</v>
      </c>
      <c r="P221" s="624"/>
      <c r="Q221" s="601"/>
      <c r="R221" s="601">
        <v>1280</v>
      </c>
      <c r="S221" s="626"/>
      <c r="T221" s="601"/>
      <c r="U221" s="601"/>
      <c r="V221" s="601"/>
      <c r="W221" s="626">
        <v>1280</v>
      </c>
      <c r="X221"/>
    </row>
    <row r="222" spans="1:24" ht="16" thickBot="1">
      <c r="B222" s="65" t="s">
        <v>105</v>
      </c>
      <c r="C222" s="626"/>
      <c r="D222" s="626"/>
      <c r="E222" s="626"/>
      <c r="F222" s="626"/>
      <c r="G222" s="626"/>
      <c r="H222" s="624"/>
      <c r="I222" s="601"/>
      <c r="J222" s="638"/>
      <c r="K222" s="626"/>
      <c r="L222" s="626"/>
      <c r="M222" s="624"/>
      <c r="N222" s="601"/>
      <c r="O222" s="638">
        <v>1233</v>
      </c>
      <c r="P222" s="624"/>
      <c r="Q222" s="601"/>
      <c r="R222" s="601">
        <v>1233</v>
      </c>
      <c r="S222" s="626"/>
      <c r="T222" s="601"/>
      <c r="U222" s="601"/>
      <c r="V222" s="601"/>
      <c r="W222" s="626">
        <v>1233</v>
      </c>
      <c r="X222"/>
    </row>
    <row r="223" spans="1:24" s="149" customFormat="1" ht="16" thickBot="1">
      <c r="A223" s="128"/>
      <c r="B223" s="65" t="s">
        <v>106</v>
      </c>
      <c r="C223" s="626">
        <v>0</v>
      </c>
      <c r="D223" s="626">
        <v>0</v>
      </c>
      <c r="E223" s="626">
        <v>0</v>
      </c>
      <c r="F223" s="626">
        <v>0</v>
      </c>
      <c r="G223" s="626">
        <v>0</v>
      </c>
      <c r="H223" s="624">
        <v>0</v>
      </c>
      <c r="I223" s="601">
        <v>0</v>
      </c>
      <c r="J223" s="638">
        <v>0</v>
      </c>
      <c r="K223" s="626">
        <v>0</v>
      </c>
      <c r="L223" s="626">
        <v>0</v>
      </c>
      <c r="M223" s="624">
        <v>0</v>
      </c>
      <c r="N223" s="601">
        <v>0</v>
      </c>
      <c r="O223" s="662">
        <v>-3.6718750000000001E-2</v>
      </c>
      <c r="P223" s="624">
        <v>0</v>
      </c>
      <c r="Q223" s="601">
        <v>0</v>
      </c>
      <c r="R223" s="601">
        <v>-3.6718750000000001E-2</v>
      </c>
      <c r="S223" s="626">
        <v>0</v>
      </c>
      <c r="T223" s="601">
        <v>0</v>
      </c>
      <c r="U223" s="601">
        <v>0</v>
      </c>
      <c r="V223" s="601">
        <v>0</v>
      </c>
      <c r="W223" s="626">
        <v>-3.6718750000000001E-2</v>
      </c>
      <c r="X223"/>
    </row>
    <row r="224" spans="1:24" ht="15.5">
      <c r="B224" s="65" t="s">
        <v>107</v>
      </c>
      <c r="C224" s="626">
        <v>2240</v>
      </c>
      <c r="D224" s="626">
        <v>0</v>
      </c>
      <c r="E224" s="626">
        <v>65</v>
      </c>
      <c r="F224" s="626">
        <v>1625</v>
      </c>
      <c r="G224" s="626">
        <v>476</v>
      </c>
      <c r="H224" s="624">
        <v>1304</v>
      </c>
      <c r="I224" s="601">
        <v>5710</v>
      </c>
      <c r="J224" s="638">
        <v>1566</v>
      </c>
      <c r="K224" s="626"/>
      <c r="L224" s="626"/>
      <c r="M224" s="624"/>
      <c r="N224" s="601">
        <v>1566</v>
      </c>
      <c r="O224" s="638">
        <v>7250</v>
      </c>
      <c r="P224" s="624"/>
      <c r="Q224" s="601"/>
      <c r="R224" s="601">
        <v>7250</v>
      </c>
      <c r="S224" s="626"/>
      <c r="T224" s="601"/>
      <c r="U224" s="601"/>
      <c r="V224" s="601"/>
      <c r="W224" s="626">
        <v>14526</v>
      </c>
      <c r="X224"/>
    </row>
    <row r="225" spans="1:24" ht="16" thickBot="1">
      <c r="B225" s="65" t="s">
        <v>108</v>
      </c>
      <c r="C225" s="626">
        <v>2417</v>
      </c>
      <c r="D225" s="626">
        <v>0</v>
      </c>
      <c r="E225" s="626">
        <v>57</v>
      </c>
      <c r="F225" s="626">
        <v>1500</v>
      </c>
      <c r="G225" s="626">
        <v>323</v>
      </c>
      <c r="H225" s="624">
        <v>1238</v>
      </c>
      <c r="I225" s="601">
        <v>5535</v>
      </c>
      <c r="J225" s="638">
        <v>1592</v>
      </c>
      <c r="K225" s="626"/>
      <c r="L225" s="626"/>
      <c r="M225" s="624"/>
      <c r="N225" s="601">
        <v>1592</v>
      </c>
      <c r="O225" s="638">
        <v>8009</v>
      </c>
      <c r="P225" s="624"/>
      <c r="Q225" s="601"/>
      <c r="R225" s="601">
        <v>8009</v>
      </c>
      <c r="S225" s="626"/>
      <c r="T225" s="601"/>
      <c r="U225" s="601"/>
      <c r="V225" s="601"/>
      <c r="W225" s="626">
        <v>15136</v>
      </c>
      <c r="X225"/>
    </row>
    <row r="226" spans="1:24" s="149" customFormat="1" ht="16" thickBot="1">
      <c r="A226" s="128"/>
      <c r="B226" s="65" t="s">
        <v>109</v>
      </c>
      <c r="C226" s="626">
        <v>7.901785714285714E-2</v>
      </c>
      <c r="D226" s="626">
        <v>0</v>
      </c>
      <c r="E226" s="626">
        <v>-0.12307692307692308</v>
      </c>
      <c r="F226" s="626">
        <v>-7.6923076923076927E-2</v>
      </c>
      <c r="G226" s="626">
        <v>-0.32142857142857145</v>
      </c>
      <c r="H226" s="624">
        <v>-5.0613496932515337E-2</v>
      </c>
      <c r="I226" s="601">
        <v>-3.0647985989492119E-2</v>
      </c>
      <c r="J226" s="638">
        <v>1.6602809706257982E-2</v>
      </c>
      <c r="K226" s="626">
        <v>0</v>
      </c>
      <c r="L226" s="626">
        <v>0</v>
      </c>
      <c r="M226" s="624">
        <v>0</v>
      </c>
      <c r="N226" s="601">
        <v>1.6602809706257982E-2</v>
      </c>
      <c r="O226" s="652">
        <v>0.1046896551724138</v>
      </c>
      <c r="P226" s="624">
        <v>0</v>
      </c>
      <c r="Q226" s="601">
        <v>0</v>
      </c>
      <c r="R226" s="601">
        <v>0.1046896551724138</v>
      </c>
      <c r="S226" s="662">
        <v>0</v>
      </c>
      <c r="T226" s="601">
        <v>0</v>
      </c>
      <c r="U226" s="601">
        <v>0</v>
      </c>
      <c r="V226" s="601">
        <v>0</v>
      </c>
      <c r="W226" s="626">
        <v>4.1993666528982516E-2</v>
      </c>
      <c r="X226"/>
    </row>
    <row r="227" spans="1:24" ht="15.5">
      <c r="B227" s="65" t="s">
        <v>110</v>
      </c>
      <c r="C227" s="626">
        <v>13174</v>
      </c>
      <c r="D227" s="626">
        <v>3714</v>
      </c>
      <c r="E227" s="626">
        <v>13160</v>
      </c>
      <c r="F227" s="626">
        <v>7196</v>
      </c>
      <c r="G227" s="626">
        <v>1685</v>
      </c>
      <c r="H227" s="624">
        <v>2544</v>
      </c>
      <c r="I227" s="601">
        <v>41473</v>
      </c>
      <c r="J227" s="638">
        <v>228</v>
      </c>
      <c r="K227" s="626"/>
      <c r="L227" s="626"/>
      <c r="M227" s="624"/>
      <c r="N227" s="601">
        <v>228</v>
      </c>
      <c r="O227" s="638"/>
      <c r="P227" s="624"/>
      <c r="Q227" s="601"/>
      <c r="R227" s="601"/>
      <c r="S227" s="626"/>
      <c r="T227" s="601"/>
      <c r="U227" s="601"/>
      <c r="V227" s="601"/>
      <c r="W227" s="626">
        <v>41701</v>
      </c>
      <c r="X227"/>
    </row>
    <row r="228" spans="1:24" ht="16" thickBot="1">
      <c r="B228" s="65" t="s">
        <v>111</v>
      </c>
      <c r="C228" s="626">
        <v>13868</v>
      </c>
      <c r="D228" s="626">
        <v>3934</v>
      </c>
      <c r="E228" s="626">
        <v>13703</v>
      </c>
      <c r="F228" s="626">
        <v>7420</v>
      </c>
      <c r="G228" s="626">
        <v>1823</v>
      </c>
      <c r="H228" s="624">
        <v>2507</v>
      </c>
      <c r="I228" s="601">
        <v>43255</v>
      </c>
      <c r="J228" s="638">
        <v>267</v>
      </c>
      <c r="K228" s="626"/>
      <c r="L228" s="626"/>
      <c r="M228" s="624"/>
      <c r="N228" s="601">
        <v>267</v>
      </c>
      <c r="O228" s="638"/>
      <c r="P228" s="624"/>
      <c r="Q228" s="601"/>
      <c r="R228" s="601"/>
      <c r="S228" s="626"/>
      <c r="T228" s="601"/>
      <c r="U228" s="601"/>
      <c r="V228" s="601"/>
      <c r="W228" s="626">
        <v>43522</v>
      </c>
      <c r="X228"/>
    </row>
    <row r="229" spans="1:24" s="149" customFormat="1" ht="16" thickBot="1">
      <c r="A229" s="128"/>
      <c r="B229" s="65" t="s">
        <v>112</v>
      </c>
      <c r="C229" s="626">
        <v>5.2679520267192956E-2</v>
      </c>
      <c r="D229" s="626">
        <v>5.9235325794291867E-2</v>
      </c>
      <c r="E229" s="626">
        <v>4.1261398176291791E-2</v>
      </c>
      <c r="F229" s="626">
        <v>3.1128404669260701E-2</v>
      </c>
      <c r="G229" s="626">
        <v>8.189910979228486E-2</v>
      </c>
      <c r="H229" s="662">
        <v>-1.4544025157232705E-2</v>
      </c>
      <c r="I229" s="601">
        <v>4.2967713934366936E-2</v>
      </c>
      <c r="J229" s="657">
        <v>0.17105263157894737</v>
      </c>
      <c r="K229" s="626">
        <v>0</v>
      </c>
      <c r="L229" s="648">
        <v>0</v>
      </c>
      <c r="M229" s="624">
        <v>0</v>
      </c>
      <c r="N229" s="601">
        <v>0.17105263157894737</v>
      </c>
      <c r="O229" s="638">
        <v>0</v>
      </c>
      <c r="P229" s="624">
        <v>0</v>
      </c>
      <c r="Q229" s="601">
        <v>0</v>
      </c>
      <c r="R229" s="601">
        <v>0</v>
      </c>
      <c r="S229" s="626">
        <v>0</v>
      </c>
      <c r="T229" s="601">
        <v>0</v>
      </c>
      <c r="U229" s="601">
        <v>0</v>
      </c>
      <c r="V229" s="601">
        <v>0</v>
      </c>
      <c r="W229" s="626">
        <v>4.3668017553535887E-2</v>
      </c>
      <c r="X229"/>
    </row>
    <row r="230" spans="1:24" ht="15.5">
      <c r="B230" s="65" t="s">
        <v>113</v>
      </c>
      <c r="C230" s="626">
        <v>307</v>
      </c>
      <c r="D230" s="626">
        <v>0</v>
      </c>
      <c r="E230" s="626">
        <v>210</v>
      </c>
      <c r="F230" s="626">
        <v>205</v>
      </c>
      <c r="G230" s="626">
        <v>7</v>
      </c>
      <c r="H230" s="624">
        <v>0</v>
      </c>
      <c r="I230" s="601">
        <v>729</v>
      </c>
      <c r="J230" s="638">
        <v>0</v>
      </c>
      <c r="K230" s="626"/>
      <c r="L230" s="626"/>
      <c r="M230" s="624"/>
      <c r="N230" s="601">
        <v>0</v>
      </c>
      <c r="O230" s="638"/>
      <c r="P230" s="624"/>
      <c r="Q230" s="601"/>
      <c r="R230" s="601"/>
      <c r="S230" s="626"/>
      <c r="T230" s="601"/>
      <c r="U230" s="601"/>
      <c r="V230" s="601"/>
      <c r="W230" s="626">
        <v>729</v>
      </c>
      <c r="X230"/>
    </row>
    <row r="231" spans="1:24" ht="16" thickBot="1">
      <c r="B231" s="65" t="s">
        <v>114</v>
      </c>
      <c r="C231" s="626">
        <v>400</v>
      </c>
      <c r="D231" s="626">
        <v>0</v>
      </c>
      <c r="E231" s="626">
        <v>204</v>
      </c>
      <c r="F231" s="626">
        <v>180</v>
      </c>
      <c r="G231" s="648">
        <v>12</v>
      </c>
      <c r="H231" s="624">
        <v>0</v>
      </c>
      <c r="I231" s="601">
        <v>796</v>
      </c>
      <c r="J231" s="638">
        <v>0</v>
      </c>
      <c r="K231" s="626"/>
      <c r="L231" s="626"/>
      <c r="M231" s="624"/>
      <c r="N231" s="601">
        <v>0</v>
      </c>
      <c r="O231" s="638"/>
      <c r="P231" s="624"/>
      <c r="Q231" s="601"/>
      <c r="R231" s="601"/>
      <c r="S231" s="626"/>
      <c r="T231" s="601"/>
      <c r="U231" s="601"/>
      <c r="V231" s="601"/>
      <c r="W231" s="626">
        <v>796</v>
      </c>
      <c r="X231"/>
    </row>
    <row r="232" spans="1:24" s="149" customFormat="1" ht="16" thickBot="1">
      <c r="A232" s="128"/>
      <c r="B232" s="65" t="s">
        <v>115</v>
      </c>
      <c r="C232" s="662">
        <v>0.30293159609120524</v>
      </c>
      <c r="D232" s="626">
        <v>0</v>
      </c>
      <c r="E232" s="662">
        <v>-2.8571428571428571E-2</v>
      </c>
      <c r="F232" s="626">
        <v>-0.12195121951219512</v>
      </c>
      <c r="G232" s="626">
        <v>0.7142857142857143</v>
      </c>
      <c r="H232" s="624">
        <v>0</v>
      </c>
      <c r="I232" s="601">
        <v>9.1906721536351169E-2</v>
      </c>
      <c r="J232" s="638">
        <v>0</v>
      </c>
      <c r="K232" s="626">
        <v>0</v>
      </c>
      <c r="L232" s="626">
        <v>0</v>
      </c>
      <c r="M232" s="624">
        <v>0</v>
      </c>
      <c r="N232" s="601">
        <v>0</v>
      </c>
      <c r="O232" s="638">
        <v>0</v>
      </c>
      <c r="P232" s="624">
        <v>0</v>
      </c>
      <c r="Q232" s="601">
        <v>0</v>
      </c>
      <c r="R232" s="601">
        <v>0</v>
      </c>
      <c r="S232" s="662">
        <v>0</v>
      </c>
      <c r="T232" s="601">
        <v>0</v>
      </c>
      <c r="U232" s="601">
        <v>0</v>
      </c>
      <c r="V232" s="601">
        <v>0</v>
      </c>
      <c r="W232" s="626">
        <v>9.1906721536351169E-2</v>
      </c>
      <c r="X232"/>
    </row>
    <row r="233" spans="1:24" ht="15.5">
      <c r="B233" s="65" t="s">
        <v>116</v>
      </c>
      <c r="C233" s="626">
        <v>3894</v>
      </c>
      <c r="D233" s="626">
        <v>3232</v>
      </c>
      <c r="E233" s="626">
        <v>4113</v>
      </c>
      <c r="F233" s="626">
        <v>2300</v>
      </c>
      <c r="G233" s="626">
        <v>272</v>
      </c>
      <c r="H233" s="624">
        <v>0</v>
      </c>
      <c r="I233" s="601">
        <v>13811</v>
      </c>
      <c r="J233" s="638">
        <v>0</v>
      </c>
      <c r="K233" s="626"/>
      <c r="L233" s="626"/>
      <c r="M233" s="624"/>
      <c r="N233" s="601">
        <v>0</v>
      </c>
      <c r="O233" s="638">
        <v>0</v>
      </c>
      <c r="P233" s="624"/>
      <c r="Q233" s="601"/>
      <c r="R233" s="601">
        <v>0</v>
      </c>
      <c r="S233" s="626"/>
      <c r="T233" s="601"/>
      <c r="U233" s="601"/>
      <c r="V233" s="601"/>
      <c r="W233" s="626">
        <v>13811</v>
      </c>
      <c r="X233"/>
    </row>
    <row r="234" spans="1:24" ht="15.5">
      <c r="B234" s="65" t="s">
        <v>117</v>
      </c>
      <c r="C234" s="626">
        <v>4075</v>
      </c>
      <c r="D234" s="626">
        <v>4071</v>
      </c>
      <c r="E234" s="626">
        <v>4356</v>
      </c>
      <c r="F234" s="626">
        <v>2375</v>
      </c>
      <c r="G234" s="626">
        <v>279</v>
      </c>
      <c r="H234" s="624">
        <v>0</v>
      </c>
      <c r="I234" s="601">
        <v>15156</v>
      </c>
      <c r="J234" s="638">
        <v>0</v>
      </c>
      <c r="K234" s="626"/>
      <c r="L234" s="626"/>
      <c r="M234" s="624"/>
      <c r="N234" s="601">
        <v>0</v>
      </c>
      <c r="O234" s="638">
        <v>0</v>
      </c>
      <c r="P234" s="624"/>
      <c r="Q234" s="601"/>
      <c r="R234" s="601">
        <v>0</v>
      </c>
      <c r="S234" s="626"/>
      <c r="T234" s="601"/>
      <c r="U234" s="601"/>
      <c r="V234" s="601"/>
      <c r="W234" s="626">
        <v>15156</v>
      </c>
      <c r="X234"/>
    </row>
    <row r="235" spans="1:24" s="149" customFormat="1" ht="15.5">
      <c r="A235" s="128"/>
      <c r="B235" s="65" t="s">
        <v>118</v>
      </c>
      <c r="C235" s="626">
        <v>4.6481766820749872E-2</v>
      </c>
      <c r="D235" s="626">
        <v>0.25959158415841582</v>
      </c>
      <c r="E235" s="626">
        <v>5.9080962800875277E-2</v>
      </c>
      <c r="F235" s="626">
        <v>3.2608695652173912E-2</v>
      </c>
      <c r="G235" s="648">
        <v>2.5735294117647058E-2</v>
      </c>
      <c r="H235" s="624">
        <v>0</v>
      </c>
      <c r="I235" s="601">
        <v>9.7386141481427851E-2</v>
      </c>
      <c r="J235" s="638">
        <v>0</v>
      </c>
      <c r="K235" s="626">
        <v>0</v>
      </c>
      <c r="L235" s="626">
        <v>0</v>
      </c>
      <c r="M235" s="624">
        <v>0</v>
      </c>
      <c r="N235" s="601">
        <v>0</v>
      </c>
      <c r="O235" s="638">
        <v>0</v>
      </c>
      <c r="P235" s="624">
        <v>0</v>
      </c>
      <c r="Q235" s="601">
        <v>0</v>
      </c>
      <c r="R235" s="601">
        <v>0</v>
      </c>
      <c r="S235" s="626">
        <v>0</v>
      </c>
      <c r="T235" s="601">
        <v>0</v>
      </c>
      <c r="U235" s="601">
        <v>0</v>
      </c>
      <c r="V235" s="601">
        <v>0</v>
      </c>
      <c r="W235" s="626">
        <v>9.7386141481427851E-2</v>
      </c>
      <c r="X235"/>
    </row>
    <row r="236" spans="1:24" ht="15.5">
      <c r="B236" s="65" t="s">
        <v>119</v>
      </c>
      <c r="C236" s="626">
        <v>811</v>
      </c>
      <c r="D236" s="626">
        <v>526</v>
      </c>
      <c r="E236" s="626">
        <v>222</v>
      </c>
      <c r="F236" s="626">
        <v>170</v>
      </c>
      <c r="G236" s="626">
        <v>0</v>
      </c>
      <c r="H236" s="624">
        <v>0</v>
      </c>
      <c r="I236" s="601">
        <v>1729</v>
      </c>
      <c r="J236" s="638">
        <v>0</v>
      </c>
      <c r="K236" s="626"/>
      <c r="L236" s="626"/>
      <c r="M236" s="624"/>
      <c r="N236" s="601">
        <v>0</v>
      </c>
      <c r="O236" s="638">
        <v>0</v>
      </c>
      <c r="P236" s="624"/>
      <c r="Q236" s="601"/>
      <c r="R236" s="601">
        <v>0</v>
      </c>
      <c r="S236" s="626"/>
      <c r="T236" s="601"/>
      <c r="U236" s="601"/>
      <c r="V236" s="601"/>
      <c r="W236" s="626">
        <v>1729</v>
      </c>
      <c r="X236"/>
    </row>
    <row r="237" spans="1:24" ht="15.5">
      <c r="B237" s="65" t="s">
        <v>120</v>
      </c>
      <c r="C237" s="626">
        <v>819</v>
      </c>
      <c r="D237" s="626">
        <v>527</v>
      </c>
      <c r="E237" s="626">
        <v>228</v>
      </c>
      <c r="F237" s="626">
        <v>185</v>
      </c>
      <c r="G237" s="626">
        <v>0</v>
      </c>
      <c r="H237" s="624">
        <v>0</v>
      </c>
      <c r="I237" s="601">
        <v>1759</v>
      </c>
      <c r="J237" s="638">
        <v>0</v>
      </c>
      <c r="K237" s="626"/>
      <c r="L237" s="626"/>
      <c r="M237" s="624"/>
      <c r="N237" s="601">
        <v>0</v>
      </c>
      <c r="O237" s="638">
        <v>0</v>
      </c>
      <c r="P237" s="624"/>
      <c r="Q237" s="601"/>
      <c r="R237" s="601">
        <v>0</v>
      </c>
      <c r="S237" s="626"/>
      <c r="T237" s="601"/>
      <c r="U237" s="601"/>
      <c r="V237" s="601"/>
      <c r="W237" s="626">
        <v>1759</v>
      </c>
      <c r="X237"/>
    </row>
    <row r="238" spans="1:24" s="149" customFormat="1" ht="15.5">
      <c r="A238" s="128"/>
      <c r="B238" s="65" t="s">
        <v>121</v>
      </c>
      <c r="C238" s="626">
        <v>9.8643649815043158E-3</v>
      </c>
      <c r="D238" s="626">
        <v>1.9011406844106464E-3</v>
      </c>
      <c r="E238" s="626">
        <v>2.7027027027027029E-2</v>
      </c>
      <c r="F238" s="626">
        <v>8.8235294117647065E-2</v>
      </c>
      <c r="G238" s="626">
        <v>0</v>
      </c>
      <c r="H238" s="624">
        <v>0</v>
      </c>
      <c r="I238" s="601">
        <v>1.7351069982648931E-2</v>
      </c>
      <c r="J238" s="638">
        <v>0</v>
      </c>
      <c r="K238" s="626">
        <v>0</v>
      </c>
      <c r="L238" s="626">
        <v>0</v>
      </c>
      <c r="M238" s="624">
        <v>0</v>
      </c>
      <c r="N238" s="601">
        <v>0</v>
      </c>
      <c r="O238" s="638">
        <v>0</v>
      </c>
      <c r="P238" s="624">
        <v>0</v>
      </c>
      <c r="Q238" s="601">
        <v>0</v>
      </c>
      <c r="R238" s="601">
        <v>0</v>
      </c>
      <c r="S238" s="626">
        <v>0</v>
      </c>
      <c r="T238" s="601">
        <v>0</v>
      </c>
      <c r="U238" s="601">
        <v>0</v>
      </c>
      <c r="V238" s="601">
        <v>0</v>
      </c>
      <c r="W238" s="626">
        <v>1.7351069982648931E-2</v>
      </c>
      <c r="X238"/>
    </row>
    <row r="239" spans="1:24" ht="15.5">
      <c r="B239" s="65" t="s">
        <v>122</v>
      </c>
      <c r="C239" s="626">
        <v>380</v>
      </c>
      <c r="D239" s="626"/>
      <c r="E239" s="626"/>
      <c r="F239" s="626"/>
      <c r="G239" s="626"/>
      <c r="H239" s="624"/>
      <c r="I239" s="601">
        <v>380</v>
      </c>
      <c r="J239" s="638"/>
      <c r="K239" s="626"/>
      <c r="L239" s="626"/>
      <c r="M239" s="624"/>
      <c r="N239" s="601"/>
      <c r="O239" s="638"/>
      <c r="P239" s="624"/>
      <c r="Q239" s="601"/>
      <c r="R239" s="601"/>
      <c r="S239" s="626"/>
      <c r="T239" s="601"/>
      <c r="U239" s="601"/>
      <c r="V239" s="601"/>
      <c r="W239" s="626">
        <v>380</v>
      </c>
      <c r="X239"/>
    </row>
    <row r="240" spans="1:24" ht="15.5">
      <c r="B240" s="65" t="s">
        <v>123</v>
      </c>
      <c r="C240" s="626">
        <v>374</v>
      </c>
      <c r="D240" s="626"/>
      <c r="E240" s="626"/>
      <c r="F240" s="626"/>
      <c r="G240" s="626"/>
      <c r="H240" s="624"/>
      <c r="I240" s="601">
        <v>374</v>
      </c>
      <c r="J240" s="638"/>
      <c r="K240" s="626"/>
      <c r="L240" s="626"/>
      <c r="M240" s="624"/>
      <c r="N240" s="601"/>
      <c r="O240" s="638"/>
      <c r="P240" s="624"/>
      <c r="Q240" s="601"/>
      <c r="R240" s="601"/>
      <c r="S240" s="626"/>
      <c r="T240" s="601"/>
      <c r="U240" s="601"/>
      <c r="V240" s="601"/>
      <c r="W240" s="626">
        <v>374</v>
      </c>
      <c r="X240"/>
    </row>
    <row r="241" spans="1:24" s="149" customFormat="1" ht="15.5">
      <c r="A241" s="128"/>
      <c r="B241" s="65" t="s">
        <v>124</v>
      </c>
      <c r="C241" s="626">
        <v>-1.5789473684210527E-2</v>
      </c>
      <c r="D241" s="626">
        <v>0</v>
      </c>
      <c r="E241" s="626">
        <v>0</v>
      </c>
      <c r="F241" s="626">
        <v>0</v>
      </c>
      <c r="G241" s="626">
        <v>0</v>
      </c>
      <c r="H241" s="624">
        <v>0</v>
      </c>
      <c r="I241" s="601">
        <v>-1.5789473684210527E-2</v>
      </c>
      <c r="J241" s="638">
        <v>0</v>
      </c>
      <c r="K241" s="626">
        <v>0</v>
      </c>
      <c r="L241" s="626">
        <v>0</v>
      </c>
      <c r="M241" s="624">
        <v>0</v>
      </c>
      <c r="N241" s="601">
        <v>0</v>
      </c>
      <c r="O241" s="638">
        <v>0</v>
      </c>
      <c r="P241" s="624">
        <v>0</v>
      </c>
      <c r="Q241" s="601">
        <v>0</v>
      </c>
      <c r="R241" s="601">
        <v>0</v>
      </c>
      <c r="S241" s="626">
        <v>0</v>
      </c>
      <c r="T241" s="601">
        <v>0</v>
      </c>
      <c r="U241" s="601">
        <v>0</v>
      </c>
      <c r="V241" s="601">
        <v>0</v>
      </c>
      <c r="W241" s="626">
        <v>-1.5789473684210527E-2</v>
      </c>
      <c r="X241"/>
    </row>
    <row r="242" spans="1:24" ht="15.5">
      <c r="B242" s="65" t="s">
        <v>125</v>
      </c>
      <c r="C242" s="626"/>
      <c r="D242" s="626"/>
      <c r="E242" s="626"/>
      <c r="F242" s="626">
        <v>246</v>
      </c>
      <c r="G242" s="626"/>
      <c r="H242" s="624"/>
      <c r="I242" s="601">
        <v>246</v>
      </c>
      <c r="J242" s="638"/>
      <c r="K242" s="626"/>
      <c r="L242" s="626"/>
      <c r="M242" s="624"/>
      <c r="N242" s="601"/>
      <c r="O242" s="638"/>
      <c r="P242" s="624"/>
      <c r="Q242" s="601"/>
      <c r="R242" s="601"/>
      <c r="S242" s="626"/>
      <c r="T242" s="601"/>
      <c r="U242" s="601"/>
      <c r="V242" s="601"/>
      <c r="W242" s="626">
        <v>246</v>
      </c>
      <c r="X242"/>
    </row>
    <row r="243" spans="1:24" ht="15.5">
      <c r="B243" s="65" t="s">
        <v>126</v>
      </c>
      <c r="C243" s="626"/>
      <c r="D243" s="626"/>
      <c r="E243" s="626"/>
      <c r="F243" s="626">
        <v>221</v>
      </c>
      <c r="G243" s="626"/>
      <c r="H243" s="624"/>
      <c r="I243" s="601">
        <v>221</v>
      </c>
      <c r="J243" s="638"/>
      <c r="K243" s="626"/>
      <c r="L243" s="626"/>
      <c r="M243" s="624"/>
      <c r="N243" s="601"/>
      <c r="O243" s="638"/>
      <c r="P243" s="624"/>
      <c r="Q243" s="601"/>
      <c r="R243" s="601"/>
      <c r="S243" s="626"/>
      <c r="T243" s="601"/>
      <c r="U243" s="601"/>
      <c r="V243" s="601"/>
      <c r="W243" s="626">
        <v>221</v>
      </c>
      <c r="X243"/>
    </row>
    <row r="244" spans="1:24" s="149" customFormat="1" ht="15.5">
      <c r="A244" s="128"/>
      <c r="B244" s="65" t="s">
        <v>127</v>
      </c>
      <c r="C244" s="626">
        <v>0</v>
      </c>
      <c r="D244" s="626">
        <v>0</v>
      </c>
      <c r="E244" s="626">
        <v>0</v>
      </c>
      <c r="F244" s="626">
        <v>-0.1016260162601626</v>
      </c>
      <c r="G244" s="626">
        <v>0</v>
      </c>
      <c r="H244" s="624">
        <v>0</v>
      </c>
      <c r="I244" s="601">
        <v>-0.1016260162601626</v>
      </c>
      <c r="J244" s="638">
        <v>0</v>
      </c>
      <c r="K244" s="626">
        <v>0</v>
      </c>
      <c r="L244" s="626">
        <v>0</v>
      </c>
      <c r="M244" s="624">
        <v>0</v>
      </c>
      <c r="N244" s="601">
        <v>0</v>
      </c>
      <c r="O244" s="638">
        <v>0</v>
      </c>
      <c r="P244" s="624">
        <v>0</v>
      </c>
      <c r="Q244" s="601">
        <v>0</v>
      </c>
      <c r="R244" s="601">
        <v>0</v>
      </c>
      <c r="S244" s="626">
        <v>0</v>
      </c>
      <c r="T244" s="601">
        <v>0</v>
      </c>
      <c r="U244" s="601">
        <v>0</v>
      </c>
      <c r="V244" s="601">
        <v>0</v>
      </c>
      <c r="W244" s="626">
        <v>-0.1016260162601626</v>
      </c>
      <c r="X244"/>
    </row>
    <row r="245" spans="1:24" ht="15.5">
      <c r="B245" s="65" t="s">
        <v>128</v>
      </c>
      <c r="C245" s="626"/>
      <c r="D245" s="626"/>
      <c r="E245" s="626"/>
      <c r="F245" s="626">
        <v>96</v>
      </c>
      <c r="G245" s="626"/>
      <c r="H245" s="624"/>
      <c r="I245" s="601">
        <v>96</v>
      </c>
      <c r="J245" s="638"/>
      <c r="K245" s="626"/>
      <c r="L245" s="626"/>
      <c r="M245" s="624"/>
      <c r="N245" s="601"/>
      <c r="O245" s="638"/>
      <c r="P245" s="624"/>
      <c r="Q245" s="601"/>
      <c r="R245" s="601"/>
      <c r="S245" s="626"/>
      <c r="T245" s="601"/>
      <c r="U245" s="601"/>
      <c r="V245" s="601"/>
      <c r="W245" s="626">
        <v>96</v>
      </c>
      <c r="X245"/>
    </row>
    <row r="246" spans="1:24" ht="15.5">
      <c r="B246" s="65" t="s">
        <v>129</v>
      </c>
      <c r="C246" s="626"/>
      <c r="D246" s="626"/>
      <c r="E246" s="626"/>
      <c r="F246" s="626">
        <v>87</v>
      </c>
      <c r="G246" s="626"/>
      <c r="H246" s="624"/>
      <c r="I246" s="601">
        <v>87</v>
      </c>
      <c r="J246" s="638"/>
      <c r="K246" s="626"/>
      <c r="L246" s="626"/>
      <c r="M246" s="624"/>
      <c r="N246" s="601"/>
      <c r="O246" s="638"/>
      <c r="P246" s="624"/>
      <c r="Q246" s="601"/>
      <c r="R246" s="601"/>
      <c r="S246" s="626"/>
      <c r="T246" s="601"/>
      <c r="U246" s="601"/>
      <c r="V246" s="601"/>
      <c r="W246" s="626">
        <v>87</v>
      </c>
      <c r="X246"/>
    </row>
    <row r="247" spans="1:24" s="149" customFormat="1" ht="15.5">
      <c r="A247" s="128"/>
      <c r="B247" s="65" t="s">
        <v>130</v>
      </c>
      <c r="C247" s="626">
        <v>0</v>
      </c>
      <c r="D247" s="626">
        <v>0</v>
      </c>
      <c r="E247" s="626">
        <v>0</v>
      </c>
      <c r="F247" s="626">
        <v>-9.375E-2</v>
      </c>
      <c r="G247" s="626">
        <v>0</v>
      </c>
      <c r="H247" s="624">
        <v>0</v>
      </c>
      <c r="I247" s="601">
        <v>-9.375E-2</v>
      </c>
      <c r="J247" s="638">
        <v>0</v>
      </c>
      <c r="K247" s="626">
        <v>0</v>
      </c>
      <c r="L247" s="626">
        <v>0</v>
      </c>
      <c r="M247" s="624">
        <v>0</v>
      </c>
      <c r="N247" s="601">
        <v>0</v>
      </c>
      <c r="O247" s="638">
        <v>0</v>
      </c>
      <c r="P247" s="624">
        <v>0</v>
      </c>
      <c r="Q247" s="601">
        <v>0</v>
      </c>
      <c r="R247" s="601">
        <v>0</v>
      </c>
      <c r="S247" s="626">
        <v>0</v>
      </c>
      <c r="T247" s="601">
        <v>0</v>
      </c>
      <c r="U247" s="601">
        <v>0</v>
      </c>
      <c r="V247" s="601">
        <v>0</v>
      </c>
      <c r="W247" s="626">
        <v>-9.375E-2</v>
      </c>
      <c r="X247"/>
    </row>
    <row r="248" spans="1:24" ht="15.5">
      <c r="B248" s="65" t="s">
        <v>131</v>
      </c>
      <c r="C248" s="626">
        <v>133</v>
      </c>
      <c r="D248" s="626"/>
      <c r="E248" s="626"/>
      <c r="F248" s="626"/>
      <c r="G248" s="626"/>
      <c r="H248" s="624"/>
      <c r="I248" s="601">
        <v>133</v>
      </c>
      <c r="J248" s="638"/>
      <c r="K248" s="626"/>
      <c r="L248" s="626"/>
      <c r="M248" s="624"/>
      <c r="N248" s="601"/>
      <c r="O248" s="638"/>
      <c r="P248" s="624"/>
      <c r="Q248" s="601"/>
      <c r="R248" s="601"/>
      <c r="S248" s="626"/>
      <c r="T248" s="601"/>
      <c r="U248" s="601"/>
      <c r="V248" s="601"/>
      <c r="W248" s="626">
        <v>133</v>
      </c>
      <c r="X248"/>
    </row>
    <row r="249" spans="1:24" ht="15.5">
      <c r="B249" s="65" t="s">
        <v>132</v>
      </c>
      <c r="C249" s="626">
        <v>134</v>
      </c>
      <c r="D249" s="626"/>
      <c r="E249" s="626"/>
      <c r="F249" s="626"/>
      <c r="G249" s="626"/>
      <c r="H249" s="624"/>
      <c r="I249" s="601">
        <v>134</v>
      </c>
      <c r="J249" s="638"/>
      <c r="K249" s="626"/>
      <c r="L249" s="626"/>
      <c r="M249" s="624"/>
      <c r="N249" s="601"/>
      <c r="O249" s="638"/>
      <c r="P249" s="624"/>
      <c r="Q249" s="601"/>
      <c r="R249" s="601"/>
      <c r="S249" s="626"/>
      <c r="T249" s="601"/>
      <c r="U249" s="601"/>
      <c r="V249" s="601"/>
      <c r="W249" s="626">
        <v>134</v>
      </c>
      <c r="X249"/>
    </row>
    <row r="250" spans="1:24" s="149" customFormat="1" ht="15.5">
      <c r="A250" s="128"/>
      <c r="B250" s="65" t="s">
        <v>133</v>
      </c>
      <c r="C250" s="626">
        <v>7.5187969924812026E-3</v>
      </c>
      <c r="D250" s="626">
        <v>0</v>
      </c>
      <c r="E250" s="626">
        <v>0</v>
      </c>
      <c r="F250" s="626">
        <v>0</v>
      </c>
      <c r="G250" s="626">
        <v>0</v>
      </c>
      <c r="H250" s="624">
        <v>0</v>
      </c>
      <c r="I250" s="601">
        <v>7.5187969924812026E-3</v>
      </c>
      <c r="J250" s="638">
        <v>0</v>
      </c>
      <c r="K250" s="626">
        <v>0</v>
      </c>
      <c r="L250" s="626">
        <v>0</v>
      </c>
      <c r="M250" s="624">
        <v>0</v>
      </c>
      <c r="N250" s="601">
        <v>0</v>
      </c>
      <c r="O250" s="638">
        <v>0</v>
      </c>
      <c r="P250" s="624">
        <v>0</v>
      </c>
      <c r="Q250" s="601">
        <v>0</v>
      </c>
      <c r="R250" s="601">
        <v>0</v>
      </c>
      <c r="S250" s="626">
        <v>0</v>
      </c>
      <c r="T250" s="601">
        <v>0</v>
      </c>
      <c r="U250" s="601">
        <v>0</v>
      </c>
      <c r="V250" s="601">
        <v>0</v>
      </c>
      <c r="W250" s="626">
        <v>7.5187969924812026E-3</v>
      </c>
      <c r="X250"/>
    </row>
    <row r="251" spans="1:24" ht="15.5">
      <c r="B251" s="65" t="s">
        <v>134</v>
      </c>
      <c r="C251" s="626"/>
      <c r="D251" s="626"/>
      <c r="E251" s="626"/>
      <c r="F251" s="626"/>
      <c r="G251" s="626"/>
      <c r="H251" s="624"/>
      <c r="I251" s="601"/>
      <c r="J251" s="638"/>
      <c r="K251" s="626"/>
      <c r="L251" s="626"/>
      <c r="M251" s="624"/>
      <c r="N251" s="601"/>
      <c r="O251" s="638"/>
      <c r="P251" s="624"/>
      <c r="Q251" s="601"/>
      <c r="R251" s="601"/>
      <c r="S251" s="626"/>
      <c r="T251" s="601"/>
      <c r="U251" s="601"/>
      <c r="V251" s="601"/>
      <c r="W251" s="626"/>
      <c r="X251"/>
    </row>
    <row r="252" spans="1:24" ht="15.5">
      <c r="B252" s="65" t="s">
        <v>135</v>
      </c>
      <c r="C252" s="626"/>
      <c r="D252" s="626"/>
      <c r="E252" s="626"/>
      <c r="F252" s="626"/>
      <c r="G252" s="626"/>
      <c r="H252" s="624"/>
      <c r="I252" s="601"/>
      <c r="J252" s="638"/>
      <c r="K252" s="626"/>
      <c r="L252" s="626"/>
      <c r="M252" s="624"/>
      <c r="N252" s="601"/>
      <c r="O252" s="638"/>
      <c r="P252" s="624"/>
      <c r="Q252" s="601"/>
      <c r="R252" s="601"/>
      <c r="S252" s="626"/>
      <c r="T252" s="601"/>
      <c r="U252" s="601"/>
      <c r="V252" s="601"/>
      <c r="W252" s="626"/>
      <c r="X252"/>
    </row>
    <row r="253" spans="1:24" s="149" customFormat="1" ht="15.5">
      <c r="A253" s="128"/>
      <c r="B253" s="65" t="s">
        <v>136</v>
      </c>
      <c r="C253" s="626">
        <v>0</v>
      </c>
      <c r="D253" s="626">
        <v>0</v>
      </c>
      <c r="E253" s="626">
        <v>0</v>
      </c>
      <c r="F253" s="626">
        <v>0</v>
      </c>
      <c r="G253" s="626">
        <v>0</v>
      </c>
      <c r="H253" s="624">
        <v>0</v>
      </c>
      <c r="I253" s="601">
        <v>0</v>
      </c>
      <c r="J253" s="638">
        <v>0</v>
      </c>
      <c r="K253" s="626">
        <v>0</v>
      </c>
      <c r="L253" s="626">
        <v>0</v>
      </c>
      <c r="M253" s="624">
        <v>0</v>
      </c>
      <c r="N253" s="601">
        <v>0</v>
      </c>
      <c r="O253" s="638">
        <v>0</v>
      </c>
      <c r="P253" s="624">
        <v>0</v>
      </c>
      <c r="Q253" s="601">
        <v>0</v>
      </c>
      <c r="R253" s="601">
        <v>0</v>
      </c>
      <c r="S253" s="626">
        <v>0</v>
      </c>
      <c r="T253" s="601">
        <v>0</v>
      </c>
      <c r="U253" s="601">
        <v>0</v>
      </c>
      <c r="V253" s="601">
        <v>0</v>
      </c>
      <c r="W253" s="626">
        <v>0</v>
      </c>
      <c r="X253"/>
    </row>
    <row r="254" spans="1:24" ht="15.5">
      <c r="B254" s="65" t="s">
        <v>137</v>
      </c>
      <c r="C254" s="626"/>
      <c r="D254" s="626"/>
      <c r="E254" s="626"/>
      <c r="F254" s="626"/>
      <c r="G254" s="626"/>
      <c r="H254" s="624"/>
      <c r="I254" s="601"/>
      <c r="J254" s="638"/>
      <c r="K254" s="626"/>
      <c r="L254" s="626"/>
      <c r="M254" s="624"/>
      <c r="N254" s="601"/>
      <c r="O254" s="638"/>
      <c r="P254" s="624"/>
      <c r="Q254" s="601"/>
      <c r="R254" s="601"/>
      <c r="S254" s="626"/>
      <c r="T254" s="601"/>
      <c r="U254" s="601"/>
      <c r="V254" s="601"/>
      <c r="W254" s="626"/>
      <c r="X254"/>
    </row>
    <row r="255" spans="1:24" ht="15.5">
      <c r="B255" s="65" t="s">
        <v>138</v>
      </c>
      <c r="C255" s="626"/>
      <c r="D255" s="626"/>
      <c r="E255" s="626"/>
      <c r="F255" s="626"/>
      <c r="G255" s="626"/>
      <c r="H255" s="624"/>
      <c r="I255" s="601"/>
      <c r="J255" s="638"/>
      <c r="K255" s="626"/>
      <c r="L255" s="626"/>
      <c r="M255" s="624"/>
      <c r="N255" s="601"/>
      <c r="O255" s="638"/>
      <c r="P255" s="624"/>
      <c r="Q255" s="601"/>
      <c r="R255" s="601"/>
      <c r="S255" s="626"/>
      <c r="T255" s="601"/>
      <c r="U255" s="601"/>
      <c r="V255" s="601"/>
      <c r="W255" s="626"/>
      <c r="X255"/>
    </row>
    <row r="256" spans="1:24" s="149" customFormat="1" ht="15.5">
      <c r="A256" s="128"/>
      <c r="B256" s="65" t="s">
        <v>139</v>
      </c>
      <c r="C256" s="626">
        <v>0</v>
      </c>
      <c r="D256" s="626">
        <v>0</v>
      </c>
      <c r="E256" s="626">
        <v>0</v>
      </c>
      <c r="F256" s="626">
        <v>0</v>
      </c>
      <c r="G256" s="626">
        <v>0</v>
      </c>
      <c r="H256" s="624">
        <v>0</v>
      </c>
      <c r="I256" s="601">
        <v>0</v>
      </c>
      <c r="J256" s="638">
        <v>0</v>
      </c>
      <c r="K256" s="626">
        <v>0</v>
      </c>
      <c r="L256" s="626">
        <v>0</v>
      </c>
      <c r="M256" s="624">
        <v>0</v>
      </c>
      <c r="N256" s="601">
        <v>0</v>
      </c>
      <c r="O256" s="638">
        <v>0</v>
      </c>
      <c r="P256" s="624">
        <v>0</v>
      </c>
      <c r="Q256" s="601">
        <v>0</v>
      </c>
      <c r="R256" s="601">
        <v>0</v>
      </c>
      <c r="S256" s="626">
        <v>0</v>
      </c>
      <c r="T256" s="601">
        <v>0</v>
      </c>
      <c r="U256" s="601">
        <v>0</v>
      </c>
      <c r="V256" s="601">
        <v>0</v>
      </c>
      <c r="W256" s="626">
        <v>0</v>
      </c>
      <c r="X256"/>
    </row>
    <row r="257" spans="1:24" ht="15.5">
      <c r="B257" s="65" t="s">
        <v>140</v>
      </c>
      <c r="C257" s="626"/>
      <c r="D257" s="626"/>
      <c r="E257" s="626"/>
      <c r="F257" s="626"/>
      <c r="G257" s="626"/>
      <c r="H257" s="624"/>
      <c r="I257" s="601"/>
      <c r="J257" s="638"/>
      <c r="K257" s="626"/>
      <c r="L257" s="626"/>
      <c r="M257" s="624"/>
      <c r="N257" s="601"/>
      <c r="O257" s="638"/>
      <c r="P257" s="624"/>
      <c r="Q257" s="601"/>
      <c r="R257" s="601"/>
      <c r="S257" s="626"/>
      <c r="T257" s="601"/>
      <c r="U257" s="601"/>
      <c r="V257" s="601"/>
      <c r="W257" s="626"/>
      <c r="X257"/>
    </row>
    <row r="258" spans="1:24" ht="15.5">
      <c r="B258" s="65" t="s">
        <v>141</v>
      </c>
      <c r="C258" s="626"/>
      <c r="D258" s="626"/>
      <c r="E258" s="626"/>
      <c r="F258" s="626"/>
      <c r="G258" s="626"/>
      <c r="H258" s="624"/>
      <c r="I258" s="601"/>
      <c r="J258" s="638"/>
      <c r="K258" s="626"/>
      <c r="L258" s="626"/>
      <c r="M258" s="624"/>
      <c r="N258" s="601"/>
      <c r="O258" s="638"/>
      <c r="P258" s="624"/>
      <c r="Q258" s="601"/>
      <c r="R258" s="601"/>
      <c r="S258" s="626"/>
      <c r="T258" s="601"/>
      <c r="U258" s="601"/>
      <c r="V258" s="601"/>
      <c r="W258" s="626"/>
      <c r="X258"/>
    </row>
    <row r="259" spans="1:24" s="149" customFormat="1" ht="15.5">
      <c r="A259" s="128"/>
      <c r="B259" s="65" t="s">
        <v>142</v>
      </c>
      <c r="C259" s="626">
        <v>0</v>
      </c>
      <c r="D259" s="626">
        <v>0</v>
      </c>
      <c r="E259" s="626">
        <v>0</v>
      </c>
      <c r="F259" s="626">
        <v>0</v>
      </c>
      <c r="G259" s="626">
        <v>0</v>
      </c>
      <c r="H259" s="624">
        <v>0</v>
      </c>
      <c r="I259" s="601">
        <v>0</v>
      </c>
      <c r="J259" s="638">
        <v>0</v>
      </c>
      <c r="K259" s="626">
        <v>0</v>
      </c>
      <c r="L259" s="626">
        <v>0</v>
      </c>
      <c r="M259" s="624">
        <v>0</v>
      </c>
      <c r="N259" s="601">
        <v>0</v>
      </c>
      <c r="O259" s="638">
        <v>0</v>
      </c>
      <c r="P259" s="624">
        <v>0</v>
      </c>
      <c r="Q259" s="601">
        <v>0</v>
      </c>
      <c r="R259" s="601">
        <v>0</v>
      </c>
      <c r="S259" s="626">
        <v>0</v>
      </c>
      <c r="T259" s="601">
        <v>0</v>
      </c>
      <c r="U259" s="601">
        <v>0</v>
      </c>
      <c r="V259" s="601">
        <v>0</v>
      </c>
      <c r="W259" s="626">
        <v>0</v>
      </c>
      <c r="X259"/>
    </row>
    <row r="260" spans="1:24" ht="15.5">
      <c r="B260" s="65" t="s">
        <v>143</v>
      </c>
      <c r="C260" s="626">
        <v>116</v>
      </c>
      <c r="D260" s="626"/>
      <c r="E260" s="626"/>
      <c r="F260" s="626"/>
      <c r="G260" s="626"/>
      <c r="H260" s="624"/>
      <c r="I260" s="601">
        <v>116</v>
      </c>
      <c r="J260" s="638"/>
      <c r="K260" s="626"/>
      <c r="L260" s="626"/>
      <c r="M260" s="624"/>
      <c r="N260" s="601"/>
      <c r="O260" s="638"/>
      <c r="P260" s="624"/>
      <c r="Q260" s="601"/>
      <c r="R260" s="601"/>
      <c r="S260" s="626"/>
      <c r="T260" s="601"/>
      <c r="U260" s="601"/>
      <c r="V260" s="601"/>
      <c r="W260" s="626">
        <v>116</v>
      </c>
      <c r="X260"/>
    </row>
    <row r="261" spans="1:24" ht="15.5">
      <c r="B261" s="65" t="s">
        <v>144</v>
      </c>
      <c r="C261" s="626">
        <v>114</v>
      </c>
      <c r="D261" s="626"/>
      <c r="E261" s="626"/>
      <c r="F261" s="626"/>
      <c r="G261" s="626"/>
      <c r="H261" s="624"/>
      <c r="I261" s="601">
        <v>114</v>
      </c>
      <c r="J261" s="638"/>
      <c r="K261" s="626"/>
      <c r="L261" s="626"/>
      <c r="M261" s="624"/>
      <c r="N261" s="601"/>
      <c r="O261" s="638"/>
      <c r="P261" s="624"/>
      <c r="Q261" s="601"/>
      <c r="R261" s="601"/>
      <c r="S261" s="626"/>
      <c r="T261" s="601"/>
      <c r="U261" s="601"/>
      <c r="V261" s="601"/>
      <c r="W261" s="626">
        <v>114</v>
      </c>
      <c r="X261"/>
    </row>
    <row r="262" spans="1:24" s="149" customFormat="1" ht="15.5">
      <c r="A262" s="128"/>
      <c r="B262" s="65" t="s">
        <v>145</v>
      </c>
      <c r="C262" s="626">
        <v>-1.7241379310344827E-2</v>
      </c>
      <c r="D262" s="626">
        <v>0</v>
      </c>
      <c r="E262" s="626">
        <v>0</v>
      </c>
      <c r="F262" s="626">
        <v>0</v>
      </c>
      <c r="G262" s="626">
        <v>0</v>
      </c>
      <c r="H262" s="624">
        <v>0</v>
      </c>
      <c r="I262" s="601">
        <v>-1.7241379310344827E-2</v>
      </c>
      <c r="J262" s="638">
        <v>0</v>
      </c>
      <c r="K262" s="626">
        <v>0</v>
      </c>
      <c r="L262" s="626">
        <v>0</v>
      </c>
      <c r="M262" s="624">
        <v>0</v>
      </c>
      <c r="N262" s="601">
        <v>0</v>
      </c>
      <c r="O262" s="638">
        <v>0</v>
      </c>
      <c r="P262" s="624">
        <v>0</v>
      </c>
      <c r="Q262" s="601">
        <v>0</v>
      </c>
      <c r="R262" s="601">
        <v>0</v>
      </c>
      <c r="S262" s="626">
        <v>0</v>
      </c>
      <c r="T262" s="601">
        <v>0</v>
      </c>
      <c r="U262" s="601">
        <v>0</v>
      </c>
      <c r="V262" s="601">
        <v>0</v>
      </c>
      <c r="W262" s="626">
        <v>-1.7241379310344827E-2</v>
      </c>
      <c r="X262"/>
    </row>
    <row r="263" spans="1:24" ht="15.5">
      <c r="B263" s="65" t="s">
        <v>146</v>
      </c>
      <c r="C263" s="626"/>
      <c r="D263" s="626"/>
      <c r="E263" s="626"/>
      <c r="F263" s="626"/>
      <c r="G263" s="626"/>
      <c r="H263" s="624"/>
      <c r="I263" s="601"/>
      <c r="J263" s="638"/>
      <c r="K263" s="626"/>
      <c r="L263" s="626"/>
      <c r="M263" s="624"/>
      <c r="N263" s="601"/>
      <c r="O263" s="638"/>
      <c r="P263" s="624"/>
      <c r="Q263" s="601"/>
      <c r="R263" s="601"/>
      <c r="S263" s="626"/>
      <c r="T263" s="601"/>
      <c r="U263" s="601"/>
      <c r="V263" s="601"/>
      <c r="W263" s="626"/>
      <c r="X263"/>
    </row>
    <row r="264" spans="1:24" ht="15.5">
      <c r="B264" s="65" t="s">
        <v>147</v>
      </c>
      <c r="C264" s="626"/>
      <c r="D264" s="626"/>
      <c r="E264" s="626"/>
      <c r="F264" s="626"/>
      <c r="G264" s="626"/>
      <c r="H264" s="624"/>
      <c r="I264" s="601"/>
      <c r="J264" s="638"/>
      <c r="K264" s="626"/>
      <c r="L264" s="626"/>
      <c r="M264" s="624"/>
      <c r="N264" s="601"/>
      <c r="O264" s="638"/>
      <c r="P264" s="624"/>
      <c r="Q264" s="601"/>
      <c r="R264" s="601"/>
      <c r="S264" s="626"/>
      <c r="T264" s="601"/>
      <c r="U264" s="601"/>
      <c r="V264" s="601"/>
      <c r="W264" s="626"/>
      <c r="X264"/>
    </row>
    <row r="265" spans="1:24" s="149" customFormat="1" ht="15.5">
      <c r="A265" s="128"/>
      <c r="B265" s="65" t="s">
        <v>148</v>
      </c>
      <c r="C265" s="626">
        <v>0</v>
      </c>
      <c r="D265" s="626">
        <v>0</v>
      </c>
      <c r="E265" s="626">
        <v>0</v>
      </c>
      <c r="F265" s="626">
        <v>0</v>
      </c>
      <c r="G265" s="626">
        <v>0</v>
      </c>
      <c r="H265" s="624">
        <v>0</v>
      </c>
      <c r="I265" s="601">
        <v>0</v>
      </c>
      <c r="J265" s="638">
        <v>0</v>
      </c>
      <c r="K265" s="626">
        <v>0</v>
      </c>
      <c r="L265" s="626">
        <v>0</v>
      </c>
      <c r="M265" s="624">
        <v>0</v>
      </c>
      <c r="N265" s="601">
        <v>0</v>
      </c>
      <c r="O265" s="638">
        <v>0</v>
      </c>
      <c r="P265" s="624">
        <v>0</v>
      </c>
      <c r="Q265" s="601">
        <v>0</v>
      </c>
      <c r="R265" s="601">
        <v>0</v>
      </c>
      <c r="S265" s="626">
        <v>0</v>
      </c>
      <c r="T265" s="601">
        <v>0</v>
      </c>
      <c r="U265" s="601">
        <v>0</v>
      </c>
      <c r="V265" s="601">
        <v>0</v>
      </c>
      <c r="W265" s="626">
        <v>0</v>
      </c>
      <c r="X265"/>
    </row>
    <row r="266" spans="1:24" ht="15.5">
      <c r="B266" s="65" t="s">
        <v>149</v>
      </c>
      <c r="C266" s="626"/>
      <c r="D266" s="626"/>
      <c r="E266" s="626"/>
      <c r="F266" s="626"/>
      <c r="G266" s="626"/>
      <c r="H266" s="624"/>
      <c r="I266" s="601"/>
      <c r="J266" s="638"/>
      <c r="K266" s="626"/>
      <c r="L266" s="626"/>
      <c r="M266" s="624"/>
      <c r="N266" s="601"/>
      <c r="O266" s="638"/>
      <c r="P266" s="624"/>
      <c r="Q266" s="601"/>
      <c r="R266" s="601"/>
      <c r="S266" s="626"/>
      <c r="T266" s="601"/>
      <c r="U266" s="601"/>
      <c r="V266" s="601"/>
      <c r="W266" s="626"/>
      <c r="X266"/>
    </row>
    <row r="267" spans="1:24" ht="15.5">
      <c r="B267" s="65" t="s">
        <v>150</v>
      </c>
      <c r="C267" s="626"/>
      <c r="D267" s="626"/>
      <c r="E267" s="626"/>
      <c r="F267" s="626"/>
      <c r="G267" s="626"/>
      <c r="H267" s="624"/>
      <c r="I267" s="601"/>
      <c r="J267" s="638"/>
      <c r="K267" s="626"/>
      <c r="L267" s="626"/>
      <c r="M267" s="624"/>
      <c r="N267" s="601"/>
      <c r="O267" s="638"/>
      <c r="P267" s="624"/>
      <c r="Q267" s="601"/>
      <c r="R267" s="601"/>
      <c r="S267" s="626"/>
      <c r="T267" s="601"/>
      <c r="U267" s="601"/>
      <c r="V267" s="601"/>
      <c r="W267" s="626"/>
      <c r="X267"/>
    </row>
    <row r="268" spans="1:24" s="149" customFormat="1" ht="15.5">
      <c r="A268" s="128"/>
      <c r="B268" s="65" t="s">
        <v>151</v>
      </c>
      <c r="C268" s="626">
        <v>0</v>
      </c>
      <c r="D268" s="626">
        <v>0</v>
      </c>
      <c r="E268" s="626">
        <v>0</v>
      </c>
      <c r="F268" s="626">
        <v>0</v>
      </c>
      <c r="G268" s="626">
        <v>0</v>
      </c>
      <c r="H268" s="624">
        <v>0</v>
      </c>
      <c r="I268" s="601">
        <v>0</v>
      </c>
      <c r="J268" s="638">
        <v>0</v>
      </c>
      <c r="K268" s="626">
        <v>0</v>
      </c>
      <c r="L268" s="626">
        <v>0</v>
      </c>
      <c r="M268" s="624">
        <v>0</v>
      </c>
      <c r="N268" s="601">
        <v>0</v>
      </c>
      <c r="O268" s="638">
        <v>0</v>
      </c>
      <c r="P268" s="624">
        <v>0</v>
      </c>
      <c r="Q268" s="601">
        <v>0</v>
      </c>
      <c r="R268" s="601">
        <v>0</v>
      </c>
      <c r="S268" s="626">
        <v>0</v>
      </c>
      <c r="T268" s="601">
        <v>0</v>
      </c>
      <c r="U268" s="601">
        <v>0</v>
      </c>
      <c r="V268" s="601">
        <v>0</v>
      </c>
      <c r="W268" s="626">
        <v>0</v>
      </c>
      <c r="X268"/>
    </row>
    <row r="269" spans="1:24" ht="15.5">
      <c r="B269" s="65" t="s">
        <v>152</v>
      </c>
      <c r="C269" s="626"/>
      <c r="D269" s="626"/>
      <c r="E269" s="626"/>
      <c r="F269" s="626"/>
      <c r="G269" s="626"/>
      <c r="H269" s="624"/>
      <c r="I269" s="601"/>
      <c r="J269" s="638"/>
      <c r="K269" s="626"/>
      <c r="L269" s="626"/>
      <c r="M269" s="624"/>
      <c r="N269" s="601"/>
      <c r="O269" s="638"/>
      <c r="P269" s="624"/>
      <c r="Q269" s="601"/>
      <c r="R269" s="601"/>
      <c r="S269" s="626"/>
      <c r="T269" s="601"/>
      <c r="U269" s="601"/>
      <c r="V269" s="601"/>
      <c r="W269" s="626"/>
      <c r="X269"/>
    </row>
    <row r="270" spans="1:24" s="149" customFormat="1" ht="15.5">
      <c r="A270" s="128"/>
      <c r="B270" s="65" t="s">
        <v>153</v>
      </c>
      <c r="C270" s="626"/>
      <c r="D270" s="626"/>
      <c r="E270" s="626"/>
      <c r="F270" s="626"/>
      <c r="G270" s="626"/>
      <c r="H270" s="624"/>
      <c r="I270" s="601"/>
      <c r="J270" s="638"/>
      <c r="K270" s="626"/>
      <c r="L270" s="626"/>
      <c r="M270" s="624"/>
      <c r="N270" s="601"/>
      <c r="O270" s="638"/>
      <c r="P270" s="624"/>
      <c r="Q270" s="601"/>
      <c r="R270" s="601"/>
      <c r="S270" s="626"/>
      <c r="T270" s="601"/>
      <c r="U270" s="601"/>
      <c r="V270" s="601"/>
      <c r="W270" s="626"/>
      <c r="X270"/>
    </row>
    <row r="271" spans="1:24" ht="15.5">
      <c r="A271" s="128" t="s">
        <v>158</v>
      </c>
      <c r="B271" s="131" t="s">
        <v>101</v>
      </c>
      <c r="C271" s="626">
        <v>255</v>
      </c>
      <c r="D271" s="626"/>
      <c r="E271" s="626">
        <v>485</v>
      </c>
      <c r="F271" s="626">
        <v>5</v>
      </c>
      <c r="G271" s="626"/>
      <c r="H271" s="624"/>
      <c r="I271" s="601">
        <v>745</v>
      </c>
      <c r="J271" s="638"/>
      <c r="K271" s="626">
        <v>5856</v>
      </c>
      <c r="L271" s="626">
        <v>11016</v>
      </c>
      <c r="M271" s="624">
        <v>5677</v>
      </c>
      <c r="N271" s="601">
        <v>22549</v>
      </c>
      <c r="O271" s="638">
        <v>4714</v>
      </c>
      <c r="P271" s="624"/>
      <c r="Q271" s="601"/>
      <c r="R271" s="601">
        <v>4714</v>
      </c>
      <c r="S271" s="626"/>
      <c r="T271" s="601"/>
      <c r="U271" s="601"/>
      <c r="V271" s="601"/>
      <c r="W271" s="626">
        <v>28008</v>
      </c>
      <c r="X271"/>
    </row>
    <row r="272" spans="1:24" ht="16" thickBot="1">
      <c r="B272" s="131" t="s">
        <v>102</v>
      </c>
      <c r="C272" s="626">
        <v>278</v>
      </c>
      <c r="D272" s="626"/>
      <c r="E272" s="626">
        <v>500</v>
      </c>
      <c r="F272" s="626">
        <v>6</v>
      </c>
      <c r="G272" s="626"/>
      <c r="H272" s="624"/>
      <c r="I272" s="601">
        <v>784</v>
      </c>
      <c r="J272" s="638"/>
      <c r="K272" s="626">
        <v>6601</v>
      </c>
      <c r="L272" s="626">
        <v>11409</v>
      </c>
      <c r="M272" s="624">
        <v>6604</v>
      </c>
      <c r="N272" s="601">
        <v>24614</v>
      </c>
      <c r="O272" s="638">
        <v>4711</v>
      </c>
      <c r="P272" s="624"/>
      <c r="Q272" s="601"/>
      <c r="R272" s="601">
        <v>4711</v>
      </c>
      <c r="S272" s="626"/>
      <c r="T272" s="601"/>
      <c r="U272" s="601"/>
      <c r="V272" s="601"/>
      <c r="W272" s="626">
        <v>30109</v>
      </c>
      <c r="X272"/>
    </row>
    <row r="273" spans="1:24" s="149" customFormat="1" ht="16" thickBot="1">
      <c r="A273" s="128"/>
      <c r="B273" s="131" t="s">
        <v>103</v>
      </c>
      <c r="C273" s="662">
        <v>9.0196078431372548E-2</v>
      </c>
      <c r="D273" s="626">
        <v>0</v>
      </c>
      <c r="E273" s="662">
        <v>3.0927835051546393E-2</v>
      </c>
      <c r="F273" s="657">
        <v>0.2</v>
      </c>
      <c r="G273" s="626">
        <v>0</v>
      </c>
      <c r="H273" s="624">
        <v>0</v>
      </c>
      <c r="I273" s="601">
        <v>5.2348993288590606E-2</v>
      </c>
      <c r="J273" s="638">
        <v>0</v>
      </c>
      <c r="K273" s="657">
        <v>0.12721994535519127</v>
      </c>
      <c r="L273" s="626">
        <v>3.5675381263616558E-2</v>
      </c>
      <c r="M273" s="649">
        <v>0.16329047031883037</v>
      </c>
      <c r="N273" s="601">
        <v>9.1578340502904781E-2</v>
      </c>
      <c r="O273" s="662">
        <v>-6.3640220619431477E-4</v>
      </c>
      <c r="P273" s="624">
        <v>0</v>
      </c>
      <c r="Q273" s="601">
        <v>0</v>
      </c>
      <c r="R273" s="601">
        <v>-6.3640220619431477E-4</v>
      </c>
      <c r="S273" s="626">
        <v>0</v>
      </c>
      <c r="T273" s="601">
        <v>0</v>
      </c>
      <c r="U273" s="601">
        <v>0</v>
      </c>
      <c r="V273" s="601">
        <v>0</v>
      </c>
      <c r="W273" s="626">
        <v>7.5014281633818902E-2</v>
      </c>
      <c r="X273"/>
    </row>
    <row r="274" spans="1:24" ht="15.5">
      <c r="B274" s="65" t="s">
        <v>104</v>
      </c>
      <c r="C274" s="626"/>
      <c r="D274" s="626"/>
      <c r="E274" s="626"/>
      <c r="F274" s="626"/>
      <c r="G274" s="626"/>
      <c r="H274" s="624"/>
      <c r="I274" s="601"/>
      <c r="J274" s="638"/>
      <c r="K274" s="626"/>
      <c r="L274" s="626"/>
      <c r="M274" s="624"/>
      <c r="N274" s="601"/>
      <c r="O274" s="638"/>
      <c r="P274" s="624"/>
      <c r="Q274" s="601"/>
      <c r="R274" s="601"/>
      <c r="S274" s="626"/>
      <c r="T274" s="601"/>
      <c r="U274" s="601"/>
      <c r="V274" s="601"/>
      <c r="W274" s="626"/>
      <c r="X274"/>
    </row>
    <row r="275" spans="1:24" ht="16" thickBot="1">
      <c r="B275" s="65" t="s">
        <v>105</v>
      </c>
      <c r="C275" s="626"/>
      <c r="D275" s="626"/>
      <c r="E275" s="626"/>
      <c r="F275" s="626"/>
      <c r="G275" s="626"/>
      <c r="H275" s="624"/>
      <c r="I275" s="601"/>
      <c r="J275" s="638"/>
      <c r="K275" s="626"/>
      <c r="L275" s="626"/>
      <c r="M275" s="624"/>
      <c r="N275" s="601"/>
      <c r="O275" s="638"/>
      <c r="P275" s="624"/>
      <c r="Q275" s="601"/>
      <c r="R275" s="601"/>
      <c r="S275" s="626"/>
      <c r="T275" s="601"/>
      <c r="U275" s="601"/>
      <c r="V275" s="601"/>
      <c r="W275" s="626"/>
      <c r="X275"/>
    </row>
    <row r="276" spans="1:24" s="149" customFormat="1" ht="16" thickBot="1">
      <c r="A276" s="128"/>
      <c r="B276" s="65" t="s">
        <v>106</v>
      </c>
      <c r="C276" s="626">
        <v>0</v>
      </c>
      <c r="D276" s="626">
        <v>0</v>
      </c>
      <c r="E276" s="626">
        <v>0</v>
      </c>
      <c r="F276" s="657">
        <v>0</v>
      </c>
      <c r="G276" s="626">
        <v>0</v>
      </c>
      <c r="H276" s="624">
        <v>0</v>
      </c>
      <c r="I276" s="601">
        <v>0</v>
      </c>
      <c r="J276" s="638">
        <v>0</v>
      </c>
      <c r="K276" s="626">
        <v>0</v>
      </c>
      <c r="L276" s="626">
        <v>0</v>
      </c>
      <c r="M276" s="624">
        <v>0</v>
      </c>
      <c r="N276" s="601">
        <v>0</v>
      </c>
      <c r="O276" s="638">
        <v>0</v>
      </c>
      <c r="P276" s="624">
        <v>0</v>
      </c>
      <c r="Q276" s="601">
        <v>0</v>
      </c>
      <c r="R276" s="601">
        <v>0</v>
      </c>
      <c r="S276" s="626">
        <v>0</v>
      </c>
      <c r="T276" s="601">
        <v>0</v>
      </c>
      <c r="U276" s="601">
        <v>0</v>
      </c>
      <c r="V276" s="601">
        <v>0</v>
      </c>
      <c r="W276" s="626">
        <v>0</v>
      </c>
      <c r="X276"/>
    </row>
    <row r="277" spans="1:24" ht="15.5">
      <c r="B277" s="65" t="s">
        <v>107</v>
      </c>
      <c r="C277" s="626">
        <v>10</v>
      </c>
      <c r="D277" s="626"/>
      <c r="E277" s="626">
        <v>640</v>
      </c>
      <c r="F277" s="626">
        <v>32</v>
      </c>
      <c r="G277" s="626"/>
      <c r="H277" s="624"/>
      <c r="I277" s="601">
        <v>682</v>
      </c>
      <c r="J277" s="638"/>
      <c r="K277" s="626">
        <v>2727</v>
      </c>
      <c r="L277" s="626">
        <v>3705</v>
      </c>
      <c r="M277" s="624">
        <v>2230</v>
      </c>
      <c r="N277" s="601">
        <v>8662</v>
      </c>
      <c r="O277" s="638">
        <v>1203</v>
      </c>
      <c r="P277" s="624"/>
      <c r="Q277" s="601"/>
      <c r="R277" s="601">
        <v>1203</v>
      </c>
      <c r="S277" s="626"/>
      <c r="T277" s="601"/>
      <c r="U277" s="601"/>
      <c r="V277" s="601"/>
      <c r="W277" s="626">
        <v>10547</v>
      </c>
      <c r="X277"/>
    </row>
    <row r="278" spans="1:24" ht="16" thickBot="1">
      <c r="B278" s="65" t="s">
        <v>108</v>
      </c>
      <c r="C278" s="626">
        <v>5</v>
      </c>
      <c r="D278" s="626"/>
      <c r="E278" s="626">
        <v>572</v>
      </c>
      <c r="F278" s="626">
        <v>32</v>
      </c>
      <c r="G278" s="626"/>
      <c r="H278" s="624"/>
      <c r="I278" s="601">
        <v>609</v>
      </c>
      <c r="J278" s="638"/>
      <c r="K278" s="626">
        <v>2614</v>
      </c>
      <c r="L278" s="626">
        <v>3870</v>
      </c>
      <c r="M278" s="624">
        <v>2249</v>
      </c>
      <c r="N278" s="601">
        <v>8733</v>
      </c>
      <c r="O278" s="638">
        <v>1233</v>
      </c>
      <c r="P278" s="624"/>
      <c r="Q278" s="601"/>
      <c r="R278" s="601">
        <v>1233</v>
      </c>
      <c r="S278" s="626"/>
      <c r="T278" s="601"/>
      <c r="U278" s="601"/>
      <c r="V278" s="601"/>
      <c r="W278" s="626">
        <v>10575</v>
      </c>
      <c r="X278"/>
    </row>
    <row r="279" spans="1:24" s="149" customFormat="1" ht="16" thickBot="1">
      <c r="A279" s="128"/>
      <c r="B279" s="65" t="s">
        <v>109</v>
      </c>
      <c r="C279" s="657">
        <v>-0.5</v>
      </c>
      <c r="D279" s="626">
        <v>0</v>
      </c>
      <c r="E279" s="626">
        <v>-0.10625</v>
      </c>
      <c r="F279" s="626">
        <v>0</v>
      </c>
      <c r="G279" s="626">
        <v>0</v>
      </c>
      <c r="H279" s="624">
        <v>0</v>
      </c>
      <c r="I279" s="601">
        <v>-0.10703812316715543</v>
      </c>
      <c r="J279" s="638">
        <v>0</v>
      </c>
      <c r="K279" s="626">
        <v>-4.1437477081041438E-2</v>
      </c>
      <c r="L279" s="626">
        <v>4.4534412955465584E-2</v>
      </c>
      <c r="M279" s="624">
        <v>8.5201793721973087E-3</v>
      </c>
      <c r="N279" s="601">
        <v>8.1967213114754103E-3</v>
      </c>
      <c r="O279" s="662">
        <v>2.4937655860349128E-2</v>
      </c>
      <c r="P279" s="624">
        <v>0</v>
      </c>
      <c r="Q279" s="601">
        <v>0</v>
      </c>
      <c r="R279" s="601">
        <v>2.4937655860349128E-2</v>
      </c>
      <c r="S279" s="626">
        <v>0</v>
      </c>
      <c r="T279" s="601">
        <v>0</v>
      </c>
      <c r="U279" s="601">
        <v>0</v>
      </c>
      <c r="V279" s="601">
        <v>0</v>
      </c>
      <c r="W279" s="626">
        <v>2.6547833507158435E-3</v>
      </c>
      <c r="X279"/>
    </row>
    <row r="280" spans="1:24" ht="15.5">
      <c r="B280" s="65" t="s">
        <v>110</v>
      </c>
      <c r="C280" s="626">
        <v>8154</v>
      </c>
      <c r="D280" s="626"/>
      <c r="E280" s="626">
        <v>10645</v>
      </c>
      <c r="F280" s="626">
        <v>212</v>
      </c>
      <c r="G280" s="626"/>
      <c r="H280" s="624"/>
      <c r="I280" s="601">
        <v>19011</v>
      </c>
      <c r="J280" s="638"/>
      <c r="K280" s="626"/>
      <c r="L280" s="626"/>
      <c r="M280" s="624"/>
      <c r="N280" s="601"/>
      <c r="O280" s="638"/>
      <c r="P280" s="624"/>
      <c r="Q280" s="601"/>
      <c r="R280" s="601"/>
      <c r="S280" s="626"/>
      <c r="T280" s="601"/>
      <c r="U280" s="601"/>
      <c r="V280" s="601"/>
      <c r="W280" s="626">
        <v>19011</v>
      </c>
      <c r="X280"/>
    </row>
    <row r="281" spans="1:24" ht="15.5">
      <c r="B281" s="65" t="s">
        <v>111</v>
      </c>
      <c r="C281" s="626">
        <v>8314</v>
      </c>
      <c r="D281" s="626"/>
      <c r="E281" s="626">
        <v>10696</v>
      </c>
      <c r="F281" s="626">
        <v>137</v>
      </c>
      <c r="G281" s="626"/>
      <c r="H281" s="624"/>
      <c r="I281" s="601">
        <v>19147</v>
      </c>
      <c r="J281" s="638"/>
      <c r="K281" s="626"/>
      <c r="L281" s="626"/>
      <c r="M281" s="624"/>
      <c r="N281" s="601"/>
      <c r="O281" s="638"/>
      <c r="P281" s="624"/>
      <c r="Q281" s="601"/>
      <c r="R281" s="601"/>
      <c r="S281" s="626"/>
      <c r="T281" s="601"/>
      <c r="U281" s="601"/>
      <c r="V281" s="601"/>
      <c r="W281" s="626">
        <v>19147</v>
      </c>
      <c r="X281"/>
    </row>
    <row r="282" spans="1:24" s="149" customFormat="1" ht="15.5">
      <c r="A282" s="128"/>
      <c r="B282" s="65" t="s">
        <v>112</v>
      </c>
      <c r="C282" s="626">
        <v>1.9622271277900418E-2</v>
      </c>
      <c r="D282" s="626">
        <v>0</v>
      </c>
      <c r="E282" s="626">
        <v>4.7909816815406292E-3</v>
      </c>
      <c r="F282" s="626">
        <v>-0.35377358490566035</v>
      </c>
      <c r="G282" s="626">
        <v>0</v>
      </c>
      <c r="H282" s="624">
        <v>0</v>
      </c>
      <c r="I282" s="601">
        <v>7.1537530903161327E-3</v>
      </c>
      <c r="J282" s="638">
        <v>0</v>
      </c>
      <c r="K282" s="626">
        <v>0</v>
      </c>
      <c r="L282" s="626">
        <v>0</v>
      </c>
      <c r="M282" s="624">
        <v>0</v>
      </c>
      <c r="N282" s="601">
        <v>0</v>
      </c>
      <c r="O282" s="638">
        <v>0</v>
      </c>
      <c r="P282" s="624">
        <v>0</v>
      </c>
      <c r="Q282" s="601">
        <v>0</v>
      </c>
      <c r="R282" s="601">
        <v>0</v>
      </c>
      <c r="S282" s="626">
        <v>0</v>
      </c>
      <c r="T282" s="601">
        <v>0</v>
      </c>
      <c r="U282" s="601">
        <v>0</v>
      </c>
      <c r="V282" s="601">
        <v>0</v>
      </c>
      <c r="W282" s="626">
        <v>7.1537530903161327E-3</v>
      </c>
      <c r="X282"/>
    </row>
    <row r="283" spans="1:24" ht="15.5">
      <c r="B283" s="65" t="s">
        <v>113</v>
      </c>
      <c r="C283" s="626">
        <v>270</v>
      </c>
      <c r="D283" s="626"/>
      <c r="E283" s="626">
        <v>233</v>
      </c>
      <c r="F283" s="626"/>
      <c r="G283" s="626"/>
      <c r="H283" s="624"/>
      <c r="I283" s="601">
        <v>503</v>
      </c>
      <c r="J283" s="638"/>
      <c r="K283" s="626"/>
      <c r="L283" s="626"/>
      <c r="M283" s="624"/>
      <c r="N283" s="601"/>
      <c r="O283" s="638"/>
      <c r="P283" s="624"/>
      <c r="Q283" s="601"/>
      <c r="R283" s="601"/>
      <c r="S283" s="626"/>
      <c r="T283" s="601"/>
      <c r="U283" s="601"/>
      <c r="V283" s="601"/>
      <c r="W283" s="626">
        <v>503</v>
      </c>
      <c r="X283"/>
    </row>
    <row r="284" spans="1:24" ht="16" thickBot="1">
      <c r="B284" s="65" t="s">
        <v>114</v>
      </c>
      <c r="C284" s="626">
        <v>441</v>
      </c>
      <c r="D284" s="626"/>
      <c r="E284" s="626">
        <v>246</v>
      </c>
      <c r="F284" s="626"/>
      <c r="G284" s="626"/>
      <c r="H284" s="624"/>
      <c r="I284" s="601">
        <v>687</v>
      </c>
      <c r="J284" s="638"/>
      <c r="K284" s="626"/>
      <c r="L284" s="626"/>
      <c r="M284" s="624"/>
      <c r="N284" s="601"/>
      <c r="O284" s="638"/>
      <c r="P284" s="624"/>
      <c r="Q284" s="601"/>
      <c r="R284" s="601"/>
      <c r="S284" s="626"/>
      <c r="T284" s="601"/>
      <c r="U284" s="601"/>
      <c r="V284" s="601"/>
      <c r="W284" s="626">
        <v>687</v>
      </c>
      <c r="X284"/>
    </row>
    <row r="285" spans="1:24" s="149" customFormat="1" ht="16" thickBot="1">
      <c r="A285" s="128"/>
      <c r="B285" s="65" t="s">
        <v>115</v>
      </c>
      <c r="C285" s="662">
        <v>0.6333333333333333</v>
      </c>
      <c r="D285" s="626">
        <v>0</v>
      </c>
      <c r="E285" s="662">
        <v>5.5793991416309016E-2</v>
      </c>
      <c r="F285" s="657">
        <v>0</v>
      </c>
      <c r="G285" s="626">
        <v>0</v>
      </c>
      <c r="H285" s="624">
        <v>0</v>
      </c>
      <c r="I285" s="601">
        <v>0.36580516898608351</v>
      </c>
      <c r="J285" s="638">
        <v>0</v>
      </c>
      <c r="K285" s="626">
        <v>0</v>
      </c>
      <c r="L285" s="626">
        <v>0</v>
      </c>
      <c r="M285" s="624">
        <v>0</v>
      </c>
      <c r="N285" s="601">
        <v>0</v>
      </c>
      <c r="O285" s="638">
        <v>0</v>
      </c>
      <c r="P285" s="624">
        <v>0</v>
      </c>
      <c r="Q285" s="601">
        <v>0</v>
      </c>
      <c r="R285" s="601">
        <v>0</v>
      </c>
      <c r="S285" s="626">
        <v>0</v>
      </c>
      <c r="T285" s="601">
        <v>0</v>
      </c>
      <c r="U285" s="601">
        <v>0</v>
      </c>
      <c r="V285" s="601">
        <v>0</v>
      </c>
      <c r="W285" s="626">
        <v>0.36580516898608351</v>
      </c>
      <c r="X285"/>
    </row>
    <row r="286" spans="1:24" ht="15.5">
      <c r="B286" s="65" t="s">
        <v>116</v>
      </c>
      <c r="C286" s="626">
        <v>2719</v>
      </c>
      <c r="D286" s="626"/>
      <c r="E286" s="626">
        <v>2864</v>
      </c>
      <c r="F286" s="626">
        <v>49</v>
      </c>
      <c r="G286" s="626"/>
      <c r="H286" s="624"/>
      <c r="I286" s="601">
        <v>5632</v>
      </c>
      <c r="J286" s="638"/>
      <c r="K286" s="626">
        <v>0</v>
      </c>
      <c r="L286" s="626">
        <v>0</v>
      </c>
      <c r="M286" s="624">
        <v>0</v>
      </c>
      <c r="N286" s="601">
        <v>0</v>
      </c>
      <c r="O286" s="638">
        <v>0</v>
      </c>
      <c r="P286" s="624"/>
      <c r="Q286" s="601"/>
      <c r="R286" s="601">
        <v>0</v>
      </c>
      <c r="S286" s="626"/>
      <c r="T286" s="601"/>
      <c r="U286" s="601"/>
      <c r="V286" s="601"/>
      <c r="W286" s="626">
        <v>5632</v>
      </c>
      <c r="X286"/>
    </row>
    <row r="287" spans="1:24" ht="15.5">
      <c r="B287" s="65" t="s">
        <v>117</v>
      </c>
      <c r="C287" s="626">
        <v>2683</v>
      </c>
      <c r="D287" s="626"/>
      <c r="E287" s="626">
        <v>2878</v>
      </c>
      <c r="F287" s="626">
        <v>28</v>
      </c>
      <c r="G287" s="626"/>
      <c r="H287" s="624"/>
      <c r="I287" s="601">
        <v>5589</v>
      </c>
      <c r="J287" s="638"/>
      <c r="K287" s="626">
        <v>0</v>
      </c>
      <c r="L287" s="626">
        <v>0</v>
      </c>
      <c r="M287" s="624">
        <v>0</v>
      </c>
      <c r="N287" s="601">
        <v>0</v>
      </c>
      <c r="O287" s="638">
        <v>0</v>
      </c>
      <c r="P287" s="624"/>
      <c r="Q287" s="601"/>
      <c r="R287" s="601">
        <v>0</v>
      </c>
      <c r="S287" s="626"/>
      <c r="T287" s="601"/>
      <c r="U287" s="601"/>
      <c r="V287" s="601"/>
      <c r="W287" s="626">
        <v>5589</v>
      </c>
      <c r="X287"/>
    </row>
    <row r="288" spans="1:24" s="149" customFormat="1" ht="15.5">
      <c r="A288" s="128"/>
      <c r="B288" s="65" t="s">
        <v>118</v>
      </c>
      <c r="C288" s="626">
        <v>-1.3240161824200073E-2</v>
      </c>
      <c r="D288" s="626">
        <v>0</v>
      </c>
      <c r="E288" s="626">
        <v>4.8882681564245811E-3</v>
      </c>
      <c r="F288" s="626">
        <v>-0.42857142857142855</v>
      </c>
      <c r="G288" s="626">
        <v>0</v>
      </c>
      <c r="H288" s="624">
        <v>0</v>
      </c>
      <c r="I288" s="601">
        <v>-7.634943181818182E-3</v>
      </c>
      <c r="J288" s="638">
        <v>0</v>
      </c>
      <c r="K288" s="626">
        <v>0</v>
      </c>
      <c r="L288" s="626">
        <v>0</v>
      </c>
      <c r="M288" s="624">
        <v>0</v>
      </c>
      <c r="N288" s="601">
        <v>0</v>
      </c>
      <c r="O288" s="638">
        <v>0</v>
      </c>
      <c r="P288" s="624">
        <v>0</v>
      </c>
      <c r="Q288" s="601">
        <v>0</v>
      </c>
      <c r="R288" s="601">
        <v>0</v>
      </c>
      <c r="S288" s="626">
        <v>0</v>
      </c>
      <c r="T288" s="601">
        <v>0</v>
      </c>
      <c r="U288" s="601">
        <v>0</v>
      </c>
      <c r="V288" s="601">
        <v>0</v>
      </c>
      <c r="W288" s="626">
        <v>-7.634943181818182E-3</v>
      </c>
      <c r="X288"/>
    </row>
    <row r="289" spans="1:24" ht="15.5">
      <c r="B289" s="65" t="s">
        <v>119</v>
      </c>
      <c r="C289" s="626">
        <v>503</v>
      </c>
      <c r="D289" s="626"/>
      <c r="E289" s="626">
        <v>0</v>
      </c>
      <c r="F289" s="626">
        <v>0</v>
      </c>
      <c r="G289" s="626"/>
      <c r="H289" s="624"/>
      <c r="I289" s="601">
        <v>503</v>
      </c>
      <c r="J289" s="638"/>
      <c r="K289" s="626">
        <v>0</v>
      </c>
      <c r="L289" s="626">
        <v>0</v>
      </c>
      <c r="M289" s="624">
        <v>0</v>
      </c>
      <c r="N289" s="601">
        <v>0</v>
      </c>
      <c r="O289" s="638">
        <v>0</v>
      </c>
      <c r="P289" s="624"/>
      <c r="Q289" s="601"/>
      <c r="R289" s="601">
        <v>0</v>
      </c>
      <c r="S289" s="626"/>
      <c r="T289" s="601"/>
      <c r="U289" s="601"/>
      <c r="V289" s="601"/>
      <c r="W289" s="626">
        <v>503</v>
      </c>
      <c r="X289"/>
    </row>
    <row r="290" spans="1:24" ht="16" thickBot="1">
      <c r="B290" s="65" t="s">
        <v>120</v>
      </c>
      <c r="C290" s="626">
        <v>477</v>
      </c>
      <c r="D290" s="626"/>
      <c r="E290" s="626">
        <v>0</v>
      </c>
      <c r="F290" s="626">
        <v>0</v>
      </c>
      <c r="G290" s="626"/>
      <c r="H290" s="624"/>
      <c r="I290" s="601">
        <v>477</v>
      </c>
      <c r="J290" s="638"/>
      <c r="K290" s="626">
        <v>0</v>
      </c>
      <c r="L290" s="626">
        <v>0</v>
      </c>
      <c r="M290" s="624">
        <v>0</v>
      </c>
      <c r="N290" s="601">
        <v>0</v>
      </c>
      <c r="O290" s="638">
        <v>0</v>
      </c>
      <c r="P290" s="624"/>
      <c r="Q290" s="601"/>
      <c r="R290" s="601">
        <v>0</v>
      </c>
      <c r="S290" s="626"/>
      <c r="T290" s="601"/>
      <c r="U290" s="601"/>
      <c r="V290" s="601"/>
      <c r="W290" s="626">
        <v>477</v>
      </c>
      <c r="X290"/>
    </row>
    <row r="291" spans="1:24" s="149" customFormat="1" ht="16" thickBot="1">
      <c r="A291" s="128"/>
      <c r="B291" s="65" t="s">
        <v>121</v>
      </c>
      <c r="C291" s="657">
        <v>-5.168986083499006E-2</v>
      </c>
      <c r="D291" s="626">
        <v>0</v>
      </c>
      <c r="E291" s="626">
        <v>0</v>
      </c>
      <c r="F291" s="657">
        <v>0</v>
      </c>
      <c r="G291" s="626">
        <v>0</v>
      </c>
      <c r="H291" s="624">
        <v>0</v>
      </c>
      <c r="I291" s="601">
        <v>-5.168986083499006E-2</v>
      </c>
      <c r="J291" s="638">
        <v>0</v>
      </c>
      <c r="K291" s="626">
        <v>0</v>
      </c>
      <c r="L291" s="626">
        <v>0</v>
      </c>
      <c r="M291" s="624">
        <v>0</v>
      </c>
      <c r="N291" s="601">
        <v>0</v>
      </c>
      <c r="O291" s="638">
        <v>0</v>
      </c>
      <c r="P291" s="624">
        <v>0</v>
      </c>
      <c r="Q291" s="601">
        <v>0</v>
      </c>
      <c r="R291" s="601">
        <v>0</v>
      </c>
      <c r="S291" s="626">
        <v>0</v>
      </c>
      <c r="T291" s="601">
        <v>0</v>
      </c>
      <c r="U291" s="601">
        <v>0</v>
      </c>
      <c r="V291" s="601">
        <v>0</v>
      </c>
      <c r="W291" s="626">
        <v>-5.168986083499006E-2</v>
      </c>
      <c r="X291"/>
    </row>
    <row r="292" spans="1:24" ht="15.5">
      <c r="B292" s="65" t="s">
        <v>122</v>
      </c>
      <c r="C292" s="626">
        <v>270</v>
      </c>
      <c r="D292" s="626"/>
      <c r="E292" s="626">
        <v>119</v>
      </c>
      <c r="F292" s="626"/>
      <c r="G292" s="626"/>
      <c r="H292" s="624"/>
      <c r="I292" s="601">
        <v>389</v>
      </c>
      <c r="J292" s="638"/>
      <c r="K292" s="626"/>
      <c r="L292" s="626"/>
      <c r="M292" s="624"/>
      <c r="N292" s="601"/>
      <c r="O292" s="638"/>
      <c r="P292" s="624"/>
      <c r="Q292" s="601"/>
      <c r="R292" s="601"/>
      <c r="S292" s="626"/>
      <c r="T292" s="601"/>
      <c r="U292" s="601"/>
      <c r="V292" s="601"/>
      <c r="W292" s="626">
        <v>389</v>
      </c>
      <c r="X292"/>
    </row>
    <row r="293" spans="1:24" ht="15.5">
      <c r="B293" s="65" t="s">
        <v>123</v>
      </c>
      <c r="C293" s="626">
        <v>235</v>
      </c>
      <c r="D293" s="626"/>
      <c r="E293" s="626">
        <v>115</v>
      </c>
      <c r="F293" s="626"/>
      <c r="G293" s="626"/>
      <c r="H293" s="624"/>
      <c r="I293" s="601">
        <v>350</v>
      </c>
      <c r="J293" s="638"/>
      <c r="K293" s="626"/>
      <c r="L293" s="626"/>
      <c r="M293" s="624"/>
      <c r="N293" s="601"/>
      <c r="O293" s="638"/>
      <c r="P293" s="624"/>
      <c r="Q293" s="601"/>
      <c r="R293" s="601"/>
      <c r="S293" s="626"/>
      <c r="T293" s="601"/>
      <c r="U293" s="601"/>
      <c r="V293" s="601"/>
      <c r="W293" s="626">
        <v>350</v>
      </c>
      <c r="X293"/>
    </row>
    <row r="294" spans="1:24" s="149" customFormat="1" ht="15.5">
      <c r="A294" s="128"/>
      <c r="B294" s="65" t="s">
        <v>124</v>
      </c>
      <c r="C294" s="626">
        <v>-0.12962962962962962</v>
      </c>
      <c r="D294" s="626">
        <v>0</v>
      </c>
      <c r="E294" s="626">
        <v>-3.3613445378151259E-2</v>
      </c>
      <c r="F294" s="626">
        <v>0</v>
      </c>
      <c r="G294" s="626">
        <v>0</v>
      </c>
      <c r="H294" s="624">
        <v>0</v>
      </c>
      <c r="I294" s="601">
        <v>-0.10025706940874037</v>
      </c>
      <c r="J294" s="638">
        <v>0</v>
      </c>
      <c r="K294" s="626">
        <v>0</v>
      </c>
      <c r="L294" s="626">
        <v>0</v>
      </c>
      <c r="M294" s="624">
        <v>0</v>
      </c>
      <c r="N294" s="601">
        <v>0</v>
      </c>
      <c r="O294" s="638">
        <v>0</v>
      </c>
      <c r="P294" s="624">
        <v>0</v>
      </c>
      <c r="Q294" s="601">
        <v>0</v>
      </c>
      <c r="R294" s="601">
        <v>0</v>
      </c>
      <c r="S294" s="626">
        <v>0</v>
      </c>
      <c r="T294" s="601">
        <v>0</v>
      </c>
      <c r="U294" s="601">
        <v>0</v>
      </c>
      <c r="V294" s="601">
        <v>0</v>
      </c>
      <c r="W294" s="626">
        <v>-0.10025706940874037</v>
      </c>
      <c r="X294"/>
    </row>
    <row r="295" spans="1:24" ht="15.5">
      <c r="B295" s="65" t="s">
        <v>125</v>
      </c>
      <c r="C295" s="626">
        <v>279</v>
      </c>
      <c r="D295" s="626"/>
      <c r="E295" s="626"/>
      <c r="F295" s="626"/>
      <c r="G295" s="626"/>
      <c r="H295" s="624"/>
      <c r="I295" s="601">
        <v>279</v>
      </c>
      <c r="J295" s="638"/>
      <c r="K295" s="626"/>
      <c r="L295" s="626"/>
      <c r="M295" s="624"/>
      <c r="N295" s="601"/>
      <c r="O295" s="638"/>
      <c r="P295" s="624"/>
      <c r="Q295" s="601"/>
      <c r="R295" s="601"/>
      <c r="S295" s="626"/>
      <c r="T295" s="601"/>
      <c r="U295" s="601"/>
      <c r="V295" s="601"/>
      <c r="W295" s="626">
        <v>279</v>
      </c>
      <c r="X295"/>
    </row>
    <row r="296" spans="1:24" ht="16" thickBot="1">
      <c r="B296" s="65" t="s">
        <v>126</v>
      </c>
      <c r="C296" s="626">
        <v>293</v>
      </c>
      <c r="D296" s="626"/>
      <c r="E296" s="626"/>
      <c r="F296" s="626"/>
      <c r="G296" s="626"/>
      <c r="H296" s="624"/>
      <c r="I296" s="601">
        <v>293</v>
      </c>
      <c r="J296" s="638"/>
      <c r="K296" s="626"/>
      <c r="L296" s="626"/>
      <c r="M296" s="624"/>
      <c r="N296" s="601"/>
      <c r="O296" s="638"/>
      <c r="P296" s="624"/>
      <c r="Q296" s="601"/>
      <c r="R296" s="601"/>
      <c r="S296" s="626"/>
      <c r="T296" s="601"/>
      <c r="U296" s="601"/>
      <c r="V296" s="601"/>
      <c r="W296" s="626">
        <v>293</v>
      </c>
      <c r="X296"/>
    </row>
    <row r="297" spans="1:24" s="149" customFormat="1" ht="16" thickBot="1">
      <c r="A297" s="128"/>
      <c r="B297" s="65" t="s">
        <v>127</v>
      </c>
      <c r="C297" s="657">
        <v>5.0179211469534052E-2</v>
      </c>
      <c r="D297" s="626">
        <v>0</v>
      </c>
      <c r="E297" s="626">
        <v>0</v>
      </c>
      <c r="F297" s="626">
        <v>0</v>
      </c>
      <c r="G297" s="626">
        <v>0</v>
      </c>
      <c r="H297" s="624">
        <v>0</v>
      </c>
      <c r="I297" s="601">
        <v>5.0179211469534052E-2</v>
      </c>
      <c r="J297" s="638">
        <v>0</v>
      </c>
      <c r="K297" s="626">
        <v>0</v>
      </c>
      <c r="L297" s="626">
        <v>0</v>
      </c>
      <c r="M297" s="624">
        <v>0</v>
      </c>
      <c r="N297" s="601">
        <v>0</v>
      </c>
      <c r="O297" s="638">
        <v>0</v>
      </c>
      <c r="P297" s="624">
        <v>0</v>
      </c>
      <c r="Q297" s="601">
        <v>0</v>
      </c>
      <c r="R297" s="601">
        <v>0</v>
      </c>
      <c r="S297" s="626">
        <v>0</v>
      </c>
      <c r="T297" s="601">
        <v>0</v>
      </c>
      <c r="U297" s="601">
        <v>0</v>
      </c>
      <c r="V297" s="601">
        <v>0</v>
      </c>
      <c r="W297" s="626">
        <v>5.0179211469534052E-2</v>
      </c>
      <c r="X297"/>
    </row>
    <row r="298" spans="1:24" ht="15.5">
      <c r="B298" s="65" t="s">
        <v>128</v>
      </c>
      <c r="C298" s="626">
        <v>171</v>
      </c>
      <c r="D298" s="626"/>
      <c r="E298" s="626"/>
      <c r="F298" s="626"/>
      <c r="G298" s="626"/>
      <c r="H298" s="624"/>
      <c r="I298" s="601">
        <v>171</v>
      </c>
      <c r="J298" s="638"/>
      <c r="K298" s="626"/>
      <c r="L298" s="626"/>
      <c r="M298" s="624"/>
      <c r="N298" s="601"/>
      <c r="O298" s="638"/>
      <c r="P298" s="624"/>
      <c r="Q298" s="601"/>
      <c r="R298" s="601"/>
      <c r="S298" s="626"/>
      <c r="T298" s="601"/>
      <c r="U298" s="601"/>
      <c r="V298" s="601"/>
      <c r="W298" s="626">
        <v>171</v>
      </c>
      <c r="X298"/>
    </row>
    <row r="299" spans="1:24" ht="15.5">
      <c r="B299" s="65" t="s">
        <v>129</v>
      </c>
      <c r="C299" s="626">
        <v>182</v>
      </c>
      <c r="D299" s="626"/>
      <c r="E299" s="626"/>
      <c r="F299" s="626"/>
      <c r="G299" s="626"/>
      <c r="H299" s="624"/>
      <c r="I299" s="601">
        <v>182</v>
      </c>
      <c r="J299" s="638"/>
      <c r="K299" s="626"/>
      <c r="L299" s="626"/>
      <c r="M299" s="624"/>
      <c r="N299" s="601"/>
      <c r="O299" s="638"/>
      <c r="P299" s="624"/>
      <c r="Q299" s="601"/>
      <c r="R299" s="601"/>
      <c r="S299" s="626"/>
      <c r="T299" s="601"/>
      <c r="U299" s="601"/>
      <c r="V299" s="601"/>
      <c r="W299" s="626">
        <v>182</v>
      </c>
      <c r="X299"/>
    </row>
    <row r="300" spans="1:24" s="149" customFormat="1" ht="15.5">
      <c r="A300" s="128"/>
      <c r="B300" s="65" t="s">
        <v>130</v>
      </c>
      <c r="C300" s="648">
        <v>6.4327485380116955E-2</v>
      </c>
      <c r="D300" s="626">
        <v>0</v>
      </c>
      <c r="E300" s="626">
        <v>0</v>
      </c>
      <c r="F300" s="626">
        <v>0</v>
      </c>
      <c r="G300" s="626">
        <v>0</v>
      </c>
      <c r="H300" s="624">
        <v>0</v>
      </c>
      <c r="I300" s="601">
        <v>6.4327485380116955E-2</v>
      </c>
      <c r="J300" s="638">
        <v>0</v>
      </c>
      <c r="K300" s="626">
        <v>0</v>
      </c>
      <c r="L300" s="626">
        <v>0</v>
      </c>
      <c r="M300" s="624">
        <v>0</v>
      </c>
      <c r="N300" s="601">
        <v>0</v>
      </c>
      <c r="O300" s="638">
        <v>0</v>
      </c>
      <c r="P300" s="624">
        <v>0</v>
      </c>
      <c r="Q300" s="601">
        <v>0</v>
      </c>
      <c r="R300" s="601">
        <v>0</v>
      </c>
      <c r="S300" s="626">
        <v>0</v>
      </c>
      <c r="T300" s="601">
        <v>0</v>
      </c>
      <c r="U300" s="601">
        <v>0</v>
      </c>
      <c r="V300" s="601">
        <v>0</v>
      </c>
      <c r="W300" s="626">
        <v>6.4327485380116955E-2</v>
      </c>
      <c r="X300"/>
    </row>
    <row r="301" spans="1:24" ht="15.5">
      <c r="B301" s="65" t="s">
        <v>131</v>
      </c>
      <c r="C301" s="626">
        <v>141</v>
      </c>
      <c r="D301" s="626"/>
      <c r="E301" s="626"/>
      <c r="F301" s="626"/>
      <c r="G301" s="626"/>
      <c r="H301" s="624"/>
      <c r="I301" s="601">
        <v>141</v>
      </c>
      <c r="J301" s="638"/>
      <c r="K301" s="626"/>
      <c r="L301" s="626"/>
      <c r="M301" s="624"/>
      <c r="N301" s="601"/>
      <c r="O301" s="638"/>
      <c r="P301" s="624"/>
      <c r="Q301" s="601"/>
      <c r="R301" s="601"/>
      <c r="S301" s="626"/>
      <c r="T301" s="601"/>
      <c r="U301" s="601"/>
      <c r="V301" s="601"/>
      <c r="W301" s="626">
        <v>141</v>
      </c>
      <c r="X301"/>
    </row>
    <row r="302" spans="1:24" ht="15.5">
      <c r="B302" s="65" t="s">
        <v>132</v>
      </c>
      <c r="C302" s="626">
        <v>136</v>
      </c>
      <c r="D302" s="626"/>
      <c r="E302" s="626"/>
      <c r="F302" s="626"/>
      <c r="G302" s="626"/>
      <c r="H302" s="624"/>
      <c r="I302" s="601">
        <v>136</v>
      </c>
      <c r="J302" s="638"/>
      <c r="K302" s="626"/>
      <c r="L302" s="626"/>
      <c r="M302" s="624"/>
      <c r="N302" s="601"/>
      <c r="O302" s="638"/>
      <c r="P302" s="624"/>
      <c r="Q302" s="601"/>
      <c r="R302" s="601"/>
      <c r="S302" s="626"/>
      <c r="T302" s="601"/>
      <c r="U302" s="601"/>
      <c r="V302" s="601"/>
      <c r="W302" s="626">
        <v>136</v>
      </c>
      <c r="X302"/>
    </row>
    <row r="303" spans="1:24" s="149" customFormat="1" ht="15.5">
      <c r="A303" s="128"/>
      <c r="B303" s="65" t="s">
        <v>133</v>
      </c>
      <c r="C303" s="626">
        <v>-3.5460992907801421E-2</v>
      </c>
      <c r="D303" s="626">
        <v>0</v>
      </c>
      <c r="E303" s="626">
        <v>0</v>
      </c>
      <c r="F303" s="626">
        <v>0</v>
      </c>
      <c r="G303" s="626">
        <v>0</v>
      </c>
      <c r="H303" s="624">
        <v>0</v>
      </c>
      <c r="I303" s="601">
        <v>-3.5460992907801421E-2</v>
      </c>
      <c r="J303" s="638">
        <v>0</v>
      </c>
      <c r="K303" s="626">
        <v>0</v>
      </c>
      <c r="L303" s="626">
        <v>0</v>
      </c>
      <c r="M303" s="624">
        <v>0</v>
      </c>
      <c r="N303" s="601">
        <v>0</v>
      </c>
      <c r="O303" s="638">
        <v>0</v>
      </c>
      <c r="P303" s="624">
        <v>0</v>
      </c>
      <c r="Q303" s="601">
        <v>0</v>
      </c>
      <c r="R303" s="601">
        <v>0</v>
      </c>
      <c r="S303" s="626">
        <v>0</v>
      </c>
      <c r="T303" s="601">
        <v>0</v>
      </c>
      <c r="U303" s="601">
        <v>0</v>
      </c>
      <c r="V303" s="601">
        <v>0</v>
      </c>
      <c r="W303" s="626">
        <v>-3.5460992907801421E-2</v>
      </c>
      <c r="X303"/>
    </row>
    <row r="304" spans="1:24" ht="15.5">
      <c r="B304" s="65" t="s">
        <v>134</v>
      </c>
      <c r="C304" s="626"/>
      <c r="D304" s="626"/>
      <c r="E304" s="626"/>
      <c r="F304" s="626"/>
      <c r="G304" s="626"/>
      <c r="H304" s="624"/>
      <c r="I304" s="601"/>
      <c r="J304" s="638"/>
      <c r="K304" s="626"/>
      <c r="L304" s="626"/>
      <c r="M304" s="624"/>
      <c r="N304" s="601"/>
      <c r="O304" s="638"/>
      <c r="P304" s="624"/>
      <c r="Q304" s="601"/>
      <c r="R304" s="601"/>
      <c r="S304" s="626"/>
      <c r="T304" s="601"/>
      <c r="U304" s="601"/>
      <c r="V304" s="601"/>
      <c r="W304" s="626"/>
      <c r="X304"/>
    </row>
    <row r="305" spans="1:24" ht="15.5">
      <c r="B305" s="65" t="s">
        <v>135</v>
      </c>
      <c r="C305" s="626"/>
      <c r="D305" s="626"/>
      <c r="E305" s="626"/>
      <c r="F305" s="626"/>
      <c r="G305" s="626"/>
      <c r="H305" s="624"/>
      <c r="I305" s="601"/>
      <c r="J305" s="638"/>
      <c r="K305" s="626"/>
      <c r="L305" s="626"/>
      <c r="M305" s="624"/>
      <c r="N305" s="601"/>
      <c r="O305" s="638"/>
      <c r="P305" s="624"/>
      <c r="Q305" s="601"/>
      <c r="R305" s="601"/>
      <c r="S305" s="626"/>
      <c r="T305" s="601"/>
      <c r="U305" s="601"/>
      <c r="V305" s="601"/>
      <c r="W305" s="626"/>
      <c r="X305"/>
    </row>
    <row r="306" spans="1:24" s="149" customFormat="1" ht="15.5">
      <c r="A306" s="128"/>
      <c r="B306" s="65" t="s">
        <v>136</v>
      </c>
      <c r="C306" s="626">
        <v>0</v>
      </c>
      <c r="D306" s="626">
        <v>0</v>
      </c>
      <c r="E306" s="626">
        <v>0</v>
      </c>
      <c r="F306" s="626">
        <v>0</v>
      </c>
      <c r="G306" s="626">
        <v>0</v>
      </c>
      <c r="H306" s="624">
        <v>0</v>
      </c>
      <c r="I306" s="601">
        <v>0</v>
      </c>
      <c r="J306" s="638">
        <v>0</v>
      </c>
      <c r="K306" s="626">
        <v>0</v>
      </c>
      <c r="L306" s="626">
        <v>0</v>
      </c>
      <c r="M306" s="624">
        <v>0</v>
      </c>
      <c r="N306" s="601">
        <v>0</v>
      </c>
      <c r="O306" s="638">
        <v>0</v>
      </c>
      <c r="P306" s="624">
        <v>0</v>
      </c>
      <c r="Q306" s="601">
        <v>0</v>
      </c>
      <c r="R306" s="601">
        <v>0</v>
      </c>
      <c r="S306" s="626">
        <v>0</v>
      </c>
      <c r="T306" s="601">
        <v>0</v>
      </c>
      <c r="U306" s="601">
        <v>0</v>
      </c>
      <c r="V306" s="601">
        <v>0</v>
      </c>
      <c r="W306" s="626">
        <v>0</v>
      </c>
      <c r="X306"/>
    </row>
    <row r="307" spans="1:24" ht="15.5">
      <c r="B307" s="65" t="s">
        <v>137</v>
      </c>
      <c r="C307" s="626"/>
      <c r="D307" s="626"/>
      <c r="E307" s="626"/>
      <c r="F307" s="626"/>
      <c r="G307" s="626"/>
      <c r="H307" s="624"/>
      <c r="I307" s="601"/>
      <c r="J307" s="638"/>
      <c r="K307" s="626"/>
      <c r="L307" s="626"/>
      <c r="M307" s="624"/>
      <c r="N307" s="601"/>
      <c r="O307" s="638"/>
      <c r="P307" s="624"/>
      <c r="Q307" s="601"/>
      <c r="R307" s="601"/>
      <c r="S307" s="626"/>
      <c r="T307" s="601"/>
      <c r="U307" s="601"/>
      <c r="V307" s="601"/>
      <c r="W307" s="626"/>
      <c r="X307"/>
    </row>
    <row r="308" spans="1:24" ht="15.5">
      <c r="B308" s="65" t="s">
        <v>138</v>
      </c>
      <c r="C308" s="626"/>
      <c r="D308" s="626"/>
      <c r="E308" s="626"/>
      <c r="F308" s="626"/>
      <c r="G308" s="626"/>
      <c r="H308" s="624"/>
      <c r="I308" s="601"/>
      <c r="J308" s="638"/>
      <c r="K308" s="626"/>
      <c r="L308" s="626"/>
      <c r="M308" s="624"/>
      <c r="N308" s="601"/>
      <c r="O308" s="638"/>
      <c r="P308" s="624"/>
      <c r="Q308" s="601"/>
      <c r="R308" s="601"/>
      <c r="S308" s="626"/>
      <c r="T308" s="601"/>
      <c r="U308" s="601"/>
      <c r="V308" s="601"/>
      <c r="W308" s="626"/>
      <c r="X308"/>
    </row>
    <row r="309" spans="1:24" s="149" customFormat="1" ht="15.5">
      <c r="A309" s="128"/>
      <c r="B309" s="65" t="s">
        <v>139</v>
      </c>
      <c r="C309" s="626">
        <v>0</v>
      </c>
      <c r="D309" s="626">
        <v>0</v>
      </c>
      <c r="E309" s="626">
        <v>0</v>
      </c>
      <c r="F309" s="626">
        <v>0</v>
      </c>
      <c r="G309" s="626">
        <v>0</v>
      </c>
      <c r="H309" s="624">
        <v>0</v>
      </c>
      <c r="I309" s="601">
        <v>0</v>
      </c>
      <c r="J309" s="638">
        <v>0</v>
      </c>
      <c r="K309" s="626">
        <v>0</v>
      </c>
      <c r="L309" s="626">
        <v>0</v>
      </c>
      <c r="M309" s="624">
        <v>0</v>
      </c>
      <c r="N309" s="601">
        <v>0</v>
      </c>
      <c r="O309" s="638">
        <v>0</v>
      </c>
      <c r="P309" s="624">
        <v>0</v>
      </c>
      <c r="Q309" s="601">
        <v>0</v>
      </c>
      <c r="R309" s="601">
        <v>0</v>
      </c>
      <c r="S309" s="626">
        <v>0</v>
      </c>
      <c r="T309" s="601">
        <v>0</v>
      </c>
      <c r="U309" s="601">
        <v>0</v>
      </c>
      <c r="V309" s="601">
        <v>0</v>
      </c>
      <c r="W309" s="626">
        <v>0</v>
      </c>
      <c r="X309"/>
    </row>
    <row r="310" spans="1:24" ht="15.5">
      <c r="B310" s="65" t="s">
        <v>140</v>
      </c>
      <c r="C310" s="626"/>
      <c r="D310" s="626"/>
      <c r="E310" s="626"/>
      <c r="F310" s="626"/>
      <c r="G310" s="626"/>
      <c r="H310" s="624"/>
      <c r="I310" s="601"/>
      <c r="J310" s="638"/>
      <c r="K310" s="626"/>
      <c r="L310" s="626"/>
      <c r="M310" s="624"/>
      <c r="N310" s="601"/>
      <c r="O310" s="638"/>
      <c r="P310" s="624"/>
      <c r="Q310" s="601"/>
      <c r="R310" s="601"/>
      <c r="S310" s="626"/>
      <c r="T310" s="601"/>
      <c r="U310" s="601"/>
      <c r="V310" s="601"/>
      <c r="W310" s="626"/>
      <c r="X310"/>
    </row>
    <row r="311" spans="1:24" ht="15.5">
      <c r="B311" s="65" t="s">
        <v>141</v>
      </c>
      <c r="C311" s="626"/>
      <c r="D311" s="626"/>
      <c r="E311" s="626"/>
      <c r="F311" s="626"/>
      <c r="G311" s="626"/>
      <c r="H311" s="624"/>
      <c r="I311" s="601"/>
      <c r="J311" s="638"/>
      <c r="K311" s="626"/>
      <c r="L311" s="626"/>
      <c r="M311" s="624"/>
      <c r="N311" s="601"/>
      <c r="O311" s="638"/>
      <c r="P311" s="624"/>
      <c r="Q311" s="601"/>
      <c r="R311" s="601"/>
      <c r="S311" s="626"/>
      <c r="T311" s="601"/>
      <c r="U311" s="601"/>
      <c r="V311" s="601"/>
      <c r="W311" s="626"/>
      <c r="X311"/>
    </row>
    <row r="312" spans="1:24" s="149" customFormat="1" ht="15.5">
      <c r="A312" s="128"/>
      <c r="B312" s="65" t="s">
        <v>142</v>
      </c>
      <c r="C312" s="626">
        <v>0</v>
      </c>
      <c r="D312" s="626">
        <v>0</v>
      </c>
      <c r="E312" s="626">
        <v>0</v>
      </c>
      <c r="F312" s="626">
        <v>0</v>
      </c>
      <c r="G312" s="626">
        <v>0</v>
      </c>
      <c r="H312" s="624">
        <v>0</v>
      </c>
      <c r="I312" s="601">
        <v>0</v>
      </c>
      <c r="J312" s="638">
        <v>0</v>
      </c>
      <c r="K312" s="626">
        <v>0</v>
      </c>
      <c r="L312" s="626">
        <v>0</v>
      </c>
      <c r="M312" s="624">
        <v>0</v>
      </c>
      <c r="N312" s="601">
        <v>0</v>
      </c>
      <c r="O312" s="638">
        <v>0</v>
      </c>
      <c r="P312" s="624">
        <v>0</v>
      </c>
      <c r="Q312" s="601">
        <v>0</v>
      </c>
      <c r="R312" s="601">
        <v>0</v>
      </c>
      <c r="S312" s="626">
        <v>0</v>
      </c>
      <c r="T312" s="601">
        <v>0</v>
      </c>
      <c r="U312" s="601">
        <v>0</v>
      </c>
      <c r="V312" s="601">
        <v>0</v>
      </c>
      <c r="W312" s="626">
        <v>0</v>
      </c>
      <c r="X312"/>
    </row>
    <row r="313" spans="1:24" ht="15.5">
      <c r="B313" s="65" t="s">
        <v>143</v>
      </c>
      <c r="C313" s="626"/>
      <c r="D313" s="626"/>
      <c r="E313" s="626"/>
      <c r="F313" s="626"/>
      <c r="G313" s="626"/>
      <c r="H313" s="624"/>
      <c r="I313" s="601"/>
      <c r="J313" s="638"/>
      <c r="K313" s="626"/>
      <c r="L313" s="626"/>
      <c r="M313" s="624"/>
      <c r="N313" s="601"/>
      <c r="O313" s="638"/>
      <c r="P313" s="624"/>
      <c r="Q313" s="601"/>
      <c r="R313" s="601"/>
      <c r="S313" s="626"/>
      <c r="T313" s="601"/>
      <c r="U313" s="601"/>
      <c r="V313" s="601"/>
      <c r="W313" s="626"/>
      <c r="X313"/>
    </row>
    <row r="314" spans="1:24" ht="15.5">
      <c r="B314" s="65" t="s">
        <v>144</v>
      </c>
      <c r="C314" s="626"/>
      <c r="D314" s="626"/>
      <c r="E314" s="626"/>
      <c r="F314" s="626"/>
      <c r="G314" s="626"/>
      <c r="H314" s="624"/>
      <c r="I314" s="601"/>
      <c r="J314" s="638"/>
      <c r="K314" s="626"/>
      <c r="L314" s="626"/>
      <c r="M314" s="624"/>
      <c r="N314" s="601"/>
      <c r="O314" s="638"/>
      <c r="P314" s="624"/>
      <c r="Q314" s="601"/>
      <c r="R314" s="601"/>
      <c r="S314" s="626"/>
      <c r="T314" s="601"/>
      <c r="U314" s="601"/>
      <c r="V314" s="601"/>
      <c r="W314" s="626"/>
      <c r="X314"/>
    </row>
    <row r="315" spans="1:24" s="149" customFormat="1" ht="15.5">
      <c r="A315" s="128"/>
      <c r="B315" s="65" t="s">
        <v>145</v>
      </c>
      <c r="C315" s="626">
        <v>0</v>
      </c>
      <c r="D315" s="626">
        <v>0</v>
      </c>
      <c r="E315" s="626">
        <v>0</v>
      </c>
      <c r="F315" s="626">
        <v>0</v>
      </c>
      <c r="G315" s="626">
        <v>0</v>
      </c>
      <c r="H315" s="624">
        <v>0</v>
      </c>
      <c r="I315" s="601">
        <v>0</v>
      </c>
      <c r="J315" s="638">
        <v>0</v>
      </c>
      <c r="K315" s="626">
        <v>0</v>
      </c>
      <c r="L315" s="626">
        <v>0</v>
      </c>
      <c r="M315" s="624">
        <v>0</v>
      </c>
      <c r="N315" s="601">
        <v>0</v>
      </c>
      <c r="O315" s="638">
        <v>0</v>
      </c>
      <c r="P315" s="624">
        <v>0</v>
      </c>
      <c r="Q315" s="601">
        <v>0</v>
      </c>
      <c r="R315" s="601">
        <v>0</v>
      </c>
      <c r="S315" s="626">
        <v>0</v>
      </c>
      <c r="T315" s="601">
        <v>0</v>
      </c>
      <c r="U315" s="601">
        <v>0</v>
      </c>
      <c r="V315" s="601">
        <v>0</v>
      </c>
      <c r="W315" s="626">
        <v>0</v>
      </c>
      <c r="X315"/>
    </row>
    <row r="316" spans="1:24" ht="15.5">
      <c r="B316" s="65" t="s">
        <v>146</v>
      </c>
      <c r="C316" s="626"/>
      <c r="D316" s="626"/>
      <c r="E316" s="626"/>
      <c r="F316" s="626"/>
      <c r="G316" s="626"/>
      <c r="H316" s="624"/>
      <c r="I316" s="601"/>
      <c r="J316" s="638"/>
      <c r="K316" s="626"/>
      <c r="L316" s="626"/>
      <c r="M316" s="624"/>
      <c r="N316" s="601"/>
      <c r="O316" s="638"/>
      <c r="P316" s="624"/>
      <c r="Q316" s="601"/>
      <c r="R316" s="601"/>
      <c r="S316" s="626"/>
      <c r="T316" s="601"/>
      <c r="U316" s="601"/>
      <c r="V316" s="601"/>
      <c r="W316" s="626"/>
      <c r="X316"/>
    </row>
    <row r="317" spans="1:24" ht="15.5">
      <c r="B317" s="65" t="s">
        <v>147</v>
      </c>
      <c r="C317" s="626"/>
      <c r="D317" s="626"/>
      <c r="E317" s="626"/>
      <c r="F317" s="626"/>
      <c r="G317" s="626"/>
      <c r="H317" s="624"/>
      <c r="I317" s="601"/>
      <c r="J317" s="638"/>
      <c r="K317" s="626"/>
      <c r="L317" s="626"/>
      <c r="M317" s="624"/>
      <c r="N317" s="601"/>
      <c r="O317" s="638"/>
      <c r="P317" s="624"/>
      <c r="Q317" s="601"/>
      <c r="R317" s="601"/>
      <c r="S317" s="626"/>
      <c r="T317" s="601"/>
      <c r="U317" s="601"/>
      <c r="V317" s="601"/>
      <c r="W317" s="626"/>
      <c r="X317"/>
    </row>
    <row r="318" spans="1:24" s="149" customFormat="1" ht="15.5">
      <c r="A318" s="128"/>
      <c r="B318" s="65" t="s">
        <v>148</v>
      </c>
      <c r="C318" s="626">
        <v>0</v>
      </c>
      <c r="D318" s="626">
        <v>0</v>
      </c>
      <c r="E318" s="626">
        <v>0</v>
      </c>
      <c r="F318" s="626">
        <v>0</v>
      </c>
      <c r="G318" s="626">
        <v>0</v>
      </c>
      <c r="H318" s="624">
        <v>0</v>
      </c>
      <c r="I318" s="601">
        <v>0</v>
      </c>
      <c r="J318" s="638">
        <v>0</v>
      </c>
      <c r="K318" s="626">
        <v>0</v>
      </c>
      <c r="L318" s="626">
        <v>0</v>
      </c>
      <c r="M318" s="624">
        <v>0</v>
      </c>
      <c r="N318" s="601">
        <v>0</v>
      </c>
      <c r="O318" s="638">
        <v>0</v>
      </c>
      <c r="P318" s="624">
        <v>0</v>
      </c>
      <c r="Q318" s="601">
        <v>0</v>
      </c>
      <c r="R318" s="601">
        <v>0</v>
      </c>
      <c r="S318" s="626">
        <v>0</v>
      </c>
      <c r="T318" s="601">
        <v>0</v>
      </c>
      <c r="U318" s="601">
        <v>0</v>
      </c>
      <c r="V318" s="601">
        <v>0</v>
      </c>
      <c r="W318" s="626">
        <v>0</v>
      </c>
      <c r="X318"/>
    </row>
    <row r="319" spans="1:24" ht="15.5">
      <c r="B319" s="65" t="s">
        <v>149</v>
      </c>
      <c r="C319" s="626">
        <v>144</v>
      </c>
      <c r="D319" s="626"/>
      <c r="E319" s="626">
        <v>119</v>
      </c>
      <c r="F319" s="626">
        <v>2</v>
      </c>
      <c r="G319" s="626"/>
      <c r="H319" s="624"/>
      <c r="I319" s="601">
        <v>265</v>
      </c>
      <c r="J319" s="638"/>
      <c r="K319" s="626"/>
      <c r="L319" s="626"/>
      <c r="M319" s="624"/>
      <c r="N319" s="601"/>
      <c r="O319" s="638"/>
      <c r="P319" s="624"/>
      <c r="Q319" s="601"/>
      <c r="R319" s="601"/>
      <c r="S319" s="626"/>
      <c r="T319" s="601"/>
      <c r="U319" s="601"/>
      <c r="V319" s="601"/>
      <c r="W319" s="626">
        <v>265</v>
      </c>
      <c r="X319"/>
    </row>
    <row r="320" spans="1:24" ht="16" thickBot="1">
      <c r="B320" s="65" t="s">
        <v>150</v>
      </c>
      <c r="C320" s="626">
        <v>183</v>
      </c>
      <c r="D320" s="626"/>
      <c r="E320" s="626">
        <v>177</v>
      </c>
      <c r="F320" s="626">
        <v>2</v>
      </c>
      <c r="G320" s="626"/>
      <c r="H320" s="624"/>
      <c r="I320" s="601">
        <v>362</v>
      </c>
      <c r="J320" s="638"/>
      <c r="K320" s="626"/>
      <c r="L320" s="626"/>
      <c r="M320" s="624"/>
      <c r="N320" s="601"/>
      <c r="O320" s="638"/>
      <c r="P320" s="624"/>
      <c r="Q320" s="601"/>
      <c r="R320" s="601"/>
      <c r="S320" s="626"/>
      <c r="T320" s="601"/>
      <c r="U320" s="601"/>
      <c r="V320" s="601"/>
      <c r="W320" s="626">
        <v>362</v>
      </c>
      <c r="X320"/>
    </row>
    <row r="321" spans="1:24" s="149" customFormat="1" ht="16" thickBot="1">
      <c r="A321" s="128"/>
      <c r="B321" s="65" t="s">
        <v>151</v>
      </c>
      <c r="C321" s="626">
        <v>0.27083333333333331</v>
      </c>
      <c r="D321" s="626">
        <v>0</v>
      </c>
      <c r="E321" s="657">
        <v>0.48739495798319327</v>
      </c>
      <c r="F321" s="626">
        <v>0</v>
      </c>
      <c r="G321" s="626">
        <v>0</v>
      </c>
      <c r="H321" s="624">
        <v>0</v>
      </c>
      <c r="I321" s="601">
        <v>0.36603773584905658</v>
      </c>
      <c r="J321" s="638">
        <v>0</v>
      </c>
      <c r="K321" s="626">
        <v>0</v>
      </c>
      <c r="L321" s="626">
        <v>0</v>
      </c>
      <c r="M321" s="624">
        <v>0</v>
      </c>
      <c r="N321" s="601">
        <v>0</v>
      </c>
      <c r="O321" s="638">
        <v>0</v>
      </c>
      <c r="P321" s="624">
        <v>0</v>
      </c>
      <c r="Q321" s="601">
        <v>0</v>
      </c>
      <c r="R321" s="601">
        <v>0</v>
      </c>
      <c r="S321" s="626">
        <v>0</v>
      </c>
      <c r="T321" s="601">
        <v>0</v>
      </c>
      <c r="U321" s="601">
        <v>0</v>
      </c>
      <c r="V321" s="601">
        <v>0</v>
      </c>
      <c r="W321" s="626">
        <v>0.36603773584905658</v>
      </c>
      <c r="X321"/>
    </row>
    <row r="322" spans="1:24" ht="15.5">
      <c r="B322" s="65" t="s">
        <v>152</v>
      </c>
      <c r="C322" s="626"/>
      <c r="D322" s="626"/>
      <c r="E322" s="626">
        <v>74</v>
      </c>
      <c r="F322" s="626"/>
      <c r="G322" s="626"/>
      <c r="H322" s="624"/>
      <c r="I322" s="601">
        <v>74</v>
      </c>
      <c r="J322" s="638"/>
      <c r="K322" s="626"/>
      <c r="L322" s="626"/>
      <c r="M322" s="624"/>
      <c r="N322" s="601"/>
      <c r="O322" s="638"/>
      <c r="P322" s="624"/>
      <c r="Q322" s="601"/>
      <c r="R322" s="601"/>
      <c r="S322" s="626"/>
      <c r="T322" s="601"/>
      <c r="U322" s="601"/>
      <c r="V322" s="601"/>
      <c r="W322" s="626">
        <v>74</v>
      </c>
      <c r="X322"/>
    </row>
    <row r="323" spans="1:24" s="149" customFormat="1" ht="15.5">
      <c r="A323" s="128"/>
      <c r="B323" s="65" t="s">
        <v>153</v>
      </c>
      <c r="C323" s="626"/>
      <c r="D323" s="626"/>
      <c r="E323" s="626">
        <v>70</v>
      </c>
      <c r="F323" s="626"/>
      <c r="G323" s="626"/>
      <c r="H323" s="624"/>
      <c r="I323" s="601">
        <v>70</v>
      </c>
      <c r="J323" s="638"/>
      <c r="K323" s="626"/>
      <c r="L323" s="626"/>
      <c r="M323" s="624"/>
      <c r="N323" s="601"/>
      <c r="O323" s="638"/>
      <c r="P323" s="624"/>
      <c r="Q323" s="601"/>
      <c r="R323" s="601"/>
      <c r="S323" s="626"/>
      <c r="T323" s="601"/>
      <c r="U323" s="601"/>
      <c r="V323" s="601"/>
      <c r="W323" s="626">
        <v>70</v>
      </c>
      <c r="X323"/>
    </row>
    <row r="324" spans="1:24" ht="15.5">
      <c r="A324" s="128" t="s">
        <v>159</v>
      </c>
      <c r="B324" s="131" t="s">
        <v>101</v>
      </c>
      <c r="C324" s="626"/>
      <c r="D324" s="626"/>
      <c r="E324" s="626"/>
      <c r="F324" s="626"/>
      <c r="G324" s="626"/>
      <c r="H324" s="624">
        <v>7</v>
      </c>
      <c r="I324" s="601">
        <v>7</v>
      </c>
      <c r="J324" s="638"/>
      <c r="K324" s="626">
        <v>3360</v>
      </c>
      <c r="L324" s="626">
        <v>2827</v>
      </c>
      <c r="M324" s="624">
        <v>1178</v>
      </c>
      <c r="N324" s="601">
        <v>7365</v>
      </c>
      <c r="O324" s="638">
        <v>3929</v>
      </c>
      <c r="P324" s="624">
        <v>575</v>
      </c>
      <c r="Q324" s="601"/>
      <c r="R324" s="601">
        <v>4504</v>
      </c>
      <c r="S324" s="626"/>
      <c r="T324" s="601"/>
      <c r="U324" s="601"/>
      <c r="V324" s="601"/>
      <c r="W324" s="626">
        <v>11876</v>
      </c>
      <c r="X324"/>
    </row>
    <row r="325" spans="1:24" ht="16" thickBot="1">
      <c r="B325" s="131" t="s">
        <v>102</v>
      </c>
      <c r="C325" s="626"/>
      <c r="D325" s="626">
        <v>1</v>
      </c>
      <c r="E325" s="626"/>
      <c r="F325" s="626"/>
      <c r="G325" s="626"/>
      <c r="H325" s="624">
        <v>4</v>
      </c>
      <c r="I325" s="601">
        <v>5</v>
      </c>
      <c r="J325" s="638"/>
      <c r="K325" s="626">
        <v>3567</v>
      </c>
      <c r="L325" s="626">
        <v>3862</v>
      </c>
      <c r="M325" s="624">
        <v>1335</v>
      </c>
      <c r="N325" s="601">
        <v>8764</v>
      </c>
      <c r="O325" s="638">
        <v>5641</v>
      </c>
      <c r="P325" s="624">
        <v>860</v>
      </c>
      <c r="Q325" s="601"/>
      <c r="R325" s="601">
        <v>6501</v>
      </c>
      <c r="S325" s="626"/>
      <c r="T325" s="601"/>
      <c r="U325" s="601"/>
      <c r="V325" s="601"/>
      <c r="W325" s="626">
        <v>15270</v>
      </c>
      <c r="X325"/>
    </row>
    <row r="326" spans="1:24" s="149" customFormat="1" ht="16" thickBot="1">
      <c r="A326" s="128"/>
      <c r="B326" s="131" t="s">
        <v>103</v>
      </c>
      <c r="C326" s="626">
        <v>0</v>
      </c>
      <c r="D326" s="626">
        <v>0</v>
      </c>
      <c r="E326" s="626">
        <v>0</v>
      </c>
      <c r="F326" s="626">
        <v>0</v>
      </c>
      <c r="G326" s="626">
        <v>0</v>
      </c>
      <c r="H326" s="657">
        <v>-0.42857142857142855</v>
      </c>
      <c r="I326" s="601">
        <v>-0.2857142857142857</v>
      </c>
      <c r="J326" s="638">
        <v>0</v>
      </c>
      <c r="K326" s="648">
        <v>6.160714285714286E-2</v>
      </c>
      <c r="L326" s="657">
        <v>0.36611248673505481</v>
      </c>
      <c r="M326" s="662">
        <v>0.13327674023769101</v>
      </c>
      <c r="N326" s="601">
        <v>0.18995247793618467</v>
      </c>
      <c r="O326" s="662">
        <v>0.43573428353270555</v>
      </c>
      <c r="P326" s="624">
        <v>0.4956521739130435</v>
      </c>
      <c r="Q326" s="601">
        <v>0</v>
      </c>
      <c r="R326" s="601">
        <v>0.44338365896980464</v>
      </c>
      <c r="S326" s="626">
        <v>0</v>
      </c>
      <c r="T326" s="601">
        <v>0</v>
      </c>
      <c r="U326" s="601">
        <v>0</v>
      </c>
      <c r="V326" s="601">
        <v>0</v>
      </c>
      <c r="W326" s="626">
        <v>0.28578646008757158</v>
      </c>
      <c r="X326"/>
    </row>
    <row r="327" spans="1:24" ht="15.5">
      <c r="B327" s="65" t="s">
        <v>104</v>
      </c>
      <c r="C327" s="626"/>
      <c r="D327" s="626"/>
      <c r="E327" s="626"/>
      <c r="F327" s="626"/>
      <c r="G327" s="626"/>
      <c r="H327" s="624"/>
      <c r="I327" s="601"/>
      <c r="J327" s="638"/>
      <c r="K327" s="626"/>
      <c r="L327" s="626"/>
      <c r="M327" s="624"/>
      <c r="N327" s="601"/>
      <c r="O327" s="638"/>
      <c r="P327" s="624"/>
      <c r="Q327" s="601"/>
      <c r="R327" s="601"/>
      <c r="S327" s="626"/>
      <c r="T327" s="601"/>
      <c r="U327" s="601"/>
      <c r="V327" s="601"/>
      <c r="W327" s="626"/>
      <c r="X327"/>
    </row>
    <row r="328" spans="1:24" ht="15.5">
      <c r="B328" s="65" t="s">
        <v>105</v>
      </c>
      <c r="C328" s="626"/>
      <c r="D328" s="626"/>
      <c r="E328" s="626"/>
      <c r="F328" s="626"/>
      <c r="G328" s="626"/>
      <c r="H328" s="624"/>
      <c r="I328" s="601"/>
      <c r="J328" s="638"/>
      <c r="K328" s="626"/>
      <c r="L328" s="626"/>
      <c r="M328" s="624"/>
      <c r="N328" s="601"/>
      <c r="O328" s="638"/>
      <c r="P328" s="624"/>
      <c r="Q328" s="601"/>
      <c r="R328" s="601"/>
      <c r="S328" s="626"/>
      <c r="T328" s="601"/>
      <c r="U328" s="601"/>
      <c r="V328" s="601"/>
      <c r="W328" s="626"/>
      <c r="X328"/>
    </row>
    <row r="329" spans="1:24" s="149" customFormat="1" ht="15.5">
      <c r="A329" s="128"/>
      <c r="B329" s="65" t="s">
        <v>106</v>
      </c>
      <c r="C329" s="626">
        <v>0</v>
      </c>
      <c r="D329" s="626">
        <v>0</v>
      </c>
      <c r="E329" s="626">
        <v>0</v>
      </c>
      <c r="F329" s="626">
        <v>0</v>
      </c>
      <c r="G329" s="626">
        <v>0</v>
      </c>
      <c r="H329" s="624">
        <v>0</v>
      </c>
      <c r="I329" s="601">
        <v>0</v>
      </c>
      <c r="J329" s="638">
        <v>0</v>
      </c>
      <c r="K329" s="626">
        <v>0</v>
      </c>
      <c r="L329" s="626">
        <v>0</v>
      </c>
      <c r="M329" s="624">
        <v>0</v>
      </c>
      <c r="N329" s="601">
        <v>0</v>
      </c>
      <c r="O329" s="638">
        <v>0</v>
      </c>
      <c r="P329" s="624">
        <v>0</v>
      </c>
      <c r="Q329" s="601">
        <v>0</v>
      </c>
      <c r="R329" s="601">
        <v>0</v>
      </c>
      <c r="S329" s="626">
        <v>0</v>
      </c>
      <c r="T329" s="601">
        <v>0</v>
      </c>
      <c r="U329" s="601">
        <v>0</v>
      </c>
      <c r="V329" s="601">
        <v>0</v>
      </c>
      <c r="W329" s="626">
        <v>0</v>
      </c>
      <c r="X329"/>
    </row>
    <row r="330" spans="1:24" ht="15.5">
      <c r="B330" s="65" t="s">
        <v>107</v>
      </c>
      <c r="C330" s="626"/>
      <c r="D330" s="626">
        <v>61</v>
      </c>
      <c r="E330" s="626">
        <v>156</v>
      </c>
      <c r="F330" s="626">
        <v>564</v>
      </c>
      <c r="G330" s="626">
        <v>12</v>
      </c>
      <c r="H330" s="624">
        <v>125</v>
      </c>
      <c r="I330" s="601">
        <v>918</v>
      </c>
      <c r="J330" s="638"/>
      <c r="K330" s="626">
        <v>1701</v>
      </c>
      <c r="L330" s="626">
        <v>1946</v>
      </c>
      <c r="M330" s="624">
        <v>613</v>
      </c>
      <c r="N330" s="601">
        <v>4260</v>
      </c>
      <c r="O330" s="638">
        <v>786</v>
      </c>
      <c r="P330" s="624">
        <v>18</v>
      </c>
      <c r="Q330" s="601"/>
      <c r="R330" s="601">
        <v>804</v>
      </c>
      <c r="S330" s="626">
        <v>2</v>
      </c>
      <c r="T330" s="601">
        <v>2</v>
      </c>
      <c r="U330" s="601"/>
      <c r="V330" s="601"/>
      <c r="W330" s="626">
        <v>5984</v>
      </c>
      <c r="X330"/>
    </row>
    <row r="331" spans="1:24" ht="16" thickBot="1">
      <c r="B331" s="65" t="s">
        <v>108</v>
      </c>
      <c r="C331" s="626"/>
      <c r="D331" s="626">
        <v>62</v>
      </c>
      <c r="E331" s="626">
        <v>204</v>
      </c>
      <c r="F331" s="626">
        <v>531</v>
      </c>
      <c r="G331" s="626">
        <v>15</v>
      </c>
      <c r="H331" s="624">
        <v>125</v>
      </c>
      <c r="I331" s="601">
        <v>937</v>
      </c>
      <c r="J331" s="638"/>
      <c r="K331" s="626">
        <v>1703</v>
      </c>
      <c r="L331" s="626">
        <v>2023</v>
      </c>
      <c r="M331" s="624">
        <v>519</v>
      </c>
      <c r="N331" s="601">
        <v>4245</v>
      </c>
      <c r="O331" s="638">
        <v>769</v>
      </c>
      <c r="P331" s="624">
        <v>9</v>
      </c>
      <c r="Q331" s="601"/>
      <c r="R331" s="601">
        <v>778</v>
      </c>
      <c r="S331" s="626">
        <v>5</v>
      </c>
      <c r="T331" s="601">
        <v>5</v>
      </c>
      <c r="U331" s="601"/>
      <c r="V331" s="601"/>
      <c r="W331" s="626">
        <v>5965</v>
      </c>
      <c r="X331"/>
    </row>
    <row r="332" spans="1:24" s="149" customFormat="1" ht="16" thickBot="1">
      <c r="A332" s="128"/>
      <c r="B332" s="65" t="s">
        <v>109</v>
      </c>
      <c r="C332" s="626">
        <v>0</v>
      </c>
      <c r="D332" s="657">
        <v>1.6393442622950821E-2</v>
      </c>
      <c r="E332" s="648">
        <v>0.30769230769230771</v>
      </c>
      <c r="F332" s="657">
        <v>-5.8510638297872342E-2</v>
      </c>
      <c r="G332" s="648">
        <v>0.25</v>
      </c>
      <c r="H332" s="624">
        <v>0</v>
      </c>
      <c r="I332" s="601">
        <v>2.0697167755991286E-2</v>
      </c>
      <c r="J332" s="638">
        <v>0</v>
      </c>
      <c r="K332" s="626">
        <v>1.1757789535567313E-3</v>
      </c>
      <c r="L332" s="626">
        <v>3.9568345323741004E-2</v>
      </c>
      <c r="M332" s="624">
        <v>-0.15334420880913541</v>
      </c>
      <c r="N332" s="601">
        <v>-3.5211267605633804E-3</v>
      </c>
      <c r="O332" s="652">
        <v>-2.1628498727735368E-2</v>
      </c>
      <c r="P332" s="624">
        <v>-0.5</v>
      </c>
      <c r="Q332" s="601">
        <v>0</v>
      </c>
      <c r="R332" s="601">
        <v>-3.2338308457711441E-2</v>
      </c>
      <c r="S332" s="648">
        <v>1.5</v>
      </c>
      <c r="T332" s="601">
        <v>1.5</v>
      </c>
      <c r="U332" s="601">
        <v>0</v>
      </c>
      <c r="V332" s="601">
        <v>0</v>
      </c>
      <c r="W332" s="626">
        <v>-3.1751336898395723E-3</v>
      </c>
      <c r="X332"/>
    </row>
    <row r="333" spans="1:24" ht="15.5">
      <c r="B333" s="65" t="s">
        <v>110</v>
      </c>
      <c r="C333" s="626">
        <v>5097</v>
      </c>
      <c r="D333" s="626">
        <v>5470</v>
      </c>
      <c r="E333" s="626">
        <v>4761</v>
      </c>
      <c r="F333" s="626">
        <v>3185</v>
      </c>
      <c r="G333" s="626">
        <v>288</v>
      </c>
      <c r="H333" s="624">
        <v>390</v>
      </c>
      <c r="I333" s="601">
        <v>19191</v>
      </c>
      <c r="J333" s="638"/>
      <c r="K333" s="626"/>
      <c r="L333" s="626"/>
      <c r="M333" s="624"/>
      <c r="N333" s="601"/>
      <c r="O333" s="638"/>
      <c r="P333" s="624"/>
      <c r="Q333" s="601"/>
      <c r="R333" s="601"/>
      <c r="S333" s="626">
        <v>341</v>
      </c>
      <c r="T333" s="601">
        <v>341</v>
      </c>
      <c r="U333" s="601"/>
      <c r="V333" s="601"/>
      <c r="W333" s="626">
        <v>19532</v>
      </c>
      <c r="X333"/>
    </row>
    <row r="334" spans="1:24" ht="15.5">
      <c r="B334" s="65" t="s">
        <v>111</v>
      </c>
      <c r="C334" s="626">
        <v>4971</v>
      </c>
      <c r="D334" s="626">
        <v>5540</v>
      </c>
      <c r="E334" s="626">
        <v>4776</v>
      </c>
      <c r="F334" s="626">
        <v>3218</v>
      </c>
      <c r="G334" s="626">
        <v>263</v>
      </c>
      <c r="H334" s="624">
        <v>443</v>
      </c>
      <c r="I334" s="601">
        <v>19211</v>
      </c>
      <c r="J334" s="638"/>
      <c r="K334" s="626"/>
      <c r="L334" s="626"/>
      <c r="M334" s="624"/>
      <c r="N334" s="601"/>
      <c r="O334" s="638"/>
      <c r="P334" s="624"/>
      <c r="Q334" s="601"/>
      <c r="R334" s="601"/>
      <c r="S334" s="626">
        <v>346</v>
      </c>
      <c r="T334" s="601">
        <v>346</v>
      </c>
      <c r="U334" s="601"/>
      <c r="V334" s="601"/>
      <c r="W334" s="626">
        <v>19557</v>
      </c>
      <c r="X334"/>
    </row>
    <row r="335" spans="1:24" s="149" customFormat="1" ht="15.5">
      <c r="A335" s="128"/>
      <c r="B335" s="65" t="s">
        <v>112</v>
      </c>
      <c r="C335" s="626">
        <v>-2.4720423778693348E-2</v>
      </c>
      <c r="D335" s="626">
        <v>1.2797074954296161E-2</v>
      </c>
      <c r="E335" s="626">
        <v>3.1505986137366098E-3</v>
      </c>
      <c r="F335" s="626">
        <v>1.0361067503924647E-2</v>
      </c>
      <c r="G335" s="626">
        <v>-8.6805555555555552E-2</v>
      </c>
      <c r="H335" s="624">
        <v>0.13589743589743589</v>
      </c>
      <c r="I335" s="601">
        <v>1.0421551769058412E-3</v>
      </c>
      <c r="J335" s="638">
        <v>0</v>
      </c>
      <c r="K335" s="626">
        <v>0</v>
      </c>
      <c r="L335" s="626">
        <v>0</v>
      </c>
      <c r="M335" s="624">
        <v>0</v>
      </c>
      <c r="N335" s="601">
        <v>0</v>
      </c>
      <c r="O335" s="638">
        <v>0</v>
      </c>
      <c r="P335" s="624">
        <v>0</v>
      </c>
      <c r="Q335" s="601">
        <v>0</v>
      </c>
      <c r="R335" s="601">
        <v>0</v>
      </c>
      <c r="S335" s="648">
        <v>1.466275659824047E-2</v>
      </c>
      <c r="T335" s="601">
        <v>1.466275659824047E-2</v>
      </c>
      <c r="U335" s="601">
        <v>0</v>
      </c>
      <c r="V335" s="601">
        <v>0</v>
      </c>
      <c r="W335" s="626">
        <v>1.2799508498873642E-3</v>
      </c>
      <c r="X335"/>
    </row>
    <row r="336" spans="1:24" ht="15.5">
      <c r="B336" s="65" t="s">
        <v>113</v>
      </c>
      <c r="C336" s="626">
        <v>97</v>
      </c>
      <c r="D336" s="626">
        <v>27</v>
      </c>
      <c r="E336" s="626">
        <v>26</v>
      </c>
      <c r="F336" s="626">
        <v>60</v>
      </c>
      <c r="G336" s="626"/>
      <c r="H336" s="624">
        <v>18</v>
      </c>
      <c r="I336" s="601">
        <v>228</v>
      </c>
      <c r="J336" s="638"/>
      <c r="K336" s="626"/>
      <c r="L336" s="626"/>
      <c r="M336" s="624"/>
      <c r="N336" s="601"/>
      <c r="O336" s="638"/>
      <c r="P336" s="624"/>
      <c r="Q336" s="601"/>
      <c r="R336" s="601"/>
      <c r="S336" s="626"/>
      <c r="T336" s="601"/>
      <c r="U336" s="601"/>
      <c r="V336" s="601"/>
      <c r="W336" s="626">
        <v>228</v>
      </c>
      <c r="X336"/>
    </row>
    <row r="337" spans="1:24" ht="16" thickBot="1">
      <c r="B337" s="65" t="s">
        <v>114</v>
      </c>
      <c r="C337" s="648">
        <v>81</v>
      </c>
      <c r="D337" s="626">
        <v>20</v>
      </c>
      <c r="E337" s="626">
        <v>39</v>
      </c>
      <c r="F337" s="626">
        <v>46</v>
      </c>
      <c r="G337" s="626"/>
      <c r="H337" s="624">
        <v>20</v>
      </c>
      <c r="I337" s="601">
        <v>206</v>
      </c>
      <c r="J337" s="638"/>
      <c r="K337" s="626"/>
      <c r="L337" s="626"/>
      <c r="M337" s="624"/>
      <c r="N337" s="601"/>
      <c r="O337" s="638"/>
      <c r="P337" s="624"/>
      <c r="Q337" s="601"/>
      <c r="R337" s="601"/>
      <c r="S337" s="626"/>
      <c r="T337" s="601"/>
      <c r="U337" s="601"/>
      <c r="V337" s="601"/>
      <c r="W337" s="626">
        <v>206</v>
      </c>
      <c r="X337"/>
    </row>
    <row r="338" spans="1:24" s="149" customFormat="1" ht="16" thickBot="1">
      <c r="A338" s="128"/>
      <c r="B338" s="65" t="s">
        <v>115</v>
      </c>
      <c r="C338" s="626">
        <v>-0.16494845360824742</v>
      </c>
      <c r="D338" s="657">
        <v>-0.25925925925925924</v>
      </c>
      <c r="E338" s="626">
        <v>0.5</v>
      </c>
      <c r="F338" s="626">
        <v>-0.23333333333333334</v>
      </c>
      <c r="G338" s="626">
        <v>0</v>
      </c>
      <c r="H338" s="624">
        <v>0.1111111111111111</v>
      </c>
      <c r="I338" s="601">
        <v>-9.6491228070175433E-2</v>
      </c>
      <c r="J338" s="638">
        <v>0</v>
      </c>
      <c r="K338" s="626">
        <v>0</v>
      </c>
      <c r="L338" s="626">
        <v>0</v>
      </c>
      <c r="M338" s="624">
        <v>0</v>
      </c>
      <c r="N338" s="601">
        <v>0</v>
      </c>
      <c r="O338" s="638">
        <v>0</v>
      </c>
      <c r="P338" s="624">
        <v>0</v>
      </c>
      <c r="Q338" s="601">
        <v>0</v>
      </c>
      <c r="R338" s="601">
        <v>0</v>
      </c>
      <c r="S338" s="626">
        <v>0</v>
      </c>
      <c r="T338" s="601">
        <v>0</v>
      </c>
      <c r="U338" s="601">
        <v>0</v>
      </c>
      <c r="V338" s="601">
        <v>0</v>
      </c>
      <c r="W338" s="626">
        <v>-9.6491228070175433E-2</v>
      </c>
      <c r="X338"/>
    </row>
    <row r="339" spans="1:24" ht="15.5">
      <c r="B339" s="65" t="s">
        <v>116</v>
      </c>
      <c r="C339" s="626">
        <v>1410</v>
      </c>
      <c r="D339" s="626">
        <v>1552</v>
      </c>
      <c r="E339" s="626">
        <v>1044</v>
      </c>
      <c r="F339" s="626">
        <v>2490</v>
      </c>
      <c r="G339" s="626">
        <v>170</v>
      </c>
      <c r="H339" s="624">
        <v>0</v>
      </c>
      <c r="I339" s="601">
        <v>6666</v>
      </c>
      <c r="J339" s="638"/>
      <c r="K339" s="626">
        <v>0</v>
      </c>
      <c r="L339" s="626">
        <v>0</v>
      </c>
      <c r="M339" s="624">
        <v>0</v>
      </c>
      <c r="N339" s="601">
        <v>0</v>
      </c>
      <c r="O339" s="638">
        <v>0</v>
      </c>
      <c r="P339" s="624">
        <v>0</v>
      </c>
      <c r="Q339" s="601"/>
      <c r="R339" s="601">
        <v>0</v>
      </c>
      <c r="S339" s="626">
        <v>202</v>
      </c>
      <c r="T339" s="601">
        <v>202</v>
      </c>
      <c r="U339" s="601"/>
      <c r="V339" s="601"/>
      <c r="W339" s="626">
        <v>6868</v>
      </c>
      <c r="X339"/>
    </row>
    <row r="340" spans="1:24" ht="16" thickBot="1">
      <c r="B340" s="65" t="s">
        <v>117</v>
      </c>
      <c r="C340" s="626">
        <v>1427</v>
      </c>
      <c r="D340" s="626">
        <v>1542</v>
      </c>
      <c r="E340" s="626">
        <v>1155</v>
      </c>
      <c r="F340" s="626">
        <v>2973</v>
      </c>
      <c r="G340" s="626">
        <v>145</v>
      </c>
      <c r="H340" s="624">
        <v>0</v>
      </c>
      <c r="I340" s="601">
        <v>7242</v>
      </c>
      <c r="J340" s="638"/>
      <c r="K340" s="626">
        <v>0</v>
      </c>
      <c r="L340" s="626">
        <v>0</v>
      </c>
      <c r="M340" s="624">
        <v>0</v>
      </c>
      <c r="N340" s="601">
        <v>0</v>
      </c>
      <c r="O340" s="638">
        <v>0</v>
      </c>
      <c r="P340" s="624">
        <v>0</v>
      </c>
      <c r="Q340" s="601"/>
      <c r="R340" s="601">
        <v>0</v>
      </c>
      <c r="S340" s="626">
        <v>230</v>
      </c>
      <c r="T340" s="601">
        <v>230</v>
      </c>
      <c r="U340" s="601"/>
      <c r="V340" s="601"/>
      <c r="W340" s="626">
        <v>7472</v>
      </c>
      <c r="X340"/>
    </row>
    <row r="341" spans="1:24" s="149" customFormat="1" ht="16" thickBot="1">
      <c r="A341" s="128"/>
      <c r="B341" s="65" t="s">
        <v>118</v>
      </c>
      <c r="C341" s="626">
        <v>1.2056737588652482E-2</v>
      </c>
      <c r="D341" s="626">
        <v>-6.4432989690721646E-3</v>
      </c>
      <c r="E341" s="626">
        <v>0.10632183908045977</v>
      </c>
      <c r="F341" s="626">
        <v>0.19397590361445782</v>
      </c>
      <c r="G341" s="626">
        <v>-0.14705882352941177</v>
      </c>
      <c r="H341" s="624">
        <v>0</v>
      </c>
      <c r="I341" s="601">
        <v>8.6408640864086408E-2</v>
      </c>
      <c r="J341" s="638">
        <v>0</v>
      </c>
      <c r="K341" s="626">
        <v>0</v>
      </c>
      <c r="L341" s="626">
        <v>0</v>
      </c>
      <c r="M341" s="624">
        <v>0</v>
      </c>
      <c r="N341" s="601">
        <v>0</v>
      </c>
      <c r="O341" s="638">
        <v>0</v>
      </c>
      <c r="P341" s="624">
        <v>0</v>
      </c>
      <c r="Q341" s="601">
        <v>0</v>
      </c>
      <c r="R341" s="601">
        <v>0</v>
      </c>
      <c r="S341" s="662">
        <v>0.13861386138613863</v>
      </c>
      <c r="T341" s="601">
        <v>0.13861386138613863</v>
      </c>
      <c r="U341" s="601">
        <v>0</v>
      </c>
      <c r="V341" s="601">
        <v>0</v>
      </c>
      <c r="W341" s="626">
        <v>8.7944088526499709E-2</v>
      </c>
      <c r="X341"/>
    </row>
    <row r="342" spans="1:24" ht="15.5">
      <c r="B342" s="65" t="s">
        <v>119</v>
      </c>
      <c r="C342" s="626">
        <v>325</v>
      </c>
      <c r="D342" s="626">
        <v>149</v>
      </c>
      <c r="E342" s="626">
        <v>50</v>
      </c>
      <c r="F342" s="626">
        <v>11</v>
      </c>
      <c r="G342" s="626">
        <v>0</v>
      </c>
      <c r="H342" s="624">
        <v>0</v>
      </c>
      <c r="I342" s="601">
        <v>535</v>
      </c>
      <c r="J342" s="638"/>
      <c r="K342" s="626">
        <v>0</v>
      </c>
      <c r="L342" s="626">
        <v>0</v>
      </c>
      <c r="M342" s="624">
        <v>0</v>
      </c>
      <c r="N342" s="601">
        <v>0</v>
      </c>
      <c r="O342" s="638">
        <v>0</v>
      </c>
      <c r="P342" s="624">
        <v>0</v>
      </c>
      <c r="Q342" s="601"/>
      <c r="R342" s="601">
        <v>0</v>
      </c>
      <c r="S342" s="626">
        <v>37</v>
      </c>
      <c r="T342" s="601">
        <v>37</v>
      </c>
      <c r="U342" s="601"/>
      <c r="V342" s="601"/>
      <c r="W342" s="626">
        <v>572</v>
      </c>
      <c r="X342"/>
    </row>
    <row r="343" spans="1:24" ht="15.5">
      <c r="B343" s="65" t="s">
        <v>120</v>
      </c>
      <c r="C343" s="626">
        <v>347</v>
      </c>
      <c r="D343" s="626">
        <v>140</v>
      </c>
      <c r="E343" s="626">
        <v>58</v>
      </c>
      <c r="F343" s="626">
        <v>16</v>
      </c>
      <c r="G343" s="626">
        <v>0</v>
      </c>
      <c r="H343" s="624">
        <v>0</v>
      </c>
      <c r="I343" s="601">
        <v>561</v>
      </c>
      <c r="J343" s="638"/>
      <c r="K343" s="626">
        <v>0</v>
      </c>
      <c r="L343" s="626">
        <v>0</v>
      </c>
      <c r="M343" s="624">
        <v>0</v>
      </c>
      <c r="N343" s="601">
        <v>0</v>
      </c>
      <c r="O343" s="638">
        <v>0</v>
      </c>
      <c r="P343" s="624">
        <v>0</v>
      </c>
      <c r="Q343" s="601"/>
      <c r="R343" s="601">
        <v>0</v>
      </c>
      <c r="S343" s="626">
        <v>22</v>
      </c>
      <c r="T343" s="601">
        <v>22</v>
      </c>
      <c r="U343" s="601"/>
      <c r="V343" s="601"/>
      <c r="W343" s="626">
        <v>583</v>
      </c>
      <c r="X343"/>
    </row>
    <row r="344" spans="1:24" s="149" customFormat="1" ht="15.5">
      <c r="A344" s="128"/>
      <c r="B344" s="65" t="s">
        <v>121</v>
      </c>
      <c r="C344" s="626">
        <v>6.7692307692307691E-2</v>
      </c>
      <c r="D344" s="626">
        <v>-6.0402684563758392E-2</v>
      </c>
      <c r="E344" s="648">
        <v>0.16</v>
      </c>
      <c r="F344" s="626">
        <v>0.45454545454545453</v>
      </c>
      <c r="G344" s="626">
        <v>0</v>
      </c>
      <c r="H344" s="624">
        <v>0</v>
      </c>
      <c r="I344" s="601">
        <v>4.8598130841121495E-2</v>
      </c>
      <c r="J344" s="638">
        <v>0</v>
      </c>
      <c r="K344" s="626">
        <v>0</v>
      </c>
      <c r="L344" s="626">
        <v>0</v>
      </c>
      <c r="M344" s="624">
        <v>0</v>
      </c>
      <c r="N344" s="601">
        <v>0</v>
      </c>
      <c r="O344" s="638">
        <v>0</v>
      </c>
      <c r="P344" s="624">
        <v>0</v>
      </c>
      <c r="Q344" s="601">
        <v>0</v>
      </c>
      <c r="R344" s="601">
        <v>0</v>
      </c>
      <c r="S344" s="626">
        <v>-0.40540540540540543</v>
      </c>
      <c r="T344" s="601">
        <v>-0.40540540540540543</v>
      </c>
      <c r="U344" s="601">
        <v>0</v>
      </c>
      <c r="V344" s="601">
        <v>0</v>
      </c>
      <c r="W344" s="626">
        <v>1.9230769230769232E-2</v>
      </c>
      <c r="X344"/>
    </row>
    <row r="345" spans="1:24" ht="15.5">
      <c r="B345" s="65" t="s">
        <v>122</v>
      </c>
      <c r="C345" s="626">
        <v>174</v>
      </c>
      <c r="D345" s="626"/>
      <c r="E345" s="626"/>
      <c r="F345" s="626"/>
      <c r="G345" s="626"/>
      <c r="H345" s="624"/>
      <c r="I345" s="601">
        <v>174</v>
      </c>
      <c r="J345" s="638"/>
      <c r="K345" s="626"/>
      <c r="L345" s="626"/>
      <c r="M345" s="624"/>
      <c r="N345" s="601"/>
      <c r="O345" s="638"/>
      <c r="P345" s="624"/>
      <c r="Q345" s="601"/>
      <c r="R345" s="601"/>
      <c r="S345" s="626">
        <v>159</v>
      </c>
      <c r="T345" s="601">
        <v>159</v>
      </c>
      <c r="U345" s="601"/>
      <c r="V345" s="601"/>
      <c r="W345" s="626">
        <v>333</v>
      </c>
      <c r="X345"/>
    </row>
    <row r="346" spans="1:24" ht="16" thickBot="1">
      <c r="B346" s="65" t="s">
        <v>123</v>
      </c>
      <c r="C346" s="626">
        <v>166</v>
      </c>
      <c r="D346" s="626"/>
      <c r="E346" s="626"/>
      <c r="F346" s="626"/>
      <c r="G346" s="626"/>
      <c r="H346" s="624"/>
      <c r="I346" s="601">
        <v>166</v>
      </c>
      <c r="J346" s="638"/>
      <c r="K346" s="626"/>
      <c r="L346" s="626"/>
      <c r="M346" s="624"/>
      <c r="N346" s="601"/>
      <c r="O346" s="638"/>
      <c r="P346" s="624"/>
      <c r="Q346" s="601"/>
      <c r="R346" s="601"/>
      <c r="S346" s="626">
        <v>157</v>
      </c>
      <c r="T346" s="601">
        <v>157</v>
      </c>
      <c r="U346" s="601"/>
      <c r="V346" s="601"/>
      <c r="W346" s="626">
        <v>323</v>
      </c>
      <c r="X346"/>
    </row>
    <row r="347" spans="1:24" s="149" customFormat="1" ht="16" thickBot="1">
      <c r="A347" s="128"/>
      <c r="B347" s="65" t="s">
        <v>124</v>
      </c>
      <c r="C347" s="626">
        <v>-4.5977011494252873E-2</v>
      </c>
      <c r="D347" s="626">
        <v>0</v>
      </c>
      <c r="E347" s="657">
        <v>0</v>
      </c>
      <c r="F347" s="626">
        <v>0</v>
      </c>
      <c r="G347" s="626">
        <v>0</v>
      </c>
      <c r="H347" s="624">
        <v>0</v>
      </c>
      <c r="I347" s="601">
        <v>-4.5977011494252873E-2</v>
      </c>
      <c r="J347" s="638">
        <v>0</v>
      </c>
      <c r="K347" s="626">
        <v>0</v>
      </c>
      <c r="L347" s="626">
        <v>0</v>
      </c>
      <c r="M347" s="624">
        <v>0</v>
      </c>
      <c r="N347" s="601">
        <v>0</v>
      </c>
      <c r="O347" s="638">
        <v>0</v>
      </c>
      <c r="P347" s="624">
        <v>0</v>
      </c>
      <c r="Q347" s="601">
        <v>0</v>
      </c>
      <c r="R347" s="601">
        <v>0</v>
      </c>
      <c r="S347" s="626">
        <v>-1.2578616352201259E-2</v>
      </c>
      <c r="T347" s="601">
        <v>-1.2578616352201259E-2</v>
      </c>
      <c r="U347" s="601">
        <v>0</v>
      </c>
      <c r="V347" s="601">
        <v>0</v>
      </c>
      <c r="W347" s="626">
        <v>-3.003003003003003E-2</v>
      </c>
      <c r="X347"/>
    </row>
    <row r="348" spans="1:24" ht="15.5">
      <c r="B348" s="65" t="s">
        <v>125</v>
      </c>
      <c r="C348" s="626"/>
      <c r="D348" s="626"/>
      <c r="E348" s="626"/>
      <c r="F348" s="626"/>
      <c r="G348" s="626"/>
      <c r="H348" s="624"/>
      <c r="I348" s="601"/>
      <c r="J348" s="638"/>
      <c r="K348" s="626"/>
      <c r="L348" s="626"/>
      <c r="M348" s="624"/>
      <c r="N348" s="601"/>
      <c r="O348" s="638"/>
      <c r="P348" s="624"/>
      <c r="Q348" s="601"/>
      <c r="R348" s="601"/>
      <c r="S348" s="626">
        <v>308</v>
      </c>
      <c r="T348" s="601">
        <v>308</v>
      </c>
      <c r="U348" s="601"/>
      <c r="V348" s="601"/>
      <c r="W348" s="626">
        <v>308</v>
      </c>
      <c r="X348"/>
    </row>
    <row r="349" spans="1:24" ht="15.5">
      <c r="B349" s="65" t="s">
        <v>126</v>
      </c>
      <c r="C349" s="626"/>
      <c r="D349" s="626"/>
      <c r="E349" s="626"/>
      <c r="F349" s="626"/>
      <c r="G349" s="626"/>
      <c r="H349" s="624"/>
      <c r="I349" s="601"/>
      <c r="J349" s="638"/>
      <c r="K349" s="626"/>
      <c r="L349" s="626"/>
      <c r="M349" s="624"/>
      <c r="N349" s="601"/>
      <c r="O349" s="638"/>
      <c r="P349" s="624"/>
      <c r="Q349" s="601"/>
      <c r="R349" s="601"/>
      <c r="S349" s="626">
        <v>316</v>
      </c>
      <c r="T349" s="601">
        <v>316</v>
      </c>
      <c r="U349" s="601"/>
      <c r="V349" s="601"/>
      <c r="W349" s="626">
        <v>316</v>
      </c>
      <c r="X349"/>
    </row>
    <row r="350" spans="1:24" s="149" customFormat="1" ht="15.5">
      <c r="A350" s="128"/>
      <c r="B350" s="65" t="s">
        <v>127</v>
      </c>
      <c r="C350" s="626">
        <v>0</v>
      </c>
      <c r="D350" s="626">
        <v>0</v>
      </c>
      <c r="E350" s="626">
        <v>0</v>
      </c>
      <c r="F350" s="626">
        <v>0</v>
      </c>
      <c r="G350" s="626">
        <v>0</v>
      </c>
      <c r="H350" s="624">
        <v>0</v>
      </c>
      <c r="I350" s="601">
        <v>0</v>
      </c>
      <c r="J350" s="638">
        <v>0</v>
      </c>
      <c r="K350" s="626">
        <v>0</v>
      </c>
      <c r="L350" s="626">
        <v>0</v>
      </c>
      <c r="M350" s="624">
        <v>0</v>
      </c>
      <c r="N350" s="601">
        <v>0</v>
      </c>
      <c r="O350" s="638">
        <v>0</v>
      </c>
      <c r="P350" s="624">
        <v>0</v>
      </c>
      <c r="Q350" s="601">
        <v>0</v>
      </c>
      <c r="R350" s="601">
        <v>0</v>
      </c>
      <c r="S350" s="626">
        <v>2.5974025974025976E-2</v>
      </c>
      <c r="T350" s="601">
        <v>2.5974025974025976E-2</v>
      </c>
      <c r="U350" s="601">
        <v>0</v>
      </c>
      <c r="V350" s="601">
        <v>0</v>
      </c>
      <c r="W350" s="626">
        <v>2.5974025974025976E-2</v>
      </c>
      <c r="X350"/>
    </row>
    <row r="351" spans="1:24" ht="15.5">
      <c r="B351" s="65" t="s">
        <v>128</v>
      </c>
      <c r="C351" s="626"/>
      <c r="D351" s="626"/>
      <c r="E351" s="626"/>
      <c r="F351" s="626"/>
      <c r="G351" s="626"/>
      <c r="H351" s="624"/>
      <c r="I351" s="601"/>
      <c r="J351" s="638"/>
      <c r="K351" s="626"/>
      <c r="L351" s="626"/>
      <c r="M351" s="624"/>
      <c r="N351" s="601"/>
      <c r="O351" s="638"/>
      <c r="P351" s="624"/>
      <c r="Q351" s="601"/>
      <c r="R351" s="601"/>
      <c r="S351" s="626">
        <v>59</v>
      </c>
      <c r="T351" s="601">
        <v>59</v>
      </c>
      <c r="U351" s="601"/>
      <c r="V351" s="601"/>
      <c r="W351" s="626">
        <v>59</v>
      </c>
      <c r="X351"/>
    </row>
    <row r="352" spans="1:24" ht="15.5">
      <c r="B352" s="65" t="s">
        <v>129</v>
      </c>
      <c r="C352" s="626"/>
      <c r="D352" s="626"/>
      <c r="E352" s="626"/>
      <c r="F352" s="626"/>
      <c r="G352" s="626"/>
      <c r="H352" s="624"/>
      <c r="I352" s="601"/>
      <c r="J352" s="638"/>
      <c r="K352" s="626"/>
      <c r="L352" s="626"/>
      <c r="M352" s="624"/>
      <c r="N352" s="601"/>
      <c r="O352" s="638"/>
      <c r="P352" s="624"/>
      <c r="Q352" s="601"/>
      <c r="R352" s="601"/>
      <c r="S352" s="626">
        <v>66</v>
      </c>
      <c r="T352" s="601">
        <v>66</v>
      </c>
      <c r="U352" s="601"/>
      <c r="V352" s="601"/>
      <c r="W352" s="626">
        <v>66</v>
      </c>
      <c r="X352"/>
    </row>
    <row r="353" spans="1:24" s="149" customFormat="1" ht="15.5">
      <c r="A353" s="128"/>
      <c r="B353" s="65" t="s">
        <v>130</v>
      </c>
      <c r="C353" s="626">
        <v>0</v>
      </c>
      <c r="D353" s="626">
        <v>0</v>
      </c>
      <c r="E353" s="626">
        <v>0</v>
      </c>
      <c r="F353" s="626">
        <v>0</v>
      </c>
      <c r="G353" s="626">
        <v>0</v>
      </c>
      <c r="H353" s="624">
        <v>0</v>
      </c>
      <c r="I353" s="601">
        <v>0</v>
      </c>
      <c r="J353" s="638">
        <v>0</v>
      </c>
      <c r="K353" s="626">
        <v>0</v>
      </c>
      <c r="L353" s="626">
        <v>0</v>
      </c>
      <c r="M353" s="624">
        <v>0</v>
      </c>
      <c r="N353" s="601">
        <v>0</v>
      </c>
      <c r="O353" s="638">
        <v>0</v>
      </c>
      <c r="P353" s="624">
        <v>0</v>
      </c>
      <c r="Q353" s="601">
        <v>0</v>
      </c>
      <c r="R353" s="601">
        <v>0</v>
      </c>
      <c r="S353" s="626">
        <v>0.11864406779661017</v>
      </c>
      <c r="T353" s="601">
        <v>0.11864406779661017</v>
      </c>
      <c r="U353" s="601">
        <v>0</v>
      </c>
      <c r="V353" s="601">
        <v>0</v>
      </c>
      <c r="W353" s="626">
        <v>0.11864406779661017</v>
      </c>
      <c r="X353"/>
    </row>
    <row r="354" spans="1:24" ht="15.5">
      <c r="B354" s="65" t="s">
        <v>131</v>
      </c>
      <c r="C354" s="626"/>
      <c r="D354" s="626"/>
      <c r="E354" s="626">
        <v>93</v>
      </c>
      <c r="F354" s="626"/>
      <c r="G354" s="626"/>
      <c r="H354" s="624"/>
      <c r="I354" s="601">
        <v>93</v>
      </c>
      <c r="J354" s="638"/>
      <c r="K354" s="626"/>
      <c r="L354" s="626"/>
      <c r="M354" s="624"/>
      <c r="N354" s="601"/>
      <c r="O354" s="638"/>
      <c r="P354" s="624"/>
      <c r="Q354" s="601"/>
      <c r="R354" s="601"/>
      <c r="S354" s="626"/>
      <c r="T354" s="601"/>
      <c r="U354" s="601"/>
      <c r="V354" s="601"/>
      <c r="W354" s="626">
        <v>93</v>
      </c>
      <c r="X354"/>
    </row>
    <row r="355" spans="1:24" ht="16" thickBot="1">
      <c r="B355" s="65" t="s">
        <v>132</v>
      </c>
      <c r="C355" s="626"/>
      <c r="D355" s="626"/>
      <c r="E355" s="626">
        <v>87</v>
      </c>
      <c r="F355" s="626"/>
      <c r="G355" s="626"/>
      <c r="H355" s="624"/>
      <c r="I355" s="601">
        <v>87</v>
      </c>
      <c r="J355" s="638"/>
      <c r="K355" s="626"/>
      <c r="L355" s="626"/>
      <c r="M355" s="624"/>
      <c r="N355" s="601"/>
      <c r="O355" s="638"/>
      <c r="P355" s="624"/>
      <c r="Q355" s="601"/>
      <c r="R355" s="601"/>
      <c r="S355" s="626"/>
      <c r="T355" s="601"/>
      <c r="U355" s="601"/>
      <c r="V355" s="601"/>
      <c r="W355" s="626">
        <v>87</v>
      </c>
      <c r="X355"/>
    </row>
    <row r="356" spans="1:24" s="149" customFormat="1" ht="16" thickBot="1">
      <c r="A356" s="128"/>
      <c r="B356" s="65" t="s">
        <v>133</v>
      </c>
      <c r="C356" s="626">
        <v>0</v>
      </c>
      <c r="D356" s="626">
        <v>0</v>
      </c>
      <c r="E356" s="662">
        <v>-6.4516129032258063E-2</v>
      </c>
      <c r="F356" s="626">
        <v>0</v>
      </c>
      <c r="G356" s="626">
        <v>0</v>
      </c>
      <c r="H356" s="624">
        <v>0</v>
      </c>
      <c r="I356" s="601">
        <v>-6.4516129032258063E-2</v>
      </c>
      <c r="J356" s="638">
        <v>0</v>
      </c>
      <c r="K356" s="626">
        <v>0</v>
      </c>
      <c r="L356" s="626">
        <v>0</v>
      </c>
      <c r="M356" s="624">
        <v>0</v>
      </c>
      <c r="N356" s="601">
        <v>0</v>
      </c>
      <c r="O356" s="638">
        <v>0</v>
      </c>
      <c r="P356" s="624">
        <v>0</v>
      </c>
      <c r="Q356" s="601">
        <v>0</v>
      </c>
      <c r="R356" s="601">
        <v>0</v>
      </c>
      <c r="S356" s="626">
        <v>0</v>
      </c>
      <c r="T356" s="601">
        <v>0</v>
      </c>
      <c r="U356" s="601">
        <v>0</v>
      </c>
      <c r="V356" s="601">
        <v>0</v>
      </c>
      <c r="W356" s="626">
        <v>-6.4516129032258063E-2</v>
      </c>
      <c r="X356"/>
    </row>
    <row r="357" spans="1:24" ht="15.5">
      <c r="B357" s="65" t="s">
        <v>134</v>
      </c>
      <c r="C357" s="626"/>
      <c r="D357" s="626"/>
      <c r="E357" s="626"/>
      <c r="F357" s="626"/>
      <c r="G357" s="626"/>
      <c r="H357" s="624"/>
      <c r="I357" s="601"/>
      <c r="J357" s="638"/>
      <c r="K357" s="626"/>
      <c r="L357" s="626"/>
      <c r="M357" s="624"/>
      <c r="N357" s="601"/>
      <c r="O357" s="638"/>
      <c r="P357" s="624"/>
      <c r="Q357" s="601"/>
      <c r="R357" s="601"/>
      <c r="S357" s="626"/>
      <c r="T357" s="601"/>
      <c r="U357" s="601"/>
      <c r="V357" s="601"/>
      <c r="W357" s="626"/>
      <c r="X357"/>
    </row>
    <row r="358" spans="1:24" ht="15.5">
      <c r="B358" s="65" t="s">
        <v>135</v>
      </c>
      <c r="C358" s="626"/>
      <c r="D358" s="626"/>
      <c r="E358" s="626"/>
      <c r="F358" s="626"/>
      <c r="G358" s="626"/>
      <c r="H358" s="624"/>
      <c r="I358" s="601"/>
      <c r="J358" s="638"/>
      <c r="K358" s="626"/>
      <c r="L358" s="626"/>
      <c r="M358" s="624"/>
      <c r="N358" s="601"/>
      <c r="O358" s="638"/>
      <c r="P358" s="624"/>
      <c r="Q358" s="601"/>
      <c r="R358" s="601"/>
      <c r="S358" s="626"/>
      <c r="T358" s="601"/>
      <c r="U358" s="601"/>
      <c r="V358" s="601"/>
      <c r="W358" s="626"/>
      <c r="X358"/>
    </row>
    <row r="359" spans="1:24" s="149" customFormat="1" ht="15.5">
      <c r="A359" s="128"/>
      <c r="B359" s="65" t="s">
        <v>136</v>
      </c>
      <c r="C359" s="626">
        <v>0</v>
      </c>
      <c r="D359" s="626">
        <v>0</v>
      </c>
      <c r="E359" s="626">
        <v>0</v>
      </c>
      <c r="F359" s="626">
        <v>0</v>
      </c>
      <c r="G359" s="626">
        <v>0</v>
      </c>
      <c r="H359" s="624">
        <v>0</v>
      </c>
      <c r="I359" s="601">
        <v>0</v>
      </c>
      <c r="J359" s="638">
        <v>0</v>
      </c>
      <c r="K359" s="626">
        <v>0</v>
      </c>
      <c r="L359" s="626">
        <v>0</v>
      </c>
      <c r="M359" s="624">
        <v>0</v>
      </c>
      <c r="N359" s="601">
        <v>0</v>
      </c>
      <c r="O359" s="638">
        <v>0</v>
      </c>
      <c r="P359" s="624">
        <v>0</v>
      </c>
      <c r="Q359" s="601">
        <v>0</v>
      </c>
      <c r="R359" s="601">
        <v>0</v>
      </c>
      <c r="S359" s="626">
        <v>0</v>
      </c>
      <c r="T359" s="601">
        <v>0</v>
      </c>
      <c r="U359" s="601">
        <v>0</v>
      </c>
      <c r="V359" s="601">
        <v>0</v>
      </c>
      <c r="W359" s="626">
        <v>0</v>
      </c>
      <c r="X359"/>
    </row>
    <row r="360" spans="1:24" ht="15.5">
      <c r="B360" s="65" t="s">
        <v>137</v>
      </c>
      <c r="C360" s="626"/>
      <c r="D360" s="626"/>
      <c r="E360" s="626"/>
      <c r="F360" s="626"/>
      <c r="G360" s="626"/>
      <c r="H360" s="624"/>
      <c r="I360" s="601"/>
      <c r="J360" s="638"/>
      <c r="K360" s="626"/>
      <c r="L360" s="626"/>
      <c r="M360" s="624"/>
      <c r="N360" s="601"/>
      <c r="O360" s="638"/>
      <c r="P360" s="624"/>
      <c r="Q360" s="601"/>
      <c r="R360" s="601"/>
      <c r="S360" s="626"/>
      <c r="T360" s="601"/>
      <c r="U360" s="601"/>
      <c r="V360" s="601"/>
      <c r="W360" s="626"/>
      <c r="X360"/>
    </row>
    <row r="361" spans="1:24" ht="15.5">
      <c r="B361" s="65" t="s">
        <v>138</v>
      </c>
      <c r="C361" s="626"/>
      <c r="D361" s="626"/>
      <c r="E361" s="626"/>
      <c r="F361" s="626"/>
      <c r="G361" s="626"/>
      <c r="H361" s="624"/>
      <c r="I361" s="601"/>
      <c r="J361" s="638"/>
      <c r="K361" s="626"/>
      <c r="L361" s="626"/>
      <c r="M361" s="624"/>
      <c r="N361" s="601"/>
      <c r="O361" s="638"/>
      <c r="P361" s="624"/>
      <c r="Q361" s="601"/>
      <c r="R361" s="601"/>
      <c r="S361" s="626"/>
      <c r="T361" s="601"/>
      <c r="U361" s="601"/>
      <c r="V361" s="601"/>
      <c r="W361" s="626"/>
      <c r="X361"/>
    </row>
    <row r="362" spans="1:24" s="149" customFormat="1" ht="15.5">
      <c r="A362" s="128"/>
      <c r="B362" s="65" t="s">
        <v>139</v>
      </c>
      <c r="C362" s="626">
        <v>0</v>
      </c>
      <c r="D362" s="626">
        <v>0</v>
      </c>
      <c r="E362" s="626">
        <v>0</v>
      </c>
      <c r="F362" s="626">
        <v>0</v>
      </c>
      <c r="G362" s="626">
        <v>0</v>
      </c>
      <c r="H362" s="624">
        <v>0</v>
      </c>
      <c r="I362" s="601">
        <v>0</v>
      </c>
      <c r="J362" s="638">
        <v>0</v>
      </c>
      <c r="K362" s="626">
        <v>0</v>
      </c>
      <c r="L362" s="626">
        <v>0</v>
      </c>
      <c r="M362" s="624">
        <v>0</v>
      </c>
      <c r="N362" s="601">
        <v>0</v>
      </c>
      <c r="O362" s="638">
        <v>0</v>
      </c>
      <c r="P362" s="624">
        <v>0</v>
      </c>
      <c r="Q362" s="601">
        <v>0</v>
      </c>
      <c r="R362" s="601">
        <v>0</v>
      </c>
      <c r="S362" s="626">
        <v>0</v>
      </c>
      <c r="T362" s="601">
        <v>0</v>
      </c>
      <c r="U362" s="601">
        <v>0</v>
      </c>
      <c r="V362" s="601">
        <v>0</v>
      </c>
      <c r="W362" s="626">
        <v>0</v>
      </c>
      <c r="X362"/>
    </row>
    <row r="363" spans="1:24" ht="15.5">
      <c r="B363" s="65" t="s">
        <v>140</v>
      </c>
      <c r="C363" s="626"/>
      <c r="D363" s="626"/>
      <c r="E363" s="626"/>
      <c r="F363" s="626"/>
      <c r="G363" s="626"/>
      <c r="H363" s="624"/>
      <c r="I363" s="601"/>
      <c r="J363" s="638"/>
      <c r="K363" s="626"/>
      <c r="L363" s="626"/>
      <c r="M363" s="624"/>
      <c r="N363" s="601"/>
      <c r="O363" s="638"/>
      <c r="P363" s="624"/>
      <c r="Q363" s="601"/>
      <c r="R363" s="601"/>
      <c r="S363" s="626"/>
      <c r="T363" s="601"/>
      <c r="U363" s="601"/>
      <c r="V363" s="601"/>
      <c r="W363" s="626"/>
      <c r="X363"/>
    </row>
    <row r="364" spans="1:24" ht="15.5">
      <c r="B364" s="65" t="s">
        <v>141</v>
      </c>
      <c r="C364" s="626"/>
      <c r="D364" s="626"/>
      <c r="E364" s="626"/>
      <c r="F364" s="626"/>
      <c r="G364" s="626"/>
      <c r="H364" s="624"/>
      <c r="I364" s="601"/>
      <c r="J364" s="638"/>
      <c r="K364" s="626"/>
      <c r="L364" s="626"/>
      <c r="M364" s="624"/>
      <c r="N364" s="601"/>
      <c r="O364" s="638"/>
      <c r="P364" s="624"/>
      <c r="Q364" s="601"/>
      <c r="R364" s="601"/>
      <c r="S364" s="626"/>
      <c r="T364" s="601"/>
      <c r="U364" s="601"/>
      <c r="V364" s="601"/>
      <c r="W364" s="626"/>
      <c r="X364"/>
    </row>
    <row r="365" spans="1:24" s="149" customFormat="1" ht="15.5">
      <c r="A365" s="128"/>
      <c r="B365" s="65" t="s">
        <v>142</v>
      </c>
      <c r="C365" s="626">
        <v>0</v>
      </c>
      <c r="D365" s="626">
        <v>0</v>
      </c>
      <c r="E365" s="626">
        <v>0</v>
      </c>
      <c r="F365" s="626">
        <v>0</v>
      </c>
      <c r="G365" s="626">
        <v>0</v>
      </c>
      <c r="H365" s="624">
        <v>0</v>
      </c>
      <c r="I365" s="601">
        <v>0</v>
      </c>
      <c r="J365" s="638">
        <v>0</v>
      </c>
      <c r="K365" s="626">
        <v>0</v>
      </c>
      <c r="L365" s="626">
        <v>0</v>
      </c>
      <c r="M365" s="624">
        <v>0</v>
      </c>
      <c r="N365" s="601">
        <v>0</v>
      </c>
      <c r="O365" s="638">
        <v>0</v>
      </c>
      <c r="P365" s="624">
        <v>0</v>
      </c>
      <c r="Q365" s="601">
        <v>0</v>
      </c>
      <c r="R365" s="601">
        <v>0</v>
      </c>
      <c r="S365" s="626">
        <v>0</v>
      </c>
      <c r="T365" s="601">
        <v>0</v>
      </c>
      <c r="U365" s="601">
        <v>0</v>
      </c>
      <c r="V365" s="601">
        <v>0</v>
      </c>
      <c r="W365" s="626">
        <v>0</v>
      </c>
      <c r="X365"/>
    </row>
    <row r="366" spans="1:24" ht="15.5">
      <c r="B366" s="65" t="s">
        <v>143</v>
      </c>
      <c r="C366" s="626">
        <v>83</v>
      </c>
      <c r="D366" s="626"/>
      <c r="E366" s="626"/>
      <c r="F366" s="626"/>
      <c r="G366" s="626"/>
      <c r="H366" s="624"/>
      <c r="I366" s="601">
        <v>83</v>
      </c>
      <c r="J366" s="638"/>
      <c r="K366" s="626"/>
      <c r="L366" s="626"/>
      <c r="M366" s="624"/>
      <c r="N366" s="601"/>
      <c r="O366" s="638"/>
      <c r="P366" s="624"/>
      <c r="Q366" s="601"/>
      <c r="R366" s="601"/>
      <c r="S366" s="626"/>
      <c r="T366" s="601"/>
      <c r="U366" s="601"/>
      <c r="V366" s="601"/>
      <c r="W366" s="626">
        <v>83</v>
      </c>
      <c r="X366"/>
    </row>
    <row r="367" spans="1:24" ht="15.5">
      <c r="B367" s="65" t="s">
        <v>144</v>
      </c>
      <c r="C367" s="626">
        <v>88</v>
      </c>
      <c r="D367" s="626"/>
      <c r="E367" s="626"/>
      <c r="F367" s="626"/>
      <c r="G367" s="626"/>
      <c r="H367" s="624"/>
      <c r="I367" s="601">
        <v>88</v>
      </c>
      <c r="J367" s="638"/>
      <c r="K367" s="626"/>
      <c r="L367" s="626"/>
      <c r="M367" s="624"/>
      <c r="N367" s="601"/>
      <c r="O367" s="638"/>
      <c r="P367" s="624"/>
      <c r="Q367" s="601"/>
      <c r="R367" s="601"/>
      <c r="S367" s="626"/>
      <c r="T367" s="601"/>
      <c r="U367" s="601"/>
      <c r="V367" s="601"/>
      <c r="W367" s="626">
        <v>88</v>
      </c>
      <c r="X367"/>
    </row>
    <row r="368" spans="1:24" s="149" customFormat="1" ht="15.5">
      <c r="A368" s="128"/>
      <c r="B368" s="65" t="s">
        <v>145</v>
      </c>
      <c r="C368" s="626">
        <v>6.0240963855421686E-2</v>
      </c>
      <c r="D368" s="626">
        <v>0</v>
      </c>
      <c r="E368" s="626">
        <v>0</v>
      </c>
      <c r="F368" s="626">
        <v>0</v>
      </c>
      <c r="G368" s="626">
        <v>0</v>
      </c>
      <c r="H368" s="624">
        <v>0</v>
      </c>
      <c r="I368" s="601">
        <v>6.0240963855421686E-2</v>
      </c>
      <c r="J368" s="638">
        <v>0</v>
      </c>
      <c r="K368" s="626">
        <v>0</v>
      </c>
      <c r="L368" s="626">
        <v>0</v>
      </c>
      <c r="M368" s="624">
        <v>0</v>
      </c>
      <c r="N368" s="601">
        <v>0</v>
      </c>
      <c r="O368" s="638">
        <v>0</v>
      </c>
      <c r="P368" s="624">
        <v>0</v>
      </c>
      <c r="Q368" s="601">
        <v>0</v>
      </c>
      <c r="R368" s="601">
        <v>0</v>
      </c>
      <c r="S368" s="626">
        <v>0</v>
      </c>
      <c r="T368" s="601">
        <v>0</v>
      </c>
      <c r="U368" s="601">
        <v>0</v>
      </c>
      <c r="V368" s="601">
        <v>0</v>
      </c>
      <c r="W368" s="626">
        <v>6.0240963855421686E-2</v>
      </c>
      <c r="X368"/>
    </row>
    <row r="369" spans="1:24" ht="15.5">
      <c r="B369" s="65" t="s">
        <v>146</v>
      </c>
      <c r="C369" s="626"/>
      <c r="D369" s="626"/>
      <c r="E369" s="626"/>
      <c r="F369" s="626"/>
      <c r="G369" s="626"/>
      <c r="H369" s="624"/>
      <c r="I369" s="601"/>
      <c r="J369" s="638"/>
      <c r="K369" s="626"/>
      <c r="L369" s="626"/>
      <c r="M369" s="624"/>
      <c r="N369" s="601"/>
      <c r="O369" s="638"/>
      <c r="P369" s="624"/>
      <c r="Q369" s="601"/>
      <c r="R369" s="601"/>
      <c r="S369" s="626"/>
      <c r="T369" s="601"/>
      <c r="U369" s="601"/>
      <c r="V369" s="601"/>
      <c r="W369" s="626"/>
      <c r="X369"/>
    </row>
    <row r="370" spans="1:24" ht="15.5">
      <c r="B370" s="65" t="s">
        <v>147</v>
      </c>
      <c r="C370" s="626"/>
      <c r="D370" s="626"/>
      <c r="E370" s="626"/>
      <c r="F370" s="626"/>
      <c r="G370" s="626"/>
      <c r="H370" s="624"/>
      <c r="I370" s="601"/>
      <c r="J370" s="638"/>
      <c r="K370" s="626"/>
      <c r="L370" s="626"/>
      <c r="M370" s="624"/>
      <c r="N370" s="601"/>
      <c r="O370" s="638"/>
      <c r="P370" s="624"/>
      <c r="Q370" s="601"/>
      <c r="R370" s="601"/>
      <c r="S370" s="626"/>
      <c r="T370" s="601"/>
      <c r="U370" s="601"/>
      <c r="V370" s="601"/>
      <c r="W370" s="626"/>
      <c r="X370"/>
    </row>
    <row r="371" spans="1:24" s="149" customFormat="1" ht="15.5">
      <c r="A371" s="128"/>
      <c r="B371" s="65" t="s">
        <v>148</v>
      </c>
      <c r="C371" s="626">
        <v>0</v>
      </c>
      <c r="D371" s="626">
        <v>0</v>
      </c>
      <c r="E371" s="626">
        <v>0</v>
      </c>
      <c r="F371" s="626">
        <v>0</v>
      </c>
      <c r="G371" s="626">
        <v>0</v>
      </c>
      <c r="H371" s="624">
        <v>0</v>
      </c>
      <c r="I371" s="601">
        <v>0</v>
      </c>
      <c r="J371" s="638">
        <v>0</v>
      </c>
      <c r="K371" s="626">
        <v>0</v>
      </c>
      <c r="L371" s="626">
        <v>0</v>
      </c>
      <c r="M371" s="624">
        <v>0</v>
      </c>
      <c r="N371" s="601">
        <v>0</v>
      </c>
      <c r="O371" s="638">
        <v>0</v>
      </c>
      <c r="P371" s="624">
        <v>0</v>
      </c>
      <c r="Q371" s="601">
        <v>0</v>
      </c>
      <c r="R371" s="601">
        <v>0</v>
      </c>
      <c r="S371" s="626">
        <v>0</v>
      </c>
      <c r="T371" s="601">
        <v>0</v>
      </c>
      <c r="U371" s="601">
        <v>0</v>
      </c>
      <c r="V371" s="601">
        <v>0</v>
      </c>
      <c r="W371" s="626">
        <v>0</v>
      </c>
      <c r="X371"/>
    </row>
    <row r="372" spans="1:24" ht="15.5">
      <c r="B372" s="65" t="s">
        <v>149</v>
      </c>
      <c r="C372" s="626"/>
      <c r="D372" s="626">
        <v>5</v>
      </c>
      <c r="E372" s="626">
        <v>14</v>
      </c>
      <c r="F372" s="626">
        <v>7</v>
      </c>
      <c r="G372" s="626"/>
      <c r="H372" s="624"/>
      <c r="I372" s="601">
        <v>26</v>
      </c>
      <c r="J372" s="638"/>
      <c r="K372" s="626"/>
      <c r="L372" s="626"/>
      <c r="M372" s="624"/>
      <c r="N372" s="601"/>
      <c r="O372" s="638"/>
      <c r="P372" s="624"/>
      <c r="Q372" s="601"/>
      <c r="R372" s="601"/>
      <c r="S372" s="626">
        <v>153</v>
      </c>
      <c r="T372" s="601">
        <v>153</v>
      </c>
      <c r="U372" s="601"/>
      <c r="V372" s="601"/>
      <c r="W372" s="626">
        <v>179</v>
      </c>
      <c r="X372"/>
    </row>
    <row r="373" spans="1:24" ht="16" thickBot="1">
      <c r="B373" s="65" t="s">
        <v>150</v>
      </c>
      <c r="C373" s="626"/>
      <c r="D373" s="626">
        <v>8</v>
      </c>
      <c r="E373" s="626">
        <v>15</v>
      </c>
      <c r="F373" s="626">
        <v>11</v>
      </c>
      <c r="G373" s="626"/>
      <c r="H373" s="624"/>
      <c r="I373" s="601">
        <v>34</v>
      </c>
      <c r="J373" s="638"/>
      <c r="K373" s="626"/>
      <c r="L373" s="626"/>
      <c r="M373" s="624"/>
      <c r="N373" s="601"/>
      <c r="O373" s="638"/>
      <c r="P373" s="624"/>
      <c r="Q373" s="601"/>
      <c r="R373" s="601"/>
      <c r="S373" s="626">
        <v>136</v>
      </c>
      <c r="T373" s="601">
        <v>136</v>
      </c>
      <c r="U373" s="601"/>
      <c r="V373" s="601"/>
      <c r="W373" s="626">
        <v>170</v>
      </c>
      <c r="X373"/>
    </row>
    <row r="374" spans="1:24" s="149" customFormat="1" ht="16" thickBot="1">
      <c r="A374" s="128"/>
      <c r="B374" s="65" t="s">
        <v>151</v>
      </c>
      <c r="C374" s="664">
        <v>0</v>
      </c>
      <c r="D374" s="662">
        <v>0.6</v>
      </c>
      <c r="E374" s="648">
        <v>7.1428571428571425E-2</v>
      </c>
      <c r="F374" s="626">
        <v>0.5714285714285714</v>
      </c>
      <c r="G374" s="626">
        <v>0</v>
      </c>
      <c r="H374" s="624">
        <v>0</v>
      </c>
      <c r="I374" s="601">
        <v>0.30769230769230771</v>
      </c>
      <c r="J374" s="638">
        <v>0</v>
      </c>
      <c r="K374" s="626">
        <v>0</v>
      </c>
      <c r="L374" s="626">
        <v>0</v>
      </c>
      <c r="M374" s="624">
        <v>0</v>
      </c>
      <c r="N374" s="601">
        <v>0</v>
      </c>
      <c r="O374" s="638">
        <v>0</v>
      </c>
      <c r="P374" s="624">
        <v>0</v>
      </c>
      <c r="Q374" s="601">
        <v>0</v>
      </c>
      <c r="R374" s="601">
        <v>0</v>
      </c>
      <c r="S374" s="662">
        <v>-0.1111111111111111</v>
      </c>
      <c r="T374" s="601">
        <v>-0.1111111111111111</v>
      </c>
      <c r="U374" s="601">
        <v>0</v>
      </c>
      <c r="V374" s="601">
        <v>0</v>
      </c>
      <c r="W374" s="626">
        <v>-5.027932960893855E-2</v>
      </c>
      <c r="X374"/>
    </row>
    <row r="375" spans="1:24" ht="15.5">
      <c r="B375" s="65" t="s">
        <v>152</v>
      </c>
      <c r="C375" s="626"/>
      <c r="D375" s="626"/>
      <c r="E375" s="626"/>
      <c r="F375" s="626"/>
      <c r="G375" s="626"/>
      <c r="H375" s="624"/>
      <c r="I375" s="601"/>
      <c r="J375" s="638"/>
      <c r="K375" s="626"/>
      <c r="L375" s="626"/>
      <c r="M375" s="624"/>
      <c r="N375" s="601"/>
      <c r="O375" s="638"/>
      <c r="P375" s="624"/>
      <c r="Q375" s="601"/>
      <c r="R375" s="601"/>
      <c r="S375" s="626"/>
      <c r="T375" s="601"/>
      <c r="U375" s="601"/>
      <c r="V375" s="601"/>
      <c r="W375" s="626"/>
      <c r="X375"/>
    </row>
    <row r="376" spans="1:24" s="149" customFormat="1" ht="15.5">
      <c r="A376" s="128"/>
      <c r="B376" s="65" t="s">
        <v>153</v>
      </c>
      <c r="C376" s="626"/>
      <c r="D376" s="626"/>
      <c r="E376" s="626"/>
      <c r="F376" s="626"/>
      <c r="G376" s="626"/>
      <c r="H376" s="624"/>
      <c r="I376" s="601"/>
      <c r="J376" s="638"/>
      <c r="K376" s="626"/>
      <c r="L376" s="626"/>
      <c r="M376" s="624"/>
      <c r="N376" s="601"/>
      <c r="O376" s="638"/>
      <c r="P376" s="624"/>
      <c r="Q376" s="601"/>
      <c r="R376" s="601"/>
      <c r="S376" s="626"/>
      <c r="T376" s="601"/>
      <c r="U376" s="601"/>
      <c r="V376" s="601"/>
      <c r="W376" s="626"/>
      <c r="X376"/>
    </row>
    <row r="377" spans="1:24" ht="16" thickBot="1">
      <c r="A377" s="128" t="s">
        <v>160</v>
      </c>
      <c r="B377" s="131" t="s">
        <v>101</v>
      </c>
      <c r="C377" s="626"/>
      <c r="D377" s="626"/>
      <c r="E377" s="626"/>
      <c r="F377" s="626"/>
      <c r="G377" s="626"/>
      <c r="H377" s="624"/>
      <c r="I377" s="601"/>
      <c r="J377" s="638"/>
      <c r="K377" s="626"/>
      <c r="L377" s="626"/>
      <c r="M377" s="624"/>
      <c r="N377" s="601"/>
      <c r="O377" s="638"/>
      <c r="P377" s="624"/>
      <c r="Q377" s="601"/>
      <c r="R377" s="601"/>
      <c r="S377" s="626"/>
      <c r="T377" s="601"/>
      <c r="U377" s="601"/>
      <c r="V377" s="601"/>
      <c r="W377" s="626"/>
      <c r="X377"/>
    </row>
    <row r="378" spans="1:24" ht="16" thickBot="1">
      <c r="B378" s="131" t="s">
        <v>102</v>
      </c>
      <c r="C378" s="669"/>
      <c r="D378" s="626"/>
      <c r="E378" s="626"/>
      <c r="F378" s="626"/>
      <c r="G378" s="626"/>
      <c r="H378" s="624"/>
      <c r="I378" s="601"/>
      <c r="J378" s="638"/>
      <c r="K378" s="626"/>
      <c r="L378" s="626"/>
      <c r="M378" s="624"/>
      <c r="N378" s="601"/>
      <c r="O378" s="638"/>
      <c r="P378" s="624"/>
      <c r="Q378" s="601"/>
      <c r="R378" s="601"/>
      <c r="S378" s="626"/>
      <c r="T378" s="601"/>
      <c r="U378" s="601"/>
      <c r="V378" s="601"/>
      <c r="W378" s="626"/>
      <c r="X378"/>
    </row>
    <row r="379" spans="1:24" s="149" customFormat="1" ht="16" thickBot="1">
      <c r="A379" s="128"/>
      <c r="B379" s="131" t="s">
        <v>103</v>
      </c>
      <c r="C379" s="626">
        <v>0</v>
      </c>
      <c r="D379" s="626">
        <v>0</v>
      </c>
      <c r="E379" s="626">
        <v>0</v>
      </c>
      <c r="F379" s="626">
        <v>0</v>
      </c>
      <c r="G379" s="626">
        <v>0</v>
      </c>
      <c r="H379" s="624">
        <v>0</v>
      </c>
      <c r="I379" s="601">
        <v>0</v>
      </c>
      <c r="J379" s="638">
        <v>0</v>
      </c>
      <c r="K379" s="626">
        <v>0</v>
      </c>
      <c r="L379" s="626">
        <v>0</v>
      </c>
      <c r="M379" s="657">
        <v>0</v>
      </c>
      <c r="N379" s="601">
        <v>0</v>
      </c>
      <c r="O379" s="638">
        <v>0</v>
      </c>
      <c r="P379" s="624">
        <v>0</v>
      </c>
      <c r="Q379" s="601">
        <v>0</v>
      </c>
      <c r="R379" s="601">
        <v>0</v>
      </c>
      <c r="S379" s="626">
        <v>0</v>
      </c>
      <c r="T379" s="601">
        <v>0</v>
      </c>
      <c r="U379" s="601">
        <v>0</v>
      </c>
      <c r="V379" s="601">
        <v>0</v>
      </c>
      <c r="W379" s="626">
        <v>0</v>
      </c>
      <c r="X379"/>
    </row>
    <row r="380" spans="1:24" ht="15.5">
      <c r="B380" s="65" t="s">
        <v>104</v>
      </c>
      <c r="C380" s="626"/>
      <c r="D380" s="626"/>
      <c r="E380" s="626"/>
      <c r="F380" s="626"/>
      <c r="G380" s="626"/>
      <c r="H380" s="624"/>
      <c r="I380" s="601"/>
      <c r="J380" s="638"/>
      <c r="K380" s="626"/>
      <c r="L380" s="626"/>
      <c r="M380" s="624"/>
      <c r="N380" s="601"/>
      <c r="O380" s="638"/>
      <c r="P380" s="624"/>
      <c r="Q380" s="601"/>
      <c r="R380" s="601"/>
      <c r="S380" s="626"/>
      <c r="T380" s="601"/>
      <c r="U380" s="601"/>
      <c r="V380" s="601"/>
      <c r="W380" s="626"/>
      <c r="X380"/>
    </row>
    <row r="381" spans="1:24" ht="16" thickBot="1">
      <c r="B381" s="65" t="s">
        <v>105</v>
      </c>
      <c r="C381" s="626"/>
      <c r="D381" s="626"/>
      <c r="E381" s="626"/>
      <c r="F381" s="626"/>
      <c r="G381" s="626"/>
      <c r="H381" s="624"/>
      <c r="I381" s="601"/>
      <c r="J381" s="638"/>
      <c r="K381" s="626"/>
      <c r="L381" s="626"/>
      <c r="M381" s="624"/>
      <c r="N381" s="601"/>
      <c r="O381" s="638"/>
      <c r="P381" s="624"/>
      <c r="Q381" s="601"/>
      <c r="R381" s="601"/>
      <c r="S381" s="626"/>
      <c r="T381" s="601"/>
      <c r="U381" s="601"/>
      <c r="V381" s="601"/>
      <c r="W381" s="626"/>
      <c r="X381"/>
    </row>
    <row r="382" spans="1:24" s="149" customFormat="1" ht="16" thickBot="1">
      <c r="A382" s="128"/>
      <c r="B382" s="65" t="s">
        <v>106</v>
      </c>
      <c r="C382" s="662">
        <v>0</v>
      </c>
      <c r="D382" s="626">
        <v>0</v>
      </c>
      <c r="E382" s="626">
        <v>0</v>
      </c>
      <c r="F382" s="657">
        <v>0</v>
      </c>
      <c r="G382" s="626">
        <v>0</v>
      </c>
      <c r="H382" s="624">
        <v>0</v>
      </c>
      <c r="I382" s="601">
        <v>0</v>
      </c>
      <c r="J382" s="638">
        <v>0</v>
      </c>
      <c r="K382" s="626">
        <v>0</v>
      </c>
      <c r="L382" s="626">
        <v>0</v>
      </c>
      <c r="M382" s="624">
        <v>0</v>
      </c>
      <c r="N382" s="601">
        <v>0</v>
      </c>
      <c r="O382" s="638">
        <v>0</v>
      </c>
      <c r="P382" s="624">
        <v>0</v>
      </c>
      <c r="Q382" s="601">
        <v>0</v>
      </c>
      <c r="R382" s="601">
        <v>0</v>
      </c>
      <c r="S382" s="662">
        <v>0</v>
      </c>
      <c r="T382" s="601">
        <v>0</v>
      </c>
      <c r="U382" s="601">
        <v>0</v>
      </c>
      <c r="V382" s="601">
        <v>0</v>
      </c>
      <c r="W382" s="626">
        <v>0</v>
      </c>
      <c r="X382"/>
    </row>
    <row r="383" spans="1:24" ht="15.5">
      <c r="B383" s="65" t="s">
        <v>107</v>
      </c>
      <c r="C383" s="626"/>
      <c r="D383" s="626"/>
      <c r="E383" s="626"/>
      <c r="F383" s="626"/>
      <c r="G383" s="626"/>
      <c r="H383" s="624"/>
      <c r="I383" s="601"/>
      <c r="J383" s="638"/>
      <c r="K383" s="626"/>
      <c r="L383" s="626"/>
      <c r="M383" s="624"/>
      <c r="N383" s="601"/>
      <c r="O383" s="638"/>
      <c r="P383" s="624"/>
      <c r="Q383" s="601"/>
      <c r="R383" s="601"/>
      <c r="S383" s="626"/>
      <c r="T383" s="601"/>
      <c r="U383" s="601"/>
      <c r="V383" s="601"/>
      <c r="W383" s="626"/>
      <c r="X383"/>
    </row>
    <row r="384" spans="1:24" ht="16" thickBot="1">
      <c r="B384" s="65" t="s">
        <v>108</v>
      </c>
      <c r="C384" s="626"/>
      <c r="D384" s="626"/>
      <c r="E384" s="626"/>
      <c r="F384" s="626"/>
      <c r="G384" s="626"/>
      <c r="H384" s="624"/>
      <c r="I384" s="601"/>
      <c r="J384" s="638"/>
      <c r="K384" s="626"/>
      <c r="L384" s="626"/>
      <c r="M384" s="624"/>
      <c r="N384" s="601"/>
      <c r="O384" s="638"/>
      <c r="P384" s="624"/>
      <c r="Q384" s="601"/>
      <c r="R384" s="601"/>
      <c r="S384" s="626"/>
      <c r="T384" s="601"/>
      <c r="U384" s="601"/>
      <c r="V384" s="601"/>
      <c r="W384" s="626"/>
      <c r="X384"/>
    </row>
    <row r="385" spans="1:24" s="149" customFormat="1" ht="16" thickBot="1">
      <c r="A385" s="128"/>
      <c r="B385" s="65" t="s">
        <v>109</v>
      </c>
      <c r="C385" s="626">
        <v>0</v>
      </c>
      <c r="D385" s="626">
        <v>0</v>
      </c>
      <c r="E385" s="626">
        <v>0</v>
      </c>
      <c r="F385" s="626">
        <v>0</v>
      </c>
      <c r="G385" s="626">
        <v>0</v>
      </c>
      <c r="H385" s="624">
        <v>0</v>
      </c>
      <c r="I385" s="601">
        <v>0</v>
      </c>
      <c r="J385" s="638">
        <v>0</v>
      </c>
      <c r="K385" s="626">
        <v>0</v>
      </c>
      <c r="L385" s="626">
        <v>0</v>
      </c>
      <c r="M385" s="624">
        <v>0</v>
      </c>
      <c r="N385" s="601">
        <v>0</v>
      </c>
      <c r="O385" s="638">
        <v>0</v>
      </c>
      <c r="P385" s="624">
        <v>0</v>
      </c>
      <c r="Q385" s="601">
        <v>0</v>
      </c>
      <c r="R385" s="601">
        <v>0</v>
      </c>
      <c r="S385" s="662">
        <v>0</v>
      </c>
      <c r="T385" s="601">
        <v>0</v>
      </c>
      <c r="U385" s="601">
        <v>0</v>
      </c>
      <c r="V385" s="601">
        <v>0</v>
      </c>
      <c r="W385" s="626">
        <v>0</v>
      </c>
      <c r="X385"/>
    </row>
    <row r="386" spans="1:24" ht="15.5">
      <c r="B386" s="65" t="s">
        <v>110</v>
      </c>
      <c r="C386" s="626"/>
      <c r="D386" s="626"/>
      <c r="E386" s="626"/>
      <c r="F386" s="626"/>
      <c r="G386" s="626"/>
      <c r="H386" s="624"/>
      <c r="I386" s="601"/>
      <c r="J386" s="638"/>
      <c r="K386" s="626"/>
      <c r="L386" s="626"/>
      <c r="M386" s="624"/>
      <c r="N386" s="601"/>
      <c r="O386" s="638"/>
      <c r="P386" s="624"/>
      <c r="Q386" s="601"/>
      <c r="R386" s="601"/>
      <c r="S386" s="626"/>
      <c r="T386" s="601"/>
      <c r="U386" s="601"/>
      <c r="V386" s="601"/>
      <c r="W386" s="626"/>
      <c r="X386"/>
    </row>
    <row r="387" spans="1:24" ht="16" thickBot="1">
      <c r="B387" s="65" t="s">
        <v>111</v>
      </c>
      <c r="C387" s="626"/>
      <c r="D387" s="626"/>
      <c r="E387" s="626"/>
      <c r="F387" s="626"/>
      <c r="G387" s="626"/>
      <c r="H387" s="624"/>
      <c r="I387" s="601"/>
      <c r="J387" s="638"/>
      <c r="K387" s="626"/>
      <c r="L387" s="626"/>
      <c r="M387" s="624"/>
      <c r="N387" s="601"/>
      <c r="O387" s="638"/>
      <c r="P387" s="624"/>
      <c r="Q387" s="601"/>
      <c r="R387" s="601"/>
      <c r="S387" s="626"/>
      <c r="T387" s="601"/>
      <c r="U387" s="601"/>
      <c r="V387" s="601"/>
      <c r="W387" s="626"/>
      <c r="X387"/>
    </row>
    <row r="388" spans="1:24" s="149" customFormat="1" ht="16" thickBot="1">
      <c r="A388" s="128"/>
      <c r="B388" s="65" t="s">
        <v>112</v>
      </c>
      <c r="C388" s="626">
        <v>0</v>
      </c>
      <c r="D388" s="626">
        <v>0</v>
      </c>
      <c r="E388" s="626">
        <v>0</v>
      </c>
      <c r="F388" s="626">
        <v>0</v>
      </c>
      <c r="G388" s="657">
        <v>0</v>
      </c>
      <c r="H388" s="624">
        <v>0</v>
      </c>
      <c r="I388" s="601">
        <v>0</v>
      </c>
      <c r="J388" s="638">
        <v>0</v>
      </c>
      <c r="K388" s="626">
        <v>0</v>
      </c>
      <c r="L388" s="626">
        <v>0</v>
      </c>
      <c r="M388" s="624">
        <v>0</v>
      </c>
      <c r="N388" s="601">
        <v>0</v>
      </c>
      <c r="O388" s="638">
        <v>0</v>
      </c>
      <c r="P388" s="624">
        <v>0</v>
      </c>
      <c r="Q388" s="601">
        <v>0</v>
      </c>
      <c r="R388" s="601">
        <v>0</v>
      </c>
      <c r="S388" s="648">
        <v>0</v>
      </c>
      <c r="T388" s="601">
        <v>0</v>
      </c>
      <c r="U388" s="601">
        <v>0</v>
      </c>
      <c r="V388" s="601">
        <v>0</v>
      </c>
      <c r="W388" s="626">
        <v>0</v>
      </c>
      <c r="X388"/>
    </row>
    <row r="389" spans="1:24" ht="15.5">
      <c r="B389" s="65" t="s">
        <v>113</v>
      </c>
      <c r="C389" s="626"/>
      <c r="D389" s="626"/>
      <c r="E389" s="626"/>
      <c r="F389" s="626"/>
      <c r="G389" s="626"/>
      <c r="H389" s="624"/>
      <c r="I389" s="601"/>
      <c r="J389" s="638"/>
      <c r="K389" s="626"/>
      <c r="L389" s="626"/>
      <c r="M389" s="624"/>
      <c r="N389" s="601"/>
      <c r="O389" s="638"/>
      <c r="P389" s="624"/>
      <c r="Q389" s="601"/>
      <c r="R389" s="601"/>
      <c r="S389" s="626"/>
      <c r="T389" s="601"/>
      <c r="U389" s="601"/>
      <c r="V389" s="601"/>
      <c r="W389" s="626"/>
      <c r="X389"/>
    </row>
    <row r="390" spans="1:24" ht="16" thickBot="1">
      <c r="B390" s="65" t="s">
        <v>114</v>
      </c>
      <c r="C390" s="626"/>
      <c r="D390" s="626"/>
      <c r="E390" s="626"/>
      <c r="F390" s="626"/>
      <c r="G390" s="626"/>
      <c r="H390" s="624"/>
      <c r="I390" s="601"/>
      <c r="J390" s="638"/>
      <c r="K390" s="626"/>
      <c r="L390" s="626"/>
      <c r="M390" s="624"/>
      <c r="N390" s="601"/>
      <c r="O390" s="638"/>
      <c r="P390" s="624"/>
      <c r="Q390" s="601"/>
      <c r="R390" s="601"/>
      <c r="S390" s="626"/>
      <c r="T390" s="601"/>
      <c r="U390" s="601"/>
      <c r="V390" s="601"/>
      <c r="W390" s="626"/>
      <c r="X390"/>
    </row>
    <row r="391" spans="1:24" s="149" customFormat="1" ht="16" thickBot="1">
      <c r="A391" s="128"/>
      <c r="B391" s="65" t="s">
        <v>115</v>
      </c>
      <c r="C391" s="657">
        <v>0</v>
      </c>
      <c r="D391" s="648">
        <v>0</v>
      </c>
      <c r="E391" s="657">
        <v>0</v>
      </c>
      <c r="F391" s="648">
        <v>0</v>
      </c>
      <c r="G391" s="626">
        <v>0</v>
      </c>
      <c r="H391" s="624">
        <v>0</v>
      </c>
      <c r="I391" s="601">
        <v>0</v>
      </c>
      <c r="J391" s="638">
        <v>0</v>
      </c>
      <c r="K391" s="626">
        <v>0</v>
      </c>
      <c r="L391" s="626">
        <v>0</v>
      </c>
      <c r="M391" s="624">
        <v>0</v>
      </c>
      <c r="N391" s="601">
        <v>0</v>
      </c>
      <c r="O391" s="638">
        <v>0</v>
      </c>
      <c r="P391" s="624">
        <v>0</v>
      </c>
      <c r="Q391" s="601">
        <v>0</v>
      </c>
      <c r="R391" s="601">
        <v>0</v>
      </c>
      <c r="S391" s="662">
        <v>0</v>
      </c>
      <c r="T391" s="601">
        <v>0</v>
      </c>
      <c r="U391" s="601">
        <v>0</v>
      </c>
      <c r="V391" s="601">
        <v>0</v>
      </c>
      <c r="W391" s="626">
        <v>0</v>
      </c>
      <c r="X391"/>
    </row>
    <row r="392" spans="1:24" ht="15.5">
      <c r="B392" s="65" t="s">
        <v>116</v>
      </c>
      <c r="C392" s="626"/>
      <c r="D392" s="626"/>
      <c r="E392" s="626"/>
      <c r="F392" s="626"/>
      <c r="G392" s="626"/>
      <c r="H392" s="624"/>
      <c r="I392" s="601"/>
      <c r="J392" s="638"/>
      <c r="K392" s="626"/>
      <c r="L392" s="626"/>
      <c r="M392" s="624"/>
      <c r="N392" s="601"/>
      <c r="O392" s="638"/>
      <c r="P392" s="624"/>
      <c r="Q392" s="601"/>
      <c r="R392" s="601"/>
      <c r="S392" s="626"/>
      <c r="T392" s="601"/>
      <c r="U392" s="601">
        <v>0</v>
      </c>
      <c r="V392" s="601">
        <v>0</v>
      </c>
      <c r="W392" s="626">
        <v>0</v>
      </c>
      <c r="X392"/>
    </row>
    <row r="393" spans="1:24" ht="16" thickBot="1">
      <c r="B393" s="65" t="s">
        <v>117</v>
      </c>
      <c r="C393" s="626"/>
      <c r="D393" s="626"/>
      <c r="E393" s="626"/>
      <c r="F393" s="626"/>
      <c r="G393" s="626"/>
      <c r="H393" s="624"/>
      <c r="I393" s="601"/>
      <c r="J393" s="638"/>
      <c r="K393" s="626"/>
      <c r="L393" s="626"/>
      <c r="M393" s="624"/>
      <c r="N393" s="601"/>
      <c r="O393" s="638"/>
      <c r="P393" s="624"/>
      <c r="Q393" s="601"/>
      <c r="R393" s="601"/>
      <c r="S393" s="626"/>
      <c r="T393" s="601"/>
      <c r="U393" s="601">
        <v>0</v>
      </c>
      <c r="V393" s="601">
        <v>0</v>
      </c>
      <c r="W393" s="626">
        <v>0</v>
      </c>
      <c r="X393"/>
    </row>
    <row r="394" spans="1:24" s="149" customFormat="1" ht="16" thickBot="1">
      <c r="A394" s="128"/>
      <c r="B394" s="65" t="s">
        <v>118</v>
      </c>
      <c r="C394" s="626">
        <v>0</v>
      </c>
      <c r="D394" s="626">
        <v>0</v>
      </c>
      <c r="E394" s="626">
        <v>0</v>
      </c>
      <c r="F394" s="626">
        <v>0</v>
      </c>
      <c r="G394" s="657">
        <v>0</v>
      </c>
      <c r="H394" s="624">
        <v>0</v>
      </c>
      <c r="I394" s="601">
        <v>0</v>
      </c>
      <c r="J394" s="638">
        <v>0</v>
      </c>
      <c r="K394" s="626">
        <v>0</v>
      </c>
      <c r="L394" s="626">
        <v>0</v>
      </c>
      <c r="M394" s="624">
        <v>0</v>
      </c>
      <c r="N394" s="601">
        <v>0</v>
      </c>
      <c r="O394" s="638">
        <v>0</v>
      </c>
      <c r="P394" s="624">
        <v>0</v>
      </c>
      <c r="Q394" s="601">
        <v>0</v>
      </c>
      <c r="R394" s="601">
        <v>0</v>
      </c>
      <c r="S394" s="662">
        <v>0</v>
      </c>
      <c r="T394" s="601">
        <v>0</v>
      </c>
      <c r="U394" s="601">
        <v>0</v>
      </c>
      <c r="V394" s="601">
        <v>0</v>
      </c>
      <c r="W394" s="626">
        <v>0</v>
      </c>
      <c r="X394"/>
    </row>
    <row r="395" spans="1:24" ht="15.5">
      <c r="B395" s="65" t="s">
        <v>119</v>
      </c>
      <c r="C395" s="626"/>
      <c r="D395" s="626"/>
      <c r="E395" s="626"/>
      <c r="F395" s="626"/>
      <c r="G395" s="626"/>
      <c r="H395" s="624"/>
      <c r="I395" s="601"/>
      <c r="J395" s="638"/>
      <c r="K395" s="626"/>
      <c r="L395" s="626"/>
      <c r="M395" s="624"/>
      <c r="N395" s="601"/>
      <c r="O395" s="638"/>
      <c r="P395" s="624"/>
      <c r="Q395" s="601"/>
      <c r="R395" s="601"/>
      <c r="S395" s="626"/>
      <c r="T395" s="601"/>
      <c r="U395" s="601">
        <v>0</v>
      </c>
      <c r="V395" s="601">
        <v>0</v>
      </c>
      <c r="W395" s="626">
        <v>0</v>
      </c>
      <c r="X395"/>
    </row>
    <row r="396" spans="1:24" ht="16" thickBot="1">
      <c r="B396" s="65" t="s">
        <v>120</v>
      </c>
      <c r="C396" s="626"/>
      <c r="D396" s="626"/>
      <c r="E396" s="626"/>
      <c r="F396" s="626"/>
      <c r="G396" s="626"/>
      <c r="H396" s="624"/>
      <c r="I396" s="601"/>
      <c r="J396" s="638"/>
      <c r="K396" s="626"/>
      <c r="L396" s="626"/>
      <c r="M396" s="624"/>
      <c r="N396" s="601"/>
      <c r="O396" s="638"/>
      <c r="P396" s="624"/>
      <c r="Q396" s="601"/>
      <c r="R396" s="601"/>
      <c r="S396" s="626"/>
      <c r="T396" s="601"/>
      <c r="U396" s="601">
        <v>0</v>
      </c>
      <c r="V396" s="601">
        <v>0</v>
      </c>
      <c r="W396" s="626">
        <v>0</v>
      </c>
      <c r="X396"/>
    </row>
    <row r="397" spans="1:24" s="149" customFormat="1" ht="16" thickBot="1">
      <c r="A397" s="128"/>
      <c r="B397" s="65" t="s">
        <v>121</v>
      </c>
      <c r="C397" s="626">
        <v>0</v>
      </c>
      <c r="D397" s="626">
        <v>0</v>
      </c>
      <c r="E397" s="657">
        <v>0</v>
      </c>
      <c r="F397" s="662">
        <v>0</v>
      </c>
      <c r="G397" s="626">
        <v>0</v>
      </c>
      <c r="H397" s="624">
        <v>0</v>
      </c>
      <c r="I397" s="601">
        <v>0</v>
      </c>
      <c r="J397" s="638">
        <v>0</v>
      </c>
      <c r="K397" s="626">
        <v>0</v>
      </c>
      <c r="L397" s="626">
        <v>0</v>
      </c>
      <c r="M397" s="624">
        <v>0</v>
      </c>
      <c r="N397" s="601">
        <v>0</v>
      </c>
      <c r="O397" s="638">
        <v>0</v>
      </c>
      <c r="P397" s="624">
        <v>0</v>
      </c>
      <c r="Q397" s="601">
        <v>0</v>
      </c>
      <c r="R397" s="601">
        <v>0</v>
      </c>
      <c r="S397" s="648">
        <v>0</v>
      </c>
      <c r="T397" s="601">
        <v>0</v>
      </c>
      <c r="U397" s="601">
        <v>0</v>
      </c>
      <c r="V397" s="601">
        <v>0</v>
      </c>
      <c r="W397" s="626">
        <v>0</v>
      </c>
      <c r="X397"/>
    </row>
    <row r="398" spans="1:24" ht="15.5">
      <c r="B398" s="65" t="s">
        <v>122</v>
      </c>
      <c r="C398" s="626"/>
      <c r="D398" s="626"/>
      <c r="E398" s="626"/>
      <c r="F398" s="626"/>
      <c r="G398" s="626"/>
      <c r="H398" s="624"/>
      <c r="I398" s="601"/>
      <c r="J398" s="638"/>
      <c r="K398" s="626"/>
      <c r="L398" s="626"/>
      <c r="M398" s="624"/>
      <c r="N398" s="601"/>
      <c r="O398" s="638"/>
      <c r="P398" s="624"/>
      <c r="Q398" s="601"/>
      <c r="R398" s="601"/>
      <c r="S398" s="626"/>
      <c r="T398" s="601"/>
      <c r="U398" s="601"/>
      <c r="V398" s="601"/>
      <c r="W398" s="626"/>
      <c r="X398"/>
    </row>
    <row r="399" spans="1:24" ht="16" thickBot="1">
      <c r="B399" s="65" t="s">
        <v>123</v>
      </c>
      <c r="C399" s="626"/>
      <c r="D399" s="626"/>
      <c r="E399" s="626"/>
      <c r="F399" s="626"/>
      <c r="G399" s="626"/>
      <c r="H399" s="624"/>
      <c r="I399" s="601"/>
      <c r="J399" s="638"/>
      <c r="K399" s="626"/>
      <c r="L399" s="626"/>
      <c r="M399" s="624"/>
      <c r="N399" s="601"/>
      <c r="O399" s="638"/>
      <c r="P399" s="624"/>
      <c r="Q399" s="601"/>
      <c r="R399" s="601"/>
      <c r="S399" s="626"/>
      <c r="T399" s="601"/>
      <c r="U399" s="601"/>
      <c r="V399" s="601"/>
      <c r="W399" s="626"/>
      <c r="X399"/>
    </row>
    <row r="400" spans="1:24" s="149" customFormat="1" ht="16" thickBot="1">
      <c r="A400" s="128"/>
      <c r="B400" s="65" t="s">
        <v>124</v>
      </c>
      <c r="C400" s="626">
        <v>0</v>
      </c>
      <c r="D400" s="626">
        <v>0</v>
      </c>
      <c r="E400" s="626">
        <v>0</v>
      </c>
      <c r="F400" s="626">
        <v>0</v>
      </c>
      <c r="G400" s="626">
        <v>0</v>
      </c>
      <c r="H400" s="624">
        <v>0</v>
      </c>
      <c r="I400" s="601">
        <v>0</v>
      </c>
      <c r="J400" s="638">
        <v>0</v>
      </c>
      <c r="K400" s="626">
        <v>0</v>
      </c>
      <c r="L400" s="626">
        <v>0</v>
      </c>
      <c r="M400" s="624">
        <v>0</v>
      </c>
      <c r="N400" s="601">
        <v>0</v>
      </c>
      <c r="O400" s="638">
        <v>0</v>
      </c>
      <c r="P400" s="624">
        <v>0</v>
      </c>
      <c r="Q400" s="601">
        <v>0</v>
      </c>
      <c r="R400" s="601">
        <v>0</v>
      </c>
      <c r="S400" s="662">
        <v>0</v>
      </c>
      <c r="T400" s="601">
        <v>0</v>
      </c>
      <c r="U400" s="601">
        <v>0</v>
      </c>
      <c r="V400" s="601">
        <v>0</v>
      </c>
      <c r="W400" s="626">
        <v>0</v>
      </c>
      <c r="X400"/>
    </row>
    <row r="401" spans="1:24" ht="15.5">
      <c r="B401" s="65" t="s">
        <v>125</v>
      </c>
      <c r="C401" s="626"/>
      <c r="D401" s="626"/>
      <c r="E401" s="626"/>
      <c r="F401" s="626"/>
      <c r="G401" s="626"/>
      <c r="H401" s="624"/>
      <c r="I401" s="601"/>
      <c r="J401" s="638"/>
      <c r="K401" s="626"/>
      <c r="L401" s="626"/>
      <c r="M401" s="624"/>
      <c r="N401" s="601"/>
      <c r="O401" s="638"/>
      <c r="P401" s="624"/>
      <c r="Q401" s="601"/>
      <c r="R401" s="601"/>
      <c r="S401" s="626"/>
      <c r="T401" s="601"/>
      <c r="U401" s="601"/>
      <c r="V401" s="601"/>
      <c r="W401" s="626"/>
      <c r="X401"/>
    </row>
    <row r="402" spans="1:24" ht="15.5">
      <c r="B402" s="65" t="s">
        <v>126</v>
      </c>
      <c r="C402" s="626"/>
      <c r="D402" s="626"/>
      <c r="E402" s="626"/>
      <c r="F402" s="626"/>
      <c r="G402" s="626"/>
      <c r="H402" s="624"/>
      <c r="I402" s="601"/>
      <c r="J402" s="638"/>
      <c r="K402" s="626"/>
      <c r="L402" s="626"/>
      <c r="M402" s="624"/>
      <c r="N402" s="601"/>
      <c r="O402" s="638"/>
      <c r="P402" s="624"/>
      <c r="Q402" s="601"/>
      <c r="R402" s="601"/>
      <c r="S402" s="626"/>
      <c r="T402" s="601"/>
      <c r="U402" s="601"/>
      <c r="V402" s="601"/>
      <c r="W402" s="626"/>
      <c r="X402"/>
    </row>
    <row r="403" spans="1:24" s="149" customFormat="1" ht="15.5">
      <c r="A403" s="128"/>
      <c r="B403" s="65" t="s">
        <v>127</v>
      </c>
      <c r="C403" s="626">
        <v>0</v>
      </c>
      <c r="D403" s="626">
        <v>0</v>
      </c>
      <c r="E403" s="626">
        <v>0</v>
      </c>
      <c r="F403" s="626">
        <v>0</v>
      </c>
      <c r="G403" s="626">
        <v>0</v>
      </c>
      <c r="H403" s="624">
        <v>0</v>
      </c>
      <c r="I403" s="601">
        <v>0</v>
      </c>
      <c r="J403" s="638">
        <v>0</v>
      </c>
      <c r="K403" s="626">
        <v>0</v>
      </c>
      <c r="L403" s="626">
        <v>0</v>
      </c>
      <c r="M403" s="624">
        <v>0</v>
      </c>
      <c r="N403" s="601">
        <v>0</v>
      </c>
      <c r="O403" s="638">
        <v>0</v>
      </c>
      <c r="P403" s="624">
        <v>0</v>
      </c>
      <c r="Q403" s="601">
        <v>0</v>
      </c>
      <c r="R403" s="601">
        <v>0</v>
      </c>
      <c r="S403" s="626">
        <v>0</v>
      </c>
      <c r="T403" s="601">
        <v>0</v>
      </c>
      <c r="U403" s="601">
        <v>0</v>
      </c>
      <c r="V403" s="601">
        <v>0</v>
      </c>
      <c r="W403" s="626">
        <v>0</v>
      </c>
      <c r="X403"/>
    </row>
    <row r="404" spans="1:24" ht="15.5">
      <c r="B404" s="65" t="s">
        <v>128</v>
      </c>
      <c r="C404" s="626"/>
      <c r="D404" s="626"/>
      <c r="E404" s="626"/>
      <c r="F404" s="626"/>
      <c r="G404" s="626"/>
      <c r="H404" s="624"/>
      <c r="I404" s="601"/>
      <c r="J404" s="638"/>
      <c r="K404" s="626"/>
      <c r="L404" s="626"/>
      <c r="M404" s="624"/>
      <c r="N404" s="601"/>
      <c r="O404" s="638"/>
      <c r="P404" s="624"/>
      <c r="Q404" s="601"/>
      <c r="R404" s="601"/>
      <c r="S404" s="626"/>
      <c r="T404" s="601"/>
      <c r="U404" s="601"/>
      <c r="V404" s="601"/>
      <c r="W404" s="626"/>
      <c r="X404"/>
    </row>
    <row r="405" spans="1:24" ht="15.5">
      <c r="B405" s="65" t="s">
        <v>129</v>
      </c>
      <c r="C405" s="626"/>
      <c r="D405" s="626"/>
      <c r="E405" s="626"/>
      <c r="F405" s="626"/>
      <c r="G405" s="626"/>
      <c r="H405" s="624"/>
      <c r="I405" s="601"/>
      <c r="J405" s="638"/>
      <c r="K405" s="626"/>
      <c r="L405" s="626"/>
      <c r="M405" s="624"/>
      <c r="N405" s="601"/>
      <c r="O405" s="638"/>
      <c r="P405" s="624"/>
      <c r="Q405" s="601"/>
      <c r="R405" s="601"/>
      <c r="S405" s="626"/>
      <c r="T405" s="601"/>
      <c r="U405" s="601"/>
      <c r="V405" s="601"/>
      <c r="W405" s="626"/>
      <c r="X405"/>
    </row>
    <row r="406" spans="1:24" s="149" customFormat="1" ht="15.5">
      <c r="A406" s="128"/>
      <c r="B406" s="65" t="s">
        <v>130</v>
      </c>
      <c r="C406" s="626">
        <v>0</v>
      </c>
      <c r="D406" s="626">
        <v>0</v>
      </c>
      <c r="E406" s="626">
        <v>0</v>
      </c>
      <c r="F406" s="626">
        <v>0</v>
      </c>
      <c r="G406" s="626">
        <v>0</v>
      </c>
      <c r="H406" s="624">
        <v>0</v>
      </c>
      <c r="I406" s="601">
        <v>0</v>
      </c>
      <c r="J406" s="638">
        <v>0</v>
      </c>
      <c r="K406" s="626">
        <v>0</v>
      </c>
      <c r="L406" s="626">
        <v>0</v>
      </c>
      <c r="M406" s="624">
        <v>0</v>
      </c>
      <c r="N406" s="601">
        <v>0</v>
      </c>
      <c r="O406" s="638">
        <v>0</v>
      </c>
      <c r="P406" s="624">
        <v>0</v>
      </c>
      <c r="Q406" s="601">
        <v>0</v>
      </c>
      <c r="R406" s="601">
        <v>0</v>
      </c>
      <c r="S406" s="626">
        <v>0</v>
      </c>
      <c r="T406" s="601">
        <v>0</v>
      </c>
      <c r="U406" s="601">
        <v>0</v>
      </c>
      <c r="V406" s="601">
        <v>0</v>
      </c>
      <c r="W406" s="626">
        <v>0</v>
      </c>
      <c r="X406"/>
    </row>
    <row r="407" spans="1:24" ht="16" thickBot="1">
      <c r="B407" s="65" t="s">
        <v>131</v>
      </c>
      <c r="C407" s="626"/>
      <c r="D407" s="626"/>
      <c r="E407" s="626"/>
      <c r="F407" s="626"/>
      <c r="G407" s="626"/>
      <c r="H407" s="624"/>
      <c r="I407" s="601"/>
      <c r="J407" s="638"/>
      <c r="K407" s="626"/>
      <c r="L407" s="626"/>
      <c r="M407" s="624"/>
      <c r="N407" s="601"/>
      <c r="O407" s="638"/>
      <c r="P407" s="624"/>
      <c r="Q407" s="601"/>
      <c r="R407" s="601"/>
      <c r="S407" s="626"/>
      <c r="T407" s="601"/>
      <c r="U407" s="601"/>
      <c r="V407" s="601"/>
      <c r="W407" s="626"/>
      <c r="X407"/>
    </row>
    <row r="408" spans="1:24" ht="16" thickBot="1">
      <c r="B408" s="65" t="s">
        <v>132</v>
      </c>
      <c r="C408" s="626"/>
      <c r="D408" s="626"/>
      <c r="E408" s="626"/>
      <c r="F408" s="669"/>
      <c r="G408" s="626"/>
      <c r="H408" s="624"/>
      <c r="I408" s="601"/>
      <c r="J408" s="638"/>
      <c r="K408" s="626"/>
      <c r="L408" s="626"/>
      <c r="M408" s="624"/>
      <c r="N408" s="601"/>
      <c r="O408" s="638"/>
      <c r="P408" s="624"/>
      <c r="Q408" s="601"/>
      <c r="R408" s="601"/>
      <c r="S408" s="626"/>
      <c r="T408" s="601"/>
      <c r="U408" s="601"/>
      <c r="V408" s="601"/>
      <c r="W408" s="626"/>
      <c r="X408"/>
    </row>
    <row r="409" spans="1:24" s="149" customFormat="1" ht="15.5">
      <c r="A409" s="128"/>
      <c r="B409" s="65" t="s">
        <v>133</v>
      </c>
      <c r="C409" s="626">
        <v>0</v>
      </c>
      <c r="D409" s="626">
        <v>0</v>
      </c>
      <c r="E409" s="626">
        <v>0</v>
      </c>
      <c r="F409" s="626">
        <v>0</v>
      </c>
      <c r="G409" s="626">
        <v>0</v>
      </c>
      <c r="H409" s="624">
        <v>0</v>
      </c>
      <c r="I409" s="601">
        <v>0</v>
      </c>
      <c r="J409" s="638">
        <v>0</v>
      </c>
      <c r="K409" s="626">
        <v>0</v>
      </c>
      <c r="L409" s="626">
        <v>0</v>
      </c>
      <c r="M409" s="624">
        <v>0</v>
      </c>
      <c r="N409" s="601">
        <v>0</v>
      </c>
      <c r="O409" s="638">
        <v>0</v>
      </c>
      <c r="P409" s="624">
        <v>0</v>
      </c>
      <c r="Q409" s="601">
        <v>0</v>
      </c>
      <c r="R409" s="601">
        <v>0</v>
      </c>
      <c r="S409" s="626">
        <v>0</v>
      </c>
      <c r="T409" s="601">
        <v>0</v>
      </c>
      <c r="U409" s="601">
        <v>0</v>
      </c>
      <c r="V409" s="601">
        <v>0</v>
      </c>
      <c r="W409" s="626">
        <v>0</v>
      </c>
      <c r="X409"/>
    </row>
    <row r="410" spans="1:24" ht="15.5">
      <c r="B410" s="65" t="s">
        <v>134</v>
      </c>
      <c r="C410" s="626"/>
      <c r="D410" s="626"/>
      <c r="E410" s="626"/>
      <c r="F410" s="626"/>
      <c r="G410" s="626"/>
      <c r="H410" s="624"/>
      <c r="I410" s="601"/>
      <c r="J410" s="638"/>
      <c r="K410" s="626"/>
      <c r="L410" s="626"/>
      <c r="M410" s="624"/>
      <c r="N410" s="601"/>
      <c r="O410" s="638"/>
      <c r="P410" s="624"/>
      <c r="Q410" s="601"/>
      <c r="R410" s="601"/>
      <c r="S410" s="626"/>
      <c r="T410" s="601"/>
      <c r="U410" s="601"/>
      <c r="V410" s="601"/>
      <c r="W410" s="626"/>
      <c r="X410"/>
    </row>
    <row r="411" spans="1:24" ht="15.5">
      <c r="B411" s="65" t="s">
        <v>135</v>
      </c>
      <c r="C411" s="626"/>
      <c r="D411" s="626"/>
      <c r="E411" s="626"/>
      <c r="F411" s="626"/>
      <c r="G411" s="626"/>
      <c r="H411" s="624"/>
      <c r="I411" s="601"/>
      <c r="J411" s="638"/>
      <c r="K411" s="626"/>
      <c r="L411" s="626"/>
      <c r="M411" s="624"/>
      <c r="N411" s="601"/>
      <c r="O411" s="638"/>
      <c r="P411" s="624"/>
      <c r="Q411" s="601"/>
      <c r="R411" s="601"/>
      <c r="S411" s="626"/>
      <c r="T411" s="601"/>
      <c r="U411" s="601"/>
      <c r="V411" s="601"/>
      <c r="W411" s="626"/>
      <c r="X411"/>
    </row>
    <row r="412" spans="1:24" s="149" customFormat="1" ht="15.5">
      <c r="A412" s="128"/>
      <c r="B412" s="65" t="s">
        <v>136</v>
      </c>
      <c r="C412" s="626">
        <v>0</v>
      </c>
      <c r="D412" s="626">
        <v>0</v>
      </c>
      <c r="E412" s="626">
        <v>0</v>
      </c>
      <c r="F412" s="626">
        <v>0</v>
      </c>
      <c r="G412" s="626">
        <v>0</v>
      </c>
      <c r="H412" s="624">
        <v>0</v>
      </c>
      <c r="I412" s="601">
        <v>0</v>
      </c>
      <c r="J412" s="638">
        <v>0</v>
      </c>
      <c r="K412" s="626">
        <v>0</v>
      </c>
      <c r="L412" s="626">
        <v>0</v>
      </c>
      <c r="M412" s="624">
        <v>0</v>
      </c>
      <c r="N412" s="601">
        <v>0</v>
      </c>
      <c r="O412" s="638">
        <v>0</v>
      </c>
      <c r="P412" s="624">
        <v>0</v>
      </c>
      <c r="Q412" s="601">
        <v>0</v>
      </c>
      <c r="R412" s="601">
        <v>0</v>
      </c>
      <c r="S412" s="626">
        <v>0</v>
      </c>
      <c r="T412" s="601">
        <v>0</v>
      </c>
      <c r="U412" s="601">
        <v>0</v>
      </c>
      <c r="V412" s="601">
        <v>0</v>
      </c>
      <c r="W412" s="626">
        <v>0</v>
      </c>
      <c r="X412"/>
    </row>
    <row r="413" spans="1:24" ht="15.5">
      <c r="B413" s="65" t="s">
        <v>137</v>
      </c>
      <c r="C413" s="626"/>
      <c r="D413" s="626"/>
      <c r="E413" s="626"/>
      <c r="F413" s="626"/>
      <c r="G413" s="626"/>
      <c r="H413" s="624"/>
      <c r="I413" s="601"/>
      <c r="J413" s="638"/>
      <c r="K413" s="626"/>
      <c r="L413" s="626"/>
      <c r="M413" s="624"/>
      <c r="N413" s="601"/>
      <c r="O413" s="638"/>
      <c r="P413" s="624"/>
      <c r="Q413" s="601"/>
      <c r="R413" s="601"/>
      <c r="S413" s="626"/>
      <c r="T413" s="601"/>
      <c r="U413" s="601"/>
      <c r="V413" s="601"/>
      <c r="W413" s="626"/>
      <c r="X413"/>
    </row>
    <row r="414" spans="1:24" ht="15.5">
      <c r="B414" s="65" t="s">
        <v>138</v>
      </c>
      <c r="C414" s="626"/>
      <c r="D414" s="626"/>
      <c r="E414" s="626"/>
      <c r="F414" s="626"/>
      <c r="G414" s="626"/>
      <c r="H414" s="624"/>
      <c r="I414" s="601"/>
      <c r="J414" s="638"/>
      <c r="K414" s="626"/>
      <c r="L414" s="626"/>
      <c r="M414" s="624"/>
      <c r="N414" s="601"/>
      <c r="O414" s="638"/>
      <c r="P414" s="624"/>
      <c r="Q414" s="601"/>
      <c r="R414" s="601"/>
      <c r="S414" s="626"/>
      <c r="T414" s="601"/>
      <c r="U414" s="601"/>
      <c r="V414" s="601"/>
      <c r="W414" s="626"/>
      <c r="X414"/>
    </row>
    <row r="415" spans="1:24" s="149" customFormat="1" ht="15.5">
      <c r="A415" s="128"/>
      <c r="B415" s="65" t="s">
        <v>139</v>
      </c>
      <c r="C415" s="626">
        <v>0</v>
      </c>
      <c r="D415" s="626">
        <v>0</v>
      </c>
      <c r="E415" s="626">
        <v>0</v>
      </c>
      <c r="F415" s="626">
        <v>0</v>
      </c>
      <c r="G415" s="626">
        <v>0</v>
      </c>
      <c r="H415" s="624">
        <v>0</v>
      </c>
      <c r="I415" s="601">
        <v>0</v>
      </c>
      <c r="J415" s="638">
        <v>0</v>
      </c>
      <c r="K415" s="626">
        <v>0</v>
      </c>
      <c r="L415" s="626">
        <v>0</v>
      </c>
      <c r="M415" s="624">
        <v>0</v>
      </c>
      <c r="N415" s="601">
        <v>0</v>
      </c>
      <c r="O415" s="638">
        <v>0</v>
      </c>
      <c r="P415" s="624">
        <v>0</v>
      </c>
      <c r="Q415" s="601">
        <v>0</v>
      </c>
      <c r="R415" s="601">
        <v>0</v>
      </c>
      <c r="S415" s="626">
        <v>0</v>
      </c>
      <c r="T415" s="601">
        <v>0</v>
      </c>
      <c r="U415" s="601">
        <v>0</v>
      </c>
      <c r="V415" s="601">
        <v>0</v>
      </c>
      <c r="W415" s="626">
        <v>0</v>
      </c>
      <c r="X415"/>
    </row>
    <row r="416" spans="1:24" ht="15.5">
      <c r="B416" s="65" t="s">
        <v>140</v>
      </c>
      <c r="C416" s="626"/>
      <c r="D416" s="626"/>
      <c r="E416" s="626"/>
      <c r="F416" s="626"/>
      <c r="G416" s="626"/>
      <c r="H416" s="624"/>
      <c r="I416" s="601"/>
      <c r="J416" s="638"/>
      <c r="K416" s="626"/>
      <c r="L416" s="626"/>
      <c r="M416" s="624"/>
      <c r="N416" s="601"/>
      <c r="O416" s="638"/>
      <c r="P416" s="624"/>
      <c r="Q416" s="601"/>
      <c r="R416" s="601"/>
      <c r="S416" s="626"/>
      <c r="T416" s="601"/>
      <c r="U416" s="601"/>
      <c r="V416" s="601"/>
      <c r="W416" s="626"/>
      <c r="X416"/>
    </row>
    <row r="417" spans="1:24" ht="15.5">
      <c r="B417" s="65" t="s">
        <v>141</v>
      </c>
      <c r="C417" s="626"/>
      <c r="D417" s="626"/>
      <c r="E417" s="626"/>
      <c r="F417" s="626"/>
      <c r="G417" s="626"/>
      <c r="H417" s="624"/>
      <c r="I417" s="601"/>
      <c r="J417" s="638"/>
      <c r="K417" s="626"/>
      <c r="L417" s="626"/>
      <c r="M417" s="624"/>
      <c r="N417" s="601"/>
      <c r="O417" s="638"/>
      <c r="P417" s="624"/>
      <c r="Q417" s="601"/>
      <c r="R417" s="601"/>
      <c r="S417" s="626"/>
      <c r="T417" s="601"/>
      <c r="U417" s="601"/>
      <c r="V417" s="601"/>
      <c r="W417" s="626"/>
      <c r="X417"/>
    </row>
    <row r="418" spans="1:24" s="149" customFormat="1" ht="15.5">
      <c r="A418" s="128"/>
      <c r="B418" s="65" t="s">
        <v>142</v>
      </c>
      <c r="C418" s="626">
        <v>0</v>
      </c>
      <c r="D418" s="626">
        <v>0</v>
      </c>
      <c r="E418" s="626">
        <v>0</v>
      </c>
      <c r="F418" s="626">
        <v>0</v>
      </c>
      <c r="G418" s="626">
        <v>0</v>
      </c>
      <c r="H418" s="624">
        <v>0</v>
      </c>
      <c r="I418" s="601">
        <v>0</v>
      </c>
      <c r="J418" s="638">
        <v>0</v>
      </c>
      <c r="K418" s="626">
        <v>0</v>
      </c>
      <c r="L418" s="626">
        <v>0</v>
      </c>
      <c r="M418" s="624">
        <v>0</v>
      </c>
      <c r="N418" s="601">
        <v>0</v>
      </c>
      <c r="O418" s="638">
        <v>0</v>
      </c>
      <c r="P418" s="624">
        <v>0</v>
      </c>
      <c r="Q418" s="601">
        <v>0</v>
      </c>
      <c r="R418" s="601">
        <v>0</v>
      </c>
      <c r="S418" s="626">
        <v>0</v>
      </c>
      <c r="T418" s="601">
        <v>0</v>
      </c>
      <c r="U418" s="601">
        <v>0</v>
      </c>
      <c r="V418" s="601">
        <v>0</v>
      </c>
      <c r="W418" s="626">
        <v>0</v>
      </c>
      <c r="X418"/>
    </row>
    <row r="419" spans="1:24" ht="15.5">
      <c r="B419" s="65" t="s">
        <v>143</v>
      </c>
      <c r="C419" s="626"/>
      <c r="D419" s="626"/>
      <c r="E419" s="626"/>
      <c r="F419" s="626"/>
      <c r="G419" s="626"/>
      <c r="H419" s="624"/>
      <c r="I419" s="601"/>
      <c r="J419" s="638"/>
      <c r="K419" s="626"/>
      <c r="L419" s="626"/>
      <c r="M419" s="624"/>
      <c r="N419" s="601"/>
      <c r="O419" s="638"/>
      <c r="P419" s="624"/>
      <c r="Q419" s="601"/>
      <c r="R419" s="601"/>
      <c r="S419" s="626"/>
      <c r="T419" s="601"/>
      <c r="U419" s="601"/>
      <c r="V419" s="601"/>
      <c r="W419" s="626"/>
      <c r="X419"/>
    </row>
    <row r="420" spans="1:24" ht="15.5">
      <c r="B420" s="65" t="s">
        <v>144</v>
      </c>
      <c r="C420" s="626"/>
      <c r="D420" s="626"/>
      <c r="E420" s="626"/>
      <c r="F420" s="626"/>
      <c r="G420" s="626"/>
      <c r="H420" s="624"/>
      <c r="I420" s="601"/>
      <c r="J420" s="638"/>
      <c r="K420" s="626"/>
      <c r="L420" s="626"/>
      <c r="M420" s="624"/>
      <c r="N420" s="601"/>
      <c r="O420" s="638"/>
      <c r="P420" s="624"/>
      <c r="Q420" s="601"/>
      <c r="R420" s="601"/>
      <c r="S420" s="626"/>
      <c r="T420" s="601"/>
      <c r="U420" s="601"/>
      <c r="V420" s="601"/>
      <c r="W420" s="626"/>
      <c r="X420"/>
    </row>
    <row r="421" spans="1:24" s="149" customFormat="1" ht="15.5">
      <c r="A421" s="128"/>
      <c r="B421" s="65" t="s">
        <v>145</v>
      </c>
      <c r="C421" s="626">
        <v>0</v>
      </c>
      <c r="D421" s="626">
        <v>0</v>
      </c>
      <c r="E421" s="626">
        <v>0</v>
      </c>
      <c r="F421" s="626">
        <v>0</v>
      </c>
      <c r="G421" s="626">
        <v>0</v>
      </c>
      <c r="H421" s="624">
        <v>0</v>
      </c>
      <c r="I421" s="601">
        <v>0</v>
      </c>
      <c r="J421" s="638">
        <v>0</v>
      </c>
      <c r="K421" s="626">
        <v>0</v>
      </c>
      <c r="L421" s="626">
        <v>0</v>
      </c>
      <c r="M421" s="624">
        <v>0</v>
      </c>
      <c r="N421" s="601">
        <v>0</v>
      </c>
      <c r="O421" s="638">
        <v>0</v>
      </c>
      <c r="P421" s="624">
        <v>0</v>
      </c>
      <c r="Q421" s="601">
        <v>0</v>
      </c>
      <c r="R421" s="601">
        <v>0</v>
      </c>
      <c r="S421" s="626">
        <v>0</v>
      </c>
      <c r="T421" s="601">
        <v>0</v>
      </c>
      <c r="U421" s="601">
        <v>0</v>
      </c>
      <c r="V421" s="601">
        <v>0</v>
      </c>
      <c r="W421" s="626">
        <v>0</v>
      </c>
      <c r="X421"/>
    </row>
    <row r="422" spans="1:24" ht="15.5">
      <c r="B422" s="65" t="s">
        <v>146</v>
      </c>
      <c r="C422" s="626"/>
      <c r="D422" s="626"/>
      <c r="E422" s="626"/>
      <c r="F422" s="626"/>
      <c r="G422" s="626"/>
      <c r="H422" s="624"/>
      <c r="I422" s="601"/>
      <c r="J422" s="638"/>
      <c r="K422" s="626"/>
      <c r="L422" s="626"/>
      <c r="M422" s="624"/>
      <c r="N422" s="601"/>
      <c r="O422" s="638"/>
      <c r="P422" s="624"/>
      <c r="Q422" s="601"/>
      <c r="R422" s="601"/>
      <c r="S422" s="626"/>
      <c r="T422" s="601"/>
      <c r="U422" s="601"/>
      <c r="V422" s="601"/>
      <c r="W422" s="626"/>
      <c r="X422"/>
    </row>
    <row r="423" spans="1:24" ht="15.5">
      <c r="B423" s="65" t="s">
        <v>147</v>
      </c>
      <c r="C423" s="626"/>
      <c r="D423" s="626"/>
      <c r="E423" s="626"/>
      <c r="F423" s="626"/>
      <c r="G423" s="626"/>
      <c r="H423" s="624"/>
      <c r="I423" s="601"/>
      <c r="J423" s="638"/>
      <c r="K423" s="626"/>
      <c r="L423" s="626"/>
      <c r="M423" s="624"/>
      <c r="N423" s="601"/>
      <c r="O423" s="638"/>
      <c r="P423" s="624"/>
      <c r="Q423" s="601"/>
      <c r="R423" s="601"/>
      <c r="S423" s="626"/>
      <c r="T423" s="601"/>
      <c r="U423" s="601"/>
      <c r="V423" s="601"/>
      <c r="W423" s="626"/>
      <c r="X423"/>
    </row>
    <row r="424" spans="1:24" s="149" customFormat="1" ht="15.5">
      <c r="A424" s="128"/>
      <c r="B424" s="65" t="s">
        <v>148</v>
      </c>
      <c r="C424" s="626">
        <v>0</v>
      </c>
      <c r="D424" s="626">
        <v>0</v>
      </c>
      <c r="E424" s="626">
        <v>0</v>
      </c>
      <c r="F424" s="626">
        <v>0</v>
      </c>
      <c r="G424" s="626">
        <v>0</v>
      </c>
      <c r="H424" s="624">
        <v>0</v>
      </c>
      <c r="I424" s="601">
        <v>0</v>
      </c>
      <c r="J424" s="638">
        <v>0</v>
      </c>
      <c r="K424" s="626">
        <v>0</v>
      </c>
      <c r="L424" s="626">
        <v>0</v>
      </c>
      <c r="M424" s="624">
        <v>0</v>
      </c>
      <c r="N424" s="601">
        <v>0</v>
      </c>
      <c r="O424" s="638">
        <v>0</v>
      </c>
      <c r="P424" s="624">
        <v>0</v>
      </c>
      <c r="Q424" s="601">
        <v>0</v>
      </c>
      <c r="R424" s="601">
        <v>0</v>
      </c>
      <c r="S424" s="626">
        <v>0</v>
      </c>
      <c r="T424" s="601">
        <v>0</v>
      </c>
      <c r="U424" s="601">
        <v>0</v>
      </c>
      <c r="V424" s="601">
        <v>0</v>
      </c>
      <c r="W424" s="626">
        <v>0</v>
      </c>
      <c r="X424"/>
    </row>
    <row r="425" spans="1:24" ht="15.5">
      <c r="B425" s="65" t="s">
        <v>149</v>
      </c>
      <c r="C425" s="626"/>
      <c r="D425" s="626"/>
      <c r="E425" s="626"/>
      <c r="F425" s="626"/>
      <c r="G425" s="626"/>
      <c r="H425" s="624"/>
      <c r="I425" s="601"/>
      <c r="J425" s="638"/>
      <c r="K425" s="626"/>
      <c r="L425" s="626"/>
      <c r="M425" s="624"/>
      <c r="N425" s="601"/>
      <c r="O425" s="638"/>
      <c r="P425" s="624"/>
      <c r="Q425" s="601"/>
      <c r="R425" s="601"/>
      <c r="S425" s="626"/>
      <c r="T425" s="601"/>
      <c r="U425" s="601"/>
      <c r="V425" s="601"/>
      <c r="W425" s="626"/>
      <c r="X425"/>
    </row>
    <row r="426" spans="1:24" ht="16" thickBot="1">
      <c r="B426" s="65" t="s">
        <v>150</v>
      </c>
      <c r="C426" s="626"/>
      <c r="D426" s="626"/>
      <c r="E426" s="626"/>
      <c r="F426" s="626"/>
      <c r="G426" s="626"/>
      <c r="H426" s="624"/>
      <c r="I426" s="601"/>
      <c r="J426" s="638"/>
      <c r="K426" s="626"/>
      <c r="L426" s="626"/>
      <c r="M426" s="624"/>
      <c r="N426" s="601"/>
      <c r="O426" s="638"/>
      <c r="P426" s="624"/>
      <c r="Q426" s="601"/>
      <c r="R426" s="601"/>
      <c r="S426" s="626"/>
      <c r="T426" s="601"/>
      <c r="U426" s="601"/>
      <c r="V426" s="601"/>
      <c r="W426" s="626"/>
      <c r="X426"/>
    </row>
    <row r="427" spans="1:24" s="149" customFormat="1" ht="16" thickBot="1">
      <c r="A427" s="128"/>
      <c r="B427" s="65" t="s">
        <v>151</v>
      </c>
      <c r="C427" s="657">
        <v>0</v>
      </c>
      <c r="D427" s="626">
        <v>0</v>
      </c>
      <c r="E427" s="657">
        <v>0</v>
      </c>
      <c r="F427" s="626">
        <v>0</v>
      </c>
      <c r="G427" s="626">
        <v>0</v>
      </c>
      <c r="H427" s="624">
        <v>0</v>
      </c>
      <c r="I427" s="601">
        <v>0</v>
      </c>
      <c r="J427" s="638">
        <v>0</v>
      </c>
      <c r="K427" s="626">
        <v>0</v>
      </c>
      <c r="L427" s="626">
        <v>0</v>
      </c>
      <c r="M427" s="624">
        <v>0</v>
      </c>
      <c r="N427" s="601">
        <v>0</v>
      </c>
      <c r="O427" s="638">
        <v>0</v>
      </c>
      <c r="P427" s="624">
        <v>0</v>
      </c>
      <c r="Q427" s="601">
        <v>0</v>
      </c>
      <c r="R427" s="601">
        <v>0</v>
      </c>
      <c r="S427" s="662">
        <v>0</v>
      </c>
      <c r="T427" s="601">
        <v>0</v>
      </c>
      <c r="U427" s="601">
        <v>0</v>
      </c>
      <c r="V427" s="601">
        <v>0</v>
      </c>
      <c r="W427" s="626">
        <v>0</v>
      </c>
      <c r="X427"/>
    </row>
    <row r="428" spans="1:24" ht="15.5">
      <c r="B428" s="65" t="s">
        <v>152</v>
      </c>
      <c r="C428" s="626"/>
      <c r="D428" s="626"/>
      <c r="E428" s="626"/>
      <c r="F428" s="626"/>
      <c r="G428" s="626"/>
      <c r="H428" s="624"/>
      <c r="I428" s="601"/>
      <c r="J428" s="638"/>
      <c r="K428" s="626"/>
      <c r="L428" s="626"/>
      <c r="M428" s="624"/>
      <c r="N428" s="601"/>
      <c r="O428" s="638"/>
      <c r="P428" s="624"/>
      <c r="Q428" s="601"/>
      <c r="R428" s="601"/>
      <c r="S428" s="626"/>
      <c r="T428" s="601"/>
      <c r="U428" s="601"/>
      <c r="V428" s="601"/>
      <c r="W428" s="626"/>
      <c r="X428"/>
    </row>
    <row r="429" spans="1:24" s="149" customFormat="1" ht="15.5">
      <c r="A429" s="128"/>
      <c r="B429" s="65" t="s">
        <v>153</v>
      </c>
      <c r="C429" s="626"/>
      <c r="D429" s="626"/>
      <c r="E429" s="626"/>
      <c r="F429" s="626"/>
      <c r="G429" s="626"/>
      <c r="H429" s="624"/>
      <c r="I429" s="601"/>
      <c r="J429" s="638"/>
      <c r="K429" s="626"/>
      <c r="L429" s="626"/>
      <c r="M429" s="624"/>
      <c r="N429" s="601"/>
      <c r="O429" s="638"/>
      <c r="P429" s="624"/>
      <c r="Q429" s="601"/>
      <c r="R429" s="601"/>
      <c r="S429" s="626"/>
      <c r="T429" s="601"/>
      <c r="U429" s="601"/>
      <c r="V429" s="601"/>
      <c r="W429" s="626"/>
      <c r="X429"/>
    </row>
    <row r="430" spans="1:24" ht="15.5">
      <c r="A430" s="128" t="s">
        <v>161</v>
      </c>
      <c r="B430" s="131" t="s">
        <v>101</v>
      </c>
      <c r="C430" s="626"/>
      <c r="D430" s="626"/>
      <c r="E430" s="626"/>
      <c r="F430" s="626"/>
      <c r="G430" s="626"/>
      <c r="H430" s="624"/>
      <c r="I430" s="601"/>
      <c r="J430" s="638"/>
      <c r="K430" s="626"/>
      <c r="L430" s="626"/>
      <c r="M430" s="624"/>
      <c r="N430" s="601"/>
      <c r="O430" s="638"/>
      <c r="P430" s="624"/>
      <c r="Q430" s="601"/>
      <c r="R430" s="601"/>
      <c r="S430" s="626"/>
      <c r="T430" s="601"/>
      <c r="U430" s="601"/>
      <c r="V430" s="601"/>
      <c r="W430" s="626"/>
      <c r="X430"/>
    </row>
    <row r="431" spans="1:24" ht="16" thickBot="1">
      <c r="B431" s="131" t="s">
        <v>102</v>
      </c>
      <c r="C431" s="626"/>
      <c r="D431" s="626"/>
      <c r="E431" s="626"/>
      <c r="F431" s="626"/>
      <c r="G431" s="626"/>
      <c r="H431" s="624"/>
      <c r="I431" s="601"/>
      <c r="J431" s="638"/>
      <c r="K431" s="626"/>
      <c r="L431" s="626"/>
      <c r="M431" s="624"/>
      <c r="N431" s="601"/>
      <c r="O431" s="638"/>
      <c r="P431" s="624"/>
      <c r="Q431" s="601"/>
      <c r="R431" s="601"/>
      <c r="S431" s="626"/>
      <c r="T431" s="601"/>
      <c r="U431" s="601"/>
      <c r="V431" s="601"/>
      <c r="W431" s="626"/>
      <c r="X431"/>
    </row>
    <row r="432" spans="1:24" s="149" customFormat="1" ht="16" thickBot="1">
      <c r="A432" s="128"/>
      <c r="B432" s="131" t="s">
        <v>103</v>
      </c>
      <c r="C432" s="626">
        <v>0</v>
      </c>
      <c r="D432" s="626">
        <v>0</v>
      </c>
      <c r="E432" s="626">
        <v>0</v>
      </c>
      <c r="F432" s="626">
        <v>0</v>
      </c>
      <c r="G432" s="626">
        <v>0</v>
      </c>
      <c r="H432" s="624">
        <v>0</v>
      </c>
      <c r="I432" s="601">
        <v>0</v>
      </c>
      <c r="J432" s="638">
        <v>0</v>
      </c>
      <c r="K432" s="662">
        <v>0</v>
      </c>
      <c r="L432" s="626">
        <v>0</v>
      </c>
      <c r="M432" s="662">
        <v>0</v>
      </c>
      <c r="N432" s="601">
        <v>0</v>
      </c>
      <c r="O432" s="638">
        <v>0</v>
      </c>
      <c r="P432" s="624">
        <v>0</v>
      </c>
      <c r="Q432" s="601">
        <v>0</v>
      </c>
      <c r="R432" s="601">
        <v>0</v>
      </c>
      <c r="S432" s="626">
        <v>0</v>
      </c>
      <c r="T432" s="601">
        <v>0</v>
      </c>
      <c r="U432" s="601">
        <v>0</v>
      </c>
      <c r="V432" s="601">
        <v>0</v>
      </c>
      <c r="W432" s="626">
        <v>0</v>
      </c>
      <c r="X432"/>
    </row>
    <row r="433" spans="1:24" ht="15.5">
      <c r="B433" s="65" t="s">
        <v>104</v>
      </c>
      <c r="C433" s="626"/>
      <c r="D433" s="626"/>
      <c r="E433" s="626"/>
      <c r="F433" s="626"/>
      <c r="G433" s="626"/>
      <c r="H433" s="624"/>
      <c r="I433" s="601"/>
      <c r="J433" s="638"/>
      <c r="K433" s="626"/>
      <c r="L433" s="626"/>
      <c r="M433" s="624"/>
      <c r="N433" s="601"/>
      <c r="O433" s="638"/>
      <c r="P433" s="624"/>
      <c r="Q433" s="601"/>
      <c r="R433" s="601"/>
      <c r="S433" s="626"/>
      <c r="T433" s="601"/>
      <c r="U433" s="601"/>
      <c r="V433" s="601"/>
      <c r="W433" s="626"/>
      <c r="X433"/>
    </row>
    <row r="434" spans="1:24" ht="15.5">
      <c r="B434" s="65" t="s">
        <v>105</v>
      </c>
      <c r="C434" s="626"/>
      <c r="D434" s="626"/>
      <c r="E434" s="626"/>
      <c r="F434" s="626"/>
      <c r="G434" s="626"/>
      <c r="H434" s="624"/>
      <c r="I434" s="601"/>
      <c r="J434" s="638"/>
      <c r="K434" s="626"/>
      <c r="L434" s="626"/>
      <c r="M434" s="624"/>
      <c r="N434" s="601"/>
      <c r="O434" s="638"/>
      <c r="P434" s="624"/>
      <c r="Q434" s="601"/>
      <c r="R434" s="601"/>
      <c r="S434" s="626"/>
      <c r="T434" s="601"/>
      <c r="U434" s="601"/>
      <c r="V434" s="601"/>
      <c r="W434" s="626"/>
      <c r="X434"/>
    </row>
    <row r="435" spans="1:24" s="149" customFormat="1" ht="15.5">
      <c r="A435" s="128"/>
      <c r="B435" s="65" t="s">
        <v>106</v>
      </c>
      <c r="C435" s="626">
        <v>0</v>
      </c>
      <c r="D435" s="626">
        <v>0</v>
      </c>
      <c r="E435" s="626">
        <v>0</v>
      </c>
      <c r="F435" s="626">
        <v>0</v>
      </c>
      <c r="G435" s="626">
        <v>0</v>
      </c>
      <c r="H435" s="624">
        <v>0</v>
      </c>
      <c r="I435" s="601">
        <v>0</v>
      </c>
      <c r="J435" s="638">
        <v>0</v>
      </c>
      <c r="K435" s="626">
        <v>0</v>
      </c>
      <c r="L435" s="626">
        <v>0</v>
      </c>
      <c r="M435" s="624">
        <v>0</v>
      </c>
      <c r="N435" s="601">
        <v>0</v>
      </c>
      <c r="O435" s="638">
        <v>0</v>
      </c>
      <c r="P435" s="624">
        <v>0</v>
      </c>
      <c r="Q435" s="601">
        <v>0</v>
      </c>
      <c r="R435" s="601">
        <v>0</v>
      </c>
      <c r="S435" s="626">
        <v>0</v>
      </c>
      <c r="T435" s="601">
        <v>0</v>
      </c>
      <c r="U435" s="601">
        <v>0</v>
      </c>
      <c r="V435" s="601">
        <v>0</v>
      </c>
      <c r="W435" s="626">
        <v>0</v>
      </c>
      <c r="X435"/>
    </row>
    <row r="436" spans="1:24" ht="15.5">
      <c r="B436" s="65" t="s">
        <v>107</v>
      </c>
      <c r="C436" s="626"/>
      <c r="D436" s="626"/>
      <c r="E436" s="626"/>
      <c r="F436" s="626">
        <v>65</v>
      </c>
      <c r="G436" s="626"/>
      <c r="H436" s="624"/>
      <c r="I436" s="601">
        <v>65</v>
      </c>
      <c r="J436" s="638"/>
      <c r="K436" s="626"/>
      <c r="L436" s="626"/>
      <c r="M436" s="624"/>
      <c r="N436" s="601"/>
      <c r="O436" s="638"/>
      <c r="P436" s="624"/>
      <c r="Q436" s="601"/>
      <c r="R436" s="601"/>
      <c r="S436" s="626"/>
      <c r="T436" s="601"/>
      <c r="U436" s="601"/>
      <c r="V436" s="601"/>
      <c r="W436" s="626">
        <v>65</v>
      </c>
      <c r="X436"/>
    </row>
    <row r="437" spans="1:24" ht="16" thickBot="1">
      <c r="B437" s="65" t="s">
        <v>108</v>
      </c>
      <c r="C437" s="626"/>
      <c r="D437" s="626"/>
      <c r="E437" s="626"/>
      <c r="F437" s="626">
        <v>65</v>
      </c>
      <c r="G437" s="626"/>
      <c r="H437" s="624"/>
      <c r="I437" s="601">
        <v>65</v>
      </c>
      <c r="J437" s="638"/>
      <c r="K437" s="626"/>
      <c r="L437" s="626"/>
      <c r="M437" s="624"/>
      <c r="N437" s="601"/>
      <c r="O437" s="638"/>
      <c r="P437" s="624"/>
      <c r="Q437" s="601"/>
      <c r="R437" s="601"/>
      <c r="S437" s="626"/>
      <c r="T437" s="601"/>
      <c r="U437" s="601"/>
      <c r="V437" s="601"/>
      <c r="W437" s="626">
        <v>65</v>
      </c>
      <c r="X437"/>
    </row>
    <row r="438" spans="1:24" s="149" customFormat="1" ht="16" thickBot="1">
      <c r="A438" s="128"/>
      <c r="B438" s="65" t="s">
        <v>109</v>
      </c>
      <c r="C438" s="626">
        <v>0</v>
      </c>
      <c r="D438" s="626">
        <v>0</v>
      </c>
      <c r="E438" s="626">
        <v>0</v>
      </c>
      <c r="F438" s="662">
        <v>0</v>
      </c>
      <c r="G438" s="626">
        <v>0</v>
      </c>
      <c r="H438" s="624">
        <v>0</v>
      </c>
      <c r="I438" s="601">
        <v>0</v>
      </c>
      <c r="J438" s="638">
        <v>0</v>
      </c>
      <c r="K438" s="626">
        <v>0</v>
      </c>
      <c r="L438" s="626">
        <v>0</v>
      </c>
      <c r="M438" s="624">
        <v>0</v>
      </c>
      <c r="N438" s="601">
        <v>0</v>
      </c>
      <c r="O438" s="638">
        <v>0</v>
      </c>
      <c r="P438" s="624">
        <v>0</v>
      </c>
      <c r="Q438" s="601">
        <v>0</v>
      </c>
      <c r="R438" s="601">
        <v>0</v>
      </c>
      <c r="S438" s="626">
        <v>0</v>
      </c>
      <c r="T438" s="601">
        <v>0</v>
      </c>
      <c r="U438" s="601">
        <v>0</v>
      </c>
      <c r="V438" s="601">
        <v>0</v>
      </c>
      <c r="W438" s="626">
        <v>0</v>
      </c>
      <c r="X438"/>
    </row>
    <row r="439" spans="1:24" ht="15.5">
      <c r="B439" s="65" t="s">
        <v>110</v>
      </c>
      <c r="C439" s="626">
        <v>10981</v>
      </c>
      <c r="D439" s="626">
        <v>1155</v>
      </c>
      <c r="E439" s="626"/>
      <c r="F439" s="626">
        <v>2138</v>
      </c>
      <c r="G439" s="626"/>
      <c r="H439" s="624"/>
      <c r="I439" s="601">
        <v>14274</v>
      </c>
      <c r="J439" s="638"/>
      <c r="K439" s="626"/>
      <c r="L439" s="626"/>
      <c r="M439" s="624"/>
      <c r="N439" s="601"/>
      <c r="O439" s="638"/>
      <c r="P439" s="624"/>
      <c r="Q439" s="601"/>
      <c r="R439" s="601"/>
      <c r="S439" s="626"/>
      <c r="T439" s="601"/>
      <c r="U439" s="601"/>
      <c r="V439" s="601"/>
      <c r="W439" s="626">
        <v>14274</v>
      </c>
      <c r="X439"/>
    </row>
    <row r="440" spans="1:24" ht="16" thickBot="1">
      <c r="B440" s="65" t="s">
        <v>111</v>
      </c>
      <c r="C440" s="626">
        <v>11172</v>
      </c>
      <c r="D440" s="626">
        <v>1082</v>
      </c>
      <c r="E440" s="626"/>
      <c r="F440" s="626">
        <v>2140</v>
      </c>
      <c r="G440" s="626"/>
      <c r="H440" s="624"/>
      <c r="I440" s="601">
        <v>14394</v>
      </c>
      <c r="J440" s="638"/>
      <c r="K440" s="626"/>
      <c r="L440" s="626"/>
      <c r="M440" s="624"/>
      <c r="N440" s="601"/>
      <c r="O440" s="638"/>
      <c r="P440" s="624"/>
      <c r="Q440" s="601"/>
      <c r="R440" s="601"/>
      <c r="S440" s="626"/>
      <c r="T440" s="601"/>
      <c r="U440" s="601"/>
      <c r="V440" s="601"/>
      <c r="W440" s="626">
        <v>14394</v>
      </c>
      <c r="X440"/>
    </row>
    <row r="441" spans="1:24" s="149" customFormat="1" ht="16" thickBot="1">
      <c r="A441" s="128"/>
      <c r="B441" s="65" t="s">
        <v>112</v>
      </c>
      <c r="C441" s="626">
        <v>1.739367999271469E-2</v>
      </c>
      <c r="D441" s="626">
        <v>-6.3203463203463206E-2</v>
      </c>
      <c r="E441" s="626">
        <v>0</v>
      </c>
      <c r="F441" s="626">
        <v>9.3545369504209543E-4</v>
      </c>
      <c r="G441" s="657">
        <v>0</v>
      </c>
      <c r="H441" s="624">
        <v>0</v>
      </c>
      <c r="I441" s="601">
        <v>8.4068936527952921E-3</v>
      </c>
      <c r="J441" s="638">
        <v>0</v>
      </c>
      <c r="K441" s="626">
        <v>0</v>
      </c>
      <c r="L441" s="626">
        <v>0</v>
      </c>
      <c r="M441" s="624">
        <v>0</v>
      </c>
      <c r="N441" s="601">
        <v>0</v>
      </c>
      <c r="O441" s="638">
        <v>0</v>
      </c>
      <c r="P441" s="624">
        <v>0</v>
      </c>
      <c r="Q441" s="601">
        <v>0</v>
      </c>
      <c r="R441" s="601">
        <v>0</v>
      </c>
      <c r="S441" s="648">
        <v>0</v>
      </c>
      <c r="T441" s="601">
        <v>0</v>
      </c>
      <c r="U441" s="601">
        <v>0</v>
      </c>
      <c r="V441" s="601">
        <v>0</v>
      </c>
      <c r="W441" s="626">
        <v>8.4068936527952921E-3</v>
      </c>
      <c r="X441"/>
    </row>
    <row r="442" spans="1:24" ht="15.5">
      <c r="B442" s="65" t="s">
        <v>113</v>
      </c>
      <c r="C442" s="626"/>
      <c r="D442" s="626"/>
      <c r="E442" s="626"/>
      <c r="F442" s="626"/>
      <c r="G442" s="626"/>
      <c r="H442" s="624"/>
      <c r="I442" s="601"/>
      <c r="J442" s="638"/>
      <c r="K442" s="626"/>
      <c r="L442" s="626"/>
      <c r="M442" s="624"/>
      <c r="N442" s="601"/>
      <c r="O442" s="638"/>
      <c r="P442" s="624"/>
      <c r="Q442" s="601"/>
      <c r="R442" s="601"/>
      <c r="S442" s="626"/>
      <c r="T442" s="601"/>
      <c r="U442" s="601"/>
      <c r="V442" s="601"/>
      <c r="W442" s="626"/>
      <c r="X442"/>
    </row>
    <row r="443" spans="1:24" ht="16" thickBot="1">
      <c r="B443" s="65" t="s">
        <v>114</v>
      </c>
      <c r="C443" s="626"/>
      <c r="D443" s="626"/>
      <c r="E443" s="626"/>
      <c r="F443" s="626"/>
      <c r="G443" s="626"/>
      <c r="H443" s="624"/>
      <c r="I443" s="601"/>
      <c r="J443" s="638"/>
      <c r="K443" s="626"/>
      <c r="L443" s="626"/>
      <c r="M443" s="624"/>
      <c r="N443" s="601"/>
      <c r="O443" s="638"/>
      <c r="P443" s="624"/>
      <c r="Q443" s="601"/>
      <c r="R443" s="601"/>
      <c r="S443" s="626"/>
      <c r="T443" s="601"/>
      <c r="U443" s="601"/>
      <c r="V443" s="601"/>
      <c r="W443" s="626"/>
      <c r="X443"/>
    </row>
    <row r="444" spans="1:24" s="149" customFormat="1" ht="16" thickBot="1">
      <c r="A444" s="128"/>
      <c r="B444" s="65" t="s">
        <v>115</v>
      </c>
      <c r="C444" s="626">
        <v>0</v>
      </c>
      <c r="D444" s="626">
        <v>0</v>
      </c>
      <c r="E444" s="626">
        <v>0</v>
      </c>
      <c r="F444" s="626">
        <v>0</v>
      </c>
      <c r="G444" s="626">
        <v>0</v>
      </c>
      <c r="H444" s="624">
        <v>0</v>
      </c>
      <c r="I444" s="601">
        <v>0</v>
      </c>
      <c r="J444" s="638">
        <v>0</v>
      </c>
      <c r="K444" s="626">
        <v>0</v>
      </c>
      <c r="L444" s="626">
        <v>0</v>
      </c>
      <c r="M444" s="624">
        <v>0</v>
      </c>
      <c r="N444" s="601">
        <v>0</v>
      </c>
      <c r="O444" s="638">
        <v>0</v>
      </c>
      <c r="P444" s="624">
        <v>0</v>
      </c>
      <c r="Q444" s="601">
        <v>0</v>
      </c>
      <c r="R444" s="601">
        <v>0</v>
      </c>
      <c r="S444" s="626">
        <v>0</v>
      </c>
      <c r="T444" s="601">
        <v>0</v>
      </c>
      <c r="U444" s="601">
        <v>0</v>
      </c>
      <c r="V444" s="601">
        <v>0</v>
      </c>
      <c r="W444" s="626">
        <v>0</v>
      </c>
      <c r="X444"/>
    </row>
    <row r="445" spans="1:24" ht="15.5">
      <c r="B445" s="65" t="s">
        <v>116</v>
      </c>
      <c r="C445" s="626">
        <v>2413</v>
      </c>
      <c r="D445" s="626">
        <v>455</v>
      </c>
      <c r="E445" s="626"/>
      <c r="F445" s="626">
        <v>620</v>
      </c>
      <c r="G445" s="626"/>
      <c r="H445" s="624"/>
      <c r="I445" s="601">
        <v>3488</v>
      </c>
      <c r="J445" s="638"/>
      <c r="K445" s="626"/>
      <c r="L445" s="626"/>
      <c r="M445" s="624"/>
      <c r="N445" s="601"/>
      <c r="O445" s="638"/>
      <c r="P445" s="624"/>
      <c r="Q445" s="601"/>
      <c r="R445" s="601"/>
      <c r="S445" s="626"/>
      <c r="T445" s="601"/>
      <c r="U445" s="601">
        <v>0</v>
      </c>
      <c r="V445" s="601">
        <v>0</v>
      </c>
      <c r="W445" s="626">
        <v>3488</v>
      </c>
      <c r="X445"/>
    </row>
    <row r="446" spans="1:24" ht="16" thickBot="1">
      <c r="B446" s="65" t="s">
        <v>117</v>
      </c>
      <c r="C446" s="626">
        <v>2468</v>
      </c>
      <c r="D446" s="626">
        <v>425</v>
      </c>
      <c r="E446" s="626"/>
      <c r="F446" s="626">
        <v>580</v>
      </c>
      <c r="G446" s="626"/>
      <c r="H446" s="624"/>
      <c r="I446" s="601">
        <v>3473</v>
      </c>
      <c r="J446" s="638"/>
      <c r="K446" s="626"/>
      <c r="L446" s="626"/>
      <c r="M446" s="624"/>
      <c r="N446" s="601"/>
      <c r="O446" s="638"/>
      <c r="P446" s="624"/>
      <c r="Q446" s="601"/>
      <c r="R446" s="601"/>
      <c r="S446" s="656"/>
      <c r="T446" s="601"/>
      <c r="U446" s="601">
        <v>0</v>
      </c>
      <c r="V446" s="601">
        <v>0</v>
      </c>
      <c r="W446" s="626">
        <v>3473</v>
      </c>
      <c r="X446"/>
    </row>
    <row r="447" spans="1:24" s="149" customFormat="1" ht="16" thickBot="1">
      <c r="A447" s="128"/>
      <c r="B447" s="65" t="s">
        <v>118</v>
      </c>
      <c r="C447" s="626">
        <v>2.2793203481143803E-2</v>
      </c>
      <c r="D447" s="626">
        <v>-6.5934065934065936E-2</v>
      </c>
      <c r="E447" s="626">
        <v>0</v>
      </c>
      <c r="F447" s="626">
        <v>-6.4516129032258063E-2</v>
      </c>
      <c r="G447" s="626">
        <v>0</v>
      </c>
      <c r="H447" s="624">
        <v>0</v>
      </c>
      <c r="I447" s="601">
        <v>-4.3004587155963305E-3</v>
      </c>
      <c r="J447" s="638">
        <v>0</v>
      </c>
      <c r="K447" s="626">
        <v>0</v>
      </c>
      <c r="L447" s="626">
        <v>0</v>
      </c>
      <c r="M447" s="624">
        <v>0</v>
      </c>
      <c r="N447" s="601">
        <v>0</v>
      </c>
      <c r="O447" s="638">
        <v>0</v>
      </c>
      <c r="P447" s="624">
        <v>0</v>
      </c>
      <c r="Q447" s="601">
        <v>0</v>
      </c>
      <c r="R447" s="665">
        <v>0</v>
      </c>
      <c r="S447" s="666">
        <v>0</v>
      </c>
      <c r="T447" s="601">
        <v>0</v>
      </c>
      <c r="U447" s="601">
        <v>0</v>
      </c>
      <c r="V447" s="601">
        <v>0</v>
      </c>
      <c r="W447" s="626">
        <v>-4.3004587155963305E-3</v>
      </c>
      <c r="X447"/>
    </row>
    <row r="448" spans="1:24" ht="15.5">
      <c r="B448" s="65" t="s">
        <v>119</v>
      </c>
      <c r="C448" s="626">
        <v>545</v>
      </c>
      <c r="D448" s="626">
        <v>98</v>
      </c>
      <c r="E448" s="626"/>
      <c r="F448" s="626">
        <v>12</v>
      </c>
      <c r="G448" s="626"/>
      <c r="H448" s="624"/>
      <c r="I448" s="601">
        <v>655</v>
      </c>
      <c r="J448" s="638"/>
      <c r="K448" s="626"/>
      <c r="L448" s="626"/>
      <c r="M448" s="624"/>
      <c r="N448" s="601"/>
      <c r="O448" s="638"/>
      <c r="P448" s="624"/>
      <c r="Q448" s="601"/>
      <c r="R448" s="601"/>
      <c r="S448" s="626"/>
      <c r="T448" s="601"/>
      <c r="U448" s="601">
        <v>0</v>
      </c>
      <c r="V448" s="601">
        <v>0</v>
      </c>
      <c r="W448" s="626">
        <v>655</v>
      </c>
      <c r="X448"/>
    </row>
    <row r="449" spans="1:24" ht="16" thickBot="1">
      <c r="B449" s="65" t="s">
        <v>120</v>
      </c>
      <c r="C449" s="626">
        <v>465</v>
      </c>
      <c r="D449" s="626">
        <v>90</v>
      </c>
      <c r="E449" s="626"/>
      <c r="F449" s="626">
        <v>13</v>
      </c>
      <c r="G449" s="626"/>
      <c r="H449" s="624"/>
      <c r="I449" s="601">
        <v>568</v>
      </c>
      <c r="J449" s="638"/>
      <c r="K449" s="626"/>
      <c r="L449" s="626"/>
      <c r="M449" s="624"/>
      <c r="N449" s="601"/>
      <c r="O449" s="638"/>
      <c r="P449" s="624"/>
      <c r="Q449" s="601"/>
      <c r="R449" s="601"/>
      <c r="S449" s="626"/>
      <c r="T449" s="601"/>
      <c r="U449" s="601">
        <v>0</v>
      </c>
      <c r="V449" s="601">
        <v>0</v>
      </c>
      <c r="W449" s="626">
        <v>568</v>
      </c>
      <c r="X449"/>
    </row>
    <row r="450" spans="1:24" s="149" customFormat="1" ht="16" thickBot="1">
      <c r="A450" s="128"/>
      <c r="B450" s="65" t="s">
        <v>121</v>
      </c>
      <c r="C450" s="626">
        <v>-0.14678899082568808</v>
      </c>
      <c r="D450" s="626">
        <v>-8.1632653061224483E-2</v>
      </c>
      <c r="E450" s="626">
        <v>0</v>
      </c>
      <c r="F450" s="648">
        <v>8.3333333333333329E-2</v>
      </c>
      <c r="G450" s="626">
        <v>0</v>
      </c>
      <c r="H450" s="624">
        <v>0</v>
      </c>
      <c r="I450" s="601">
        <v>-0.13282442748091602</v>
      </c>
      <c r="J450" s="638">
        <v>0</v>
      </c>
      <c r="K450" s="626">
        <v>0</v>
      </c>
      <c r="L450" s="626">
        <v>0</v>
      </c>
      <c r="M450" s="624">
        <v>0</v>
      </c>
      <c r="N450" s="601">
        <v>0</v>
      </c>
      <c r="O450" s="638">
        <v>0</v>
      </c>
      <c r="P450" s="624">
        <v>0</v>
      </c>
      <c r="Q450" s="601">
        <v>0</v>
      </c>
      <c r="R450" s="601">
        <v>0</v>
      </c>
      <c r="S450" s="662">
        <v>0</v>
      </c>
      <c r="T450" s="601">
        <v>0</v>
      </c>
      <c r="U450" s="601">
        <v>0</v>
      </c>
      <c r="V450" s="601">
        <v>0</v>
      </c>
      <c r="W450" s="626">
        <v>-0.13282442748091602</v>
      </c>
      <c r="X450"/>
    </row>
    <row r="451" spans="1:24" ht="15.5">
      <c r="B451" s="65" t="s">
        <v>122</v>
      </c>
      <c r="C451" s="626">
        <v>108</v>
      </c>
      <c r="D451" s="626"/>
      <c r="E451" s="626"/>
      <c r="F451" s="626"/>
      <c r="G451" s="626"/>
      <c r="H451" s="624"/>
      <c r="I451" s="601">
        <v>108</v>
      </c>
      <c r="J451" s="638"/>
      <c r="K451" s="626"/>
      <c r="L451" s="626"/>
      <c r="M451" s="624"/>
      <c r="N451" s="601"/>
      <c r="O451" s="638"/>
      <c r="P451" s="624"/>
      <c r="Q451" s="601"/>
      <c r="R451" s="601"/>
      <c r="S451" s="626"/>
      <c r="T451" s="601"/>
      <c r="U451" s="601"/>
      <c r="V451" s="601"/>
      <c r="W451" s="626">
        <v>108</v>
      </c>
      <c r="X451"/>
    </row>
    <row r="452" spans="1:24" ht="15.5">
      <c r="B452" s="65" t="s">
        <v>123</v>
      </c>
      <c r="C452" s="626">
        <v>112</v>
      </c>
      <c r="D452" s="626"/>
      <c r="E452" s="626"/>
      <c r="F452" s="626"/>
      <c r="G452" s="626"/>
      <c r="H452" s="624"/>
      <c r="I452" s="601">
        <v>112</v>
      </c>
      <c r="J452" s="638"/>
      <c r="K452" s="626"/>
      <c r="L452" s="626"/>
      <c r="M452" s="624"/>
      <c r="N452" s="601"/>
      <c r="O452" s="638"/>
      <c r="P452" s="624"/>
      <c r="Q452" s="601"/>
      <c r="R452" s="601"/>
      <c r="S452" s="626"/>
      <c r="T452" s="601"/>
      <c r="U452" s="601"/>
      <c r="V452" s="601"/>
      <c r="W452" s="626">
        <v>112</v>
      </c>
      <c r="X452"/>
    </row>
    <row r="453" spans="1:24" s="149" customFormat="1" ht="15.5">
      <c r="A453" s="128"/>
      <c r="B453" s="65" t="s">
        <v>124</v>
      </c>
      <c r="C453" s="626">
        <v>3.7037037037037035E-2</v>
      </c>
      <c r="D453" s="648">
        <v>0</v>
      </c>
      <c r="E453" s="626">
        <v>0</v>
      </c>
      <c r="F453" s="626">
        <v>0</v>
      </c>
      <c r="G453" s="626">
        <v>0</v>
      </c>
      <c r="H453" s="624">
        <v>0</v>
      </c>
      <c r="I453" s="601">
        <v>3.7037037037037035E-2</v>
      </c>
      <c r="J453" s="638">
        <v>0</v>
      </c>
      <c r="K453" s="626">
        <v>0</v>
      </c>
      <c r="L453" s="626">
        <v>0</v>
      </c>
      <c r="M453" s="624">
        <v>0</v>
      </c>
      <c r="N453" s="601">
        <v>0</v>
      </c>
      <c r="O453" s="638">
        <v>0</v>
      </c>
      <c r="P453" s="624">
        <v>0</v>
      </c>
      <c r="Q453" s="601">
        <v>0</v>
      </c>
      <c r="R453" s="601">
        <v>0</v>
      </c>
      <c r="S453" s="626">
        <v>0</v>
      </c>
      <c r="T453" s="601">
        <v>0</v>
      </c>
      <c r="U453" s="601">
        <v>0</v>
      </c>
      <c r="V453" s="601">
        <v>0</v>
      </c>
      <c r="W453" s="626">
        <v>3.7037037037037035E-2</v>
      </c>
      <c r="X453"/>
    </row>
    <row r="454" spans="1:24" ht="15.5">
      <c r="B454" s="65" t="s">
        <v>125</v>
      </c>
      <c r="C454" s="626">
        <v>147</v>
      </c>
      <c r="D454" s="626"/>
      <c r="E454" s="626"/>
      <c r="F454" s="626"/>
      <c r="G454" s="626"/>
      <c r="H454" s="624"/>
      <c r="I454" s="601">
        <v>147</v>
      </c>
      <c r="J454" s="638"/>
      <c r="K454" s="626"/>
      <c r="L454" s="626"/>
      <c r="M454" s="624"/>
      <c r="N454" s="601"/>
      <c r="O454" s="638"/>
      <c r="P454" s="624"/>
      <c r="Q454" s="601"/>
      <c r="R454" s="601"/>
      <c r="S454" s="626"/>
      <c r="T454" s="601"/>
      <c r="U454" s="601"/>
      <c r="V454" s="601"/>
      <c r="W454" s="626">
        <v>147</v>
      </c>
      <c r="X454"/>
    </row>
    <row r="455" spans="1:24" ht="15.5">
      <c r="B455" s="65" t="s">
        <v>126</v>
      </c>
      <c r="C455" s="626">
        <v>146</v>
      </c>
      <c r="D455" s="626"/>
      <c r="E455" s="626"/>
      <c r="F455" s="626"/>
      <c r="G455" s="626"/>
      <c r="H455" s="624"/>
      <c r="I455" s="601">
        <v>146</v>
      </c>
      <c r="J455" s="638"/>
      <c r="K455" s="626"/>
      <c r="L455" s="626"/>
      <c r="M455" s="624"/>
      <c r="N455" s="601"/>
      <c r="O455" s="638"/>
      <c r="P455" s="624"/>
      <c r="Q455" s="601"/>
      <c r="R455" s="601"/>
      <c r="S455" s="626"/>
      <c r="T455" s="601"/>
      <c r="U455" s="601"/>
      <c r="V455" s="601"/>
      <c r="W455" s="626">
        <v>146</v>
      </c>
      <c r="X455"/>
    </row>
    <row r="456" spans="1:24" s="149" customFormat="1" ht="15.5">
      <c r="A456" s="128"/>
      <c r="B456" s="65" t="s">
        <v>127</v>
      </c>
      <c r="C456" s="626">
        <v>-6.8027210884353739E-3</v>
      </c>
      <c r="D456" s="626">
        <v>0</v>
      </c>
      <c r="E456" s="626">
        <v>0</v>
      </c>
      <c r="F456" s="626">
        <v>0</v>
      </c>
      <c r="G456" s="626">
        <v>0</v>
      </c>
      <c r="H456" s="624">
        <v>0</v>
      </c>
      <c r="I456" s="601">
        <v>-6.8027210884353739E-3</v>
      </c>
      <c r="J456" s="638">
        <v>0</v>
      </c>
      <c r="K456" s="626">
        <v>0</v>
      </c>
      <c r="L456" s="626">
        <v>0</v>
      </c>
      <c r="M456" s="624">
        <v>0</v>
      </c>
      <c r="N456" s="601">
        <v>0</v>
      </c>
      <c r="O456" s="638">
        <v>0</v>
      </c>
      <c r="P456" s="624">
        <v>0</v>
      </c>
      <c r="Q456" s="601">
        <v>0</v>
      </c>
      <c r="R456" s="601">
        <v>0</v>
      </c>
      <c r="S456" s="626">
        <v>0</v>
      </c>
      <c r="T456" s="601">
        <v>0</v>
      </c>
      <c r="U456" s="601">
        <v>0</v>
      </c>
      <c r="V456" s="601">
        <v>0</v>
      </c>
      <c r="W456" s="626">
        <v>-6.8027210884353739E-3</v>
      </c>
      <c r="X456"/>
    </row>
    <row r="457" spans="1:24" ht="15.5">
      <c r="B457" s="65" t="s">
        <v>128</v>
      </c>
      <c r="C457" s="626">
        <v>30</v>
      </c>
      <c r="D457" s="626"/>
      <c r="E457" s="626"/>
      <c r="F457" s="626"/>
      <c r="G457" s="626"/>
      <c r="H457" s="624"/>
      <c r="I457" s="601">
        <v>30</v>
      </c>
      <c r="J457" s="638"/>
      <c r="K457" s="626"/>
      <c r="L457" s="626"/>
      <c r="M457" s="624"/>
      <c r="N457" s="601"/>
      <c r="O457" s="638"/>
      <c r="P457" s="624"/>
      <c r="Q457" s="601"/>
      <c r="R457" s="601"/>
      <c r="S457" s="626"/>
      <c r="T457" s="601"/>
      <c r="U457" s="601"/>
      <c r="V457" s="601"/>
      <c r="W457" s="626">
        <v>30</v>
      </c>
      <c r="X457"/>
    </row>
    <row r="458" spans="1:24" ht="15.5">
      <c r="B458" s="65" t="s">
        <v>129</v>
      </c>
      <c r="C458" s="626">
        <v>44</v>
      </c>
      <c r="D458" s="626"/>
      <c r="E458" s="626"/>
      <c r="F458" s="626"/>
      <c r="G458" s="626"/>
      <c r="H458" s="624"/>
      <c r="I458" s="601">
        <v>44</v>
      </c>
      <c r="J458" s="638"/>
      <c r="K458" s="626"/>
      <c r="L458" s="626"/>
      <c r="M458" s="624"/>
      <c r="N458" s="601"/>
      <c r="O458" s="638"/>
      <c r="P458" s="624"/>
      <c r="Q458" s="601"/>
      <c r="R458" s="601"/>
      <c r="S458" s="626"/>
      <c r="T458" s="601"/>
      <c r="U458" s="601"/>
      <c r="V458" s="601"/>
      <c r="W458" s="626">
        <v>44</v>
      </c>
      <c r="X458"/>
    </row>
    <row r="459" spans="1:24" s="149" customFormat="1" ht="15.5">
      <c r="A459" s="128"/>
      <c r="B459" s="65" t="s">
        <v>130</v>
      </c>
      <c r="C459" s="626">
        <v>0.46666666666666667</v>
      </c>
      <c r="D459" s="626">
        <v>0</v>
      </c>
      <c r="E459" s="626">
        <v>0</v>
      </c>
      <c r="F459" s="626">
        <v>0</v>
      </c>
      <c r="G459" s="626">
        <v>0</v>
      </c>
      <c r="H459" s="624">
        <v>0</v>
      </c>
      <c r="I459" s="601">
        <v>0.46666666666666667</v>
      </c>
      <c r="J459" s="638">
        <v>0</v>
      </c>
      <c r="K459" s="626">
        <v>0</v>
      </c>
      <c r="L459" s="626">
        <v>0</v>
      </c>
      <c r="M459" s="624">
        <v>0</v>
      </c>
      <c r="N459" s="601">
        <v>0</v>
      </c>
      <c r="O459" s="638">
        <v>0</v>
      </c>
      <c r="P459" s="624">
        <v>0</v>
      </c>
      <c r="Q459" s="601">
        <v>0</v>
      </c>
      <c r="R459" s="601">
        <v>0</v>
      </c>
      <c r="S459" s="626">
        <v>0</v>
      </c>
      <c r="T459" s="601">
        <v>0</v>
      </c>
      <c r="U459" s="601">
        <v>0</v>
      </c>
      <c r="V459" s="601">
        <v>0</v>
      </c>
      <c r="W459" s="626">
        <v>0.46666666666666667</v>
      </c>
      <c r="X459"/>
    </row>
    <row r="460" spans="1:24" ht="15.5">
      <c r="B460" s="65" t="s">
        <v>131</v>
      </c>
      <c r="C460" s="626">
        <v>115</v>
      </c>
      <c r="D460" s="626"/>
      <c r="E460" s="626"/>
      <c r="F460" s="626"/>
      <c r="G460" s="626"/>
      <c r="H460" s="624"/>
      <c r="I460" s="601">
        <v>115</v>
      </c>
      <c r="J460" s="638"/>
      <c r="K460" s="626"/>
      <c r="L460" s="626"/>
      <c r="M460" s="624"/>
      <c r="N460" s="601"/>
      <c r="O460" s="638"/>
      <c r="P460" s="624"/>
      <c r="Q460" s="601"/>
      <c r="R460" s="601"/>
      <c r="S460" s="626"/>
      <c r="T460" s="601"/>
      <c r="U460" s="601"/>
      <c r="V460" s="601"/>
      <c r="W460" s="626">
        <v>115</v>
      </c>
      <c r="X460"/>
    </row>
    <row r="461" spans="1:24" ht="15.5">
      <c r="B461" s="65" t="s">
        <v>132</v>
      </c>
      <c r="C461" s="626">
        <v>100</v>
      </c>
      <c r="D461" s="626"/>
      <c r="E461" s="626"/>
      <c r="F461" s="626"/>
      <c r="G461" s="626"/>
      <c r="H461" s="624"/>
      <c r="I461" s="601">
        <v>100</v>
      </c>
      <c r="J461" s="638"/>
      <c r="K461" s="626"/>
      <c r="L461" s="626"/>
      <c r="M461" s="624"/>
      <c r="N461" s="601"/>
      <c r="O461" s="638"/>
      <c r="P461" s="624"/>
      <c r="Q461" s="601"/>
      <c r="R461" s="601"/>
      <c r="S461" s="626"/>
      <c r="T461" s="601"/>
      <c r="U461" s="601"/>
      <c r="V461" s="601"/>
      <c r="W461" s="626">
        <v>100</v>
      </c>
      <c r="X461"/>
    </row>
    <row r="462" spans="1:24" s="149" customFormat="1" ht="15.5">
      <c r="A462" s="128"/>
      <c r="B462" s="65" t="s">
        <v>133</v>
      </c>
      <c r="C462" s="626">
        <v>-0.13043478260869565</v>
      </c>
      <c r="D462" s="648">
        <v>0</v>
      </c>
      <c r="E462" s="626">
        <v>0</v>
      </c>
      <c r="F462" s="626">
        <v>0</v>
      </c>
      <c r="G462" s="626">
        <v>0</v>
      </c>
      <c r="H462" s="624">
        <v>0</v>
      </c>
      <c r="I462" s="601">
        <v>-0.13043478260869565</v>
      </c>
      <c r="J462" s="638">
        <v>0</v>
      </c>
      <c r="K462" s="626">
        <v>0</v>
      </c>
      <c r="L462" s="626">
        <v>0</v>
      </c>
      <c r="M462" s="624">
        <v>0</v>
      </c>
      <c r="N462" s="601">
        <v>0</v>
      </c>
      <c r="O462" s="638">
        <v>0</v>
      </c>
      <c r="P462" s="624">
        <v>0</v>
      </c>
      <c r="Q462" s="601">
        <v>0</v>
      </c>
      <c r="R462" s="601">
        <v>0</v>
      </c>
      <c r="S462" s="626">
        <v>0</v>
      </c>
      <c r="T462" s="601">
        <v>0</v>
      </c>
      <c r="U462" s="601">
        <v>0</v>
      </c>
      <c r="V462" s="601">
        <v>0</v>
      </c>
      <c r="W462" s="626">
        <v>-0.13043478260869565</v>
      </c>
      <c r="X462"/>
    </row>
    <row r="463" spans="1:24" ht="15.5">
      <c r="B463" s="65" t="s">
        <v>134</v>
      </c>
      <c r="C463" s="626"/>
      <c r="D463" s="626"/>
      <c r="E463" s="626"/>
      <c r="F463" s="626"/>
      <c r="G463" s="626"/>
      <c r="H463" s="624"/>
      <c r="I463" s="601"/>
      <c r="J463" s="638"/>
      <c r="K463" s="626"/>
      <c r="L463" s="626"/>
      <c r="M463" s="624"/>
      <c r="N463" s="601"/>
      <c r="O463" s="638"/>
      <c r="P463" s="624"/>
      <c r="Q463" s="601"/>
      <c r="R463" s="601"/>
      <c r="S463" s="626"/>
      <c r="T463" s="601"/>
      <c r="U463" s="601"/>
      <c r="V463" s="601"/>
      <c r="W463" s="626"/>
      <c r="X463"/>
    </row>
    <row r="464" spans="1:24" ht="15.5">
      <c r="B464" s="65" t="s">
        <v>135</v>
      </c>
      <c r="C464" s="626"/>
      <c r="D464" s="626"/>
      <c r="E464" s="626"/>
      <c r="F464" s="626"/>
      <c r="G464" s="626"/>
      <c r="H464" s="624"/>
      <c r="I464" s="601"/>
      <c r="J464" s="638"/>
      <c r="K464" s="626"/>
      <c r="L464" s="626"/>
      <c r="M464" s="624"/>
      <c r="N464" s="601"/>
      <c r="O464" s="638"/>
      <c r="P464" s="624"/>
      <c r="Q464" s="601"/>
      <c r="R464" s="601"/>
      <c r="S464" s="626"/>
      <c r="T464" s="601"/>
      <c r="U464" s="601"/>
      <c r="V464" s="601"/>
      <c r="W464" s="626"/>
      <c r="X464"/>
    </row>
    <row r="465" spans="1:24" s="149" customFormat="1" ht="15.5">
      <c r="A465" s="128"/>
      <c r="B465" s="65" t="s">
        <v>136</v>
      </c>
      <c r="C465" s="626">
        <v>0</v>
      </c>
      <c r="D465" s="626">
        <v>0</v>
      </c>
      <c r="E465" s="626">
        <v>0</v>
      </c>
      <c r="F465" s="626">
        <v>0</v>
      </c>
      <c r="G465" s="626">
        <v>0</v>
      </c>
      <c r="H465" s="624">
        <v>0</v>
      </c>
      <c r="I465" s="601">
        <v>0</v>
      </c>
      <c r="J465" s="638">
        <v>0</v>
      </c>
      <c r="K465" s="626">
        <v>0</v>
      </c>
      <c r="L465" s="626">
        <v>0</v>
      </c>
      <c r="M465" s="624">
        <v>0</v>
      </c>
      <c r="N465" s="601">
        <v>0</v>
      </c>
      <c r="O465" s="638">
        <v>0</v>
      </c>
      <c r="P465" s="624">
        <v>0</v>
      </c>
      <c r="Q465" s="601">
        <v>0</v>
      </c>
      <c r="R465" s="601">
        <v>0</v>
      </c>
      <c r="S465" s="626">
        <v>0</v>
      </c>
      <c r="T465" s="601">
        <v>0</v>
      </c>
      <c r="U465" s="601">
        <v>0</v>
      </c>
      <c r="V465" s="601">
        <v>0</v>
      </c>
      <c r="W465" s="626">
        <v>0</v>
      </c>
      <c r="X465"/>
    </row>
    <row r="466" spans="1:24" ht="15.5">
      <c r="B466" s="65" t="s">
        <v>137</v>
      </c>
      <c r="C466" s="626"/>
      <c r="D466" s="626"/>
      <c r="E466" s="626"/>
      <c r="F466" s="626"/>
      <c r="G466" s="626"/>
      <c r="H466" s="624"/>
      <c r="I466" s="601"/>
      <c r="J466" s="638"/>
      <c r="K466" s="626"/>
      <c r="L466" s="626"/>
      <c r="M466" s="624"/>
      <c r="N466" s="601"/>
      <c r="O466" s="638"/>
      <c r="P466" s="624"/>
      <c r="Q466" s="601"/>
      <c r="R466" s="601"/>
      <c r="S466" s="626"/>
      <c r="T466" s="601"/>
      <c r="U466" s="601"/>
      <c r="V466" s="601"/>
      <c r="W466" s="626"/>
      <c r="X466"/>
    </row>
    <row r="467" spans="1:24" ht="15.5">
      <c r="B467" s="65" t="s">
        <v>138</v>
      </c>
      <c r="C467" s="626"/>
      <c r="D467" s="626"/>
      <c r="E467" s="626"/>
      <c r="F467" s="626"/>
      <c r="G467" s="626"/>
      <c r="H467" s="624"/>
      <c r="I467" s="601"/>
      <c r="J467" s="638"/>
      <c r="K467" s="626"/>
      <c r="L467" s="626"/>
      <c r="M467" s="624"/>
      <c r="N467" s="601"/>
      <c r="O467" s="638"/>
      <c r="P467" s="624"/>
      <c r="Q467" s="601"/>
      <c r="R467" s="601"/>
      <c r="S467" s="626"/>
      <c r="T467" s="601"/>
      <c r="U467" s="601"/>
      <c r="V467" s="601"/>
      <c r="W467" s="626"/>
      <c r="X467"/>
    </row>
    <row r="468" spans="1:24" s="149" customFormat="1" ht="15.5">
      <c r="A468" s="128"/>
      <c r="B468" s="65" t="s">
        <v>139</v>
      </c>
      <c r="C468" s="626">
        <v>0</v>
      </c>
      <c r="D468" s="626">
        <v>0</v>
      </c>
      <c r="E468" s="626">
        <v>0</v>
      </c>
      <c r="F468" s="626">
        <v>0</v>
      </c>
      <c r="G468" s="626">
        <v>0</v>
      </c>
      <c r="H468" s="624">
        <v>0</v>
      </c>
      <c r="I468" s="601">
        <v>0</v>
      </c>
      <c r="J468" s="638">
        <v>0</v>
      </c>
      <c r="K468" s="626">
        <v>0</v>
      </c>
      <c r="L468" s="626">
        <v>0</v>
      </c>
      <c r="M468" s="624">
        <v>0</v>
      </c>
      <c r="N468" s="601">
        <v>0</v>
      </c>
      <c r="O468" s="638">
        <v>0</v>
      </c>
      <c r="P468" s="624">
        <v>0</v>
      </c>
      <c r="Q468" s="601">
        <v>0</v>
      </c>
      <c r="R468" s="601">
        <v>0</v>
      </c>
      <c r="S468" s="626">
        <v>0</v>
      </c>
      <c r="T468" s="601">
        <v>0</v>
      </c>
      <c r="U468" s="601">
        <v>0</v>
      </c>
      <c r="V468" s="601">
        <v>0</v>
      </c>
      <c r="W468" s="626">
        <v>0</v>
      </c>
      <c r="X468"/>
    </row>
    <row r="469" spans="1:24" ht="15.5">
      <c r="B469" s="65" t="s">
        <v>140</v>
      </c>
      <c r="C469" s="626"/>
      <c r="D469" s="626"/>
      <c r="E469" s="626"/>
      <c r="F469" s="626"/>
      <c r="G469" s="626"/>
      <c r="H469" s="624"/>
      <c r="I469" s="601"/>
      <c r="J469" s="638"/>
      <c r="K469" s="626"/>
      <c r="L469" s="626"/>
      <c r="M469" s="624"/>
      <c r="N469" s="601"/>
      <c r="O469" s="638"/>
      <c r="P469" s="624"/>
      <c r="Q469" s="601"/>
      <c r="R469" s="601"/>
      <c r="S469" s="626"/>
      <c r="T469" s="601"/>
      <c r="U469" s="601"/>
      <c r="V469" s="601"/>
      <c r="W469" s="626"/>
      <c r="X469"/>
    </row>
    <row r="470" spans="1:24" ht="15.5">
      <c r="B470" s="65" t="s">
        <v>141</v>
      </c>
      <c r="C470" s="626"/>
      <c r="D470" s="626"/>
      <c r="E470" s="626"/>
      <c r="F470" s="626"/>
      <c r="G470" s="626"/>
      <c r="H470" s="624"/>
      <c r="I470" s="601"/>
      <c r="J470" s="638"/>
      <c r="K470" s="626"/>
      <c r="L470" s="626"/>
      <c r="M470" s="624"/>
      <c r="N470" s="601"/>
      <c r="O470" s="638"/>
      <c r="P470" s="624"/>
      <c r="Q470" s="601"/>
      <c r="R470" s="601"/>
      <c r="S470" s="626"/>
      <c r="T470" s="601"/>
      <c r="U470" s="601"/>
      <c r="V470" s="601"/>
      <c r="W470" s="626"/>
      <c r="X470"/>
    </row>
    <row r="471" spans="1:24" s="149" customFormat="1" ht="15.5">
      <c r="A471" s="128"/>
      <c r="B471" s="65" t="s">
        <v>142</v>
      </c>
      <c r="C471" s="626">
        <v>0</v>
      </c>
      <c r="D471" s="626">
        <v>0</v>
      </c>
      <c r="E471" s="626">
        <v>0</v>
      </c>
      <c r="F471" s="626">
        <v>0</v>
      </c>
      <c r="G471" s="626">
        <v>0</v>
      </c>
      <c r="H471" s="624">
        <v>0</v>
      </c>
      <c r="I471" s="601">
        <v>0</v>
      </c>
      <c r="J471" s="638">
        <v>0</v>
      </c>
      <c r="K471" s="626">
        <v>0</v>
      </c>
      <c r="L471" s="626">
        <v>0</v>
      </c>
      <c r="M471" s="624">
        <v>0</v>
      </c>
      <c r="N471" s="601">
        <v>0</v>
      </c>
      <c r="O471" s="638">
        <v>0</v>
      </c>
      <c r="P471" s="624">
        <v>0</v>
      </c>
      <c r="Q471" s="601">
        <v>0</v>
      </c>
      <c r="R471" s="601">
        <v>0</v>
      </c>
      <c r="S471" s="626">
        <v>0</v>
      </c>
      <c r="T471" s="601">
        <v>0</v>
      </c>
      <c r="U471" s="601">
        <v>0</v>
      </c>
      <c r="V471" s="601">
        <v>0</v>
      </c>
      <c r="W471" s="626">
        <v>0</v>
      </c>
      <c r="X471"/>
    </row>
    <row r="472" spans="1:24" ht="15.5">
      <c r="B472" s="65" t="s">
        <v>143</v>
      </c>
      <c r="C472" s="626">
        <v>91</v>
      </c>
      <c r="D472" s="626"/>
      <c r="E472" s="626"/>
      <c r="F472" s="626"/>
      <c r="G472" s="626"/>
      <c r="H472" s="624"/>
      <c r="I472" s="601">
        <v>91</v>
      </c>
      <c r="J472" s="638"/>
      <c r="K472" s="626"/>
      <c r="L472" s="626"/>
      <c r="M472" s="624"/>
      <c r="N472" s="601"/>
      <c r="O472" s="638"/>
      <c r="P472" s="624"/>
      <c r="Q472" s="601"/>
      <c r="R472" s="601"/>
      <c r="S472" s="626"/>
      <c r="T472" s="601"/>
      <c r="U472" s="601"/>
      <c r="V472" s="601"/>
      <c r="W472" s="626">
        <v>91</v>
      </c>
      <c r="X472"/>
    </row>
    <row r="473" spans="1:24" ht="15.5">
      <c r="B473" s="65" t="s">
        <v>144</v>
      </c>
      <c r="C473" s="626">
        <v>87</v>
      </c>
      <c r="D473" s="626"/>
      <c r="E473" s="626"/>
      <c r="F473" s="626"/>
      <c r="G473" s="626"/>
      <c r="H473" s="624"/>
      <c r="I473" s="601">
        <v>87</v>
      </c>
      <c r="J473" s="638"/>
      <c r="K473" s="626"/>
      <c r="L473" s="626"/>
      <c r="M473" s="624"/>
      <c r="N473" s="601"/>
      <c r="O473" s="638"/>
      <c r="P473" s="624"/>
      <c r="Q473" s="601"/>
      <c r="R473" s="601"/>
      <c r="S473" s="626"/>
      <c r="T473" s="601"/>
      <c r="U473" s="601"/>
      <c r="V473" s="601"/>
      <c r="W473" s="626">
        <v>87</v>
      </c>
      <c r="X473"/>
    </row>
    <row r="474" spans="1:24" s="149" customFormat="1" ht="15.5">
      <c r="A474" s="128"/>
      <c r="B474" s="65" t="s">
        <v>145</v>
      </c>
      <c r="C474" s="626">
        <v>-4.3956043956043959E-2</v>
      </c>
      <c r="D474" s="626">
        <v>0</v>
      </c>
      <c r="E474" s="626">
        <v>0</v>
      </c>
      <c r="F474" s="626">
        <v>0</v>
      </c>
      <c r="G474" s="626">
        <v>0</v>
      </c>
      <c r="H474" s="624">
        <v>0</v>
      </c>
      <c r="I474" s="601">
        <v>-4.3956043956043959E-2</v>
      </c>
      <c r="J474" s="638">
        <v>0</v>
      </c>
      <c r="K474" s="626">
        <v>0</v>
      </c>
      <c r="L474" s="626">
        <v>0</v>
      </c>
      <c r="M474" s="624">
        <v>0</v>
      </c>
      <c r="N474" s="601">
        <v>0</v>
      </c>
      <c r="O474" s="638">
        <v>0</v>
      </c>
      <c r="P474" s="624">
        <v>0</v>
      </c>
      <c r="Q474" s="601">
        <v>0</v>
      </c>
      <c r="R474" s="601">
        <v>0</v>
      </c>
      <c r="S474" s="626">
        <v>0</v>
      </c>
      <c r="T474" s="601">
        <v>0</v>
      </c>
      <c r="U474" s="601">
        <v>0</v>
      </c>
      <c r="V474" s="601">
        <v>0</v>
      </c>
      <c r="W474" s="626">
        <v>-4.3956043956043959E-2</v>
      </c>
      <c r="X474"/>
    </row>
    <row r="475" spans="1:24" ht="15.5">
      <c r="B475" s="65" t="s">
        <v>146</v>
      </c>
      <c r="C475" s="626"/>
      <c r="D475" s="626"/>
      <c r="E475" s="626"/>
      <c r="F475" s="626"/>
      <c r="G475" s="626"/>
      <c r="H475" s="624"/>
      <c r="I475" s="601"/>
      <c r="J475" s="638"/>
      <c r="K475" s="626"/>
      <c r="L475" s="626"/>
      <c r="M475" s="624"/>
      <c r="N475" s="601"/>
      <c r="O475" s="638"/>
      <c r="P475" s="624"/>
      <c r="Q475" s="601"/>
      <c r="R475" s="601"/>
      <c r="S475" s="626"/>
      <c r="T475" s="601"/>
      <c r="U475" s="601"/>
      <c r="V475" s="601"/>
      <c r="W475" s="626"/>
      <c r="X475"/>
    </row>
    <row r="476" spans="1:24" ht="15.5">
      <c r="B476" s="65" t="s">
        <v>147</v>
      </c>
      <c r="C476" s="626"/>
      <c r="D476" s="626"/>
      <c r="E476" s="626"/>
      <c r="F476" s="626"/>
      <c r="G476" s="626"/>
      <c r="H476" s="624"/>
      <c r="I476" s="601"/>
      <c r="J476" s="638"/>
      <c r="K476" s="626"/>
      <c r="L476" s="626"/>
      <c r="M476" s="624"/>
      <c r="N476" s="601"/>
      <c r="O476" s="638"/>
      <c r="P476" s="624"/>
      <c r="Q476" s="601"/>
      <c r="R476" s="601"/>
      <c r="S476" s="626"/>
      <c r="T476" s="601"/>
      <c r="U476" s="601"/>
      <c r="V476" s="601"/>
      <c r="W476" s="626"/>
      <c r="X476"/>
    </row>
    <row r="477" spans="1:24" s="149" customFormat="1" ht="15.5">
      <c r="A477" s="128"/>
      <c r="B477" s="65" t="s">
        <v>148</v>
      </c>
      <c r="C477" s="626">
        <v>0</v>
      </c>
      <c r="D477" s="626">
        <v>0</v>
      </c>
      <c r="E477" s="626">
        <v>0</v>
      </c>
      <c r="F477" s="626">
        <v>0</v>
      </c>
      <c r="G477" s="626">
        <v>0</v>
      </c>
      <c r="H477" s="624">
        <v>0</v>
      </c>
      <c r="I477" s="601">
        <v>0</v>
      </c>
      <c r="J477" s="638">
        <v>0</v>
      </c>
      <c r="K477" s="626">
        <v>0</v>
      </c>
      <c r="L477" s="626">
        <v>0</v>
      </c>
      <c r="M477" s="624">
        <v>0</v>
      </c>
      <c r="N477" s="601">
        <v>0</v>
      </c>
      <c r="O477" s="638">
        <v>0</v>
      </c>
      <c r="P477" s="624">
        <v>0</v>
      </c>
      <c r="Q477" s="601">
        <v>0</v>
      </c>
      <c r="R477" s="601">
        <v>0</v>
      </c>
      <c r="S477" s="626">
        <v>0</v>
      </c>
      <c r="T477" s="601">
        <v>0</v>
      </c>
      <c r="U477" s="601">
        <v>0</v>
      </c>
      <c r="V477" s="601">
        <v>0</v>
      </c>
      <c r="W477" s="626">
        <v>0</v>
      </c>
      <c r="X477"/>
    </row>
    <row r="478" spans="1:24" ht="15.5">
      <c r="B478" s="65" t="s">
        <v>149</v>
      </c>
      <c r="C478" s="626">
        <v>46</v>
      </c>
      <c r="D478" s="626"/>
      <c r="E478" s="626"/>
      <c r="F478" s="626">
        <v>7</v>
      </c>
      <c r="G478" s="626"/>
      <c r="H478" s="624"/>
      <c r="I478" s="601">
        <v>53</v>
      </c>
      <c r="J478" s="638"/>
      <c r="K478" s="626"/>
      <c r="L478" s="626"/>
      <c r="M478" s="624"/>
      <c r="N478" s="601"/>
      <c r="O478" s="638"/>
      <c r="P478" s="624"/>
      <c r="Q478" s="601"/>
      <c r="R478" s="601"/>
      <c r="S478" s="626"/>
      <c r="T478" s="601"/>
      <c r="U478" s="601"/>
      <c r="V478" s="601"/>
      <c r="W478" s="626">
        <v>53</v>
      </c>
      <c r="X478"/>
    </row>
    <row r="479" spans="1:24" ht="16" thickBot="1">
      <c r="B479" s="65" t="s">
        <v>150</v>
      </c>
      <c r="C479" s="626">
        <v>47</v>
      </c>
      <c r="D479" s="626"/>
      <c r="E479" s="626"/>
      <c r="F479" s="626">
        <v>9</v>
      </c>
      <c r="G479" s="626"/>
      <c r="H479" s="624"/>
      <c r="I479" s="601">
        <v>56</v>
      </c>
      <c r="J479" s="638"/>
      <c r="K479" s="626"/>
      <c r="L479" s="626"/>
      <c r="M479" s="624"/>
      <c r="N479" s="601"/>
      <c r="O479" s="638"/>
      <c r="P479" s="624"/>
      <c r="Q479" s="601"/>
      <c r="R479" s="601"/>
      <c r="S479" s="626"/>
      <c r="T479" s="601"/>
      <c r="U479" s="601"/>
      <c r="V479" s="601"/>
      <c r="W479" s="626">
        <v>56</v>
      </c>
      <c r="X479"/>
    </row>
    <row r="480" spans="1:24" s="149" customFormat="1" ht="16" thickBot="1">
      <c r="A480" s="128"/>
      <c r="B480" s="65" t="s">
        <v>151</v>
      </c>
      <c r="C480" s="626">
        <v>2.1739130434782608E-2</v>
      </c>
      <c r="D480" s="626">
        <v>0</v>
      </c>
      <c r="E480" s="626">
        <v>0</v>
      </c>
      <c r="F480" s="626">
        <v>0.2857142857142857</v>
      </c>
      <c r="G480" s="626">
        <v>0</v>
      </c>
      <c r="H480" s="624">
        <v>0</v>
      </c>
      <c r="I480" s="601">
        <v>5.6603773584905662E-2</v>
      </c>
      <c r="J480" s="638">
        <v>0</v>
      </c>
      <c r="K480" s="626">
        <v>0</v>
      </c>
      <c r="L480" s="626">
        <v>0</v>
      </c>
      <c r="M480" s="624">
        <v>0</v>
      </c>
      <c r="N480" s="601">
        <v>0</v>
      </c>
      <c r="O480" s="638">
        <v>0</v>
      </c>
      <c r="P480" s="624">
        <v>0</v>
      </c>
      <c r="Q480" s="601">
        <v>0</v>
      </c>
      <c r="R480" s="601">
        <v>0</v>
      </c>
      <c r="S480" s="626">
        <v>0</v>
      </c>
      <c r="T480" s="601">
        <v>0</v>
      </c>
      <c r="U480" s="601">
        <v>0</v>
      </c>
      <c r="V480" s="601">
        <v>0</v>
      </c>
      <c r="W480" s="626">
        <v>5.6603773584905662E-2</v>
      </c>
      <c r="X480"/>
    </row>
    <row r="481" spans="1:24" ht="15.5">
      <c r="B481" s="65" t="s">
        <v>152</v>
      </c>
      <c r="C481" s="626"/>
      <c r="D481" s="626"/>
      <c r="E481" s="626"/>
      <c r="F481" s="626"/>
      <c r="G481" s="626"/>
      <c r="H481" s="624"/>
      <c r="I481" s="601"/>
      <c r="J481" s="638"/>
      <c r="K481" s="626"/>
      <c r="L481" s="626"/>
      <c r="M481" s="624"/>
      <c r="N481" s="601"/>
      <c r="O481" s="638"/>
      <c r="P481" s="624"/>
      <c r="Q481" s="601"/>
      <c r="R481" s="601"/>
      <c r="S481" s="626"/>
      <c r="T481" s="601"/>
      <c r="U481" s="601"/>
      <c r="V481" s="601"/>
      <c r="W481" s="626"/>
      <c r="X481"/>
    </row>
    <row r="482" spans="1:24" s="149" customFormat="1" ht="15.5">
      <c r="A482" s="128"/>
      <c r="B482" s="65" t="s">
        <v>153</v>
      </c>
      <c r="C482" s="626"/>
      <c r="D482" s="626"/>
      <c r="E482" s="626"/>
      <c r="F482" s="626"/>
      <c r="G482" s="626"/>
      <c r="H482" s="624"/>
      <c r="I482" s="601"/>
      <c r="J482" s="638"/>
      <c r="K482" s="626"/>
      <c r="L482" s="626"/>
      <c r="M482" s="624"/>
      <c r="N482" s="601"/>
      <c r="O482" s="638"/>
      <c r="P482" s="624"/>
      <c r="Q482" s="601"/>
      <c r="R482" s="601"/>
      <c r="S482" s="626"/>
      <c r="T482" s="601"/>
      <c r="U482" s="601"/>
      <c r="V482" s="601"/>
      <c r="W482" s="626"/>
      <c r="X482"/>
    </row>
    <row r="483" spans="1:24" ht="15.5">
      <c r="A483" s="128" t="s">
        <v>162</v>
      </c>
      <c r="B483" s="131" t="s">
        <v>101</v>
      </c>
      <c r="C483" s="626">
        <v>1</v>
      </c>
      <c r="D483" s="626"/>
      <c r="E483" s="626"/>
      <c r="F483" s="626"/>
      <c r="G483" s="626"/>
      <c r="H483" s="624"/>
      <c r="I483" s="601">
        <v>1</v>
      </c>
      <c r="J483" s="638"/>
      <c r="K483" s="626">
        <v>13864</v>
      </c>
      <c r="L483" s="626">
        <v>12580</v>
      </c>
      <c r="M483" s="624">
        <v>6487</v>
      </c>
      <c r="N483" s="601">
        <v>32931</v>
      </c>
      <c r="O483" s="638"/>
      <c r="P483" s="624"/>
      <c r="Q483" s="601"/>
      <c r="R483" s="601"/>
      <c r="S483" s="626"/>
      <c r="T483" s="601"/>
      <c r="U483" s="601"/>
      <c r="V483" s="601"/>
      <c r="W483" s="626">
        <v>32932</v>
      </c>
      <c r="X483"/>
    </row>
    <row r="484" spans="1:24" ht="16" thickBot="1">
      <c r="B484" s="131" t="s">
        <v>102</v>
      </c>
      <c r="C484" s="626">
        <v>110</v>
      </c>
      <c r="D484" s="626"/>
      <c r="E484" s="626"/>
      <c r="F484" s="626"/>
      <c r="G484" s="626"/>
      <c r="H484" s="624"/>
      <c r="I484" s="601">
        <v>110</v>
      </c>
      <c r="J484" s="638"/>
      <c r="K484" s="626">
        <v>14127</v>
      </c>
      <c r="L484" s="626">
        <v>13355</v>
      </c>
      <c r="M484" s="624">
        <v>5732</v>
      </c>
      <c r="N484" s="601">
        <v>33214</v>
      </c>
      <c r="O484" s="638"/>
      <c r="P484" s="624"/>
      <c r="Q484" s="601"/>
      <c r="R484" s="601"/>
      <c r="S484" s="626"/>
      <c r="T484" s="601"/>
      <c r="U484" s="601"/>
      <c r="V484" s="601"/>
      <c r="W484" s="626">
        <v>33324</v>
      </c>
      <c r="X484"/>
    </row>
    <row r="485" spans="1:24" s="149" customFormat="1" ht="16" thickBot="1">
      <c r="A485" s="128"/>
      <c r="B485" s="131" t="s">
        <v>103</v>
      </c>
      <c r="C485" s="626">
        <v>109</v>
      </c>
      <c r="D485" s="626">
        <v>0</v>
      </c>
      <c r="E485" s="626">
        <v>0</v>
      </c>
      <c r="F485" s="626">
        <v>0</v>
      </c>
      <c r="G485" s="626">
        <v>0</v>
      </c>
      <c r="H485" s="624">
        <v>0</v>
      </c>
      <c r="I485" s="601">
        <v>109</v>
      </c>
      <c r="J485" s="638">
        <v>0</v>
      </c>
      <c r="K485" s="626">
        <v>1.8969994229659549E-2</v>
      </c>
      <c r="L485" s="648">
        <v>6.1605723370429251E-2</v>
      </c>
      <c r="M485" s="624">
        <v>-0.11638661939263141</v>
      </c>
      <c r="N485" s="601">
        <v>8.5937262761531692E-3</v>
      </c>
      <c r="O485" s="638">
        <v>0</v>
      </c>
      <c r="P485" s="624">
        <v>0</v>
      </c>
      <c r="Q485" s="601">
        <v>0</v>
      </c>
      <c r="R485" s="601">
        <v>0</v>
      </c>
      <c r="S485" s="626">
        <v>0</v>
      </c>
      <c r="T485" s="601">
        <v>0</v>
      </c>
      <c r="U485" s="601">
        <v>0</v>
      </c>
      <c r="V485" s="601">
        <v>0</v>
      </c>
      <c r="W485" s="626">
        <v>1.1903315923721609E-2</v>
      </c>
      <c r="X485"/>
    </row>
    <row r="486" spans="1:24" ht="15.5">
      <c r="B486" s="65" t="s">
        <v>104</v>
      </c>
      <c r="C486" s="626"/>
      <c r="D486" s="626"/>
      <c r="E486" s="626"/>
      <c r="F486" s="626"/>
      <c r="G486" s="626"/>
      <c r="H486" s="624"/>
      <c r="I486" s="601"/>
      <c r="J486" s="638"/>
      <c r="K486" s="626"/>
      <c r="L486" s="626"/>
      <c r="M486" s="624"/>
      <c r="N486" s="601"/>
      <c r="O486" s="638"/>
      <c r="P486" s="624"/>
      <c r="Q486" s="601"/>
      <c r="R486" s="601"/>
      <c r="S486" s="626"/>
      <c r="T486" s="601"/>
      <c r="U486" s="601"/>
      <c r="V486" s="601"/>
      <c r="W486" s="626"/>
      <c r="X486"/>
    </row>
    <row r="487" spans="1:24" ht="15.5">
      <c r="B487" s="65" t="s">
        <v>105</v>
      </c>
      <c r="C487" s="626"/>
      <c r="D487" s="626"/>
      <c r="E487" s="626"/>
      <c r="F487" s="626"/>
      <c r="G487" s="626"/>
      <c r="H487" s="624"/>
      <c r="I487" s="601"/>
      <c r="J487" s="638"/>
      <c r="K487" s="626"/>
      <c r="L487" s="626"/>
      <c r="M487" s="624"/>
      <c r="N487" s="601"/>
      <c r="O487" s="638"/>
      <c r="P487" s="624"/>
      <c r="Q487" s="601"/>
      <c r="R487" s="601"/>
      <c r="S487" s="626"/>
      <c r="T487" s="601"/>
      <c r="U487" s="601"/>
      <c r="V487" s="601"/>
      <c r="W487" s="626"/>
      <c r="X487"/>
    </row>
    <row r="488" spans="1:24" s="149" customFormat="1" ht="15.5">
      <c r="A488" s="128"/>
      <c r="B488" s="65" t="s">
        <v>106</v>
      </c>
      <c r="C488" s="626">
        <v>0</v>
      </c>
      <c r="D488" s="626">
        <v>0</v>
      </c>
      <c r="E488" s="626">
        <v>0</v>
      </c>
      <c r="F488" s="626">
        <v>0</v>
      </c>
      <c r="G488" s="626">
        <v>0</v>
      </c>
      <c r="H488" s="624">
        <v>0</v>
      </c>
      <c r="I488" s="601">
        <v>0</v>
      </c>
      <c r="J488" s="638">
        <v>0</v>
      </c>
      <c r="K488" s="626">
        <v>0</v>
      </c>
      <c r="L488" s="626">
        <v>0</v>
      </c>
      <c r="M488" s="624">
        <v>0</v>
      </c>
      <c r="N488" s="601">
        <v>0</v>
      </c>
      <c r="O488" s="638">
        <v>0</v>
      </c>
      <c r="P488" s="624">
        <v>0</v>
      </c>
      <c r="Q488" s="601">
        <v>0</v>
      </c>
      <c r="R488" s="601">
        <v>0</v>
      </c>
      <c r="S488" s="626">
        <v>0</v>
      </c>
      <c r="T488" s="601">
        <v>0</v>
      </c>
      <c r="U488" s="601">
        <v>0</v>
      </c>
      <c r="V488" s="601">
        <v>0</v>
      </c>
      <c r="W488" s="626">
        <v>0</v>
      </c>
      <c r="X488"/>
    </row>
    <row r="489" spans="1:24" ht="15.5">
      <c r="B489" s="65" t="s">
        <v>107</v>
      </c>
      <c r="C489" s="626">
        <v>143</v>
      </c>
      <c r="D489" s="626"/>
      <c r="E489" s="626"/>
      <c r="F489" s="626"/>
      <c r="G489" s="626"/>
      <c r="H489" s="624"/>
      <c r="I489" s="601">
        <v>143</v>
      </c>
      <c r="J489" s="638"/>
      <c r="K489" s="626">
        <v>14325</v>
      </c>
      <c r="L489" s="626">
        <v>12471</v>
      </c>
      <c r="M489" s="624">
        <v>5902</v>
      </c>
      <c r="N489" s="601">
        <v>32698</v>
      </c>
      <c r="O489" s="638"/>
      <c r="P489" s="624"/>
      <c r="Q489" s="601"/>
      <c r="R489" s="601"/>
      <c r="S489" s="626"/>
      <c r="T489" s="601"/>
      <c r="U489" s="601"/>
      <c r="V489" s="601"/>
      <c r="W489" s="626">
        <v>32841</v>
      </c>
      <c r="X489"/>
    </row>
    <row r="490" spans="1:24" ht="16" thickBot="1">
      <c r="B490" s="65" t="s">
        <v>108</v>
      </c>
      <c r="C490" s="626">
        <v>165</v>
      </c>
      <c r="D490" s="626"/>
      <c r="E490" s="626"/>
      <c r="F490" s="626"/>
      <c r="G490" s="626"/>
      <c r="H490" s="624"/>
      <c r="I490" s="601">
        <v>165</v>
      </c>
      <c r="J490" s="638"/>
      <c r="K490" s="626">
        <v>13999</v>
      </c>
      <c r="L490" s="626">
        <v>12068</v>
      </c>
      <c r="M490" s="624">
        <v>6060</v>
      </c>
      <c r="N490" s="601">
        <v>32127</v>
      </c>
      <c r="O490" s="638"/>
      <c r="P490" s="624"/>
      <c r="Q490" s="601"/>
      <c r="R490" s="601"/>
      <c r="S490" s="626"/>
      <c r="T490" s="601"/>
      <c r="U490" s="601"/>
      <c r="V490" s="601"/>
      <c r="W490" s="626">
        <v>32292</v>
      </c>
      <c r="X490"/>
    </row>
    <row r="491" spans="1:24" s="149" customFormat="1" ht="16" thickBot="1">
      <c r="A491" s="128"/>
      <c r="B491" s="65" t="s">
        <v>109</v>
      </c>
      <c r="C491" s="626">
        <v>0.15384615384615385</v>
      </c>
      <c r="D491" s="626">
        <v>0</v>
      </c>
      <c r="E491" s="626">
        <v>0</v>
      </c>
      <c r="F491" s="626">
        <v>0</v>
      </c>
      <c r="G491" s="626">
        <v>0</v>
      </c>
      <c r="H491" s="624">
        <v>0</v>
      </c>
      <c r="I491" s="601">
        <v>0.15384615384615385</v>
      </c>
      <c r="J491" s="638">
        <v>0</v>
      </c>
      <c r="K491" s="626">
        <v>-2.2757417102966842E-2</v>
      </c>
      <c r="L491" s="626">
        <v>-3.2314970732098471E-2</v>
      </c>
      <c r="M491" s="624">
        <v>2.6770586241951881E-2</v>
      </c>
      <c r="N491" s="601">
        <v>-1.7462841764022265E-2</v>
      </c>
      <c r="O491" s="638">
        <v>0</v>
      </c>
      <c r="P491" s="624">
        <v>0</v>
      </c>
      <c r="Q491" s="601">
        <v>0</v>
      </c>
      <c r="R491" s="601">
        <v>0</v>
      </c>
      <c r="S491" s="626">
        <v>0</v>
      </c>
      <c r="T491" s="601">
        <v>0</v>
      </c>
      <c r="U491" s="601">
        <v>0</v>
      </c>
      <c r="V491" s="601">
        <v>0</v>
      </c>
      <c r="W491" s="626">
        <v>-1.6716908742121128E-2</v>
      </c>
      <c r="X491"/>
    </row>
    <row r="492" spans="1:24" ht="15.5">
      <c r="B492" s="65" t="s">
        <v>110</v>
      </c>
      <c r="C492" s="626">
        <v>19767</v>
      </c>
      <c r="D492" s="626">
        <v>5045</v>
      </c>
      <c r="E492" s="626">
        <v>12809</v>
      </c>
      <c r="F492" s="626">
        <v>1006</v>
      </c>
      <c r="G492" s="626">
        <v>2012</v>
      </c>
      <c r="H492" s="624">
        <v>1049</v>
      </c>
      <c r="I492" s="601">
        <v>41688</v>
      </c>
      <c r="J492" s="638"/>
      <c r="K492" s="626"/>
      <c r="L492" s="626"/>
      <c r="M492" s="624"/>
      <c r="N492" s="601"/>
      <c r="O492" s="638"/>
      <c r="P492" s="624"/>
      <c r="Q492" s="601"/>
      <c r="R492" s="601"/>
      <c r="S492" s="626">
        <v>196</v>
      </c>
      <c r="T492" s="601">
        <v>196</v>
      </c>
      <c r="U492" s="601"/>
      <c r="V492" s="601"/>
      <c r="W492" s="626">
        <v>41884</v>
      </c>
      <c r="X492"/>
    </row>
    <row r="493" spans="1:24" ht="15.5">
      <c r="B493" s="65" t="s">
        <v>111</v>
      </c>
      <c r="C493" s="626">
        <v>0</v>
      </c>
      <c r="D493" s="626">
        <v>0</v>
      </c>
      <c r="E493" s="626">
        <v>0</v>
      </c>
      <c r="F493" s="626">
        <v>0</v>
      </c>
      <c r="G493" s="626">
        <v>0</v>
      </c>
      <c r="H493" s="624">
        <v>999</v>
      </c>
      <c r="I493" s="601">
        <v>999</v>
      </c>
      <c r="J493" s="638"/>
      <c r="K493" s="626"/>
      <c r="L493" s="626"/>
      <c r="M493" s="624"/>
      <c r="N493" s="601"/>
      <c r="O493" s="638"/>
      <c r="P493" s="624"/>
      <c r="Q493" s="601"/>
      <c r="R493" s="601"/>
      <c r="S493" s="626">
        <v>223</v>
      </c>
      <c r="T493" s="601">
        <v>223</v>
      </c>
      <c r="U493" s="601"/>
      <c r="V493" s="601"/>
      <c r="W493" s="626">
        <v>1222</v>
      </c>
      <c r="X493"/>
    </row>
    <row r="494" spans="1:24" s="149" customFormat="1" ht="15.5">
      <c r="A494" s="128"/>
      <c r="B494" s="65" t="s">
        <v>112</v>
      </c>
      <c r="C494" s="626">
        <v>-1</v>
      </c>
      <c r="D494" s="626">
        <v>-1</v>
      </c>
      <c r="E494" s="626">
        <v>-1</v>
      </c>
      <c r="F494" s="626">
        <v>-1</v>
      </c>
      <c r="G494" s="626">
        <v>-1</v>
      </c>
      <c r="H494" s="624">
        <v>-4.7664442326024785E-2</v>
      </c>
      <c r="I494" s="601">
        <v>-0.97603626943005184</v>
      </c>
      <c r="J494" s="638">
        <v>0</v>
      </c>
      <c r="K494" s="626">
        <v>0</v>
      </c>
      <c r="L494" s="626">
        <v>0</v>
      </c>
      <c r="M494" s="624">
        <v>0</v>
      </c>
      <c r="N494" s="601">
        <v>0</v>
      </c>
      <c r="O494" s="638">
        <v>0</v>
      </c>
      <c r="P494" s="624">
        <v>0</v>
      </c>
      <c r="Q494" s="601">
        <v>0</v>
      </c>
      <c r="R494" s="601">
        <v>0</v>
      </c>
      <c r="S494" s="626">
        <v>0.13775510204081631</v>
      </c>
      <c r="T494" s="601">
        <v>0.13775510204081631</v>
      </c>
      <c r="U494" s="601">
        <v>0</v>
      </c>
      <c r="V494" s="601">
        <v>0</v>
      </c>
      <c r="W494" s="626">
        <v>-0.9708241810715309</v>
      </c>
      <c r="X494"/>
    </row>
    <row r="495" spans="1:24" ht="15.5">
      <c r="B495" s="65" t="s">
        <v>113</v>
      </c>
      <c r="C495" s="626">
        <v>208</v>
      </c>
      <c r="D495" s="626">
        <v>46</v>
      </c>
      <c r="E495" s="626">
        <v>59</v>
      </c>
      <c r="F495" s="626">
        <v>1</v>
      </c>
      <c r="G495" s="626"/>
      <c r="H495" s="624"/>
      <c r="I495" s="601">
        <v>314</v>
      </c>
      <c r="J495" s="638"/>
      <c r="K495" s="626"/>
      <c r="L495" s="626"/>
      <c r="M495" s="624"/>
      <c r="N495" s="601"/>
      <c r="O495" s="638"/>
      <c r="P495" s="624"/>
      <c r="Q495" s="601"/>
      <c r="R495" s="601"/>
      <c r="S495" s="626"/>
      <c r="T495" s="601"/>
      <c r="U495" s="601"/>
      <c r="V495" s="601"/>
      <c r="W495" s="626">
        <v>314</v>
      </c>
      <c r="X495"/>
    </row>
    <row r="496" spans="1:24" ht="16" thickBot="1">
      <c r="B496" s="65" t="s">
        <v>114</v>
      </c>
      <c r="C496" s="626">
        <v>683</v>
      </c>
      <c r="D496" s="626">
        <v>516</v>
      </c>
      <c r="E496" s="656">
        <v>274</v>
      </c>
      <c r="F496" s="648">
        <v>37</v>
      </c>
      <c r="G496" s="626"/>
      <c r="H496" s="624"/>
      <c r="I496" s="601">
        <v>1510</v>
      </c>
      <c r="J496" s="638"/>
      <c r="K496" s="626"/>
      <c r="L496" s="626"/>
      <c r="M496" s="624"/>
      <c r="N496" s="601"/>
      <c r="O496" s="638"/>
      <c r="P496" s="624"/>
      <c r="Q496" s="601"/>
      <c r="R496" s="601"/>
      <c r="S496" s="626"/>
      <c r="T496" s="601"/>
      <c r="U496" s="601"/>
      <c r="V496" s="601"/>
      <c r="W496" s="626">
        <v>1510</v>
      </c>
      <c r="X496"/>
    </row>
    <row r="497" spans="1:24" s="149" customFormat="1" ht="16" thickBot="1">
      <c r="A497" s="128"/>
      <c r="B497" s="65" t="s">
        <v>115</v>
      </c>
      <c r="C497" s="655">
        <v>2.2836538461538463</v>
      </c>
      <c r="D497" s="668">
        <v>10.217391304347826</v>
      </c>
      <c r="E497" s="667">
        <v>3.6440677966101696</v>
      </c>
      <c r="F497" s="626">
        <v>36</v>
      </c>
      <c r="G497" s="626">
        <v>0</v>
      </c>
      <c r="H497" s="624">
        <v>0</v>
      </c>
      <c r="I497" s="601">
        <v>3.8089171974522293</v>
      </c>
      <c r="J497" s="638">
        <v>0</v>
      </c>
      <c r="K497" s="626">
        <v>0</v>
      </c>
      <c r="L497" s="626">
        <v>0</v>
      </c>
      <c r="M497" s="624">
        <v>0</v>
      </c>
      <c r="N497" s="601">
        <v>0</v>
      </c>
      <c r="O497" s="638">
        <v>0</v>
      </c>
      <c r="P497" s="624">
        <v>0</v>
      </c>
      <c r="Q497" s="601">
        <v>0</v>
      </c>
      <c r="R497" s="601">
        <v>0</v>
      </c>
      <c r="S497" s="626">
        <v>0</v>
      </c>
      <c r="T497" s="601">
        <v>0</v>
      </c>
      <c r="U497" s="601">
        <v>0</v>
      </c>
      <c r="V497" s="601">
        <v>0</v>
      </c>
      <c r="W497" s="626">
        <v>3.8089171974522293</v>
      </c>
      <c r="X497"/>
    </row>
    <row r="498" spans="1:24" ht="15.5">
      <c r="B498" s="65" t="s">
        <v>116</v>
      </c>
      <c r="C498" s="626">
        <v>7750</v>
      </c>
      <c r="D498" s="626">
        <v>1440</v>
      </c>
      <c r="E498" s="626">
        <v>2916</v>
      </c>
      <c r="F498" s="626">
        <v>191</v>
      </c>
      <c r="G498" s="626">
        <v>351</v>
      </c>
      <c r="H498" s="624">
        <v>26</v>
      </c>
      <c r="I498" s="601">
        <v>12674</v>
      </c>
      <c r="J498" s="638"/>
      <c r="K498" s="626">
        <v>0</v>
      </c>
      <c r="L498" s="626">
        <v>0</v>
      </c>
      <c r="M498" s="624">
        <v>0</v>
      </c>
      <c r="N498" s="601">
        <v>0</v>
      </c>
      <c r="O498" s="638"/>
      <c r="P498" s="624"/>
      <c r="Q498" s="601"/>
      <c r="R498" s="601"/>
      <c r="S498" s="626">
        <v>51</v>
      </c>
      <c r="T498" s="601">
        <v>51</v>
      </c>
      <c r="U498" s="601"/>
      <c r="V498" s="601"/>
      <c r="W498" s="626">
        <v>12725</v>
      </c>
      <c r="X498"/>
    </row>
    <row r="499" spans="1:24" ht="16" thickBot="1">
      <c r="B499" s="65" t="s">
        <v>117</v>
      </c>
      <c r="C499" s="626">
        <v>7734</v>
      </c>
      <c r="D499" s="626">
        <v>1414</v>
      </c>
      <c r="E499" s="626">
        <v>3201</v>
      </c>
      <c r="F499" s="626">
        <v>164</v>
      </c>
      <c r="G499" s="626">
        <v>471</v>
      </c>
      <c r="H499" s="624">
        <v>27</v>
      </c>
      <c r="I499" s="601">
        <v>13011</v>
      </c>
      <c r="J499" s="638"/>
      <c r="K499" s="626">
        <v>0</v>
      </c>
      <c r="L499" s="626">
        <v>0</v>
      </c>
      <c r="M499" s="624">
        <v>0</v>
      </c>
      <c r="N499" s="601">
        <v>0</v>
      </c>
      <c r="O499" s="638"/>
      <c r="P499" s="624"/>
      <c r="Q499" s="601"/>
      <c r="R499" s="601"/>
      <c r="S499" s="626">
        <v>58</v>
      </c>
      <c r="T499" s="601">
        <v>58</v>
      </c>
      <c r="U499" s="601"/>
      <c r="V499" s="601"/>
      <c r="W499" s="626">
        <v>13069</v>
      </c>
      <c r="X499"/>
    </row>
    <row r="500" spans="1:24" s="149" customFormat="1" ht="16" thickBot="1">
      <c r="A500" s="128"/>
      <c r="B500" s="65" t="s">
        <v>118</v>
      </c>
      <c r="C500" s="626">
        <v>-2.0645161290322581E-3</v>
      </c>
      <c r="D500" s="626">
        <v>-1.8055555555555554E-2</v>
      </c>
      <c r="E500" s="626">
        <v>9.7736625514403291E-2</v>
      </c>
      <c r="F500" s="626">
        <v>-0.14136125654450263</v>
      </c>
      <c r="G500" s="626">
        <v>0.34188034188034189</v>
      </c>
      <c r="H500" s="662">
        <v>3.8461538461538464E-2</v>
      </c>
      <c r="I500" s="601">
        <v>2.6589869023197096E-2</v>
      </c>
      <c r="J500" s="638">
        <v>0</v>
      </c>
      <c r="K500" s="626">
        <v>0</v>
      </c>
      <c r="L500" s="626">
        <v>0</v>
      </c>
      <c r="M500" s="624">
        <v>0</v>
      </c>
      <c r="N500" s="601">
        <v>0</v>
      </c>
      <c r="O500" s="638">
        <v>0</v>
      </c>
      <c r="P500" s="624">
        <v>0</v>
      </c>
      <c r="Q500" s="601">
        <v>0</v>
      </c>
      <c r="R500" s="601">
        <v>0</v>
      </c>
      <c r="S500" s="648">
        <v>0.13725490196078433</v>
      </c>
      <c r="T500" s="601">
        <v>0.13725490196078433</v>
      </c>
      <c r="U500" s="601">
        <v>0</v>
      </c>
      <c r="V500" s="601">
        <v>0</v>
      </c>
      <c r="W500" s="626">
        <v>2.7033398821218076E-2</v>
      </c>
      <c r="X500"/>
    </row>
    <row r="501" spans="1:24" ht="15.5">
      <c r="B501" s="65" t="s">
        <v>119</v>
      </c>
      <c r="C501" s="626">
        <v>1390</v>
      </c>
      <c r="D501" s="626">
        <v>92</v>
      </c>
      <c r="E501" s="626">
        <v>102</v>
      </c>
      <c r="F501" s="626">
        <v>9</v>
      </c>
      <c r="G501" s="626">
        <v>0</v>
      </c>
      <c r="H501" s="624">
        <v>0</v>
      </c>
      <c r="I501" s="601">
        <v>1593</v>
      </c>
      <c r="J501" s="638"/>
      <c r="K501" s="626">
        <v>0</v>
      </c>
      <c r="L501" s="626">
        <v>0</v>
      </c>
      <c r="M501" s="624">
        <v>0</v>
      </c>
      <c r="N501" s="601">
        <v>0</v>
      </c>
      <c r="O501" s="638"/>
      <c r="P501" s="624"/>
      <c r="Q501" s="601"/>
      <c r="R501" s="601"/>
      <c r="S501" s="626">
        <v>0</v>
      </c>
      <c r="T501" s="601">
        <v>0</v>
      </c>
      <c r="U501" s="601"/>
      <c r="V501" s="601"/>
      <c r="W501" s="626">
        <v>1593</v>
      </c>
      <c r="X501"/>
    </row>
    <row r="502" spans="1:24" ht="16" thickBot="1">
      <c r="B502" s="65" t="s">
        <v>120</v>
      </c>
      <c r="C502" s="626">
        <v>1401</v>
      </c>
      <c r="D502" s="626">
        <v>74</v>
      </c>
      <c r="E502" s="626">
        <v>116</v>
      </c>
      <c r="F502" s="626">
        <v>19</v>
      </c>
      <c r="G502" s="626">
        <v>0</v>
      </c>
      <c r="H502" s="624">
        <v>0</v>
      </c>
      <c r="I502" s="601">
        <v>1610</v>
      </c>
      <c r="J502" s="638"/>
      <c r="K502" s="626">
        <v>0</v>
      </c>
      <c r="L502" s="626">
        <v>0</v>
      </c>
      <c r="M502" s="624">
        <v>0</v>
      </c>
      <c r="N502" s="601">
        <v>0</v>
      </c>
      <c r="O502" s="638"/>
      <c r="P502" s="624"/>
      <c r="Q502" s="601"/>
      <c r="R502" s="601"/>
      <c r="S502" s="626">
        <v>0</v>
      </c>
      <c r="T502" s="601">
        <v>0</v>
      </c>
      <c r="U502" s="601"/>
      <c r="V502" s="601"/>
      <c r="W502" s="626">
        <v>1610</v>
      </c>
      <c r="X502"/>
    </row>
    <row r="503" spans="1:24" s="149" customFormat="1" ht="16" thickBot="1">
      <c r="A503" s="128"/>
      <c r="B503" s="65" t="s">
        <v>121</v>
      </c>
      <c r="C503" s="626">
        <v>7.9136690647482015E-3</v>
      </c>
      <c r="D503" s="662">
        <v>-0.19565217391304349</v>
      </c>
      <c r="E503" s="626">
        <v>0.13725490196078433</v>
      </c>
      <c r="F503" s="657">
        <v>1.1111111111111112</v>
      </c>
      <c r="G503" s="626">
        <v>0</v>
      </c>
      <c r="H503" s="624">
        <v>0</v>
      </c>
      <c r="I503" s="601">
        <v>1.0671688637790333E-2</v>
      </c>
      <c r="J503" s="638">
        <v>0</v>
      </c>
      <c r="K503" s="626">
        <v>0</v>
      </c>
      <c r="L503" s="626">
        <v>0</v>
      </c>
      <c r="M503" s="624">
        <v>0</v>
      </c>
      <c r="N503" s="601">
        <v>0</v>
      </c>
      <c r="O503" s="638">
        <v>0</v>
      </c>
      <c r="P503" s="624">
        <v>0</v>
      </c>
      <c r="Q503" s="601">
        <v>0</v>
      </c>
      <c r="R503" s="601">
        <v>0</v>
      </c>
      <c r="S503" s="626">
        <v>0</v>
      </c>
      <c r="T503" s="601">
        <v>0</v>
      </c>
      <c r="U503" s="601">
        <v>0</v>
      </c>
      <c r="V503" s="601">
        <v>0</v>
      </c>
      <c r="W503" s="626">
        <v>1.0671688637790333E-2</v>
      </c>
      <c r="X503"/>
    </row>
    <row r="504" spans="1:24" ht="15.5">
      <c r="B504" s="65" t="s">
        <v>122</v>
      </c>
      <c r="C504" s="626">
        <v>206</v>
      </c>
      <c r="D504" s="626"/>
      <c r="E504" s="626">
        <v>129</v>
      </c>
      <c r="F504" s="626"/>
      <c r="G504" s="626"/>
      <c r="H504" s="624"/>
      <c r="I504" s="601">
        <v>335</v>
      </c>
      <c r="J504" s="638"/>
      <c r="K504" s="626"/>
      <c r="L504" s="626"/>
      <c r="M504" s="624"/>
      <c r="N504" s="601"/>
      <c r="O504" s="638"/>
      <c r="P504" s="624"/>
      <c r="Q504" s="601"/>
      <c r="R504" s="601"/>
      <c r="S504" s="626"/>
      <c r="T504" s="601"/>
      <c r="U504" s="601"/>
      <c r="V504" s="601"/>
      <c r="W504" s="626">
        <v>335</v>
      </c>
      <c r="X504"/>
    </row>
    <row r="505" spans="1:24" ht="15.5">
      <c r="B505" s="65" t="s">
        <v>123</v>
      </c>
      <c r="C505" s="626">
        <v>199</v>
      </c>
      <c r="D505" s="626"/>
      <c r="E505" s="626">
        <v>119</v>
      </c>
      <c r="F505" s="626"/>
      <c r="G505" s="626"/>
      <c r="H505" s="624"/>
      <c r="I505" s="601">
        <v>318</v>
      </c>
      <c r="J505" s="638"/>
      <c r="K505" s="626"/>
      <c r="L505" s="626"/>
      <c r="M505" s="624"/>
      <c r="N505" s="601"/>
      <c r="O505" s="638"/>
      <c r="P505" s="624"/>
      <c r="Q505" s="601"/>
      <c r="R505" s="601"/>
      <c r="S505" s="626"/>
      <c r="T505" s="601"/>
      <c r="U505" s="601"/>
      <c r="V505" s="601"/>
      <c r="W505" s="626">
        <v>318</v>
      </c>
      <c r="X505"/>
    </row>
    <row r="506" spans="1:24" s="149" customFormat="1" ht="15.5">
      <c r="A506" s="128"/>
      <c r="B506" s="65" t="s">
        <v>124</v>
      </c>
      <c r="C506" s="626">
        <v>-3.3980582524271843E-2</v>
      </c>
      <c r="D506" s="626">
        <v>0</v>
      </c>
      <c r="E506" s="648">
        <v>-7.7519379844961239E-2</v>
      </c>
      <c r="F506" s="626">
        <v>0</v>
      </c>
      <c r="G506" s="626">
        <v>0</v>
      </c>
      <c r="H506" s="624">
        <v>0</v>
      </c>
      <c r="I506" s="601">
        <v>-5.0746268656716415E-2</v>
      </c>
      <c r="J506" s="638">
        <v>0</v>
      </c>
      <c r="K506" s="626">
        <v>0</v>
      </c>
      <c r="L506" s="626">
        <v>0</v>
      </c>
      <c r="M506" s="624">
        <v>0</v>
      </c>
      <c r="N506" s="601">
        <v>0</v>
      </c>
      <c r="O506" s="638">
        <v>0</v>
      </c>
      <c r="P506" s="624">
        <v>0</v>
      </c>
      <c r="Q506" s="601">
        <v>0</v>
      </c>
      <c r="R506" s="601">
        <v>0</v>
      </c>
      <c r="S506" s="626">
        <v>0</v>
      </c>
      <c r="T506" s="601">
        <v>0</v>
      </c>
      <c r="U506" s="601">
        <v>0</v>
      </c>
      <c r="V506" s="601">
        <v>0</v>
      </c>
      <c r="W506" s="626">
        <v>-5.0746268656716415E-2</v>
      </c>
      <c r="X506"/>
    </row>
    <row r="507" spans="1:24" ht="15.5">
      <c r="B507" s="65" t="s">
        <v>125</v>
      </c>
      <c r="C507" s="626">
        <v>171</v>
      </c>
      <c r="D507" s="626">
        <v>73</v>
      </c>
      <c r="E507" s="626"/>
      <c r="F507" s="626"/>
      <c r="G507" s="626"/>
      <c r="H507" s="624"/>
      <c r="I507" s="601">
        <v>244</v>
      </c>
      <c r="J507" s="638"/>
      <c r="K507" s="626"/>
      <c r="L507" s="626"/>
      <c r="M507" s="624"/>
      <c r="N507" s="601"/>
      <c r="O507" s="638"/>
      <c r="P507" s="624"/>
      <c r="Q507" s="601"/>
      <c r="R507" s="601"/>
      <c r="S507" s="626"/>
      <c r="T507" s="601"/>
      <c r="U507" s="601"/>
      <c r="V507" s="601"/>
      <c r="W507" s="626">
        <v>244</v>
      </c>
      <c r="X507"/>
    </row>
    <row r="508" spans="1:24" ht="15.5">
      <c r="B508" s="65" t="s">
        <v>126</v>
      </c>
      <c r="C508" s="626">
        <v>170</v>
      </c>
      <c r="D508" s="626">
        <v>74</v>
      </c>
      <c r="E508" s="626"/>
      <c r="F508" s="626"/>
      <c r="G508" s="626"/>
      <c r="H508" s="624"/>
      <c r="I508" s="601">
        <v>244</v>
      </c>
      <c r="J508" s="638"/>
      <c r="K508" s="626"/>
      <c r="L508" s="626"/>
      <c r="M508" s="624"/>
      <c r="N508" s="601"/>
      <c r="O508" s="638"/>
      <c r="P508" s="624"/>
      <c r="Q508" s="601"/>
      <c r="R508" s="601"/>
      <c r="S508" s="626"/>
      <c r="T508" s="601"/>
      <c r="U508" s="601"/>
      <c r="V508" s="601"/>
      <c r="W508" s="626">
        <v>244</v>
      </c>
      <c r="X508"/>
    </row>
    <row r="509" spans="1:24" s="149" customFormat="1" ht="15.5">
      <c r="A509" s="128"/>
      <c r="B509" s="65" t="s">
        <v>127</v>
      </c>
      <c r="C509" s="626">
        <v>-5.8479532163742687E-3</v>
      </c>
      <c r="D509" s="626">
        <v>1.3698630136986301E-2</v>
      </c>
      <c r="E509" s="626">
        <v>0</v>
      </c>
      <c r="F509" s="626">
        <v>0</v>
      </c>
      <c r="G509" s="626">
        <v>0</v>
      </c>
      <c r="H509" s="624">
        <v>0</v>
      </c>
      <c r="I509" s="601">
        <v>0</v>
      </c>
      <c r="J509" s="638">
        <v>0</v>
      </c>
      <c r="K509" s="626">
        <v>0</v>
      </c>
      <c r="L509" s="626">
        <v>0</v>
      </c>
      <c r="M509" s="624">
        <v>0</v>
      </c>
      <c r="N509" s="601">
        <v>0</v>
      </c>
      <c r="O509" s="638">
        <v>0</v>
      </c>
      <c r="P509" s="624">
        <v>0</v>
      </c>
      <c r="Q509" s="601">
        <v>0</v>
      </c>
      <c r="R509" s="601">
        <v>0</v>
      </c>
      <c r="S509" s="626">
        <v>0</v>
      </c>
      <c r="T509" s="601">
        <v>0</v>
      </c>
      <c r="U509" s="601">
        <v>0</v>
      </c>
      <c r="V509" s="601">
        <v>0</v>
      </c>
      <c r="W509" s="626">
        <v>0</v>
      </c>
      <c r="X509"/>
    </row>
    <row r="510" spans="1:24" ht="15.5">
      <c r="B510" s="65" t="s">
        <v>128</v>
      </c>
      <c r="C510" s="626">
        <v>84</v>
      </c>
      <c r="D510" s="626">
        <v>50</v>
      </c>
      <c r="E510" s="626"/>
      <c r="F510" s="626"/>
      <c r="G510" s="626"/>
      <c r="H510" s="624"/>
      <c r="I510" s="601">
        <v>134</v>
      </c>
      <c r="J510" s="638"/>
      <c r="K510" s="626"/>
      <c r="L510" s="626"/>
      <c r="M510" s="624"/>
      <c r="N510" s="601"/>
      <c r="O510" s="638"/>
      <c r="P510" s="624"/>
      <c r="Q510" s="601"/>
      <c r="R510" s="601"/>
      <c r="S510" s="626"/>
      <c r="T510" s="601"/>
      <c r="U510" s="601"/>
      <c r="V510" s="601"/>
      <c r="W510" s="626">
        <v>134</v>
      </c>
      <c r="X510"/>
    </row>
    <row r="511" spans="1:24" ht="15.5">
      <c r="B511" s="65" t="s">
        <v>129</v>
      </c>
      <c r="C511" s="626">
        <v>83</v>
      </c>
      <c r="D511" s="648">
        <v>52</v>
      </c>
      <c r="E511" s="626"/>
      <c r="F511" s="626"/>
      <c r="G511" s="626"/>
      <c r="H511" s="624"/>
      <c r="I511" s="601">
        <v>135</v>
      </c>
      <c r="J511" s="638"/>
      <c r="K511" s="626"/>
      <c r="L511" s="626"/>
      <c r="M511" s="624"/>
      <c r="N511" s="601"/>
      <c r="O511" s="638"/>
      <c r="P511" s="624"/>
      <c r="Q511" s="601"/>
      <c r="R511" s="601"/>
      <c r="S511" s="626"/>
      <c r="T511" s="601"/>
      <c r="U511" s="601"/>
      <c r="V511" s="601"/>
      <c r="W511" s="626">
        <v>135</v>
      </c>
      <c r="X511"/>
    </row>
    <row r="512" spans="1:24" s="149" customFormat="1" ht="15.5">
      <c r="A512" s="128"/>
      <c r="B512" s="65" t="s">
        <v>130</v>
      </c>
      <c r="C512" s="626">
        <v>-1.1904761904761904E-2</v>
      </c>
      <c r="D512" s="626">
        <v>0.04</v>
      </c>
      <c r="E512" s="626">
        <v>0</v>
      </c>
      <c r="F512" s="626">
        <v>0</v>
      </c>
      <c r="G512" s="626">
        <v>0</v>
      </c>
      <c r="H512" s="624">
        <v>0</v>
      </c>
      <c r="I512" s="601">
        <v>7.462686567164179E-3</v>
      </c>
      <c r="J512" s="638">
        <v>0</v>
      </c>
      <c r="K512" s="626">
        <v>0</v>
      </c>
      <c r="L512" s="626">
        <v>0</v>
      </c>
      <c r="M512" s="624">
        <v>0</v>
      </c>
      <c r="N512" s="601">
        <v>0</v>
      </c>
      <c r="O512" s="638">
        <v>0</v>
      </c>
      <c r="P512" s="624">
        <v>0</v>
      </c>
      <c r="Q512" s="601">
        <v>0</v>
      </c>
      <c r="R512" s="601">
        <v>0</v>
      </c>
      <c r="S512" s="626">
        <v>0</v>
      </c>
      <c r="T512" s="601">
        <v>0</v>
      </c>
      <c r="U512" s="601">
        <v>0</v>
      </c>
      <c r="V512" s="601">
        <v>0</v>
      </c>
      <c r="W512" s="626">
        <v>7.462686567164179E-3</v>
      </c>
      <c r="X512"/>
    </row>
    <row r="513" spans="1:24" ht="15.5">
      <c r="B513" s="65" t="s">
        <v>131</v>
      </c>
      <c r="C513" s="626">
        <v>137</v>
      </c>
      <c r="D513" s="626"/>
      <c r="E513" s="626"/>
      <c r="F513" s="626"/>
      <c r="G513" s="626"/>
      <c r="H513" s="624"/>
      <c r="I513" s="601">
        <v>137</v>
      </c>
      <c r="J513" s="638"/>
      <c r="K513" s="626"/>
      <c r="L513" s="626"/>
      <c r="M513" s="624"/>
      <c r="N513" s="601"/>
      <c r="O513" s="638"/>
      <c r="P513" s="624"/>
      <c r="Q513" s="601"/>
      <c r="R513" s="601"/>
      <c r="S513" s="626"/>
      <c r="T513" s="601"/>
      <c r="U513" s="601"/>
      <c r="V513" s="601"/>
      <c r="W513" s="626">
        <v>137</v>
      </c>
      <c r="X513"/>
    </row>
    <row r="514" spans="1:24" ht="15.5">
      <c r="B514" s="65" t="s">
        <v>132</v>
      </c>
      <c r="C514" s="626">
        <v>148</v>
      </c>
      <c r="D514" s="626"/>
      <c r="E514" s="626"/>
      <c r="F514" s="626"/>
      <c r="G514" s="626"/>
      <c r="H514" s="624"/>
      <c r="I514" s="601">
        <v>148</v>
      </c>
      <c r="J514" s="638"/>
      <c r="K514" s="626"/>
      <c r="L514" s="626"/>
      <c r="M514" s="624"/>
      <c r="N514" s="601"/>
      <c r="O514" s="638"/>
      <c r="P514" s="624"/>
      <c r="Q514" s="601"/>
      <c r="R514" s="601"/>
      <c r="S514" s="626"/>
      <c r="T514" s="601"/>
      <c r="U514" s="601"/>
      <c r="V514" s="601"/>
      <c r="W514" s="626">
        <v>148</v>
      </c>
      <c r="X514"/>
    </row>
    <row r="515" spans="1:24" s="149" customFormat="1" ht="15.5">
      <c r="A515" s="128"/>
      <c r="B515" s="65" t="s">
        <v>133</v>
      </c>
      <c r="C515" s="626">
        <v>8.0291970802919707E-2</v>
      </c>
      <c r="D515" s="626">
        <v>0</v>
      </c>
      <c r="E515" s="626">
        <v>0</v>
      </c>
      <c r="F515" s="626">
        <v>0</v>
      </c>
      <c r="G515" s="626">
        <v>0</v>
      </c>
      <c r="H515" s="624">
        <v>0</v>
      </c>
      <c r="I515" s="601">
        <v>8.0291970802919707E-2</v>
      </c>
      <c r="J515" s="638">
        <v>0</v>
      </c>
      <c r="K515" s="626">
        <v>0</v>
      </c>
      <c r="L515" s="626">
        <v>0</v>
      </c>
      <c r="M515" s="624">
        <v>0</v>
      </c>
      <c r="N515" s="601">
        <v>0</v>
      </c>
      <c r="O515" s="638">
        <v>0</v>
      </c>
      <c r="P515" s="624">
        <v>0</v>
      </c>
      <c r="Q515" s="601">
        <v>0</v>
      </c>
      <c r="R515" s="601">
        <v>0</v>
      </c>
      <c r="S515" s="626">
        <v>0</v>
      </c>
      <c r="T515" s="601">
        <v>0</v>
      </c>
      <c r="U515" s="601">
        <v>0</v>
      </c>
      <c r="V515" s="601">
        <v>0</v>
      </c>
      <c r="W515" s="626">
        <v>8.0291970802919707E-2</v>
      </c>
      <c r="X515"/>
    </row>
    <row r="516" spans="1:24" ht="15.5">
      <c r="B516" s="65" t="s">
        <v>134</v>
      </c>
      <c r="C516" s="626"/>
      <c r="D516" s="626"/>
      <c r="E516" s="626"/>
      <c r="F516" s="626"/>
      <c r="G516" s="626"/>
      <c r="H516" s="624"/>
      <c r="I516" s="601"/>
      <c r="J516" s="638"/>
      <c r="K516" s="626"/>
      <c r="L516" s="626"/>
      <c r="M516" s="624"/>
      <c r="N516" s="601"/>
      <c r="O516" s="638"/>
      <c r="P516" s="624"/>
      <c r="Q516" s="601"/>
      <c r="R516" s="601"/>
      <c r="S516" s="626"/>
      <c r="T516" s="601"/>
      <c r="U516" s="601"/>
      <c r="V516" s="601"/>
      <c r="W516" s="626"/>
      <c r="X516"/>
    </row>
    <row r="517" spans="1:24" ht="15.5">
      <c r="B517" s="65" t="s">
        <v>135</v>
      </c>
      <c r="C517" s="626"/>
      <c r="D517" s="626"/>
      <c r="E517" s="626"/>
      <c r="F517" s="626"/>
      <c r="G517" s="626"/>
      <c r="H517" s="624"/>
      <c r="I517" s="601"/>
      <c r="J517" s="638"/>
      <c r="K517" s="626"/>
      <c r="L517" s="626"/>
      <c r="M517" s="624"/>
      <c r="N517" s="601"/>
      <c r="O517" s="638"/>
      <c r="P517" s="624"/>
      <c r="Q517" s="601"/>
      <c r="R517" s="601"/>
      <c r="S517" s="626"/>
      <c r="T517" s="601"/>
      <c r="U517" s="601"/>
      <c r="V517" s="601"/>
      <c r="W517" s="626"/>
      <c r="X517"/>
    </row>
    <row r="518" spans="1:24" s="149" customFormat="1" ht="15.5">
      <c r="A518" s="128"/>
      <c r="B518" s="65" t="s">
        <v>136</v>
      </c>
      <c r="C518" s="626">
        <v>0</v>
      </c>
      <c r="D518" s="626">
        <v>0</v>
      </c>
      <c r="E518" s="626">
        <v>0</v>
      </c>
      <c r="F518" s="626">
        <v>0</v>
      </c>
      <c r="G518" s="626">
        <v>0</v>
      </c>
      <c r="H518" s="624">
        <v>0</v>
      </c>
      <c r="I518" s="601">
        <v>0</v>
      </c>
      <c r="J518" s="638">
        <v>0</v>
      </c>
      <c r="K518" s="626">
        <v>0</v>
      </c>
      <c r="L518" s="626">
        <v>0</v>
      </c>
      <c r="M518" s="624">
        <v>0</v>
      </c>
      <c r="N518" s="601">
        <v>0</v>
      </c>
      <c r="O518" s="638">
        <v>0</v>
      </c>
      <c r="P518" s="624">
        <v>0</v>
      </c>
      <c r="Q518" s="601">
        <v>0</v>
      </c>
      <c r="R518" s="601">
        <v>0</v>
      </c>
      <c r="S518" s="626">
        <v>0</v>
      </c>
      <c r="T518" s="601">
        <v>0</v>
      </c>
      <c r="U518" s="601">
        <v>0</v>
      </c>
      <c r="V518" s="601">
        <v>0</v>
      </c>
      <c r="W518" s="626">
        <v>0</v>
      </c>
      <c r="X518"/>
    </row>
    <row r="519" spans="1:24" ht="15.5">
      <c r="B519" s="65" t="s">
        <v>137</v>
      </c>
      <c r="C519" s="626"/>
      <c r="D519" s="626"/>
      <c r="E519" s="626"/>
      <c r="F519" s="626"/>
      <c r="G519" s="626"/>
      <c r="H519" s="624"/>
      <c r="I519" s="601"/>
      <c r="J519" s="638"/>
      <c r="K519" s="626"/>
      <c r="L519" s="626"/>
      <c r="M519" s="624"/>
      <c r="N519" s="601"/>
      <c r="O519" s="638"/>
      <c r="P519" s="624"/>
      <c r="Q519" s="601"/>
      <c r="R519" s="601"/>
      <c r="S519" s="626"/>
      <c r="T519" s="601"/>
      <c r="U519" s="601"/>
      <c r="V519" s="601"/>
      <c r="W519" s="626"/>
      <c r="X519"/>
    </row>
    <row r="520" spans="1:24" ht="15.5">
      <c r="B520" s="65" t="s">
        <v>138</v>
      </c>
      <c r="C520" s="626"/>
      <c r="D520" s="626"/>
      <c r="E520" s="626"/>
      <c r="F520" s="626"/>
      <c r="G520" s="626"/>
      <c r="H520" s="624"/>
      <c r="I520" s="601"/>
      <c r="J520" s="638"/>
      <c r="K520" s="626"/>
      <c r="L520" s="626"/>
      <c r="M520" s="624"/>
      <c r="N520" s="601"/>
      <c r="O520" s="638"/>
      <c r="P520" s="624"/>
      <c r="Q520" s="601"/>
      <c r="R520" s="601"/>
      <c r="S520" s="626"/>
      <c r="T520" s="601"/>
      <c r="U520" s="601"/>
      <c r="V520" s="601"/>
      <c r="W520" s="626"/>
      <c r="X520"/>
    </row>
    <row r="521" spans="1:24" s="149" customFormat="1" ht="15.5">
      <c r="A521" s="128"/>
      <c r="B521" s="65" t="s">
        <v>139</v>
      </c>
      <c r="C521" s="626">
        <v>0</v>
      </c>
      <c r="D521" s="626">
        <v>0</v>
      </c>
      <c r="E521" s="626">
        <v>0</v>
      </c>
      <c r="F521" s="626">
        <v>0</v>
      </c>
      <c r="G521" s="626">
        <v>0</v>
      </c>
      <c r="H521" s="624">
        <v>0</v>
      </c>
      <c r="I521" s="601">
        <v>0</v>
      </c>
      <c r="J521" s="638">
        <v>0</v>
      </c>
      <c r="K521" s="626">
        <v>0</v>
      </c>
      <c r="L521" s="626">
        <v>0</v>
      </c>
      <c r="M521" s="624">
        <v>0</v>
      </c>
      <c r="N521" s="601">
        <v>0</v>
      </c>
      <c r="O521" s="638">
        <v>0</v>
      </c>
      <c r="P521" s="624">
        <v>0</v>
      </c>
      <c r="Q521" s="601">
        <v>0</v>
      </c>
      <c r="R521" s="601">
        <v>0</v>
      </c>
      <c r="S521" s="626">
        <v>0</v>
      </c>
      <c r="T521" s="601">
        <v>0</v>
      </c>
      <c r="U521" s="601">
        <v>0</v>
      </c>
      <c r="V521" s="601">
        <v>0</v>
      </c>
      <c r="W521" s="626">
        <v>0</v>
      </c>
      <c r="X521"/>
    </row>
    <row r="522" spans="1:24" ht="15.5">
      <c r="B522" s="65" t="s">
        <v>140</v>
      </c>
      <c r="C522" s="626"/>
      <c r="D522" s="626"/>
      <c r="E522" s="626"/>
      <c r="F522" s="626"/>
      <c r="G522" s="626"/>
      <c r="H522" s="624"/>
      <c r="I522" s="601"/>
      <c r="J522" s="638"/>
      <c r="K522" s="626"/>
      <c r="L522" s="626"/>
      <c r="M522" s="624"/>
      <c r="N522" s="601"/>
      <c r="O522" s="638"/>
      <c r="P522" s="624"/>
      <c r="Q522" s="601"/>
      <c r="R522" s="601"/>
      <c r="S522" s="626"/>
      <c r="T522" s="601"/>
      <c r="U522" s="601"/>
      <c r="V522" s="601"/>
      <c r="W522" s="626"/>
      <c r="X522"/>
    </row>
    <row r="523" spans="1:24" ht="15.5">
      <c r="B523" s="65" t="s">
        <v>141</v>
      </c>
      <c r="C523" s="626"/>
      <c r="D523" s="626"/>
      <c r="E523" s="626"/>
      <c r="F523" s="626"/>
      <c r="G523" s="626"/>
      <c r="H523" s="624"/>
      <c r="I523" s="601"/>
      <c r="J523" s="638"/>
      <c r="K523" s="626"/>
      <c r="L523" s="626"/>
      <c r="M523" s="624"/>
      <c r="N523" s="601"/>
      <c r="O523" s="638"/>
      <c r="P523" s="624"/>
      <c r="Q523" s="601"/>
      <c r="R523" s="601"/>
      <c r="S523" s="626"/>
      <c r="T523" s="601"/>
      <c r="U523" s="601"/>
      <c r="V523" s="601"/>
      <c r="W523" s="626"/>
      <c r="X523"/>
    </row>
    <row r="524" spans="1:24" s="149" customFormat="1" ht="15.5">
      <c r="A524" s="128"/>
      <c r="B524" s="65" t="s">
        <v>142</v>
      </c>
      <c r="C524" s="626">
        <v>0</v>
      </c>
      <c r="D524" s="626">
        <v>0</v>
      </c>
      <c r="E524" s="626">
        <v>0</v>
      </c>
      <c r="F524" s="626">
        <v>0</v>
      </c>
      <c r="G524" s="626">
        <v>0</v>
      </c>
      <c r="H524" s="624">
        <v>0</v>
      </c>
      <c r="I524" s="601">
        <v>0</v>
      </c>
      <c r="J524" s="638">
        <v>0</v>
      </c>
      <c r="K524" s="626">
        <v>0</v>
      </c>
      <c r="L524" s="626">
        <v>0</v>
      </c>
      <c r="M524" s="624">
        <v>0</v>
      </c>
      <c r="N524" s="601">
        <v>0</v>
      </c>
      <c r="O524" s="638">
        <v>0</v>
      </c>
      <c r="P524" s="624">
        <v>0</v>
      </c>
      <c r="Q524" s="601">
        <v>0</v>
      </c>
      <c r="R524" s="601">
        <v>0</v>
      </c>
      <c r="S524" s="626">
        <v>0</v>
      </c>
      <c r="T524" s="601">
        <v>0</v>
      </c>
      <c r="U524" s="601">
        <v>0</v>
      </c>
      <c r="V524" s="601">
        <v>0</v>
      </c>
      <c r="W524" s="626">
        <v>0</v>
      </c>
      <c r="X524"/>
    </row>
    <row r="525" spans="1:24" ht="15.5">
      <c r="B525" s="65" t="s">
        <v>143</v>
      </c>
      <c r="C525" s="626">
        <v>99</v>
      </c>
      <c r="D525" s="626"/>
      <c r="E525" s="626"/>
      <c r="F525" s="626"/>
      <c r="G525" s="626"/>
      <c r="H525" s="624"/>
      <c r="I525" s="601">
        <v>99</v>
      </c>
      <c r="J525" s="638"/>
      <c r="K525" s="626"/>
      <c r="L525" s="626"/>
      <c r="M525" s="624"/>
      <c r="N525" s="601"/>
      <c r="O525" s="638"/>
      <c r="P525" s="624"/>
      <c r="Q525" s="601"/>
      <c r="R525" s="601"/>
      <c r="S525" s="626"/>
      <c r="T525" s="601"/>
      <c r="U525" s="601"/>
      <c r="V525" s="601"/>
      <c r="W525" s="626">
        <v>99</v>
      </c>
      <c r="X525"/>
    </row>
    <row r="526" spans="1:24" ht="15.5">
      <c r="B526" s="65" t="s">
        <v>144</v>
      </c>
      <c r="C526" s="626">
        <v>100</v>
      </c>
      <c r="D526" s="626"/>
      <c r="E526" s="626"/>
      <c r="F526" s="626"/>
      <c r="G526" s="626"/>
      <c r="H526" s="624"/>
      <c r="I526" s="601">
        <v>100</v>
      </c>
      <c r="J526" s="638"/>
      <c r="K526" s="626"/>
      <c r="L526" s="626"/>
      <c r="M526" s="624"/>
      <c r="N526" s="601"/>
      <c r="O526" s="638"/>
      <c r="P526" s="624"/>
      <c r="Q526" s="601"/>
      <c r="R526" s="601"/>
      <c r="S526" s="626"/>
      <c r="T526" s="601"/>
      <c r="U526" s="601"/>
      <c r="V526" s="601"/>
      <c r="W526" s="626">
        <v>100</v>
      </c>
      <c r="X526"/>
    </row>
    <row r="527" spans="1:24" s="149" customFormat="1" ht="15.5">
      <c r="A527" s="128"/>
      <c r="B527" s="65" t="s">
        <v>145</v>
      </c>
      <c r="C527" s="626">
        <v>1.0101010101010102E-2</v>
      </c>
      <c r="D527" s="626">
        <v>0</v>
      </c>
      <c r="E527" s="626">
        <v>0</v>
      </c>
      <c r="F527" s="626">
        <v>0</v>
      </c>
      <c r="G527" s="626">
        <v>0</v>
      </c>
      <c r="H527" s="624">
        <v>0</v>
      </c>
      <c r="I527" s="601">
        <v>1.0101010101010102E-2</v>
      </c>
      <c r="J527" s="638">
        <v>0</v>
      </c>
      <c r="K527" s="626">
        <v>0</v>
      </c>
      <c r="L527" s="626">
        <v>0</v>
      </c>
      <c r="M527" s="624">
        <v>0</v>
      </c>
      <c r="N527" s="601">
        <v>0</v>
      </c>
      <c r="O527" s="638">
        <v>0</v>
      </c>
      <c r="P527" s="624">
        <v>0</v>
      </c>
      <c r="Q527" s="601">
        <v>0</v>
      </c>
      <c r="R527" s="601">
        <v>0</v>
      </c>
      <c r="S527" s="626">
        <v>0</v>
      </c>
      <c r="T527" s="601">
        <v>0</v>
      </c>
      <c r="U527" s="601">
        <v>0</v>
      </c>
      <c r="V527" s="601">
        <v>0</v>
      </c>
      <c r="W527" s="626">
        <v>1.0101010101010102E-2</v>
      </c>
      <c r="X527"/>
    </row>
    <row r="528" spans="1:24" ht="15.5">
      <c r="B528" s="65" t="s">
        <v>146</v>
      </c>
      <c r="C528" s="626"/>
      <c r="D528" s="626"/>
      <c r="E528" s="626"/>
      <c r="F528" s="626"/>
      <c r="G528" s="626"/>
      <c r="H528" s="624"/>
      <c r="I528" s="601"/>
      <c r="J528" s="638"/>
      <c r="K528" s="626"/>
      <c r="L528" s="626"/>
      <c r="M528" s="624"/>
      <c r="N528" s="601"/>
      <c r="O528" s="638"/>
      <c r="P528" s="624"/>
      <c r="Q528" s="601"/>
      <c r="R528" s="601"/>
      <c r="S528" s="626"/>
      <c r="T528" s="601"/>
      <c r="U528" s="601"/>
      <c r="V528" s="601"/>
      <c r="W528" s="626"/>
      <c r="X528"/>
    </row>
    <row r="529" spans="1:24" ht="15.5">
      <c r="B529" s="65" t="s">
        <v>147</v>
      </c>
      <c r="C529" s="626"/>
      <c r="D529" s="626"/>
      <c r="E529" s="626"/>
      <c r="F529" s="626"/>
      <c r="G529" s="626"/>
      <c r="H529" s="624"/>
      <c r="I529" s="601"/>
      <c r="J529" s="638"/>
      <c r="K529" s="626"/>
      <c r="L529" s="626"/>
      <c r="M529" s="624"/>
      <c r="N529" s="601"/>
      <c r="O529" s="638"/>
      <c r="P529" s="624"/>
      <c r="Q529" s="601"/>
      <c r="R529" s="601"/>
      <c r="S529" s="626"/>
      <c r="T529" s="601"/>
      <c r="U529" s="601"/>
      <c r="V529" s="601"/>
      <c r="W529" s="626"/>
      <c r="X529"/>
    </row>
    <row r="530" spans="1:24" s="149" customFormat="1" ht="15.5">
      <c r="A530" s="128"/>
      <c r="B530" s="65" t="s">
        <v>148</v>
      </c>
      <c r="C530" s="626">
        <v>0</v>
      </c>
      <c r="D530" s="626">
        <v>0</v>
      </c>
      <c r="E530" s="626">
        <v>0</v>
      </c>
      <c r="F530" s="626">
        <v>0</v>
      </c>
      <c r="G530" s="626">
        <v>0</v>
      </c>
      <c r="H530" s="624">
        <v>0</v>
      </c>
      <c r="I530" s="601">
        <v>0</v>
      </c>
      <c r="J530" s="638">
        <v>0</v>
      </c>
      <c r="K530" s="626">
        <v>0</v>
      </c>
      <c r="L530" s="626">
        <v>0</v>
      </c>
      <c r="M530" s="624">
        <v>0</v>
      </c>
      <c r="N530" s="601">
        <v>0</v>
      </c>
      <c r="O530" s="638">
        <v>0</v>
      </c>
      <c r="P530" s="624">
        <v>0</v>
      </c>
      <c r="Q530" s="601">
        <v>0</v>
      </c>
      <c r="R530" s="601">
        <v>0</v>
      </c>
      <c r="S530" s="626">
        <v>0</v>
      </c>
      <c r="T530" s="601">
        <v>0</v>
      </c>
      <c r="U530" s="601">
        <v>0</v>
      </c>
      <c r="V530" s="601">
        <v>0</v>
      </c>
      <c r="W530" s="626">
        <v>0</v>
      </c>
      <c r="X530"/>
    </row>
    <row r="531" spans="1:24" ht="16" thickBot="1">
      <c r="B531" s="65" t="s">
        <v>149</v>
      </c>
      <c r="C531" s="626">
        <v>154</v>
      </c>
      <c r="D531" s="626">
        <v>91</v>
      </c>
      <c r="E531" s="626">
        <v>45</v>
      </c>
      <c r="F531" s="626"/>
      <c r="G531" s="626">
        <v>40</v>
      </c>
      <c r="H531" s="624"/>
      <c r="I531" s="601">
        <v>330</v>
      </c>
      <c r="J531" s="638"/>
      <c r="K531" s="626"/>
      <c r="L531" s="626"/>
      <c r="M531" s="624"/>
      <c r="N531" s="601"/>
      <c r="O531" s="638"/>
      <c r="P531" s="624"/>
      <c r="Q531" s="601"/>
      <c r="R531" s="601"/>
      <c r="S531" s="626"/>
      <c r="T531" s="601"/>
      <c r="U531" s="601"/>
      <c r="V531" s="601"/>
      <c r="W531" s="626">
        <v>330</v>
      </c>
      <c r="X531"/>
    </row>
    <row r="532" spans="1:24" ht="16" thickBot="1">
      <c r="B532" s="65" t="s">
        <v>150</v>
      </c>
      <c r="C532" s="626">
        <v>174</v>
      </c>
      <c r="D532" s="626">
        <v>90</v>
      </c>
      <c r="E532" s="626">
        <v>46</v>
      </c>
      <c r="F532" s="626"/>
      <c r="G532" s="626">
        <v>58</v>
      </c>
      <c r="H532" s="624"/>
      <c r="I532" s="601">
        <v>368</v>
      </c>
      <c r="J532" s="638"/>
      <c r="K532" s="626"/>
      <c r="L532" s="626"/>
      <c r="M532" s="624"/>
      <c r="N532" s="601"/>
      <c r="O532" s="638"/>
      <c r="P532" s="624"/>
      <c r="Q532" s="601"/>
      <c r="R532" s="601"/>
      <c r="S532" s="626"/>
      <c r="T532" s="601"/>
      <c r="U532" s="601"/>
      <c r="V532" s="601"/>
      <c r="W532" s="626">
        <v>368</v>
      </c>
      <c r="X532"/>
    </row>
    <row r="533" spans="1:24" s="149" customFormat="1" ht="16" thickBot="1">
      <c r="A533" s="128"/>
      <c r="B533" s="65" t="s">
        <v>151</v>
      </c>
      <c r="C533" s="648">
        <v>0.12987012987012986</v>
      </c>
      <c r="D533" s="657">
        <v>-1.098901098901099E-2</v>
      </c>
      <c r="E533" s="648">
        <v>2.2222222222222223E-2</v>
      </c>
      <c r="F533" s="626">
        <v>0</v>
      </c>
      <c r="G533" s="626">
        <v>0.45</v>
      </c>
      <c r="H533" s="624">
        <v>0</v>
      </c>
      <c r="I533" s="601">
        <v>0.11515151515151516</v>
      </c>
      <c r="J533" s="638">
        <v>0</v>
      </c>
      <c r="K533" s="626">
        <v>0</v>
      </c>
      <c r="L533" s="626">
        <v>0</v>
      </c>
      <c r="M533" s="624">
        <v>0</v>
      </c>
      <c r="N533" s="601">
        <v>0</v>
      </c>
      <c r="O533" s="638">
        <v>0</v>
      </c>
      <c r="P533" s="624">
        <v>0</v>
      </c>
      <c r="Q533" s="601">
        <v>0</v>
      </c>
      <c r="R533" s="601">
        <v>0</v>
      </c>
      <c r="S533" s="626">
        <v>0</v>
      </c>
      <c r="T533" s="601">
        <v>0</v>
      </c>
      <c r="U533" s="601">
        <v>0</v>
      </c>
      <c r="V533" s="601">
        <v>0</v>
      </c>
      <c r="W533" s="626">
        <v>0.11515151515151516</v>
      </c>
      <c r="X533"/>
    </row>
    <row r="534" spans="1:24" ht="15.5">
      <c r="B534" s="65" t="s">
        <v>152</v>
      </c>
      <c r="C534" s="626"/>
      <c r="D534" s="626"/>
      <c r="E534" s="626"/>
      <c r="F534" s="626"/>
      <c r="G534" s="626"/>
      <c r="H534" s="624"/>
      <c r="I534" s="601"/>
      <c r="J534" s="638"/>
      <c r="K534" s="626"/>
      <c r="L534" s="626"/>
      <c r="M534" s="624"/>
      <c r="N534" s="601"/>
      <c r="O534" s="638"/>
      <c r="P534" s="624"/>
      <c r="Q534" s="601"/>
      <c r="R534" s="601"/>
      <c r="S534" s="626"/>
      <c r="T534" s="601"/>
      <c r="U534" s="601"/>
      <c r="V534" s="601"/>
      <c r="W534" s="626"/>
      <c r="X534"/>
    </row>
    <row r="535" spans="1:24" s="149" customFormat="1" ht="15.5">
      <c r="A535" s="128"/>
      <c r="B535" s="65" t="s">
        <v>153</v>
      </c>
      <c r="C535" s="626"/>
      <c r="D535" s="626"/>
      <c r="E535" s="626"/>
      <c r="F535" s="626"/>
      <c r="G535" s="626"/>
      <c r="H535" s="624"/>
      <c r="I535" s="601"/>
      <c r="J535" s="638"/>
      <c r="K535" s="626"/>
      <c r="L535" s="626"/>
      <c r="M535" s="624"/>
      <c r="N535" s="601"/>
      <c r="O535" s="638"/>
      <c r="P535" s="624"/>
      <c r="Q535" s="601"/>
      <c r="R535" s="601"/>
      <c r="S535" s="626"/>
      <c r="T535" s="601"/>
      <c r="U535" s="601"/>
      <c r="V535" s="601"/>
      <c r="W535" s="626"/>
      <c r="X535"/>
    </row>
    <row r="536" spans="1:24" ht="15.5">
      <c r="A536" s="128" t="s">
        <v>163</v>
      </c>
      <c r="B536" s="131" t="s">
        <v>101</v>
      </c>
      <c r="C536" s="626"/>
      <c r="D536" s="626"/>
      <c r="E536" s="626"/>
      <c r="F536" s="648"/>
      <c r="G536" s="626"/>
      <c r="H536" s="624"/>
      <c r="I536" s="601"/>
      <c r="J536" s="638"/>
      <c r="K536" s="626"/>
      <c r="L536" s="626"/>
      <c r="M536" s="624"/>
      <c r="N536" s="601"/>
      <c r="O536" s="638">
        <v>2597</v>
      </c>
      <c r="P536" s="624">
        <v>10603</v>
      </c>
      <c r="Q536" s="601"/>
      <c r="R536" s="601">
        <v>13200</v>
      </c>
      <c r="S536" s="626"/>
      <c r="T536" s="601"/>
      <c r="U536" s="601"/>
      <c r="V536" s="601"/>
      <c r="W536" s="626">
        <v>13200</v>
      </c>
      <c r="X536"/>
    </row>
    <row r="537" spans="1:24" ht="16" thickBot="1">
      <c r="B537" s="131" t="s">
        <v>102</v>
      </c>
      <c r="C537" s="626"/>
      <c r="D537" s="626"/>
      <c r="E537" s="626"/>
      <c r="F537" s="626"/>
      <c r="G537" s="626"/>
      <c r="H537" s="624"/>
      <c r="I537" s="601"/>
      <c r="J537" s="638"/>
      <c r="K537" s="626"/>
      <c r="L537" s="626"/>
      <c r="M537" s="624"/>
      <c r="N537" s="601"/>
      <c r="O537" s="638">
        <v>2094</v>
      </c>
      <c r="P537" s="624">
        <v>10532</v>
      </c>
      <c r="Q537" s="601"/>
      <c r="R537" s="601">
        <v>12626</v>
      </c>
      <c r="S537" s="626"/>
      <c r="T537" s="601"/>
      <c r="U537" s="601"/>
      <c r="V537" s="601"/>
      <c r="W537" s="626">
        <v>12626</v>
      </c>
      <c r="X537"/>
    </row>
    <row r="538" spans="1:24" s="149" customFormat="1" ht="16" thickBot="1">
      <c r="A538" s="128"/>
      <c r="B538" s="131" t="s">
        <v>103</v>
      </c>
      <c r="C538" s="648">
        <v>0</v>
      </c>
      <c r="D538" s="626">
        <v>0</v>
      </c>
      <c r="E538" s="626">
        <v>0</v>
      </c>
      <c r="F538" s="648">
        <v>0</v>
      </c>
      <c r="G538" s="626">
        <v>0</v>
      </c>
      <c r="H538" s="624">
        <v>0</v>
      </c>
      <c r="I538" s="601">
        <v>0</v>
      </c>
      <c r="J538" s="662">
        <v>0</v>
      </c>
      <c r="K538" s="662">
        <v>0</v>
      </c>
      <c r="L538" s="662">
        <v>0</v>
      </c>
      <c r="M538" s="649">
        <v>0</v>
      </c>
      <c r="N538" s="601">
        <v>0</v>
      </c>
      <c r="O538" s="638">
        <v>-0.19368502117828262</v>
      </c>
      <c r="P538" s="624">
        <v>-6.6962180514948599E-3</v>
      </c>
      <c r="Q538" s="601">
        <v>0</v>
      </c>
      <c r="R538" s="601">
        <v>-4.3484848484848487E-2</v>
      </c>
      <c r="S538" s="626">
        <v>0</v>
      </c>
      <c r="T538" s="601">
        <v>0</v>
      </c>
      <c r="U538" s="601">
        <v>0</v>
      </c>
      <c r="V538" s="601">
        <v>0</v>
      </c>
      <c r="W538" s="626">
        <v>-4.3484848484848487E-2</v>
      </c>
      <c r="X538"/>
    </row>
    <row r="539" spans="1:24" ht="15.5">
      <c r="B539" s="65" t="s">
        <v>104</v>
      </c>
      <c r="C539" s="626"/>
      <c r="D539" s="626"/>
      <c r="E539" s="626"/>
      <c r="F539" s="626"/>
      <c r="G539" s="626"/>
      <c r="H539" s="624"/>
      <c r="I539" s="601"/>
      <c r="J539" s="638"/>
      <c r="K539" s="626"/>
      <c r="L539" s="626"/>
      <c r="M539" s="624"/>
      <c r="N539" s="601"/>
      <c r="O539" s="638">
        <v>42</v>
      </c>
      <c r="P539" s="624">
        <v>173</v>
      </c>
      <c r="Q539" s="601"/>
      <c r="R539" s="601">
        <v>215</v>
      </c>
      <c r="S539" s="626"/>
      <c r="T539" s="601"/>
      <c r="U539" s="601"/>
      <c r="V539" s="601"/>
      <c r="W539" s="626">
        <v>215</v>
      </c>
      <c r="X539"/>
    </row>
    <row r="540" spans="1:24" ht="15.5">
      <c r="B540" s="65" t="s">
        <v>105</v>
      </c>
      <c r="C540" s="626"/>
      <c r="D540" s="626"/>
      <c r="E540" s="626"/>
      <c r="F540" s="626"/>
      <c r="G540" s="626"/>
      <c r="H540" s="624"/>
      <c r="I540" s="601"/>
      <c r="J540" s="638"/>
      <c r="K540" s="626"/>
      <c r="L540" s="626"/>
      <c r="M540" s="624"/>
      <c r="N540" s="601"/>
      <c r="O540" s="638">
        <v>44</v>
      </c>
      <c r="P540" s="624">
        <v>105</v>
      </c>
      <c r="Q540" s="601"/>
      <c r="R540" s="601">
        <v>149</v>
      </c>
      <c r="S540" s="626"/>
      <c r="T540" s="601"/>
      <c r="U540" s="601"/>
      <c r="V540" s="601"/>
      <c r="W540" s="626">
        <v>149</v>
      </c>
      <c r="X540"/>
    </row>
    <row r="541" spans="1:24" s="149" customFormat="1" ht="15.5">
      <c r="A541" s="128"/>
      <c r="B541" s="65" t="s">
        <v>106</v>
      </c>
      <c r="C541" s="626">
        <v>0</v>
      </c>
      <c r="D541" s="626">
        <v>0</v>
      </c>
      <c r="E541" s="626">
        <v>0</v>
      </c>
      <c r="F541" s="626">
        <v>0</v>
      </c>
      <c r="G541" s="626">
        <v>0</v>
      </c>
      <c r="H541" s="624">
        <v>0</v>
      </c>
      <c r="I541" s="601">
        <v>0</v>
      </c>
      <c r="J541" s="638">
        <v>0</v>
      </c>
      <c r="K541" s="626">
        <v>0</v>
      </c>
      <c r="L541" s="626">
        <v>0</v>
      </c>
      <c r="M541" s="624">
        <v>0</v>
      </c>
      <c r="N541" s="601">
        <v>0</v>
      </c>
      <c r="O541" s="652">
        <v>4.7619047619047616E-2</v>
      </c>
      <c r="P541" s="649">
        <v>-0.39306358381502893</v>
      </c>
      <c r="Q541" s="601">
        <v>0</v>
      </c>
      <c r="R541" s="601">
        <v>-0.30697674418604654</v>
      </c>
      <c r="S541" s="626">
        <v>0</v>
      </c>
      <c r="T541" s="601">
        <v>0</v>
      </c>
      <c r="U541" s="601">
        <v>0</v>
      </c>
      <c r="V541" s="601">
        <v>0</v>
      </c>
      <c r="W541" s="626">
        <v>-0.30697674418604654</v>
      </c>
      <c r="X541"/>
    </row>
    <row r="542" spans="1:24" ht="15.5">
      <c r="B542" s="65" t="s">
        <v>107</v>
      </c>
      <c r="C542" s="626"/>
      <c r="D542" s="626"/>
      <c r="E542" s="626"/>
      <c r="F542" s="626"/>
      <c r="G542" s="626"/>
      <c r="H542" s="624"/>
      <c r="I542" s="601"/>
      <c r="J542" s="638"/>
      <c r="K542" s="626"/>
      <c r="L542" s="626"/>
      <c r="M542" s="624"/>
      <c r="N542" s="601"/>
      <c r="O542" s="638"/>
      <c r="P542" s="624"/>
      <c r="Q542" s="601"/>
      <c r="R542" s="601"/>
      <c r="S542" s="626"/>
      <c r="T542" s="601"/>
      <c r="U542" s="601"/>
      <c r="V542" s="601"/>
      <c r="W542" s="626"/>
      <c r="X542"/>
    </row>
    <row r="543" spans="1:24" ht="16" thickBot="1">
      <c r="B543" s="65" t="s">
        <v>108</v>
      </c>
      <c r="C543" s="626"/>
      <c r="D543" s="626"/>
      <c r="E543" s="626"/>
      <c r="F543" s="626"/>
      <c r="G543" s="626"/>
      <c r="H543" s="624"/>
      <c r="I543" s="601"/>
      <c r="J543" s="638"/>
      <c r="K543" s="626"/>
      <c r="L543" s="626"/>
      <c r="M543" s="624"/>
      <c r="N543" s="601"/>
      <c r="O543" s="638"/>
      <c r="P543" s="624"/>
      <c r="Q543" s="601"/>
      <c r="R543" s="601"/>
      <c r="S543" s="626"/>
      <c r="T543" s="601"/>
      <c r="U543" s="601"/>
      <c r="V543" s="601"/>
      <c r="W543" s="626"/>
      <c r="X543"/>
    </row>
    <row r="544" spans="1:24" s="149" customFormat="1" ht="16" thickBot="1">
      <c r="A544" s="128"/>
      <c r="B544" s="65" t="s">
        <v>109</v>
      </c>
      <c r="C544" s="626">
        <v>0</v>
      </c>
      <c r="D544" s="626">
        <v>0</v>
      </c>
      <c r="E544" s="662">
        <v>0</v>
      </c>
      <c r="F544" s="626">
        <v>0</v>
      </c>
      <c r="G544" s="648">
        <v>0</v>
      </c>
      <c r="H544" s="624">
        <v>0</v>
      </c>
      <c r="I544" s="601">
        <v>0</v>
      </c>
      <c r="J544" s="638">
        <v>0</v>
      </c>
      <c r="K544" s="626">
        <v>0</v>
      </c>
      <c r="L544" s="626">
        <v>0</v>
      </c>
      <c r="M544" s="624">
        <v>0</v>
      </c>
      <c r="N544" s="601">
        <v>0</v>
      </c>
      <c r="O544" s="638">
        <v>0</v>
      </c>
      <c r="P544" s="624">
        <v>0</v>
      </c>
      <c r="Q544" s="601">
        <v>0</v>
      </c>
      <c r="R544" s="601">
        <v>0</v>
      </c>
      <c r="S544" s="626">
        <v>0</v>
      </c>
      <c r="T544" s="601">
        <v>0</v>
      </c>
      <c r="U544" s="601">
        <v>0</v>
      </c>
      <c r="V544" s="601">
        <v>0</v>
      </c>
      <c r="W544" s="626">
        <v>0</v>
      </c>
      <c r="X544"/>
    </row>
    <row r="545" spans="1:24" ht="15.5">
      <c r="B545" s="65" t="s">
        <v>110</v>
      </c>
      <c r="C545" s="626"/>
      <c r="D545" s="626"/>
      <c r="E545" s="626"/>
      <c r="F545" s="626"/>
      <c r="G545" s="626"/>
      <c r="H545" s="624"/>
      <c r="I545" s="601"/>
      <c r="J545" s="638"/>
      <c r="K545" s="626"/>
      <c r="L545" s="626"/>
      <c r="M545" s="624"/>
      <c r="N545" s="601"/>
      <c r="O545" s="638"/>
      <c r="P545" s="624"/>
      <c r="Q545" s="601"/>
      <c r="R545" s="601"/>
      <c r="S545" s="626"/>
      <c r="T545" s="601"/>
      <c r="U545" s="601"/>
      <c r="V545" s="601"/>
      <c r="W545" s="626"/>
      <c r="X545"/>
    </row>
    <row r="546" spans="1:24" ht="15.5">
      <c r="B546" s="65" t="s">
        <v>111</v>
      </c>
      <c r="C546" s="626"/>
      <c r="D546" s="626"/>
      <c r="E546" s="626"/>
      <c r="F546" s="626"/>
      <c r="G546" s="626"/>
      <c r="H546" s="624"/>
      <c r="I546" s="601"/>
      <c r="J546" s="638"/>
      <c r="K546" s="626"/>
      <c r="L546" s="626"/>
      <c r="M546" s="624"/>
      <c r="N546" s="601"/>
      <c r="O546" s="638"/>
      <c r="P546" s="624"/>
      <c r="Q546" s="601"/>
      <c r="R546" s="601"/>
      <c r="S546" s="626"/>
      <c r="T546" s="601"/>
      <c r="U546" s="601"/>
      <c r="V546" s="601"/>
      <c r="W546" s="626"/>
      <c r="X546"/>
    </row>
    <row r="547" spans="1:24" s="149" customFormat="1" ht="15.5">
      <c r="A547" s="128"/>
      <c r="B547" s="65" t="s">
        <v>112</v>
      </c>
      <c r="C547" s="626">
        <v>0</v>
      </c>
      <c r="D547" s="626">
        <v>0</v>
      </c>
      <c r="E547" s="626">
        <v>0</v>
      </c>
      <c r="F547" s="626">
        <v>0</v>
      </c>
      <c r="G547" s="626">
        <v>0</v>
      </c>
      <c r="H547" s="624">
        <v>0</v>
      </c>
      <c r="I547" s="601">
        <v>0</v>
      </c>
      <c r="J547" s="678">
        <v>0</v>
      </c>
      <c r="K547" s="626">
        <v>0</v>
      </c>
      <c r="L547" s="626">
        <v>0</v>
      </c>
      <c r="M547" s="624">
        <v>0</v>
      </c>
      <c r="N547" s="601">
        <v>0</v>
      </c>
      <c r="O547" s="638">
        <v>0</v>
      </c>
      <c r="P547" s="624">
        <v>0</v>
      </c>
      <c r="Q547" s="601">
        <v>0</v>
      </c>
      <c r="R547" s="601">
        <v>0</v>
      </c>
      <c r="S547" s="626">
        <v>0</v>
      </c>
      <c r="T547" s="601">
        <v>0</v>
      </c>
      <c r="U547" s="601">
        <v>0</v>
      </c>
      <c r="V547" s="601">
        <v>0</v>
      </c>
      <c r="W547" s="626">
        <v>0</v>
      </c>
      <c r="X547"/>
    </row>
    <row r="548" spans="1:24" ht="15.5">
      <c r="B548" s="65" t="s">
        <v>113</v>
      </c>
      <c r="C548" s="626"/>
      <c r="D548" s="626"/>
      <c r="E548" s="626"/>
      <c r="F548" s="626"/>
      <c r="G548" s="626"/>
      <c r="H548" s="624"/>
      <c r="I548" s="601"/>
      <c r="J548" s="638"/>
      <c r="K548" s="626"/>
      <c r="L548" s="626"/>
      <c r="M548" s="624"/>
      <c r="N548" s="601"/>
      <c r="O548" s="638"/>
      <c r="P548" s="624"/>
      <c r="Q548" s="601"/>
      <c r="R548" s="601"/>
      <c r="S548" s="626"/>
      <c r="T548" s="601"/>
      <c r="U548" s="601"/>
      <c r="V548" s="601"/>
      <c r="W548" s="626"/>
      <c r="X548"/>
    </row>
    <row r="549" spans="1:24" ht="16" thickBot="1">
      <c r="B549" s="65" t="s">
        <v>114</v>
      </c>
      <c r="C549" s="626"/>
      <c r="D549" s="626"/>
      <c r="E549" s="626"/>
      <c r="F549" s="626"/>
      <c r="G549" s="626"/>
      <c r="H549" s="624"/>
      <c r="I549" s="601"/>
      <c r="J549" s="638"/>
      <c r="K549" s="626"/>
      <c r="L549" s="626"/>
      <c r="M549" s="624"/>
      <c r="N549" s="601"/>
      <c r="O549" s="638"/>
      <c r="P549" s="624"/>
      <c r="Q549" s="601"/>
      <c r="R549" s="601"/>
      <c r="S549" s="626"/>
      <c r="T549" s="601"/>
      <c r="U549" s="601"/>
      <c r="V549" s="601"/>
      <c r="W549" s="626"/>
      <c r="X549"/>
    </row>
    <row r="550" spans="1:24" s="149" customFormat="1" ht="16" thickBot="1">
      <c r="A550" s="128"/>
      <c r="B550" s="65" t="s">
        <v>115</v>
      </c>
      <c r="C550" s="657">
        <v>0</v>
      </c>
      <c r="D550" s="626">
        <v>0</v>
      </c>
      <c r="E550" s="626">
        <v>0</v>
      </c>
      <c r="F550" s="626">
        <v>0</v>
      </c>
      <c r="G550" s="626">
        <v>0</v>
      </c>
      <c r="H550" s="624">
        <v>0</v>
      </c>
      <c r="I550" s="601">
        <v>0</v>
      </c>
      <c r="J550" s="638">
        <v>0</v>
      </c>
      <c r="K550" s="626">
        <v>0</v>
      </c>
      <c r="L550" s="626">
        <v>0</v>
      </c>
      <c r="M550" s="624">
        <v>0</v>
      </c>
      <c r="N550" s="601">
        <v>0</v>
      </c>
      <c r="O550" s="638">
        <v>0</v>
      </c>
      <c r="P550" s="624">
        <v>0</v>
      </c>
      <c r="Q550" s="601">
        <v>0</v>
      </c>
      <c r="R550" s="601">
        <v>0</v>
      </c>
      <c r="S550" s="626">
        <v>0</v>
      </c>
      <c r="T550" s="601">
        <v>0</v>
      </c>
      <c r="U550" s="601">
        <v>0</v>
      </c>
      <c r="V550" s="601">
        <v>0</v>
      </c>
      <c r="W550" s="626">
        <v>0</v>
      </c>
      <c r="X550"/>
    </row>
    <row r="551" spans="1:24" ht="15.5">
      <c r="B551" s="65" t="s">
        <v>116</v>
      </c>
      <c r="C551" s="626"/>
      <c r="D551" s="626"/>
      <c r="E551" s="626"/>
      <c r="F551" s="626"/>
      <c r="G551" s="626"/>
      <c r="H551" s="624"/>
      <c r="I551" s="601"/>
      <c r="J551" s="638"/>
      <c r="K551" s="626"/>
      <c r="L551" s="626"/>
      <c r="M551" s="624"/>
      <c r="N551" s="601"/>
      <c r="O551" s="638">
        <v>0</v>
      </c>
      <c r="P551" s="624">
        <v>0</v>
      </c>
      <c r="Q551" s="601"/>
      <c r="R551" s="601">
        <v>0</v>
      </c>
      <c r="S551" s="626"/>
      <c r="T551" s="601"/>
      <c r="U551" s="601">
        <v>0</v>
      </c>
      <c r="V551" s="601">
        <v>0</v>
      </c>
      <c r="W551" s="626">
        <v>0</v>
      </c>
      <c r="X551"/>
    </row>
    <row r="552" spans="1:24" ht="16" thickBot="1">
      <c r="B552" s="65" t="s">
        <v>117</v>
      </c>
      <c r="C552" s="626"/>
      <c r="D552" s="626"/>
      <c r="E552" s="626"/>
      <c r="F552" s="626"/>
      <c r="G552" s="626"/>
      <c r="H552" s="624"/>
      <c r="I552" s="601"/>
      <c r="J552" s="638"/>
      <c r="K552" s="626"/>
      <c r="L552" s="626"/>
      <c r="M552" s="624"/>
      <c r="N552" s="601"/>
      <c r="O552" s="638">
        <v>0</v>
      </c>
      <c r="P552" s="624">
        <v>0</v>
      </c>
      <c r="Q552" s="601"/>
      <c r="R552" s="601">
        <v>0</v>
      </c>
      <c r="S552" s="626"/>
      <c r="T552" s="601"/>
      <c r="U552" s="601">
        <v>0</v>
      </c>
      <c r="V552" s="601">
        <v>0</v>
      </c>
      <c r="W552" s="626">
        <v>0</v>
      </c>
      <c r="X552"/>
    </row>
    <row r="553" spans="1:24" s="149" customFormat="1" ht="16" thickBot="1">
      <c r="A553" s="128"/>
      <c r="B553" s="65" t="s">
        <v>118</v>
      </c>
      <c r="C553" s="626">
        <v>0</v>
      </c>
      <c r="D553" s="626">
        <v>0</v>
      </c>
      <c r="E553" s="626">
        <v>0</v>
      </c>
      <c r="F553" s="626">
        <v>0</v>
      </c>
      <c r="G553" s="648">
        <v>0</v>
      </c>
      <c r="H553" s="624">
        <v>0</v>
      </c>
      <c r="I553" s="601">
        <v>0</v>
      </c>
      <c r="J553" s="638">
        <v>0</v>
      </c>
      <c r="K553" s="626">
        <v>0</v>
      </c>
      <c r="L553" s="626">
        <v>0</v>
      </c>
      <c r="M553" s="624">
        <v>0</v>
      </c>
      <c r="N553" s="601">
        <v>0</v>
      </c>
      <c r="O553" s="638">
        <v>0</v>
      </c>
      <c r="P553" s="624">
        <v>0</v>
      </c>
      <c r="Q553" s="601">
        <v>0</v>
      </c>
      <c r="R553" s="601">
        <v>0</v>
      </c>
      <c r="S553" s="626">
        <v>0</v>
      </c>
      <c r="T553" s="601">
        <v>0</v>
      </c>
      <c r="U553" s="601">
        <v>0</v>
      </c>
      <c r="V553" s="601">
        <v>0</v>
      </c>
      <c r="W553" s="626">
        <v>0</v>
      </c>
      <c r="X553"/>
    </row>
    <row r="554" spans="1:24" ht="15.5">
      <c r="B554" s="65" t="s">
        <v>119</v>
      </c>
      <c r="C554" s="626"/>
      <c r="D554" s="626"/>
      <c r="E554" s="626"/>
      <c r="F554" s="626"/>
      <c r="G554" s="626"/>
      <c r="H554" s="624"/>
      <c r="I554" s="601"/>
      <c r="J554" s="638"/>
      <c r="K554" s="626"/>
      <c r="L554" s="626"/>
      <c r="M554" s="624"/>
      <c r="N554" s="601"/>
      <c r="O554" s="638">
        <v>0</v>
      </c>
      <c r="P554" s="624">
        <v>0</v>
      </c>
      <c r="Q554" s="601"/>
      <c r="R554" s="601">
        <v>0</v>
      </c>
      <c r="S554" s="626"/>
      <c r="T554" s="601"/>
      <c r="U554" s="601">
        <v>0</v>
      </c>
      <c r="V554" s="601">
        <v>0</v>
      </c>
      <c r="W554" s="626">
        <v>0</v>
      </c>
      <c r="X554"/>
    </row>
    <row r="555" spans="1:24" ht="16" thickBot="1">
      <c r="B555" s="65" t="s">
        <v>120</v>
      </c>
      <c r="C555" s="626"/>
      <c r="D555" s="626"/>
      <c r="E555" s="626"/>
      <c r="F555" s="626"/>
      <c r="G555" s="626"/>
      <c r="H555" s="624"/>
      <c r="I555" s="601"/>
      <c r="J555" s="638"/>
      <c r="K555" s="626"/>
      <c r="L555" s="626"/>
      <c r="M555" s="624"/>
      <c r="N555" s="601"/>
      <c r="O555" s="638">
        <v>0</v>
      </c>
      <c r="P555" s="624">
        <v>0</v>
      </c>
      <c r="Q555" s="601"/>
      <c r="R555" s="601">
        <v>0</v>
      </c>
      <c r="S555" s="626"/>
      <c r="T555" s="601"/>
      <c r="U555" s="601">
        <v>0</v>
      </c>
      <c r="V555" s="601">
        <v>0</v>
      </c>
      <c r="W555" s="626">
        <v>0</v>
      </c>
      <c r="X555"/>
    </row>
    <row r="556" spans="1:24" s="149" customFormat="1" ht="16" thickBot="1">
      <c r="A556" s="128"/>
      <c r="B556" s="65" t="s">
        <v>121</v>
      </c>
      <c r="C556" s="626">
        <v>0</v>
      </c>
      <c r="D556" s="626">
        <v>0</v>
      </c>
      <c r="E556" s="626">
        <v>0</v>
      </c>
      <c r="F556" s="626">
        <v>0</v>
      </c>
      <c r="G556" s="626">
        <v>0</v>
      </c>
      <c r="H556" s="624">
        <v>0</v>
      </c>
      <c r="I556" s="601">
        <v>0</v>
      </c>
      <c r="J556" s="638">
        <v>0</v>
      </c>
      <c r="K556" s="626">
        <v>0</v>
      </c>
      <c r="L556" s="626">
        <v>0</v>
      </c>
      <c r="M556" s="624">
        <v>0</v>
      </c>
      <c r="N556" s="601">
        <v>0</v>
      </c>
      <c r="O556" s="638">
        <v>0</v>
      </c>
      <c r="P556" s="624">
        <v>0</v>
      </c>
      <c r="Q556" s="601">
        <v>0</v>
      </c>
      <c r="R556" s="601">
        <v>0</v>
      </c>
      <c r="S556" s="626">
        <v>0</v>
      </c>
      <c r="T556" s="601">
        <v>0</v>
      </c>
      <c r="U556" s="601">
        <v>0</v>
      </c>
      <c r="V556" s="601">
        <v>0</v>
      </c>
      <c r="W556" s="626">
        <v>0</v>
      </c>
      <c r="X556"/>
    </row>
    <row r="557" spans="1:24" ht="15.5">
      <c r="B557" s="65" t="s">
        <v>122</v>
      </c>
      <c r="C557" s="626"/>
      <c r="D557" s="626"/>
      <c r="E557" s="626"/>
      <c r="F557" s="626"/>
      <c r="G557" s="626"/>
      <c r="H557" s="624"/>
      <c r="I557" s="601"/>
      <c r="J557" s="638"/>
      <c r="K557" s="626"/>
      <c r="L557" s="626"/>
      <c r="M557" s="624"/>
      <c r="N557" s="601"/>
      <c r="O557" s="638"/>
      <c r="P557" s="624"/>
      <c r="Q557" s="601"/>
      <c r="R557" s="601"/>
      <c r="S557" s="626"/>
      <c r="T557" s="601"/>
      <c r="U557" s="601"/>
      <c r="V557" s="601"/>
      <c r="W557" s="626"/>
      <c r="X557"/>
    </row>
    <row r="558" spans="1:24" ht="15.5">
      <c r="B558" s="65" t="s">
        <v>123</v>
      </c>
      <c r="C558" s="626"/>
      <c r="D558" s="626"/>
      <c r="E558" s="626"/>
      <c r="F558" s="626"/>
      <c r="G558" s="626"/>
      <c r="H558" s="624"/>
      <c r="I558" s="601"/>
      <c r="J558" s="638"/>
      <c r="K558" s="626"/>
      <c r="L558" s="626"/>
      <c r="M558" s="624"/>
      <c r="N558" s="601"/>
      <c r="O558" s="638"/>
      <c r="P558" s="624"/>
      <c r="Q558" s="601"/>
      <c r="R558" s="601"/>
      <c r="S558" s="626"/>
      <c r="T558" s="601"/>
      <c r="U558" s="601"/>
      <c r="V558" s="601"/>
      <c r="W558" s="626"/>
      <c r="X558"/>
    </row>
    <row r="559" spans="1:24" s="149" customFormat="1" ht="15.5">
      <c r="A559" s="128"/>
      <c r="B559" s="65" t="s">
        <v>124</v>
      </c>
      <c r="C559" s="626">
        <v>0</v>
      </c>
      <c r="D559" s="626">
        <v>0</v>
      </c>
      <c r="E559" s="626">
        <v>0</v>
      </c>
      <c r="F559" s="626">
        <v>0</v>
      </c>
      <c r="G559" s="626">
        <v>0</v>
      </c>
      <c r="H559" s="624">
        <v>0</v>
      </c>
      <c r="I559" s="601">
        <v>0</v>
      </c>
      <c r="J559" s="638">
        <v>0</v>
      </c>
      <c r="K559" s="626">
        <v>0</v>
      </c>
      <c r="L559" s="626">
        <v>0</v>
      </c>
      <c r="M559" s="624">
        <v>0</v>
      </c>
      <c r="N559" s="601">
        <v>0</v>
      </c>
      <c r="O559" s="638">
        <v>0</v>
      </c>
      <c r="P559" s="624">
        <v>0</v>
      </c>
      <c r="Q559" s="601">
        <v>0</v>
      </c>
      <c r="R559" s="601">
        <v>0</v>
      </c>
      <c r="S559" s="626">
        <v>0</v>
      </c>
      <c r="T559" s="601">
        <v>0</v>
      </c>
      <c r="U559" s="601">
        <v>0</v>
      </c>
      <c r="V559" s="601">
        <v>0</v>
      </c>
      <c r="W559" s="626">
        <v>0</v>
      </c>
      <c r="X559"/>
    </row>
    <row r="560" spans="1:24" ht="15.5">
      <c r="B560" s="65" t="s">
        <v>125</v>
      </c>
      <c r="C560" s="626"/>
      <c r="D560" s="626"/>
      <c r="E560" s="626"/>
      <c r="F560" s="626"/>
      <c r="G560" s="626"/>
      <c r="H560" s="624"/>
      <c r="I560" s="601"/>
      <c r="J560" s="638"/>
      <c r="K560" s="626"/>
      <c r="L560" s="626"/>
      <c r="M560" s="624"/>
      <c r="N560" s="601"/>
      <c r="O560" s="638"/>
      <c r="P560" s="624"/>
      <c r="Q560" s="601"/>
      <c r="R560" s="601"/>
      <c r="S560" s="626"/>
      <c r="T560" s="601"/>
      <c r="U560" s="601"/>
      <c r="V560" s="601"/>
      <c r="W560" s="626"/>
      <c r="X560"/>
    </row>
    <row r="561" spans="1:24" ht="15.5">
      <c r="B561" s="65" t="s">
        <v>126</v>
      </c>
      <c r="C561" s="626"/>
      <c r="D561" s="626"/>
      <c r="E561" s="626"/>
      <c r="F561" s="626"/>
      <c r="G561" s="626"/>
      <c r="H561" s="624"/>
      <c r="I561" s="601"/>
      <c r="J561" s="638"/>
      <c r="K561" s="626"/>
      <c r="L561" s="626"/>
      <c r="M561" s="624"/>
      <c r="N561" s="601"/>
      <c r="O561" s="638"/>
      <c r="P561" s="624"/>
      <c r="Q561" s="601"/>
      <c r="R561" s="601"/>
      <c r="S561" s="626"/>
      <c r="T561" s="601"/>
      <c r="U561" s="601"/>
      <c r="V561" s="601"/>
      <c r="W561" s="626"/>
      <c r="X561"/>
    </row>
    <row r="562" spans="1:24" s="149" customFormat="1" ht="15.5">
      <c r="A562" s="128"/>
      <c r="B562" s="65" t="s">
        <v>127</v>
      </c>
      <c r="C562" s="626">
        <v>0</v>
      </c>
      <c r="D562" s="626">
        <v>0</v>
      </c>
      <c r="E562" s="626">
        <v>0</v>
      </c>
      <c r="F562" s="626">
        <v>0</v>
      </c>
      <c r="G562" s="626">
        <v>0</v>
      </c>
      <c r="H562" s="624">
        <v>0</v>
      </c>
      <c r="I562" s="601">
        <v>0</v>
      </c>
      <c r="J562" s="638">
        <v>0</v>
      </c>
      <c r="K562" s="626">
        <v>0</v>
      </c>
      <c r="L562" s="626">
        <v>0</v>
      </c>
      <c r="M562" s="624">
        <v>0</v>
      </c>
      <c r="N562" s="601">
        <v>0</v>
      </c>
      <c r="O562" s="638">
        <v>0</v>
      </c>
      <c r="P562" s="624">
        <v>0</v>
      </c>
      <c r="Q562" s="601">
        <v>0</v>
      </c>
      <c r="R562" s="601">
        <v>0</v>
      </c>
      <c r="S562" s="626">
        <v>0</v>
      </c>
      <c r="T562" s="601">
        <v>0</v>
      </c>
      <c r="U562" s="601">
        <v>0</v>
      </c>
      <c r="V562" s="601">
        <v>0</v>
      </c>
      <c r="W562" s="626">
        <v>0</v>
      </c>
      <c r="X562"/>
    </row>
    <row r="563" spans="1:24" ht="15.5">
      <c r="B563" s="65" t="s">
        <v>128</v>
      </c>
      <c r="C563" s="626"/>
      <c r="D563" s="626"/>
      <c r="E563" s="626"/>
      <c r="F563" s="626"/>
      <c r="G563" s="626"/>
      <c r="H563" s="624"/>
      <c r="I563" s="601"/>
      <c r="J563" s="638"/>
      <c r="K563" s="626"/>
      <c r="L563" s="626"/>
      <c r="M563" s="624"/>
      <c r="N563" s="601"/>
      <c r="O563" s="638"/>
      <c r="P563" s="624"/>
      <c r="Q563" s="601"/>
      <c r="R563" s="601"/>
      <c r="S563" s="626"/>
      <c r="T563" s="601"/>
      <c r="U563" s="601"/>
      <c r="V563" s="601"/>
      <c r="W563" s="626"/>
      <c r="X563"/>
    </row>
    <row r="564" spans="1:24" ht="15.5">
      <c r="B564" s="65" t="s">
        <v>129</v>
      </c>
      <c r="C564" s="626"/>
      <c r="D564" s="626"/>
      <c r="E564" s="626"/>
      <c r="F564" s="626"/>
      <c r="G564" s="626"/>
      <c r="H564" s="624"/>
      <c r="I564" s="601"/>
      <c r="J564" s="638"/>
      <c r="K564" s="626"/>
      <c r="L564" s="626"/>
      <c r="M564" s="624"/>
      <c r="N564" s="601"/>
      <c r="O564" s="638"/>
      <c r="P564" s="624"/>
      <c r="Q564" s="601"/>
      <c r="R564" s="601"/>
      <c r="S564" s="626"/>
      <c r="T564" s="601"/>
      <c r="U564" s="601"/>
      <c r="V564" s="601"/>
      <c r="W564" s="626"/>
      <c r="X564"/>
    </row>
    <row r="565" spans="1:24" s="149" customFormat="1" ht="15.5">
      <c r="A565" s="128"/>
      <c r="B565" s="65" t="s">
        <v>130</v>
      </c>
      <c r="C565" s="626">
        <v>0</v>
      </c>
      <c r="D565" s="626">
        <v>0</v>
      </c>
      <c r="E565" s="626">
        <v>0</v>
      </c>
      <c r="F565" s="626">
        <v>0</v>
      </c>
      <c r="G565" s="626">
        <v>0</v>
      </c>
      <c r="H565" s="624">
        <v>0</v>
      </c>
      <c r="I565" s="601">
        <v>0</v>
      </c>
      <c r="J565" s="638">
        <v>0</v>
      </c>
      <c r="K565" s="626">
        <v>0</v>
      </c>
      <c r="L565" s="626">
        <v>0</v>
      </c>
      <c r="M565" s="624">
        <v>0</v>
      </c>
      <c r="N565" s="601">
        <v>0</v>
      </c>
      <c r="O565" s="638">
        <v>0</v>
      </c>
      <c r="P565" s="624">
        <v>0</v>
      </c>
      <c r="Q565" s="601">
        <v>0</v>
      </c>
      <c r="R565" s="601">
        <v>0</v>
      </c>
      <c r="S565" s="626">
        <v>0</v>
      </c>
      <c r="T565" s="601">
        <v>0</v>
      </c>
      <c r="U565" s="601">
        <v>0</v>
      </c>
      <c r="V565" s="601">
        <v>0</v>
      </c>
      <c r="W565" s="626">
        <v>0</v>
      </c>
      <c r="X565"/>
    </row>
    <row r="566" spans="1:24" ht="15.5">
      <c r="B566" s="65" t="s">
        <v>131</v>
      </c>
      <c r="C566" s="626"/>
      <c r="D566" s="626"/>
      <c r="E566" s="626"/>
      <c r="F566" s="626"/>
      <c r="G566" s="626"/>
      <c r="H566" s="624"/>
      <c r="I566" s="601"/>
      <c r="J566" s="638"/>
      <c r="K566" s="626"/>
      <c r="L566" s="626"/>
      <c r="M566" s="624"/>
      <c r="N566" s="601"/>
      <c r="O566" s="638"/>
      <c r="P566" s="624"/>
      <c r="Q566" s="601"/>
      <c r="R566" s="601"/>
      <c r="S566" s="626"/>
      <c r="T566" s="601"/>
      <c r="U566" s="601"/>
      <c r="V566" s="601"/>
      <c r="W566" s="626"/>
      <c r="X566"/>
    </row>
    <row r="567" spans="1:24" ht="15.5">
      <c r="B567" s="65" t="s">
        <v>132</v>
      </c>
      <c r="C567" s="626"/>
      <c r="D567" s="626"/>
      <c r="E567" s="626"/>
      <c r="F567" s="626"/>
      <c r="G567" s="626"/>
      <c r="H567" s="624"/>
      <c r="I567" s="601"/>
      <c r="J567" s="638"/>
      <c r="K567" s="626"/>
      <c r="L567" s="626"/>
      <c r="M567" s="624"/>
      <c r="N567" s="601"/>
      <c r="O567" s="638"/>
      <c r="P567" s="624"/>
      <c r="Q567" s="601"/>
      <c r="R567" s="601"/>
      <c r="S567" s="626"/>
      <c r="T567" s="601"/>
      <c r="U567" s="601"/>
      <c r="V567" s="601"/>
      <c r="W567" s="626"/>
      <c r="X567"/>
    </row>
    <row r="568" spans="1:24" s="149" customFormat="1" ht="15.5">
      <c r="A568" s="128"/>
      <c r="B568" s="65" t="s">
        <v>133</v>
      </c>
      <c r="C568" s="626">
        <v>0</v>
      </c>
      <c r="D568" s="626">
        <v>0</v>
      </c>
      <c r="E568" s="626">
        <v>0</v>
      </c>
      <c r="F568" s="626">
        <v>0</v>
      </c>
      <c r="G568" s="626">
        <v>0</v>
      </c>
      <c r="H568" s="624">
        <v>0</v>
      </c>
      <c r="I568" s="601">
        <v>0</v>
      </c>
      <c r="J568" s="638">
        <v>0</v>
      </c>
      <c r="K568" s="626">
        <v>0</v>
      </c>
      <c r="L568" s="626">
        <v>0</v>
      </c>
      <c r="M568" s="624">
        <v>0</v>
      </c>
      <c r="N568" s="601">
        <v>0</v>
      </c>
      <c r="O568" s="638">
        <v>0</v>
      </c>
      <c r="P568" s="624">
        <v>0</v>
      </c>
      <c r="Q568" s="601">
        <v>0</v>
      </c>
      <c r="R568" s="601">
        <v>0</v>
      </c>
      <c r="S568" s="626">
        <v>0</v>
      </c>
      <c r="T568" s="601">
        <v>0</v>
      </c>
      <c r="U568" s="601">
        <v>0</v>
      </c>
      <c r="V568" s="601">
        <v>0</v>
      </c>
      <c r="W568" s="626">
        <v>0</v>
      </c>
      <c r="X568"/>
    </row>
    <row r="569" spans="1:24" ht="15.5">
      <c r="B569" s="65" t="s">
        <v>134</v>
      </c>
      <c r="C569" s="626"/>
      <c r="D569" s="626"/>
      <c r="E569" s="626"/>
      <c r="F569" s="626"/>
      <c r="G569" s="626"/>
      <c r="H569" s="624"/>
      <c r="I569" s="601"/>
      <c r="J569" s="638"/>
      <c r="K569" s="626"/>
      <c r="L569" s="626"/>
      <c r="M569" s="624"/>
      <c r="N569" s="601"/>
      <c r="O569" s="638"/>
      <c r="P569" s="624"/>
      <c r="Q569" s="601"/>
      <c r="R569" s="601"/>
      <c r="S569" s="626"/>
      <c r="T569" s="601"/>
      <c r="U569" s="601"/>
      <c r="V569" s="601"/>
      <c r="W569" s="626"/>
      <c r="X569"/>
    </row>
    <row r="570" spans="1:24" ht="15.5">
      <c r="B570" s="65" t="s">
        <v>135</v>
      </c>
      <c r="C570" s="626"/>
      <c r="D570" s="626"/>
      <c r="E570" s="626"/>
      <c r="F570" s="626"/>
      <c r="G570" s="626"/>
      <c r="H570" s="624"/>
      <c r="I570" s="601"/>
      <c r="J570" s="638"/>
      <c r="K570" s="626"/>
      <c r="L570" s="626"/>
      <c r="M570" s="624"/>
      <c r="N570" s="601"/>
      <c r="O570" s="638"/>
      <c r="P570" s="624"/>
      <c r="Q570" s="601"/>
      <c r="R570" s="601"/>
      <c r="S570" s="626"/>
      <c r="T570" s="601"/>
      <c r="U570" s="601"/>
      <c r="V570" s="601"/>
      <c r="W570" s="626"/>
      <c r="X570"/>
    </row>
    <row r="571" spans="1:24" s="149" customFormat="1" ht="15.5">
      <c r="A571" s="128"/>
      <c r="B571" s="65" t="s">
        <v>136</v>
      </c>
      <c r="C571" s="626">
        <v>0</v>
      </c>
      <c r="D571" s="626">
        <v>0</v>
      </c>
      <c r="E571" s="626">
        <v>0</v>
      </c>
      <c r="F571" s="626">
        <v>0</v>
      </c>
      <c r="G571" s="626">
        <v>0</v>
      </c>
      <c r="H571" s="624">
        <v>0</v>
      </c>
      <c r="I571" s="601">
        <v>0</v>
      </c>
      <c r="J571" s="638">
        <v>0</v>
      </c>
      <c r="K571" s="626">
        <v>0</v>
      </c>
      <c r="L571" s="626">
        <v>0</v>
      </c>
      <c r="M571" s="624">
        <v>0</v>
      </c>
      <c r="N571" s="601">
        <v>0</v>
      </c>
      <c r="O571" s="638">
        <v>0</v>
      </c>
      <c r="P571" s="624">
        <v>0</v>
      </c>
      <c r="Q571" s="601">
        <v>0</v>
      </c>
      <c r="R571" s="601">
        <v>0</v>
      </c>
      <c r="S571" s="626">
        <v>0</v>
      </c>
      <c r="T571" s="601">
        <v>0</v>
      </c>
      <c r="U571" s="601">
        <v>0</v>
      </c>
      <c r="V571" s="601">
        <v>0</v>
      </c>
      <c r="W571" s="626">
        <v>0</v>
      </c>
      <c r="X571"/>
    </row>
    <row r="572" spans="1:24" ht="15.5">
      <c r="B572" s="65" t="s">
        <v>137</v>
      </c>
      <c r="C572" s="626"/>
      <c r="D572" s="626"/>
      <c r="E572" s="626"/>
      <c r="F572" s="626"/>
      <c r="G572" s="626"/>
      <c r="H572" s="624"/>
      <c r="I572" s="601"/>
      <c r="J572" s="638"/>
      <c r="K572" s="626"/>
      <c r="L572" s="626"/>
      <c r="M572" s="624"/>
      <c r="N572" s="601"/>
      <c r="O572" s="638"/>
      <c r="P572" s="624"/>
      <c r="Q572" s="601"/>
      <c r="R572" s="601"/>
      <c r="S572" s="626"/>
      <c r="T572" s="601"/>
      <c r="U572" s="601"/>
      <c r="V572" s="601"/>
      <c r="W572" s="626"/>
      <c r="X572"/>
    </row>
    <row r="573" spans="1:24" ht="15.5">
      <c r="B573" s="65" t="s">
        <v>138</v>
      </c>
      <c r="C573" s="626"/>
      <c r="D573" s="626"/>
      <c r="E573" s="626"/>
      <c r="F573" s="626"/>
      <c r="G573" s="626"/>
      <c r="H573" s="624"/>
      <c r="I573" s="601"/>
      <c r="J573" s="638"/>
      <c r="K573" s="626"/>
      <c r="L573" s="626"/>
      <c r="M573" s="624"/>
      <c r="N573" s="601"/>
      <c r="O573" s="638"/>
      <c r="P573" s="624"/>
      <c r="Q573" s="601"/>
      <c r="R573" s="601"/>
      <c r="S573" s="626"/>
      <c r="T573" s="601"/>
      <c r="U573" s="601"/>
      <c r="V573" s="601"/>
      <c r="W573" s="626"/>
      <c r="X573"/>
    </row>
    <row r="574" spans="1:24" s="149" customFormat="1" ht="15.5">
      <c r="A574" s="128"/>
      <c r="B574" s="65" t="s">
        <v>139</v>
      </c>
      <c r="C574" s="626">
        <v>0</v>
      </c>
      <c r="D574" s="626">
        <v>0</v>
      </c>
      <c r="E574" s="626">
        <v>0</v>
      </c>
      <c r="F574" s="626">
        <v>0</v>
      </c>
      <c r="G574" s="626">
        <v>0</v>
      </c>
      <c r="H574" s="624">
        <v>0</v>
      </c>
      <c r="I574" s="601">
        <v>0</v>
      </c>
      <c r="J574" s="638">
        <v>0</v>
      </c>
      <c r="K574" s="626">
        <v>0</v>
      </c>
      <c r="L574" s="626">
        <v>0</v>
      </c>
      <c r="M574" s="624">
        <v>0</v>
      </c>
      <c r="N574" s="601">
        <v>0</v>
      </c>
      <c r="O574" s="638">
        <v>0</v>
      </c>
      <c r="P574" s="624">
        <v>0</v>
      </c>
      <c r="Q574" s="601">
        <v>0</v>
      </c>
      <c r="R574" s="601">
        <v>0</v>
      </c>
      <c r="S574" s="626">
        <v>0</v>
      </c>
      <c r="T574" s="601">
        <v>0</v>
      </c>
      <c r="U574" s="601">
        <v>0</v>
      </c>
      <c r="V574" s="601">
        <v>0</v>
      </c>
      <c r="W574" s="626">
        <v>0</v>
      </c>
      <c r="X574"/>
    </row>
    <row r="575" spans="1:24" ht="15.5">
      <c r="B575" s="65" t="s">
        <v>140</v>
      </c>
      <c r="C575" s="626"/>
      <c r="D575" s="626"/>
      <c r="E575" s="626"/>
      <c r="F575" s="626"/>
      <c r="G575" s="626"/>
      <c r="H575" s="624"/>
      <c r="I575" s="601"/>
      <c r="J575" s="638"/>
      <c r="K575" s="626"/>
      <c r="L575" s="626"/>
      <c r="M575" s="624"/>
      <c r="N575" s="601"/>
      <c r="O575" s="638"/>
      <c r="P575" s="624"/>
      <c r="Q575" s="601"/>
      <c r="R575" s="601"/>
      <c r="S575" s="626"/>
      <c r="T575" s="601"/>
      <c r="U575" s="601"/>
      <c r="V575" s="601"/>
      <c r="W575" s="626"/>
      <c r="X575"/>
    </row>
    <row r="576" spans="1:24" ht="15.5">
      <c r="B576" s="65" t="s">
        <v>141</v>
      </c>
      <c r="C576" s="626"/>
      <c r="D576" s="626"/>
      <c r="E576" s="626"/>
      <c r="F576" s="626"/>
      <c r="G576" s="626"/>
      <c r="H576" s="624"/>
      <c r="I576" s="601"/>
      <c r="J576" s="638"/>
      <c r="K576" s="626"/>
      <c r="L576" s="626"/>
      <c r="M576" s="624"/>
      <c r="N576" s="601"/>
      <c r="O576" s="638"/>
      <c r="P576" s="624"/>
      <c r="Q576" s="601"/>
      <c r="R576" s="601"/>
      <c r="S576" s="626"/>
      <c r="T576" s="601"/>
      <c r="U576" s="601"/>
      <c r="V576" s="601"/>
      <c r="W576" s="626"/>
      <c r="X576"/>
    </row>
    <row r="577" spans="1:24" s="149" customFormat="1" ht="15.5">
      <c r="A577" s="128"/>
      <c r="B577" s="65" t="s">
        <v>142</v>
      </c>
      <c r="C577" s="626">
        <v>0</v>
      </c>
      <c r="D577" s="626">
        <v>0</v>
      </c>
      <c r="E577" s="626">
        <v>0</v>
      </c>
      <c r="F577" s="626">
        <v>0</v>
      </c>
      <c r="G577" s="626">
        <v>0</v>
      </c>
      <c r="H577" s="624">
        <v>0</v>
      </c>
      <c r="I577" s="601">
        <v>0</v>
      </c>
      <c r="J577" s="638">
        <v>0</v>
      </c>
      <c r="K577" s="626">
        <v>0</v>
      </c>
      <c r="L577" s="626">
        <v>0</v>
      </c>
      <c r="M577" s="624">
        <v>0</v>
      </c>
      <c r="N577" s="601">
        <v>0</v>
      </c>
      <c r="O577" s="638">
        <v>0</v>
      </c>
      <c r="P577" s="624">
        <v>0</v>
      </c>
      <c r="Q577" s="601">
        <v>0</v>
      </c>
      <c r="R577" s="601">
        <v>0</v>
      </c>
      <c r="S577" s="626">
        <v>0</v>
      </c>
      <c r="T577" s="601">
        <v>0</v>
      </c>
      <c r="U577" s="601">
        <v>0</v>
      </c>
      <c r="V577" s="601">
        <v>0</v>
      </c>
      <c r="W577" s="626">
        <v>0</v>
      </c>
      <c r="X577"/>
    </row>
    <row r="578" spans="1:24" ht="15.5">
      <c r="B578" s="65" t="s">
        <v>143</v>
      </c>
      <c r="C578" s="626"/>
      <c r="D578" s="626"/>
      <c r="E578" s="626"/>
      <c r="F578" s="626"/>
      <c r="G578" s="626"/>
      <c r="H578" s="624"/>
      <c r="I578" s="601"/>
      <c r="J578" s="638"/>
      <c r="K578" s="626"/>
      <c r="L578" s="626"/>
      <c r="M578" s="624"/>
      <c r="N578" s="601"/>
      <c r="O578" s="638"/>
      <c r="P578" s="624"/>
      <c r="Q578" s="601"/>
      <c r="R578" s="601"/>
      <c r="S578" s="626"/>
      <c r="T578" s="601"/>
      <c r="U578" s="601"/>
      <c r="V578" s="601"/>
      <c r="W578" s="626"/>
      <c r="X578"/>
    </row>
    <row r="579" spans="1:24" ht="15.5">
      <c r="B579" s="65" t="s">
        <v>144</v>
      </c>
      <c r="C579" s="626"/>
      <c r="D579" s="626"/>
      <c r="E579" s="626"/>
      <c r="F579" s="626"/>
      <c r="G579" s="626"/>
      <c r="H579" s="624"/>
      <c r="I579" s="601"/>
      <c r="J579" s="638"/>
      <c r="K579" s="626"/>
      <c r="L579" s="626"/>
      <c r="M579" s="624"/>
      <c r="N579" s="601"/>
      <c r="O579" s="638"/>
      <c r="P579" s="624"/>
      <c r="Q579" s="601"/>
      <c r="R579" s="601"/>
      <c r="S579" s="626"/>
      <c r="T579" s="601"/>
      <c r="U579" s="601"/>
      <c r="V579" s="601"/>
      <c r="W579" s="626"/>
      <c r="X579"/>
    </row>
    <row r="580" spans="1:24" s="149" customFormat="1" ht="15.5">
      <c r="A580" s="128"/>
      <c r="B580" s="65" t="s">
        <v>145</v>
      </c>
      <c r="C580" s="626">
        <v>0</v>
      </c>
      <c r="D580" s="626">
        <v>0</v>
      </c>
      <c r="E580" s="626">
        <v>0</v>
      </c>
      <c r="F580" s="626">
        <v>0</v>
      </c>
      <c r="G580" s="626">
        <v>0</v>
      </c>
      <c r="H580" s="624">
        <v>0</v>
      </c>
      <c r="I580" s="601">
        <v>0</v>
      </c>
      <c r="J580" s="638">
        <v>0</v>
      </c>
      <c r="K580" s="626">
        <v>0</v>
      </c>
      <c r="L580" s="626">
        <v>0</v>
      </c>
      <c r="M580" s="624">
        <v>0</v>
      </c>
      <c r="N580" s="601">
        <v>0</v>
      </c>
      <c r="O580" s="638">
        <v>0</v>
      </c>
      <c r="P580" s="624">
        <v>0</v>
      </c>
      <c r="Q580" s="601">
        <v>0</v>
      </c>
      <c r="R580" s="601">
        <v>0</v>
      </c>
      <c r="S580" s="626">
        <v>0</v>
      </c>
      <c r="T580" s="601">
        <v>0</v>
      </c>
      <c r="U580" s="601">
        <v>0</v>
      </c>
      <c r="V580" s="601">
        <v>0</v>
      </c>
      <c r="W580" s="626">
        <v>0</v>
      </c>
      <c r="X580"/>
    </row>
    <row r="581" spans="1:24" ht="15.5">
      <c r="B581" s="65" t="s">
        <v>146</v>
      </c>
      <c r="C581" s="626"/>
      <c r="D581" s="626"/>
      <c r="E581" s="626"/>
      <c r="F581" s="626"/>
      <c r="G581" s="626"/>
      <c r="H581" s="624"/>
      <c r="I581" s="601"/>
      <c r="J581" s="638"/>
      <c r="K581" s="626"/>
      <c r="L581" s="626"/>
      <c r="M581" s="624"/>
      <c r="N581" s="601"/>
      <c r="O581" s="638"/>
      <c r="P581" s="624"/>
      <c r="Q581" s="601"/>
      <c r="R581" s="601"/>
      <c r="S581" s="626"/>
      <c r="T581" s="601"/>
      <c r="U581" s="601"/>
      <c r="V581" s="601"/>
      <c r="W581" s="626"/>
      <c r="X581"/>
    </row>
    <row r="582" spans="1:24" ht="15.5">
      <c r="B582" s="65" t="s">
        <v>147</v>
      </c>
      <c r="C582" s="626"/>
      <c r="D582" s="626"/>
      <c r="E582" s="626"/>
      <c r="F582" s="626"/>
      <c r="G582" s="626"/>
      <c r="H582" s="624"/>
      <c r="I582" s="601"/>
      <c r="J582" s="638"/>
      <c r="K582" s="626"/>
      <c r="L582" s="626"/>
      <c r="M582" s="624"/>
      <c r="N582" s="601"/>
      <c r="O582" s="638"/>
      <c r="P582" s="624"/>
      <c r="Q582" s="601"/>
      <c r="R582" s="601"/>
      <c r="S582" s="626"/>
      <c r="T582" s="601"/>
      <c r="U582" s="601"/>
      <c r="V582" s="601"/>
      <c r="W582" s="626"/>
      <c r="X582"/>
    </row>
    <row r="583" spans="1:24" s="149" customFormat="1" ht="15.5">
      <c r="A583" s="128"/>
      <c r="B583" s="65" t="s">
        <v>148</v>
      </c>
      <c r="C583" s="626">
        <v>0</v>
      </c>
      <c r="D583" s="626">
        <v>0</v>
      </c>
      <c r="E583" s="626">
        <v>0</v>
      </c>
      <c r="F583" s="626">
        <v>0</v>
      </c>
      <c r="G583" s="626">
        <v>0</v>
      </c>
      <c r="H583" s="624">
        <v>0</v>
      </c>
      <c r="I583" s="601">
        <v>0</v>
      </c>
      <c r="J583" s="638">
        <v>0</v>
      </c>
      <c r="K583" s="626">
        <v>0</v>
      </c>
      <c r="L583" s="626">
        <v>0</v>
      </c>
      <c r="M583" s="624">
        <v>0</v>
      </c>
      <c r="N583" s="601">
        <v>0</v>
      </c>
      <c r="O583" s="638">
        <v>0</v>
      </c>
      <c r="P583" s="624">
        <v>0</v>
      </c>
      <c r="Q583" s="601">
        <v>0</v>
      </c>
      <c r="R583" s="601">
        <v>0</v>
      </c>
      <c r="S583" s="626">
        <v>0</v>
      </c>
      <c r="T583" s="601">
        <v>0</v>
      </c>
      <c r="U583" s="601">
        <v>0</v>
      </c>
      <c r="V583" s="601">
        <v>0</v>
      </c>
      <c r="W583" s="626">
        <v>0</v>
      </c>
      <c r="X583"/>
    </row>
    <row r="584" spans="1:24" ht="16" thickBot="1">
      <c r="B584" s="65" t="s">
        <v>149</v>
      </c>
      <c r="C584" s="626"/>
      <c r="D584" s="626"/>
      <c r="E584" s="626"/>
      <c r="F584" s="626"/>
      <c r="G584" s="626"/>
      <c r="H584" s="624"/>
      <c r="I584" s="601"/>
      <c r="J584" s="638"/>
      <c r="K584" s="626"/>
      <c r="L584" s="626"/>
      <c r="M584" s="624"/>
      <c r="N584" s="601"/>
      <c r="O584" s="638"/>
      <c r="P584" s="624"/>
      <c r="Q584" s="601"/>
      <c r="R584" s="601"/>
      <c r="S584" s="626"/>
      <c r="T584" s="601"/>
      <c r="U584" s="601"/>
      <c r="V584" s="601"/>
      <c r="W584" s="626"/>
      <c r="X584"/>
    </row>
    <row r="585" spans="1:24" ht="16" thickBot="1">
      <c r="B585" s="65" t="s">
        <v>150</v>
      </c>
      <c r="C585" s="626"/>
      <c r="D585" s="626"/>
      <c r="E585" s="626"/>
      <c r="F585" s="626"/>
      <c r="G585" s="669"/>
      <c r="H585" s="624"/>
      <c r="I585" s="601"/>
      <c r="J585" s="638"/>
      <c r="K585" s="626"/>
      <c r="L585" s="626"/>
      <c r="M585" s="624"/>
      <c r="N585" s="601"/>
      <c r="O585" s="638"/>
      <c r="P585" s="624"/>
      <c r="Q585" s="601"/>
      <c r="R585" s="601"/>
      <c r="S585" s="626"/>
      <c r="T585" s="601"/>
      <c r="U585" s="601"/>
      <c r="V585" s="601"/>
      <c r="W585" s="626"/>
      <c r="X585"/>
    </row>
    <row r="586" spans="1:24" s="149" customFormat="1" ht="16" thickBot="1">
      <c r="A586" s="128"/>
      <c r="B586" s="65" t="s">
        <v>151</v>
      </c>
      <c r="C586" s="657">
        <v>0</v>
      </c>
      <c r="D586" s="626">
        <v>0</v>
      </c>
      <c r="E586" s="626">
        <v>0</v>
      </c>
      <c r="F586" s="626">
        <v>0</v>
      </c>
      <c r="G586" s="626">
        <v>0</v>
      </c>
      <c r="H586" s="624">
        <v>0</v>
      </c>
      <c r="I586" s="601">
        <v>0</v>
      </c>
      <c r="J586" s="638">
        <v>0</v>
      </c>
      <c r="K586" s="626">
        <v>0</v>
      </c>
      <c r="L586" s="626">
        <v>0</v>
      </c>
      <c r="M586" s="624">
        <v>0</v>
      </c>
      <c r="N586" s="601">
        <v>0</v>
      </c>
      <c r="O586" s="638">
        <v>0</v>
      </c>
      <c r="P586" s="624">
        <v>0</v>
      </c>
      <c r="Q586" s="601">
        <v>0</v>
      </c>
      <c r="R586" s="601">
        <v>0</v>
      </c>
      <c r="S586" s="626">
        <v>0</v>
      </c>
      <c r="T586" s="601">
        <v>0</v>
      </c>
      <c r="U586" s="601">
        <v>0</v>
      </c>
      <c r="V586" s="601">
        <v>0</v>
      </c>
      <c r="W586" s="626">
        <v>0</v>
      </c>
      <c r="X586"/>
    </row>
    <row r="587" spans="1:24" ht="15.5">
      <c r="B587" s="65" t="s">
        <v>152</v>
      </c>
      <c r="C587" s="626"/>
      <c r="D587" s="626"/>
      <c r="E587" s="626"/>
      <c r="F587" s="626"/>
      <c r="G587" s="626"/>
      <c r="H587" s="624"/>
      <c r="I587" s="601"/>
      <c r="J587" s="638"/>
      <c r="K587" s="626"/>
      <c r="L587" s="626"/>
      <c r="M587" s="624"/>
      <c r="N587" s="601"/>
      <c r="O587" s="638"/>
      <c r="P587" s="624"/>
      <c r="Q587" s="601"/>
      <c r="R587" s="601"/>
      <c r="S587" s="626"/>
      <c r="T587" s="601"/>
      <c r="U587" s="601"/>
      <c r="V587" s="601"/>
      <c r="W587" s="626"/>
      <c r="X587"/>
    </row>
    <row r="588" spans="1:24" s="149" customFormat="1" ht="15.5">
      <c r="A588" s="128"/>
      <c r="B588" s="65" t="s">
        <v>153</v>
      </c>
      <c r="C588" s="626"/>
      <c r="D588" s="626"/>
      <c r="E588" s="626"/>
      <c r="F588" s="626"/>
      <c r="G588" s="626"/>
      <c r="H588" s="624"/>
      <c r="I588" s="601"/>
      <c r="J588" s="638"/>
      <c r="K588" s="626"/>
      <c r="L588" s="626"/>
      <c r="M588" s="624"/>
      <c r="N588" s="601"/>
      <c r="O588" s="638"/>
      <c r="P588" s="624"/>
      <c r="Q588" s="601"/>
      <c r="R588" s="601"/>
      <c r="S588" s="626"/>
      <c r="T588" s="601"/>
      <c r="U588" s="601"/>
      <c r="V588" s="601"/>
      <c r="W588" s="626"/>
      <c r="X588"/>
    </row>
    <row r="589" spans="1:24" ht="15.5">
      <c r="A589" s="128" t="s">
        <v>164</v>
      </c>
      <c r="B589" s="131" t="s">
        <v>101</v>
      </c>
      <c r="C589" s="626">
        <v>172</v>
      </c>
      <c r="D589" s="626"/>
      <c r="E589" s="626"/>
      <c r="F589" s="626"/>
      <c r="G589" s="626"/>
      <c r="H589" s="624">
        <v>3</v>
      </c>
      <c r="I589" s="601">
        <v>175</v>
      </c>
      <c r="J589" s="638"/>
      <c r="K589" s="626">
        <v>3056</v>
      </c>
      <c r="L589" s="626">
        <v>3235</v>
      </c>
      <c r="M589" s="624">
        <v>981</v>
      </c>
      <c r="N589" s="601">
        <v>7272</v>
      </c>
      <c r="O589" s="638"/>
      <c r="P589" s="624"/>
      <c r="Q589" s="601"/>
      <c r="R589" s="601"/>
      <c r="S589" s="626"/>
      <c r="T589" s="601"/>
      <c r="U589" s="601"/>
      <c r="V589" s="601"/>
      <c r="W589" s="626">
        <v>7447</v>
      </c>
      <c r="X589"/>
    </row>
    <row r="590" spans="1:24" ht="16" thickBot="1">
      <c r="B590" s="131" t="s">
        <v>102</v>
      </c>
      <c r="C590" s="626">
        <v>177</v>
      </c>
      <c r="D590" s="626"/>
      <c r="E590" s="626">
        <v>2</v>
      </c>
      <c r="F590" s="626"/>
      <c r="G590" s="626"/>
      <c r="H590" s="624">
        <v>5</v>
      </c>
      <c r="I590" s="601">
        <v>184</v>
      </c>
      <c r="J590" s="638"/>
      <c r="K590" s="626">
        <v>3049</v>
      </c>
      <c r="L590" s="626">
        <v>3744</v>
      </c>
      <c r="M590" s="624">
        <v>917</v>
      </c>
      <c r="N590" s="601">
        <v>7710</v>
      </c>
      <c r="O590" s="638"/>
      <c r="P590" s="624"/>
      <c r="Q590" s="601"/>
      <c r="R590" s="601"/>
      <c r="S590" s="626"/>
      <c r="T590" s="601"/>
      <c r="U590" s="601"/>
      <c r="V590" s="601"/>
      <c r="W590" s="626">
        <v>7894</v>
      </c>
      <c r="X590"/>
    </row>
    <row r="591" spans="1:24" s="149" customFormat="1" ht="16" thickBot="1">
      <c r="A591" s="128"/>
      <c r="B591" s="131" t="s">
        <v>103</v>
      </c>
      <c r="C591" s="648">
        <v>2.9069767441860465E-2</v>
      </c>
      <c r="D591" s="626">
        <v>0</v>
      </c>
      <c r="E591" s="626">
        <v>0</v>
      </c>
      <c r="F591" s="626">
        <v>0</v>
      </c>
      <c r="G591" s="626">
        <v>0</v>
      </c>
      <c r="H591" s="624">
        <v>0.66666666666666663</v>
      </c>
      <c r="I591" s="601">
        <v>5.1428571428571428E-2</v>
      </c>
      <c r="J591" s="638">
        <v>0</v>
      </c>
      <c r="K591" s="626">
        <v>-2.2905759162303663E-3</v>
      </c>
      <c r="L591" s="657">
        <v>0.15734157650695518</v>
      </c>
      <c r="M591" s="663">
        <v>-6.5239551478083593E-2</v>
      </c>
      <c r="N591" s="601">
        <v>6.0231023102310231E-2</v>
      </c>
      <c r="O591" s="638">
        <v>0</v>
      </c>
      <c r="P591" s="624">
        <v>0</v>
      </c>
      <c r="Q591" s="601">
        <v>0</v>
      </c>
      <c r="R591" s="601">
        <v>0</v>
      </c>
      <c r="S591" s="626">
        <v>0</v>
      </c>
      <c r="T591" s="601">
        <v>0</v>
      </c>
      <c r="U591" s="601">
        <v>0</v>
      </c>
      <c r="V591" s="601">
        <v>0</v>
      </c>
      <c r="W591" s="626">
        <v>6.0024170807036391E-2</v>
      </c>
      <c r="X591"/>
    </row>
    <row r="592" spans="1:24" ht="15.5">
      <c r="B592" s="65" t="s">
        <v>104</v>
      </c>
      <c r="C592" s="626"/>
      <c r="D592" s="626"/>
      <c r="E592" s="626"/>
      <c r="F592" s="626"/>
      <c r="G592" s="626"/>
      <c r="H592" s="624"/>
      <c r="I592" s="601"/>
      <c r="J592" s="638"/>
      <c r="K592" s="626"/>
      <c r="L592" s="626"/>
      <c r="M592" s="624"/>
      <c r="N592" s="601"/>
      <c r="O592" s="638"/>
      <c r="P592" s="624"/>
      <c r="Q592" s="601"/>
      <c r="R592" s="601"/>
      <c r="S592" s="626"/>
      <c r="T592" s="601"/>
      <c r="U592" s="601"/>
      <c r="V592" s="601"/>
      <c r="W592" s="626"/>
      <c r="X592"/>
    </row>
    <row r="593" spans="1:24" ht="15.5">
      <c r="B593" s="65" t="s">
        <v>105</v>
      </c>
      <c r="C593" s="626"/>
      <c r="D593" s="626"/>
      <c r="E593" s="626"/>
      <c r="F593" s="626"/>
      <c r="G593" s="626"/>
      <c r="H593" s="624"/>
      <c r="I593" s="601"/>
      <c r="J593" s="638"/>
      <c r="K593" s="626"/>
      <c r="L593" s="626"/>
      <c r="M593" s="624"/>
      <c r="N593" s="601"/>
      <c r="O593" s="638"/>
      <c r="P593" s="624"/>
      <c r="Q593" s="601"/>
      <c r="R593" s="601"/>
      <c r="S593" s="626"/>
      <c r="T593" s="601"/>
      <c r="U593" s="601"/>
      <c r="V593" s="601"/>
      <c r="W593" s="626"/>
      <c r="X593"/>
    </row>
    <row r="594" spans="1:24" s="149" customFormat="1" ht="15.5">
      <c r="A594" s="128"/>
      <c r="B594" s="65" t="s">
        <v>106</v>
      </c>
      <c r="C594" s="648">
        <v>0</v>
      </c>
      <c r="D594" s="626">
        <v>0</v>
      </c>
      <c r="E594" s="626">
        <v>0</v>
      </c>
      <c r="F594" s="626">
        <v>0</v>
      </c>
      <c r="G594" s="626">
        <v>0</v>
      </c>
      <c r="H594" s="624">
        <v>0</v>
      </c>
      <c r="I594" s="601">
        <v>0</v>
      </c>
      <c r="J594" s="638">
        <v>0</v>
      </c>
      <c r="K594" s="626">
        <v>0</v>
      </c>
      <c r="L594" s="626">
        <v>0</v>
      </c>
      <c r="M594" s="624">
        <v>0</v>
      </c>
      <c r="N594" s="601">
        <v>0</v>
      </c>
      <c r="O594" s="638">
        <v>0</v>
      </c>
      <c r="P594" s="624">
        <v>0</v>
      </c>
      <c r="Q594" s="601">
        <v>0</v>
      </c>
      <c r="R594" s="601">
        <v>0</v>
      </c>
      <c r="S594" s="626">
        <v>0</v>
      </c>
      <c r="T594" s="601">
        <v>0</v>
      </c>
      <c r="U594" s="601">
        <v>0</v>
      </c>
      <c r="V594" s="601">
        <v>0</v>
      </c>
      <c r="W594" s="626">
        <v>0</v>
      </c>
      <c r="X594"/>
    </row>
    <row r="595" spans="1:24" ht="15.5">
      <c r="B595" s="65" t="s">
        <v>107</v>
      </c>
      <c r="C595" s="626"/>
      <c r="D595" s="626"/>
      <c r="E595" s="626"/>
      <c r="F595" s="626"/>
      <c r="G595" s="626"/>
      <c r="H595" s="624">
        <v>1</v>
      </c>
      <c r="I595" s="601">
        <v>1</v>
      </c>
      <c r="J595" s="638"/>
      <c r="K595" s="626">
        <v>4846</v>
      </c>
      <c r="L595" s="626">
        <v>3468</v>
      </c>
      <c r="M595" s="624">
        <v>1432</v>
      </c>
      <c r="N595" s="601">
        <v>9746</v>
      </c>
      <c r="O595" s="638"/>
      <c r="P595" s="624"/>
      <c r="Q595" s="601"/>
      <c r="R595" s="601"/>
      <c r="S595" s="626"/>
      <c r="T595" s="601"/>
      <c r="U595" s="601"/>
      <c r="V595" s="601"/>
      <c r="W595" s="626">
        <v>9747</v>
      </c>
      <c r="X595"/>
    </row>
    <row r="596" spans="1:24" ht="16" thickBot="1">
      <c r="B596" s="65" t="s">
        <v>108</v>
      </c>
      <c r="C596" s="626">
        <v>4</v>
      </c>
      <c r="D596" s="626"/>
      <c r="E596" s="626"/>
      <c r="F596" s="626"/>
      <c r="G596" s="626"/>
      <c r="H596" s="624"/>
      <c r="I596" s="601">
        <v>4</v>
      </c>
      <c r="J596" s="638"/>
      <c r="K596" s="626">
        <v>4858</v>
      </c>
      <c r="L596" s="626">
        <v>3595</v>
      </c>
      <c r="M596" s="624">
        <v>1416</v>
      </c>
      <c r="N596" s="601">
        <v>9869</v>
      </c>
      <c r="O596" s="638"/>
      <c r="P596" s="624"/>
      <c r="Q596" s="601"/>
      <c r="R596" s="601"/>
      <c r="S596" s="626"/>
      <c r="T596" s="601"/>
      <c r="U596" s="601"/>
      <c r="V596" s="601"/>
      <c r="W596" s="626">
        <v>9873</v>
      </c>
      <c r="X596"/>
    </row>
    <row r="597" spans="1:24" s="149" customFormat="1" ht="16" thickBot="1">
      <c r="A597" s="128"/>
      <c r="B597" s="65" t="s">
        <v>109</v>
      </c>
      <c r="C597" s="626">
        <v>0</v>
      </c>
      <c r="D597" s="626">
        <v>0</v>
      </c>
      <c r="E597" s="626">
        <v>0</v>
      </c>
      <c r="F597" s="626">
        <v>0</v>
      </c>
      <c r="G597" s="626">
        <v>0</v>
      </c>
      <c r="H597" s="624">
        <v>-1</v>
      </c>
      <c r="I597" s="601">
        <v>3</v>
      </c>
      <c r="J597" s="638">
        <v>0</v>
      </c>
      <c r="K597" s="626">
        <v>2.4762690879075525E-3</v>
      </c>
      <c r="L597" s="626">
        <v>3.6620530565167245E-2</v>
      </c>
      <c r="M597" s="624">
        <v>-1.11731843575419E-2</v>
      </c>
      <c r="N597" s="601">
        <v>1.2620562281961831E-2</v>
      </c>
      <c r="O597" s="638">
        <v>0</v>
      </c>
      <c r="P597" s="624">
        <v>0</v>
      </c>
      <c r="Q597" s="601">
        <v>0</v>
      </c>
      <c r="R597" s="601">
        <v>0</v>
      </c>
      <c r="S597" s="626">
        <v>0</v>
      </c>
      <c r="T597" s="601">
        <v>0</v>
      </c>
      <c r="U597" s="601">
        <v>0</v>
      </c>
      <c r="V597" s="601">
        <v>0</v>
      </c>
      <c r="W597" s="626">
        <v>1.2927054478301015E-2</v>
      </c>
      <c r="X597"/>
    </row>
    <row r="598" spans="1:24" ht="15.5">
      <c r="B598" s="65" t="s">
        <v>110</v>
      </c>
      <c r="C598" s="626">
        <v>10670</v>
      </c>
      <c r="D598" s="626"/>
      <c r="E598" s="626">
        <v>3852</v>
      </c>
      <c r="F598" s="626">
        <v>1892</v>
      </c>
      <c r="G598" s="626">
        <v>860</v>
      </c>
      <c r="H598" s="624">
        <v>2681</v>
      </c>
      <c r="I598" s="601">
        <v>19955</v>
      </c>
      <c r="J598" s="638"/>
      <c r="K598" s="626"/>
      <c r="L598" s="626"/>
      <c r="M598" s="624"/>
      <c r="N598" s="601"/>
      <c r="O598" s="638"/>
      <c r="P598" s="624"/>
      <c r="Q598" s="601"/>
      <c r="R598" s="601"/>
      <c r="S598" s="626">
        <v>223</v>
      </c>
      <c r="T598" s="601">
        <v>223</v>
      </c>
      <c r="U598" s="601"/>
      <c r="V598" s="601"/>
      <c r="W598" s="626">
        <v>20178</v>
      </c>
      <c r="X598"/>
    </row>
    <row r="599" spans="1:24" ht="15.5">
      <c r="B599" s="65" t="s">
        <v>111</v>
      </c>
      <c r="C599" s="626">
        <v>11070</v>
      </c>
      <c r="D599" s="626"/>
      <c r="E599" s="626">
        <v>3876</v>
      </c>
      <c r="F599" s="626">
        <v>1986</v>
      </c>
      <c r="G599" s="626">
        <v>873</v>
      </c>
      <c r="H599" s="624">
        <v>2745</v>
      </c>
      <c r="I599" s="601">
        <v>20550</v>
      </c>
      <c r="J599" s="638"/>
      <c r="K599" s="626"/>
      <c r="L599" s="626"/>
      <c r="M599" s="624"/>
      <c r="N599" s="601"/>
      <c r="O599" s="638"/>
      <c r="P599" s="624"/>
      <c r="Q599" s="601"/>
      <c r="R599" s="601"/>
      <c r="S599" s="626">
        <v>213</v>
      </c>
      <c r="T599" s="601">
        <v>213</v>
      </c>
      <c r="U599" s="601"/>
      <c r="V599" s="601"/>
      <c r="W599" s="626">
        <v>20763</v>
      </c>
      <c r="X599"/>
    </row>
    <row r="600" spans="1:24" s="149" customFormat="1" ht="15.5">
      <c r="A600" s="128"/>
      <c r="B600" s="65" t="s">
        <v>112</v>
      </c>
      <c r="C600" s="626">
        <v>3.7488284910965321E-2</v>
      </c>
      <c r="D600" s="626">
        <v>0</v>
      </c>
      <c r="E600" s="626">
        <v>6.2305295950155761E-3</v>
      </c>
      <c r="F600" s="626">
        <v>4.9682875264270614E-2</v>
      </c>
      <c r="G600" s="626">
        <v>1.5116279069767442E-2</v>
      </c>
      <c r="H600" s="624">
        <v>2.3871689668034317E-2</v>
      </c>
      <c r="I600" s="601">
        <v>2.9817088449010272E-2</v>
      </c>
      <c r="J600" s="638">
        <v>0</v>
      </c>
      <c r="K600" s="626">
        <v>0</v>
      </c>
      <c r="L600" s="626">
        <v>0</v>
      </c>
      <c r="M600" s="624">
        <v>0</v>
      </c>
      <c r="N600" s="601">
        <v>0</v>
      </c>
      <c r="O600" s="638">
        <v>0</v>
      </c>
      <c r="P600" s="624">
        <v>0</v>
      </c>
      <c r="Q600" s="601">
        <v>0</v>
      </c>
      <c r="R600" s="601">
        <v>0</v>
      </c>
      <c r="S600" s="648">
        <v>-4.4843049327354258E-2</v>
      </c>
      <c r="T600" s="601">
        <v>-4.4843049327354258E-2</v>
      </c>
      <c r="U600" s="601">
        <v>0</v>
      </c>
      <c r="V600" s="601">
        <v>0</v>
      </c>
      <c r="W600" s="626">
        <v>2.8991971454058876E-2</v>
      </c>
      <c r="X600"/>
    </row>
    <row r="601" spans="1:24" ht="15.5">
      <c r="B601" s="65" t="s">
        <v>113</v>
      </c>
      <c r="C601" s="626">
        <v>338</v>
      </c>
      <c r="D601" s="626"/>
      <c r="E601" s="626">
        <v>149</v>
      </c>
      <c r="F601" s="626">
        <v>2</v>
      </c>
      <c r="G601" s="626"/>
      <c r="H601" s="624">
        <v>6</v>
      </c>
      <c r="I601" s="601">
        <v>495</v>
      </c>
      <c r="J601" s="638"/>
      <c r="K601" s="626"/>
      <c r="L601" s="626"/>
      <c r="M601" s="624"/>
      <c r="N601" s="601"/>
      <c r="O601" s="638"/>
      <c r="P601" s="624"/>
      <c r="Q601" s="601"/>
      <c r="R601" s="601"/>
      <c r="S601" s="626">
        <v>1</v>
      </c>
      <c r="T601" s="601">
        <v>1</v>
      </c>
      <c r="U601" s="601"/>
      <c r="V601" s="601"/>
      <c r="W601" s="626">
        <v>496</v>
      </c>
      <c r="X601"/>
    </row>
    <row r="602" spans="1:24" ht="16" thickBot="1">
      <c r="B602" s="65" t="s">
        <v>114</v>
      </c>
      <c r="C602" s="626">
        <v>338</v>
      </c>
      <c r="D602" s="626"/>
      <c r="E602" s="626">
        <v>91</v>
      </c>
      <c r="F602" s="626">
        <v>1</v>
      </c>
      <c r="G602" s="648"/>
      <c r="H602" s="624">
        <v>2</v>
      </c>
      <c r="I602" s="601">
        <v>432</v>
      </c>
      <c r="J602" s="638"/>
      <c r="K602" s="626"/>
      <c r="L602" s="626"/>
      <c r="M602" s="624"/>
      <c r="N602" s="601"/>
      <c r="O602" s="638"/>
      <c r="P602" s="624"/>
      <c r="Q602" s="601"/>
      <c r="R602" s="601"/>
      <c r="S602" s="626"/>
      <c r="T602" s="601"/>
      <c r="U602" s="601"/>
      <c r="V602" s="601"/>
      <c r="W602" s="626">
        <v>432</v>
      </c>
      <c r="X602"/>
    </row>
    <row r="603" spans="1:24" s="149" customFormat="1" ht="16" thickBot="1">
      <c r="A603" s="128"/>
      <c r="B603" s="65" t="s">
        <v>115</v>
      </c>
      <c r="C603" s="662">
        <v>0</v>
      </c>
      <c r="D603" s="626">
        <v>0</v>
      </c>
      <c r="E603" s="648">
        <v>-0.38926174496644295</v>
      </c>
      <c r="F603" s="626">
        <v>-0.5</v>
      </c>
      <c r="G603" s="626">
        <v>0</v>
      </c>
      <c r="H603" s="649">
        <v>-0.66666666666666663</v>
      </c>
      <c r="I603" s="601">
        <v>-0.12727272727272726</v>
      </c>
      <c r="J603" s="638">
        <v>0</v>
      </c>
      <c r="K603" s="626">
        <v>0</v>
      </c>
      <c r="L603" s="626">
        <v>0</v>
      </c>
      <c r="M603" s="624">
        <v>0</v>
      </c>
      <c r="N603" s="601">
        <v>0</v>
      </c>
      <c r="O603" s="638">
        <v>0</v>
      </c>
      <c r="P603" s="624">
        <v>0</v>
      </c>
      <c r="Q603" s="601">
        <v>0</v>
      </c>
      <c r="R603" s="601">
        <v>0</v>
      </c>
      <c r="S603" s="648">
        <v>-1</v>
      </c>
      <c r="T603" s="601">
        <v>-1</v>
      </c>
      <c r="U603" s="601">
        <v>0</v>
      </c>
      <c r="V603" s="601">
        <v>0</v>
      </c>
      <c r="W603" s="626">
        <v>-0.12903225806451613</v>
      </c>
      <c r="X603"/>
    </row>
    <row r="604" spans="1:24" ht="15.5">
      <c r="B604" s="65" t="s">
        <v>116</v>
      </c>
      <c r="C604" s="626">
        <v>3395</v>
      </c>
      <c r="D604" s="626"/>
      <c r="E604" s="626">
        <v>846</v>
      </c>
      <c r="F604" s="626">
        <v>317</v>
      </c>
      <c r="G604" s="626">
        <v>267</v>
      </c>
      <c r="H604" s="624">
        <v>90</v>
      </c>
      <c r="I604" s="601">
        <v>4915</v>
      </c>
      <c r="J604" s="638"/>
      <c r="K604" s="626">
        <v>0</v>
      </c>
      <c r="L604" s="626">
        <v>0</v>
      </c>
      <c r="M604" s="624">
        <v>0</v>
      </c>
      <c r="N604" s="601">
        <v>0</v>
      </c>
      <c r="O604" s="638"/>
      <c r="P604" s="624"/>
      <c r="Q604" s="601"/>
      <c r="R604" s="601"/>
      <c r="S604" s="626">
        <v>324</v>
      </c>
      <c r="T604" s="601">
        <v>324</v>
      </c>
      <c r="U604" s="601"/>
      <c r="V604" s="601"/>
      <c r="W604" s="626">
        <v>5239</v>
      </c>
      <c r="X604"/>
    </row>
    <row r="605" spans="1:24" ht="16" thickBot="1">
      <c r="B605" s="65" t="s">
        <v>117</v>
      </c>
      <c r="C605" s="626">
        <v>3385</v>
      </c>
      <c r="D605" s="626"/>
      <c r="E605" s="626">
        <v>832</v>
      </c>
      <c r="F605" s="626">
        <v>289</v>
      </c>
      <c r="G605" s="626">
        <v>212</v>
      </c>
      <c r="H605" s="624">
        <v>117</v>
      </c>
      <c r="I605" s="601">
        <v>4835</v>
      </c>
      <c r="J605" s="638"/>
      <c r="K605" s="626">
        <v>0</v>
      </c>
      <c r="L605" s="626">
        <v>0</v>
      </c>
      <c r="M605" s="624">
        <v>0</v>
      </c>
      <c r="N605" s="601">
        <v>0</v>
      </c>
      <c r="O605" s="638"/>
      <c r="P605" s="624"/>
      <c r="Q605" s="601"/>
      <c r="R605" s="601"/>
      <c r="S605" s="626">
        <v>257</v>
      </c>
      <c r="T605" s="601">
        <v>257</v>
      </c>
      <c r="U605" s="601"/>
      <c r="V605" s="601"/>
      <c r="W605" s="626">
        <v>5092</v>
      </c>
      <c r="X605"/>
    </row>
    <row r="606" spans="1:24" s="149" customFormat="1" ht="16" thickBot="1">
      <c r="A606" s="128"/>
      <c r="B606" s="65" t="s">
        <v>118</v>
      </c>
      <c r="C606" s="626">
        <v>-2.9455081001472753E-3</v>
      </c>
      <c r="D606" s="626">
        <v>0</v>
      </c>
      <c r="E606" s="626">
        <v>-1.6548463356973995E-2</v>
      </c>
      <c r="F606" s="626">
        <v>-8.8328075709779186E-2</v>
      </c>
      <c r="G606" s="626">
        <v>-0.20599250936329588</v>
      </c>
      <c r="H606" s="624">
        <v>0.3</v>
      </c>
      <c r="I606" s="601">
        <v>-1.6276703967446592E-2</v>
      </c>
      <c r="J606" s="638">
        <v>0</v>
      </c>
      <c r="K606" s="626">
        <v>0</v>
      </c>
      <c r="L606" s="626">
        <v>0</v>
      </c>
      <c r="M606" s="624">
        <v>0</v>
      </c>
      <c r="N606" s="601">
        <v>0</v>
      </c>
      <c r="O606" s="638">
        <v>0</v>
      </c>
      <c r="P606" s="624">
        <v>0</v>
      </c>
      <c r="Q606" s="601">
        <v>0</v>
      </c>
      <c r="R606" s="601">
        <v>0</v>
      </c>
      <c r="S606" s="662">
        <v>-0.20679012345679013</v>
      </c>
      <c r="T606" s="601">
        <v>-0.20679012345679013</v>
      </c>
      <c r="U606" s="601">
        <v>0</v>
      </c>
      <c r="V606" s="601">
        <v>0</v>
      </c>
      <c r="W606" s="626">
        <v>-2.8058789845390342E-2</v>
      </c>
      <c r="X606"/>
    </row>
    <row r="607" spans="1:24" ht="15.5">
      <c r="B607" s="65" t="s">
        <v>119</v>
      </c>
      <c r="C607" s="626">
        <v>674</v>
      </c>
      <c r="D607" s="626"/>
      <c r="E607" s="626">
        <v>0</v>
      </c>
      <c r="F607" s="626">
        <v>0</v>
      </c>
      <c r="G607" s="626">
        <v>14</v>
      </c>
      <c r="H607" s="624">
        <v>0</v>
      </c>
      <c r="I607" s="601">
        <v>688</v>
      </c>
      <c r="J607" s="638"/>
      <c r="K607" s="626">
        <v>0</v>
      </c>
      <c r="L607" s="626">
        <v>0</v>
      </c>
      <c r="M607" s="624">
        <v>0</v>
      </c>
      <c r="N607" s="601">
        <v>0</v>
      </c>
      <c r="O607" s="638"/>
      <c r="P607" s="624"/>
      <c r="Q607" s="601"/>
      <c r="R607" s="601"/>
      <c r="S607" s="626">
        <v>150</v>
      </c>
      <c r="T607" s="601">
        <v>150</v>
      </c>
      <c r="U607" s="601"/>
      <c r="V607" s="601"/>
      <c r="W607" s="626">
        <v>838</v>
      </c>
      <c r="X607"/>
    </row>
    <row r="608" spans="1:24" ht="16" thickBot="1">
      <c r="B608" s="65" t="s">
        <v>120</v>
      </c>
      <c r="C608" s="626">
        <v>687</v>
      </c>
      <c r="D608" s="626"/>
      <c r="E608" s="626">
        <v>0</v>
      </c>
      <c r="F608" s="626">
        <v>1</v>
      </c>
      <c r="G608" s="626">
        <v>17</v>
      </c>
      <c r="H608" s="624">
        <v>0</v>
      </c>
      <c r="I608" s="601">
        <v>705</v>
      </c>
      <c r="J608" s="638"/>
      <c r="K608" s="626">
        <v>0</v>
      </c>
      <c r="L608" s="626">
        <v>0</v>
      </c>
      <c r="M608" s="624">
        <v>0</v>
      </c>
      <c r="N608" s="601">
        <v>0</v>
      </c>
      <c r="O608" s="638"/>
      <c r="P608" s="624"/>
      <c r="Q608" s="601"/>
      <c r="R608" s="601"/>
      <c r="S608" s="626">
        <v>181</v>
      </c>
      <c r="T608" s="601">
        <v>181</v>
      </c>
      <c r="U608" s="601"/>
      <c r="V608" s="601"/>
      <c r="W608" s="626">
        <v>886</v>
      </c>
      <c r="X608"/>
    </row>
    <row r="609" spans="1:24" s="149" customFormat="1" ht="16" thickBot="1">
      <c r="A609" s="128"/>
      <c r="B609" s="65" t="s">
        <v>121</v>
      </c>
      <c r="C609" s="626">
        <v>1.9287833827893175E-2</v>
      </c>
      <c r="D609" s="626">
        <v>0</v>
      </c>
      <c r="E609" s="626">
        <v>0</v>
      </c>
      <c r="F609" s="626">
        <v>0</v>
      </c>
      <c r="G609" s="662">
        <v>0.21428571428571427</v>
      </c>
      <c r="H609" s="624">
        <v>0</v>
      </c>
      <c r="I609" s="601">
        <v>2.4709302325581394E-2</v>
      </c>
      <c r="J609" s="638">
        <v>0</v>
      </c>
      <c r="K609" s="626">
        <v>0</v>
      </c>
      <c r="L609" s="626">
        <v>0</v>
      </c>
      <c r="M609" s="624">
        <v>0</v>
      </c>
      <c r="N609" s="601">
        <v>0</v>
      </c>
      <c r="O609" s="638">
        <v>0</v>
      </c>
      <c r="P609" s="624">
        <v>0</v>
      </c>
      <c r="Q609" s="601">
        <v>0</v>
      </c>
      <c r="R609" s="601">
        <v>0</v>
      </c>
      <c r="S609" s="626">
        <v>0.20666666666666667</v>
      </c>
      <c r="T609" s="601">
        <v>0.20666666666666667</v>
      </c>
      <c r="U609" s="601">
        <v>0</v>
      </c>
      <c r="V609" s="601">
        <v>0</v>
      </c>
      <c r="W609" s="626">
        <v>5.7279236276849645E-2</v>
      </c>
      <c r="X609"/>
    </row>
    <row r="610" spans="1:24" ht="15.5">
      <c r="B610" s="65" t="s">
        <v>122</v>
      </c>
      <c r="C610" s="626">
        <v>203</v>
      </c>
      <c r="D610" s="626"/>
      <c r="E610" s="626"/>
      <c r="F610" s="626"/>
      <c r="G610" s="626"/>
      <c r="H610" s="624"/>
      <c r="I610" s="601">
        <v>203</v>
      </c>
      <c r="J610" s="638"/>
      <c r="K610" s="626"/>
      <c r="L610" s="626"/>
      <c r="M610" s="624"/>
      <c r="N610" s="601"/>
      <c r="O610" s="638"/>
      <c r="P610" s="624"/>
      <c r="Q610" s="601"/>
      <c r="R610" s="601"/>
      <c r="S610" s="626"/>
      <c r="T610" s="601"/>
      <c r="U610" s="601"/>
      <c r="V610" s="601"/>
      <c r="W610" s="626">
        <v>203</v>
      </c>
      <c r="X610"/>
    </row>
    <row r="611" spans="1:24" ht="15.5">
      <c r="B611" s="65" t="s">
        <v>123</v>
      </c>
      <c r="C611" s="626">
        <v>202</v>
      </c>
      <c r="D611" s="626"/>
      <c r="E611" s="626"/>
      <c r="F611" s="626"/>
      <c r="G611" s="626"/>
      <c r="H611" s="624"/>
      <c r="I611" s="601">
        <v>202</v>
      </c>
      <c r="J611" s="638"/>
      <c r="K611" s="626"/>
      <c r="L611" s="626"/>
      <c r="M611" s="624"/>
      <c r="N611" s="601"/>
      <c r="O611" s="638"/>
      <c r="P611" s="624"/>
      <c r="Q611" s="601"/>
      <c r="R611" s="601"/>
      <c r="S611" s="626"/>
      <c r="T611" s="601"/>
      <c r="U611" s="601"/>
      <c r="V611" s="601"/>
      <c r="W611" s="626">
        <v>202</v>
      </c>
      <c r="X611"/>
    </row>
    <row r="612" spans="1:24" s="149" customFormat="1" ht="15.5">
      <c r="A612" s="128"/>
      <c r="B612" s="65" t="s">
        <v>124</v>
      </c>
      <c r="C612" s="626">
        <v>-4.9261083743842365E-3</v>
      </c>
      <c r="D612" s="626">
        <v>0</v>
      </c>
      <c r="E612" s="626">
        <v>0</v>
      </c>
      <c r="F612" s="626">
        <v>0</v>
      </c>
      <c r="G612" s="626">
        <v>0</v>
      </c>
      <c r="H612" s="624">
        <v>0</v>
      </c>
      <c r="I612" s="601">
        <v>-4.9261083743842365E-3</v>
      </c>
      <c r="J612" s="638">
        <v>0</v>
      </c>
      <c r="K612" s="626">
        <v>0</v>
      </c>
      <c r="L612" s="626">
        <v>0</v>
      </c>
      <c r="M612" s="624">
        <v>0</v>
      </c>
      <c r="N612" s="601">
        <v>0</v>
      </c>
      <c r="O612" s="638">
        <v>0</v>
      </c>
      <c r="P612" s="624">
        <v>0</v>
      </c>
      <c r="Q612" s="601">
        <v>0</v>
      </c>
      <c r="R612" s="601">
        <v>0</v>
      </c>
      <c r="S612" s="626">
        <v>0</v>
      </c>
      <c r="T612" s="601">
        <v>0</v>
      </c>
      <c r="U612" s="601">
        <v>0</v>
      </c>
      <c r="V612" s="601">
        <v>0</v>
      </c>
      <c r="W612" s="626">
        <v>-4.9261083743842365E-3</v>
      </c>
      <c r="X612"/>
    </row>
    <row r="613" spans="1:24" ht="15.5">
      <c r="B613" s="65" t="s">
        <v>125</v>
      </c>
      <c r="C613" s="626">
        <v>179</v>
      </c>
      <c r="D613" s="626"/>
      <c r="E613" s="626"/>
      <c r="F613" s="626"/>
      <c r="G613" s="626"/>
      <c r="H613" s="624"/>
      <c r="I613" s="601">
        <v>179</v>
      </c>
      <c r="J613" s="638"/>
      <c r="K613" s="626"/>
      <c r="L613" s="626"/>
      <c r="M613" s="624"/>
      <c r="N613" s="601"/>
      <c r="O613" s="638"/>
      <c r="P613" s="624"/>
      <c r="Q613" s="601"/>
      <c r="R613" s="601"/>
      <c r="S613" s="626">
        <v>169</v>
      </c>
      <c r="T613" s="601">
        <v>169</v>
      </c>
      <c r="U613" s="601"/>
      <c r="V613" s="601"/>
      <c r="W613" s="626">
        <v>348</v>
      </c>
      <c r="X613"/>
    </row>
    <row r="614" spans="1:24" ht="15.5">
      <c r="B614" s="65" t="s">
        <v>126</v>
      </c>
      <c r="C614" s="626">
        <v>187</v>
      </c>
      <c r="D614" s="626"/>
      <c r="E614" s="626"/>
      <c r="F614" s="626"/>
      <c r="G614" s="626"/>
      <c r="H614" s="624"/>
      <c r="I614" s="601">
        <v>187</v>
      </c>
      <c r="J614" s="638"/>
      <c r="K614" s="626"/>
      <c r="L614" s="626"/>
      <c r="M614" s="624"/>
      <c r="N614" s="601"/>
      <c r="O614" s="638"/>
      <c r="P614" s="624"/>
      <c r="Q614" s="601"/>
      <c r="R614" s="601"/>
      <c r="S614" s="626">
        <v>167</v>
      </c>
      <c r="T614" s="601">
        <v>167</v>
      </c>
      <c r="U614" s="601"/>
      <c r="V614" s="601"/>
      <c r="W614" s="626">
        <v>354</v>
      </c>
      <c r="X614"/>
    </row>
    <row r="615" spans="1:24" s="149" customFormat="1" ht="15.5">
      <c r="A615" s="128"/>
      <c r="B615" s="65" t="s">
        <v>127</v>
      </c>
      <c r="C615" s="626">
        <v>4.4692737430167599E-2</v>
      </c>
      <c r="D615" s="626">
        <v>0</v>
      </c>
      <c r="E615" s="626">
        <v>0</v>
      </c>
      <c r="F615" s="626">
        <v>0</v>
      </c>
      <c r="G615" s="626">
        <v>0</v>
      </c>
      <c r="H615" s="624">
        <v>0</v>
      </c>
      <c r="I615" s="601">
        <v>4.4692737430167599E-2</v>
      </c>
      <c r="J615" s="638">
        <v>0</v>
      </c>
      <c r="K615" s="626">
        <v>0</v>
      </c>
      <c r="L615" s="626">
        <v>0</v>
      </c>
      <c r="M615" s="624">
        <v>0</v>
      </c>
      <c r="N615" s="601">
        <v>0</v>
      </c>
      <c r="O615" s="638">
        <v>0</v>
      </c>
      <c r="P615" s="624">
        <v>0</v>
      </c>
      <c r="Q615" s="601">
        <v>0</v>
      </c>
      <c r="R615" s="601">
        <v>0</v>
      </c>
      <c r="S615" s="626">
        <v>-1.1834319526627219E-2</v>
      </c>
      <c r="T615" s="601">
        <v>-1.1834319526627219E-2</v>
      </c>
      <c r="U615" s="601">
        <v>0</v>
      </c>
      <c r="V615" s="601">
        <v>0</v>
      </c>
      <c r="W615" s="626">
        <v>1.7241379310344827E-2</v>
      </c>
      <c r="X615"/>
    </row>
    <row r="616" spans="1:24" ht="15.5">
      <c r="B616" s="65" t="s">
        <v>128</v>
      </c>
      <c r="C616" s="626"/>
      <c r="D616" s="626"/>
      <c r="E616" s="626"/>
      <c r="F616" s="626"/>
      <c r="G616" s="626"/>
      <c r="H616" s="624"/>
      <c r="I616" s="601"/>
      <c r="J616" s="638"/>
      <c r="K616" s="626"/>
      <c r="L616" s="626"/>
      <c r="M616" s="624"/>
      <c r="N616" s="601"/>
      <c r="O616" s="638"/>
      <c r="P616" s="624"/>
      <c r="Q616" s="601"/>
      <c r="R616" s="601"/>
      <c r="S616" s="626">
        <v>70</v>
      </c>
      <c r="T616" s="601">
        <v>70</v>
      </c>
      <c r="U616" s="601"/>
      <c r="V616" s="601"/>
      <c r="W616" s="626">
        <v>70</v>
      </c>
      <c r="X616"/>
    </row>
    <row r="617" spans="1:24" ht="15.5">
      <c r="B617" s="65" t="s">
        <v>129</v>
      </c>
      <c r="C617" s="626"/>
      <c r="D617" s="626"/>
      <c r="E617" s="626"/>
      <c r="F617" s="626"/>
      <c r="G617" s="626"/>
      <c r="H617" s="624"/>
      <c r="I617" s="601"/>
      <c r="J617" s="638"/>
      <c r="K617" s="626"/>
      <c r="L617" s="626"/>
      <c r="M617" s="624"/>
      <c r="N617" s="601"/>
      <c r="O617" s="638"/>
      <c r="P617" s="624"/>
      <c r="Q617" s="601"/>
      <c r="R617" s="601"/>
      <c r="S617" s="626">
        <v>73</v>
      </c>
      <c r="T617" s="601">
        <v>73</v>
      </c>
      <c r="U617" s="601"/>
      <c r="V617" s="601"/>
      <c r="W617" s="626">
        <v>73</v>
      </c>
      <c r="X617"/>
    </row>
    <row r="618" spans="1:24" s="149" customFormat="1" ht="15.5">
      <c r="A618" s="128"/>
      <c r="B618" s="65" t="s">
        <v>130</v>
      </c>
      <c r="C618" s="626">
        <v>0</v>
      </c>
      <c r="D618" s="626">
        <v>0</v>
      </c>
      <c r="E618" s="626">
        <v>0</v>
      </c>
      <c r="F618" s="626">
        <v>0</v>
      </c>
      <c r="G618" s="626">
        <v>0</v>
      </c>
      <c r="H618" s="624">
        <v>0</v>
      </c>
      <c r="I618" s="601">
        <v>0</v>
      </c>
      <c r="J618" s="638">
        <v>0</v>
      </c>
      <c r="K618" s="626">
        <v>0</v>
      </c>
      <c r="L618" s="626">
        <v>0</v>
      </c>
      <c r="M618" s="624">
        <v>0</v>
      </c>
      <c r="N618" s="601">
        <v>0</v>
      </c>
      <c r="O618" s="638">
        <v>0</v>
      </c>
      <c r="P618" s="624">
        <v>0</v>
      </c>
      <c r="Q618" s="601">
        <v>0</v>
      </c>
      <c r="R618" s="601">
        <v>0</v>
      </c>
      <c r="S618" s="648">
        <v>4.2857142857142858E-2</v>
      </c>
      <c r="T618" s="601">
        <v>4.2857142857142858E-2</v>
      </c>
      <c r="U618" s="601">
        <v>0</v>
      </c>
      <c r="V618" s="601">
        <v>0</v>
      </c>
      <c r="W618" s="626">
        <v>4.2857142857142858E-2</v>
      </c>
      <c r="X618"/>
    </row>
    <row r="619" spans="1:24" ht="15.5">
      <c r="B619" s="65" t="s">
        <v>131</v>
      </c>
      <c r="C619" s="626">
        <v>106</v>
      </c>
      <c r="D619" s="626"/>
      <c r="E619" s="626"/>
      <c r="F619" s="626"/>
      <c r="G619" s="626"/>
      <c r="H619" s="624"/>
      <c r="I619" s="601">
        <v>106</v>
      </c>
      <c r="J619" s="638"/>
      <c r="K619" s="626"/>
      <c r="L619" s="626"/>
      <c r="M619" s="624"/>
      <c r="N619" s="601"/>
      <c r="O619" s="638"/>
      <c r="P619" s="624"/>
      <c r="Q619" s="601"/>
      <c r="R619" s="601"/>
      <c r="S619" s="626">
        <v>70</v>
      </c>
      <c r="T619" s="601">
        <v>70</v>
      </c>
      <c r="U619" s="601"/>
      <c r="V619" s="601"/>
      <c r="W619" s="626">
        <v>176</v>
      </c>
      <c r="X619"/>
    </row>
    <row r="620" spans="1:24" ht="15.5">
      <c r="B620" s="65" t="s">
        <v>132</v>
      </c>
      <c r="C620" s="626">
        <v>103</v>
      </c>
      <c r="D620" s="626"/>
      <c r="E620" s="626"/>
      <c r="F620" s="626"/>
      <c r="G620" s="626"/>
      <c r="H620" s="624"/>
      <c r="I620" s="601">
        <v>103</v>
      </c>
      <c r="J620" s="638"/>
      <c r="K620" s="626"/>
      <c r="L620" s="626"/>
      <c r="M620" s="624"/>
      <c r="N620" s="601"/>
      <c r="O620" s="638"/>
      <c r="P620" s="624"/>
      <c r="Q620" s="601"/>
      <c r="R620" s="601"/>
      <c r="S620" s="626">
        <v>85</v>
      </c>
      <c r="T620" s="601">
        <v>85</v>
      </c>
      <c r="U620" s="601"/>
      <c r="V620" s="601"/>
      <c r="W620" s="626">
        <v>188</v>
      </c>
      <c r="X620"/>
    </row>
    <row r="621" spans="1:24" s="149" customFormat="1" ht="15.5">
      <c r="A621" s="128"/>
      <c r="B621" s="65" t="s">
        <v>133</v>
      </c>
      <c r="C621" s="626">
        <v>-2.8301886792452831E-2</v>
      </c>
      <c r="D621" s="626">
        <v>0</v>
      </c>
      <c r="E621" s="626">
        <v>0</v>
      </c>
      <c r="F621" s="626">
        <v>0</v>
      </c>
      <c r="G621" s="626">
        <v>0</v>
      </c>
      <c r="H621" s="624">
        <v>0</v>
      </c>
      <c r="I621" s="601">
        <v>-2.8301886792452831E-2</v>
      </c>
      <c r="J621" s="638">
        <v>0</v>
      </c>
      <c r="K621" s="626">
        <v>0</v>
      </c>
      <c r="L621" s="626">
        <v>0</v>
      </c>
      <c r="M621" s="624">
        <v>0</v>
      </c>
      <c r="N621" s="601">
        <v>0</v>
      </c>
      <c r="O621" s="638">
        <v>0</v>
      </c>
      <c r="P621" s="624">
        <v>0</v>
      </c>
      <c r="Q621" s="601">
        <v>0</v>
      </c>
      <c r="R621" s="601">
        <v>0</v>
      </c>
      <c r="S621" s="626">
        <v>0.21428571428571427</v>
      </c>
      <c r="T621" s="601">
        <v>0.21428571428571427</v>
      </c>
      <c r="U621" s="601">
        <v>0</v>
      </c>
      <c r="V621" s="601">
        <v>0</v>
      </c>
      <c r="W621" s="626">
        <v>6.8181818181818177E-2</v>
      </c>
      <c r="X621"/>
    </row>
    <row r="622" spans="1:24" ht="15.5">
      <c r="B622" s="65" t="s">
        <v>134</v>
      </c>
      <c r="C622" s="626"/>
      <c r="D622" s="626"/>
      <c r="E622" s="626"/>
      <c r="F622" s="626"/>
      <c r="G622" s="626"/>
      <c r="H622" s="624"/>
      <c r="I622" s="601"/>
      <c r="J622" s="638"/>
      <c r="K622" s="626"/>
      <c r="L622" s="626"/>
      <c r="M622" s="624"/>
      <c r="N622" s="601"/>
      <c r="O622" s="638"/>
      <c r="P622" s="624"/>
      <c r="Q622" s="601"/>
      <c r="R622" s="601"/>
      <c r="S622" s="626"/>
      <c r="T622" s="601"/>
      <c r="U622" s="601"/>
      <c r="V622" s="601"/>
      <c r="W622" s="626"/>
      <c r="X622"/>
    </row>
    <row r="623" spans="1:24" ht="15.5">
      <c r="B623" s="65" t="s">
        <v>135</v>
      </c>
      <c r="C623" s="626"/>
      <c r="D623" s="626"/>
      <c r="E623" s="626"/>
      <c r="F623" s="626"/>
      <c r="G623" s="626"/>
      <c r="H623" s="624"/>
      <c r="I623" s="601"/>
      <c r="J623" s="638"/>
      <c r="K623" s="626"/>
      <c r="L623" s="626"/>
      <c r="M623" s="624"/>
      <c r="N623" s="601"/>
      <c r="O623" s="638"/>
      <c r="P623" s="624"/>
      <c r="Q623" s="601"/>
      <c r="R623" s="601"/>
      <c r="S623" s="626"/>
      <c r="T623" s="601"/>
      <c r="U623" s="601"/>
      <c r="V623" s="601"/>
      <c r="W623" s="626"/>
      <c r="X623"/>
    </row>
    <row r="624" spans="1:24" s="149" customFormat="1" ht="15.5">
      <c r="A624" s="128"/>
      <c r="B624" s="65" t="s">
        <v>136</v>
      </c>
      <c r="C624" s="626">
        <v>0</v>
      </c>
      <c r="D624" s="626">
        <v>0</v>
      </c>
      <c r="E624" s="626">
        <v>0</v>
      </c>
      <c r="F624" s="626">
        <v>0</v>
      </c>
      <c r="G624" s="626">
        <v>0</v>
      </c>
      <c r="H624" s="624">
        <v>0</v>
      </c>
      <c r="I624" s="601">
        <v>0</v>
      </c>
      <c r="J624" s="638">
        <v>0</v>
      </c>
      <c r="K624" s="626">
        <v>0</v>
      </c>
      <c r="L624" s="626">
        <v>0</v>
      </c>
      <c r="M624" s="624">
        <v>0</v>
      </c>
      <c r="N624" s="601">
        <v>0</v>
      </c>
      <c r="O624" s="638">
        <v>0</v>
      </c>
      <c r="P624" s="624">
        <v>0</v>
      </c>
      <c r="Q624" s="601">
        <v>0</v>
      </c>
      <c r="R624" s="601">
        <v>0</v>
      </c>
      <c r="S624" s="626">
        <v>0</v>
      </c>
      <c r="T624" s="601">
        <v>0</v>
      </c>
      <c r="U624" s="601">
        <v>0</v>
      </c>
      <c r="V624" s="601">
        <v>0</v>
      </c>
      <c r="W624" s="626">
        <v>0</v>
      </c>
      <c r="X624"/>
    </row>
    <row r="625" spans="1:24" ht="15.5">
      <c r="B625" s="65" t="s">
        <v>137</v>
      </c>
      <c r="C625" s="626"/>
      <c r="D625" s="626"/>
      <c r="E625" s="626"/>
      <c r="F625" s="626"/>
      <c r="G625" s="626"/>
      <c r="H625" s="624"/>
      <c r="I625" s="601"/>
      <c r="J625" s="638"/>
      <c r="K625" s="626"/>
      <c r="L625" s="626"/>
      <c r="M625" s="624"/>
      <c r="N625" s="601"/>
      <c r="O625" s="638"/>
      <c r="P625" s="624"/>
      <c r="Q625" s="601"/>
      <c r="R625" s="601"/>
      <c r="S625" s="626"/>
      <c r="T625" s="601"/>
      <c r="U625" s="601"/>
      <c r="V625" s="601"/>
      <c r="W625" s="626"/>
      <c r="X625"/>
    </row>
    <row r="626" spans="1:24" ht="15.5">
      <c r="B626" s="65" t="s">
        <v>138</v>
      </c>
      <c r="C626" s="626"/>
      <c r="D626" s="626"/>
      <c r="E626" s="626"/>
      <c r="F626" s="626"/>
      <c r="G626" s="626"/>
      <c r="H626" s="624"/>
      <c r="I626" s="601"/>
      <c r="J626" s="638"/>
      <c r="K626" s="626"/>
      <c r="L626" s="626"/>
      <c r="M626" s="624"/>
      <c r="N626" s="601"/>
      <c r="O626" s="638"/>
      <c r="P626" s="624"/>
      <c r="Q626" s="601"/>
      <c r="R626" s="601"/>
      <c r="S626" s="626"/>
      <c r="T626" s="601"/>
      <c r="U626" s="601"/>
      <c r="V626" s="601"/>
      <c r="W626" s="626"/>
      <c r="X626"/>
    </row>
    <row r="627" spans="1:24" s="149" customFormat="1" ht="15.5">
      <c r="A627" s="128"/>
      <c r="B627" s="65" t="s">
        <v>139</v>
      </c>
      <c r="C627" s="626">
        <v>0</v>
      </c>
      <c r="D627" s="626">
        <v>0</v>
      </c>
      <c r="E627" s="626">
        <v>0</v>
      </c>
      <c r="F627" s="626">
        <v>0</v>
      </c>
      <c r="G627" s="626">
        <v>0</v>
      </c>
      <c r="H627" s="624">
        <v>0</v>
      </c>
      <c r="I627" s="601">
        <v>0</v>
      </c>
      <c r="J627" s="638">
        <v>0</v>
      </c>
      <c r="K627" s="626">
        <v>0</v>
      </c>
      <c r="L627" s="626">
        <v>0</v>
      </c>
      <c r="M627" s="624">
        <v>0</v>
      </c>
      <c r="N627" s="601">
        <v>0</v>
      </c>
      <c r="O627" s="638">
        <v>0</v>
      </c>
      <c r="P627" s="624">
        <v>0</v>
      </c>
      <c r="Q627" s="601">
        <v>0</v>
      </c>
      <c r="R627" s="601">
        <v>0</v>
      </c>
      <c r="S627" s="626">
        <v>0</v>
      </c>
      <c r="T627" s="601">
        <v>0</v>
      </c>
      <c r="U627" s="601">
        <v>0</v>
      </c>
      <c r="V627" s="601">
        <v>0</v>
      </c>
      <c r="W627" s="626">
        <v>0</v>
      </c>
      <c r="X627"/>
    </row>
    <row r="628" spans="1:24" ht="15.5">
      <c r="B628" s="65" t="s">
        <v>140</v>
      </c>
      <c r="C628" s="626"/>
      <c r="D628" s="626"/>
      <c r="E628" s="626"/>
      <c r="F628" s="626"/>
      <c r="G628" s="626"/>
      <c r="H628" s="624"/>
      <c r="I628" s="601"/>
      <c r="J628" s="638"/>
      <c r="K628" s="626"/>
      <c r="L628" s="626"/>
      <c r="M628" s="624"/>
      <c r="N628" s="601"/>
      <c r="O628" s="638"/>
      <c r="P628" s="624"/>
      <c r="Q628" s="601"/>
      <c r="R628" s="601"/>
      <c r="S628" s="626"/>
      <c r="T628" s="601"/>
      <c r="U628" s="601"/>
      <c r="V628" s="601"/>
      <c r="W628" s="626"/>
      <c r="X628"/>
    </row>
    <row r="629" spans="1:24" ht="15.5">
      <c r="B629" s="65" t="s">
        <v>141</v>
      </c>
      <c r="C629" s="626"/>
      <c r="D629" s="626"/>
      <c r="E629" s="626"/>
      <c r="F629" s="626"/>
      <c r="G629" s="626"/>
      <c r="H629" s="624"/>
      <c r="I629" s="601"/>
      <c r="J629" s="638"/>
      <c r="K629" s="626"/>
      <c r="L629" s="626"/>
      <c r="M629" s="624"/>
      <c r="N629" s="601"/>
      <c r="O629" s="638"/>
      <c r="P629" s="624"/>
      <c r="Q629" s="601"/>
      <c r="R629" s="601"/>
      <c r="S629" s="626"/>
      <c r="T629" s="601"/>
      <c r="U629" s="601"/>
      <c r="V629" s="601"/>
      <c r="W629" s="626"/>
      <c r="X629"/>
    </row>
    <row r="630" spans="1:24" s="149" customFormat="1" ht="15.5">
      <c r="A630" s="128"/>
      <c r="B630" s="65" t="s">
        <v>142</v>
      </c>
      <c r="C630" s="626">
        <v>0</v>
      </c>
      <c r="D630" s="626">
        <v>0</v>
      </c>
      <c r="E630" s="626">
        <v>0</v>
      </c>
      <c r="F630" s="626">
        <v>0</v>
      </c>
      <c r="G630" s="626">
        <v>0</v>
      </c>
      <c r="H630" s="624">
        <v>0</v>
      </c>
      <c r="I630" s="601">
        <v>0</v>
      </c>
      <c r="J630" s="638">
        <v>0</v>
      </c>
      <c r="K630" s="626">
        <v>0</v>
      </c>
      <c r="L630" s="626">
        <v>0</v>
      </c>
      <c r="M630" s="624">
        <v>0</v>
      </c>
      <c r="N630" s="601">
        <v>0</v>
      </c>
      <c r="O630" s="638">
        <v>0</v>
      </c>
      <c r="P630" s="624">
        <v>0</v>
      </c>
      <c r="Q630" s="601">
        <v>0</v>
      </c>
      <c r="R630" s="601">
        <v>0</v>
      </c>
      <c r="S630" s="626">
        <v>0</v>
      </c>
      <c r="T630" s="601">
        <v>0</v>
      </c>
      <c r="U630" s="601">
        <v>0</v>
      </c>
      <c r="V630" s="601">
        <v>0</v>
      </c>
      <c r="W630" s="626">
        <v>0</v>
      </c>
      <c r="X630"/>
    </row>
    <row r="631" spans="1:24" ht="15.5">
      <c r="B631" s="65" t="s">
        <v>143</v>
      </c>
      <c r="C631" s="626"/>
      <c r="D631" s="626"/>
      <c r="E631" s="626"/>
      <c r="F631" s="626"/>
      <c r="G631" s="626"/>
      <c r="H631" s="624"/>
      <c r="I631" s="601"/>
      <c r="J631" s="638"/>
      <c r="K631" s="626"/>
      <c r="L631" s="626"/>
      <c r="M631" s="624"/>
      <c r="N631" s="601"/>
      <c r="O631" s="638"/>
      <c r="P631" s="624"/>
      <c r="Q631" s="601"/>
      <c r="R631" s="601"/>
      <c r="S631" s="626"/>
      <c r="T631" s="601"/>
      <c r="U631" s="601"/>
      <c r="V631" s="601"/>
      <c r="W631" s="626"/>
      <c r="X631"/>
    </row>
    <row r="632" spans="1:24" ht="15.5">
      <c r="B632" s="65" t="s">
        <v>144</v>
      </c>
      <c r="C632" s="626"/>
      <c r="D632" s="626"/>
      <c r="E632" s="626"/>
      <c r="F632" s="626"/>
      <c r="G632" s="626"/>
      <c r="H632" s="624"/>
      <c r="I632" s="601"/>
      <c r="J632" s="638"/>
      <c r="K632" s="626"/>
      <c r="L632" s="626"/>
      <c r="M632" s="624"/>
      <c r="N632" s="601"/>
      <c r="O632" s="638"/>
      <c r="P632" s="624"/>
      <c r="Q632" s="601"/>
      <c r="R632" s="601"/>
      <c r="S632" s="626"/>
      <c r="T632" s="601"/>
      <c r="U632" s="601"/>
      <c r="V632" s="601"/>
      <c r="W632" s="626"/>
      <c r="X632"/>
    </row>
    <row r="633" spans="1:24" s="149" customFormat="1" ht="15.5">
      <c r="A633" s="128"/>
      <c r="B633" s="65" t="s">
        <v>145</v>
      </c>
      <c r="C633" s="626">
        <v>0</v>
      </c>
      <c r="D633" s="626">
        <v>0</v>
      </c>
      <c r="E633" s="626">
        <v>0</v>
      </c>
      <c r="F633" s="626">
        <v>0</v>
      </c>
      <c r="G633" s="626">
        <v>0</v>
      </c>
      <c r="H633" s="624">
        <v>0</v>
      </c>
      <c r="I633" s="601">
        <v>0</v>
      </c>
      <c r="J633" s="638">
        <v>0</v>
      </c>
      <c r="K633" s="626">
        <v>0</v>
      </c>
      <c r="L633" s="626">
        <v>0</v>
      </c>
      <c r="M633" s="624">
        <v>0</v>
      </c>
      <c r="N633" s="601">
        <v>0</v>
      </c>
      <c r="O633" s="638">
        <v>0</v>
      </c>
      <c r="P633" s="624">
        <v>0</v>
      </c>
      <c r="Q633" s="601">
        <v>0</v>
      </c>
      <c r="R633" s="601">
        <v>0</v>
      </c>
      <c r="S633" s="626">
        <v>0</v>
      </c>
      <c r="T633" s="601">
        <v>0</v>
      </c>
      <c r="U633" s="601">
        <v>0</v>
      </c>
      <c r="V633" s="601">
        <v>0</v>
      </c>
      <c r="W633" s="626">
        <v>0</v>
      </c>
      <c r="X633"/>
    </row>
    <row r="634" spans="1:24" ht="15.5">
      <c r="B634" s="65" t="s">
        <v>146</v>
      </c>
      <c r="C634" s="626"/>
      <c r="D634" s="626"/>
      <c r="E634" s="626"/>
      <c r="F634" s="626"/>
      <c r="G634" s="626"/>
      <c r="H634" s="624"/>
      <c r="I634" s="601"/>
      <c r="J634" s="638"/>
      <c r="K634" s="626"/>
      <c r="L634" s="626"/>
      <c r="M634" s="624"/>
      <c r="N634" s="601"/>
      <c r="O634" s="638"/>
      <c r="P634" s="624"/>
      <c r="Q634" s="601"/>
      <c r="R634" s="601"/>
      <c r="S634" s="626"/>
      <c r="T634" s="601"/>
      <c r="U634" s="601"/>
      <c r="V634" s="601"/>
      <c r="W634" s="626"/>
      <c r="X634"/>
    </row>
    <row r="635" spans="1:24" ht="15.5">
      <c r="B635" s="65" t="s">
        <v>147</v>
      </c>
      <c r="C635" s="626"/>
      <c r="D635" s="626"/>
      <c r="E635" s="626"/>
      <c r="F635" s="626"/>
      <c r="G635" s="626"/>
      <c r="H635" s="624"/>
      <c r="I635" s="601"/>
      <c r="J635" s="638"/>
      <c r="K635" s="626"/>
      <c r="L635" s="626"/>
      <c r="M635" s="624"/>
      <c r="N635" s="601"/>
      <c r="O635" s="638"/>
      <c r="P635" s="624"/>
      <c r="Q635" s="601"/>
      <c r="R635" s="601"/>
      <c r="S635" s="626"/>
      <c r="T635" s="601"/>
      <c r="U635" s="601"/>
      <c r="V635" s="601"/>
      <c r="W635" s="626"/>
      <c r="X635"/>
    </row>
    <row r="636" spans="1:24" s="149" customFormat="1" ht="15.5">
      <c r="A636" s="128"/>
      <c r="B636" s="65" t="s">
        <v>148</v>
      </c>
      <c r="C636" s="626">
        <v>0</v>
      </c>
      <c r="D636" s="626">
        <v>0</v>
      </c>
      <c r="E636" s="626">
        <v>0</v>
      </c>
      <c r="F636" s="626">
        <v>0</v>
      </c>
      <c r="G636" s="626">
        <v>0</v>
      </c>
      <c r="H636" s="624">
        <v>0</v>
      </c>
      <c r="I636" s="601">
        <v>0</v>
      </c>
      <c r="J636" s="638">
        <v>0</v>
      </c>
      <c r="K636" s="626">
        <v>0</v>
      </c>
      <c r="L636" s="626">
        <v>0</v>
      </c>
      <c r="M636" s="624">
        <v>0</v>
      </c>
      <c r="N636" s="601">
        <v>0</v>
      </c>
      <c r="O636" s="638">
        <v>0</v>
      </c>
      <c r="P636" s="624">
        <v>0</v>
      </c>
      <c r="Q636" s="601">
        <v>0</v>
      </c>
      <c r="R636" s="601">
        <v>0</v>
      </c>
      <c r="S636" s="626">
        <v>0</v>
      </c>
      <c r="T636" s="601">
        <v>0</v>
      </c>
      <c r="U636" s="601">
        <v>0</v>
      </c>
      <c r="V636" s="601">
        <v>0</v>
      </c>
      <c r="W636" s="626">
        <v>0</v>
      </c>
      <c r="X636"/>
    </row>
    <row r="637" spans="1:24" ht="15.5">
      <c r="B637" s="65" t="s">
        <v>149</v>
      </c>
      <c r="C637" s="626"/>
      <c r="D637" s="626"/>
      <c r="E637" s="626"/>
      <c r="F637" s="626"/>
      <c r="G637" s="626">
        <v>7</v>
      </c>
      <c r="H637" s="624"/>
      <c r="I637" s="601">
        <v>7</v>
      </c>
      <c r="J637" s="638"/>
      <c r="K637" s="626"/>
      <c r="L637" s="626"/>
      <c r="M637" s="624"/>
      <c r="N637" s="601"/>
      <c r="O637" s="638"/>
      <c r="P637" s="624"/>
      <c r="Q637" s="601"/>
      <c r="R637" s="601"/>
      <c r="S637" s="626"/>
      <c r="T637" s="601"/>
      <c r="U637" s="601"/>
      <c r="V637" s="601"/>
      <c r="W637" s="626">
        <v>7</v>
      </c>
      <c r="X637"/>
    </row>
    <row r="638" spans="1:24" ht="15.5">
      <c r="B638" s="65" t="s">
        <v>150</v>
      </c>
      <c r="C638" s="626"/>
      <c r="D638" s="626"/>
      <c r="E638" s="626"/>
      <c r="F638" s="626"/>
      <c r="G638" s="626">
        <v>3</v>
      </c>
      <c r="H638" s="624"/>
      <c r="I638" s="601">
        <v>3</v>
      </c>
      <c r="J638" s="638"/>
      <c r="K638" s="626"/>
      <c r="L638" s="626"/>
      <c r="M638" s="624"/>
      <c r="N638" s="601"/>
      <c r="O638" s="638"/>
      <c r="P638" s="624"/>
      <c r="Q638" s="601"/>
      <c r="R638" s="601"/>
      <c r="S638" s="626"/>
      <c r="T638" s="601"/>
      <c r="U638" s="601"/>
      <c r="V638" s="601"/>
      <c r="W638" s="626">
        <v>3</v>
      </c>
      <c r="X638"/>
    </row>
    <row r="639" spans="1:24" s="149" customFormat="1" ht="15.5">
      <c r="A639" s="128"/>
      <c r="B639" s="65" t="s">
        <v>151</v>
      </c>
      <c r="C639" s="626">
        <v>0</v>
      </c>
      <c r="D639" s="626">
        <v>0</v>
      </c>
      <c r="E639" s="626">
        <v>0</v>
      </c>
      <c r="F639" s="626">
        <v>0</v>
      </c>
      <c r="G639" s="626">
        <v>-0.5714285714285714</v>
      </c>
      <c r="H639" s="624">
        <v>0</v>
      </c>
      <c r="I639" s="601">
        <v>-0.5714285714285714</v>
      </c>
      <c r="J639" s="638">
        <v>0</v>
      </c>
      <c r="K639" s="626">
        <v>0</v>
      </c>
      <c r="L639" s="626">
        <v>0</v>
      </c>
      <c r="M639" s="624">
        <v>0</v>
      </c>
      <c r="N639" s="601">
        <v>0</v>
      </c>
      <c r="O639" s="638">
        <v>0</v>
      </c>
      <c r="P639" s="624">
        <v>0</v>
      </c>
      <c r="Q639" s="601">
        <v>0</v>
      </c>
      <c r="R639" s="601">
        <v>0</v>
      </c>
      <c r="S639" s="626">
        <v>0</v>
      </c>
      <c r="T639" s="601">
        <v>0</v>
      </c>
      <c r="U639" s="601">
        <v>0</v>
      </c>
      <c r="V639" s="601">
        <v>0</v>
      </c>
      <c r="W639" s="626">
        <v>-0.5714285714285714</v>
      </c>
      <c r="X639"/>
    </row>
    <row r="640" spans="1:24" ht="15.5">
      <c r="B640" s="65" t="s">
        <v>152</v>
      </c>
      <c r="C640" s="626"/>
      <c r="D640" s="626"/>
      <c r="E640" s="626"/>
      <c r="F640" s="626"/>
      <c r="G640" s="626"/>
      <c r="H640" s="624"/>
      <c r="I640" s="601"/>
      <c r="J640" s="638"/>
      <c r="K640" s="626"/>
      <c r="L640" s="626"/>
      <c r="M640" s="624"/>
      <c r="N640" s="601"/>
      <c r="O640" s="638"/>
      <c r="P640" s="624"/>
      <c r="Q640" s="601"/>
      <c r="R640" s="601"/>
      <c r="S640" s="626"/>
      <c r="T640" s="601"/>
      <c r="U640" s="601"/>
      <c r="V640" s="601"/>
      <c r="W640" s="626"/>
      <c r="X640"/>
    </row>
    <row r="641" spans="1:24" s="149" customFormat="1" ht="15.5">
      <c r="A641" s="128"/>
      <c r="B641" s="65" t="s">
        <v>153</v>
      </c>
      <c r="C641" s="626"/>
      <c r="D641" s="626"/>
      <c r="E641" s="626"/>
      <c r="F641" s="626"/>
      <c r="G641" s="626"/>
      <c r="H641" s="624"/>
      <c r="I641" s="601"/>
      <c r="J641" s="638"/>
      <c r="K641" s="626"/>
      <c r="L641" s="626"/>
      <c r="M641" s="624"/>
      <c r="N641" s="601"/>
      <c r="O641" s="638"/>
      <c r="P641" s="624"/>
      <c r="Q641" s="601"/>
      <c r="R641" s="601"/>
      <c r="S641" s="626"/>
      <c r="T641" s="601"/>
      <c r="U641" s="601"/>
      <c r="V641" s="601"/>
      <c r="W641" s="626"/>
      <c r="X641"/>
    </row>
    <row r="642" spans="1:24" ht="15.5">
      <c r="A642" s="128" t="s">
        <v>165</v>
      </c>
      <c r="B642" s="131" t="s">
        <v>101</v>
      </c>
      <c r="C642" s="626"/>
      <c r="D642" s="626"/>
      <c r="E642" s="626"/>
      <c r="F642" s="626"/>
      <c r="G642" s="626"/>
      <c r="H642" s="624"/>
      <c r="I642" s="601"/>
      <c r="J642" s="638"/>
      <c r="K642" s="626"/>
      <c r="L642" s="626"/>
      <c r="M642" s="624"/>
      <c r="N642" s="601"/>
      <c r="O642" s="638"/>
      <c r="P642" s="624">
        <v>7258</v>
      </c>
      <c r="Q642" s="601"/>
      <c r="R642" s="601">
        <v>7258</v>
      </c>
      <c r="S642" s="626"/>
      <c r="T642" s="601"/>
      <c r="U642" s="601"/>
      <c r="V642" s="601"/>
      <c r="W642" s="626">
        <v>7258</v>
      </c>
      <c r="X642"/>
    </row>
    <row r="643" spans="1:24" ht="15.5">
      <c r="B643" s="131" t="s">
        <v>102</v>
      </c>
      <c r="C643" s="626"/>
      <c r="D643" s="626"/>
      <c r="E643" s="626"/>
      <c r="F643" s="626"/>
      <c r="G643" s="626"/>
      <c r="H643" s="624"/>
      <c r="I643" s="601"/>
      <c r="J643" s="638"/>
      <c r="K643" s="626"/>
      <c r="L643" s="626"/>
      <c r="M643" s="624"/>
      <c r="N643" s="601"/>
      <c r="O643" s="638"/>
      <c r="P643" s="624">
        <v>5851</v>
      </c>
      <c r="Q643" s="601"/>
      <c r="R643" s="601">
        <v>5851</v>
      </c>
      <c r="S643" s="626"/>
      <c r="T643" s="601"/>
      <c r="U643" s="601"/>
      <c r="V643" s="601"/>
      <c r="W643" s="626">
        <v>5851</v>
      </c>
      <c r="X643"/>
    </row>
    <row r="644" spans="1:24" s="149" customFormat="1" ht="15.5">
      <c r="A644" s="128"/>
      <c r="B644" s="131" t="s">
        <v>103</v>
      </c>
      <c r="C644" s="626">
        <v>0</v>
      </c>
      <c r="D644" s="626">
        <v>0</v>
      </c>
      <c r="E644" s="626">
        <v>0</v>
      </c>
      <c r="F644" s="626">
        <v>0</v>
      </c>
      <c r="G644" s="626">
        <v>0</v>
      </c>
      <c r="H644" s="624">
        <v>0</v>
      </c>
      <c r="I644" s="601">
        <v>0</v>
      </c>
      <c r="J644" s="638">
        <v>0</v>
      </c>
      <c r="K644" s="626">
        <v>0</v>
      </c>
      <c r="L644" s="626">
        <v>0</v>
      </c>
      <c r="M644" s="624">
        <v>0</v>
      </c>
      <c r="N644" s="601">
        <v>0</v>
      </c>
      <c r="O644" s="652">
        <v>0</v>
      </c>
      <c r="P644" s="649">
        <v>-0.19385505648939103</v>
      </c>
      <c r="Q644" s="601">
        <v>0</v>
      </c>
      <c r="R644" s="601">
        <v>-0.19385505648939103</v>
      </c>
      <c r="S644" s="626">
        <v>0</v>
      </c>
      <c r="T644" s="601">
        <v>0</v>
      </c>
      <c r="U644" s="601">
        <v>0</v>
      </c>
      <c r="V644" s="601">
        <v>0</v>
      </c>
      <c r="W644" s="626">
        <v>-0.19385505648939103</v>
      </c>
      <c r="X644"/>
    </row>
    <row r="645" spans="1:24" ht="15.5">
      <c r="B645" s="65" t="s">
        <v>104</v>
      </c>
      <c r="C645" s="626"/>
      <c r="D645" s="626"/>
      <c r="E645" s="626"/>
      <c r="F645" s="626"/>
      <c r="G645" s="626"/>
      <c r="H645" s="624"/>
      <c r="I645" s="601"/>
      <c r="J645" s="638"/>
      <c r="K645" s="626"/>
      <c r="L645" s="626"/>
      <c r="M645" s="624"/>
      <c r="N645" s="601"/>
      <c r="O645" s="638"/>
      <c r="P645" s="624"/>
      <c r="Q645" s="601"/>
      <c r="R645" s="601"/>
      <c r="S645" s="626"/>
      <c r="T645" s="601"/>
      <c r="U645" s="601"/>
      <c r="V645" s="601"/>
      <c r="W645" s="626"/>
      <c r="X645"/>
    </row>
    <row r="646" spans="1:24" ht="15.5">
      <c r="B646" s="65" t="s">
        <v>105</v>
      </c>
      <c r="C646" s="626"/>
      <c r="D646" s="626"/>
      <c r="E646" s="626"/>
      <c r="F646" s="626"/>
      <c r="G646" s="626"/>
      <c r="H646" s="624"/>
      <c r="I646" s="601"/>
      <c r="J646" s="638"/>
      <c r="K646" s="626"/>
      <c r="L646" s="626"/>
      <c r="M646" s="624"/>
      <c r="N646" s="601"/>
      <c r="O646" s="638"/>
      <c r="P646" s="624"/>
      <c r="Q646" s="601"/>
      <c r="R646" s="601"/>
      <c r="S646" s="626"/>
      <c r="T646" s="601"/>
      <c r="U646" s="601"/>
      <c r="V646" s="601"/>
      <c r="W646" s="626"/>
      <c r="X646"/>
    </row>
    <row r="647" spans="1:24" s="149" customFormat="1" ht="15.5">
      <c r="A647" s="128"/>
      <c r="B647" s="65" t="s">
        <v>106</v>
      </c>
      <c r="C647" s="626">
        <v>0</v>
      </c>
      <c r="D647" s="626">
        <v>0</v>
      </c>
      <c r="E647" s="626">
        <v>0</v>
      </c>
      <c r="F647" s="626">
        <v>0</v>
      </c>
      <c r="G647" s="626">
        <v>0</v>
      </c>
      <c r="H647" s="624">
        <v>0</v>
      </c>
      <c r="I647" s="601">
        <v>0</v>
      </c>
      <c r="J647" s="638">
        <v>0</v>
      </c>
      <c r="K647" s="626">
        <v>0</v>
      </c>
      <c r="L647" s="626">
        <v>0</v>
      </c>
      <c r="M647" s="624">
        <v>0</v>
      </c>
      <c r="N647" s="601">
        <v>0</v>
      </c>
      <c r="O647" s="638">
        <v>0</v>
      </c>
      <c r="P647" s="624">
        <v>0</v>
      </c>
      <c r="Q647" s="601">
        <v>0</v>
      </c>
      <c r="R647" s="601">
        <v>0</v>
      </c>
      <c r="S647" s="626">
        <v>0</v>
      </c>
      <c r="T647" s="601">
        <v>0</v>
      </c>
      <c r="U647" s="601">
        <v>0</v>
      </c>
      <c r="V647" s="601">
        <v>0</v>
      </c>
      <c r="W647" s="626">
        <v>0</v>
      </c>
      <c r="X647"/>
    </row>
    <row r="648" spans="1:24" ht="15.5">
      <c r="B648" s="65" t="s">
        <v>107</v>
      </c>
      <c r="C648" s="626"/>
      <c r="D648" s="626">
        <v>41</v>
      </c>
      <c r="E648" s="626">
        <v>406</v>
      </c>
      <c r="F648" s="626"/>
      <c r="G648" s="626"/>
      <c r="H648" s="624"/>
      <c r="I648" s="601">
        <v>447</v>
      </c>
      <c r="J648" s="638"/>
      <c r="K648" s="626">
        <v>5538</v>
      </c>
      <c r="L648" s="626">
        <v>5615</v>
      </c>
      <c r="M648" s="624">
        <v>360</v>
      </c>
      <c r="N648" s="601">
        <v>11513</v>
      </c>
      <c r="O648" s="638"/>
      <c r="P648" s="624"/>
      <c r="Q648" s="601"/>
      <c r="R648" s="601"/>
      <c r="S648" s="626"/>
      <c r="T648" s="601"/>
      <c r="U648" s="601"/>
      <c r="V648" s="601"/>
      <c r="W648" s="626">
        <v>11960</v>
      </c>
      <c r="X648"/>
    </row>
    <row r="649" spans="1:24" ht="16" thickBot="1">
      <c r="B649" s="65" t="s">
        <v>108</v>
      </c>
      <c r="C649" s="626"/>
      <c r="D649" s="626">
        <v>9</v>
      </c>
      <c r="E649" s="626">
        <v>1059</v>
      </c>
      <c r="F649" s="626"/>
      <c r="G649" s="626"/>
      <c r="H649" s="624"/>
      <c r="I649" s="601">
        <v>1068</v>
      </c>
      <c r="J649" s="638"/>
      <c r="K649" s="626">
        <v>5922</v>
      </c>
      <c r="L649" s="626">
        <v>6010</v>
      </c>
      <c r="M649" s="624">
        <v>365</v>
      </c>
      <c r="N649" s="601">
        <v>12297</v>
      </c>
      <c r="O649" s="638"/>
      <c r="P649" s="624"/>
      <c r="Q649" s="601"/>
      <c r="R649" s="601"/>
      <c r="S649" s="626"/>
      <c r="T649" s="601"/>
      <c r="U649" s="601"/>
      <c r="V649" s="601"/>
      <c r="W649" s="626">
        <v>13365</v>
      </c>
      <c r="X649"/>
    </row>
    <row r="650" spans="1:24" s="149" customFormat="1" ht="16" thickBot="1">
      <c r="A650" s="128"/>
      <c r="B650" s="65" t="s">
        <v>109</v>
      </c>
      <c r="C650" s="626">
        <v>0</v>
      </c>
      <c r="D650" s="626">
        <v>-0.78048780487804881</v>
      </c>
      <c r="E650" s="657">
        <v>1.6083743842364533</v>
      </c>
      <c r="F650" s="626">
        <v>0</v>
      </c>
      <c r="G650" s="626">
        <v>0</v>
      </c>
      <c r="H650" s="624">
        <v>0</v>
      </c>
      <c r="I650" s="601">
        <v>1.3892617449664431</v>
      </c>
      <c r="J650" s="638">
        <v>0</v>
      </c>
      <c r="K650" s="626">
        <v>6.9339111592632716E-2</v>
      </c>
      <c r="L650" s="626">
        <v>7.0347284060552087E-2</v>
      </c>
      <c r="M650" s="624">
        <v>1.3888888888888888E-2</v>
      </c>
      <c r="N650" s="601">
        <v>6.8096933900807788E-2</v>
      </c>
      <c r="O650" s="638">
        <v>0</v>
      </c>
      <c r="P650" s="624">
        <v>0</v>
      </c>
      <c r="Q650" s="601">
        <v>0</v>
      </c>
      <c r="R650" s="601">
        <v>0</v>
      </c>
      <c r="S650" s="626">
        <v>0</v>
      </c>
      <c r="T650" s="601">
        <v>0</v>
      </c>
      <c r="U650" s="601">
        <v>0</v>
      </c>
      <c r="V650" s="601">
        <v>0</v>
      </c>
      <c r="W650" s="626">
        <v>0.11747491638795987</v>
      </c>
      <c r="X650"/>
    </row>
    <row r="651" spans="1:24" ht="15.5">
      <c r="B651" s="65" t="s">
        <v>110</v>
      </c>
      <c r="C651" s="626">
        <v>7890</v>
      </c>
      <c r="D651" s="626">
        <v>7586</v>
      </c>
      <c r="E651" s="626">
        <v>5563</v>
      </c>
      <c r="F651" s="626">
        <v>1166</v>
      </c>
      <c r="G651" s="626"/>
      <c r="H651" s="624"/>
      <c r="I651" s="601">
        <v>22205</v>
      </c>
      <c r="J651" s="638"/>
      <c r="K651" s="626"/>
      <c r="L651" s="626"/>
      <c r="M651" s="624"/>
      <c r="N651" s="601"/>
      <c r="O651" s="638"/>
      <c r="P651" s="624"/>
      <c r="Q651" s="601"/>
      <c r="R651" s="601"/>
      <c r="S651" s="626">
        <v>228</v>
      </c>
      <c r="T651" s="601">
        <v>228</v>
      </c>
      <c r="U651" s="601"/>
      <c r="V651" s="601"/>
      <c r="W651" s="626">
        <v>22433</v>
      </c>
      <c r="X651"/>
    </row>
    <row r="652" spans="1:24" ht="16" thickBot="1">
      <c r="B652" s="65" t="s">
        <v>111</v>
      </c>
      <c r="C652" s="626">
        <v>8156</v>
      </c>
      <c r="D652" s="626">
        <v>7573</v>
      </c>
      <c r="E652" s="626">
        <v>5712</v>
      </c>
      <c r="F652" s="626">
        <v>1096</v>
      </c>
      <c r="G652" s="626"/>
      <c r="H652" s="624"/>
      <c r="I652" s="601">
        <v>22537</v>
      </c>
      <c r="J652" s="638"/>
      <c r="K652" s="626"/>
      <c r="L652" s="626"/>
      <c r="M652" s="624"/>
      <c r="N652" s="601"/>
      <c r="O652" s="638"/>
      <c r="P652" s="624"/>
      <c r="Q652" s="601"/>
      <c r="R652" s="601"/>
      <c r="S652" s="626">
        <v>182</v>
      </c>
      <c r="T652" s="601">
        <v>182</v>
      </c>
      <c r="U652" s="601"/>
      <c r="V652" s="601"/>
      <c r="W652" s="626">
        <v>22719</v>
      </c>
      <c r="X652"/>
    </row>
    <row r="653" spans="1:24" s="149" customFormat="1" ht="16" thickBot="1">
      <c r="A653" s="128"/>
      <c r="B653" s="65" t="s">
        <v>112</v>
      </c>
      <c r="C653" s="626">
        <v>3.371356147021546E-2</v>
      </c>
      <c r="D653" s="626">
        <v>-1.7136831004481939E-3</v>
      </c>
      <c r="E653" s="626">
        <v>2.6784109293546649E-2</v>
      </c>
      <c r="F653" s="626">
        <v>-6.0034305317324184E-2</v>
      </c>
      <c r="G653" s="626">
        <v>0</v>
      </c>
      <c r="H653" s="624">
        <v>0</v>
      </c>
      <c r="I653" s="601">
        <v>1.495158748029723E-2</v>
      </c>
      <c r="J653" s="638">
        <v>0</v>
      </c>
      <c r="K653" s="626">
        <v>0</v>
      </c>
      <c r="L653" s="626">
        <v>0</v>
      </c>
      <c r="M653" s="624">
        <v>0</v>
      </c>
      <c r="N653" s="601">
        <v>0</v>
      </c>
      <c r="O653" s="638">
        <v>0</v>
      </c>
      <c r="P653" s="624">
        <v>0</v>
      </c>
      <c r="Q653" s="601">
        <v>0</v>
      </c>
      <c r="R653" s="601">
        <v>0</v>
      </c>
      <c r="S653" s="648">
        <v>-0.20175438596491227</v>
      </c>
      <c r="T653" s="601">
        <v>-0.20175438596491227</v>
      </c>
      <c r="U653" s="601">
        <v>0</v>
      </c>
      <c r="V653" s="601">
        <v>0</v>
      </c>
      <c r="W653" s="626">
        <v>1.2749075023403023E-2</v>
      </c>
      <c r="X653"/>
    </row>
    <row r="654" spans="1:24" ht="15.5">
      <c r="B654" s="65" t="s">
        <v>113</v>
      </c>
      <c r="C654" s="626"/>
      <c r="D654" s="626"/>
      <c r="E654" s="626"/>
      <c r="F654" s="626"/>
      <c r="G654" s="626"/>
      <c r="H654" s="624"/>
      <c r="I654" s="601"/>
      <c r="J654" s="638"/>
      <c r="K654" s="626"/>
      <c r="L654" s="626"/>
      <c r="M654" s="624"/>
      <c r="N654" s="601"/>
      <c r="O654" s="638"/>
      <c r="P654" s="624"/>
      <c r="Q654" s="601"/>
      <c r="R654" s="601"/>
      <c r="S654" s="626"/>
      <c r="T654" s="601"/>
      <c r="U654" s="601"/>
      <c r="V654" s="601"/>
      <c r="W654" s="626"/>
      <c r="X654"/>
    </row>
    <row r="655" spans="1:24" ht="15.5">
      <c r="B655" s="65" t="s">
        <v>114</v>
      </c>
      <c r="C655" s="626"/>
      <c r="D655" s="626"/>
      <c r="E655" s="626"/>
      <c r="F655" s="626"/>
      <c r="G655" s="626"/>
      <c r="H655" s="624"/>
      <c r="I655" s="601"/>
      <c r="J655" s="638"/>
      <c r="K655" s="626"/>
      <c r="L655" s="626"/>
      <c r="M655" s="624"/>
      <c r="N655" s="601"/>
      <c r="O655" s="638"/>
      <c r="P655" s="624"/>
      <c r="Q655" s="601"/>
      <c r="R655" s="601"/>
      <c r="S655" s="626"/>
      <c r="T655" s="601"/>
      <c r="U655" s="601"/>
      <c r="V655" s="601"/>
      <c r="W655" s="626"/>
      <c r="X655"/>
    </row>
    <row r="656" spans="1:24" s="149" customFormat="1" ht="15.5">
      <c r="A656" s="128"/>
      <c r="B656" s="65" t="s">
        <v>115</v>
      </c>
      <c r="C656" s="626">
        <v>0</v>
      </c>
      <c r="D656" s="626">
        <v>0</v>
      </c>
      <c r="E656" s="626">
        <v>0</v>
      </c>
      <c r="F656" s="626">
        <v>0</v>
      </c>
      <c r="G656" s="626">
        <v>0</v>
      </c>
      <c r="H656" s="624">
        <v>0</v>
      </c>
      <c r="I656" s="601">
        <v>0</v>
      </c>
      <c r="J656" s="638">
        <v>0</v>
      </c>
      <c r="K656" s="626">
        <v>0</v>
      </c>
      <c r="L656" s="626">
        <v>0</v>
      </c>
      <c r="M656" s="624">
        <v>0</v>
      </c>
      <c r="N656" s="601">
        <v>0</v>
      </c>
      <c r="O656" s="638">
        <v>0</v>
      </c>
      <c r="P656" s="624">
        <v>0</v>
      </c>
      <c r="Q656" s="601">
        <v>0</v>
      </c>
      <c r="R656" s="601">
        <v>0</v>
      </c>
      <c r="S656" s="626">
        <v>0</v>
      </c>
      <c r="T656" s="601">
        <v>0</v>
      </c>
      <c r="U656" s="601">
        <v>0</v>
      </c>
      <c r="V656" s="601">
        <v>0</v>
      </c>
      <c r="W656" s="626">
        <v>0</v>
      </c>
      <c r="X656"/>
    </row>
    <row r="657" spans="1:24" ht="15.5">
      <c r="B657" s="65" t="s">
        <v>116</v>
      </c>
      <c r="C657" s="626">
        <v>2462</v>
      </c>
      <c r="D657" s="626">
        <v>1831</v>
      </c>
      <c r="E657" s="626">
        <v>1208</v>
      </c>
      <c r="F657" s="626">
        <v>109</v>
      </c>
      <c r="G657" s="626"/>
      <c r="H657" s="624"/>
      <c r="I657" s="601">
        <v>5610</v>
      </c>
      <c r="J657" s="638"/>
      <c r="K657" s="626">
        <v>0</v>
      </c>
      <c r="L657" s="626">
        <v>0</v>
      </c>
      <c r="M657" s="624">
        <v>0</v>
      </c>
      <c r="N657" s="601">
        <v>0</v>
      </c>
      <c r="O657" s="638"/>
      <c r="P657" s="624">
        <v>0</v>
      </c>
      <c r="Q657" s="601"/>
      <c r="R657" s="601">
        <v>0</v>
      </c>
      <c r="S657" s="626">
        <v>199</v>
      </c>
      <c r="T657" s="601">
        <v>199</v>
      </c>
      <c r="U657" s="601"/>
      <c r="V657" s="601"/>
      <c r="W657" s="626">
        <v>5809</v>
      </c>
      <c r="X657"/>
    </row>
    <row r="658" spans="1:24" ht="15.5">
      <c r="B658" s="65" t="s">
        <v>117</v>
      </c>
      <c r="C658" s="626">
        <v>2556</v>
      </c>
      <c r="D658" s="626">
        <v>1866</v>
      </c>
      <c r="E658" s="626">
        <v>1258</v>
      </c>
      <c r="F658" s="626">
        <v>116</v>
      </c>
      <c r="G658" s="626"/>
      <c r="H658" s="624"/>
      <c r="I658" s="601">
        <v>5796</v>
      </c>
      <c r="J658" s="638"/>
      <c r="K658" s="626">
        <v>0</v>
      </c>
      <c r="L658" s="626">
        <v>0</v>
      </c>
      <c r="M658" s="624">
        <v>0</v>
      </c>
      <c r="N658" s="601">
        <v>0</v>
      </c>
      <c r="O658" s="638"/>
      <c r="P658" s="624">
        <v>0</v>
      </c>
      <c r="Q658" s="601"/>
      <c r="R658" s="601">
        <v>0</v>
      </c>
      <c r="S658" s="626">
        <v>213</v>
      </c>
      <c r="T658" s="601">
        <v>213</v>
      </c>
      <c r="U658" s="601"/>
      <c r="V658" s="601"/>
      <c r="W658" s="626">
        <v>6009</v>
      </c>
      <c r="X658"/>
    </row>
    <row r="659" spans="1:24" s="149" customFormat="1" ht="15.5">
      <c r="A659" s="128"/>
      <c r="B659" s="65" t="s">
        <v>118</v>
      </c>
      <c r="C659" s="626">
        <v>3.8180341186027617E-2</v>
      </c>
      <c r="D659" s="626">
        <v>1.9115237575095576E-2</v>
      </c>
      <c r="E659" s="626">
        <v>4.1390728476821195E-2</v>
      </c>
      <c r="F659" s="626">
        <v>6.4220183486238536E-2</v>
      </c>
      <c r="G659" s="626">
        <v>0</v>
      </c>
      <c r="H659" s="624">
        <v>0</v>
      </c>
      <c r="I659" s="601">
        <v>3.3155080213903745E-2</v>
      </c>
      <c r="J659" s="638">
        <v>0</v>
      </c>
      <c r="K659" s="626">
        <v>0</v>
      </c>
      <c r="L659" s="626">
        <v>0</v>
      </c>
      <c r="M659" s="624">
        <v>0</v>
      </c>
      <c r="N659" s="601">
        <v>0</v>
      </c>
      <c r="O659" s="638">
        <v>0</v>
      </c>
      <c r="P659" s="624">
        <v>0</v>
      </c>
      <c r="Q659" s="601">
        <v>0</v>
      </c>
      <c r="R659" s="601">
        <v>0</v>
      </c>
      <c r="S659" s="626">
        <v>7.0351758793969849E-2</v>
      </c>
      <c r="T659" s="601">
        <v>7.0351758793969849E-2</v>
      </c>
      <c r="U659" s="601">
        <v>0</v>
      </c>
      <c r="V659" s="601">
        <v>0</v>
      </c>
      <c r="W659" s="626">
        <v>3.4429333792391117E-2</v>
      </c>
      <c r="X659"/>
    </row>
    <row r="660" spans="1:24" ht="15.5">
      <c r="B660" s="65" t="s">
        <v>119</v>
      </c>
      <c r="C660" s="626">
        <v>534</v>
      </c>
      <c r="D660" s="626">
        <v>248</v>
      </c>
      <c r="E660" s="626">
        <v>93</v>
      </c>
      <c r="F660" s="626">
        <v>0</v>
      </c>
      <c r="G660" s="626"/>
      <c r="H660" s="624"/>
      <c r="I660" s="601">
        <v>875</v>
      </c>
      <c r="J660" s="638"/>
      <c r="K660" s="626">
        <v>0</v>
      </c>
      <c r="L660" s="626">
        <v>0</v>
      </c>
      <c r="M660" s="624">
        <v>0</v>
      </c>
      <c r="N660" s="601">
        <v>0</v>
      </c>
      <c r="O660" s="638"/>
      <c r="P660" s="624">
        <v>0</v>
      </c>
      <c r="Q660" s="601"/>
      <c r="R660" s="601">
        <v>0</v>
      </c>
      <c r="S660" s="626">
        <v>182</v>
      </c>
      <c r="T660" s="601">
        <v>182</v>
      </c>
      <c r="U660" s="601"/>
      <c r="V660" s="601"/>
      <c r="W660" s="626">
        <v>1057</v>
      </c>
      <c r="X660"/>
    </row>
    <row r="661" spans="1:24" ht="16" thickBot="1">
      <c r="B661" s="65" t="s">
        <v>120</v>
      </c>
      <c r="C661" s="626">
        <v>621</v>
      </c>
      <c r="D661" s="626">
        <v>295</v>
      </c>
      <c r="E661" s="626">
        <v>119</v>
      </c>
      <c r="F661" s="626">
        <v>0</v>
      </c>
      <c r="G661" s="626"/>
      <c r="H661" s="624"/>
      <c r="I661" s="601">
        <v>1035</v>
      </c>
      <c r="J661" s="638"/>
      <c r="K661" s="626">
        <v>0</v>
      </c>
      <c r="L661" s="626">
        <v>0</v>
      </c>
      <c r="M661" s="624">
        <v>0</v>
      </c>
      <c r="N661" s="601">
        <v>0</v>
      </c>
      <c r="O661" s="638"/>
      <c r="P661" s="624">
        <v>0</v>
      </c>
      <c r="Q661" s="601"/>
      <c r="R661" s="601">
        <v>0</v>
      </c>
      <c r="S661" s="626">
        <v>179</v>
      </c>
      <c r="T661" s="601">
        <v>179</v>
      </c>
      <c r="U661" s="601"/>
      <c r="V661" s="601"/>
      <c r="W661" s="626">
        <v>1214</v>
      </c>
      <c r="X661"/>
    </row>
    <row r="662" spans="1:24" s="149" customFormat="1" ht="16" thickBot="1">
      <c r="A662" s="128"/>
      <c r="B662" s="65" t="s">
        <v>121</v>
      </c>
      <c r="C662" s="626">
        <v>0.16292134831460675</v>
      </c>
      <c r="D662" s="626">
        <v>0.18951612903225806</v>
      </c>
      <c r="E662" s="626">
        <v>0.27956989247311825</v>
      </c>
      <c r="F662" s="626">
        <v>0</v>
      </c>
      <c r="G662" s="626">
        <v>0</v>
      </c>
      <c r="H662" s="624">
        <v>0</v>
      </c>
      <c r="I662" s="601">
        <v>0.18285714285714286</v>
      </c>
      <c r="J662" s="638">
        <v>0</v>
      </c>
      <c r="K662" s="626">
        <v>0</v>
      </c>
      <c r="L662" s="626">
        <v>0</v>
      </c>
      <c r="M662" s="624">
        <v>0</v>
      </c>
      <c r="N662" s="601">
        <v>0</v>
      </c>
      <c r="O662" s="638">
        <v>0</v>
      </c>
      <c r="P662" s="624">
        <v>0</v>
      </c>
      <c r="Q662" s="601">
        <v>0</v>
      </c>
      <c r="R662" s="601">
        <v>0</v>
      </c>
      <c r="S662" s="648">
        <v>-1.6483516483516484E-2</v>
      </c>
      <c r="T662" s="601">
        <v>-1.6483516483516484E-2</v>
      </c>
      <c r="U662" s="601">
        <v>0</v>
      </c>
      <c r="V662" s="601">
        <v>0</v>
      </c>
      <c r="W662" s="626">
        <v>0.14853358561967833</v>
      </c>
      <c r="X662"/>
    </row>
    <row r="663" spans="1:24" ht="15.5">
      <c r="B663" s="65" t="s">
        <v>122</v>
      </c>
      <c r="C663" s="626">
        <v>199</v>
      </c>
      <c r="D663" s="626"/>
      <c r="E663" s="626"/>
      <c r="F663" s="626"/>
      <c r="G663" s="626"/>
      <c r="H663" s="624"/>
      <c r="I663" s="601">
        <v>199</v>
      </c>
      <c r="J663" s="638"/>
      <c r="K663" s="626"/>
      <c r="L663" s="626"/>
      <c r="M663" s="624"/>
      <c r="N663" s="601"/>
      <c r="O663" s="638"/>
      <c r="P663" s="624"/>
      <c r="Q663" s="601"/>
      <c r="R663" s="601"/>
      <c r="S663" s="626"/>
      <c r="T663" s="601"/>
      <c r="U663" s="601"/>
      <c r="V663" s="601"/>
      <c r="W663" s="626">
        <v>199</v>
      </c>
      <c r="X663"/>
    </row>
    <row r="664" spans="1:24" ht="15.5">
      <c r="B664" s="65" t="s">
        <v>123</v>
      </c>
      <c r="C664" s="626">
        <v>206</v>
      </c>
      <c r="D664" s="626"/>
      <c r="E664" s="626"/>
      <c r="F664" s="626"/>
      <c r="G664" s="626"/>
      <c r="H664" s="624"/>
      <c r="I664" s="601">
        <v>206</v>
      </c>
      <c r="J664" s="638"/>
      <c r="K664" s="626"/>
      <c r="L664" s="626"/>
      <c r="M664" s="624"/>
      <c r="N664" s="601"/>
      <c r="O664" s="638"/>
      <c r="P664" s="624"/>
      <c r="Q664" s="601"/>
      <c r="R664" s="601"/>
      <c r="S664" s="626"/>
      <c r="T664" s="601"/>
      <c r="U664" s="601"/>
      <c r="V664" s="601"/>
      <c r="W664" s="626">
        <v>206</v>
      </c>
      <c r="X664"/>
    </row>
    <row r="665" spans="1:24" s="149" customFormat="1" ht="15.5">
      <c r="A665" s="128"/>
      <c r="B665" s="65" t="s">
        <v>124</v>
      </c>
      <c r="C665" s="626">
        <v>3.5175879396984924E-2</v>
      </c>
      <c r="D665" s="626">
        <v>0</v>
      </c>
      <c r="E665" s="626">
        <v>0</v>
      </c>
      <c r="F665" s="626">
        <v>0</v>
      </c>
      <c r="G665" s="626">
        <v>0</v>
      </c>
      <c r="H665" s="624">
        <v>0</v>
      </c>
      <c r="I665" s="601">
        <v>3.5175879396984924E-2</v>
      </c>
      <c r="J665" s="638">
        <v>0</v>
      </c>
      <c r="K665" s="626">
        <v>0</v>
      </c>
      <c r="L665" s="626">
        <v>0</v>
      </c>
      <c r="M665" s="624">
        <v>0</v>
      </c>
      <c r="N665" s="601">
        <v>0</v>
      </c>
      <c r="O665" s="638">
        <v>0</v>
      </c>
      <c r="P665" s="624">
        <v>0</v>
      </c>
      <c r="Q665" s="601">
        <v>0</v>
      </c>
      <c r="R665" s="601">
        <v>0</v>
      </c>
      <c r="S665" s="626">
        <v>0</v>
      </c>
      <c r="T665" s="601">
        <v>0</v>
      </c>
      <c r="U665" s="601">
        <v>0</v>
      </c>
      <c r="V665" s="601">
        <v>0</v>
      </c>
      <c r="W665" s="626">
        <v>3.5175879396984924E-2</v>
      </c>
      <c r="X665"/>
    </row>
    <row r="666" spans="1:24" ht="15.5">
      <c r="B666" s="65" t="s">
        <v>125</v>
      </c>
      <c r="C666" s="626"/>
      <c r="D666" s="626">
        <v>60</v>
      </c>
      <c r="E666" s="626"/>
      <c r="F666" s="626"/>
      <c r="G666" s="626"/>
      <c r="H666" s="624"/>
      <c r="I666" s="601">
        <v>60</v>
      </c>
      <c r="J666" s="638"/>
      <c r="K666" s="626"/>
      <c r="L666" s="626"/>
      <c r="M666" s="624"/>
      <c r="N666" s="601"/>
      <c r="O666" s="638"/>
      <c r="P666" s="624"/>
      <c r="Q666" s="601"/>
      <c r="R666" s="601"/>
      <c r="S666" s="626">
        <v>161</v>
      </c>
      <c r="T666" s="601">
        <v>161</v>
      </c>
      <c r="U666" s="601"/>
      <c r="V666" s="601"/>
      <c r="W666" s="626">
        <v>221</v>
      </c>
      <c r="X666"/>
    </row>
    <row r="667" spans="1:24" ht="15.5">
      <c r="B667" s="65" t="s">
        <v>126</v>
      </c>
      <c r="C667" s="626"/>
      <c r="D667" s="626">
        <v>69</v>
      </c>
      <c r="E667" s="626"/>
      <c r="F667" s="626"/>
      <c r="G667" s="626"/>
      <c r="H667" s="624"/>
      <c r="I667" s="601">
        <v>69</v>
      </c>
      <c r="J667" s="638"/>
      <c r="K667" s="626"/>
      <c r="L667" s="626"/>
      <c r="M667" s="624"/>
      <c r="N667" s="601"/>
      <c r="O667" s="638"/>
      <c r="P667" s="624"/>
      <c r="Q667" s="601"/>
      <c r="R667" s="601"/>
      <c r="S667" s="626">
        <v>158</v>
      </c>
      <c r="T667" s="601">
        <v>158</v>
      </c>
      <c r="U667" s="601"/>
      <c r="V667" s="601"/>
      <c r="W667" s="626">
        <v>227</v>
      </c>
      <c r="X667"/>
    </row>
    <row r="668" spans="1:24" s="149" customFormat="1" ht="15.5">
      <c r="A668" s="128"/>
      <c r="B668" s="65" t="s">
        <v>127</v>
      </c>
      <c r="C668" s="626">
        <v>0</v>
      </c>
      <c r="D668" s="626">
        <v>0.15</v>
      </c>
      <c r="E668" s="626">
        <v>0</v>
      </c>
      <c r="F668" s="626">
        <v>0</v>
      </c>
      <c r="G668" s="626">
        <v>0</v>
      </c>
      <c r="H668" s="624">
        <v>0</v>
      </c>
      <c r="I668" s="601">
        <v>0.15</v>
      </c>
      <c r="J668" s="638">
        <v>0</v>
      </c>
      <c r="K668" s="626">
        <v>0</v>
      </c>
      <c r="L668" s="626">
        <v>0</v>
      </c>
      <c r="M668" s="624">
        <v>0</v>
      </c>
      <c r="N668" s="601">
        <v>0</v>
      </c>
      <c r="O668" s="638">
        <v>0</v>
      </c>
      <c r="P668" s="624">
        <v>0</v>
      </c>
      <c r="Q668" s="601">
        <v>0</v>
      </c>
      <c r="R668" s="601">
        <v>0</v>
      </c>
      <c r="S668" s="626">
        <v>-1.8633540372670808E-2</v>
      </c>
      <c r="T668" s="601">
        <v>-1.8633540372670808E-2</v>
      </c>
      <c r="U668" s="601">
        <v>0</v>
      </c>
      <c r="V668" s="601">
        <v>0</v>
      </c>
      <c r="W668" s="626">
        <v>2.7149321266968326E-2</v>
      </c>
      <c r="X668"/>
    </row>
    <row r="669" spans="1:24" ht="15.5">
      <c r="B669" s="65" t="s">
        <v>128</v>
      </c>
      <c r="C669" s="626"/>
      <c r="D669" s="626"/>
      <c r="E669" s="626"/>
      <c r="F669" s="626"/>
      <c r="G669" s="626"/>
      <c r="H669" s="624"/>
      <c r="I669" s="601"/>
      <c r="J669" s="638"/>
      <c r="K669" s="626"/>
      <c r="L669" s="626"/>
      <c r="M669" s="624"/>
      <c r="N669" s="601"/>
      <c r="O669" s="638"/>
      <c r="P669" s="624"/>
      <c r="Q669" s="601"/>
      <c r="R669" s="601"/>
      <c r="S669" s="626">
        <v>90</v>
      </c>
      <c r="T669" s="601">
        <v>90</v>
      </c>
      <c r="U669" s="601"/>
      <c r="V669" s="601"/>
      <c r="W669" s="626">
        <v>90</v>
      </c>
      <c r="X669"/>
    </row>
    <row r="670" spans="1:24" ht="15.5">
      <c r="B670" s="65" t="s">
        <v>129</v>
      </c>
      <c r="C670" s="626"/>
      <c r="D670" s="626"/>
      <c r="E670" s="626"/>
      <c r="F670" s="626"/>
      <c r="G670" s="626"/>
      <c r="H670" s="624"/>
      <c r="I670" s="601"/>
      <c r="J670" s="638"/>
      <c r="K670" s="626"/>
      <c r="L670" s="626"/>
      <c r="M670" s="624"/>
      <c r="N670" s="601"/>
      <c r="O670" s="638"/>
      <c r="P670" s="624"/>
      <c r="Q670" s="601"/>
      <c r="R670" s="601"/>
      <c r="S670" s="626">
        <v>100</v>
      </c>
      <c r="T670" s="601">
        <v>100</v>
      </c>
      <c r="U670" s="601"/>
      <c r="V670" s="601"/>
      <c r="W670" s="626">
        <v>100</v>
      </c>
      <c r="X670"/>
    </row>
    <row r="671" spans="1:24" s="149" customFormat="1" ht="15.5">
      <c r="A671" s="128"/>
      <c r="B671" s="65" t="s">
        <v>130</v>
      </c>
      <c r="C671" s="626">
        <v>0</v>
      </c>
      <c r="D671" s="626">
        <v>0</v>
      </c>
      <c r="E671" s="626">
        <v>0</v>
      </c>
      <c r="F671" s="626">
        <v>0</v>
      </c>
      <c r="G671" s="626">
        <v>0</v>
      </c>
      <c r="H671" s="624">
        <v>0</v>
      </c>
      <c r="I671" s="601">
        <v>0</v>
      </c>
      <c r="J671" s="638">
        <v>0</v>
      </c>
      <c r="K671" s="626">
        <v>0</v>
      </c>
      <c r="L671" s="626">
        <v>0</v>
      </c>
      <c r="M671" s="624">
        <v>0</v>
      </c>
      <c r="N671" s="601">
        <v>0</v>
      </c>
      <c r="O671" s="638">
        <v>0</v>
      </c>
      <c r="P671" s="624">
        <v>0</v>
      </c>
      <c r="Q671" s="601">
        <v>0</v>
      </c>
      <c r="R671" s="601">
        <v>0</v>
      </c>
      <c r="S671" s="626">
        <v>0.1111111111111111</v>
      </c>
      <c r="T671" s="601">
        <v>0.1111111111111111</v>
      </c>
      <c r="U671" s="601">
        <v>0</v>
      </c>
      <c r="V671" s="601">
        <v>0</v>
      </c>
      <c r="W671" s="626">
        <v>0.1111111111111111</v>
      </c>
      <c r="X671"/>
    </row>
    <row r="672" spans="1:24" ht="15.5">
      <c r="B672" s="65" t="s">
        <v>131</v>
      </c>
      <c r="C672" s="626"/>
      <c r="D672" s="626">
        <v>74</v>
      </c>
      <c r="E672" s="626"/>
      <c r="F672" s="626"/>
      <c r="G672" s="626"/>
      <c r="H672" s="624"/>
      <c r="I672" s="601">
        <v>74</v>
      </c>
      <c r="J672" s="638"/>
      <c r="K672" s="626"/>
      <c r="L672" s="626"/>
      <c r="M672" s="624"/>
      <c r="N672" s="601"/>
      <c r="O672" s="638"/>
      <c r="P672" s="624"/>
      <c r="Q672" s="601"/>
      <c r="R672" s="601"/>
      <c r="S672" s="626">
        <v>187</v>
      </c>
      <c r="T672" s="601">
        <v>187</v>
      </c>
      <c r="U672" s="601"/>
      <c r="V672" s="601"/>
      <c r="W672" s="626">
        <v>261</v>
      </c>
      <c r="X672"/>
    </row>
    <row r="673" spans="1:24" ht="15.5">
      <c r="B673" s="65" t="s">
        <v>132</v>
      </c>
      <c r="C673" s="626"/>
      <c r="D673" s="626">
        <v>68</v>
      </c>
      <c r="E673" s="626"/>
      <c r="F673" s="626"/>
      <c r="G673" s="626"/>
      <c r="H673" s="624"/>
      <c r="I673" s="601">
        <v>68</v>
      </c>
      <c r="J673" s="638"/>
      <c r="K673" s="626"/>
      <c r="L673" s="626"/>
      <c r="M673" s="624"/>
      <c r="N673" s="601"/>
      <c r="O673" s="638"/>
      <c r="P673" s="624"/>
      <c r="Q673" s="601"/>
      <c r="R673" s="601"/>
      <c r="S673" s="626">
        <v>155</v>
      </c>
      <c r="T673" s="601">
        <v>155</v>
      </c>
      <c r="U673" s="601"/>
      <c r="V673" s="601"/>
      <c r="W673" s="626">
        <v>223</v>
      </c>
      <c r="X673"/>
    </row>
    <row r="674" spans="1:24" s="149" customFormat="1" ht="15.5">
      <c r="A674" s="128"/>
      <c r="B674" s="65" t="s">
        <v>133</v>
      </c>
      <c r="C674" s="626">
        <v>0</v>
      </c>
      <c r="D674" s="626">
        <v>-8.1081081081081086E-2</v>
      </c>
      <c r="E674" s="626">
        <v>0</v>
      </c>
      <c r="F674" s="626">
        <v>0</v>
      </c>
      <c r="G674" s="626">
        <v>0</v>
      </c>
      <c r="H674" s="624">
        <v>0</v>
      </c>
      <c r="I674" s="601">
        <v>-8.1081081081081086E-2</v>
      </c>
      <c r="J674" s="638">
        <v>0</v>
      </c>
      <c r="K674" s="626">
        <v>0</v>
      </c>
      <c r="L674" s="626">
        <v>0</v>
      </c>
      <c r="M674" s="624">
        <v>0</v>
      </c>
      <c r="N674" s="601">
        <v>0</v>
      </c>
      <c r="O674" s="638">
        <v>0</v>
      </c>
      <c r="P674" s="624">
        <v>0</v>
      </c>
      <c r="Q674" s="601">
        <v>0</v>
      </c>
      <c r="R674" s="601">
        <v>0</v>
      </c>
      <c r="S674" s="648">
        <v>-0.17112299465240641</v>
      </c>
      <c r="T674" s="601">
        <v>-0.17112299465240641</v>
      </c>
      <c r="U674" s="601">
        <v>0</v>
      </c>
      <c r="V674" s="601">
        <v>0</v>
      </c>
      <c r="W674" s="626">
        <v>-0.14559386973180077</v>
      </c>
      <c r="X674"/>
    </row>
    <row r="675" spans="1:24" ht="15.5">
      <c r="B675" s="65" t="s">
        <v>134</v>
      </c>
      <c r="C675" s="626"/>
      <c r="D675" s="626"/>
      <c r="E675" s="626"/>
      <c r="F675" s="626"/>
      <c r="G675" s="626"/>
      <c r="H675" s="624"/>
      <c r="I675" s="601"/>
      <c r="J675" s="638"/>
      <c r="K675" s="626"/>
      <c r="L675" s="626"/>
      <c r="M675" s="624"/>
      <c r="N675" s="601"/>
      <c r="O675" s="638"/>
      <c r="P675" s="624"/>
      <c r="Q675" s="601"/>
      <c r="R675" s="601"/>
      <c r="S675" s="626"/>
      <c r="T675" s="601"/>
      <c r="U675" s="601"/>
      <c r="V675" s="601"/>
      <c r="W675" s="626"/>
      <c r="X675"/>
    </row>
    <row r="676" spans="1:24" ht="15.5">
      <c r="B676" s="65" t="s">
        <v>135</v>
      </c>
      <c r="C676" s="626"/>
      <c r="D676" s="626"/>
      <c r="E676" s="626"/>
      <c r="F676" s="626"/>
      <c r="G676" s="626"/>
      <c r="H676" s="624"/>
      <c r="I676" s="601"/>
      <c r="J676" s="638"/>
      <c r="K676" s="626"/>
      <c r="L676" s="626"/>
      <c r="M676" s="624"/>
      <c r="N676" s="601"/>
      <c r="O676" s="638"/>
      <c r="P676" s="624"/>
      <c r="Q676" s="601"/>
      <c r="R676" s="601"/>
      <c r="S676" s="626"/>
      <c r="T676" s="601"/>
      <c r="U676" s="601"/>
      <c r="V676" s="601"/>
      <c r="W676" s="626"/>
      <c r="X676"/>
    </row>
    <row r="677" spans="1:24" s="149" customFormat="1" ht="15.5">
      <c r="A677" s="128"/>
      <c r="B677" s="65" t="s">
        <v>136</v>
      </c>
      <c r="C677" s="626">
        <v>0</v>
      </c>
      <c r="D677" s="626">
        <v>0</v>
      </c>
      <c r="E677" s="626">
        <v>0</v>
      </c>
      <c r="F677" s="626">
        <v>0</v>
      </c>
      <c r="G677" s="626">
        <v>0</v>
      </c>
      <c r="H677" s="624">
        <v>0</v>
      </c>
      <c r="I677" s="601">
        <v>0</v>
      </c>
      <c r="J677" s="638">
        <v>0</v>
      </c>
      <c r="K677" s="626">
        <v>0</v>
      </c>
      <c r="L677" s="626">
        <v>0</v>
      </c>
      <c r="M677" s="624">
        <v>0</v>
      </c>
      <c r="N677" s="601">
        <v>0</v>
      </c>
      <c r="O677" s="638">
        <v>0</v>
      </c>
      <c r="P677" s="624">
        <v>0</v>
      </c>
      <c r="Q677" s="601">
        <v>0</v>
      </c>
      <c r="R677" s="601">
        <v>0</v>
      </c>
      <c r="S677" s="626">
        <v>0</v>
      </c>
      <c r="T677" s="601">
        <v>0</v>
      </c>
      <c r="U677" s="601">
        <v>0</v>
      </c>
      <c r="V677" s="601">
        <v>0</v>
      </c>
      <c r="W677" s="626">
        <v>0</v>
      </c>
      <c r="X677"/>
    </row>
    <row r="678" spans="1:24" ht="15.5">
      <c r="B678" s="65" t="s">
        <v>137</v>
      </c>
      <c r="C678" s="626"/>
      <c r="D678" s="626"/>
      <c r="E678" s="626"/>
      <c r="F678" s="626"/>
      <c r="G678" s="626"/>
      <c r="H678" s="624"/>
      <c r="I678" s="601"/>
      <c r="J678" s="638"/>
      <c r="K678" s="626"/>
      <c r="L678" s="626"/>
      <c r="M678" s="624"/>
      <c r="N678" s="601"/>
      <c r="O678" s="638"/>
      <c r="P678" s="624"/>
      <c r="Q678" s="601"/>
      <c r="R678" s="601"/>
      <c r="S678" s="626"/>
      <c r="T678" s="601"/>
      <c r="U678" s="601"/>
      <c r="V678" s="601"/>
      <c r="W678" s="626"/>
      <c r="X678"/>
    </row>
    <row r="679" spans="1:24" ht="15.5">
      <c r="B679" s="65" t="s">
        <v>138</v>
      </c>
      <c r="C679" s="626"/>
      <c r="D679" s="626"/>
      <c r="E679" s="626"/>
      <c r="F679" s="626"/>
      <c r="G679" s="626"/>
      <c r="H679" s="624"/>
      <c r="I679" s="601"/>
      <c r="J679" s="638"/>
      <c r="K679" s="626"/>
      <c r="L679" s="626"/>
      <c r="M679" s="624"/>
      <c r="N679" s="601"/>
      <c r="O679" s="638"/>
      <c r="P679" s="624"/>
      <c r="Q679" s="601"/>
      <c r="R679" s="601"/>
      <c r="S679" s="626"/>
      <c r="T679" s="601"/>
      <c r="U679" s="601"/>
      <c r="V679" s="601"/>
      <c r="W679" s="626"/>
      <c r="X679"/>
    </row>
    <row r="680" spans="1:24" s="149" customFormat="1" ht="15.5">
      <c r="A680" s="128"/>
      <c r="B680" s="65" t="s">
        <v>139</v>
      </c>
      <c r="C680" s="626">
        <v>0</v>
      </c>
      <c r="D680" s="626">
        <v>0</v>
      </c>
      <c r="E680" s="626">
        <v>0</v>
      </c>
      <c r="F680" s="626">
        <v>0</v>
      </c>
      <c r="G680" s="626">
        <v>0</v>
      </c>
      <c r="H680" s="624">
        <v>0</v>
      </c>
      <c r="I680" s="601">
        <v>0</v>
      </c>
      <c r="J680" s="638">
        <v>0</v>
      </c>
      <c r="K680" s="626">
        <v>0</v>
      </c>
      <c r="L680" s="626">
        <v>0</v>
      </c>
      <c r="M680" s="624">
        <v>0</v>
      </c>
      <c r="N680" s="601">
        <v>0</v>
      </c>
      <c r="O680" s="638">
        <v>0</v>
      </c>
      <c r="P680" s="624">
        <v>0</v>
      </c>
      <c r="Q680" s="601">
        <v>0</v>
      </c>
      <c r="R680" s="601">
        <v>0</v>
      </c>
      <c r="S680" s="626">
        <v>0</v>
      </c>
      <c r="T680" s="601">
        <v>0</v>
      </c>
      <c r="U680" s="601">
        <v>0</v>
      </c>
      <c r="V680" s="601">
        <v>0</v>
      </c>
      <c r="W680" s="626">
        <v>0</v>
      </c>
      <c r="X680"/>
    </row>
    <row r="681" spans="1:24" ht="15.5">
      <c r="B681" s="65" t="s">
        <v>140</v>
      </c>
      <c r="C681" s="626"/>
      <c r="D681" s="626"/>
      <c r="E681" s="626"/>
      <c r="F681" s="626"/>
      <c r="G681" s="626"/>
      <c r="H681" s="624"/>
      <c r="I681" s="601"/>
      <c r="J681" s="638"/>
      <c r="K681" s="626"/>
      <c r="L681" s="626"/>
      <c r="M681" s="624"/>
      <c r="N681" s="601"/>
      <c r="O681" s="638"/>
      <c r="P681" s="624"/>
      <c r="Q681" s="601"/>
      <c r="R681" s="601"/>
      <c r="S681" s="626"/>
      <c r="T681" s="601"/>
      <c r="U681" s="601"/>
      <c r="V681" s="601"/>
      <c r="W681" s="626"/>
      <c r="X681"/>
    </row>
    <row r="682" spans="1:24" ht="15.5">
      <c r="B682" s="65" t="s">
        <v>141</v>
      </c>
      <c r="C682" s="626"/>
      <c r="D682" s="626"/>
      <c r="E682" s="626"/>
      <c r="F682" s="626"/>
      <c r="G682" s="626"/>
      <c r="H682" s="624"/>
      <c r="I682" s="601"/>
      <c r="J682" s="638"/>
      <c r="K682" s="626"/>
      <c r="L682" s="626"/>
      <c r="M682" s="624"/>
      <c r="N682" s="601"/>
      <c r="O682" s="638"/>
      <c r="P682" s="624"/>
      <c r="Q682" s="601"/>
      <c r="R682" s="601"/>
      <c r="S682" s="626"/>
      <c r="T682" s="601"/>
      <c r="U682" s="601"/>
      <c r="V682" s="601"/>
      <c r="W682" s="626"/>
      <c r="X682"/>
    </row>
    <row r="683" spans="1:24" s="149" customFormat="1" ht="15.5">
      <c r="A683" s="128"/>
      <c r="B683" s="65" t="s">
        <v>142</v>
      </c>
      <c r="C683" s="626">
        <v>0</v>
      </c>
      <c r="D683" s="626">
        <v>0</v>
      </c>
      <c r="E683" s="626">
        <v>0</v>
      </c>
      <c r="F683" s="626">
        <v>0</v>
      </c>
      <c r="G683" s="626">
        <v>0</v>
      </c>
      <c r="H683" s="624">
        <v>0</v>
      </c>
      <c r="I683" s="601">
        <v>0</v>
      </c>
      <c r="J683" s="638">
        <v>0</v>
      </c>
      <c r="K683" s="626">
        <v>0</v>
      </c>
      <c r="L683" s="626">
        <v>0</v>
      </c>
      <c r="M683" s="624">
        <v>0</v>
      </c>
      <c r="N683" s="601">
        <v>0</v>
      </c>
      <c r="O683" s="638">
        <v>0</v>
      </c>
      <c r="P683" s="624">
        <v>0</v>
      </c>
      <c r="Q683" s="601">
        <v>0</v>
      </c>
      <c r="R683" s="601">
        <v>0</v>
      </c>
      <c r="S683" s="626">
        <v>0</v>
      </c>
      <c r="T683" s="601">
        <v>0</v>
      </c>
      <c r="U683" s="601">
        <v>0</v>
      </c>
      <c r="V683" s="601">
        <v>0</v>
      </c>
      <c r="W683" s="626">
        <v>0</v>
      </c>
      <c r="X683"/>
    </row>
    <row r="684" spans="1:24" ht="15.5">
      <c r="B684" s="65" t="s">
        <v>143</v>
      </c>
      <c r="C684" s="626">
        <v>84</v>
      </c>
      <c r="D684" s="626"/>
      <c r="E684" s="626"/>
      <c r="F684" s="626"/>
      <c r="G684" s="626"/>
      <c r="H684" s="624"/>
      <c r="I684" s="601">
        <v>84</v>
      </c>
      <c r="J684" s="638"/>
      <c r="K684" s="626"/>
      <c r="L684" s="626"/>
      <c r="M684" s="624"/>
      <c r="N684" s="601"/>
      <c r="O684" s="638"/>
      <c r="P684" s="624"/>
      <c r="Q684" s="601"/>
      <c r="R684" s="601"/>
      <c r="S684" s="626"/>
      <c r="T684" s="601"/>
      <c r="U684" s="601"/>
      <c r="V684" s="601"/>
      <c r="W684" s="626">
        <v>84</v>
      </c>
      <c r="X684"/>
    </row>
    <row r="685" spans="1:24" ht="15.5">
      <c r="B685" s="65" t="s">
        <v>144</v>
      </c>
      <c r="C685" s="626">
        <v>79</v>
      </c>
      <c r="D685" s="626"/>
      <c r="E685" s="626"/>
      <c r="F685" s="626"/>
      <c r="G685" s="626"/>
      <c r="H685" s="624"/>
      <c r="I685" s="601">
        <v>79</v>
      </c>
      <c r="J685" s="638"/>
      <c r="K685" s="626"/>
      <c r="L685" s="626"/>
      <c r="M685" s="624"/>
      <c r="N685" s="601"/>
      <c r="O685" s="638"/>
      <c r="P685" s="624"/>
      <c r="Q685" s="601"/>
      <c r="R685" s="601"/>
      <c r="S685" s="626"/>
      <c r="T685" s="601"/>
      <c r="U685" s="601"/>
      <c r="V685" s="601"/>
      <c r="W685" s="626">
        <v>79</v>
      </c>
      <c r="X685"/>
    </row>
    <row r="686" spans="1:24" s="149" customFormat="1" ht="15.5">
      <c r="A686" s="128"/>
      <c r="B686" s="65" t="s">
        <v>145</v>
      </c>
      <c r="C686" s="626">
        <v>-5.9523809523809521E-2</v>
      </c>
      <c r="D686" s="626">
        <v>0</v>
      </c>
      <c r="E686" s="626">
        <v>0</v>
      </c>
      <c r="F686" s="626">
        <v>0</v>
      </c>
      <c r="G686" s="626">
        <v>0</v>
      </c>
      <c r="H686" s="624">
        <v>0</v>
      </c>
      <c r="I686" s="601">
        <v>-5.9523809523809521E-2</v>
      </c>
      <c r="J686" s="638">
        <v>0</v>
      </c>
      <c r="K686" s="626">
        <v>0</v>
      </c>
      <c r="L686" s="626">
        <v>0</v>
      </c>
      <c r="M686" s="624">
        <v>0</v>
      </c>
      <c r="N686" s="601">
        <v>0</v>
      </c>
      <c r="O686" s="638">
        <v>0</v>
      </c>
      <c r="P686" s="624">
        <v>0</v>
      </c>
      <c r="Q686" s="601">
        <v>0</v>
      </c>
      <c r="R686" s="601">
        <v>0</v>
      </c>
      <c r="S686" s="626">
        <v>0</v>
      </c>
      <c r="T686" s="601">
        <v>0</v>
      </c>
      <c r="U686" s="601">
        <v>0</v>
      </c>
      <c r="V686" s="601">
        <v>0</v>
      </c>
      <c r="W686" s="626">
        <v>-5.9523809523809521E-2</v>
      </c>
      <c r="X686"/>
    </row>
    <row r="687" spans="1:24" ht="15.5">
      <c r="B687" s="65" t="s">
        <v>146</v>
      </c>
      <c r="C687" s="626"/>
      <c r="D687" s="626"/>
      <c r="E687" s="626"/>
      <c r="F687" s="626"/>
      <c r="G687" s="626"/>
      <c r="H687" s="624"/>
      <c r="I687" s="601"/>
      <c r="J687" s="638"/>
      <c r="K687" s="626"/>
      <c r="L687" s="626"/>
      <c r="M687" s="624"/>
      <c r="N687" s="601"/>
      <c r="O687" s="638"/>
      <c r="P687" s="624"/>
      <c r="Q687" s="601"/>
      <c r="R687" s="601"/>
      <c r="S687" s="626"/>
      <c r="T687" s="601"/>
      <c r="U687" s="601"/>
      <c r="V687" s="601"/>
      <c r="W687" s="626"/>
      <c r="X687"/>
    </row>
    <row r="688" spans="1:24" ht="15.5">
      <c r="B688" s="65" t="s">
        <v>147</v>
      </c>
      <c r="C688" s="626"/>
      <c r="D688" s="626"/>
      <c r="E688" s="626"/>
      <c r="F688" s="626"/>
      <c r="G688" s="626"/>
      <c r="H688" s="624"/>
      <c r="I688" s="601"/>
      <c r="J688" s="638"/>
      <c r="K688" s="626"/>
      <c r="L688" s="626"/>
      <c r="M688" s="624"/>
      <c r="N688" s="601"/>
      <c r="O688" s="638"/>
      <c r="P688" s="624"/>
      <c r="Q688" s="601"/>
      <c r="R688" s="601"/>
      <c r="S688" s="626"/>
      <c r="T688" s="601"/>
      <c r="U688" s="601"/>
      <c r="V688" s="601"/>
      <c r="W688" s="626"/>
      <c r="X688"/>
    </row>
    <row r="689" spans="1:24" s="149" customFormat="1" ht="15.5">
      <c r="A689" s="128"/>
      <c r="B689" s="65" t="s">
        <v>148</v>
      </c>
      <c r="C689" s="626">
        <v>0</v>
      </c>
      <c r="D689" s="626">
        <v>0</v>
      </c>
      <c r="E689" s="626">
        <v>0</v>
      </c>
      <c r="F689" s="626">
        <v>0</v>
      </c>
      <c r="G689" s="626">
        <v>0</v>
      </c>
      <c r="H689" s="624">
        <v>0</v>
      </c>
      <c r="I689" s="601">
        <v>0</v>
      </c>
      <c r="J689" s="638">
        <v>0</v>
      </c>
      <c r="K689" s="626">
        <v>0</v>
      </c>
      <c r="L689" s="626">
        <v>0</v>
      </c>
      <c r="M689" s="624">
        <v>0</v>
      </c>
      <c r="N689" s="601">
        <v>0</v>
      </c>
      <c r="O689" s="638">
        <v>0</v>
      </c>
      <c r="P689" s="624">
        <v>0</v>
      </c>
      <c r="Q689" s="601">
        <v>0</v>
      </c>
      <c r="R689" s="601">
        <v>0</v>
      </c>
      <c r="S689" s="626">
        <v>0</v>
      </c>
      <c r="T689" s="601">
        <v>0</v>
      </c>
      <c r="U689" s="601">
        <v>0</v>
      </c>
      <c r="V689" s="601">
        <v>0</v>
      </c>
      <c r="W689" s="626">
        <v>0</v>
      </c>
      <c r="X689"/>
    </row>
    <row r="690" spans="1:24" ht="15.5">
      <c r="B690" s="65" t="s">
        <v>149</v>
      </c>
      <c r="C690" s="626"/>
      <c r="D690" s="626"/>
      <c r="E690" s="626"/>
      <c r="F690" s="626"/>
      <c r="G690" s="626"/>
      <c r="H690" s="624"/>
      <c r="I690" s="601"/>
      <c r="J690" s="638"/>
      <c r="K690" s="626"/>
      <c r="L690" s="626"/>
      <c r="M690" s="624"/>
      <c r="N690" s="601"/>
      <c r="O690" s="638"/>
      <c r="P690" s="624"/>
      <c r="Q690" s="601"/>
      <c r="R690" s="601"/>
      <c r="S690" s="626"/>
      <c r="T690" s="601"/>
      <c r="U690" s="601"/>
      <c r="V690" s="601"/>
      <c r="W690" s="626"/>
      <c r="X690"/>
    </row>
    <row r="691" spans="1:24" ht="16" thickBot="1">
      <c r="B691" s="65" t="s">
        <v>150</v>
      </c>
      <c r="C691" s="626"/>
      <c r="D691" s="626"/>
      <c r="E691" s="626"/>
      <c r="F691" s="626"/>
      <c r="G691" s="626"/>
      <c r="H691" s="624"/>
      <c r="I691" s="601"/>
      <c r="J691" s="638"/>
      <c r="K691" s="626"/>
      <c r="L691" s="626"/>
      <c r="M691" s="624"/>
      <c r="N691" s="601"/>
      <c r="O691" s="638"/>
      <c r="P691" s="624"/>
      <c r="Q691" s="601"/>
      <c r="R691" s="601"/>
      <c r="S691" s="626"/>
      <c r="T691" s="601"/>
      <c r="U691" s="601"/>
      <c r="V691" s="601"/>
      <c r="W691" s="626"/>
      <c r="X691"/>
    </row>
    <row r="692" spans="1:24" s="149" customFormat="1" ht="16" thickBot="1">
      <c r="A692" s="128"/>
      <c r="B692" s="65" t="s">
        <v>151</v>
      </c>
      <c r="C692" s="626">
        <v>0</v>
      </c>
      <c r="D692" s="626">
        <v>0</v>
      </c>
      <c r="E692" s="626">
        <v>0</v>
      </c>
      <c r="F692" s="626">
        <v>0</v>
      </c>
      <c r="G692" s="626">
        <v>0</v>
      </c>
      <c r="H692" s="624">
        <v>0</v>
      </c>
      <c r="I692" s="601">
        <v>0</v>
      </c>
      <c r="J692" s="638">
        <v>0</v>
      </c>
      <c r="K692" s="626">
        <v>0</v>
      </c>
      <c r="L692" s="626">
        <v>0</v>
      </c>
      <c r="M692" s="624">
        <v>0</v>
      </c>
      <c r="N692" s="601">
        <v>0</v>
      </c>
      <c r="O692" s="638">
        <v>0</v>
      </c>
      <c r="P692" s="624">
        <v>0</v>
      </c>
      <c r="Q692" s="601">
        <v>0</v>
      </c>
      <c r="R692" s="601">
        <v>0</v>
      </c>
      <c r="S692" s="626">
        <v>0</v>
      </c>
      <c r="T692" s="601">
        <v>0</v>
      </c>
      <c r="U692" s="601">
        <v>0</v>
      </c>
      <c r="V692" s="601">
        <v>0</v>
      </c>
      <c r="W692" s="626">
        <v>0</v>
      </c>
      <c r="X692"/>
    </row>
    <row r="693" spans="1:24" ht="15.5">
      <c r="B693" s="65" t="s">
        <v>152</v>
      </c>
      <c r="C693" s="626"/>
      <c r="D693" s="626"/>
      <c r="E693" s="626"/>
      <c r="F693" s="626"/>
      <c r="G693" s="626"/>
      <c r="H693" s="624"/>
      <c r="I693" s="601"/>
      <c r="J693" s="638"/>
      <c r="K693" s="626"/>
      <c r="L693" s="626"/>
      <c r="M693" s="624"/>
      <c r="N693" s="601"/>
      <c r="O693" s="638"/>
      <c r="P693" s="624"/>
      <c r="Q693" s="601"/>
      <c r="R693" s="601"/>
      <c r="S693" s="626"/>
      <c r="T693" s="601"/>
      <c r="U693" s="601"/>
      <c r="V693" s="601"/>
      <c r="W693" s="626"/>
      <c r="X693"/>
    </row>
    <row r="694" spans="1:24" s="149" customFormat="1" ht="15.5">
      <c r="A694" s="128"/>
      <c r="B694" s="65" t="s">
        <v>153</v>
      </c>
      <c r="C694" s="626"/>
      <c r="D694" s="626"/>
      <c r="E694" s="626"/>
      <c r="F694" s="626"/>
      <c r="G694" s="626"/>
      <c r="H694" s="624"/>
      <c r="I694" s="601"/>
      <c r="J694" s="638"/>
      <c r="K694" s="626"/>
      <c r="L694" s="626"/>
      <c r="M694" s="624"/>
      <c r="N694" s="601"/>
      <c r="O694" s="638"/>
      <c r="P694" s="624"/>
      <c r="Q694" s="601"/>
      <c r="R694" s="601"/>
      <c r="S694" s="626"/>
      <c r="T694" s="601"/>
      <c r="U694" s="601"/>
      <c r="V694" s="601"/>
      <c r="W694" s="626"/>
      <c r="X694"/>
    </row>
    <row r="695" spans="1:24" ht="16" thickBot="1">
      <c r="A695" s="128" t="s">
        <v>166</v>
      </c>
      <c r="B695" s="131" t="s">
        <v>101</v>
      </c>
      <c r="C695" s="626"/>
      <c r="D695" s="626"/>
      <c r="E695" s="626"/>
      <c r="F695" s="626"/>
      <c r="G695" s="626"/>
      <c r="H695" s="624"/>
      <c r="I695" s="601"/>
      <c r="J695" s="638">
        <v>2453</v>
      </c>
      <c r="K695" s="626">
        <v>25372</v>
      </c>
      <c r="L695" s="626">
        <v>11208</v>
      </c>
      <c r="M695" s="624">
        <v>2231</v>
      </c>
      <c r="N695" s="601">
        <v>41264</v>
      </c>
      <c r="O695" s="638"/>
      <c r="P695" s="624"/>
      <c r="Q695" s="601"/>
      <c r="R695" s="601"/>
      <c r="S695" s="626">
        <v>327</v>
      </c>
      <c r="T695" s="601">
        <v>327</v>
      </c>
      <c r="U695" s="601"/>
      <c r="V695" s="601"/>
      <c r="W695" s="626">
        <v>41591</v>
      </c>
      <c r="X695"/>
    </row>
    <row r="696" spans="1:24" ht="16" thickBot="1">
      <c r="B696" s="131" t="s">
        <v>102</v>
      </c>
      <c r="C696" s="626"/>
      <c r="D696" s="626"/>
      <c r="E696" s="626"/>
      <c r="F696" s="626"/>
      <c r="G696" s="626"/>
      <c r="H696" s="624"/>
      <c r="I696" s="601"/>
      <c r="J696" s="638">
        <v>2483</v>
      </c>
      <c r="K696" s="626">
        <v>22543</v>
      </c>
      <c r="L696" s="626">
        <v>9697</v>
      </c>
      <c r="M696" s="624">
        <v>1929</v>
      </c>
      <c r="N696" s="601">
        <v>36652</v>
      </c>
      <c r="O696" s="638"/>
      <c r="P696" s="624"/>
      <c r="Q696" s="601"/>
      <c r="R696" s="601"/>
      <c r="S696" s="648">
        <v>362</v>
      </c>
      <c r="T696" s="601">
        <v>362</v>
      </c>
      <c r="U696" s="601"/>
      <c r="V696" s="601"/>
      <c r="W696" s="626">
        <v>37014</v>
      </c>
      <c r="X696"/>
    </row>
    <row r="697" spans="1:24" s="149" customFormat="1" ht="16" thickBot="1">
      <c r="A697" s="128"/>
      <c r="B697" s="131" t="s">
        <v>103</v>
      </c>
      <c r="C697" s="626">
        <v>0</v>
      </c>
      <c r="D697" s="626">
        <v>0</v>
      </c>
      <c r="E697" s="626">
        <v>0</v>
      </c>
      <c r="F697" s="626">
        <v>0</v>
      </c>
      <c r="G697" s="626">
        <v>0</v>
      </c>
      <c r="H697" s="624">
        <v>0</v>
      </c>
      <c r="I697" s="601">
        <v>0</v>
      </c>
      <c r="J697" s="638">
        <v>1.2229922543823889E-2</v>
      </c>
      <c r="K697" s="648">
        <v>-0.11150086709758789</v>
      </c>
      <c r="L697" s="626">
        <v>-0.13481441827266238</v>
      </c>
      <c r="M697" s="624">
        <v>-0.13536530703720304</v>
      </c>
      <c r="N697" s="601">
        <v>-0.11176812718107794</v>
      </c>
      <c r="O697" s="638">
        <v>0</v>
      </c>
      <c r="P697" s="624">
        <v>0</v>
      </c>
      <c r="Q697" s="601">
        <v>0</v>
      </c>
      <c r="R697" s="601">
        <v>0</v>
      </c>
      <c r="S697" s="626">
        <v>0.10703363914373089</v>
      </c>
      <c r="T697" s="601">
        <v>0.10703363914373089</v>
      </c>
      <c r="U697" s="601">
        <v>0</v>
      </c>
      <c r="V697" s="601">
        <v>0</v>
      </c>
      <c r="W697" s="626">
        <v>-0.11004784688995216</v>
      </c>
      <c r="X697"/>
    </row>
    <row r="698" spans="1:24" ht="15.5">
      <c r="B698" s="65" t="s">
        <v>104</v>
      </c>
      <c r="C698" s="626"/>
      <c r="D698" s="626"/>
      <c r="E698" s="626"/>
      <c r="F698" s="626"/>
      <c r="G698" s="626"/>
      <c r="H698" s="624"/>
      <c r="I698" s="601"/>
      <c r="J698" s="638"/>
      <c r="K698" s="626"/>
      <c r="L698" s="626"/>
      <c r="M698" s="624"/>
      <c r="N698" s="601"/>
      <c r="O698" s="638"/>
      <c r="P698" s="624"/>
      <c r="Q698" s="601"/>
      <c r="R698" s="601"/>
      <c r="S698" s="626"/>
      <c r="T698" s="601"/>
      <c r="U698" s="601"/>
      <c r="V698" s="601"/>
      <c r="W698" s="626"/>
      <c r="X698"/>
    </row>
    <row r="699" spans="1:24" ht="15.5">
      <c r="B699" s="65" t="s">
        <v>105</v>
      </c>
      <c r="C699" s="626"/>
      <c r="D699" s="626"/>
      <c r="E699" s="626"/>
      <c r="F699" s="626"/>
      <c r="G699" s="626"/>
      <c r="H699" s="624"/>
      <c r="I699" s="601"/>
      <c r="J699" s="638"/>
      <c r="K699" s="626"/>
      <c r="L699" s="626"/>
      <c r="M699" s="624"/>
      <c r="N699" s="601"/>
      <c r="O699" s="638"/>
      <c r="P699" s="624"/>
      <c r="Q699" s="601"/>
      <c r="R699" s="601"/>
      <c r="S699" s="626"/>
      <c r="T699" s="601"/>
      <c r="U699" s="601"/>
      <c r="V699" s="601"/>
      <c r="W699" s="626"/>
      <c r="X699"/>
    </row>
    <row r="700" spans="1:24" s="149" customFormat="1" ht="15.5">
      <c r="A700" s="128"/>
      <c r="B700" s="65" t="s">
        <v>106</v>
      </c>
      <c r="C700" s="626">
        <v>0</v>
      </c>
      <c r="D700" s="626">
        <v>0</v>
      </c>
      <c r="E700" s="626">
        <v>0</v>
      </c>
      <c r="F700" s="626">
        <v>0</v>
      </c>
      <c r="G700" s="626">
        <v>0</v>
      </c>
      <c r="H700" s="624">
        <v>0</v>
      </c>
      <c r="I700" s="601">
        <v>0</v>
      </c>
      <c r="J700" s="638">
        <v>0</v>
      </c>
      <c r="K700" s="626">
        <v>0</v>
      </c>
      <c r="L700" s="626">
        <v>0</v>
      </c>
      <c r="M700" s="624">
        <v>0</v>
      </c>
      <c r="N700" s="601">
        <v>0</v>
      </c>
      <c r="O700" s="638">
        <v>0</v>
      </c>
      <c r="P700" s="624">
        <v>0</v>
      </c>
      <c r="Q700" s="601">
        <v>0</v>
      </c>
      <c r="R700" s="601">
        <v>0</v>
      </c>
      <c r="S700" s="626">
        <v>0</v>
      </c>
      <c r="T700" s="601">
        <v>0</v>
      </c>
      <c r="U700" s="601">
        <v>0</v>
      </c>
      <c r="V700" s="601">
        <v>0</v>
      </c>
      <c r="W700" s="626">
        <v>0</v>
      </c>
      <c r="X700"/>
    </row>
    <row r="701" spans="1:24" ht="15.5">
      <c r="B701" s="65" t="s">
        <v>107</v>
      </c>
      <c r="C701" s="626"/>
      <c r="D701" s="626"/>
      <c r="E701" s="626">
        <v>37</v>
      </c>
      <c r="F701" s="626"/>
      <c r="G701" s="626"/>
      <c r="H701" s="624"/>
      <c r="I701" s="601">
        <v>37</v>
      </c>
      <c r="J701" s="638">
        <v>5340</v>
      </c>
      <c r="K701" s="626">
        <v>65378</v>
      </c>
      <c r="L701" s="626">
        <v>16087</v>
      </c>
      <c r="M701" s="624">
        <v>2317</v>
      </c>
      <c r="N701" s="601">
        <v>89122</v>
      </c>
      <c r="O701" s="638"/>
      <c r="P701" s="624"/>
      <c r="Q701" s="601"/>
      <c r="R701" s="601"/>
      <c r="S701" s="626">
        <v>250</v>
      </c>
      <c r="T701" s="601">
        <v>250</v>
      </c>
      <c r="U701" s="601"/>
      <c r="V701" s="601"/>
      <c r="W701" s="626">
        <v>89409</v>
      </c>
      <c r="X701"/>
    </row>
    <row r="702" spans="1:24" ht="15.5">
      <c r="B702" s="65" t="s">
        <v>108</v>
      </c>
      <c r="C702" s="626"/>
      <c r="D702" s="626"/>
      <c r="E702" s="626">
        <v>32</v>
      </c>
      <c r="F702" s="626"/>
      <c r="G702" s="626"/>
      <c r="H702" s="624"/>
      <c r="I702" s="601">
        <v>32</v>
      </c>
      <c r="J702" s="638">
        <v>5258</v>
      </c>
      <c r="K702" s="626">
        <v>67475</v>
      </c>
      <c r="L702" s="626">
        <v>16153</v>
      </c>
      <c r="M702" s="624">
        <v>2483</v>
      </c>
      <c r="N702" s="601">
        <v>91369</v>
      </c>
      <c r="O702" s="638"/>
      <c r="P702" s="624"/>
      <c r="Q702" s="601"/>
      <c r="R702" s="601"/>
      <c r="S702" s="626">
        <v>158</v>
      </c>
      <c r="T702" s="601">
        <v>158</v>
      </c>
      <c r="U702" s="601"/>
      <c r="V702" s="601"/>
      <c r="W702" s="626">
        <v>91559</v>
      </c>
      <c r="X702"/>
    </row>
    <row r="703" spans="1:24" s="149" customFormat="1" ht="15.5">
      <c r="A703" s="128"/>
      <c r="B703" s="65" t="s">
        <v>109</v>
      </c>
      <c r="C703" s="626">
        <v>0</v>
      </c>
      <c r="D703" s="626">
        <v>0</v>
      </c>
      <c r="E703" s="648">
        <v>-0.13513513513513514</v>
      </c>
      <c r="F703" s="626">
        <v>0</v>
      </c>
      <c r="G703" s="626">
        <v>0</v>
      </c>
      <c r="H703" s="624">
        <v>0</v>
      </c>
      <c r="I703" s="601">
        <v>-0.13513513513513514</v>
      </c>
      <c r="J703" s="638">
        <v>-1.5355805243445693E-2</v>
      </c>
      <c r="K703" s="648">
        <v>3.2075009942182382E-2</v>
      </c>
      <c r="L703" s="626">
        <v>4.1026916143469885E-3</v>
      </c>
      <c r="M703" s="624">
        <v>7.1644367716875268E-2</v>
      </c>
      <c r="N703" s="601">
        <v>2.5212629878144564E-2</v>
      </c>
      <c r="O703" s="638">
        <v>0</v>
      </c>
      <c r="P703" s="624">
        <v>0</v>
      </c>
      <c r="Q703" s="601">
        <v>0</v>
      </c>
      <c r="R703" s="601">
        <v>0</v>
      </c>
      <c r="S703" s="648">
        <v>-0.36799999999999999</v>
      </c>
      <c r="T703" s="601">
        <v>-0.36799999999999999</v>
      </c>
      <c r="U703" s="601">
        <v>0</v>
      </c>
      <c r="V703" s="601">
        <v>0</v>
      </c>
      <c r="W703" s="626">
        <v>2.4046796183829367E-2</v>
      </c>
      <c r="X703"/>
    </row>
    <row r="704" spans="1:24" ht="15.5">
      <c r="B704" s="65" t="s">
        <v>110</v>
      </c>
      <c r="C704" s="626">
        <v>62372</v>
      </c>
      <c r="D704" s="626">
        <v>13107</v>
      </c>
      <c r="E704" s="626">
        <v>32202</v>
      </c>
      <c r="F704" s="626">
        <v>6019</v>
      </c>
      <c r="G704" s="626">
        <v>592</v>
      </c>
      <c r="H704" s="624"/>
      <c r="I704" s="601">
        <v>114292</v>
      </c>
      <c r="J704" s="638">
        <v>407</v>
      </c>
      <c r="K704" s="626">
        <v>30</v>
      </c>
      <c r="L704" s="626"/>
      <c r="M704" s="624"/>
      <c r="N704" s="601">
        <v>437</v>
      </c>
      <c r="O704" s="638"/>
      <c r="P704" s="624"/>
      <c r="Q704" s="601"/>
      <c r="R704" s="601"/>
      <c r="S704" s="626">
        <v>3210</v>
      </c>
      <c r="T704" s="601">
        <v>3210</v>
      </c>
      <c r="U704" s="601"/>
      <c r="V704" s="601"/>
      <c r="W704" s="626">
        <v>117939</v>
      </c>
      <c r="X704"/>
    </row>
    <row r="705" spans="1:24" ht="16" thickBot="1">
      <c r="B705" s="65" t="s">
        <v>111</v>
      </c>
      <c r="C705" s="626"/>
      <c r="D705" s="626"/>
      <c r="E705" s="626"/>
      <c r="F705" s="626"/>
      <c r="G705" s="626"/>
      <c r="H705" s="624"/>
      <c r="I705" s="601"/>
      <c r="J705" s="638"/>
      <c r="K705" s="626"/>
      <c r="L705" s="626"/>
      <c r="M705" s="624"/>
      <c r="N705" s="601"/>
      <c r="O705" s="638"/>
      <c r="P705" s="624"/>
      <c r="Q705" s="601"/>
      <c r="R705" s="601"/>
      <c r="S705" s="626"/>
      <c r="T705" s="601"/>
      <c r="U705" s="601"/>
      <c r="V705" s="601"/>
      <c r="W705" s="626"/>
      <c r="X705"/>
    </row>
    <row r="706" spans="1:24" s="149" customFormat="1" ht="16" thickBot="1">
      <c r="A706" s="128"/>
      <c r="B706" s="65" t="s">
        <v>112</v>
      </c>
      <c r="C706" s="626">
        <v>-1</v>
      </c>
      <c r="D706" s="626">
        <v>-1</v>
      </c>
      <c r="E706" s="626">
        <v>-1</v>
      </c>
      <c r="F706" s="626">
        <v>-1</v>
      </c>
      <c r="G706" s="626">
        <v>-1</v>
      </c>
      <c r="H706" s="624">
        <v>0</v>
      </c>
      <c r="I706" s="601">
        <v>-1</v>
      </c>
      <c r="J706" s="657">
        <v>-1</v>
      </c>
      <c r="K706" s="626">
        <v>-1</v>
      </c>
      <c r="L706" s="626">
        <v>0</v>
      </c>
      <c r="M706" s="624">
        <v>0</v>
      </c>
      <c r="N706" s="601">
        <v>-1</v>
      </c>
      <c r="O706" s="638">
        <v>0</v>
      </c>
      <c r="P706" s="624">
        <v>0</v>
      </c>
      <c r="Q706" s="601">
        <v>0</v>
      </c>
      <c r="R706" s="601">
        <v>0</v>
      </c>
      <c r="S706" s="626">
        <v>-1</v>
      </c>
      <c r="T706" s="601">
        <v>-1</v>
      </c>
      <c r="U706" s="601">
        <v>0</v>
      </c>
      <c r="V706" s="601">
        <v>0</v>
      </c>
      <c r="W706" s="626">
        <v>-1</v>
      </c>
      <c r="X706"/>
    </row>
    <row r="707" spans="1:24" ht="15.5">
      <c r="B707" s="65" t="s">
        <v>113</v>
      </c>
      <c r="C707" s="626"/>
      <c r="D707" s="626"/>
      <c r="E707" s="626"/>
      <c r="F707" s="626"/>
      <c r="G707" s="626"/>
      <c r="H707" s="624"/>
      <c r="I707" s="601"/>
      <c r="J707" s="638"/>
      <c r="K707" s="626"/>
      <c r="L707" s="626"/>
      <c r="M707" s="624"/>
      <c r="N707" s="601"/>
      <c r="O707" s="638"/>
      <c r="P707" s="624"/>
      <c r="Q707" s="601"/>
      <c r="R707" s="601"/>
      <c r="S707" s="626"/>
      <c r="T707" s="601"/>
      <c r="U707" s="601"/>
      <c r="V707" s="601"/>
      <c r="W707" s="626"/>
      <c r="X707"/>
    </row>
    <row r="708" spans="1:24" ht="16" thickBot="1">
      <c r="B708" s="65" t="s">
        <v>114</v>
      </c>
      <c r="C708" s="626"/>
      <c r="D708" s="626"/>
      <c r="E708" s="626"/>
      <c r="F708" s="626"/>
      <c r="G708" s="626"/>
      <c r="H708" s="624"/>
      <c r="I708" s="601"/>
      <c r="J708" s="638"/>
      <c r="K708" s="626"/>
      <c r="L708" s="626"/>
      <c r="M708" s="624"/>
      <c r="N708" s="601"/>
      <c r="O708" s="638"/>
      <c r="P708" s="624"/>
      <c r="Q708" s="601"/>
      <c r="R708" s="601"/>
      <c r="S708" s="626"/>
      <c r="T708" s="601"/>
      <c r="U708" s="601"/>
      <c r="V708" s="601"/>
      <c r="W708" s="626"/>
      <c r="X708"/>
    </row>
    <row r="709" spans="1:24" s="149" customFormat="1" ht="16" thickBot="1">
      <c r="A709" s="128"/>
      <c r="B709" s="65" t="s">
        <v>115</v>
      </c>
      <c r="C709" s="626">
        <v>0</v>
      </c>
      <c r="D709" s="626">
        <v>0</v>
      </c>
      <c r="E709" s="626">
        <v>0</v>
      </c>
      <c r="F709" s="626">
        <v>0</v>
      </c>
      <c r="G709" s="626">
        <v>0</v>
      </c>
      <c r="H709" s="624">
        <v>0</v>
      </c>
      <c r="I709" s="601">
        <v>0</v>
      </c>
      <c r="J709" s="638">
        <v>0</v>
      </c>
      <c r="K709" s="626">
        <v>0</v>
      </c>
      <c r="L709" s="626">
        <v>0</v>
      </c>
      <c r="M709" s="624">
        <v>0</v>
      </c>
      <c r="N709" s="601">
        <v>0</v>
      </c>
      <c r="O709" s="638">
        <v>0</v>
      </c>
      <c r="P709" s="624">
        <v>0</v>
      </c>
      <c r="Q709" s="601">
        <v>0</v>
      </c>
      <c r="R709" s="601">
        <v>0</v>
      </c>
      <c r="S709" s="626">
        <v>0</v>
      </c>
      <c r="T709" s="601">
        <v>0</v>
      </c>
      <c r="U709" s="601">
        <v>0</v>
      </c>
      <c r="V709" s="601">
        <v>0</v>
      </c>
      <c r="W709" s="626">
        <v>0</v>
      </c>
      <c r="X709"/>
    </row>
    <row r="710" spans="1:24" ht="15.5">
      <c r="B710" s="65" t="s">
        <v>116</v>
      </c>
      <c r="C710" s="626">
        <v>21024</v>
      </c>
      <c r="D710" s="626">
        <v>4098</v>
      </c>
      <c r="E710" s="626">
        <v>13924</v>
      </c>
      <c r="F710" s="626">
        <v>1481</v>
      </c>
      <c r="G710" s="626">
        <v>75</v>
      </c>
      <c r="H710" s="624"/>
      <c r="I710" s="601">
        <v>40602</v>
      </c>
      <c r="J710" s="638">
        <v>0</v>
      </c>
      <c r="K710" s="626">
        <v>0</v>
      </c>
      <c r="L710" s="626">
        <v>0</v>
      </c>
      <c r="M710" s="624">
        <v>0</v>
      </c>
      <c r="N710" s="601">
        <v>0</v>
      </c>
      <c r="O710" s="638"/>
      <c r="P710" s="624"/>
      <c r="Q710" s="601"/>
      <c r="R710" s="601"/>
      <c r="S710" s="626">
        <v>2620</v>
      </c>
      <c r="T710" s="601">
        <v>2620</v>
      </c>
      <c r="U710" s="601"/>
      <c r="V710" s="601"/>
      <c r="W710" s="626">
        <v>43222</v>
      </c>
      <c r="X710"/>
    </row>
    <row r="711" spans="1:24" ht="15.5">
      <c r="B711" s="65" t="s">
        <v>117</v>
      </c>
      <c r="C711" s="626">
        <v>21647</v>
      </c>
      <c r="D711" s="626">
        <v>3829</v>
      </c>
      <c r="E711" s="626">
        <v>13349</v>
      </c>
      <c r="F711" s="626">
        <v>1465</v>
      </c>
      <c r="G711" s="626">
        <v>75</v>
      </c>
      <c r="H711" s="624"/>
      <c r="I711" s="601">
        <v>40365</v>
      </c>
      <c r="J711" s="638">
        <v>0</v>
      </c>
      <c r="K711" s="626">
        <v>0</v>
      </c>
      <c r="L711" s="626">
        <v>0</v>
      </c>
      <c r="M711" s="624">
        <v>0</v>
      </c>
      <c r="N711" s="601">
        <v>0</v>
      </c>
      <c r="O711" s="638"/>
      <c r="P711" s="624"/>
      <c r="Q711" s="601"/>
      <c r="R711" s="601"/>
      <c r="S711" s="626">
        <v>2712</v>
      </c>
      <c r="T711" s="601">
        <v>2712</v>
      </c>
      <c r="U711" s="601"/>
      <c r="V711" s="601"/>
      <c r="W711" s="626">
        <v>43077</v>
      </c>
      <c r="X711"/>
    </row>
    <row r="712" spans="1:24" s="149" customFormat="1" ht="15.5">
      <c r="A712" s="128"/>
      <c r="B712" s="65" t="s">
        <v>118</v>
      </c>
      <c r="C712" s="626">
        <v>2.9632800608828006E-2</v>
      </c>
      <c r="D712" s="626">
        <v>-6.5641776476329919E-2</v>
      </c>
      <c r="E712" s="648">
        <v>-4.129560471128986E-2</v>
      </c>
      <c r="F712" s="626">
        <v>-1.0803511141120865E-2</v>
      </c>
      <c r="G712" s="626">
        <v>0</v>
      </c>
      <c r="H712" s="624">
        <v>0</v>
      </c>
      <c r="I712" s="601">
        <v>-5.8371508792670309E-3</v>
      </c>
      <c r="J712" s="638">
        <v>0</v>
      </c>
      <c r="K712" s="626">
        <v>0</v>
      </c>
      <c r="L712" s="626">
        <v>0</v>
      </c>
      <c r="M712" s="624">
        <v>0</v>
      </c>
      <c r="N712" s="601">
        <v>0</v>
      </c>
      <c r="O712" s="638">
        <v>0</v>
      </c>
      <c r="P712" s="624">
        <v>0</v>
      </c>
      <c r="Q712" s="601">
        <v>0</v>
      </c>
      <c r="R712" s="601">
        <v>0</v>
      </c>
      <c r="S712" s="648">
        <v>3.5114503816793895E-2</v>
      </c>
      <c r="T712" s="601">
        <v>3.5114503816793895E-2</v>
      </c>
      <c r="U712" s="601">
        <v>0</v>
      </c>
      <c r="V712" s="601">
        <v>0</v>
      </c>
      <c r="W712" s="626">
        <v>-3.3547730322520939E-3</v>
      </c>
      <c r="X712"/>
    </row>
    <row r="713" spans="1:24" ht="15.5">
      <c r="B713" s="65" t="s">
        <v>119</v>
      </c>
      <c r="C713" s="626">
        <v>3130</v>
      </c>
      <c r="D713" s="626">
        <v>284</v>
      </c>
      <c r="E713" s="626">
        <v>426</v>
      </c>
      <c r="F713" s="626">
        <v>1</v>
      </c>
      <c r="G713" s="626">
        <v>0</v>
      </c>
      <c r="H713" s="624"/>
      <c r="I713" s="601">
        <v>3841</v>
      </c>
      <c r="J713" s="638">
        <v>0</v>
      </c>
      <c r="K713" s="626">
        <v>0</v>
      </c>
      <c r="L713" s="626">
        <v>0</v>
      </c>
      <c r="M713" s="624">
        <v>0</v>
      </c>
      <c r="N713" s="601">
        <v>0</v>
      </c>
      <c r="O713" s="638"/>
      <c r="P713" s="624"/>
      <c r="Q713" s="601"/>
      <c r="R713" s="601"/>
      <c r="S713" s="626">
        <v>465</v>
      </c>
      <c r="T713" s="601">
        <v>465</v>
      </c>
      <c r="U713" s="601"/>
      <c r="V713" s="601"/>
      <c r="W713" s="626">
        <v>4306</v>
      </c>
      <c r="X713"/>
    </row>
    <row r="714" spans="1:24" ht="16" thickBot="1">
      <c r="B714" s="65" t="s">
        <v>120</v>
      </c>
      <c r="C714" s="626">
        <v>3333</v>
      </c>
      <c r="D714" s="626">
        <v>309</v>
      </c>
      <c r="E714" s="626">
        <v>450</v>
      </c>
      <c r="F714" s="626">
        <v>7</v>
      </c>
      <c r="G714" s="626">
        <v>0</v>
      </c>
      <c r="H714" s="624"/>
      <c r="I714" s="601">
        <v>4099</v>
      </c>
      <c r="J714" s="638">
        <v>0</v>
      </c>
      <c r="K714" s="626">
        <v>0</v>
      </c>
      <c r="L714" s="626">
        <v>0</v>
      </c>
      <c r="M714" s="624">
        <v>0</v>
      </c>
      <c r="N714" s="601">
        <v>0</v>
      </c>
      <c r="O714" s="638"/>
      <c r="P714" s="624"/>
      <c r="Q714" s="601"/>
      <c r="R714" s="601"/>
      <c r="S714" s="626">
        <v>441</v>
      </c>
      <c r="T714" s="601">
        <v>441</v>
      </c>
      <c r="U714" s="601"/>
      <c r="V714" s="601"/>
      <c r="W714" s="626">
        <v>4540</v>
      </c>
      <c r="X714"/>
    </row>
    <row r="715" spans="1:24" s="149" customFormat="1" ht="16" thickBot="1">
      <c r="A715" s="128"/>
      <c r="B715" s="65" t="s">
        <v>121</v>
      </c>
      <c r="C715" s="626">
        <v>6.4856230031948875E-2</v>
      </c>
      <c r="D715" s="658">
        <v>8.8028169014084501E-2</v>
      </c>
      <c r="E715" s="657">
        <v>5.6338028169014086E-2</v>
      </c>
      <c r="F715" s="626">
        <v>6</v>
      </c>
      <c r="G715" s="626">
        <v>0</v>
      </c>
      <c r="H715" s="624">
        <v>0</v>
      </c>
      <c r="I715" s="601">
        <v>6.7170007810466018E-2</v>
      </c>
      <c r="J715" s="638">
        <v>0</v>
      </c>
      <c r="K715" s="626">
        <v>0</v>
      </c>
      <c r="L715" s="626">
        <v>0</v>
      </c>
      <c r="M715" s="624">
        <v>0</v>
      </c>
      <c r="N715" s="601">
        <v>0</v>
      </c>
      <c r="O715" s="638">
        <v>0</v>
      </c>
      <c r="P715" s="624">
        <v>0</v>
      </c>
      <c r="Q715" s="601">
        <v>0</v>
      </c>
      <c r="R715" s="601">
        <v>0</v>
      </c>
      <c r="S715" s="648">
        <v>-5.1612903225806452E-2</v>
      </c>
      <c r="T715" s="601">
        <v>-5.1612903225806452E-2</v>
      </c>
      <c r="U715" s="601">
        <v>0</v>
      </c>
      <c r="V715" s="601">
        <v>0</v>
      </c>
      <c r="W715" s="626">
        <v>5.4342777519739899E-2</v>
      </c>
      <c r="X715"/>
    </row>
    <row r="716" spans="1:24" ht="15.5">
      <c r="B716" s="65" t="s">
        <v>122</v>
      </c>
      <c r="C716" s="626">
        <v>793</v>
      </c>
      <c r="D716" s="626"/>
      <c r="E716" s="626">
        <v>173</v>
      </c>
      <c r="F716" s="626">
        <v>113</v>
      </c>
      <c r="G716" s="626"/>
      <c r="H716" s="624"/>
      <c r="I716" s="601">
        <v>1079</v>
      </c>
      <c r="J716" s="638"/>
      <c r="K716" s="626"/>
      <c r="L716" s="626"/>
      <c r="M716" s="624"/>
      <c r="N716" s="601"/>
      <c r="O716" s="638"/>
      <c r="P716" s="624"/>
      <c r="Q716" s="601"/>
      <c r="R716" s="601"/>
      <c r="S716" s="626"/>
      <c r="T716" s="601"/>
      <c r="U716" s="601"/>
      <c r="V716" s="601"/>
      <c r="W716" s="626">
        <v>1079</v>
      </c>
      <c r="X716"/>
    </row>
    <row r="717" spans="1:24" ht="15.5">
      <c r="B717" s="65" t="s">
        <v>123</v>
      </c>
      <c r="C717" s="626">
        <v>811</v>
      </c>
      <c r="D717" s="626"/>
      <c r="E717" s="626">
        <v>208</v>
      </c>
      <c r="F717" s="626">
        <v>88</v>
      </c>
      <c r="G717" s="626"/>
      <c r="H717" s="624"/>
      <c r="I717" s="601">
        <v>1107</v>
      </c>
      <c r="J717" s="638"/>
      <c r="K717" s="626"/>
      <c r="L717" s="626"/>
      <c r="M717" s="624"/>
      <c r="N717" s="601"/>
      <c r="O717" s="638"/>
      <c r="P717" s="624"/>
      <c r="Q717" s="601"/>
      <c r="R717" s="601"/>
      <c r="S717" s="626"/>
      <c r="T717" s="601"/>
      <c r="U717" s="601"/>
      <c r="V717" s="601"/>
      <c r="W717" s="626">
        <v>1107</v>
      </c>
      <c r="X717"/>
    </row>
    <row r="718" spans="1:24" s="149" customFormat="1" ht="15.5">
      <c r="A718" s="128"/>
      <c r="B718" s="65" t="s">
        <v>124</v>
      </c>
      <c r="C718" s="648">
        <v>2.269861286254729E-2</v>
      </c>
      <c r="D718" s="626">
        <v>0</v>
      </c>
      <c r="E718" s="648">
        <v>0.20231213872832371</v>
      </c>
      <c r="F718" s="626">
        <v>-0.22123893805309736</v>
      </c>
      <c r="G718" s="626">
        <v>0</v>
      </c>
      <c r="H718" s="624">
        <v>0</v>
      </c>
      <c r="I718" s="681">
        <v>2.5949953660797033E-2</v>
      </c>
      <c r="J718" s="638">
        <v>0</v>
      </c>
      <c r="K718" s="626">
        <v>0</v>
      </c>
      <c r="L718" s="626">
        <v>0</v>
      </c>
      <c r="M718" s="624">
        <v>0</v>
      </c>
      <c r="N718" s="601">
        <v>0</v>
      </c>
      <c r="O718" s="638">
        <v>0</v>
      </c>
      <c r="P718" s="624">
        <v>0</v>
      </c>
      <c r="Q718" s="601">
        <v>0</v>
      </c>
      <c r="R718" s="601">
        <v>0</v>
      </c>
      <c r="S718" s="626">
        <v>0</v>
      </c>
      <c r="T718" s="601">
        <v>0</v>
      </c>
      <c r="U718" s="601">
        <v>0</v>
      </c>
      <c r="V718" s="601">
        <v>0</v>
      </c>
      <c r="W718" s="626">
        <v>2.5949953660797033E-2</v>
      </c>
      <c r="X718"/>
    </row>
    <row r="719" spans="1:24" ht="15.5">
      <c r="B719" s="65" t="s">
        <v>125</v>
      </c>
      <c r="C719" s="626"/>
      <c r="D719" s="626"/>
      <c r="E719" s="626"/>
      <c r="F719" s="626"/>
      <c r="G719" s="626"/>
      <c r="H719" s="624"/>
      <c r="I719" s="601"/>
      <c r="J719" s="638"/>
      <c r="K719" s="626"/>
      <c r="L719" s="626"/>
      <c r="M719" s="624"/>
      <c r="N719" s="601"/>
      <c r="O719" s="638"/>
      <c r="P719" s="624"/>
      <c r="Q719" s="601"/>
      <c r="R719" s="601"/>
      <c r="S719" s="626">
        <v>1363</v>
      </c>
      <c r="T719" s="601">
        <v>1363</v>
      </c>
      <c r="U719" s="601"/>
      <c r="V719" s="601"/>
      <c r="W719" s="626">
        <v>1363</v>
      </c>
      <c r="X719"/>
    </row>
    <row r="720" spans="1:24" ht="15.5">
      <c r="B720" s="65" t="s">
        <v>126</v>
      </c>
      <c r="C720" s="626"/>
      <c r="D720" s="626"/>
      <c r="E720" s="626"/>
      <c r="F720" s="626"/>
      <c r="G720" s="626"/>
      <c r="H720" s="624"/>
      <c r="I720" s="601"/>
      <c r="J720" s="638"/>
      <c r="K720" s="626"/>
      <c r="L720" s="626"/>
      <c r="M720" s="624"/>
      <c r="N720" s="601"/>
      <c r="O720" s="638"/>
      <c r="P720" s="624"/>
      <c r="Q720" s="601"/>
      <c r="R720" s="601"/>
      <c r="S720" s="626">
        <v>1328</v>
      </c>
      <c r="T720" s="601">
        <v>1328</v>
      </c>
      <c r="U720" s="601"/>
      <c r="V720" s="601"/>
      <c r="W720" s="626">
        <v>1328</v>
      </c>
      <c r="X720"/>
    </row>
    <row r="721" spans="1:24" s="149" customFormat="1" ht="15.5">
      <c r="A721" s="128"/>
      <c r="B721" s="65" t="s">
        <v>127</v>
      </c>
      <c r="C721" s="626">
        <v>0</v>
      </c>
      <c r="D721" s="626">
        <v>0</v>
      </c>
      <c r="E721" s="626">
        <v>0</v>
      </c>
      <c r="F721" s="626">
        <v>0</v>
      </c>
      <c r="G721" s="626">
        <v>0</v>
      </c>
      <c r="H721" s="624">
        <v>0</v>
      </c>
      <c r="I721" s="601">
        <v>0</v>
      </c>
      <c r="J721" s="638">
        <v>0</v>
      </c>
      <c r="K721" s="626">
        <v>0</v>
      </c>
      <c r="L721" s="626">
        <v>0</v>
      </c>
      <c r="M721" s="624">
        <v>0</v>
      </c>
      <c r="N721" s="601">
        <v>0</v>
      </c>
      <c r="O721" s="638">
        <v>0</v>
      </c>
      <c r="P721" s="624">
        <v>0</v>
      </c>
      <c r="Q721" s="601">
        <v>0</v>
      </c>
      <c r="R721" s="601">
        <v>0</v>
      </c>
      <c r="S721" s="648">
        <v>-2.5678650036683785E-2</v>
      </c>
      <c r="T721" s="681">
        <v>-2.5678650036683785E-2</v>
      </c>
      <c r="U721" s="601">
        <v>0</v>
      </c>
      <c r="V721" s="601">
        <v>0</v>
      </c>
      <c r="W721" s="626">
        <v>-2.5678650036683785E-2</v>
      </c>
      <c r="X721"/>
    </row>
    <row r="722" spans="1:24" ht="15.5">
      <c r="B722" s="65" t="s">
        <v>128</v>
      </c>
      <c r="C722" s="626"/>
      <c r="D722" s="626"/>
      <c r="E722" s="626"/>
      <c r="F722" s="626"/>
      <c r="G722" s="626"/>
      <c r="H722" s="624"/>
      <c r="I722" s="601"/>
      <c r="J722" s="638"/>
      <c r="K722" s="626"/>
      <c r="L722" s="626"/>
      <c r="M722" s="624"/>
      <c r="N722" s="601"/>
      <c r="O722" s="638"/>
      <c r="P722" s="624"/>
      <c r="Q722" s="601"/>
      <c r="R722" s="601"/>
      <c r="S722" s="626">
        <v>299</v>
      </c>
      <c r="T722" s="601">
        <v>299</v>
      </c>
      <c r="U722" s="601"/>
      <c r="V722" s="601"/>
      <c r="W722" s="626">
        <v>299</v>
      </c>
      <c r="X722"/>
    </row>
    <row r="723" spans="1:24" ht="15.5">
      <c r="B723" s="65" t="s">
        <v>129</v>
      </c>
      <c r="C723" s="626"/>
      <c r="D723" s="626"/>
      <c r="E723" s="626"/>
      <c r="F723" s="626"/>
      <c r="G723" s="626"/>
      <c r="H723" s="624"/>
      <c r="I723" s="601"/>
      <c r="J723" s="638"/>
      <c r="K723" s="626"/>
      <c r="L723" s="626"/>
      <c r="M723" s="624"/>
      <c r="N723" s="601"/>
      <c r="O723" s="638"/>
      <c r="P723" s="624"/>
      <c r="Q723" s="601"/>
      <c r="R723" s="601"/>
      <c r="S723" s="626">
        <v>311</v>
      </c>
      <c r="T723" s="601">
        <v>311</v>
      </c>
      <c r="U723" s="601"/>
      <c r="V723" s="601"/>
      <c r="W723" s="626">
        <v>311</v>
      </c>
      <c r="X723"/>
    </row>
    <row r="724" spans="1:24" s="149" customFormat="1" ht="15.5">
      <c r="A724" s="128"/>
      <c r="B724" s="65" t="s">
        <v>130</v>
      </c>
      <c r="C724" s="626">
        <v>0</v>
      </c>
      <c r="D724" s="626">
        <v>0</v>
      </c>
      <c r="E724" s="626">
        <v>0</v>
      </c>
      <c r="F724" s="626">
        <v>0</v>
      </c>
      <c r="G724" s="626">
        <v>0</v>
      </c>
      <c r="H724" s="624">
        <v>0</v>
      </c>
      <c r="I724" s="601">
        <v>0</v>
      </c>
      <c r="J724" s="638">
        <v>0</v>
      </c>
      <c r="K724" s="626">
        <v>0</v>
      </c>
      <c r="L724" s="626">
        <v>0</v>
      </c>
      <c r="M724" s="624">
        <v>0</v>
      </c>
      <c r="N724" s="601">
        <v>0</v>
      </c>
      <c r="O724" s="638">
        <v>0</v>
      </c>
      <c r="P724" s="624">
        <v>0</v>
      </c>
      <c r="Q724" s="601">
        <v>0</v>
      </c>
      <c r="R724" s="601">
        <v>0</v>
      </c>
      <c r="S724" s="648">
        <v>4.0133779264214048E-2</v>
      </c>
      <c r="T724" s="681">
        <v>4.0133779264214048E-2</v>
      </c>
      <c r="U724" s="601">
        <v>0</v>
      </c>
      <c r="V724" s="601">
        <v>0</v>
      </c>
      <c r="W724" s="626">
        <v>4.0133779264214048E-2</v>
      </c>
      <c r="X724"/>
    </row>
    <row r="725" spans="1:24" ht="15.5">
      <c r="B725" s="65" t="s">
        <v>131</v>
      </c>
      <c r="C725" s="626">
        <v>256</v>
      </c>
      <c r="D725" s="626"/>
      <c r="E725" s="626">
        <v>171</v>
      </c>
      <c r="F725" s="626"/>
      <c r="G725" s="626"/>
      <c r="H725" s="624"/>
      <c r="I725" s="601">
        <v>427</v>
      </c>
      <c r="J725" s="638"/>
      <c r="K725" s="626"/>
      <c r="L725" s="626"/>
      <c r="M725" s="624"/>
      <c r="N725" s="601"/>
      <c r="O725" s="638"/>
      <c r="P725" s="624"/>
      <c r="Q725" s="601"/>
      <c r="R725" s="601"/>
      <c r="S725" s="626">
        <v>366</v>
      </c>
      <c r="T725" s="601">
        <v>366</v>
      </c>
      <c r="U725" s="601"/>
      <c r="V725" s="601"/>
      <c r="W725" s="626">
        <v>793</v>
      </c>
      <c r="X725"/>
    </row>
    <row r="726" spans="1:24" ht="15.5">
      <c r="B726" s="65" t="s">
        <v>132</v>
      </c>
      <c r="C726" s="626">
        <v>226</v>
      </c>
      <c r="D726" s="626"/>
      <c r="E726" s="626">
        <v>177</v>
      </c>
      <c r="F726" s="626"/>
      <c r="G726" s="626"/>
      <c r="H726" s="624"/>
      <c r="I726" s="601">
        <v>403</v>
      </c>
      <c r="J726" s="638"/>
      <c r="K726" s="626"/>
      <c r="L726" s="626"/>
      <c r="M726" s="624"/>
      <c r="N726" s="601"/>
      <c r="O726" s="638"/>
      <c r="P726" s="624"/>
      <c r="Q726" s="601"/>
      <c r="R726" s="601"/>
      <c r="S726" s="626">
        <v>357</v>
      </c>
      <c r="T726" s="601">
        <v>357</v>
      </c>
      <c r="U726" s="601"/>
      <c r="V726" s="601"/>
      <c r="W726" s="626">
        <v>760</v>
      </c>
      <c r="X726"/>
    </row>
    <row r="727" spans="1:24" s="149" customFormat="1" ht="15.5">
      <c r="A727" s="128"/>
      <c r="B727" s="65" t="s">
        <v>133</v>
      </c>
      <c r="C727" s="648">
        <v>-0.1171875</v>
      </c>
      <c r="D727" s="626">
        <v>0</v>
      </c>
      <c r="E727" s="648">
        <v>3.5087719298245612E-2</v>
      </c>
      <c r="F727" s="626">
        <v>0</v>
      </c>
      <c r="G727" s="626">
        <v>0</v>
      </c>
      <c r="H727" s="624">
        <v>0</v>
      </c>
      <c r="I727" s="681">
        <v>-5.6206088992974239E-2</v>
      </c>
      <c r="J727" s="638">
        <v>0</v>
      </c>
      <c r="K727" s="626">
        <v>0</v>
      </c>
      <c r="L727" s="626">
        <v>0</v>
      </c>
      <c r="M727" s="624">
        <v>0</v>
      </c>
      <c r="N727" s="601">
        <v>0</v>
      </c>
      <c r="O727" s="638">
        <v>0</v>
      </c>
      <c r="P727" s="624">
        <v>0</v>
      </c>
      <c r="Q727" s="601">
        <v>0</v>
      </c>
      <c r="R727" s="601">
        <v>0</v>
      </c>
      <c r="S727" s="648">
        <v>-2.4590163934426229E-2</v>
      </c>
      <c r="T727" s="681">
        <v>-2.4590163934426229E-2</v>
      </c>
      <c r="U727" s="601">
        <v>0</v>
      </c>
      <c r="V727" s="601">
        <v>0</v>
      </c>
      <c r="W727" s="626">
        <v>-4.1614123581336697E-2</v>
      </c>
      <c r="X727"/>
    </row>
    <row r="728" spans="1:24" ht="15.5">
      <c r="B728" s="65" t="s">
        <v>134</v>
      </c>
      <c r="C728" s="626"/>
      <c r="D728" s="626"/>
      <c r="E728" s="626"/>
      <c r="F728" s="626"/>
      <c r="G728" s="626"/>
      <c r="H728" s="624"/>
      <c r="I728" s="601"/>
      <c r="J728" s="638"/>
      <c r="K728" s="626"/>
      <c r="L728" s="626"/>
      <c r="M728" s="624"/>
      <c r="N728" s="601"/>
      <c r="O728" s="638"/>
      <c r="P728" s="624"/>
      <c r="Q728" s="601"/>
      <c r="R728" s="601"/>
      <c r="S728" s="626"/>
      <c r="T728" s="601"/>
      <c r="U728" s="601"/>
      <c r="V728" s="601"/>
      <c r="W728" s="626"/>
      <c r="X728"/>
    </row>
    <row r="729" spans="1:24" ht="15.5">
      <c r="B729" s="65" t="s">
        <v>135</v>
      </c>
      <c r="C729" s="626"/>
      <c r="D729" s="626"/>
      <c r="E729" s="626"/>
      <c r="F729" s="626"/>
      <c r="G729" s="626"/>
      <c r="H729" s="624"/>
      <c r="I729" s="601"/>
      <c r="J729" s="638"/>
      <c r="K729" s="626"/>
      <c r="L729" s="626"/>
      <c r="M729" s="624"/>
      <c r="N729" s="601"/>
      <c r="O729" s="638"/>
      <c r="P729" s="624"/>
      <c r="Q729" s="601"/>
      <c r="R729" s="601"/>
      <c r="S729" s="626"/>
      <c r="T729" s="601"/>
      <c r="U729" s="601"/>
      <c r="V729" s="601"/>
      <c r="W729" s="626"/>
      <c r="X729"/>
    </row>
    <row r="730" spans="1:24" s="149" customFormat="1" ht="15.5">
      <c r="A730" s="128"/>
      <c r="B730" s="65" t="s">
        <v>136</v>
      </c>
      <c r="C730" s="626">
        <v>0</v>
      </c>
      <c r="D730" s="626">
        <v>0</v>
      </c>
      <c r="E730" s="626">
        <v>0</v>
      </c>
      <c r="F730" s="626">
        <v>0</v>
      </c>
      <c r="G730" s="626">
        <v>0</v>
      </c>
      <c r="H730" s="624">
        <v>0</v>
      </c>
      <c r="I730" s="601">
        <v>0</v>
      </c>
      <c r="J730" s="638">
        <v>0</v>
      </c>
      <c r="K730" s="626">
        <v>0</v>
      </c>
      <c r="L730" s="626">
        <v>0</v>
      </c>
      <c r="M730" s="624">
        <v>0</v>
      </c>
      <c r="N730" s="601">
        <v>0</v>
      </c>
      <c r="O730" s="638">
        <v>0</v>
      </c>
      <c r="P730" s="624">
        <v>0</v>
      </c>
      <c r="Q730" s="601">
        <v>0</v>
      </c>
      <c r="R730" s="601">
        <v>0</v>
      </c>
      <c r="S730" s="626">
        <v>0</v>
      </c>
      <c r="T730" s="601">
        <v>0</v>
      </c>
      <c r="U730" s="601">
        <v>0</v>
      </c>
      <c r="V730" s="601">
        <v>0</v>
      </c>
      <c r="W730" s="626">
        <v>0</v>
      </c>
      <c r="X730"/>
    </row>
    <row r="731" spans="1:24" ht="15.5">
      <c r="B731" s="65" t="s">
        <v>137</v>
      </c>
      <c r="C731" s="626">
        <v>102</v>
      </c>
      <c r="D731" s="626"/>
      <c r="E731" s="626"/>
      <c r="F731" s="626"/>
      <c r="G731" s="626"/>
      <c r="H731" s="624"/>
      <c r="I731" s="601">
        <v>102</v>
      </c>
      <c r="J731" s="638"/>
      <c r="K731" s="626"/>
      <c r="L731" s="626"/>
      <c r="M731" s="624"/>
      <c r="N731" s="601"/>
      <c r="O731" s="638"/>
      <c r="P731" s="624"/>
      <c r="Q731" s="601"/>
      <c r="R731" s="601"/>
      <c r="S731" s="626"/>
      <c r="T731" s="601"/>
      <c r="U731" s="601"/>
      <c r="V731" s="601"/>
      <c r="W731" s="626">
        <v>102</v>
      </c>
      <c r="X731"/>
    </row>
    <row r="732" spans="1:24" ht="15.5">
      <c r="B732" s="65" t="s">
        <v>138</v>
      </c>
      <c r="C732" s="626">
        <v>92</v>
      </c>
      <c r="D732" s="626"/>
      <c r="E732" s="626"/>
      <c r="F732" s="626"/>
      <c r="G732" s="626"/>
      <c r="H732" s="624"/>
      <c r="I732" s="601">
        <v>92</v>
      </c>
      <c r="J732" s="638"/>
      <c r="K732" s="626"/>
      <c r="L732" s="626"/>
      <c r="M732" s="624"/>
      <c r="N732" s="601"/>
      <c r="O732" s="638"/>
      <c r="P732" s="624"/>
      <c r="Q732" s="601"/>
      <c r="R732" s="601"/>
      <c r="S732" s="626"/>
      <c r="T732" s="601"/>
      <c r="U732" s="601"/>
      <c r="V732" s="601"/>
      <c r="W732" s="626">
        <v>92</v>
      </c>
      <c r="X732"/>
    </row>
    <row r="733" spans="1:24" s="149" customFormat="1" ht="15.5">
      <c r="A733" s="128"/>
      <c r="B733" s="65" t="s">
        <v>139</v>
      </c>
      <c r="C733" s="648">
        <v>-9.8039215686274508E-2</v>
      </c>
      <c r="D733" s="626">
        <v>0</v>
      </c>
      <c r="E733" s="626">
        <v>0</v>
      </c>
      <c r="F733" s="626">
        <v>0</v>
      </c>
      <c r="G733" s="626">
        <v>0</v>
      </c>
      <c r="H733" s="624">
        <v>0</v>
      </c>
      <c r="I733" s="681">
        <v>-9.8039215686274508E-2</v>
      </c>
      <c r="J733" s="638">
        <v>0</v>
      </c>
      <c r="K733" s="626">
        <v>0</v>
      </c>
      <c r="L733" s="626">
        <v>0</v>
      </c>
      <c r="M733" s="624">
        <v>0</v>
      </c>
      <c r="N733" s="601">
        <v>0</v>
      </c>
      <c r="O733" s="638">
        <v>0</v>
      </c>
      <c r="P733" s="624">
        <v>0</v>
      </c>
      <c r="Q733" s="601">
        <v>0</v>
      </c>
      <c r="R733" s="601">
        <v>0</v>
      </c>
      <c r="S733" s="626">
        <v>0</v>
      </c>
      <c r="T733" s="601">
        <v>0</v>
      </c>
      <c r="U733" s="601">
        <v>0</v>
      </c>
      <c r="V733" s="601">
        <v>0</v>
      </c>
      <c r="W733" s="626">
        <v>-9.8039215686274508E-2</v>
      </c>
      <c r="X733"/>
    </row>
    <row r="734" spans="1:24" ht="15.5">
      <c r="B734" s="65" t="s">
        <v>140</v>
      </c>
      <c r="C734" s="626"/>
      <c r="D734" s="626"/>
      <c r="E734" s="626"/>
      <c r="F734" s="626"/>
      <c r="G734" s="626"/>
      <c r="H734" s="624"/>
      <c r="I734" s="601"/>
      <c r="J734" s="638"/>
      <c r="K734" s="626"/>
      <c r="L734" s="626"/>
      <c r="M734" s="624"/>
      <c r="N734" s="601"/>
      <c r="O734" s="638"/>
      <c r="P734" s="624"/>
      <c r="Q734" s="601"/>
      <c r="R734" s="601"/>
      <c r="S734" s="626">
        <v>226</v>
      </c>
      <c r="T734" s="601">
        <v>226</v>
      </c>
      <c r="U734" s="601"/>
      <c r="V734" s="601"/>
      <c r="W734" s="626">
        <v>226</v>
      </c>
      <c r="X734"/>
    </row>
    <row r="735" spans="1:24" ht="15.5">
      <c r="B735" s="65" t="s">
        <v>141</v>
      </c>
      <c r="C735" s="626"/>
      <c r="D735" s="626"/>
      <c r="E735" s="626"/>
      <c r="F735" s="626"/>
      <c r="G735" s="626"/>
      <c r="H735" s="624"/>
      <c r="I735" s="601"/>
      <c r="J735" s="638"/>
      <c r="K735" s="626"/>
      <c r="L735" s="626"/>
      <c r="M735" s="624"/>
      <c r="N735" s="601"/>
      <c r="O735" s="638"/>
      <c r="P735" s="624"/>
      <c r="Q735" s="601"/>
      <c r="R735" s="601"/>
      <c r="S735" s="626">
        <v>206</v>
      </c>
      <c r="T735" s="601">
        <v>206</v>
      </c>
      <c r="U735" s="601"/>
      <c r="V735" s="601"/>
      <c r="W735" s="626">
        <v>206</v>
      </c>
      <c r="X735"/>
    </row>
    <row r="736" spans="1:24" s="149" customFormat="1" ht="15.5">
      <c r="A736" s="128"/>
      <c r="B736" s="65" t="s">
        <v>142</v>
      </c>
      <c r="C736" s="626">
        <v>0</v>
      </c>
      <c r="D736" s="626">
        <v>0</v>
      </c>
      <c r="E736" s="626">
        <v>0</v>
      </c>
      <c r="F736" s="626">
        <v>0</v>
      </c>
      <c r="G736" s="626">
        <v>0</v>
      </c>
      <c r="H736" s="624">
        <v>0</v>
      </c>
      <c r="I736" s="601">
        <v>0</v>
      </c>
      <c r="J736" s="638">
        <v>0</v>
      </c>
      <c r="K736" s="626">
        <v>0</v>
      </c>
      <c r="L736" s="626">
        <v>0</v>
      </c>
      <c r="M736" s="624">
        <v>0</v>
      </c>
      <c r="N736" s="601">
        <v>0</v>
      </c>
      <c r="O736" s="638">
        <v>0</v>
      </c>
      <c r="P736" s="624">
        <v>0</v>
      </c>
      <c r="Q736" s="601">
        <v>0</v>
      </c>
      <c r="R736" s="601">
        <v>0</v>
      </c>
      <c r="S736" s="648">
        <v>-8.8495575221238937E-2</v>
      </c>
      <c r="T736" s="681">
        <v>-8.8495575221238937E-2</v>
      </c>
      <c r="U736" s="601">
        <v>0</v>
      </c>
      <c r="V736" s="601">
        <v>0</v>
      </c>
      <c r="W736" s="626">
        <v>-8.8495575221238937E-2</v>
      </c>
      <c r="X736"/>
    </row>
    <row r="737" spans="1:24" ht="15.5">
      <c r="B737" s="65" t="s">
        <v>143</v>
      </c>
      <c r="C737" s="626">
        <v>131</v>
      </c>
      <c r="D737" s="626"/>
      <c r="E737" s="626"/>
      <c r="F737" s="626"/>
      <c r="G737" s="626"/>
      <c r="H737" s="624"/>
      <c r="I737" s="601">
        <v>131</v>
      </c>
      <c r="J737" s="638"/>
      <c r="K737" s="626"/>
      <c r="L737" s="626"/>
      <c r="M737" s="624"/>
      <c r="N737" s="601"/>
      <c r="O737" s="638"/>
      <c r="P737" s="624"/>
      <c r="Q737" s="601"/>
      <c r="R737" s="601"/>
      <c r="S737" s="626"/>
      <c r="T737" s="601"/>
      <c r="U737" s="601"/>
      <c r="V737" s="601"/>
      <c r="W737" s="626">
        <v>131</v>
      </c>
      <c r="X737"/>
    </row>
    <row r="738" spans="1:24" ht="15.5">
      <c r="B738" s="65" t="s">
        <v>144</v>
      </c>
      <c r="C738" s="626">
        <v>133</v>
      </c>
      <c r="D738" s="626"/>
      <c r="E738" s="626"/>
      <c r="F738" s="626"/>
      <c r="G738" s="626"/>
      <c r="H738" s="624"/>
      <c r="I738" s="601">
        <v>133</v>
      </c>
      <c r="J738" s="638"/>
      <c r="K738" s="626"/>
      <c r="L738" s="626"/>
      <c r="M738" s="624"/>
      <c r="N738" s="601"/>
      <c r="O738" s="638"/>
      <c r="P738" s="624"/>
      <c r="Q738" s="601"/>
      <c r="R738" s="601"/>
      <c r="S738" s="626"/>
      <c r="T738" s="601"/>
      <c r="U738" s="601"/>
      <c r="V738" s="601"/>
      <c r="W738" s="626">
        <v>133</v>
      </c>
      <c r="X738"/>
    </row>
    <row r="739" spans="1:24" s="149" customFormat="1" ht="15.5">
      <c r="A739" s="128"/>
      <c r="B739" s="65" t="s">
        <v>145</v>
      </c>
      <c r="C739" s="626">
        <v>1.5267175572519083E-2</v>
      </c>
      <c r="D739" s="626">
        <v>0</v>
      </c>
      <c r="E739" s="626">
        <v>0</v>
      </c>
      <c r="F739" s="626">
        <v>0</v>
      </c>
      <c r="G739" s="626">
        <v>0</v>
      </c>
      <c r="H739" s="624">
        <v>0</v>
      </c>
      <c r="I739" s="601">
        <v>1.5267175572519083E-2</v>
      </c>
      <c r="J739" s="638">
        <v>0</v>
      </c>
      <c r="K739" s="626">
        <v>0</v>
      </c>
      <c r="L739" s="626">
        <v>0</v>
      </c>
      <c r="M739" s="624">
        <v>0</v>
      </c>
      <c r="N739" s="601">
        <v>0</v>
      </c>
      <c r="O739" s="638">
        <v>0</v>
      </c>
      <c r="P739" s="624">
        <v>0</v>
      </c>
      <c r="Q739" s="601">
        <v>0</v>
      </c>
      <c r="R739" s="601">
        <v>0</v>
      </c>
      <c r="S739" s="626">
        <v>0</v>
      </c>
      <c r="T739" s="601">
        <v>0</v>
      </c>
      <c r="U739" s="601">
        <v>0</v>
      </c>
      <c r="V739" s="601">
        <v>0</v>
      </c>
      <c r="W739" s="626">
        <v>1.5267175572519083E-2</v>
      </c>
      <c r="X739"/>
    </row>
    <row r="740" spans="1:24" ht="15.5">
      <c r="B740" s="65" t="s">
        <v>146</v>
      </c>
      <c r="C740" s="626"/>
      <c r="D740" s="626"/>
      <c r="E740" s="626"/>
      <c r="F740" s="626"/>
      <c r="G740" s="626"/>
      <c r="H740" s="624"/>
      <c r="I740" s="601"/>
      <c r="J740" s="638"/>
      <c r="K740" s="626"/>
      <c r="L740" s="626"/>
      <c r="M740" s="624"/>
      <c r="N740" s="601"/>
      <c r="O740" s="638"/>
      <c r="P740" s="624"/>
      <c r="Q740" s="601"/>
      <c r="R740" s="601"/>
      <c r="S740" s="626"/>
      <c r="T740" s="601"/>
      <c r="U740" s="601"/>
      <c r="V740" s="601"/>
      <c r="W740" s="626"/>
      <c r="X740"/>
    </row>
    <row r="741" spans="1:24" ht="15.5">
      <c r="B741" s="65" t="s">
        <v>147</v>
      </c>
      <c r="C741" s="626"/>
      <c r="D741" s="626"/>
      <c r="E741" s="626"/>
      <c r="F741" s="626"/>
      <c r="G741" s="626"/>
      <c r="H741" s="624"/>
      <c r="I741" s="601"/>
      <c r="J741" s="638"/>
      <c r="K741" s="626"/>
      <c r="L741" s="626"/>
      <c r="M741" s="624"/>
      <c r="N741" s="601"/>
      <c r="O741" s="638"/>
      <c r="P741" s="624"/>
      <c r="Q741" s="601"/>
      <c r="R741" s="601"/>
      <c r="S741" s="626"/>
      <c r="T741" s="601"/>
      <c r="U741" s="601"/>
      <c r="V741" s="601"/>
      <c r="W741" s="626"/>
      <c r="X741"/>
    </row>
    <row r="742" spans="1:24" s="149" customFormat="1" ht="15.5">
      <c r="A742" s="128"/>
      <c r="B742" s="65" t="s">
        <v>148</v>
      </c>
      <c r="C742" s="626">
        <v>0</v>
      </c>
      <c r="D742" s="626">
        <v>0</v>
      </c>
      <c r="E742" s="626">
        <v>0</v>
      </c>
      <c r="F742" s="626">
        <v>0</v>
      </c>
      <c r="G742" s="626">
        <v>0</v>
      </c>
      <c r="H742" s="624">
        <v>0</v>
      </c>
      <c r="I742" s="601">
        <v>0</v>
      </c>
      <c r="J742" s="638">
        <v>0</v>
      </c>
      <c r="K742" s="626">
        <v>0</v>
      </c>
      <c r="L742" s="626">
        <v>0</v>
      </c>
      <c r="M742" s="624">
        <v>0</v>
      </c>
      <c r="N742" s="601">
        <v>0</v>
      </c>
      <c r="O742" s="638">
        <v>0</v>
      </c>
      <c r="P742" s="624">
        <v>0</v>
      </c>
      <c r="Q742" s="601">
        <v>0</v>
      </c>
      <c r="R742" s="601">
        <v>0</v>
      </c>
      <c r="S742" s="626">
        <v>0</v>
      </c>
      <c r="T742" s="601">
        <v>0</v>
      </c>
      <c r="U742" s="601">
        <v>0</v>
      </c>
      <c r="V742" s="601">
        <v>0</v>
      </c>
      <c r="W742" s="626">
        <v>0</v>
      </c>
      <c r="X742"/>
    </row>
    <row r="743" spans="1:24" ht="15.5">
      <c r="B743" s="65" t="s">
        <v>149</v>
      </c>
      <c r="C743" s="626">
        <v>32</v>
      </c>
      <c r="D743" s="626">
        <v>167</v>
      </c>
      <c r="E743" s="626">
        <v>34</v>
      </c>
      <c r="F743" s="626"/>
      <c r="G743" s="626"/>
      <c r="H743" s="624"/>
      <c r="I743" s="601">
        <v>233</v>
      </c>
      <c r="J743" s="638"/>
      <c r="K743" s="626"/>
      <c r="L743" s="626"/>
      <c r="M743" s="624"/>
      <c r="N743" s="601"/>
      <c r="O743" s="638"/>
      <c r="P743" s="624"/>
      <c r="Q743" s="601"/>
      <c r="R743" s="601"/>
      <c r="S743" s="626">
        <v>293</v>
      </c>
      <c r="T743" s="601">
        <v>293</v>
      </c>
      <c r="U743" s="601"/>
      <c r="V743" s="601"/>
      <c r="W743" s="626">
        <v>526</v>
      </c>
      <c r="X743"/>
    </row>
    <row r="744" spans="1:24" ht="16" thickBot="1">
      <c r="B744" s="65" t="s">
        <v>150</v>
      </c>
      <c r="C744" s="626">
        <v>35</v>
      </c>
      <c r="D744" s="626">
        <v>162</v>
      </c>
      <c r="E744" s="626">
        <v>34</v>
      </c>
      <c r="F744" s="626"/>
      <c r="G744" s="626"/>
      <c r="H744" s="624"/>
      <c r="I744" s="601">
        <v>231</v>
      </c>
      <c r="J744" s="638"/>
      <c r="K744" s="626"/>
      <c r="L744" s="626"/>
      <c r="M744" s="624"/>
      <c r="N744" s="601"/>
      <c r="O744" s="638"/>
      <c r="P744" s="624"/>
      <c r="Q744" s="601"/>
      <c r="R744" s="601"/>
      <c r="S744" s="626">
        <v>296</v>
      </c>
      <c r="T744" s="601">
        <v>296</v>
      </c>
      <c r="U744" s="601"/>
      <c r="V744" s="601"/>
      <c r="W744" s="626">
        <v>527</v>
      </c>
      <c r="X744"/>
    </row>
    <row r="745" spans="1:24" s="149" customFormat="1" ht="16" thickBot="1">
      <c r="A745" s="128"/>
      <c r="B745" s="65" t="s">
        <v>151</v>
      </c>
      <c r="C745" s="648">
        <v>9.375E-2</v>
      </c>
      <c r="D745" s="626">
        <v>-2.9940119760479042E-2</v>
      </c>
      <c r="E745" s="626">
        <v>0</v>
      </c>
      <c r="F745" s="626">
        <v>0</v>
      </c>
      <c r="G745" s="626">
        <v>0</v>
      </c>
      <c r="H745" s="624">
        <v>0</v>
      </c>
      <c r="I745" s="601">
        <v>-8.5836909871244635E-3</v>
      </c>
      <c r="J745" s="638">
        <v>0</v>
      </c>
      <c r="K745" s="626">
        <v>0</v>
      </c>
      <c r="L745" s="626">
        <v>0</v>
      </c>
      <c r="M745" s="624">
        <v>0</v>
      </c>
      <c r="N745" s="601">
        <v>0</v>
      </c>
      <c r="O745" s="638">
        <v>0</v>
      </c>
      <c r="P745" s="624">
        <v>0</v>
      </c>
      <c r="Q745" s="601">
        <v>0</v>
      </c>
      <c r="R745" s="601">
        <v>0</v>
      </c>
      <c r="S745" s="662">
        <v>1.0238907849829351E-2</v>
      </c>
      <c r="T745" s="601">
        <v>1.0238907849829351E-2</v>
      </c>
      <c r="U745" s="601">
        <v>0</v>
      </c>
      <c r="V745" s="601">
        <v>0</v>
      </c>
      <c r="W745" s="626">
        <v>1.9011406844106464E-3</v>
      </c>
      <c r="X745"/>
    </row>
    <row r="746" spans="1:24" ht="15.5">
      <c r="B746" s="65" t="s">
        <v>152</v>
      </c>
      <c r="C746" s="626"/>
      <c r="D746" s="626"/>
      <c r="E746" s="626"/>
      <c r="F746" s="626"/>
      <c r="G746" s="626"/>
      <c r="H746" s="624"/>
      <c r="I746" s="601"/>
      <c r="J746" s="638"/>
      <c r="K746" s="626"/>
      <c r="L746" s="626"/>
      <c r="M746" s="624"/>
      <c r="N746" s="601"/>
      <c r="O746" s="638"/>
      <c r="P746" s="624"/>
      <c r="Q746" s="601"/>
      <c r="R746" s="601"/>
      <c r="S746" s="626"/>
      <c r="T746" s="601"/>
      <c r="U746" s="601"/>
      <c r="V746" s="601"/>
      <c r="W746" s="626"/>
      <c r="X746"/>
    </row>
    <row r="747" spans="1:24" s="149" customFormat="1" ht="15.5">
      <c r="A747" s="128"/>
      <c r="B747" s="65" t="s">
        <v>153</v>
      </c>
      <c r="C747" s="626"/>
      <c r="D747" s="626"/>
      <c r="E747" s="626"/>
      <c r="F747" s="626"/>
      <c r="G747" s="626"/>
      <c r="H747" s="624"/>
      <c r="I747" s="601"/>
      <c r="J747" s="638"/>
      <c r="K747" s="626"/>
      <c r="L747" s="626"/>
      <c r="M747" s="624"/>
      <c r="N747" s="601"/>
      <c r="O747" s="638"/>
      <c r="P747" s="624"/>
      <c r="Q747" s="601"/>
      <c r="R747" s="601"/>
      <c r="S747" s="626"/>
      <c r="T747" s="601"/>
      <c r="U747" s="601"/>
      <c r="V747" s="601"/>
      <c r="W747" s="626"/>
      <c r="X747"/>
    </row>
    <row r="748" spans="1:24" ht="16" thickBot="1">
      <c r="A748" s="128" t="s">
        <v>167</v>
      </c>
      <c r="B748" s="131" t="s">
        <v>101</v>
      </c>
      <c r="C748" s="626">
        <v>94</v>
      </c>
      <c r="D748" s="626">
        <v>0</v>
      </c>
      <c r="E748" s="626">
        <v>30</v>
      </c>
      <c r="F748" s="626">
        <v>0</v>
      </c>
      <c r="G748" s="626">
        <v>29</v>
      </c>
      <c r="H748" s="624">
        <v>0</v>
      </c>
      <c r="I748" s="601">
        <v>153</v>
      </c>
      <c r="J748" s="638"/>
      <c r="K748" s="626">
        <v>6104</v>
      </c>
      <c r="L748" s="626">
        <v>5370</v>
      </c>
      <c r="M748" s="624">
        <v>3389</v>
      </c>
      <c r="N748" s="601">
        <v>14863</v>
      </c>
      <c r="O748" s="638"/>
      <c r="P748" s="624"/>
      <c r="Q748" s="601"/>
      <c r="R748" s="601"/>
      <c r="S748" s="626">
        <v>0</v>
      </c>
      <c r="T748" s="601">
        <v>0</v>
      </c>
      <c r="U748" s="601"/>
      <c r="V748" s="601"/>
      <c r="W748" s="626">
        <v>15016</v>
      </c>
      <c r="X748"/>
    </row>
    <row r="749" spans="1:24" ht="16" thickBot="1">
      <c r="B749" s="131" t="s">
        <v>102</v>
      </c>
      <c r="C749" s="669">
        <v>125</v>
      </c>
      <c r="D749" s="626">
        <v>0</v>
      </c>
      <c r="E749" s="626">
        <v>20</v>
      </c>
      <c r="F749" s="626">
        <v>0</v>
      </c>
      <c r="G749" s="626">
        <v>27</v>
      </c>
      <c r="H749" s="624">
        <v>0</v>
      </c>
      <c r="I749" s="601">
        <v>172</v>
      </c>
      <c r="J749" s="638"/>
      <c r="K749" s="626">
        <v>5440</v>
      </c>
      <c r="L749" s="626">
        <v>4722</v>
      </c>
      <c r="M749" s="624">
        <v>3470</v>
      </c>
      <c r="N749" s="601">
        <v>13632</v>
      </c>
      <c r="O749" s="638"/>
      <c r="P749" s="624"/>
      <c r="Q749" s="601"/>
      <c r="R749" s="601"/>
      <c r="S749" s="626">
        <v>0</v>
      </c>
      <c r="T749" s="601">
        <v>0</v>
      </c>
      <c r="U749" s="601"/>
      <c r="V749" s="601"/>
      <c r="W749" s="626">
        <v>13804</v>
      </c>
      <c r="X749"/>
    </row>
    <row r="750" spans="1:24" s="149" customFormat="1" ht="16" thickBot="1">
      <c r="A750" s="128"/>
      <c r="B750" s="131" t="s">
        <v>103</v>
      </c>
      <c r="C750" s="626">
        <v>0.32978723404255317</v>
      </c>
      <c r="D750" s="626">
        <v>0</v>
      </c>
      <c r="E750" s="657">
        <v>-0.33333333333333331</v>
      </c>
      <c r="F750" s="626">
        <v>0</v>
      </c>
      <c r="G750" s="626">
        <v>-6.8965517241379309E-2</v>
      </c>
      <c r="H750" s="624">
        <v>0</v>
      </c>
      <c r="I750" s="601">
        <v>0.12418300653594772</v>
      </c>
      <c r="J750" s="638">
        <v>0</v>
      </c>
      <c r="K750" s="626">
        <v>-0.10878112712975098</v>
      </c>
      <c r="L750" s="626">
        <v>-0.12067039106145251</v>
      </c>
      <c r="M750" s="624">
        <v>2.3900855709648863E-2</v>
      </c>
      <c r="N750" s="601">
        <v>-8.2823117809325164E-2</v>
      </c>
      <c r="O750" s="638">
        <v>0</v>
      </c>
      <c r="P750" s="624">
        <v>0</v>
      </c>
      <c r="Q750" s="601">
        <v>0</v>
      </c>
      <c r="R750" s="601">
        <v>0</v>
      </c>
      <c r="S750" s="626">
        <v>0</v>
      </c>
      <c r="T750" s="601">
        <v>0</v>
      </c>
      <c r="U750" s="601">
        <v>0</v>
      </c>
      <c r="V750" s="601">
        <v>0</v>
      </c>
      <c r="W750" s="626">
        <v>-8.0713905167820996E-2</v>
      </c>
      <c r="X750"/>
    </row>
    <row r="751" spans="1:24" ht="15.5">
      <c r="B751" s="65" t="s">
        <v>104</v>
      </c>
      <c r="C751" s="626"/>
      <c r="D751" s="626"/>
      <c r="E751" s="626"/>
      <c r="F751" s="626"/>
      <c r="G751" s="626"/>
      <c r="H751" s="624"/>
      <c r="I751" s="601"/>
      <c r="J751" s="638"/>
      <c r="K751" s="626"/>
      <c r="L751" s="626"/>
      <c r="M751" s="624"/>
      <c r="N751" s="601"/>
      <c r="O751" s="638"/>
      <c r="P751" s="624"/>
      <c r="Q751" s="601"/>
      <c r="R751" s="601"/>
      <c r="S751" s="626"/>
      <c r="T751" s="601"/>
      <c r="U751" s="601"/>
      <c r="V751" s="601"/>
      <c r="W751" s="626"/>
      <c r="X751"/>
    </row>
    <row r="752" spans="1:24" ht="15.5">
      <c r="B752" s="65" t="s">
        <v>105</v>
      </c>
      <c r="C752" s="626"/>
      <c r="D752" s="626"/>
      <c r="E752" s="626"/>
      <c r="F752" s="626"/>
      <c r="G752" s="626"/>
      <c r="H752" s="624"/>
      <c r="I752" s="601"/>
      <c r="J752" s="638"/>
      <c r="K752" s="626"/>
      <c r="L752" s="626"/>
      <c r="M752" s="624"/>
      <c r="N752" s="601"/>
      <c r="O752" s="638"/>
      <c r="P752" s="624"/>
      <c r="Q752" s="601"/>
      <c r="R752" s="601"/>
      <c r="S752" s="626"/>
      <c r="T752" s="601"/>
      <c r="U752" s="601"/>
      <c r="V752" s="601"/>
      <c r="W752" s="626"/>
      <c r="X752"/>
    </row>
    <row r="753" spans="1:24" s="149" customFormat="1" ht="15.5">
      <c r="A753" s="128"/>
      <c r="B753" s="65" t="s">
        <v>106</v>
      </c>
      <c r="C753" s="626">
        <v>0</v>
      </c>
      <c r="D753" s="626">
        <v>0</v>
      </c>
      <c r="E753" s="626">
        <v>0</v>
      </c>
      <c r="F753" s="626">
        <v>0</v>
      </c>
      <c r="G753" s="626">
        <v>0</v>
      </c>
      <c r="H753" s="624">
        <v>0</v>
      </c>
      <c r="I753" s="601">
        <v>0</v>
      </c>
      <c r="J753" s="638">
        <v>0</v>
      </c>
      <c r="K753" s="626">
        <v>0</v>
      </c>
      <c r="L753" s="626">
        <v>0</v>
      </c>
      <c r="M753" s="624">
        <v>0</v>
      </c>
      <c r="N753" s="601">
        <v>0</v>
      </c>
      <c r="O753" s="638">
        <v>0</v>
      </c>
      <c r="P753" s="624">
        <v>0</v>
      </c>
      <c r="Q753" s="601">
        <v>0</v>
      </c>
      <c r="R753" s="601">
        <v>0</v>
      </c>
      <c r="S753" s="626">
        <v>0</v>
      </c>
      <c r="T753" s="601">
        <v>0</v>
      </c>
      <c r="U753" s="601">
        <v>0</v>
      </c>
      <c r="V753" s="601">
        <v>0</v>
      </c>
      <c r="W753" s="626">
        <v>0</v>
      </c>
      <c r="X753"/>
    </row>
    <row r="754" spans="1:24" ht="15.5">
      <c r="B754" s="65" t="s">
        <v>107</v>
      </c>
      <c r="C754" s="626">
        <v>54</v>
      </c>
      <c r="D754" s="626">
        <v>0</v>
      </c>
      <c r="E754" s="626">
        <v>0</v>
      </c>
      <c r="F754" s="626">
        <v>3</v>
      </c>
      <c r="G754" s="626">
        <v>0</v>
      </c>
      <c r="H754" s="624">
        <v>0</v>
      </c>
      <c r="I754" s="601">
        <v>57</v>
      </c>
      <c r="J754" s="638"/>
      <c r="K754" s="626">
        <v>10653</v>
      </c>
      <c r="L754" s="626">
        <v>4826</v>
      </c>
      <c r="M754" s="624">
        <v>2455</v>
      </c>
      <c r="N754" s="601">
        <v>17934</v>
      </c>
      <c r="O754" s="638"/>
      <c r="P754" s="624"/>
      <c r="Q754" s="601"/>
      <c r="R754" s="601"/>
      <c r="S754" s="626">
        <v>0</v>
      </c>
      <c r="T754" s="601">
        <v>0</v>
      </c>
      <c r="U754" s="601"/>
      <c r="V754" s="601"/>
      <c r="W754" s="626">
        <v>17991</v>
      </c>
      <c r="X754"/>
    </row>
    <row r="755" spans="1:24" ht="16" thickBot="1">
      <c r="B755" s="65" t="s">
        <v>108</v>
      </c>
      <c r="C755" s="626">
        <v>55</v>
      </c>
      <c r="D755" s="626">
        <v>0</v>
      </c>
      <c r="E755" s="626">
        <v>31</v>
      </c>
      <c r="F755" s="626">
        <v>1</v>
      </c>
      <c r="G755" s="626">
        <v>0</v>
      </c>
      <c r="H755" s="624">
        <v>0</v>
      </c>
      <c r="I755" s="601">
        <v>87</v>
      </c>
      <c r="J755" s="638"/>
      <c r="K755" s="626">
        <v>10434</v>
      </c>
      <c r="L755" s="626">
        <v>4759</v>
      </c>
      <c r="M755" s="624">
        <v>2474</v>
      </c>
      <c r="N755" s="601">
        <v>17667</v>
      </c>
      <c r="O755" s="638"/>
      <c r="P755" s="624"/>
      <c r="Q755" s="601"/>
      <c r="R755" s="601"/>
      <c r="S755" s="626">
        <v>0</v>
      </c>
      <c r="T755" s="601">
        <v>0</v>
      </c>
      <c r="U755" s="601"/>
      <c r="V755" s="601"/>
      <c r="W755" s="626">
        <v>17754</v>
      </c>
      <c r="X755"/>
    </row>
    <row r="756" spans="1:24" s="149" customFormat="1" ht="16" thickBot="1">
      <c r="A756" s="128"/>
      <c r="B756" s="65" t="s">
        <v>109</v>
      </c>
      <c r="C756" s="626">
        <v>1.8518518518518517E-2</v>
      </c>
      <c r="D756" s="626">
        <v>0</v>
      </c>
      <c r="E756" s="648">
        <v>0</v>
      </c>
      <c r="F756" s="626">
        <v>-0.66666666666666663</v>
      </c>
      <c r="G756" s="626">
        <v>0</v>
      </c>
      <c r="H756" s="624">
        <v>0</v>
      </c>
      <c r="I756" s="601">
        <v>0.52631578947368418</v>
      </c>
      <c r="J756" s="638">
        <v>0</v>
      </c>
      <c r="K756" s="626">
        <v>-2.0557589411433399E-2</v>
      </c>
      <c r="L756" s="626">
        <v>-1.3883133029423953E-2</v>
      </c>
      <c r="M756" s="624">
        <v>7.7393075356415476E-3</v>
      </c>
      <c r="N756" s="601">
        <v>-1.488792238206758E-2</v>
      </c>
      <c r="O756" s="638">
        <v>0</v>
      </c>
      <c r="P756" s="624">
        <v>0</v>
      </c>
      <c r="Q756" s="601">
        <v>0</v>
      </c>
      <c r="R756" s="601">
        <v>0</v>
      </c>
      <c r="S756" s="626">
        <v>0</v>
      </c>
      <c r="T756" s="601">
        <v>0</v>
      </c>
      <c r="U756" s="601">
        <v>0</v>
      </c>
      <c r="V756" s="601">
        <v>0</v>
      </c>
      <c r="W756" s="626">
        <v>-1.3173253293313323E-2</v>
      </c>
      <c r="X756"/>
    </row>
    <row r="757" spans="1:24" ht="15.5">
      <c r="B757" s="65" t="s">
        <v>110</v>
      </c>
      <c r="C757" s="626">
        <v>25841</v>
      </c>
      <c r="D757" s="626">
        <v>1653</v>
      </c>
      <c r="E757" s="626">
        <v>7010</v>
      </c>
      <c r="F757" s="626">
        <v>610</v>
      </c>
      <c r="G757" s="626">
        <v>3086</v>
      </c>
      <c r="H757" s="624">
        <v>261</v>
      </c>
      <c r="I757" s="601">
        <v>38461</v>
      </c>
      <c r="J757" s="638"/>
      <c r="K757" s="626">
        <v>0</v>
      </c>
      <c r="L757" s="626">
        <v>0</v>
      </c>
      <c r="M757" s="624">
        <v>0</v>
      </c>
      <c r="N757" s="601">
        <v>0</v>
      </c>
      <c r="O757" s="638"/>
      <c r="P757" s="624"/>
      <c r="Q757" s="601"/>
      <c r="R757" s="601"/>
      <c r="S757" s="626">
        <v>351</v>
      </c>
      <c r="T757" s="601">
        <v>351</v>
      </c>
      <c r="U757" s="601"/>
      <c r="V757" s="601"/>
      <c r="W757" s="626">
        <v>38812</v>
      </c>
      <c r="X757"/>
    </row>
    <row r="758" spans="1:24" ht="15.5">
      <c r="B758" s="65" t="s">
        <v>111</v>
      </c>
      <c r="C758" s="626">
        <v>25672</v>
      </c>
      <c r="D758" s="626">
        <v>1604</v>
      </c>
      <c r="E758" s="626">
        <v>7236</v>
      </c>
      <c r="F758" s="626">
        <v>710</v>
      </c>
      <c r="G758" s="626">
        <v>2964</v>
      </c>
      <c r="H758" s="624">
        <v>232</v>
      </c>
      <c r="I758" s="601">
        <v>38418</v>
      </c>
      <c r="J758" s="638"/>
      <c r="K758" s="626">
        <v>0</v>
      </c>
      <c r="L758" s="626">
        <v>0</v>
      </c>
      <c r="M758" s="624">
        <v>0</v>
      </c>
      <c r="N758" s="601">
        <v>0</v>
      </c>
      <c r="O758" s="638"/>
      <c r="P758" s="624"/>
      <c r="Q758" s="601"/>
      <c r="R758" s="601"/>
      <c r="S758" s="626">
        <v>372</v>
      </c>
      <c r="T758" s="601">
        <v>372</v>
      </c>
      <c r="U758" s="601"/>
      <c r="V758" s="601"/>
      <c r="W758" s="626">
        <v>38790</v>
      </c>
      <c r="X758"/>
    </row>
    <row r="759" spans="1:24" s="149" customFormat="1" ht="15.5">
      <c r="A759" s="128"/>
      <c r="B759" s="65" t="s">
        <v>112</v>
      </c>
      <c r="C759" s="626">
        <v>-6.5399945822530092E-3</v>
      </c>
      <c r="D759" s="626">
        <v>-2.9643073200241985E-2</v>
      </c>
      <c r="E759" s="626">
        <v>3.2239657631954348E-2</v>
      </c>
      <c r="F759" s="626">
        <v>0.16393442622950818</v>
      </c>
      <c r="G759" s="626">
        <v>-3.9533376539209332E-2</v>
      </c>
      <c r="H759" s="624">
        <v>-0.1111111111111111</v>
      </c>
      <c r="I759" s="601">
        <v>-1.1180156522191311E-3</v>
      </c>
      <c r="J759" s="638">
        <v>0</v>
      </c>
      <c r="K759" s="626">
        <v>0</v>
      </c>
      <c r="L759" s="626">
        <v>0</v>
      </c>
      <c r="M759" s="624">
        <v>0</v>
      </c>
      <c r="N759" s="601">
        <v>0</v>
      </c>
      <c r="O759" s="638">
        <v>0</v>
      </c>
      <c r="P759" s="624">
        <v>0</v>
      </c>
      <c r="Q759" s="601">
        <v>0</v>
      </c>
      <c r="R759" s="601">
        <v>0</v>
      </c>
      <c r="S759" s="626">
        <v>5.9829059829059832E-2</v>
      </c>
      <c r="T759" s="601">
        <v>5.9829059829059832E-2</v>
      </c>
      <c r="U759" s="601">
        <v>0</v>
      </c>
      <c r="V759" s="601">
        <v>0</v>
      </c>
      <c r="W759" s="626">
        <v>-5.6683499948469542E-4</v>
      </c>
      <c r="X759"/>
    </row>
    <row r="760" spans="1:24" ht="15.5">
      <c r="B760" s="65" t="s">
        <v>113</v>
      </c>
      <c r="C760" s="626">
        <v>1569</v>
      </c>
      <c r="D760" s="626">
        <v>9</v>
      </c>
      <c r="E760" s="626">
        <v>58</v>
      </c>
      <c r="F760" s="626">
        <v>0</v>
      </c>
      <c r="G760" s="626">
        <v>1</v>
      </c>
      <c r="H760" s="624">
        <v>0</v>
      </c>
      <c r="I760" s="601">
        <v>1637</v>
      </c>
      <c r="J760" s="638"/>
      <c r="K760" s="626">
        <v>0</v>
      </c>
      <c r="L760" s="626">
        <v>0</v>
      </c>
      <c r="M760" s="624">
        <v>0</v>
      </c>
      <c r="N760" s="601">
        <v>0</v>
      </c>
      <c r="O760" s="638"/>
      <c r="P760" s="624"/>
      <c r="Q760" s="601"/>
      <c r="R760" s="601"/>
      <c r="S760" s="626">
        <v>0</v>
      </c>
      <c r="T760" s="601">
        <v>0</v>
      </c>
      <c r="U760" s="601"/>
      <c r="V760" s="601"/>
      <c r="W760" s="626">
        <v>1637</v>
      </c>
      <c r="X760"/>
    </row>
    <row r="761" spans="1:24" ht="16" thickBot="1">
      <c r="B761" s="65" t="s">
        <v>114</v>
      </c>
      <c r="C761" s="626">
        <v>1641</v>
      </c>
      <c r="D761" s="626">
        <v>24</v>
      </c>
      <c r="E761" s="626">
        <v>49</v>
      </c>
      <c r="F761" s="626">
        <v>0</v>
      </c>
      <c r="G761" s="626">
        <v>0</v>
      </c>
      <c r="H761" s="624">
        <v>0</v>
      </c>
      <c r="I761" s="601">
        <v>1714</v>
      </c>
      <c r="J761" s="638"/>
      <c r="K761" s="626">
        <v>0</v>
      </c>
      <c r="L761" s="626">
        <v>0</v>
      </c>
      <c r="M761" s="624">
        <v>0</v>
      </c>
      <c r="N761" s="601">
        <v>0</v>
      </c>
      <c r="O761" s="638"/>
      <c r="P761" s="624"/>
      <c r="Q761" s="601"/>
      <c r="R761" s="601"/>
      <c r="S761" s="626">
        <v>0</v>
      </c>
      <c r="T761" s="601">
        <v>0</v>
      </c>
      <c r="U761" s="601"/>
      <c r="V761" s="601"/>
      <c r="W761" s="626">
        <v>1714</v>
      </c>
      <c r="X761"/>
    </row>
    <row r="762" spans="1:24" s="149" customFormat="1" ht="16" thickBot="1">
      <c r="A762" s="128"/>
      <c r="B762" s="65" t="s">
        <v>115</v>
      </c>
      <c r="C762" s="662">
        <v>4.5889101338432124E-2</v>
      </c>
      <c r="D762" s="626">
        <v>1.6666666666666667</v>
      </c>
      <c r="E762" s="648">
        <v>-0.15517241379310345</v>
      </c>
      <c r="F762" s="626">
        <v>0</v>
      </c>
      <c r="G762" s="626">
        <v>-1</v>
      </c>
      <c r="H762" s="624">
        <v>0</v>
      </c>
      <c r="I762" s="601">
        <v>4.7037263286499695E-2</v>
      </c>
      <c r="J762" s="638">
        <v>0</v>
      </c>
      <c r="K762" s="626">
        <v>0</v>
      </c>
      <c r="L762" s="626">
        <v>0</v>
      </c>
      <c r="M762" s="624">
        <v>0</v>
      </c>
      <c r="N762" s="601">
        <v>0</v>
      </c>
      <c r="O762" s="638">
        <v>0</v>
      </c>
      <c r="P762" s="624">
        <v>0</v>
      </c>
      <c r="Q762" s="601">
        <v>0</v>
      </c>
      <c r="R762" s="601">
        <v>0</v>
      </c>
      <c r="S762" s="626">
        <v>0</v>
      </c>
      <c r="T762" s="601">
        <v>0</v>
      </c>
      <c r="U762" s="601">
        <v>0</v>
      </c>
      <c r="V762" s="601">
        <v>0</v>
      </c>
      <c r="W762" s="626">
        <v>4.7037263286499695E-2</v>
      </c>
      <c r="X762"/>
    </row>
    <row r="763" spans="1:24" ht="15.5">
      <c r="B763" s="65" t="s">
        <v>116</v>
      </c>
      <c r="C763" s="626">
        <v>9117</v>
      </c>
      <c r="D763" s="626">
        <v>743</v>
      </c>
      <c r="E763" s="626">
        <v>1154</v>
      </c>
      <c r="F763" s="626">
        <v>177</v>
      </c>
      <c r="G763" s="626">
        <v>354</v>
      </c>
      <c r="H763" s="624">
        <v>0</v>
      </c>
      <c r="I763" s="601">
        <v>11545</v>
      </c>
      <c r="J763" s="638"/>
      <c r="K763" s="626">
        <v>0</v>
      </c>
      <c r="L763" s="626">
        <v>0</v>
      </c>
      <c r="M763" s="624">
        <v>0</v>
      </c>
      <c r="N763" s="601">
        <v>0</v>
      </c>
      <c r="O763" s="638"/>
      <c r="P763" s="624"/>
      <c r="Q763" s="601"/>
      <c r="R763" s="601"/>
      <c r="S763" s="626">
        <v>0</v>
      </c>
      <c r="T763" s="601">
        <v>0</v>
      </c>
      <c r="U763" s="601"/>
      <c r="V763" s="601"/>
      <c r="W763" s="626">
        <v>11545</v>
      </c>
      <c r="X763"/>
    </row>
    <row r="764" spans="1:24" ht="15.5">
      <c r="B764" s="65" t="s">
        <v>117</v>
      </c>
      <c r="C764" s="626">
        <v>9318</v>
      </c>
      <c r="D764" s="626">
        <v>745</v>
      </c>
      <c r="E764" s="626">
        <v>1348</v>
      </c>
      <c r="F764" s="626">
        <v>150</v>
      </c>
      <c r="G764" s="626">
        <v>394</v>
      </c>
      <c r="H764" s="624">
        <v>0</v>
      </c>
      <c r="I764" s="601">
        <v>11955</v>
      </c>
      <c r="J764" s="638"/>
      <c r="K764" s="626">
        <v>0</v>
      </c>
      <c r="L764" s="626">
        <v>0</v>
      </c>
      <c r="M764" s="624">
        <v>0</v>
      </c>
      <c r="N764" s="601">
        <v>0</v>
      </c>
      <c r="O764" s="638"/>
      <c r="P764" s="624"/>
      <c r="Q764" s="601"/>
      <c r="R764" s="601"/>
      <c r="S764" s="626">
        <v>0</v>
      </c>
      <c r="T764" s="601">
        <v>0</v>
      </c>
      <c r="U764" s="601"/>
      <c r="V764" s="601"/>
      <c r="W764" s="626">
        <v>11955</v>
      </c>
      <c r="X764"/>
    </row>
    <row r="765" spans="1:24" s="149" customFormat="1" ht="15.5">
      <c r="A765" s="128"/>
      <c r="B765" s="65" t="s">
        <v>118</v>
      </c>
      <c r="C765" s="626">
        <v>2.2046725896676538E-2</v>
      </c>
      <c r="D765" s="626">
        <v>2.6917900403768506E-3</v>
      </c>
      <c r="E765" s="626">
        <v>0.1681109185441941</v>
      </c>
      <c r="F765" s="626">
        <v>-0.15254237288135594</v>
      </c>
      <c r="G765" s="626">
        <v>0.11299435028248588</v>
      </c>
      <c r="H765" s="624">
        <v>0</v>
      </c>
      <c r="I765" s="601">
        <v>3.5513209181463834E-2</v>
      </c>
      <c r="J765" s="638">
        <v>0</v>
      </c>
      <c r="K765" s="626">
        <v>0</v>
      </c>
      <c r="L765" s="626">
        <v>0</v>
      </c>
      <c r="M765" s="624">
        <v>0</v>
      </c>
      <c r="N765" s="601">
        <v>0</v>
      </c>
      <c r="O765" s="638">
        <v>0</v>
      </c>
      <c r="P765" s="624">
        <v>0</v>
      </c>
      <c r="Q765" s="601">
        <v>0</v>
      </c>
      <c r="R765" s="601">
        <v>0</v>
      </c>
      <c r="S765" s="626">
        <v>0</v>
      </c>
      <c r="T765" s="601">
        <v>0</v>
      </c>
      <c r="U765" s="601">
        <v>0</v>
      </c>
      <c r="V765" s="601">
        <v>0</v>
      </c>
      <c r="W765" s="626">
        <v>3.5513209181463834E-2</v>
      </c>
      <c r="X765"/>
    </row>
    <row r="766" spans="1:24" ht="15.5">
      <c r="B766" s="65" t="s">
        <v>119</v>
      </c>
      <c r="C766" s="626">
        <v>1667</v>
      </c>
      <c r="D766" s="626">
        <v>85</v>
      </c>
      <c r="E766" s="626">
        <v>96</v>
      </c>
      <c r="F766" s="626">
        <v>10</v>
      </c>
      <c r="G766" s="626">
        <v>0</v>
      </c>
      <c r="H766" s="624">
        <v>0</v>
      </c>
      <c r="I766" s="601">
        <v>1858</v>
      </c>
      <c r="J766" s="638"/>
      <c r="K766" s="626">
        <v>0</v>
      </c>
      <c r="L766" s="626">
        <v>0</v>
      </c>
      <c r="M766" s="624">
        <v>0</v>
      </c>
      <c r="N766" s="601">
        <v>0</v>
      </c>
      <c r="O766" s="638"/>
      <c r="P766" s="624"/>
      <c r="Q766" s="601"/>
      <c r="R766" s="601"/>
      <c r="S766" s="626">
        <v>0</v>
      </c>
      <c r="T766" s="601">
        <v>0</v>
      </c>
      <c r="U766" s="601"/>
      <c r="V766" s="601"/>
      <c r="W766" s="626">
        <v>1858</v>
      </c>
      <c r="X766"/>
    </row>
    <row r="767" spans="1:24" ht="16" thickBot="1">
      <c r="B767" s="65" t="s">
        <v>120</v>
      </c>
      <c r="C767" s="626">
        <v>1782</v>
      </c>
      <c r="D767" s="626">
        <v>96</v>
      </c>
      <c r="E767" s="626">
        <v>107</v>
      </c>
      <c r="F767" s="626">
        <v>6</v>
      </c>
      <c r="G767" s="626">
        <v>0</v>
      </c>
      <c r="H767" s="624">
        <v>0</v>
      </c>
      <c r="I767" s="601">
        <v>1991</v>
      </c>
      <c r="J767" s="638"/>
      <c r="K767" s="626">
        <v>0</v>
      </c>
      <c r="L767" s="626">
        <v>0</v>
      </c>
      <c r="M767" s="624">
        <v>0</v>
      </c>
      <c r="N767" s="601">
        <v>0</v>
      </c>
      <c r="O767" s="638"/>
      <c r="P767" s="624"/>
      <c r="Q767" s="601"/>
      <c r="R767" s="601"/>
      <c r="S767" s="626">
        <v>0</v>
      </c>
      <c r="T767" s="601">
        <v>0</v>
      </c>
      <c r="U767" s="601"/>
      <c r="V767" s="601"/>
      <c r="W767" s="626">
        <v>1991</v>
      </c>
      <c r="X767"/>
    </row>
    <row r="768" spans="1:24" s="149" customFormat="1" ht="16" thickBot="1">
      <c r="A768" s="128"/>
      <c r="B768" s="65" t="s">
        <v>121</v>
      </c>
      <c r="C768" s="626">
        <v>6.8986202759448112E-2</v>
      </c>
      <c r="D768" s="626">
        <v>0.12941176470588237</v>
      </c>
      <c r="E768" s="662">
        <v>0.11458333333333333</v>
      </c>
      <c r="F768" s="626">
        <v>-0.4</v>
      </c>
      <c r="G768" s="626">
        <v>0</v>
      </c>
      <c r="H768" s="624">
        <v>0</v>
      </c>
      <c r="I768" s="601">
        <v>7.1582346609257261E-2</v>
      </c>
      <c r="J768" s="638">
        <v>0</v>
      </c>
      <c r="K768" s="626">
        <v>0</v>
      </c>
      <c r="L768" s="626">
        <v>0</v>
      </c>
      <c r="M768" s="624">
        <v>0</v>
      </c>
      <c r="N768" s="601">
        <v>0</v>
      </c>
      <c r="O768" s="638">
        <v>0</v>
      </c>
      <c r="P768" s="624">
        <v>0</v>
      </c>
      <c r="Q768" s="601">
        <v>0</v>
      </c>
      <c r="R768" s="601">
        <v>0</v>
      </c>
      <c r="S768" s="626">
        <v>0</v>
      </c>
      <c r="T768" s="601">
        <v>0</v>
      </c>
      <c r="U768" s="601">
        <v>0</v>
      </c>
      <c r="V768" s="601">
        <v>0</v>
      </c>
      <c r="W768" s="626">
        <v>7.1582346609257261E-2</v>
      </c>
      <c r="X768"/>
    </row>
    <row r="769" spans="1:24" ht="15.5">
      <c r="B769" s="65" t="s">
        <v>122</v>
      </c>
      <c r="C769" s="626">
        <v>460</v>
      </c>
      <c r="D769" s="626">
        <v>230</v>
      </c>
      <c r="E769" s="626"/>
      <c r="F769" s="626"/>
      <c r="G769" s="626"/>
      <c r="H769" s="624"/>
      <c r="I769" s="601">
        <v>690</v>
      </c>
      <c r="J769" s="638"/>
      <c r="K769" s="626"/>
      <c r="L769" s="626"/>
      <c r="M769" s="624"/>
      <c r="N769" s="601"/>
      <c r="O769" s="638"/>
      <c r="P769" s="624"/>
      <c r="Q769" s="601"/>
      <c r="R769" s="601"/>
      <c r="S769" s="626"/>
      <c r="T769" s="601"/>
      <c r="U769" s="601"/>
      <c r="V769" s="601"/>
      <c r="W769" s="626">
        <v>690</v>
      </c>
      <c r="X769"/>
    </row>
    <row r="770" spans="1:24" ht="15.5">
      <c r="B770" s="65" t="s">
        <v>123</v>
      </c>
      <c r="C770" s="626"/>
      <c r="D770" s="626"/>
      <c r="E770" s="626"/>
      <c r="F770" s="626"/>
      <c r="G770" s="626"/>
      <c r="H770" s="624"/>
      <c r="I770" s="601"/>
      <c r="J770" s="638"/>
      <c r="K770" s="626"/>
      <c r="L770" s="626"/>
      <c r="M770" s="624"/>
      <c r="N770" s="601"/>
      <c r="O770" s="638"/>
      <c r="P770" s="624"/>
      <c r="Q770" s="601"/>
      <c r="R770" s="601"/>
      <c r="S770" s="626"/>
      <c r="T770" s="601"/>
      <c r="U770" s="601"/>
      <c r="V770" s="601"/>
      <c r="W770" s="626"/>
      <c r="X770"/>
    </row>
    <row r="771" spans="1:24" s="149" customFormat="1" ht="15.5">
      <c r="A771" s="128"/>
      <c r="B771" s="65" t="s">
        <v>124</v>
      </c>
      <c r="C771" s="626">
        <v>-1</v>
      </c>
      <c r="D771" s="626">
        <v>-1</v>
      </c>
      <c r="E771" s="626">
        <v>0</v>
      </c>
      <c r="F771" s="626">
        <v>0</v>
      </c>
      <c r="G771" s="626">
        <v>0</v>
      </c>
      <c r="H771" s="624">
        <v>0</v>
      </c>
      <c r="I771" s="601">
        <v>-1</v>
      </c>
      <c r="J771" s="638">
        <v>0</v>
      </c>
      <c r="K771" s="626">
        <v>0</v>
      </c>
      <c r="L771" s="626">
        <v>0</v>
      </c>
      <c r="M771" s="624">
        <v>0</v>
      </c>
      <c r="N771" s="601">
        <v>0</v>
      </c>
      <c r="O771" s="638">
        <v>0</v>
      </c>
      <c r="P771" s="624">
        <v>0</v>
      </c>
      <c r="Q771" s="601">
        <v>0</v>
      </c>
      <c r="R771" s="601">
        <v>0</v>
      </c>
      <c r="S771" s="626">
        <v>0</v>
      </c>
      <c r="T771" s="601">
        <v>0</v>
      </c>
      <c r="U771" s="601">
        <v>0</v>
      </c>
      <c r="V771" s="601">
        <v>0</v>
      </c>
      <c r="W771" s="626">
        <v>-1</v>
      </c>
      <c r="X771"/>
    </row>
    <row r="772" spans="1:24" ht="15.5">
      <c r="B772" s="65" t="s">
        <v>125</v>
      </c>
      <c r="C772" s="626">
        <v>391</v>
      </c>
      <c r="D772" s="626"/>
      <c r="E772" s="626"/>
      <c r="F772" s="626"/>
      <c r="G772" s="626"/>
      <c r="H772" s="624"/>
      <c r="I772" s="601">
        <v>391</v>
      </c>
      <c r="J772" s="638"/>
      <c r="K772" s="626"/>
      <c r="L772" s="626"/>
      <c r="M772" s="624"/>
      <c r="N772" s="601"/>
      <c r="O772" s="638"/>
      <c r="P772" s="624"/>
      <c r="Q772" s="601"/>
      <c r="R772" s="601"/>
      <c r="S772" s="626"/>
      <c r="T772" s="601"/>
      <c r="U772" s="601"/>
      <c r="V772" s="601"/>
      <c r="W772" s="626">
        <v>391</v>
      </c>
      <c r="X772"/>
    </row>
    <row r="773" spans="1:24" ht="15.5">
      <c r="B773" s="65" t="s">
        <v>126</v>
      </c>
      <c r="C773" s="626"/>
      <c r="D773" s="626"/>
      <c r="E773" s="626"/>
      <c r="F773" s="626"/>
      <c r="G773" s="626"/>
      <c r="H773" s="624"/>
      <c r="I773" s="601"/>
      <c r="J773" s="638"/>
      <c r="K773" s="626"/>
      <c r="L773" s="626"/>
      <c r="M773" s="624"/>
      <c r="N773" s="601"/>
      <c r="O773" s="638"/>
      <c r="P773" s="624"/>
      <c r="Q773" s="601"/>
      <c r="R773" s="601"/>
      <c r="S773" s="626"/>
      <c r="T773" s="601"/>
      <c r="U773" s="601"/>
      <c r="V773" s="601"/>
      <c r="W773" s="626"/>
      <c r="X773"/>
    </row>
    <row r="774" spans="1:24" s="149" customFormat="1" ht="15.5">
      <c r="A774" s="128"/>
      <c r="B774" s="65" t="s">
        <v>127</v>
      </c>
      <c r="C774" s="626">
        <v>-1</v>
      </c>
      <c r="D774" s="626">
        <v>0</v>
      </c>
      <c r="E774" s="626">
        <v>0</v>
      </c>
      <c r="F774" s="626">
        <v>0</v>
      </c>
      <c r="G774" s="626">
        <v>0</v>
      </c>
      <c r="H774" s="624">
        <v>0</v>
      </c>
      <c r="I774" s="601">
        <v>-1</v>
      </c>
      <c r="J774" s="638">
        <v>0</v>
      </c>
      <c r="K774" s="626">
        <v>0</v>
      </c>
      <c r="L774" s="626">
        <v>0</v>
      </c>
      <c r="M774" s="624">
        <v>0</v>
      </c>
      <c r="N774" s="601">
        <v>0</v>
      </c>
      <c r="O774" s="638">
        <v>0</v>
      </c>
      <c r="P774" s="624">
        <v>0</v>
      </c>
      <c r="Q774" s="601">
        <v>0</v>
      </c>
      <c r="R774" s="601">
        <v>0</v>
      </c>
      <c r="S774" s="626">
        <v>0</v>
      </c>
      <c r="T774" s="601">
        <v>0</v>
      </c>
      <c r="U774" s="601">
        <v>0</v>
      </c>
      <c r="V774" s="601">
        <v>0</v>
      </c>
      <c r="W774" s="626">
        <v>-1</v>
      </c>
      <c r="X774"/>
    </row>
    <row r="775" spans="1:24" ht="15.5">
      <c r="B775" s="65" t="s">
        <v>128</v>
      </c>
      <c r="C775" s="626">
        <v>101</v>
      </c>
      <c r="D775" s="626"/>
      <c r="E775" s="626"/>
      <c r="F775" s="626"/>
      <c r="G775" s="626"/>
      <c r="H775" s="624"/>
      <c r="I775" s="601">
        <v>101</v>
      </c>
      <c r="J775" s="638"/>
      <c r="K775" s="626"/>
      <c r="L775" s="626"/>
      <c r="M775" s="624"/>
      <c r="N775" s="601"/>
      <c r="O775" s="638"/>
      <c r="P775" s="624"/>
      <c r="Q775" s="601"/>
      <c r="R775" s="601"/>
      <c r="S775" s="626"/>
      <c r="T775" s="601"/>
      <c r="U775" s="601"/>
      <c r="V775" s="601"/>
      <c r="W775" s="626">
        <v>101</v>
      </c>
      <c r="X775"/>
    </row>
    <row r="776" spans="1:24" ht="15.5">
      <c r="B776" s="65" t="s">
        <v>129</v>
      </c>
      <c r="C776" s="626"/>
      <c r="D776" s="626"/>
      <c r="E776" s="626"/>
      <c r="F776" s="626"/>
      <c r="G776" s="626"/>
      <c r="H776" s="624"/>
      <c r="I776" s="601"/>
      <c r="J776" s="638"/>
      <c r="K776" s="626"/>
      <c r="L776" s="626"/>
      <c r="M776" s="624"/>
      <c r="N776" s="601"/>
      <c r="O776" s="638"/>
      <c r="P776" s="624"/>
      <c r="Q776" s="601"/>
      <c r="R776" s="601"/>
      <c r="S776" s="626"/>
      <c r="T776" s="601"/>
      <c r="U776" s="601"/>
      <c r="V776" s="601"/>
      <c r="W776" s="626"/>
      <c r="X776"/>
    </row>
    <row r="777" spans="1:24" s="149" customFormat="1" ht="15.5">
      <c r="A777" s="128"/>
      <c r="B777" s="65" t="s">
        <v>130</v>
      </c>
      <c r="C777" s="626">
        <v>-1</v>
      </c>
      <c r="D777" s="626">
        <v>0</v>
      </c>
      <c r="E777" s="626">
        <v>0</v>
      </c>
      <c r="F777" s="626">
        <v>0</v>
      </c>
      <c r="G777" s="626">
        <v>0</v>
      </c>
      <c r="H777" s="624">
        <v>0</v>
      </c>
      <c r="I777" s="601">
        <v>-1</v>
      </c>
      <c r="J777" s="638">
        <v>0</v>
      </c>
      <c r="K777" s="626">
        <v>0</v>
      </c>
      <c r="L777" s="626">
        <v>0</v>
      </c>
      <c r="M777" s="624">
        <v>0</v>
      </c>
      <c r="N777" s="601">
        <v>0</v>
      </c>
      <c r="O777" s="638">
        <v>0</v>
      </c>
      <c r="P777" s="624">
        <v>0</v>
      </c>
      <c r="Q777" s="601">
        <v>0</v>
      </c>
      <c r="R777" s="601">
        <v>0</v>
      </c>
      <c r="S777" s="626">
        <v>0</v>
      </c>
      <c r="T777" s="601">
        <v>0</v>
      </c>
      <c r="U777" s="601">
        <v>0</v>
      </c>
      <c r="V777" s="601">
        <v>0</v>
      </c>
      <c r="W777" s="626">
        <v>-1</v>
      </c>
      <c r="X777"/>
    </row>
    <row r="778" spans="1:24" ht="15.5">
      <c r="B778" s="65" t="s">
        <v>131</v>
      </c>
      <c r="C778" s="626">
        <v>124</v>
      </c>
      <c r="D778" s="626"/>
      <c r="E778" s="626"/>
      <c r="F778" s="626"/>
      <c r="G778" s="626"/>
      <c r="H778" s="624"/>
      <c r="I778" s="601">
        <v>124</v>
      </c>
      <c r="J778" s="638"/>
      <c r="K778" s="626"/>
      <c r="L778" s="626"/>
      <c r="M778" s="624"/>
      <c r="N778" s="601"/>
      <c r="O778" s="638"/>
      <c r="P778" s="624"/>
      <c r="Q778" s="601"/>
      <c r="R778" s="601"/>
      <c r="S778" s="626"/>
      <c r="T778" s="601"/>
      <c r="U778" s="601"/>
      <c r="V778" s="601"/>
      <c r="W778" s="626">
        <v>124</v>
      </c>
      <c r="X778"/>
    </row>
    <row r="779" spans="1:24" ht="15.5">
      <c r="B779" s="65" t="s">
        <v>132</v>
      </c>
      <c r="C779" s="626"/>
      <c r="D779" s="626"/>
      <c r="E779" s="626"/>
      <c r="F779" s="626"/>
      <c r="G779" s="626"/>
      <c r="H779" s="624"/>
      <c r="I779" s="601"/>
      <c r="J779" s="638"/>
      <c r="K779" s="626"/>
      <c r="L779" s="626"/>
      <c r="M779" s="624"/>
      <c r="N779" s="601"/>
      <c r="O779" s="638"/>
      <c r="P779" s="624"/>
      <c r="Q779" s="601"/>
      <c r="R779" s="601"/>
      <c r="S779" s="626"/>
      <c r="T779" s="601"/>
      <c r="U779" s="601"/>
      <c r="V779" s="601"/>
      <c r="W779" s="626"/>
      <c r="X779"/>
    </row>
    <row r="780" spans="1:24" s="149" customFormat="1" ht="15.5">
      <c r="A780" s="128"/>
      <c r="B780" s="65" t="s">
        <v>133</v>
      </c>
      <c r="C780" s="626">
        <v>-1</v>
      </c>
      <c r="D780" s="626">
        <v>0</v>
      </c>
      <c r="E780" s="626">
        <v>0</v>
      </c>
      <c r="F780" s="626">
        <v>0</v>
      </c>
      <c r="G780" s="626">
        <v>0</v>
      </c>
      <c r="H780" s="624">
        <v>0</v>
      </c>
      <c r="I780" s="601">
        <v>-1</v>
      </c>
      <c r="J780" s="638">
        <v>0</v>
      </c>
      <c r="K780" s="626">
        <v>0</v>
      </c>
      <c r="L780" s="626">
        <v>0</v>
      </c>
      <c r="M780" s="624">
        <v>0</v>
      </c>
      <c r="N780" s="601">
        <v>0</v>
      </c>
      <c r="O780" s="638">
        <v>0</v>
      </c>
      <c r="P780" s="624">
        <v>0</v>
      </c>
      <c r="Q780" s="601">
        <v>0</v>
      </c>
      <c r="R780" s="601">
        <v>0</v>
      </c>
      <c r="S780" s="626">
        <v>0</v>
      </c>
      <c r="T780" s="601">
        <v>0</v>
      </c>
      <c r="U780" s="601">
        <v>0</v>
      </c>
      <c r="V780" s="601">
        <v>0</v>
      </c>
      <c r="W780" s="626">
        <v>-1</v>
      </c>
      <c r="X780"/>
    </row>
    <row r="781" spans="1:24" ht="15.5">
      <c r="B781" s="65" t="s">
        <v>134</v>
      </c>
      <c r="C781" s="626"/>
      <c r="D781" s="626"/>
      <c r="E781" s="626"/>
      <c r="F781" s="626"/>
      <c r="G781" s="626"/>
      <c r="H781" s="624"/>
      <c r="I781" s="601"/>
      <c r="J781" s="638"/>
      <c r="K781" s="626"/>
      <c r="L781" s="626"/>
      <c r="M781" s="624"/>
      <c r="N781" s="601"/>
      <c r="O781" s="638"/>
      <c r="P781" s="624"/>
      <c r="Q781" s="601"/>
      <c r="R781" s="601"/>
      <c r="S781" s="626"/>
      <c r="T781" s="601"/>
      <c r="U781" s="601"/>
      <c r="V781" s="601"/>
      <c r="W781" s="626"/>
      <c r="X781"/>
    </row>
    <row r="782" spans="1:24" ht="15.5">
      <c r="B782" s="65" t="s">
        <v>135</v>
      </c>
      <c r="C782" s="626"/>
      <c r="D782" s="626"/>
      <c r="E782" s="626"/>
      <c r="F782" s="626"/>
      <c r="G782" s="626"/>
      <c r="H782" s="624"/>
      <c r="I782" s="601"/>
      <c r="J782" s="638"/>
      <c r="K782" s="626"/>
      <c r="L782" s="626"/>
      <c r="M782" s="624"/>
      <c r="N782" s="601"/>
      <c r="O782" s="638"/>
      <c r="P782" s="624"/>
      <c r="Q782" s="601"/>
      <c r="R782" s="601"/>
      <c r="S782" s="626"/>
      <c r="T782" s="601"/>
      <c r="U782" s="601"/>
      <c r="V782" s="601"/>
      <c r="W782" s="626"/>
      <c r="X782"/>
    </row>
    <row r="783" spans="1:24" s="149" customFormat="1" ht="15.5">
      <c r="A783" s="128"/>
      <c r="B783" s="65" t="s">
        <v>136</v>
      </c>
      <c r="C783" s="626">
        <v>0</v>
      </c>
      <c r="D783" s="626">
        <v>0</v>
      </c>
      <c r="E783" s="626">
        <v>0</v>
      </c>
      <c r="F783" s="626">
        <v>0</v>
      </c>
      <c r="G783" s="626">
        <v>0</v>
      </c>
      <c r="H783" s="624">
        <v>0</v>
      </c>
      <c r="I783" s="601">
        <v>0</v>
      </c>
      <c r="J783" s="638">
        <v>0</v>
      </c>
      <c r="K783" s="626">
        <v>0</v>
      </c>
      <c r="L783" s="626">
        <v>0</v>
      </c>
      <c r="M783" s="624">
        <v>0</v>
      </c>
      <c r="N783" s="601">
        <v>0</v>
      </c>
      <c r="O783" s="638">
        <v>0</v>
      </c>
      <c r="P783" s="624">
        <v>0</v>
      </c>
      <c r="Q783" s="601">
        <v>0</v>
      </c>
      <c r="R783" s="601">
        <v>0</v>
      </c>
      <c r="S783" s="626">
        <v>0</v>
      </c>
      <c r="T783" s="601">
        <v>0</v>
      </c>
      <c r="U783" s="601">
        <v>0</v>
      </c>
      <c r="V783" s="601">
        <v>0</v>
      </c>
      <c r="W783" s="626">
        <v>0</v>
      </c>
      <c r="X783"/>
    </row>
    <row r="784" spans="1:24" ht="15.5">
      <c r="B784" s="65" t="s">
        <v>137</v>
      </c>
      <c r="C784" s="626"/>
      <c r="D784" s="626"/>
      <c r="E784" s="626"/>
      <c r="F784" s="626"/>
      <c r="G784" s="626"/>
      <c r="H784" s="624"/>
      <c r="I784" s="601"/>
      <c r="J784" s="638"/>
      <c r="K784" s="626"/>
      <c r="L784" s="626"/>
      <c r="M784" s="624"/>
      <c r="N784" s="601"/>
      <c r="O784" s="638"/>
      <c r="P784" s="624"/>
      <c r="Q784" s="601"/>
      <c r="R784" s="601"/>
      <c r="S784" s="626"/>
      <c r="T784" s="601"/>
      <c r="U784" s="601"/>
      <c r="V784" s="601"/>
      <c r="W784" s="626"/>
      <c r="X784"/>
    </row>
    <row r="785" spans="1:24" ht="15.5">
      <c r="B785" s="65" t="s">
        <v>138</v>
      </c>
      <c r="C785" s="626"/>
      <c r="D785" s="626"/>
      <c r="E785" s="626"/>
      <c r="F785" s="626"/>
      <c r="G785" s="626"/>
      <c r="H785" s="624"/>
      <c r="I785" s="601"/>
      <c r="J785" s="638"/>
      <c r="K785" s="626"/>
      <c r="L785" s="626"/>
      <c r="M785" s="624"/>
      <c r="N785" s="601"/>
      <c r="O785" s="638"/>
      <c r="P785" s="624"/>
      <c r="Q785" s="601"/>
      <c r="R785" s="601"/>
      <c r="S785" s="626"/>
      <c r="T785" s="601"/>
      <c r="U785" s="601"/>
      <c r="V785" s="601"/>
      <c r="W785" s="626"/>
      <c r="X785"/>
    </row>
    <row r="786" spans="1:24" s="149" customFormat="1" ht="15.5">
      <c r="A786" s="128"/>
      <c r="B786" s="65" t="s">
        <v>139</v>
      </c>
      <c r="C786" s="626">
        <v>0</v>
      </c>
      <c r="D786" s="626">
        <v>0</v>
      </c>
      <c r="E786" s="626">
        <v>0</v>
      </c>
      <c r="F786" s="626">
        <v>0</v>
      </c>
      <c r="G786" s="626">
        <v>0</v>
      </c>
      <c r="H786" s="624">
        <v>0</v>
      </c>
      <c r="I786" s="601">
        <v>0</v>
      </c>
      <c r="J786" s="638">
        <v>0</v>
      </c>
      <c r="K786" s="626">
        <v>0</v>
      </c>
      <c r="L786" s="626">
        <v>0</v>
      </c>
      <c r="M786" s="624">
        <v>0</v>
      </c>
      <c r="N786" s="601">
        <v>0</v>
      </c>
      <c r="O786" s="638">
        <v>0</v>
      </c>
      <c r="P786" s="624">
        <v>0</v>
      </c>
      <c r="Q786" s="601">
        <v>0</v>
      </c>
      <c r="R786" s="601">
        <v>0</v>
      </c>
      <c r="S786" s="626">
        <v>0</v>
      </c>
      <c r="T786" s="601">
        <v>0</v>
      </c>
      <c r="U786" s="601">
        <v>0</v>
      </c>
      <c r="V786" s="601">
        <v>0</v>
      </c>
      <c r="W786" s="626">
        <v>0</v>
      </c>
      <c r="X786"/>
    </row>
    <row r="787" spans="1:24" ht="15.5">
      <c r="B787" s="65" t="s">
        <v>140</v>
      </c>
      <c r="C787" s="626"/>
      <c r="D787" s="626"/>
      <c r="E787" s="626"/>
      <c r="F787" s="626"/>
      <c r="G787" s="626"/>
      <c r="H787" s="624"/>
      <c r="I787" s="601"/>
      <c r="J787" s="638"/>
      <c r="K787" s="626"/>
      <c r="L787" s="626"/>
      <c r="M787" s="624"/>
      <c r="N787" s="601"/>
      <c r="O787" s="638"/>
      <c r="P787" s="624"/>
      <c r="Q787" s="601"/>
      <c r="R787" s="601"/>
      <c r="S787" s="626"/>
      <c r="T787" s="601"/>
      <c r="U787" s="601"/>
      <c r="V787" s="601"/>
      <c r="W787" s="626"/>
      <c r="X787"/>
    </row>
    <row r="788" spans="1:24" ht="16" thickBot="1">
      <c r="B788" s="65" t="s">
        <v>141</v>
      </c>
      <c r="C788" s="626"/>
      <c r="D788" s="626"/>
      <c r="E788" s="626"/>
      <c r="F788" s="626"/>
      <c r="G788" s="626"/>
      <c r="H788" s="624"/>
      <c r="I788" s="601"/>
      <c r="J788" s="638"/>
      <c r="K788" s="626"/>
      <c r="L788" s="626"/>
      <c r="M788" s="624"/>
      <c r="N788" s="601"/>
      <c r="O788" s="638"/>
      <c r="P788" s="624"/>
      <c r="Q788" s="601"/>
      <c r="R788" s="601"/>
      <c r="S788" s="626"/>
      <c r="T788" s="601"/>
      <c r="U788" s="601"/>
      <c r="V788" s="601"/>
      <c r="W788" s="626"/>
      <c r="X788"/>
    </row>
    <row r="789" spans="1:24" s="149" customFormat="1" ht="16" thickBot="1">
      <c r="A789" s="128"/>
      <c r="B789" s="65" t="s">
        <v>142</v>
      </c>
      <c r="C789" s="626">
        <v>0</v>
      </c>
      <c r="D789" s="626">
        <v>0</v>
      </c>
      <c r="E789" s="626">
        <v>0</v>
      </c>
      <c r="F789" s="626">
        <v>0</v>
      </c>
      <c r="G789" s="626">
        <v>0</v>
      </c>
      <c r="H789" s="624">
        <v>0</v>
      </c>
      <c r="I789" s="601">
        <v>0</v>
      </c>
      <c r="J789" s="638">
        <v>0</v>
      </c>
      <c r="K789" s="626">
        <v>0</v>
      </c>
      <c r="L789" s="626">
        <v>0</v>
      </c>
      <c r="M789" s="624">
        <v>0</v>
      </c>
      <c r="N789" s="601">
        <v>0</v>
      </c>
      <c r="O789" s="638">
        <v>0</v>
      </c>
      <c r="P789" s="624">
        <v>0</v>
      </c>
      <c r="Q789" s="601">
        <v>0</v>
      </c>
      <c r="R789" s="601">
        <v>0</v>
      </c>
      <c r="S789" s="626">
        <v>0</v>
      </c>
      <c r="T789" s="601">
        <v>0</v>
      </c>
      <c r="U789" s="601">
        <v>0</v>
      </c>
      <c r="V789" s="601">
        <v>0</v>
      </c>
      <c r="W789" s="626">
        <v>0</v>
      </c>
      <c r="X789"/>
    </row>
    <row r="790" spans="1:24" ht="15.5">
      <c r="B790" s="65" t="s">
        <v>143</v>
      </c>
      <c r="C790" s="626">
        <v>123</v>
      </c>
      <c r="D790" s="626"/>
      <c r="E790" s="626"/>
      <c r="F790" s="626"/>
      <c r="G790" s="626"/>
      <c r="H790" s="624"/>
      <c r="I790" s="601">
        <v>123</v>
      </c>
      <c r="J790" s="638"/>
      <c r="K790" s="626"/>
      <c r="L790" s="626"/>
      <c r="M790" s="624"/>
      <c r="N790" s="601"/>
      <c r="O790" s="638"/>
      <c r="P790" s="624"/>
      <c r="Q790" s="601"/>
      <c r="R790" s="601"/>
      <c r="S790" s="626"/>
      <c r="T790" s="601"/>
      <c r="U790" s="601"/>
      <c r="V790" s="601"/>
      <c r="W790" s="626">
        <v>123</v>
      </c>
      <c r="X790"/>
    </row>
    <row r="791" spans="1:24" ht="15.5">
      <c r="B791" s="65" t="s">
        <v>144</v>
      </c>
      <c r="C791" s="626"/>
      <c r="D791" s="626"/>
      <c r="E791" s="626"/>
      <c r="F791" s="626"/>
      <c r="G791" s="626"/>
      <c r="H791" s="624"/>
      <c r="I791" s="601"/>
      <c r="J791" s="638"/>
      <c r="K791" s="626"/>
      <c r="L791" s="626"/>
      <c r="M791" s="624"/>
      <c r="N791" s="601"/>
      <c r="O791" s="638"/>
      <c r="P791" s="624"/>
      <c r="Q791" s="601"/>
      <c r="R791" s="601"/>
      <c r="S791" s="626"/>
      <c r="T791" s="601"/>
      <c r="U791" s="601"/>
      <c r="V791" s="601"/>
      <c r="W791" s="626"/>
      <c r="X791"/>
    </row>
    <row r="792" spans="1:24" s="149" customFormat="1" ht="15.5">
      <c r="A792" s="128"/>
      <c r="B792" s="65" t="s">
        <v>145</v>
      </c>
      <c r="C792" s="626">
        <v>-1</v>
      </c>
      <c r="D792" s="626">
        <v>0</v>
      </c>
      <c r="E792" s="626">
        <v>0</v>
      </c>
      <c r="F792" s="626">
        <v>0</v>
      </c>
      <c r="G792" s="626">
        <v>0</v>
      </c>
      <c r="H792" s="624">
        <v>0</v>
      </c>
      <c r="I792" s="601">
        <v>-1</v>
      </c>
      <c r="J792" s="638">
        <v>0</v>
      </c>
      <c r="K792" s="626">
        <v>0</v>
      </c>
      <c r="L792" s="626">
        <v>0</v>
      </c>
      <c r="M792" s="624">
        <v>0</v>
      </c>
      <c r="N792" s="601">
        <v>0</v>
      </c>
      <c r="O792" s="638">
        <v>0</v>
      </c>
      <c r="P792" s="624">
        <v>0</v>
      </c>
      <c r="Q792" s="601">
        <v>0</v>
      </c>
      <c r="R792" s="601">
        <v>0</v>
      </c>
      <c r="S792" s="626">
        <v>0</v>
      </c>
      <c r="T792" s="601">
        <v>0</v>
      </c>
      <c r="U792" s="601">
        <v>0</v>
      </c>
      <c r="V792" s="601">
        <v>0</v>
      </c>
      <c r="W792" s="626">
        <v>-1</v>
      </c>
      <c r="X792"/>
    </row>
    <row r="793" spans="1:24" ht="15.5">
      <c r="B793" s="65" t="s">
        <v>146</v>
      </c>
      <c r="C793" s="626"/>
      <c r="D793" s="626"/>
      <c r="E793" s="626"/>
      <c r="F793" s="626"/>
      <c r="G793" s="626"/>
      <c r="H793" s="624"/>
      <c r="I793" s="601"/>
      <c r="J793" s="638"/>
      <c r="K793" s="626"/>
      <c r="L793" s="626"/>
      <c r="M793" s="624"/>
      <c r="N793" s="601"/>
      <c r="O793" s="638"/>
      <c r="P793" s="624"/>
      <c r="Q793" s="601"/>
      <c r="R793" s="601"/>
      <c r="S793" s="626"/>
      <c r="T793" s="601"/>
      <c r="U793" s="601"/>
      <c r="V793" s="601"/>
      <c r="W793" s="626"/>
      <c r="X793"/>
    </row>
    <row r="794" spans="1:24" ht="15.5">
      <c r="B794" s="65" t="s">
        <v>147</v>
      </c>
      <c r="C794" s="626"/>
      <c r="D794" s="626"/>
      <c r="E794" s="626"/>
      <c r="F794" s="626"/>
      <c r="G794" s="626"/>
      <c r="H794" s="624"/>
      <c r="I794" s="601"/>
      <c r="J794" s="638"/>
      <c r="K794" s="626"/>
      <c r="L794" s="626"/>
      <c r="M794" s="624"/>
      <c r="N794" s="601"/>
      <c r="O794" s="638"/>
      <c r="P794" s="624"/>
      <c r="Q794" s="601"/>
      <c r="R794" s="601"/>
      <c r="S794" s="626"/>
      <c r="T794" s="601"/>
      <c r="U794" s="601"/>
      <c r="V794" s="601"/>
      <c r="W794" s="626"/>
      <c r="X794"/>
    </row>
    <row r="795" spans="1:24" s="149" customFormat="1" ht="15.5">
      <c r="A795" s="128"/>
      <c r="B795" s="65" t="s">
        <v>148</v>
      </c>
      <c r="C795" s="626">
        <v>0</v>
      </c>
      <c r="D795" s="626">
        <v>0</v>
      </c>
      <c r="E795" s="626">
        <v>0</v>
      </c>
      <c r="F795" s="626">
        <v>0</v>
      </c>
      <c r="G795" s="626">
        <v>0</v>
      </c>
      <c r="H795" s="624">
        <v>0</v>
      </c>
      <c r="I795" s="601">
        <v>0</v>
      </c>
      <c r="J795" s="638">
        <v>0</v>
      </c>
      <c r="K795" s="626">
        <v>0</v>
      </c>
      <c r="L795" s="626">
        <v>0</v>
      </c>
      <c r="M795" s="624">
        <v>0</v>
      </c>
      <c r="N795" s="601">
        <v>0</v>
      </c>
      <c r="O795" s="638">
        <v>0</v>
      </c>
      <c r="P795" s="624">
        <v>0</v>
      </c>
      <c r="Q795" s="601">
        <v>0</v>
      </c>
      <c r="R795" s="601">
        <v>0</v>
      </c>
      <c r="S795" s="626">
        <v>0</v>
      </c>
      <c r="T795" s="601">
        <v>0</v>
      </c>
      <c r="U795" s="601">
        <v>0</v>
      </c>
      <c r="V795" s="601">
        <v>0</v>
      </c>
      <c r="W795" s="626">
        <v>0</v>
      </c>
      <c r="X795"/>
    </row>
    <row r="796" spans="1:24" ht="15.5">
      <c r="B796" s="65" t="s">
        <v>149</v>
      </c>
      <c r="C796" s="626"/>
      <c r="D796" s="626"/>
      <c r="E796" s="626"/>
      <c r="F796" s="626"/>
      <c r="G796" s="626"/>
      <c r="H796" s="624"/>
      <c r="I796" s="601"/>
      <c r="J796" s="638"/>
      <c r="K796" s="626"/>
      <c r="L796" s="626"/>
      <c r="M796" s="624"/>
      <c r="N796" s="601"/>
      <c r="O796" s="638"/>
      <c r="P796" s="624"/>
      <c r="Q796" s="601"/>
      <c r="R796" s="601"/>
      <c r="S796" s="626"/>
      <c r="T796" s="601"/>
      <c r="U796" s="601"/>
      <c r="V796" s="601"/>
      <c r="W796" s="626"/>
      <c r="X796"/>
    </row>
    <row r="797" spans="1:24" ht="16" thickBot="1">
      <c r="B797" s="65" t="s">
        <v>150</v>
      </c>
      <c r="C797" s="626"/>
      <c r="D797" s="626"/>
      <c r="E797" s="626"/>
      <c r="F797" s="626"/>
      <c r="G797" s="626"/>
      <c r="H797" s="624"/>
      <c r="I797" s="601"/>
      <c r="J797" s="638"/>
      <c r="K797" s="626"/>
      <c r="L797" s="626"/>
      <c r="M797" s="624"/>
      <c r="N797" s="601"/>
      <c r="O797" s="638"/>
      <c r="P797" s="624"/>
      <c r="Q797" s="601"/>
      <c r="R797" s="601"/>
      <c r="S797" s="626"/>
      <c r="T797" s="601"/>
      <c r="U797" s="601"/>
      <c r="V797" s="601"/>
      <c r="W797" s="626"/>
      <c r="X797"/>
    </row>
    <row r="798" spans="1:24" s="149" customFormat="1" ht="16" thickBot="1">
      <c r="A798" s="128"/>
      <c r="B798" s="65" t="s">
        <v>151</v>
      </c>
      <c r="C798" s="626">
        <v>0</v>
      </c>
      <c r="D798" s="626">
        <v>0</v>
      </c>
      <c r="E798" s="626">
        <v>0</v>
      </c>
      <c r="F798" s="626">
        <v>0</v>
      </c>
      <c r="G798" s="626">
        <v>0</v>
      </c>
      <c r="H798" s="624">
        <v>0</v>
      </c>
      <c r="I798" s="601">
        <v>0</v>
      </c>
      <c r="J798" s="638">
        <v>0</v>
      </c>
      <c r="K798" s="626">
        <v>0</v>
      </c>
      <c r="L798" s="626">
        <v>0</v>
      </c>
      <c r="M798" s="624">
        <v>0</v>
      </c>
      <c r="N798" s="601">
        <v>0</v>
      </c>
      <c r="O798" s="638">
        <v>0</v>
      </c>
      <c r="P798" s="624">
        <v>0</v>
      </c>
      <c r="Q798" s="601">
        <v>0</v>
      </c>
      <c r="R798" s="601">
        <v>0</v>
      </c>
      <c r="S798" s="626">
        <v>0</v>
      </c>
      <c r="T798" s="601">
        <v>0</v>
      </c>
      <c r="U798" s="601">
        <v>0</v>
      </c>
      <c r="V798" s="601">
        <v>0</v>
      </c>
      <c r="W798" s="626">
        <v>0</v>
      </c>
      <c r="X798"/>
    </row>
    <row r="799" spans="1:24" ht="15.5">
      <c r="B799" s="65" t="s">
        <v>152</v>
      </c>
      <c r="C799" s="626"/>
      <c r="D799" s="626"/>
      <c r="E799" s="626"/>
      <c r="F799" s="626"/>
      <c r="G799" s="626"/>
      <c r="H799" s="624"/>
      <c r="I799" s="601"/>
      <c r="J799" s="638"/>
      <c r="K799" s="626"/>
      <c r="L799" s="626"/>
      <c r="M799" s="624"/>
      <c r="N799" s="601"/>
      <c r="O799" s="638"/>
      <c r="P799" s="624"/>
      <c r="Q799" s="601"/>
      <c r="R799" s="601"/>
      <c r="S799" s="626"/>
      <c r="T799" s="601"/>
      <c r="U799" s="601"/>
      <c r="V799" s="601"/>
      <c r="W799" s="626"/>
      <c r="X799"/>
    </row>
    <row r="800" spans="1:24" s="149" customFormat="1" ht="15.5">
      <c r="A800" s="128"/>
      <c r="B800" s="65" t="s">
        <v>153</v>
      </c>
      <c r="C800" s="626"/>
      <c r="D800" s="626"/>
      <c r="E800" s="626"/>
      <c r="F800" s="626"/>
      <c r="G800" s="626"/>
      <c r="H800" s="624"/>
      <c r="I800" s="601"/>
      <c r="J800" s="638"/>
      <c r="K800" s="626"/>
      <c r="L800" s="626"/>
      <c r="M800" s="624"/>
      <c r="N800" s="601"/>
      <c r="O800" s="638"/>
      <c r="P800" s="624"/>
      <c r="Q800" s="601"/>
      <c r="R800" s="601"/>
      <c r="S800" s="626"/>
      <c r="T800" s="601"/>
      <c r="U800" s="601"/>
      <c r="V800" s="601"/>
      <c r="W800" s="626"/>
      <c r="X800"/>
    </row>
    <row r="801" spans="1:24" ht="15.5">
      <c r="A801" s="128" t="s">
        <v>168</v>
      </c>
      <c r="B801" s="131" t="s">
        <v>101</v>
      </c>
      <c r="C801" s="626"/>
      <c r="D801" s="626"/>
      <c r="E801" s="626"/>
      <c r="F801" s="626"/>
      <c r="G801" s="626"/>
      <c r="H801" s="624"/>
      <c r="I801" s="601"/>
      <c r="J801" s="638">
        <v>134</v>
      </c>
      <c r="K801" s="626"/>
      <c r="L801" s="626">
        <v>551</v>
      </c>
      <c r="M801" s="624">
        <v>1214</v>
      </c>
      <c r="N801" s="601">
        <v>1899</v>
      </c>
      <c r="O801" s="638"/>
      <c r="P801" s="624"/>
      <c r="Q801" s="601">
        <v>1222</v>
      </c>
      <c r="R801" s="601">
        <v>1222</v>
      </c>
      <c r="S801" s="626">
        <v>77</v>
      </c>
      <c r="T801" s="601">
        <v>77</v>
      </c>
      <c r="U801" s="601"/>
      <c r="V801" s="601"/>
      <c r="W801" s="626">
        <v>3198</v>
      </c>
      <c r="X801"/>
    </row>
    <row r="802" spans="1:24" ht="16" thickBot="1">
      <c r="B802" s="131" t="s">
        <v>102</v>
      </c>
      <c r="C802" s="626"/>
      <c r="D802" s="626"/>
      <c r="E802" s="626"/>
      <c r="F802" s="626"/>
      <c r="G802" s="626"/>
      <c r="H802" s="624"/>
      <c r="I802" s="601"/>
      <c r="J802" s="638">
        <v>105</v>
      </c>
      <c r="K802" s="626"/>
      <c r="L802" s="626">
        <v>321</v>
      </c>
      <c r="M802" s="624">
        <v>1369</v>
      </c>
      <c r="N802" s="601">
        <v>1795</v>
      </c>
      <c r="O802" s="638"/>
      <c r="P802" s="624"/>
      <c r="Q802" s="601">
        <v>961</v>
      </c>
      <c r="R802" s="601">
        <v>961</v>
      </c>
      <c r="S802" s="626">
        <v>56</v>
      </c>
      <c r="T802" s="601">
        <v>56</v>
      </c>
      <c r="U802" s="601"/>
      <c r="V802" s="601"/>
      <c r="W802" s="626">
        <v>2812</v>
      </c>
      <c r="X802"/>
    </row>
    <row r="803" spans="1:24" s="149" customFormat="1" ht="16" thickBot="1">
      <c r="A803" s="128"/>
      <c r="B803" s="131" t="s">
        <v>103</v>
      </c>
      <c r="C803" s="626">
        <v>0</v>
      </c>
      <c r="D803" s="626">
        <v>0</v>
      </c>
      <c r="E803" s="626">
        <v>0</v>
      </c>
      <c r="F803" s="626">
        <v>0</v>
      </c>
      <c r="G803" s="626">
        <v>0</v>
      </c>
      <c r="H803" s="649">
        <v>0</v>
      </c>
      <c r="I803" s="601">
        <v>0</v>
      </c>
      <c r="J803" s="638">
        <v>-0.21641791044776118</v>
      </c>
      <c r="K803" s="626">
        <v>0</v>
      </c>
      <c r="L803" s="626">
        <v>-0.41742286751361163</v>
      </c>
      <c r="M803" s="662">
        <v>0.12767710049423395</v>
      </c>
      <c r="N803" s="601">
        <v>-5.4765666140073721E-2</v>
      </c>
      <c r="O803" s="638">
        <v>0</v>
      </c>
      <c r="P803" s="624">
        <v>0</v>
      </c>
      <c r="Q803" s="601">
        <v>-0.21358428805237317</v>
      </c>
      <c r="R803" s="601">
        <v>-0.21358428805237317</v>
      </c>
      <c r="S803" s="657">
        <v>-0.27272727272727271</v>
      </c>
      <c r="T803" s="601">
        <v>-0.27272727272727271</v>
      </c>
      <c r="U803" s="601">
        <v>0</v>
      </c>
      <c r="V803" s="601">
        <v>0</v>
      </c>
      <c r="W803" s="626">
        <v>-0.1207004377736085</v>
      </c>
      <c r="X803"/>
    </row>
    <row r="804" spans="1:24" ht="15.5">
      <c r="B804" s="65" t="s">
        <v>104</v>
      </c>
      <c r="C804" s="626"/>
      <c r="D804" s="626"/>
      <c r="E804" s="626"/>
      <c r="F804" s="626"/>
      <c r="G804" s="626"/>
      <c r="H804" s="624"/>
      <c r="I804" s="601"/>
      <c r="J804" s="638"/>
      <c r="K804" s="626"/>
      <c r="L804" s="626"/>
      <c r="M804" s="624"/>
      <c r="N804" s="601"/>
      <c r="O804" s="638"/>
      <c r="P804" s="624"/>
      <c r="Q804" s="601"/>
      <c r="R804" s="601"/>
      <c r="S804" s="626"/>
      <c r="T804" s="601"/>
      <c r="U804" s="601"/>
      <c r="V804" s="601"/>
      <c r="W804" s="626"/>
      <c r="X804"/>
    </row>
    <row r="805" spans="1:24" ht="15.5">
      <c r="B805" s="65" t="s">
        <v>105</v>
      </c>
      <c r="C805" s="626"/>
      <c r="D805" s="626"/>
      <c r="E805" s="626"/>
      <c r="F805" s="626"/>
      <c r="G805" s="626"/>
      <c r="H805" s="624"/>
      <c r="I805" s="601"/>
      <c r="J805" s="638"/>
      <c r="K805" s="626"/>
      <c r="L805" s="626"/>
      <c r="M805" s="624"/>
      <c r="N805" s="601"/>
      <c r="O805" s="638"/>
      <c r="P805" s="624"/>
      <c r="Q805" s="601"/>
      <c r="R805" s="601"/>
      <c r="S805" s="626"/>
      <c r="T805" s="601"/>
      <c r="U805" s="601"/>
      <c r="V805" s="601"/>
      <c r="W805" s="626"/>
      <c r="X805"/>
    </row>
    <row r="806" spans="1:24" s="149" customFormat="1" ht="15.5">
      <c r="A806" s="128"/>
      <c r="B806" s="65" t="s">
        <v>106</v>
      </c>
      <c r="C806" s="626">
        <v>0</v>
      </c>
      <c r="D806" s="626">
        <v>0</v>
      </c>
      <c r="E806" s="626">
        <v>0</v>
      </c>
      <c r="F806" s="626">
        <v>0</v>
      </c>
      <c r="G806" s="626">
        <v>0</v>
      </c>
      <c r="H806" s="624">
        <v>0</v>
      </c>
      <c r="I806" s="601">
        <v>0</v>
      </c>
      <c r="J806" s="638">
        <v>0</v>
      </c>
      <c r="K806" s="626">
        <v>0</v>
      </c>
      <c r="L806" s="626">
        <v>0</v>
      </c>
      <c r="M806" s="624">
        <v>0</v>
      </c>
      <c r="N806" s="601">
        <v>0</v>
      </c>
      <c r="O806" s="638">
        <v>0</v>
      </c>
      <c r="P806" s="624">
        <v>0</v>
      </c>
      <c r="Q806" s="601">
        <v>0</v>
      </c>
      <c r="R806" s="601">
        <v>0</v>
      </c>
      <c r="S806" s="626">
        <v>0</v>
      </c>
      <c r="T806" s="601">
        <v>0</v>
      </c>
      <c r="U806" s="601">
        <v>0</v>
      </c>
      <c r="V806" s="601">
        <v>0</v>
      </c>
      <c r="W806" s="626">
        <v>0</v>
      </c>
      <c r="X806"/>
    </row>
    <row r="807" spans="1:24" ht="15.5">
      <c r="B807" s="65" t="s">
        <v>107</v>
      </c>
      <c r="C807" s="626"/>
      <c r="D807" s="626"/>
      <c r="E807" s="626">
        <v>115</v>
      </c>
      <c r="F807" s="626"/>
      <c r="G807" s="626">
        <v>142</v>
      </c>
      <c r="H807" s="624">
        <v>244</v>
      </c>
      <c r="I807" s="601">
        <v>501</v>
      </c>
      <c r="J807" s="638">
        <v>522</v>
      </c>
      <c r="K807" s="626"/>
      <c r="L807" s="626">
        <v>552</v>
      </c>
      <c r="M807" s="624">
        <v>1745</v>
      </c>
      <c r="N807" s="601">
        <v>2819</v>
      </c>
      <c r="O807" s="638"/>
      <c r="P807" s="624"/>
      <c r="Q807" s="601"/>
      <c r="R807" s="601"/>
      <c r="S807" s="626"/>
      <c r="T807" s="601"/>
      <c r="U807" s="601"/>
      <c r="V807" s="601"/>
      <c r="W807" s="626">
        <v>3320</v>
      </c>
      <c r="X807"/>
    </row>
    <row r="808" spans="1:24" ht="16" thickBot="1">
      <c r="B808" s="65" t="s">
        <v>108</v>
      </c>
      <c r="C808" s="626"/>
      <c r="D808" s="626"/>
      <c r="E808" s="626">
        <v>114</v>
      </c>
      <c r="F808" s="626"/>
      <c r="G808" s="626">
        <v>181</v>
      </c>
      <c r="H808" s="624">
        <v>296</v>
      </c>
      <c r="I808" s="601">
        <v>591</v>
      </c>
      <c r="J808" s="638">
        <v>514</v>
      </c>
      <c r="K808" s="626"/>
      <c r="L808" s="626">
        <v>369</v>
      </c>
      <c r="M808" s="624">
        <v>1548</v>
      </c>
      <c r="N808" s="601">
        <v>2431</v>
      </c>
      <c r="O808" s="638"/>
      <c r="P808" s="624"/>
      <c r="Q808" s="601"/>
      <c r="R808" s="601"/>
      <c r="S808" s="626"/>
      <c r="T808" s="601"/>
      <c r="U808" s="601"/>
      <c r="V808" s="601"/>
      <c r="W808" s="626">
        <v>3022</v>
      </c>
      <c r="X808"/>
    </row>
    <row r="809" spans="1:24" s="149" customFormat="1" ht="16" thickBot="1">
      <c r="A809" s="128"/>
      <c r="B809" s="65" t="s">
        <v>109</v>
      </c>
      <c r="C809" s="626">
        <v>0</v>
      </c>
      <c r="D809" s="626">
        <v>0</v>
      </c>
      <c r="E809" s="626">
        <v>-8.6956521739130436E-3</v>
      </c>
      <c r="F809" s="626">
        <v>0</v>
      </c>
      <c r="G809" s="662">
        <v>0.27464788732394368</v>
      </c>
      <c r="H809" s="649">
        <v>0.21311475409836064</v>
      </c>
      <c r="I809" s="601">
        <v>0.17964071856287425</v>
      </c>
      <c r="J809" s="638">
        <v>-1.532567049808429E-2</v>
      </c>
      <c r="K809" s="626">
        <v>0</v>
      </c>
      <c r="L809" s="657">
        <v>-0.33152173913043476</v>
      </c>
      <c r="M809" s="624">
        <v>-0.11289398280802292</v>
      </c>
      <c r="N809" s="601">
        <v>-0.1376374600922313</v>
      </c>
      <c r="O809" s="638">
        <v>0</v>
      </c>
      <c r="P809" s="624">
        <v>0</v>
      </c>
      <c r="Q809" s="601">
        <v>0</v>
      </c>
      <c r="R809" s="601">
        <v>0</v>
      </c>
      <c r="S809" s="626">
        <v>0</v>
      </c>
      <c r="T809" s="601">
        <v>0</v>
      </c>
      <c r="U809" s="601">
        <v>0</v>
      </c>
      <c r="V809" s="601">
        <v>0</v>
      </c>
      <c r="W809" s="626">
        <v>-8.9759036144578308E-2</v>
      </c>
      <c r="X809"/>
    </row>
    <row r="810" spans="1:24" ht="15.5">
      <c r="B810" s="65" t="s">
        <v>110</v>
      </c>
      <c r="C810" s="626">
        <v>4561</v>
      </c>
      <c r="D810" s="626"/>
      <c r="E810" s="626">
        <v>1661</v>
      </c>
      <c r="F810" s="626"/>
      <c r="G810" s="626">
        <v>2107</v>
      </c>
      <c r="H810" s="624">
        <v>890</v>
      </c>
      <c r="I810" s="601">
        <v>9219</v>
      </c>
      <c r="J810" s="638">
        <v>267</v>
      </c>
      <c r="K810" s="626"/>
      <c r="L810" s="626"/>
      <c r="M810" s="624"/>
      <c r="N810" s="601">
        <v>267</v>
      </c>
      <c r="O810" s="638"/>
      <c r="P810" s="624"/>
      <c r="Q810" s="601"/>
      <c r="R810" s="601"/>
      <c r="S810" s="626"/>
      <c r="T810" s="601"/>
      <c r="U810" s="601"/>
      <c r="V810" s="601"/>
      <c r="W810" s="626">
        <v>9486</v>
      </c>
      <c r="X810"/>
    </row>
    <row r="811" spans="1:24" ht="15.5">
      <c r="B811" s="65" t="s">
        <v>111</v>
      </c>
      <c r="C811" s="626">
        <v>4649</v>
      </c>
      <c r="D811" s="626"/>
      <c r="E811" s="626">
        <v>1628</v>
      </c>
      <c r="F811" s="626"/>
      <c r="G811" s="626">
        <v>2067</v>
      </c>
      <c r="H811" s="624">
        <v>875</v>
      </c>
      <c r="I811" s="601">
        <v>9219</v>
      </c>
      <c r="J811" s="638">
        <v>286</v>
      </c>
      <c r="K811" s="626"/>
      <c r="L811" s="626"/>
      <c r="M811" s="624"/>
      <c r="N811" s="601">
        <v>286</v>
      </c>
      <c r="O811" s="638"/>
      <c r="P811" s="624"/>
      <c r="Q811" s="601"/>
      <c r="R811" s="601"/>
      <c r="S811" s="626"/>
      <c r="T811" s="601"/>
      <c r="U811" s="601"/>
      <c r="V811" s="601"/>
      <c r="W811" s="626">
        <v>9505</v>
      </c>
      <c r="X811"/>
    </row>
    <row r="812" spans="1:24" s="149" customFormat="1" ht="15.5">
      <c r="A812" s="128"/>
      <c r="B812" s="65" t="s">
        <v>112</v>
      </c>
      <c r="C812" s="626">
        <v>1.9294014470510854E-2</v>
      </c>
      <c r="D812" s="626">
        <v>0</v>
      </c>
      <c r="E812" s="626">
        <v>-1.9867549668874173E-2</v>
      </c>
      <c r="F812" s="626">
        <v>0</v>
      </c>
      <c r="G812" s="626">
        <v>-1.8984337921214997E-2</v>
      </c>
      <c r="H812" s="624">
        <v>-1.6853932584269662E-2</v>
      </c>
      <c r="I812" s="601">
        <v>0</v>
      </c>
      <c r="J812" s="652">
        <v>7.116104868913857E-2</v>
      </c>
      <c r="K812" s="626">
        <v>0</v>
      </c>
      <c r="L812" s="626">
        <v>0</v>
      </c>
      <c r="M812" s="624">
        <v>0</v>
      </c>
      <c r="N812" s="601">
        <v>7.116104868913857E-2</v>
      </c>
      <c r="O812" s="638">
        <v>0</v>
      </c>
      <c r="P812" s="624">
        <v>0</v>
      </c>
      <c r="Q812" s="601">
        <v>0</v>
      </c>
      <c r="R812" s="601">
        <v>0</v>
      </c>
      <c r="S812" s="626">
        <v>0</v>
      </c>
      <c r="T812" s="601">
        <v>0</v>
      </c>
      <c r="U812" s="601">
        <v>0</v>
      </c>
      <c r="V812" s="601">
        <v>0</v>
      </c>
      <c r="W812" s="626">
        <v>2.0029517183217374E-3</v>
      </c>
      <c r="X812"/>
    </row>
    <row r="813" spans="1:24" ht="15.5">
      <c r="B813" s="65" t="s">
        <v>113</v>
      </c>
      <c r="C813" s="626"/>
      <c r="D813" s="626"/>
      <c r="E813" s="626"/>
      <c r="F813" s="626"/>
      <c r="G813" s="626"/>
      <c r="H813" s="624"/>
      <c r="I813" s="601"/>
      <c r="J813" s="638"/>
      <c r="K813" s="626"/>
      <c r="L813" s="626"/>
      <c r="M813" s="624"/>
      <c r="N813" s="601"/>
      <c r="O813" s="638"/>
      <c r="P813" s="624"/>
      <c r="Q813" s="601"/>
      <c r="R813" s="601"/>
      <c r="S813" s="626"/>
      <c r="T813" s="601"/>
      <c r="U813" s="601"/>
      <c r="V813" s="601"/>
      <c r="W813" s="626"/>
      <c r="X813"/>
    </row>
    <row r="814" spans="1:24" ht="15.5">
      <c r="B814" s="65" t="s">
        <v>114</v>
      </c>
      <c r="C814" s="626"/>
      <c r="D814" s="626"/>
      <c r="E814" s="626"/>
      <c r="F814" s="626"/>
      <c r="G814" s="626"/>
      <c r="H814" s="624"/>
      <c r="I814" s="601"/>
      <c r="J814" s="638"/>
      <c r="K814" s="626"/>
      <c r="L814" s="626"/>
      <c r="M814" s="624"/>
      <c r="N814" s="601"/>
      <c r="O814" s="638"/>
      <c r="P814" s="624"/>
      <c r="Q814" s="601"/>
      <c r="R814" s="601"/>
      <c r="S814" s="626"/>
      <c r="T814" s="601"/>
      <c r="U814" s="601"/>
      <c r="V814" s="601"/>
      <c r="W814" s="626"/>
      <c r="X814"/>
    </row>
    <row r="815" spans="1:24" s="149" customFormat="1" ht="15.5">
      <c r="A815" s="128"/>
      <c r="B815" s="65" t="s">
        <v>115</v>
      </c>
      <c r="C815" s="626">
        <v>0</v>
      </c>
      <c r="D815" s="626">
        <v>0</v>
      </c>
      <c r="E815" s="626">
        <v>0</v>
      </c>
      <c r="F815" s="626">
        <v>0</v>
      </c>
      <c r="G815" s="626">
        <v>0</v>
      </c>
      <c r="H815" s="624">
        <v>0</v>
      </c>
      <c r="I815" s="601">
        <v>0</v>
      </c>
      <c r="J815" s="638">
        <v>0</v>
      </c>
      <c r="K815" s="626">
        <v>0</v>
      </c>
      <c r="L815" s="626">
        <v>0</v>
      </c>
      <c r="M815" s="624">
        <v>0</v>
      </c>
      <c r="N815" s="601">
        <v>0</v>
      </c>
      <c r="O815" s="638">
        <v>0</v>
      </c>
      <c r="P815" s="624">
        <v>0</v>
      </c>
      <c r="Q815" s="601">
        <v>0</v>
      </c>
      <c r="R815" s="601">
        <v>0</v>
      </c>
      <c r="S815" s="626">
        <v>0</v>
      </c>
      <c r="T815" s="601">
        <v>0</v>
      </c>
      <c r="U815" s="601">
        <v>0</v>
      </c>
      <c r="V815" s="601">
        <v>0</v>
      </c>
      <c r="W815" s="626">
        <v>0</v>
      </c>
      <c r="X815"/>
    </row>
    <row r="816" spans="1:24" ht="15.5">
      <c r="B816" s="65" t="s">
        <v>116</v>
      </c>
      <c r="C816" s="626">
        <v>1481</v>
      </c>
      <c r="D816" s="626"/>
      <c r="E816" s="626">
        <v>882</v>
      </c>
      <c r="F816" s="626"/>
      <c r="G816" s="626">
        <v>334</v>
      </c>
      <c r="H816" s="624">
        <v>38</v>
      </c>
      <c r="I816" s="601">
        <v>2735</v>
      </c>
      <c r="J816" s="638">
        <v>0</v>
      </c>
      <c r="K816" s="626"/>
      <c r="L816" s="626">
        <v>0</v>
      </c>
      <c r="M816" s="624">
        <v>0</v>
      </c>
      <c r="N816" s="601">
        <v>0</v>
      </c>
      <c r="O816" s="638"/>
      <c r="P816" s="624"/>
      <c r="Q816" s="601">
        <v>0</v>
      </c>
      <c r="R816" s="601">
        <v>0</v>
      </c>
      <c r="S816" s="626">
        <v>0</v>
      </c>
      <c r="T816" s="601">
        <v>0</v>
      </c>
      <c r="U816" s="601"/>
      <c r="V816" s="601"/>
      <c r="W816" s="626">
        <v>2735</v>
      </c>
      <c r="X816"/>
    </row>
    <row r="817" spans="1:24" ht="15.5">
      <c r="B817" s="65" t="s">
        <v>117</v>
      </c>
      <c r="C817" s="626">
        <v>1340</v>
      </c>
      <c r="D817" s="626"/>
      <c r="E817" s="626">
        <v>814</v>
      </c>
      <c r="F817" s="626"/>
      <c r="G817" s="626">
        <v>350</v>
      </c>
      <c r="H817" s="624">
        <v>61</v>
      </c>
      <c r="I817" s="601">
        <v>2565</v>
      </c>
      <c r="J817" s="638">
        <v>0</v>
      </c>
      <c r="K817" s="626"/>
      <c r="L817" s="626">
        <v>0</v>
      </c>
      <c r="M817" s="624">
        <v>0</v>
      </c>
      <c r="N817" s="601">
        <v>0</v>
      </c>
      <c r="O817" s="638"/>
      <c r="P817" s="624"/>
      <c r="Q817" s="601">
        <v>0</v>
      </c>
      <c r="R817" s="601">
        <v>0</v>
      </c>
      <c r="S817" s="626">
        <v>0</v>
      </c>
      <c r="T817" s="601">
        <v>0</v>
      </c>
      <c r="U817" s="601"/>
      <c r="V817" s="601"/>
      <c r="W817" s="626">
        <v>2565</v>
      </c>
      <c r="X817"/>
    </row>
    <row r="818" spans="1:24" s="149" customFormat="1" ht="15.5">
      <c r="A818" s="128"/>
      <c r="B818" s="65" t="s">
        <v>118</v>
      </c>
      <c r="C818" s="626">
        <v>-9.5205941931127622E-2</v>
      </c>
      <c r="D818" s="626">
        <v>0</v>
      </c>
      <c r="E818" s="626">
        <v>-7.7097505668934238E-2</v>
      </c>
      <c r="F818" s="626">
        <v>0</v>
      </c>
      <c r="G818" s="626">
        <v>4.790419161676647E-2</v>
      </c>
      <c r="H818" s="624">
        <v>0.60526315789473684</v>
      </c>
      <c r="I818" s="601">
        <v>-6.2157221206581355E-2</v>
      </c>
      <c r="J818" s="638">
        <v>0</v>
      </c>
      <c r="K818" s="626">
        <v>0</v>
      </c>
      <c r="L818" s="626">
        <v>0</v>
      </c>
      <c r="M818" s="624">
        <v>0</v>
      </c>
      <c r="N818" s="601">
        <v>0</v>
      </c>
      <c r="O818" s="638">
        <v>0</v>
      </c>
      <c r="P818" s="624">
        <v>0</v>
      </c>
      <c r="Q818" s="601">
        <v>0</v>
      </c>
      <c r="R818" s="601">
        <v>0</v>
      </c>
      <c r="S818" s="626">
        <v>0</v>
      </c>
      <c r="T818" s="601">
        <v>0</v>
      </c>
      <c r="U818" s="601">
        <v>0</v>
      </c>
      <c r="V818" s="601">
        <v>0</v>
      </c>
      <c r="W818" s="626">
        <v>-6.2157221206581355E-2</v>
      </c>
      <c r="X818"/>
    </row>
    <row r="819" spans="1:24" ht="15.5">
      <c r="B819" s="65" t="s">
        <v>119</v>
      </c>
      <c r="C819" s="626">
        <v>194</v>
      </c>
      <c r="D819" s="626"/>
      <c r="E819" s="626">
        <v>26</v>
      </c>
      <c r="F819" s="626"/>
      <c r="G819" s="626">
        <v>0</v>
      </c>
      <c r="H819" s="624">
        <v>0</v>
      </c>
      <c r="I819" s="601">
        <v>220</v>
      </c>
      <c r="J819" s="638">
        <v>0</v>
      </c>
      <c r="K819" s="626"/>
      <c r="L819" s="626">
        <v>0</v>
      </c>
      <c r="M819" s="624">
        <v>0</v>
      </c>
      <c r="N819" s="601">
        <v>0</v>
      </c>
      <c r="O819" s="638"/>
      <c r="P819" s="624"/>
      <c r="Q819" s="601">
        <v>0</v>
      </c>
      <c r="R819" s="601">
        <v>0</v>
      </c>
      <c r="S819" s="626">
        <v>0</v>
      </c>
      <c r="T819" s="601">
        <v>0</v>
      </c>
      <c r="U819" s="601"/>
      <c r="V819" s="601"/>
      <c r="W819" s="626">
        <v>220</v>
      </c>
      <c r="X819"/>
    </row>
    <row r="820" spans="1:24" ht="15.5">
      <c r="B820" s="65" t="s">
        <v>120</v>
      </c>
      <c r="C820" s="626">
        <v>199</v>
      </c>
      <c r="D820" s="626"/>
      <c r="E820" s="626">
        <v>16</v>
      </c>
      <c r="F820" s="626"/>
      <c r="G820" s="626">
        <v>0</v>
      </c>
      <c r="H820" s="624">
        <v>0</v>
      </c>
      <c r="I820" s="601">
        <v>215</v>
      </c>
      <c r="J820" s="638">
        <v>0</v>
      </c>
      <c r="K820" s="626"/>
      <c r="L820" s="626">
        <v>0</v>
      </c>
      <c r="M820" s="624">
        <v>0</v>
      </c>
      <c r="N820" s="601">
        <v>0</v>
      </c>
      <c r="O820" s="638"/>
      <c r="P820" s="624"/>
      <c r="Q820" s="601">
        <v>0</v>
      </c>
      <c r="R820" s="601">
        <v>0</v>
      </c>
      <c r="S820" s="626">
        <v>0</v>
      </c>
      <c r="T820" s="601">
        <v>0</v>
      </c>
      <c r="U820" s="601"/>
      <c r="V820" s="601"/>
      <c r="W820" s="626">
        <v>215</v>
      </c>
      <c r="X820"/>
    </row>
    <row r="821" spans="1:24" s="149" customFormat="1" ht="15.5">
      <c r="A821" s="128"/>
      <c r="B821" s="65" t="s">
        <v>121</v>
      </c>
      <c r="C821" s="648">
        <v>2.5773195876288658E-2</v>
      </c>
      <c r="D821" s="626">
        <v>0</v>
      </c>
      <c r="E821" s="648">
        <v>-0.38461538461538464</v>
      </c>
      <c r="F821" s="626">
        <v>0</v>
      </c>
      <c r="G821" s="626">
        <v>0</v>
      </c>
      <c r="H821" s="624">
        <v>0</v>
      </c>
      <c r="I821" s="601">
        <v>-2.2727272727272728E-2</v>
      </c>
      <c r="J821" s="638">
        <v>0</v>
      </c>
      <c r="K821" s="626">
        <v>0</v>
      </c>
      <c r="L821" s="626">
        <v>0</v>
      </c>
      <c r="M821" s="624">
        <v>0</v>
      </c>
      <c r="N821" s="601">
        <v>0</v>
      </c>
      <c r="O821" s="638">
        <v>0</v>
      </c>
      <c r="P821" s="624">
        <v>0</v>
      </c>
      <c r="Q821" s="601">
        <v>0</v>
      </c>
      <c r="R821" s="601">
        <v>0</v>
      </c>
      <c r="S821" s="626">
        <v>0</v>
      </c>
      <c r="T821" s="601">
        <v>0</v>
      </c>
      <c r="U821" s="601">
        <v>0</v>
      </c>
      <c r="V821" s="601">
        <v>0</v>
      </c>
      <c r="W821" s="626">
        <v>-2.2727272727272728E-2</v>
      </c>
      <c r="X821"/>
    </row>
    <row r="822" spans="1:24" ht="15.5">
      <c r="B822" s="65" t="s">
        <v>122</v>
      </c>
      <c r="C822" s="626">
        <v>101</v>
      </c>
      <c r="D822" s="626"/>
      <c r="E822" s="626"/>
      <c r="F822" s="626"/>
      <c r="G822" s="626"/>
      <c r="H822" s="624"/>
      <c r="I822" s="601">
        <v>101</v>
      </c>
      <c r="J822" s="638"/>
      <c r="K822" s="626"/>
      <c r="L822" s="626"/>
      <c r="M822" s="624"/>
      <c r="N822" s="601"/>
      <c r="O822" s="638"/>
      <c r="P822" s="624"/>
      <c r="Q822" s="601"/>
      <c r="R822" s="601"/>
      <c r="S822" s="626"/>
      <c r="T822" s="601"/>
      <c r="U822" s="601"/>
      <c r="V822" s="601"/>
      <c r="W822" s="626">
        <v>101</v>
      </c>
      <c r="X822"/>
    </row>
    <row r="823" spans="1:24" ht="15.5">
      <c r="B823" s="65" t="s">
        <v>123</v>
      </c>
      <c r="C823" s="626">
        <v>107</v>
      </c>
      <c r="D823" s="626"/>
      <c r="E823" s="626"/>
      <c r="F823" s="626"/>
      <c r="G823" s="626"/>
      <c r="H823" s="624"/>
      <c r="I823" s="601">
        <v>107</v>
      </c>
      <c r="J823" s="638"/>
      <c r="K823" s="626"/>
      <c r="L823" s="626"/>
      <c r="M823" s="624"/>
      <c r="N823" s="601"/>
      <c r="O823" s="638"/>
      <c r="P823" s="624"/>
      <c r="Q823" s="601"/>
      <c r="R823" s="601"/>
      <c r="S823" s="626"/>
      <c r="T823" s="601"/>
      <c r="U823" s="601"/>
      <c r="V823" s="601"/>
      <c r="W823" s="626">
        <v>107</v>
      </c>
      <c r="X823"/>
    </row>
    <row r="824" spans="1:24" s="149" customFormat="1" ht="15.5">
      <c r="A824" s="128"/>
      <c r="B824" s="65" t="s">
        <v>124</v>
      </c>
      <c r="C824" s="626">
        <v>5.9405940594059403E-2</v>
      </c>
      <c r="D824" s="626">
        <v>0</v>
      </c>
      <c r="E824" s="626">
        <v>0</v>
      </c>
      <c r="F824" s="626">
        <v>0</v>
      </c>
      <c r="G824" s="626">
        <v>0</v>
      </c>
      <c r="H824" s="624">
        <v>0</v>
      </c>
      <c r="I824" s="601">
        <v>5.9405940594059403E-2</v>
      </c>
      <c r="J824" s="638">
        <v>0</v>
      </c>
      <c r="K824" s="626">
        <v>0</v>
      </c>
      <c r="L824" s="626">
        <v>0</v>
      </c>
      <c r="M824" s="624">
        <v>0</v>
      </c>
      <c r="N824" s="601">
        <v>0</v>
      </c>
      <c r="O824" s="638">
        <v>0</v>
      </c>
      <c r="P824" s="624">
        <v>0</v>
      </c>
      <c r="Q824" s="601">
        <v>0</v>
      </c>
      <c r="R824" s="601">
        <v>0</v>
      </c>
      <c r="S824" s="626">
        <v>0</v>
      </c>
      <c r="T824" s="601">
        <v>0</v>
      </c>
      <c r="U824" s="601">
        <v>0</v>
      </c>
      <c r="V824" s="601">
        <v>0</v>
      </c>
      <c r="W824" s="626">
        <v>5.9405940594059403E-2</v>
      </c>
      <c r="X824"/>
    </row>
    <row r="825" spans="1:24" ht="15.5">
      <c r="B825" s="65" t="s">
        <v>125</v>
      </c>
      <c r="C825" s="626">
        <v>93</v>
      </c>
      <c r="D825" s="626"/>
      <c r="E825" s="626">
        <v>60</v>
      </c>
      <c r="F825" s="626"/>
      <c r="G825" s="626"/>
      <c r="H825" s="624"/>
      <c r="I825" s="601">
        <v>153</v>
      </c>
      <c r="J825" s="638"/>
      <c r="K825" s="626"/>
      <c r="L825" s="626"/>
      <c r="M825" s="624"/>
      <c r="N825" s="601"/>
      <c r="O825" s="638"/>
      <c r="P825" s="624"/>
      <c r="Q825" s="601"/>
      <c r="R825" s="601"/>
      <c r="S825" s="626"/>
      <c r="T825" s="601"/>
      <c r="U825" s="601"/>
      <c r="V825" s="601"/>
      <c r="W825" s="626">
        <v>153</v>
      </c>
      <c r="X825"/>
    </row>
    <row r="826" spans="1:24" ht="15.5">
      <c r="B826" s="65" t="s">
        <v>126</v>
      </c>
      <c r="C826" s="626">
        <v>101</v>
      </c>
      <c r="D826" s="626"/>
      <c r="E826" s="626">
        <v>79</v>
      </c>
      <c r="F826" s="626"/>
      <c r="G826" s="626"/>
      <c r="H826" s="624"/>
      <c r="I826" s="601">
        <v>180</v>
      </c>
      <c r="J826" s="638"/>
      <c r="K826" s="626"/>
      <c r="L826" s="626"/>
      <c r="M826" s="624"/>
      <c r="N826" s="601"/>
      <c r="O826" s="638"/>
      <c r="P826" s="624"/>
      <c r="Q826" s="601"/>
      <c r="R826" s="601"/>
      <c r="S826" s="626"/>
      <c r="T826" s="601"/>
      <c r="U826" s="601"/>
      <c r="V826" s="601"/>
      <c r="W826" s="626">
        <v>180</v>
      </c>
      <c r="X826"/>
    </row>
    <row r="827" spans="1:24" s="149" customFormat="1" ht="15.5">
      <c r="A827" s="128"/>
      <c r="B827" s="65" t="s">
        <v>127</v>
      </c>
      <c r="C827" s="648">
        <v>8.6021505376344093E-2</v>
      </c>
      <c r="D827" s="626">
        <v>0</v>
      </c>
      <c r="E827" s="626">
        <v>0.31666666666666665</v>
      </c>
      <c r="F827" s="626">
        <v>0</v>
      </c>
      <c r="G827" s="626">
        <v>0</v>
      </c>
      <c r="H827" s="624">
        <v>0</v>
      </c>
      <c r="I827" s="601">
        <v>0.17647058823529413</v>
      </c>
      <c r="J827" s="638">
        <v>0</v>
      </c>
      <c r="K827" s="626">
        <v>0</v>
      </c>
      <c r="L827" s="626">
        <v>0</v>
      </c>
      <c r="M827" s="624">
        <v>0</v>
      </c>
      <c r="N827" s="601">
        <v>0</v>
      </c>
      <c r="O827" s="638">
        <v>0</v>
      </c>
      <c r="P827" s="624">
        <v>0</v>
      </c>
      <c r="Q827" s="601">
        <v>0</v>
      </c>
      <c r="R827" s="601">
        <v>0</v>
      </c>
      <c r="S827" s="626">
        <v>0</v>
      </c>
      <c r="T827" s="601">
        <v>0</v>
      </c>
      <c r="U827" s="601">
        <v>0</v>
      </c>
      <c r="V827" s="601">
        <v>0</v>
      </c>
      <c r="W827" s="626">
        <v>0.17647058823529413</v>
      </c>
      <c r="X827"/>
    </row>
    <row r="828" spans="1:24" ht="15.5">
      <c r="B828" s="65" t="s">
        <v>128</v>
      </c>
      <c r="C828" s="626">
        <v>45</v>
      </c>
      <c r="D828" s="626"/>
      <c r="E828" s="626"/>
      <c r="F828" s="626"/>
      <c r="G828" s="626"/>
      <c r="H828" s="624"/>
      <c r="I828" s="601">
        <v>45</v>
      </c>
      <c r="J828" s="638"/>
      <c r="K828" s="626"/>
      <c r="L828" s="626"/>
      <c r="M828" s="624"/>
      <c r="N828" s="601"/>
      <c r="O828" s="638"/>
      <c r="P828" s="624"/>
      <c r="Q828" s="601"/>
      <c r="R828" s="601"/>
      <c r="S828" s="626"/>
      <c r="T828" s="601"/>
      <c r="U828" s="601"/>
      <c r="V828" s="601"/>
      <c r="W828" s="626">
        <v>45</v>
      </c>
      <c r="X828"/>
    </row>
    <row r="829" spans="1:24" ht="15.5">
      <c r="B829" s="65" t="s">
        <v>129</v>
      </c>
      <c r="C829" s="626">
        <v>47</v>
      </c>
      <c r="D829" s="626"/>
      <c r="E829" s="626"/>
      <c r="F829" s="626"/>
      <c r="G829" s="626"/>
      <c r="H829" s="624"/>
      <c r="I829" s="601">
        <v>47</v>
      </c>
      <c r="J829" s="638"/>
      <c r="K829" s="626"/>
      <c r="L829" s="626"/>
      <c r="M829" s="624"/>
      <c r="N829" s="601"/>
      <c r="O829" s="638"/>
      <c r="P829" s="624"/>
      <c r="Q829" s="601"/>
      <c r="R829" s="601"/>
      <c r="S829" s="626"/>
      <c r="T829" s="601"/>
      <c r="U829" s="601"/>
      <c r="V829" s="601"/>
      <c r="W829" s="626">
        <v>47</v>
      </c>
      <c r="X829"/>
    </row>
    <row r="830" spans="1:24" s="149" customFormat="1" ht="15.5">
      <c r="A830" s="128"/>
      <c r="B830" s="65" t="s">
        <v>130</v>
      </c>
      <c r="C830" s="626">
        <v>4.4444444444444446E-2</v>
      </c>
      <c r="D830" s="626">
        <v>0</v>
      </c>
      <c r="E830" s="626">
        <v>0</v>
      </c>
      <c r="F830" s="626">
        <v>0</v>
      </c>
      <c r="G830" s="626">
        <v>0</v>
      </c>
      <c r="H830" s="624">
        <v>0</v>
      </c>
      <c r="I830" s="601">
        <v>4.4444444444444446E-2</v>
      </c>
      <c r="J830" s="638">
        <v>0</v>
      </c>
      <c r="K830" s="626">
        <v>0</v>
      </c>
      <c r="L830" s="626">
        <v>0</v>
      </c>
      <c r="M830" s="624">
        <v>0</v>
      </c>
      <c r="N830" s="601">
        <v>0</v>
      </c>
      <c r="O830" s="638">
        <v>0</v>
      </c>
      <c r="P830" s="624">
        <v>0</v>
      </c>
      <c r="Q830" s="601">
        <v>0</v>
      </c>
      <c r="R830" s="601">
        <v>0</v>
      </c>
      <c r="S830" s="626">
        <v>0</v>
      </c>
      <c r="T830" s="601">
        <v>0</v>
      </c>
      <c r="U830" s="601">
        <v>0</v>
      </c>
      <c r="V830" s="601">
        <v>0</v>
      </c>
      <c r="W830" s="626">
        <v>4.4444444444444446E-2</v>
      </c>
      <c r="X830"/>
    </row>
    <row r="831" spans="1:24" ht="15.5">
      <c r="B831" s="65" t="s">
        <v>131</v>
      </c>
      <c r="C831" s="626">
        <v>71</v>
      </c>
      <c r="D831" s="626"/>
      <c r="E831" s="626">
        <v>76</v>
      </c>
      <c r="F831" s="626"/>
      <c r="G831" s="626"/>
      <c r="H831" s="624"/>
      <c r="I831" s="601">
        <v>147</v>
      </c>
      <c r="J831" s="638"/>
      <c r="K831" s="626"/>
      <c r="L831" s="626"/>
      <c r="M831" s="624"/>
      <c r="N831" s="601"/>
      <c r="O831" s="638"/>
      <c r="P831" s="624"/>
      <c r="Q831" s="601"/>
      <c r="R831" s="601"/>
      <c r="S831" s="626"/>
      <c r="T831" s="601"/>
      <c r="U831" s="601"/>
      <c r="V831" s="601"/>
      <c r="W831" s="626">
        <v>147</v>
      </c>
      <c r="X831"/>
    </row>
    <row r="832" spans="1:24" ht="15.5">
      <c r="B832" s="65" t="s">
        <v>132</v>
      </c>
      <c r="C832" s="626">
        <v>72</v>
      </c>
      <c r="D832" s="626"/>
      <c r="E832" s="626">
        <v>71</v>
      </c>
      <c r="F832" s="626"/>
      <c r="G832" s="626"/>
      <c r="H832" s="624"/>
      <c r="I832" s="601">
        <v>143</v>
      </c>
      <c r="J832" s="638"/>
      <c r="K832" s="626"/>
      <c r="L832" s="626"/>
      <c r="M832" s="624"/>
      <c r="N832" s="601"/>
      <c r="O832" s="638"/>
      <c r="P832" s="624"/>
      <c r="Q832" s="601"/>
      <c r="R832" s="601"/>
      <c r="S832" s="626"/>
      <c r="T832" s="601"/>
      <c r="U832" s="601"/>
      <c r="V832" s="601"/>
      <c r="W832" s="626">
        <v>143</v>
      </c>
      <c r="X832"/>
    </row>
    <row r="833" spans="1:24" s="149" customFormat="1" ht="15.5">
      <c r="A833" s="128"/>
      <c r="B833" s="65" t="s">
        <v>133</v>
      </c>
      <c r="C833" s="626">
        <v>1.4084507042253521E-2</v>
      </c>
      <c r="D833" s="626">
        <v>0</v>
      </c>
      <c r="E833" s="626">
        <v>-6.5789473684210523E-2</v>
      </c>
      <c r="F833" s="626">
        <v>0</v>
      </c>
      <c r="G833" s="626">
        <v>0</v>
      </c>
      <c r="H833" s="624">
        <v>0</v>
      </c>
      <c r="I833" s="601">
        <v>-2.7210884353741496E-2</v>
      </c>
      <c r="J833" s="638">
        <v>0</v>
      </c>
      <c r="K833" s="626">
        <v>0</v>
      </c>
      <c r="L833" s="626">
        <v>0</v>
      </c>
      <c r="M833" s="624">
        <v>0</v>
      </c>
      <c r="N833" s="601">
        <v>0</v>
      </c>
      <c r="O833" s="638">
        <v>0</v>
      </c>
      <c r="P833" s="624">
        <v>0</v>
      </c>
      <c r="Q833" s="601">
        <v>0</v>
      </c>
      <c r="R833" s="601">
        <v>0</v>
      </c>
      <c r="S833" s="626">
        <v>0</v>
      </c>
      <c r="T833" s="601">
        <v>0</v>
      </c>
      <c r="U833" s="601">
        <v>0</v>
      </c>
      <c r="V833" s="601">
        <v>0</v>
      </c>
      <c r="W833" s="626">
        <v>-2.7210884353741496E-2</v>
      </c>
      <c r="X833"/>
    </row>
    <row r="834" spans="1:24" ht="15.5">
      <c r="B834" s="65" t="s">
        <v>134</v>
      </c>
      <c r="C834" s="626"/>
      <c r="D834" s="626"/>
      <c r="E834" s="626"/>
      <c r="F834" s="626"/>
      <c r="G834" s="626"/>
      <c r="H834" s="624"/>
      <c r="I834" s="601"/>
      <c r="J834" s="638"/>
      <c r="K834" s="626"/>
      <c r="L834" s="626"/>
      <c r="M834" s="624"/>
      <c r="N834" s="601"/>
      <c r="O834" s="638"/>
      <c r="P834" s="624"/>
      <c r="Q834" s="601"/>
      <c r="R834" s="601"/>
      <c r="S834" s="626"/>
      <c r="T834" s="601"/>
      <c r="U834" s="601"/>
      <c r="V834" s="601"/>
      <c r="W834" s="626"/>
      <c r="X834"/>
    </row>
    <row r="835" spans="1:24" ht="15.5">
      <c r="B835" s="65" t="s">
        <v>135</v>
      </c>
      <c r="C835" s="626"/>
      <c r="D835" s="626"/>
      <c r="E835" s="626"/>
      <c r="F835" s="626"/>
      <c r="G835" s="626"/>
      <c r="H835" s="624"/>
      <c r="I835" s="601"/>
      <c r="J835" s="638"/>
      <c r="K835" s="626"/>
      <c r="L835" s="626"/>
      <c r="M835" s="624"/>
      <c r="N835" s="601"/>
      <c r="O835" s="638"/>
      <c r="P835" s="624"/>
      <c r="Q835" s="601"/>
      <c r="R835" s="601"/>
      <c r="S835" s="626"/>
      <c r="T835" s="601"/>
      <c r="U835" s="601"/>
      <c r="V835" s="601"/>
      <c r="W835" s="626"/>
      <c r="X835"/>
    </row>
    <row r="836" spans="1:24" s="149" customFormat="1" ht="15.5">
      <c r="A836" s="128"/>
      <c r="B836" s="65" t="s">
        <v>136</v>
      </c>
      <c r="C836" s="626">
        <v>0</v>
      </c>
      <c r="D836" s="626">
        <v>0</v>
      </c>
      <c r="E836" s="626">
        <v>0</v>
      </c>
      <c r="F836" s="626">
        <v>0</v>
      </c>
      <c r="G836" s="626">
        <v>0</v>
      </c>
      <c r="H836" s="624">
        <v>0</v>
      </c>
      <c r="I836" s="601">
        <v>0</v>
      </c>
      <c r="J836" s="638">
        <v>0</v>
      </c>
      <c r="K836" s="626">
        <v>0</v>
      </c>
      <c r="L836" s="626">
        <v>0</v>
      </c>
      <c r="M836" s="624">
        <v>0</v>
      </c>
      <c r="N836" s="601">
        <v>0</v>
      </c>
      <c r="O836" s="638">
        <v>0</v>
      </c>
      <c r="P836" s="624">
        <v>0</v>
      </c>
      <c r="Q836" s="601">
        <v>0</v>
      </c>
      <c r="R836" s="601">
        <v>0</v>
      </c>
      <c r="S836" s="626">
        <v>0</v>
      </c>
      <c r="T836" s="601">
        <v>0</v>
      </c>
      <c r="U836" s="601">
        <v>0</v>
      </c>
      <c r="V836" s="601">
        <v>0</v>
      </c>
      <c r="W836" s="626">
        <v>0</v>
      </c>
      <c r="X836"/>
    </row>
    <row r="837" spans="1:24" ht="15.5">
      <c r="B837" s="65" t="s">
        <v>137</v>
      </c>
      <c r="C837" s="626"/>
      <c r="D837" s="626"/>
      <c r="E837" s="626"/>
      <c r="F837" s="626"/>
      <c r="G837" s="626"/>
      <c r="H837" s="624"/>
      <c r="I837" s="601"/>
      <c r="J837" s="638"/>
      <c r="K837" s="626"/>
      <c r="L837" s="626"/>
      <c r="M837" s="624"/>
      <c r="N837" s="601"/>
      <c r="O837" s="638"/>
      <c r="P837" s="624"/>
      <c r="Q837" s="601"/>
      <c r="R837" s="601"/>
      <c r="S837" s="626"/>
      <c r="T837" s="601"/>
      <c r="U837" s="601"/>
      <c r="V837" s="601"/>
      <c r="W837" s="626"/>
      <c r="X837"/>
    </row>
    <row r="838" spans="1:24" ht="15.5">
      <c r="B838" s="65" t="s">
        <v>138</v>
      </c>
      <c r="C838" s="626"/>
      <c r="D838" s="626"/>
      <c r="E838" s="626"/>
      <c r="F838" s="626"/>
      <c r="G838" s="626"/>
      <c r="H838" s="624"/>
      <c r="I838" s="601"/>
      <c r="J838" s="638"/>
      <c r="K838" s="626"/>
      <c r="L838" s="626"/>
      <c r="M838" s="624"/>
      <c r="N838" s="601"/>
      <c r="O838" s="638"/>
      <c r="P838" s="624"/>
      <c r="Q838" s="601"/>
      <c r="R838" s="601"/>
      <c r="S838" s="626"/>
      <c r="T838" s="601"/>
      <c r="U838" s="601"/>
      <c r="V838" s="601"/>
      <c r="W838" s="626"/>
      <c r="X838"/>
    </row>
    <row r="839" spans="1:24" s="149" customFormat="1" ht="15.5">
      <c r="A839" s="128"/>
      <c r="B839" s="65" t="s">
        <v>139</v>
      </c>
      <c r="C839" s="626">
        <v>0</v>
      </c>
      <c r="D839" s="626">
        <v>0</v>
      </c>
      <c r="E839" s="626">
        <v>0</v>
      </c>
      <c r="F839" s="626">
        <v>0</v>
      </c>
      <c r="G839" s="626">
        <v>0</v>
      </c>
      <c r="H839" s="624">
        <v>0</v>
      </c>
      <c r="I839" s="601">
        <v>0</v>
      </c>
      <c r="J839" s="638">
        <v>0</v>
      </c>
      <c r="K839" s="626">
        <v>0</v>
      </c>
      <c r="L839" s="626">
        <v>0</v>
      </c>
      <c r="M839" s="624">
        <v>0</v>
      </c>
      <c r="N839" s="601">
        <v>0</v>
      </c>
      <c r="O839" s="638">
        <v>0</v>
      </c>
      <c r="P839" s="624">
        <v>0</v>
      </c>
      <c r="Q839" s="601">
        <v>0</v>
      </c>
      <c r="R839" s="601">
        <v>0</v>
      </c>
      <c r="S839" s="626">
        <v>0</v>
      </c>
      <c r="T839" s="601">
        <v>0</v>
      </c>
      <c r="U839" s="601">
        <v>0</v>
      </c>
      <c r="V839" s="601">
        <v>0</v>
      </c>
      <c r="W839" s="626">
        <v>0</v>
      </c>
      <c r="X839"/>
    </row>
    <row r="840" spans="1:24" ht="15.5">
      <c r="B840" s="65" t="s">
        <v>140</v>
      </c>
      <c r="C840" s="626"/>
      <c r="D840" s="626"/>
      <c r="E840" s="626"/>
      <c r="F840" s="626"/>
      <c r="G840" s="626"/>
      <c r="H840" s="624"/>
      <c r="I840" s="601"/>
      <c r="J840" s="638"/>
      <c r="K840" s="626"/>
      <c r="L840" s="626"/>
      <c r="M840" s="624"/>
      <c r="N840" s="601"/>
      <c r="O840" s="638"/>
      <c r="P840" s="624"/>
      <c r="Q840" s="601"/>
      <c r="R840" s="601"/>
      <c r="S840" s="626">
        <v>209</v>
      </c>
      <c r="T840" s="601">
        <v>209</v>
      </c>
      <c r="U840" s="601"/>
      <c r="V840" s="601"/>
      <c r="W840" s="626">
        <v>209</v>
      </c>
      <c r="X840"/>
    </row>
    <row r="841" spans="1:24" ht="16" thickBot="1">
      <c r="B841" s="65" t="s">
        <v>141</v>
      </c>
      <c r="C841" s="626"/>
      <c r="D841" s="626"/>
      <c r="E841" s="626"/>
      <c r="F841" s="626"/>
      <c r="G841" s="626"/>
      <c r="H841" s="624"/>
      <c r="I841" s="601"/>
      <c r="J841" s="638"/>
      <c r="K841" s="626"/>
      <c r="L841" s="626"/>
      <c r="M841" s="624"/>
      <c r="N841" s="601"/>
      <c r="O841" s="638"/>
      <c r="P841" s="624"/>
      <c r="Q841" s="601"/>
      <c r="R841" s="601"/>
      <c r="S841" s="626">
        <v>194</v>
      </c>
      <c r="T841" s="601">
        <v>194</v>
      </c>
      <c r="U841" s="601"/>
      <c r="V841" s="601"/>
      <c r="W841" s="626">
        <v>194</v>
      </c>
      <c r="X841"/>
    </row>
    <row r="842" spans="1:24" s="149" customFormat="1" ht="16" thickBot="1">
      <c r="A842" s="128"/>
      <c r="B842" s="65" t="s">
        <v>142</v>
      </c>
      <c r="C842" s="626">
        <v>0</v>
      </c>
      <c r="D842" s="626">
        <v>0</v>
      </c>
      <c r="E842" s="626">
        <v>0</v>
      </c>
      <c r="F842" s="626">
        <v>0</v>
      </c>
      <c r="G842" s="626">
        <v>0</v>
      </c>
      <c r="H842" s="624">
        <v>0</v>
      </c>
      <c r="I842" s="601">
        <v>0</v>
      </c>
      <c r="J842" s="638">
        <v>0</v>
      </c>
      <c r="K842" s="626">
        <v>0</v>
      </c>
      <c r="L842" s="626">
        <v>0</v>
      </c>
      <c r="M842" s="624">
        <v>0</v>
      </c>
      <c r="N842" s="601">
        <v>0</v>
      </c>
      <c r="O842" s="638">
        <v>0</v>
      </c>
      <c r="P842" s="624">
        <v>0</v>
      </c>
      <c r="Q842" s="601">
        <v>0</v>
      </c>
      <c r="R842" s="601">
        <v>0</v>
      </c>
      <c r="S842" s="662">
        <v>-7.1770334928229665E-2</v>
      </c>
      <c r="T842" s="601">
        <v>-7.1770334928229665E-2</v>
      </c>
      <c r="U842" s="601">
        <v>0</v>
      </c>
      <c r="V842" s="601">
        <v>0</v>
      </c>
      <c r="W842" s="626">
        <v>-7.1770334928229665E-2</v>
      </c>
      <c r="X842"/>
    </row>
    <row r="843" spans="1:24" ht="15.5">
      <c r="B843" s="65" t="s">
        <v>143</v>
      </c>
      <c r="C843" s="626"/>
      <c r="D843" s="626"/>
      <c r="E843" s="626"/>
      <c r="F843" s="626"/>
      <c r="G843" s="626"/>
      <c r="H843" s="624"/>
      <c r="I843" s="601"/>
      <c r="J843" s="638"/>
      <c r="K843" s="626"/>
      <c r="L843" s="626"/>
      <c r="M843" s="624"/>
      <c r="N843" s="601"/>
      <c r="O843" s="638"/>
      <c r="P843" s="624"/>
      <c r="Q843" s="601"/>
      <c r="R843" s="601"/>
      <c r="S843" s="626"/>
      <c r="T843" s="601"/>
      <c r="U843" s="601"/>
      <c r="V843" s="601"/>
      <c r="W843" s="626"/>
      <c r="X843"/>
    </row>
    <row r="844" spans="1:24" ht="15.5">
      <c r="B844" s="65" t="s">
        <v>144</v>
      </c>
      <c r="C844" s="626"/>
      <c r="D844" s="626"/>
      <c r="E844" s="626"/>
      <c r="F844" s="626"/>
      <c r="G844" s="626"/>
      <c r="H844" s="624"/>
      <c r="I844" s="601"/>
      <c r="J844" s="638"/>
      <c r="K844" s="626"/>
      <c r="L844" s="626"/>
      <c r="M844" s="624"/>
      <c r="N844" s="601"/>
      <c r="O844" s="638"/>
      <c r="P844" s="624"/>
      <c r="Q844" s="601"/>
      <c r="R844" s="601"/>
      <c r="S844" s="626"/>
      <c r="T844" s="601"/>
      <c r="U844" s="601"/>
      <c r="V844" s="601"/>
      <c r="W844" s="626"/>
      <c r="X844"/>
    </row>
    <row r="845" spans="1:24" s="149" customFormat="1" ht="15.5">
      <c r="A845" s="128"/>
      <c r="B845" s="65" t="s">
        <v>145</v>
      </c>
      <c r="C845" s="626">
        <v>0</v>
      </c>
      <c r="D845" s="626">
        <v>0</v>
      </c>
      <c r="E845" s="626">
        <v>0</v>
      </c>
      <c r="F845" s="626">
        <v>0</v>
      </c>
      <c r="G845" s="626">
        <v>0</v>
      </c>
      <c r="H845" s="624">
        <v>0</v>
      </c>
      <c r="I845" s="601">
        <v>0</v>
      </c>
      <c r="J845" s="638">
        <v>0</v>
      </c>
      <c r="K845" s="626">
        <v>0</v>
      </c>
      <c r="L845" s="626">
        <v>0</v>
      </c>
      <c r="M845" s="624">
        <v>0</v>
      </c>
      <c r="N845" s="601">
        <v>0</v>
      </c>
      <c r="O845" s="638">
        <v>0</v>
      </c>
      <c r="P845" s="624">
        <v>0</v>
      </c>
      <c r="Q845" s="601">
        <v>0</v>
      </c>
      <c r="R845" s="601">
        <v>0</v>
      </c>
      <c r="S845" s="626">
        <v>0</v>
      </c>
      <c r="T845" s="601">
        <v>0</v>
      </c>
      <c r="U845" s="601">
        <v>0</v>
      </c>
      <c r="V845" s="601">
        <v>0</v>
      </c>
      <c r="W845" s="626">
        <v>0</v>
      </c>
      <c r="X845"/>
    </row>
    <row r="846" spans="1:24" ht="15.5">
      <c r="B846" s="65" t="s">
        <v>146</v>
      </c>
      <c r="C846" s="626"/>
      <c r="D846" s="626"/>
      <c r="E846" s="626"/>
      <c r="F846" s="626"/>
      <c r="G846" s="626"/>
      <c r="H846" s="624"/>
      <c r="I846" s="601"/>
      <c r="J846" s="638"/>
      <c r="K846" s="626"/>
      <c r="L846" s="626"/>
      <c r="M846" s="624"/>
      <c r="N846" s="601"/>
      <c r="O846" s="638"/>
      <c r="P846" s="624"/>
      <c r="Q846" s="601"/>
      <c r="R846" s="601"/>
      <c r="S846" s="626"/>
      <c r="T846" s="601"/>
      <c r="U846" s="601"/>
      <c r="V846" s="601"/>
      <c r="W846" s="626"/>
      <c r="X846"/>
    </row>
    <row r="847" spans="1:24" ht="15.5">
      <c r="B847" s="65" t="s">
        <v>147</v>
      </c>
      <c r="C847" s="626"/>
      <c r="D847" s="626"/>
      <c r="E847" s="626"/>
      <c r="F847" s="626"/>
      <c r="G847" s="626"/>
      <c r="H847" s="624"/>
      <c r="I847" s="601"/>
      <c r="J847" s="638"/>
      <c r="K847" s="626"/>
      <c r="L847" s="626"/>
      <c r="M847" s="624"/>
      <c r="N847" s="601"/>
      <c r="O847" s="638"/>
      <c r="P847" s="624"/>
      <c r="Q847" s="601"/>
      <c r="R847" s="601"/>
      <c r="S847" s="626"/>
      <c r="T847" s="601"/>
      <c r="U847" s="601"/>
      <c r="V847" s="601"/>
      <c r="W847" s="626"/>
      <c r="X847"/>
    </row>
    <row r="848" spans="1:24" s="149" customFormat="1" ht="15.5">
      <c r="A848" s="128"/>
      <c r="B848" s="65" t="s">
        <v>148</v>
      </c>
      <c r="C848" s="626">
        <v>0</v>
      </c>
      <c r="D848" s="626">
        <v>0</v>
      </c>
      <c r="E848" s="626">
        <v>0</v>
      </c>
      <c r="F848" s="626">
        <v>0</v>
      </c>
      <c r="G848" s="626">
        <v>0</v>
      </c>
      <c r="H848" s="624">
        <v>0</v>
      </c>
      <c r="I848" s="601">
        <v>0</v>
      </c>
      <c r="J848" s="638">
        <v>0</v>
      </c>
      <c r="K848" s="626">
        <v>0</v>
      </c>
      <c r="L848" s="626">
        <v>0</v>
      </c>
      <c r="M848" s="624">
        <v>0</v>
      </c>
      <c r="N848" s="601">
        <v>0</v>
      </c>
      <c r="O848" s="638">
        <v>0</v>
      </c>
      <c r="P848" s="624">
        <v>0</v>
      </c>
      <c r="Q848" s="601">
        <v>0</v>
      </c>
      <c r="R848" s="601">
        <v>0</v>
      </c>
      <c r="S848" s="626">
        <v>0</v>
      </c>
      <c r="T848" s="601">
        <v>0</v>
      </c>
      <c r="U848" s="601">
        <v>0</v>
      </c>
      <c r="V848" s="601">
        <v>0</v>
      </c>
      <c r="W848" s="626">
        <v>0</v>
      </c>
      <c r="X848"/>
    </row>
    <row r="849" spans="1:24" ht="15.5">
      <c r="B849" s="65" t="s">
        <v>149</v>
      </c>
      <c r="C849" s="626">
        <v>63</v>
      </c>
      <c r="D849" s="626"/>
      <c r="E849" s="626">
        <v>70</v>
      </c>
      <c r="F849" s="626"/>
      <c r="G849" s="626">
        <v>3</v>
      </c>
      <c r="H849" s="624"/>
      <c r="I849" s="601">
        <v>136</v>
      </c>
      <c r="J849" s="638"/>
      <c r="K849" s="626"/>
      <c r="L849" s="626"/>
      <c r="M849" s="624"/>
      <c r="N849" s="601"/>
      <c r="O849" s="638"/>
      <c r="P849" s="624"/>
      <c r="Q849" s="601"/>
      <c r="R849" s="601"/>
      <c r="S849" s="626"/>
      <c r="T849" s="601"/>
      <c r="U849" s="601"/>
      <c r="V849" s="601"/>
      <c r="W849" s="626">
        <v>136</v>
      </c>
      <c r="X849"/>
    </row>
    <row r="850" spans="1:24" ht="16" thickBot="1">
      <c r="B850" s="65" t="s">
        <v>150</v>
      </c>
      <c r="C850" s="626">
        <v>62</v>
      </c>
      <c r="D850" s="626"/>
      <c r="E850" s="680">
        <v>73</v>
      </c>
      <c r="F850" s="626"/>
      <c r="G850" s="626">
        <v>8</v>
      </c>
      <c r="H850" s="624"/>
      <c r="I850" s="601">
        <v>143</v>
      </c>
      <c r="J850" s="638"/>
      <c r="K850" s="626"/>
      <c r="L850" s="626"/>
      <c r="M850" s="624"/>
      <c r="N850" s="601"/>
      <c r="O850" s="638"/>
      <c r="P850" s="624"/>
      <c r="Q850" s="601"/>
      <c r="R850" s="601"/>
      <c r="S850" s="626"/>
      <c r="T850" s="601"/>
      <c r="U850" s="601"/>
      <c r="V850" s="601"/>
      <c r="W850" s="626">
        <v>143</v>
      </c>
      <c r="X850"/>
    </row>
    <row r="851" spans="1:24" s="149" customFormat="1" ht="16" thickBot="1">
      <c r="A851" s="128"/>
      <c r="B851" s="65" t="s">
        <v>151</v>
      </c>
      <c r="C851" s="626">
        <v>-1.5873015873015872E-2</v>
      </c>
      <c r="D851" s="655">
        <v>0</v>
      </c>
      <c r="E851" s="654">
        <v>4.2857142857142858E-2</v>
      </c>
      <c r="F851" s="626">
        <v>0</v>
      </c>
      <c r="G851" s="626">
        <v>1.6666666666666667</v>
      </c>
      <c r="H851" s="624">
        <v>0</v>
      </c>
      <c r="I851" s="601">
        <v>5.1470588235294115E-2</v>
      </c>
      <c r="J851" s="638">
        <v>0</v>
      </c>
      <c r="K851" s="626">
        <v>0</v>
      </c>
      <c r="L851" s="626">
        <v>0</v>
      </c>
      <c r="M851" s="624">
        <v>0</v>
      </c>
      <c r="N851" s="601">
        <v>0</v>
      </c>
      <c r="O851" s="638">
        <v>0</v>
      </c>
      <c r="P851" s="624">
        <v>0</v>
      </c>
      <c r="Q851" s="601">
        <v>0</v>
      </c>
      <c r="R851" s="601">
        <v>0</v>
      </c>
      <c r="S851" s="626">
        <v>0</v>
      </c>
      <c r="T851" s="601">
        <v>0</v>
      </c>
      <c r="U851" s="601">
        <v>0</v>
      </c>
      <c r="V851" s="601">
        <v>0</v>
      </c>
      <c r="W851" s="626">
        <v>5.1470588235294115E-2</v>
      </c>
      <c r="X851"/>
    </row>
    <row r="852" spans="1:24" ht="15.5">
      <c r="B852" s="65" t="s">
        <v>152</v>
      </c>
      <c r="C852" s="626"/>
      <c r="D852" s="626"/>
      <c r="E852" s="626"/>
      <c r="F852" s="626"/>
      <c r="G852" s="626"/>
      <c r="H852" s="624"/>
      <c r="I852" s="601"/>
      <c r="J852" s="638"/>
      <c r="K852" s="626"/>
      <c r="L852" s="626"/>
      <c r="M852" s="624"/>
      <c r="N852" s="601"/>
      <c r="O852" s="638"/>
      <c r="P852" s="624"/>
      <c r="Q852" s="601"/>
      <c r="R852" s="601"/>
      <c r="S852" s="626"/>
      <c r="T852" s="601"/>
      <c r="U852" s="601"/>
      <c r="V852" s="601"/>
      <c r="W852" s="626"/>
      <c r="X852"/>
    </row>
    <row r="853" spans="1:24" s="149" customFormat="1" ht="15.5">
      <c r="A853" s="128"/>
      <c r="B853" s="65" t="s">
        <v>153</v>
      </c>
      <c r="C853" s="626"/>
      <c r="D853" s="626"/>
      <c r="E853" s="626"/>
      <c r="F853" s="626"/>
      <c r="G853" s="626"/>
      <c r="H853" s="624"/>
      <c r="I853" s="601"/>
      <c r="J853" s="638"/>
      <c r="K853" s="626"/>
      <c r="L853" s="626"/>
      <c r="M853" s="624"/>
      <c r="N853" s="601"/>
      <c r="O853" s="638"/>
      <c r="P853" s="624"/>
      <c r="Q853" s="601"/>
      <c r="R853" s="601"/>
      <c r="S853" s="626"/>
      <c r="T853" s="601"/>
      <c r="U853" s="601"/>
      <c r="V853" s="601"/>
      <c r="W853" s="626"/>
      <c r="X853"/>
    </row>
    <row r="854" spans="1:24" s="149" customFormat="1" ht="15.5">
      <c r="A854" s="632" t="s">
        <v>169</v>
      </c>
      <c r="B854" s="632"/>
      <c r="C854" s="627">
        <v>1715</v>
      </c>
      <c r="D854" s="627">
        <v>154</v>
      </c>
      <c r="E854" s="627">
        <v>1891</v>
      </c>
      <c r="F854" s="627">
        <v>789</v>
      </c>
      <c r="G854" s="627">
        <v>76</v>
      </c>
      <c r="H854" s="615">
        <v>562</v>
      </c>
      <c r="I854" s="141">
        <v>5187</v>
      </c>
      <c r="J854" s="614">
        <v>39877</v>
      </c>
      <c r="K854" s="627">
        <v>62584</v>
      </c>
      <c r="L854" s="627">
        <v>55071</v>
      </c>
      <c r="M854" s="615">
        <v>32561</v>
      </c>
      <c r="N854" s="141">
        <v>190093</v>
      </c>
      <c r="O854" s="614">
        <v>52744</v>
      </c>
      <c r="P854" s="615">
        <v>19407</v>
      </c>
      <c r="Q854" s="141">
        <v>1222</v>
      </c>
      <c r="R854" s="141">
        <v>73373</v>
      </c>
      <c r="S854" s="627">
        <v>405</v>
      </c>
      <c r="T854" s="141">
        <v>405</v>
      </c>
      <c r="U854" s="141"/>
      <c r="V854" s="141"/>
      <c r="W854" s="627">
        <v>269058</v>
      </c>
      <c r="X854"/>
    </row>
    <row r="855" spans="1:24" ht="15.5">
      <c r="A855" s="632" t="s">
        <v>170</v>
      </c>
      <c r="B855" s="632"/>
      <c r="C855" s="627">
        <v>1862</v>
      </c>
      <c r="D855" s="627">
        <v>139</v>
      </c>
      <c r="E855" s="627">
        <v>1589</v>
      </c>
      <c r="F855" s="627">
        <v>737</v>
      </c>
      <c r="G855" s="627">
        <v>66</v>
      </c>
      <c r="H855" s="615">
        <v>449</v>
      </c>
      <c r="I855" s="141">
        <v>4842</v>
      </c>
      <c r="J855" s="614">
        <v>39204</v>
      </c>
      <c r="K855" s="627">
        <v>60768</v>
      </c>
      <c r="L855" s="627">
        <v>54474</v>
      </c>
      <c r="M855" s="615">
        <v>31029</v>
      </c>
      <c r="N855" s="141">
        <v>185475</v>
      </c>
      <c r="O855" s="614">
        <v>53312</v>
      </c>
      <c r="P855" s="615">
        <v>18111</v>
      </c>
      <c r="Q855" s="141">
        <v>961</v>
      </c>
      <c r="R855" s="141">
        <v>72384</v>
      </c>
      <c r="S855" s="627">
        <v>418</v>
      </c>
      <c r="T855" s="141">
        <v>418</v>
      </c>
      <c r="U855" s="141"/>
      <c r="V855" s="141"/>
      <c r="W855" s="627">
        <v>263119</v>
      </c>
      <c r="X855"/>
    </row>
    <row r="856" spans="1:24" ht="15.5">
      <c r="A856" s="632" t="s">
        <v>171</v>
      </c>
      <c r="B856" s="632"/>
      <c r="C856" s="627">
        <v>8.5714285714285715E-2</v>
      </c>
      <c r="D856" s="627">
        <v>-9.7402597402597407E-2</v>
      </c>
      <c r="E856" s="627">
        <v>-0.15970386039132733</v>
      </c>
      <c r="F856" s="627">
        <v>-6.5906210392902412E-2</v>
      </c>
      <c r="G856" s="627">
        <v>-0.13157894736842105</v>
      </c>
      <c r="H856" s="615">
        <v>-0.20106761565836298</v>
      </c>
      <c r="I856" s="141">
        <v>-6.651243493348756E-2</v>
      </c>
      <c r="J856" s="614">
        <v>-1.6876896456604059E-2</v>
      </c>
      <c r="K856" s="627">
        <v>-2.9017001150453789E-2</v>
      </c>
      <c r="L856" s="627">
        <v>-1.0840551288336874E-2</v>
      </c>
      <c r="M856" s="615">
        <v>-4.7050152022358037E-2</v>
      </c>
      <c r="N856" s="141">
        <v>-2.4293372191506263E-2</v>
      </c>
      <c r="O856" s="614">
        <v>1.0768997421507659E-2</v>
      </c>
      <c r="P856" s="615">
        <v>-6.6780027825011593E-2</v>
      </c>
      <c r="Q856" s="141">
        <v>-0.21358428805237317</v>
      </c>
      <c r="R856" s="141">
        <v>-1.3479072683412155E-2</v>
      </c>
      <c r="S856" s="627">
        <v>3.2098765432098768E-2</v>
      </c>
      <c r="T856" s="141">
        <v>3.2098765432098768E-2</v>
      </c>
      <c r="U856" s="141">
        <v>0</v>
      </c>
      <c r="V856" s="141">
        <v>0</v>
      </c>
      <c r="W856" s="627">
        <v>-2.2073307613971707E-2</v>
      </c>
      <c r="X856"/>
    </row>
    <row r="857" spans="1:24" s="149" customFormat="1" ht="15.5">
      <c r="A857" s="632" t="s">
        <v>172</v>
      </c>
      <c r="B857" s="632"/>
      <c r="C857" s="627">
        <v>0</v>
      </c>
      <c r="D857" s="627">
        <v>0</v>
      </c>
      <c r="E857" s="627">
        <v>0</v>
      </c>
      <c r="F857" s="627">
        <v>38</v>
      </c>
      <c r="G857" s="627"/>
      <c r="H857" s="615">
        <v>0</v>
      </c>
      <c r="I857" s="141">
        <v>38</v>
      </c>
      <c r="J857" s="614">
        <v>197</v>
      </c>
      <c r="K857" s="627">
        <v>127</v>
      </c>
      <c r="L857" s="627">
        <v>0</v>
      </c>
      <c r="M857" s="615">
        <v>0</v>
      </c>
      <c r="N857" s="141">
        <v>324</v>
      </c>
      <c r="O857" s="614">
        <v>1322</v>
      </c>
      <c r="P857" s="615">
        <v>173</v>
      </c>
      <c r="Q857" s="141"/>
      <c r="R857" s="141">
        <v>1495</v>
      </c>
      <c r="S857" s="627">
        <v>0</v>
      </c>
      <c r="T857" s="141">
        <v>0</v>
      </c>
      <c r="U857" s="141"/>
      <c r="V857" s="141"/>
      <c r="W857" s="627">
        <v>1857</v>
      </c>
      <c r="X857"/>
    </row>
    <row r="858" spans="1:24" ht="15.5">
      <c r="A858" s="632" t="s">
        <v>173</v>
      </c>
      <c r="B858" s="632"/>
      <c r="C858" s="628">
        <v>0</v>
      </c>
      <c r="D858" s="628">
        <v>0</v>
      </c>
      <c r="E858" s="628">
        <v>0</v>
      </c>
      <c r="F858" s="628">
        <v>35</v>
      </c>
      <c r="G858" s="628"/>
      <c r="H858" s="636">
        <v>0</v>
      </c>
      <c r="I858" s="496">
        <v>35</v>
      </c>
      <c r="J858" s="640">
        <v>157</v>
      </c>
      <c r="K858" s="628">
        <v>48</v>
      </c>
      <c r="L858" s="628">
        <v>0</v>
      </c>
      <c r="M858" s="636">
        <v>0</v>
      </c>
      <c r="N858" s="496">
        <v>205</v>
      </c>
      <c r="O858" s="640">
        <v>1277</v>
      </c>
      <c r="P858" s="636">
        <v>105</v>
      </c>
      <c r="Q858" s="496"/>
      <c r="R858" s="496">
        <v>1382</v>
      </c>
      <c r="S858" s="628">
        <v>0</v>
      </c>
      <c r="T858" s="496">
        <v>0</v>
      </c>
      <c r="U858" s="496"/>
      <c r="V858" s="496"/>
      <c r="W858" s="628">
        <v>1622</v>
      </c>
      <c r="X858"/>
    </row>
    <row r="859" spans="1:24" ht="15.5">
      <c r="A859" s="632" t="s">
        <v>174</v>
      </c>
      <c r="B859" s="632"/>
      <c r="C859" s="628">
        <v>0</v>
      </c>
      <c r="D859" s="628">
        <v>0</v>
      </c>
      <c r="E859" s="628">
        <v>0</v>
      </c>
      <c r="F859" s="628">
        <v>-7.8947368421052627E-2</v>
      </c>
      <c r="G859" s="628">
        <v>0</v>
      </c>
      <c r="H859" s="636">
        <v>0</v>
      </c>
      <c r="I859" s="496">
        <v>-7.8947368421052627E-2</v>
      </c>
      <c r="J859" s="640">
        <v>-0.20304568527918782</v>
      </c>
      <c r="K859" s="628">
        <v>-0.62204724409448819</v>
      </c>
      <c r="L859" s="628">
        <v>0</v>
      </c>
      <c r="M859" s="636">
        <v>0</v>
      </c>
      <c r="N859" s="496">
        <v>-0.36728395061728397</v>
      </c>
      <c r="O859" s="640">
        <v>-3.4039334341906202E-2</v>
      </c>
      <c r="P859" s="636">
        <v>-0.39306358381502893</v>
      </c>
      <c r="Q859" s="496">
        <v>0</v>
      </c>
      <c r="R859" s="496">
        <v>-7.5585284280936457E-2</v>
      </c>
      <c r="S859" s="628">
        <v>0</v>
      </c>
      <c r="T859" s="496">
        <v>0</v>
      </c>
      <c r="U859" s="496">
        <v>0</v>
      </c>
      <c r="V859" s="496">
        <v>0</v>
      </c>
      <c r="W859" s="628">
        <v>-0.12654819601507808</v>
      </c>
      <c r="X859"/>
    </row>
    <row r="860" spans="1:24" s="149" customFormat="1" ht="15.5">
      <c r="A860" s="632" t="s">
        <v>175</v>
      </c>
      <c r="B860" s="632"/>
      <c r="C860" s="628">
        <v>2718</v>
      </c>
      <c r="D860" s="628">
        <v>503</v>
      </c>
      <c r="E860" s="628">
        <v>3379</v>
      </c>
      <c r="F860" s="628">
        <v>3065</v>
      </c>
      <c r="G860" s="628">
        <v>630</v>
      </c>
      <c r="H860" s="636">
        <v>1958</v>
      </c>
      <c r="I860" s="496">
        <v>12253</v>
      </c>
      <c r="J860" s="640">
        <v>74373</v>
      </c>
      <c r="K860" s="628">
        <v>115284</v>
      </c>
      <c r="L860" s="628">
        <v>56975</v>
      </c>
      <c r="M860" s="636">
        <v>23444</v>
      </c>
      <c r="N860" s="496">
        <v>270076</v>
      </c>
      <c r="O860" s="640">
        <v>9422</v>
      </c>
      <c r="P860" s="636">
        <v>130</v>
      </c>
      <c r="Q860" s="496"/>
      <c r="R860" s="496">
        <v>9552</v>
      </c>
      <c r="S860" s="628">
        <v>432</v>
      </c>
      <c r="T860" s="496">
        <v>432</v>
      </c>
      <c r="U860" s="496"/>
      <c r="V860" s="496"/>
      <c r="W860" s="628">
        <v>292313</v>
      </c>
      <c r="X860"/>
    </row>
    <row r="861" spans="1:24" ht="15.5">
      <c r="A861" s="632" t="s">
        <v>176</v>
      </c>
      <c r="B861" s="632"/>
      <c r="C861" s="628">
        <v>2907</v>
      </c>
      <c r="D861" s="628">
        <v>404</v>
      </c>
      <c r="E861" s="628">
        <v>4199</v>
      </c>
      <c r="F861" s="628">
        <v>2961</v>
      </c>
      <c r="G861" s="628">
        <v>519</v>
      </c>
      <c r="H861" s="636">
        <v>1892</v>
      </c>
      <c r="I861" s="496">
        <v>12882</v>
      </c>
      <c r="J861" s="640">
        <v>72496</v>
      </c>
      <c r="K861" s="628">
        <v>117748</v>
      </c>
      <c r="L861" s="628">
        <v>57025</v>
      </c>
      <c r="M861" s="636">
        <v>23652</v>
      </c>
      <c r="N861" s="496">
        <v>270921</v>
      </c>
      <c r="O861" s="640">
        <v>10214</v>
      </c>
      <c r="P861" s="636">
        <v>110</v>
      </c>
      <c r="Q861" s="496"/>
      <c r="R861" s="496">
        <v>10324</v>
      </c>
      <c r="S861" s="628">
        <v>264</v>
      </c>
      <c r="T861" s="496">
        <v>264</v>
      </c>
      <c r="U861" s="496"/>
      <c r="V861" s="496"/>
      <c r="W861" s="628">
        <v>294391</v>
      </c>
      <c r="X861"/>
    </row>
    <row r="862" spans="1:24" ht="15.5">
      <c r="A862" s="632" t="s">
        <v>177</v>
      </c>
      <c r="B862" s="632"/>
      <c r="C862" s="628">
        <v>6.9536423841059597E-2</v>
      </c>
      <c r="D862" s="628">
        <v>-0.19681908548707752</v>
      </c>
      <c r="E862" s="628">
        <v>0.24267534773601657</v>
      </c>
      <c r="F862" s="628">
        <v>-3.3931484502446985E-2</v>
      </c>
      <c r="G862" s="628">
        <v>-0.1761904761904762</v>
      </c>
      <c r="H862" s="636">
        <v>-3.3707865168539325E-2</v>
      </c>
      <c r="I862" s="496">
        <v>5.1334367093772953E-2</v>
      </c>
      <c r="J862" s="640">
        <v>-2.5237653449504526E-2</v>
      </c>
      <c r="K862" s="628">
        <v>2.1373304187918531E-2</v>
      </c>
      <c r="L862" s="628">
        <v>8.7757788503729707E-4</v>
      </c>
      <c r="M862" s="636">
        <v>8.8722061081726675E-3</v>
      </c>
      <c r="N862" s="496">
        <v>3.1287489447414801E-3</v>
      </c>
      <c r="O862" s="640">
        <v>8.4058586287412446E-2</v>
      </c>
      <c r="P862" s="636">
        <v>-0.15384615384615385</v>
      </c>
      <c r="Q862" s="496">
        <v>0</v>
      </c>
      <c r="R862" s="496">
        <v>8.082077051926298E-2</v>
      </c>
      <c r="S862" s="628">
        <v>-0.3888888888888889</v>
      </c>
      <c r="T862" s="496">
        <v>-0.3888888888888889</v>
      </c>
      <c r="U862" s="496">
        <v>0</v>
      </c>
      <c r="V862" s="496">
        <v>0</v>
      </c>
      <c r="W862" s="628">
        <v>7.1088182872468897E-3</v>
      </c>
      <c r="X862"/>
    </row>
    <row r="863" spans="1:24" s="149" customFormat="1" ht="15.5">
      <c r="A863" s="632" t="s">
        <v>178</v>
      </c>
      <c r="B863" s="632"/>
      <c r="C863" s="628">
        <v>192441</v>
      </c>
      <c r="D863" s="628">
        <v>42268</v>
      </c>
      <c r="E863" s="628">
        <v>103267</v>
      </c>
      <c r="F863" s="628">
        <v>25635</v>
      </c>
      <c r="G863" s="628">
        <v>11082</v>
      </c>
      <c r="H863" s="636">
        <v>9752</v>
      </c>
      <c r="I863" s="496">
        <v>384445</v>
      </c>
      <c r="J863" s="640">
        <v>9938</v>
      </c>
      <c r="K863" s="628">
        <v>42</v>
      </c>
      <c r="L863" s="628">
        <v>43</v>
      </c>
      <c r="M863" s="636">
        <v>16</v>
      </c>
      <c r="N863" s="496">
        <v>10039</v>
      </c>
      <c r="O863" s="640"/>
      <c r="P863" s="636"/>
      <c r="Q863" s="496"/>
      <c r="R863" s="496"/>
      <c r="S863" s="628">
        <v>4794</v>
      </c>
      <c r="T863" s="496">
        <v>4794</v>
      </c>
      <c r="U863" s="496"/>
      <c r="V863" s="496"/>
      <c r="W863" s="628">
        <v>399278</v>
      </c>
      <c r="X863"/>
    </row>
    <row r="864" spans="1:24" ht="15.5">
      <c r="A864" s="632" t="s">
        <v>179</v>
      </c>
      <c r="B864" s="632"/>
      <c r="C864" s="628">
        <v>112956</v>
      </c>
      <c r="D864" s="628">
        <v>24592</v>
      </c>
      <c r="E864" s="628">
        <v>59269</v>
      </c>
      <c r="F864" s="628">
        <v>18970</v>
      </c>
      <c r="G864" s="628">
        <v>8441</v>
      </c>
      <c r="H864" s="636">
        <v>9768</v>
      </c>
      <c r="I864" s="496">
        <v>233996</v>
      </c>
      <c r="J864" s="640">
        <v>553</v>
      </c>
      <c r="K864" s="628">
        <v>0</v>
      </c>
      <c r="L864" s="628">
        <v>51</v>
      </c>
      <c r="M864" s="636">
        <v>0</v>
      </c>
      <c r="N864" s="496">
        <v>604</v>
      </c>
      <c r="O864" s="640"/>
      <c r="P864" s="636"/>
      <c r="Q864" s="496"/>
      <c r="R864" s="496"/>
      <c r="S864" s="628">
        <v>1582</v>
      </c>
      <c r="T864" s="496">
        <v>1582</v>
      </c>
      <c r="U864" s="496"/>
      <c r="V864" s="496"/>
      <c r="W864" s="628">
        <v>236182</v>
      </c>
      <c r="X864"/>
    </row>
    <row r="865" spans="1:24" ht="15.5">
      <c r="A865" s="632" t="s">
        <v>180</v>
      </c>
      <c r="B865" s="632"/>
      <c r="C865" s="628">
        <v>-0.41303568366408405</v>
      </c>
      <c r="D865" s="628">
        <v>-0.41818870067190311</v>
      </c>
      <c r="E865" s="628">
        <v>-0.42606060019173597</v>
      </c>
      <c r="F865" s="628">
        <v>-0.25999609908328458</v>
      </c>
      <c r="G865" s="628">
        <v>-0.23831438368525537</v>
      </c>
      <c r="H865" s="636">
        <v>1.6406890894175555E-3</v>
      </c>
      <c r="I865" s="496">
        <v>-0.39134076395843359</v>
      </c>
      <c r="J865" s="640">
        <v>-0.9443550010062387</v>
      </c>
      <c r="K865" s="628">
        <v>-1</v>
      </c>
      <c r="L865" s="628">
        <v>0.18604651162790697</v>
      </c>
      <c r="M865" s="636">
        <v>-1</v>
      </c>
      <c r="N865" s="496">
        <v>-0.93983464488494872</v>
      </c>
      <c r="O865" s="640">
        <v>0</v>
      </c>
      <c r="P865" s="636">
        <v>0</v>
      </c>
      <c r="Q865" s="496">
        <v>0</v>
      </c>
      <c r="R865" s="496">
        <v>0</v>
      </c>
      <c r="S865" s="628">
        <v>-0.67000417188151862</v>
      </c>
      <c r="T865" s="496">
        <v>-0.67000417188151862</v>
      </c>
      <c r="U865" s="496">
        <v>0</v>
      </c>
      <c r="V865" s="496">
        <v>0</v>
      </c>
      <c r="W865" s="628">
        <v>-0.40847730152926032</v>
      </c>
      <c r="X865"/>
    </row>
    <row r="866" spans="1:24" s="149" customFormat="1" ht="15.5">
      <c r="A866" s="632" t="s">
        <v>181</v>
      </c>
      <c r="B866" s="632"/>
      <c r="C866" s="628">
        <v>3357</v>
      </c>
      <c r="D866" s="628">
        <v>237</v>
      </c>
      <c r="E866" s="628">
        <v>962</v>
      </c>
      <c r="F866" s="628">
        <v>311</v>
      </c>
      <c r="G866" s="628">
        <v>8</v>
      </c>
      <c r="H866" s="636">
        <v>24</v>
      </c>
      <c r="I866" s="496">
        <v>4899</v>
      </c>
      <c r="J866" s="640">
        <v>0</v>
      </c>
      <c r="K866" s="628">
        <v>0</v>
      </c>
      <c r="L866" s="628">
        <v>0</v>
      </c>
      <c r="M866" s="636">
        <v>0</v>
      </c>
      <c r="N866" s="496">
        <v>0</v>
      </c>
      <c r="O866" s="640"/>
      <c r="P866" s="636"/>
      <c r="Q866" s="496"/>
      <c r="R866" s="496"/>
      <c r="S866" s="628">
        <v>39</v>
      </c>
      <c r="T866" s="496">
        <v>39</v>
      </c>
      <c r="U866" s="496"/>
      <c r="V866" s="496"/>
      <c r="W866" s="628">
        <v>4938</v>
      </c>
      <c r="X866"/>
    </row>
    <row r="867" spans="1:24" ht="15.5">
      <c r="A867" s="632" t="s">
        <v>182</v>
      </c>
      <c r="B867" s="632"/>
      <c r="C867" s="628">
        <v>4215</v>
      </c>
      <c r="D867" s="628">
        <v>709</v>
      </c>
      <c r="E867" s="628">
        <v>1085</v>
      </c>
      <c r="F867" s="628">
        <v>350</v>
      </c>
      <c r="G867" s="628">
        <v>12</v>
      </c>
      <c r="H867" s="636">
        <v>22</v>
      </c>
      <c r="I867" s="496">
        <v>6393</v>
      </c>
      <c r="J867" s="640">
        <v>0</v>
      </c>
      <c r="K867" s="628">
        <v>0</v>
      </c>
      <c r="L867" s="628">
        <v>0</v>
      </c>
      <c r="M867" s="636">
        <v>0</v>
      </c>
      <c r="N867" s="496">
        <v>0</v>
      </c>
      <c r="O867" s="640"/>
      <c r="P867" s="636"/>
      <c r="Q867" s="496"/>
      <c r="R867" s="496"/>
      <c r="S867" s="628">
        <v>32</v>
      </c>
      <c r="T867" s="496">
        <v>32</v>
      </c>
      <c r="U867" s="496"/>
      <c r="V867" s="496"/>
      <c r="W867" s="628">
        <v>6425</v>
      </c>
      <c r="X867"/>
    </row>
    <row r="868" spans="1:24" ht="15.5">
      <c r="A868" s="632" t="s">
        <v>183</v>
      </c>
      <c r="B868" s="632"/>
      <c r="C868" s="628">
        <v>0.25558534405719391</v>
      </c>
      <c r="D868" s="628">
        <v>1.9915611814345993</v>
      </c>
      <c r="E868" s="628">
        <v>0.12785862785862787</v>
      </c>
      <c r="F868" s="628">
        <v>0.12540192926045016</v>
      </c>
      <c r="G868" s="628">
        <v>0.5</v>
      </c>
      <c r="H868" s="636">
        <v>-8.3333333333333329E-2</v>
      </c>
      <c r="I868" s="496">
        <v>0.30496019595835883</v>
      </c>
      <c r="J868" s="640">
        <v>0</v>
      </c>
      <c r="K868" s="628">
        <v>0</v>
      </c>
      <c r="L868" s="628">
        <v>0</v>
      </c>
      <c r="M868" s="636">
        <v>0</v>
      </c>
      <c r="N868" s="496">
        <v>0</v>
      </c>
      <c r="O868" s="640">
        <v>0</v>
      </c>
      <c r="P868" s="636">
        <v>0</v>
      </c>
      <c r="Q868" s="496">
        <v>0</v>
      </c>
      <c r="R868" s="496">
        <v>0</v>
      </c>
      <c r="S868" s="628">
        <v>-0.17948717948717949</v>
      </c>
      <c r="T868" s="496">
        <v>-0.17948717948717949</v>
      </c>
      <c r="U868" s="496">
        <v>0</v>
      </c>
      <c r="V868" s="496">
        <v>0</v>
      </c>
      <c r="W868" s="628">
        <v>0.30113406237343054</v>
      </c>
      <c r="X868"/>
    </row>
    <row r="869" spans="1:24" s="149" customFormat="1" ht="15.5">
      <c r="A869" s="632" t="s">
        <v>184</v>
      </c>
      <c r="B869" s="632"/>
      <c r="C869" s="628">
        <v>63227</v>
      </c>
      <c r="D869" s="628">
        <v>15646</v>
      </c>
      <c r="E869" s="628">
        <v>34652</v>
      </c>
      <c r="F869" s="628">
        <v>9504</v>
      </c>
      <c r="G869" s="628">
        <v>1955</v>
      </c>
      <c r="H869" s="636">
        <v>247</v>
      </c>
      <c r="I869" s="496">
        <v>125231</v>
      </c>
      <c r="J869" s="640">
        <v>0</v>
      </c>
      <c r="K869" s="628">
        <v>0</v>
      </c>
      <c r="L869" s="628">
        <v>0</v>
      </c>
      <c r="M869" s="636">
        <v>0</v>
      </c>
      <c r="N869" s="496">
        <v>0</v>
      </c>
      <c r="O869" s="640">
        <v>0</v>
      </c>
      <c r="P869" s="636">
        <v>0</v>
      </c>
      <c r="Q869" s="496">
        <v>0</v>
      </c>
      <c r="R869" s="496">
        <v>0</v>
      </c>
      <c r="S869" s="628">
        <v>3620</v>
      </c>
      <c r="T869" s="496">
        <v>3620</v>
      </c>
      <c r="U869" s="496">
        <v>0</v>
      </c>
      <c r="V869" s="496">
        <v>0</v>
      </c>
      <c r="W869" s="628">
        <v>128851</v>
      </c>
      <c r="X869"/>
    </row>
    <row r="870" spans="1:24" ht="15.5">
      <c r="A870" s="632" t="s">
        <v>185</v>
      </c>
      <c r="B870" s="632"/>
      <c r="C870" s="628">
        <v>64334</v>
      </c>
      <c r="D870" s="628">
        <v>16237</v>
      </c>
      <c r="E870" s="628">
        <v>34905</v>
      </c>
      <c r="F870" s="628">
        <v>10010</v>
      </c>
      <c r="G870" s="628">
        <v>2054</v>
      </c>
      <c r="H870" s="636">
        <v>309</v>
      </c>
      <c r="I870" s="496">
        <v>127849</v>
      </c>
      <c r="J870" s="640">
        <v>0</v>
      </c>
      <c r="K870" s="628">
        <v>0</v>
      </c>
      <c r="L870" s="628">
        <v>0</v>
      </c>
      <c r="M870" s="636">
        <v>0</v>
      </c>
      <c r="N870" s="496">
        <v>0</v>
      </c>
      <c r="O870" s="640">
        <v>0</v>
      </c>
      <c r="P870" s="636">
        <v>0</v>
      </c>
      <c r="Q870" s="496">
        <v>0</v>
      </c>
      <c r="R870" s="496">
        <v>0</v>
      </c>
      <c r="S870" s="628">
        <v>3698</v>
      </c>
      <c r="T870" s="496">
        <v>3698</v>
      </c>
      <c r="U870" s="496">
        <v>0</v>
      </c>
      <c r="V870" s="496">
        <v>0</v>
      </c>
      <c r="W870" s="628">
        <v>131547</v>
      </c>
      <c r="X870"/>
    </row>
    <row r="871" spans="1:24" ht="15.5">
      <c r="A871" s="632" t="s">
        <v>186</v>
      </c>
      <c r="B871" s="632"/>
      <c r="C871" s="628">
        <v>1.7508342954750344E-2</v>
      </c>
      <c r="D871" s="628">
        <v>3.7773232775150198E-2</v>
      </c>
      <c r="E871" s="628">
        <v>7.3011658778714067E-3</v>
      </c>
      <c r="F871" s="628">
        <v>5.3240740740740741E-2</v>
      </c>
      <c r="G871" s="628">
        <v>5.0639386189258312E-2</v>
      </c>
      <c r="H871" s="636">
        <v>0.25101214574898784</v>
      </c>
      <c r="I871" s="496">
        <v>2.090536688200206E-2</v>
      </c>
      <c r="J871" s="640">
        <v>0</v>
      </c>
      <c r="K871" s="628">
        <v>0</v>
      </c>
      <c r="L871" s="628">
        <v>0</v>
      </c>
      <c r="M871" s="636">
        <v>0</v>
      </c>
      <c r="N871" s="496">
        <v>0</v>
      </c>
      <c r="O871" s="640">
        <v>0</v>
      </c>
      <c r="P871" s="636">
        <v>0</v>
      </c>
      <c r="Q871" s="496">
        <v>0</v>
      </c>
      <c r="R871" s="496">
        <v>0</v>
      </c>
      <c r="S871" s="628">
        <v>2.1546961325966851E-2</v>
      </c>
      <c r="T871" s="496">
        <v>2.1546961325966851E-2</v>
      </c>
      <c r="U871" s="496">
        <v>0</v>
      </c>
      <c r="V871" s="496">
        <v>0</v>
      </c>
      <c r="W871" s="628">
        <v>2.0923392135101783E-2</v>
      </c>
      <c r="X871"/>
    </row>
    <row r="872" spans="1:24" s="149" customFormat="1" ht="15.5">
      <c r="A872" s="632" t="s">
        <v>187</v>
      </c>
      <c r="B872" s="632"/>
      <c r="C872" s="628">
        <v>10864</v>
      </c>
      <c r="D872" s="628">
        <v>1605</v>
      </c>
      <c r="E872" s="628">
        <v>1084</v>
      </c>
      <c r="F872" s="628">
        <v>217</v>
      </c>
      <c r="G872" s="628">
        <v>14</v>
      </c>
      <c r="H872" s="636">
        <v>1</v>
      </c>
      <c r="I872" s="496">
        <v>13785</v>
      </c>
      <c r="J872" s="640">
        <v>0</v>
      </c>
      <c r="K872" s="628">
        <v>0</v>
      </c>
      <c r="L872" s="628">
        <v>0</v>
      </c>
      <c r="M872" s="636">
        <v>0</v>
      </c>
      <c r="N872" s="496">
        <v>0</v>
      </c>
      <c r="O872" s="640">
        <v>0</v>
      </c>
      <c r="P872" s="636">
        <v>0</v>
      </c>
      <c r="Q872" s="496">
        <v>0</v>
      </c>
      <c r="R872" s="496">
        <v>0</v>
      </c>
      <c r="S872" s="628">
        <v>861</v>
      </c>
      <c r="T872" s="496">
        <v>861</v>
      </c>
      <c r="U872" s="496">
        <v>0</v>
      </c>
      <c r="V872" s="496">
        <v>0</v>
      </c>
      <c r="W872" s="628">
        <v>14646</v>
      </c>
      <c r="X872"/>
    </row>
    <row r="873" spans="1:24" ht="13">
      <c r="A873" s="632" t="s">
        <v>188</v>
      </c>
      <c r="B873" s="632"/>
      <c r="C873" s="628">
        <v>11178</v>
      </c>
      <c r="D873" s="628">
        <v>1663</v>
      </c>
      <c r="E873" s="628">
        <v>1170</v>
      </c>
      <c r="F873" s="628">
        <v>256</v>
      </c>
      <c r="G873" s="628">
        <v>17</v>
      </c>
      <c r="H873" s="636">
        <v>0</v>
      </c>
      <c r="I873" s="496">
        <v>14284</v>
      </c>
      <c r="J873" s="640">
        <v>0</v>
      </c>
      <c r="K873" s="628">
        <v>0</v>
      </c>
      <c r="L873" s="628">
        <v>0</v>
      </c>
      <c r="M873" s="636">
        <v>0</v>
      </c>
      <c r="N873" s="496">
        <v>0</v>
      </c>
      <c r="O873" s="640">
        <v>0</v>
      </c>
      <c r="P873" s="636">
        <v>0</v>
      </c>
      <c r="Q873" s="496">
        <v>0</v>
      </c>
      <c r="R873" s="496">
        <v>0</v>
      </c>
      <c r="S873" s="628">
        <v>863</v>
      </c>
      <c r="T873" s="496">
        <v>863</v>
      </c>
      <c r="U873" s="496">
        <v>0</v>
      </c>
      <c r="V873" s="496">
        <v>0</v>
      </c>
      <c r="W873" s="628">
        <v>15147</v>
      </c>
    </row>
    <row r="874" spans="1:24" ht="13">
      <c r="A874" s="632" t="s">
        <v>189</v>
      </c>
      <c r="B874" s="632"/>
      <c r="C874" s="628">
        <v>2.8902798232695141E-2</v>
      </c>
      <c r="D874" s="628">
        <v>3.6137071651090341E-2</v>
      </c>
      <c r="E874" s="628">
        <v>7.9335793357933573E-2</v>
      </c>
      <c r="F874" s="628">
        <v>0.17972350230414746</v>
      </c>
      <c r="G874" s="628">
        <v>0.21428571428571427</v>
      </c>
      <c r="H874" s="636">
        <v>-1</v>
      </c>
      <c r="I874" s="496">
        <v>3.6198766775480597E-2</v>
      </c>
      <c r="J874" s="640">
        <v>0</v>
      </c>
      <c r="K874" s="628">
        <v>0</v>
      </c>
      <c r="L874" s="628">
        <v>0</v>
      </c>
      <c r="M874" s="636">
        <v>0</v>
      </c>
      <c r="N874" s="496">
        <v>0</v>
      </c>
      <c r="O874" s="640">
        <v>0</v>
      </c>
      <c r="P874" s="636">
        <v>0</v>
      </c>
      <c r="Q874" s="496">
        <v>0</v>
      </c>
      <c r="R874" s="496">
        <v>0</v>
      </c>
      <c r="S874" s="628">
        <v>2.3228803716608595E-3</v>
      </c>
      <c r="T874" s="496">
        <v>2.3228803716608595E-3</v>
      </c>
      <c r="U874" s="496">
        <v>0</v>
      </c>
      <c r="V874" s="496">
        <v>0</v>
      </c>
      <c r="W874" s="628">
        <v>3.420729209340434E-2</v>
      </c>
    </row>
    <row r="875" spans="1:24" ht="13">
      <c r="A875" s="632" t="s">
        <v>190</v>
      </c>
      <c r="B875" s="632"/>
      <c r="C875" s="628">
        <v>3132</v>
      </c>
      <c r="D875" s="628">
        <v>354</v>
      </c>
      <c r="E875" s="628">
        <v>421</v>
      </c>
      <c r="F875" s="628">
        <v>113</v>
      </c>
      <c r="G875" s="628"/>
      <c r="H875" s="636"/>
      <c r="I875" s="496">
        <v>4020</v>
      </c>
      <c r="J875" s="640"/>
      <c r="K875" s="628"/>
      <c r="L875" s="628"/>
      <c r="M875" s="636"/>
      <c r="N875" s="496"/>
      <c r="O875" s="640"/>
      <c r="P875" s="636"/>
      <c r="Q875" s="496"/>
      <c r="R875" s="496"/>
      <c r="S875" s="628">
        <v>159</v>
      </c>
      <c r="T875" s="496">
        <v>159</v>
      </c>
      <c r="U875" s="496"/>
      <c r="V875" s="496"/>
      <c r="W875" s="628">
        <v>4179</v>
      </c>
    </row>
    <row r="876" spans="1:24" ht="13">
      <c r="A876" s="632" t="s">
        <v>191</v>
      </c>
      <c r="B876" s="632"/>
      <c r="C876" s="628">
        <v>2650</v>
      </c>
      <c r="D876" s="628">
        <v>106</v>
      </c>
      <c r="E876" s="628">
        <v>442</v>
      </c>
      <c r="F876" s="628">
        <v>88</v>
      </c>
      <c r="G876" s="628"/>
      <c r="H876" s="636"/>
      <c r="I876" s="496">
        <v>3286</v>
      </c>
      <c r="J876" s="640"/>
      <c r="K876" s="628"/>
      <c r="L876" s="628"/>
      <c r="M876" s="636"/>
      <c r="N876" s="496"/>
      <c r="O876" s="640"/>
      <c r="P876" s="636"/>
      <c r="Q876" s="496"/>
      <c r="R876" s="496"/>
      <c r="S876" s="628">
        <v>157</v>
      </c>
      <c r="T876" s="496">
        <v>157</v>
      </c>
      <c r="U876" s="496"/>
      <c r="V876" s="496"/>
      <c r="W876" s="628">
        <v>3443</v>
      </c>
    </row>
    <row r="877" spans="1:24" ht="13">
      <c r="A877" s="632" t="s">
        <v>192</v>
      </c>
      <c r="B877" s="632"/>
      <c r="C877" s="628">
        <v>-0.15389527458492977</v>
      </c>
      <c r="D877" s="628">
        <v>-0.70056497175141241</v>
      </c>
      <c r="E877" s="628">
        <v>4.9881235154394299E-2</v>
      </c>
      <c r="F877" s="628">
        <v>-0.22123893805309736</v>
      </c>
      <c r="G877" s="628">
        <v>0</v>
      </c>
      <c r="H877" s="636">
        <v>0</v>
      </c>
      <c r="I877" s="496">
        <v>-0.18258706467661692</v>
      </c>
      <c r="J877" s="640">
        <v>0</v>
      </c>
      <c r="K877" s="628">
        <v>0</v>
      </c>
      <c r="L877" s="628">
        <v>0</v>
      </c>
      <c r="M877" s="636">
        <v>0</v>
      </c>
      <c r="N877" s="496">
        <v>0</v>
      </c>
      <c r="O877" s="640">
        <v>0</v>
      </c>
      <c r="P877" s="636">
        <v>0</v>
      </c>
      <c r="Q877" s="496">
        <v>0</v>
      </c>
      <c r="R877" s="496">
        <v>0</v>
      </c>
      <c r="S877" s="628">
        <v>-1.2578616352201259E-2</v>
      </c>
      <c r="T877" s="496">
        <v>-1.2578616352201259E-2</v>
      </c>
      <c r="U877" s="496">
        <v>0</v>
      </c>
      <c r="V877" s="496">
        <v>0</v>
      </c>
      <c r="W877" s="628">
        <v>-0.17611868868150274</v>
      </c>
    </row>
    <row r="878" spans="1:24" ht="13">
      <c r="A878" s="632" t="s">
        <v>193</v>
      </c>
      <c r="B878" s="632"/>
      <c r="C878" s="628">
        <v>1442</v>
      </c>
      <c r="D878" s="628">
        <v>213</v>
      </c>
      <c r="E878" s="628">
        <v>60</v>
      </c>
      <c r="F878" s="628">
        <v>246</v>
      </c>
      <c r="G878" s="628"/>
      <c r="H878" s="636"/>
      <c r="I878" s="496">
        <v>1961</v>
      </c>
      <c r="J878" s="640"/>
      <c r="K878" s="628"/>
      <c r="L878" s="628"/>
      <c r="M878" s="636"/>
      <c r="N878" s="496"/>
      <c r="O878" s="640"/>
      <c r="P878" s="636"/>
      <c r="Q878" s="496"/>
      <c r="R878" s="496"/>
      <c r="S878" s="628">
        <v>2164</v>
      </c>
      <c r="T878" s="496">
        <v>2164</v>
      </c>
      <c r="U878" s="496"/>
      <c r="V878" s="496"/>
      <c r="W878" s="628">
        <v>4125</v>
      </c>
    </row>
    <row r="879" spans="1:24" ht="13">
      <c r="A879" s="632" t="s">
        <v>194</v>
      </c>
      <c r="B879" s="632"/>
      <c r="C879" s="628">
        <v>1083</v>
      </c>
      <c r="D879" s="628">
        <v>209</v>
      </c>
      <c r="E879" s="628">
        <v>79</v>
      </c>
      <c r="F879" s="628">
        <v>221</v>
      </c>
      <c r="G879" s="628"/>
      <c r="H879" s="636"/>
      <c r="I879" s="496">
        <v>1592</v>
      </c>
      <c r="J879" s="640"/>
      <c r="K879" s="628"/>
      <c r="L879" s="628"/>
      <c r="M879" s="636"/>
      <c r="N879" s="496"/>
      <c r="O879" s="640"/>
      <c r="P879" s="636"/>
      <c r="Q879" s="496"/>
      <c r="R879" s="496"/>
      <c r="S879" s="628">
        <v>2133</v>
      </c>
      <c r="T879" s="496">
        <v>2133</v>
      </c>
      <c r="U879" s="496"/>
      <c r="V879" s="496"/>
      <c r="W879" s="628">
        <v>3725</v>
      </c>
    </row>
    <row r="880" spans="1:24" ht="13">
      <c r="A880" s="632" t="s">
        <v>195</v>
      </c>
      <c r="B880" s="632"/>
      <c r="C880" s="628">
        <v>-0.24895977808599168</v>
      </c>
      <c r="D880" s="628">
        <v>-1.8779342723004695E-2</v>
      </c>
      <c r="E880" s="628">
        <v>0.31666666666666665</v>
      </c>
      <c r="F880" s="628">
        <v>-0.1016260162601626</v>
      </c>
      <c r="G880" s="628">
        <v>0</v>
      </c>
      <c r="H880" s="636">
        <v>0</v>
      </c>
      <c r="I880" s="496">
        <v>-0.18816930137684854</v>
      </c>
      <c r="J880" s="640">
        <v>0</v>
      </c>
      <c r="K880" s="628">
        <v>0</v>
      </c>
      <c r="L880" s="628">
        <v>0</v>
      </c>
      <c r="M880" s="636">
        <v>0</v>
      </c>
      <c r="N880" s="496">
        <v>0</v>
      </c>
      <c r="O880" s="640">
        <v>0</v>
      </c>
      <c r="P880" s="636">
        <v>0</v>
      </c>
      <c r="Q880" s="496">
        <v>0</v>
      </c>
      <c r="R880" s="496">
        <v>0</v>
      </c>
      <c r="S880" s="628">
        <v>-1.432532347504621E-2</v>
      </c>
      <c r="T880" s="496">
        <v>-1.432532347504621E-2</v>
      </c>
      <c r="U880" s="496">
        <v>0</v>
      </c>
      <c r="V880" s="496">
        <v>0</v>
      </c>
      <c r="W880" s="628">
        <v>-9.696969696969697E-2</v>
      </c>
    </row>
    <row r="881" spans="1:23" ht="13">
      <c r="A881" s="632" t="s">
        <v>196</v>
      </c>
      <c r="B881" s="632"/>
      <c r="C881" s="628">
        <v>495</v>
      </c>
      <c r="D881" s="628">
        <v>50</v>
      </c>
      <c r="E881" s="628"/>
      <c r="F881" s="628">
        <v>96</v>
      </c>
      <c r="G881" s="628"/>
      <c r="H881" s="636"/>
      <c r="I881" s="496">
        <v>641</v>
      </c>
      <c r="J881" s="640"/>
      <c r="K881" s="628"/>
      <c r="L881" s="628"/>
      <c r="M881" s="636"/>
      <c r="N881" s="496"/>
      <c r="O881" s="640"/>
      <c r="P881" s="636"/>
      <c r="Q881" s="496"/>
      <c r="R881" s="496"/>
      <c r="S881" s="628">
        <v>518</v>
      </c>
      <c r="T881" s="496">
        <v>518</v>
      </c>
      <c r="U881" s="496"/>
      <c r="V881" s="496"/>
      <c r="W881" s="628">
        <v>1159</v>
      </c>
    </row>
    <row r="882" spans="1:23" ht="13">
      <c r="A882" s="632" t="s">
        <v>197</v>
      </c>
      <c r="B882" s="632"/>
      <c r="C882" s="628">
        <v>431</v>
      </c>
      <c r="D882" s="628">
        <v>52</v>
      </c>
      <c r="E882" s="628"/>
      <c r="F882" s="628">
        <v>87</v>
      </c>
      <c r="G882" s="628"/>
      <c r="H882" s="636"/>
      <c r="I882" s="496">
        <v>570</v>
      </c>
      <c r="J882" s="640"/>
      <c r="K882" s="628"/>
      <c r="L882" s="628"/>
      <c r="M882" s="636"/>
      <c r="N882" s="496"/>
      <c r="O882" s="640"/>
      <c r="P882" s="636"/>
      <c r="Q882" s="496"/>
      <c r="R882" s="496"/>
      <c r="S882" s="628">
        <v>550</v>
      </c>
      <c r="T882" s="496">
        <v>550</v>
      </c>
      <c r="U882" s="496"/>
      <c r="V882" s="496"/>
      <c r="W882" s="628">
        <v>1120</v>
      </c>
    </row>
    <row r="883" spans="1:23" ht="13">
      <c r="A883" s="632" t="s">
        <v>198</v>
      </c>
      <c r="B883" s="632"/>
      <c r="C883" s="628">
        <v>-0.12929292929292929</v>
      </c>
      <c r="D883" s="628">
        <v>0.04</v>
      </c>
      <c r="E883" s="628">
        <v>0</v>
      </c>
      <c r="F883" s="628">
        <v>-9.375E-2</v>
      </c>
      <c r="G883" s="628">
        <v>0</v>
      </c>
      <c r="H883" s="636">
        <v>0</v>
      </c>
      <c r="I883" s="496">
        <v>-0.11076443057722309</v>
      </c>
      <c r="J883" s="640">
        <v>0</v>
      </c>
      <c r="K883" s="628">
        <v>0</v>
      </c>
      <c r="L883" s="628">
        <v>0</v>
      </c>
      <c r="M883" s="636">
        <v>0</v>
      </c>
      <c r="N883" s="496">
        <v>0</v>
      </c>
      <c r="O883" s="640">
        <v>0</v>
      </c>
      <c r="P883" s="636">
        <v>0</v>
      </c>
      <c r="Q883" s="496">
        <v>0</v>
      </c>
      <c r="R883" s="496">
        <v>0</v>
      </c>
      <c r="S883" s="628">
        <v>6.1776061776061778E-2</v>
      </c>
      <c r="T883" s="496">
        <v>6.1776061776061778E-2</v>
      </c>
      <c r="U883" s="496">
        <v>0</v>
      </c>
      <c r="V883" s="496">
        <v>0</v>
      </c>
      <c r="W883" s="628">
        <v>-3.3649698015530631E-2</v>
      </c>
    </row>
    <row r="884" spans="1:23" ht="13">
      <c r="A884" s="632" t="s">
        <v>199</v>
      </c>
      <c r="B884" s="632"/>
      <c r="C884" s="628">
        <v>1228</v>
      </c>
      <c r="D884" s="628">
        <v>74</v>
      </c>
      <c r="E884" s="628">
        <v>340</v>
      </c>
      <c r="F884" s="628"/>
      <c r="G884" s="628"/>
      <c r="H884" s="636"/>
      <c r="I884" s="496">
        <v>1642</v>
      </c>
      <c r="J884" s="640"/>
      <c r="K884" s="628"/>
      <c r="L884" s="628"/>
      <c r="M884" s="636"/>
      <c r="N884" s="496"/>
      <c r="O884" s="640"/>
      <c r="P884" s="636"/>
      <c r="Q884" s="496"/>
      <c r="R884" s="496"/>
      <c r="S884" s="628">
        <v>734</v>
      </c>
      <c r="T884" s="496">
        <v>734</v>
      </c>
      <c r="U884" s="496"/>
      <c r="V884" s="496"/>
      <c r="W884" s="628">
        <v>2376</v>
      </c>
    </row>
    <row r="885" spans="1:23" ht="13">
      <c r="A885" s="632" t="s">
        <v>200</v>
      </c>
      <c r="B885" s="632"/>
      <c r="C885" s="628">
        <v>1057</v>
      </c>
      <c r="D885" s="628">
        <v>68</v>
      </c>
      <c r="E885" s="628">
        <v>335</v>
      </c>
      <c r="F885" s="628"/>
      <c r="G885" s="628"/>
      <c r="H885" s="636"/>
      <c r="I885" s="496">
        <v>1460</v>
      </c>
      <c r="J885" s="640"/>
      <c r="K885" s="628"/>
      <c r="L885" s="628"/>
      <c r="M885" s="636"/>
      <c r="N885" s="496"/>
      <c r="O885" s="640"/>
      <c r="P885" s="636"/>
      <c r="Q885" s="496"/>
      <c r="R885" s="496"/>
      <c r="S885" s="628">
        <v>709</v>
      </c>
      <c r="T885" s="496">
        <v>709</v>
      </c>
      <c r="U885" s="496"/>
      <c r="V885" s="496"/>
      <c r="W885" s="628">
        <v>2169</v>
      </c>
    </row>
    <row r="886" spans="1:23" ht="13">
      <c r="A886" s="632" t="s">
        <v>201</v>
      </c>
      <c r="B886" s="632"/>
      <c r="C886" s="628">
        <v>-0.13925081433224756</v>
      </c>
      <c r="D886" s="628">
        <v>-8.1081081081081086E-2</v>
      </c>
      <c r="E886" s="628">
        <v>-1.4705882352941176E-2</v>
      </c>
      <c r="F886" s="628">
        <v>0</v>
      </c>
      <c r="G886" s="628">
        <v>0</v>
      </c>
      <c r="H886" s="636">
        <v>0</v>
      </c>
      <c r="I886" s="496">
        <v>-0.11084043848964677</v>
      </c>
      <c r="J886" s="640">
        <v>0</v>
      </c>
      <c r="K886" s="628">
        <v>0</v>
      </c>
      <c r="L886" s="628">
        <v>0</v>
      </c>
      <c r="M886" s="636">
        <v>0</v>
      </c>
      <c r="N886" s="496">
        <v>0</v>
      </c>
      <c r="O886" s="640">
        <v>0</v>
      </c>
      <c r="P886" s="636">
        <v>0</v>
      </c>
      <c r="Q886" s="496">
        <v>0</v>
      </c>
      <c r="R886" s="496">
        <v>0</v>
      </c>
      <c r="S886" s="628">
        <v>-3.4059945504087197E-2</v>
      </c>
      <c r="T886" s="496">
        <v>-3.4059945504087197E-2</v>
      </c>
      <c r="U886" s="496">
        <v>0</v>
      </c>
      <c r="V886" s="496">
        <v>0</v>
      </c>
      <c r="W886" s="628">
        <v>-8.7121212121212127E-2</v>
      </c>
    </row>
    <row r="887" spans="1:23" ht="13">
      <c r="A887" s="632" t="s">
        <v>202</v>
      </c>
      <c r="B887" s="632"/>
      <c r="C887" s="628"/>
      <c r="D887" s="628"/>
      <c r="E887" s="628"/>
      <c r="F887" s="628"/>
      <c r="G887" s="628"/>
      <c r="H887" s="636"/>
      <c r="I887" s="496"/>
      <c r="J887" s="640"/>
      <c r="K887" s="628"/>
      <c r="L887" s="628"/>
      <c r="M887" s="636"/>
      <c r="N887" s="496"/>
      <c r="O887" s="640"/>
      <c r="P887" s="636"/>
      <c r="Q887" s="496"/>
      <c r="R887" s="496"/>
      <c r="S887" s="628"/>
      <c r="T887" s="496"/>
      <c r="U887" s="496"/>
      <c r="V887" s="496"/>
      <c r="W887" s="628"/>
    </row>
    <row r="888" spans="1:23" ht="13">
      <c r="A888" s="632" t="s">
        <v>203</v>
      </c>
      <c r="B888" s="632"/>
      <c r="C888" s="628"/>
      <c r="D888" s="628"/>
      <c r="E888" s="628"/>
      <c r="F888" s="628"/>
      <c r="G888" s="628"/>
      <c r="H888" s="636"/>
      <c r="I888" s="496"/>
      <c r="J888" s="640"/>
      <c r="K888" s="628"/>
      <c r="L888" s="628"/>
      <c r="M888" s="636"/>
      <c r="N888" s="496"/>
      <c r="O888" s="640"/>
      <c r="P888" s="636"/>
      <c r="Q888" s="496"/>
      <c r="R888" s="496"/>
      <c r="S888" s="628"/>
      <c r="T888" s="496"/>
      <c r="U888" s="496"/>
      <c r="V888" s="496"/>
      <c r="W888" s="628"/>
    </row>
    <row r="889" spans="1:23" ht="13">
      <c r="A889" s="632" t="s">
        <v>204</v>
      </c>
      <c r="B889" s="632"/>
      <c r="C889" s="628">
        <v>0</v>
      </c>
      <c r="D889" s="628">
        <v>0</v>
      </c>
      <c r="E889" s="628">
        <v>0</v>
      </c>
      <c r="F889" s="628">
        <v>0</v>
      </c>
      <c r="G889" s="628">
        <v>0</v>
      </c>
      <c r="H889" s="636">
        <v>0</v>
      </c>
      <c r="I889" s="496">
        <v>0</v>
      </c>
      <c r="J889" s="640">
        <v>0</v>
      </c>
      <c r="K889" s="628">
        <v>0</v>
      </c>
      <c r="L889" s="628">
        <v>0</v>
      </c>
      <c r="M889" s="636">
        <v>0</v>
      </c>
      <c r="N889" s="496">
        <v>0</v>
      </c>
      <c r="O889" s="640">
        <v>0</v>
      </c>
      <c r="P889" s="636">
        <v>0</v>
      </c>
      <c r="Q889" s="496">
        <v>0</v>
      </c>
      <c r="R889" s="496">
        <v>0</v>
      </c>
      <c r="S889" s="628">
        <v>0</v>
      </c>
      <c r="T889" s="496">
        <v>0</v>
      </c>
      <c r="U889" s="496">
        <v>0</v>
      </c>
      <c r="V889" s="496">
        <v>0</v>
      </c>
      <c r="W889" s="628">
        <v>0</v>
      </c>
    </row>
    <row r="890" spans="1:23" ht="13">
      <c r="A890" s="632" t="s">
        <v>205</v>
      </c>
      <c r="B890" s="632"/>
      <c r="C890" s="628">
        <v>149</v>
      </c>
      <c r="D890" s="628"/>
      <c r="E890" s="628"/>
      <c r="F890" s="628"/>
      <c r="G890" s="628"/>
      <c r="H890" s="636"/>
      <c r="I890" s="496">
        <v>149</v>
      </c>
      <c r="J890" s="640"/>
      <c r="K890" s="628"/>
      <c r="L890" s="628"/>
      <c r="M890" s="636"/>
      <c r="N890" s="496"/>
      <c r="O890" s="640"/>
      <c r="P890" s="636"/>
      <c r="Q890" s="496"/>
      <c r="R890" s="496"/>
      <c r="S890" s="628"/>
      <c r="T890" s="496"/>
      <c r="U890" s="496"/>
      <c r="V890" s="496"/>
      <c r="W890" s="628">
        <v>149</v>
      </c>
    </row>
    <row r="891" spans="1:23" ht="13">
      <c r="A891" s="632" t="s">
        <v>206</v>
      </c>
      <c r="B891" s="632"/>
      <c r="C891" s="628">
        <v>133</v>
      </c>
      <c r="D891" s="628"/>
      <c r="E891" s="628"/>
      <c r="F891" s="628"/>
      <c r="G891" s="628"/>
      <c r="H891" s="636"/>
      <c r="I891" s="496">
        <v>133</v>
      </c>
      <c r="J891" s="640"/>
      <c r="K891" s="628"/>
      <c r="L891" s="628"/>
      <c r="M891" s="636"/>
      <c r="N891" s="496"/>
      <c r="O891" s="640"/>
      <c r="P891" s="636"/>
      <c r="Q891" s="496"/>
      <c r="R891" s="496"/>
      <c r="S891" s="628"/>
      <c r="T891" s="496"/>
      <c r="U891" s="496"/>
      <c r="V891" s="496"/>
      <c r="W891" s="628">
        <v>133</v>
      </c>
    </row>
    <row r="892" spans="1:23" ht="13">
      <c r="A892" s="632" t="s">
        <v>207</v>
      </c>
      <c r="B892" s="632"/>
      <c r="C892" s="628">
        <v>-0.10738255033557047</v>
      </c>
      <c r="D892" s="628">
        <v>0</v>
      </c>
      <c r="E892" s="628">
        <v>0</v>
      </c>
      <c r="F892" s="628">
        <v>0</v>
      </c>
      <c r="G892" s="628">
        <v>0</v>
      </c>
      <c r="H892" s="636">
        <v>0</v>
      </c>
      <c r="I892" s="496">
        <v>-0.10738255033557047</v>
      </c>
      <c r="J892" s="640">
        <v>0</v>
      </c>
      <c r="K892" s="628">
        <v>0</v>
      </c>
      <c r="L892" s="628">
        <v>0</v>
      </c>
      <c r="M892" s="636">
        <v>0</v>
      </c>
      <c r="N892" s="496">
        <v>0</v>
      </c>
      <c r="O892" s="640">
        <v>0</v>
      </c>
      <c r="P892" s="636">
        <v>0</v>
      </c>
      <c r="Q892" s="496">
        <v>0</v>
      </c>
      <c r="R892" s="496">
        <v>0</v>
      </c>
      <c r="S892" s="628">
        <v>0</v>
      </c>
      <c r="T892" s="496">
        <v>0</v>
      </c>
      <c r="U892" s="496">
        <v>0</v>
      </c>
      <c r="V892" s="496">
        <v>0</v>
      </c>
      <c r="W892" s="628">
        <v>-0.10738255033557047</v>
      </c>
    </row>
    <row r="893" spans="1:23" ht="13">
      <c r="A893" s="632" t="s">
        <v>208</v>
      </c>
      <c r="B893" s="632"/>
      <c r="C893" s="628"/>
      <c r="D893" s="628"/>
      <c r="E893" s="628"/>
      <c r="F893" s="628"/>
      <c r="G893" s="628"/>
      <c r="H893" s="636"/>
      <c r="I893" s="496"/>
      <c r="J893" s="640"/>
      <c r="K893" s="628"/>
      <c r="L893" s="628"/>
      <c r="M893" s="636"/>
      <c r="N893" s="496"/>
      <c r="O893" s="640"/>
      <c r="P893" s="636"/>
      <c r="Q893" s="496"/>
      <c r="R893" s="496"/>
      <c r="S893" s="628">
        <v>435</v>
      </c>
      <c r="T893" s="496">
        <v>435</v>
      </c>
      <c r="U893" s="496"/>
      <c r="V893" s="496"/>
      <c r="W893" s="628">
        <v>435</v>
      </c>
    </row>
    <row r="894" spans="1:23" ht="13">
      <c r="A894" s="632" t="s">
        <v>209</v>
      </c>
      <c r="B894" s="632"/>
      <c r="C894" s="628"/>
      <c r="D894" s="628"/>
      <c r="E894" s="628"/>
      <c r="F894" s="628"/>
      <c r="G894" s="628"/>
      <c r="H894" s="636"/>
      <c r="I894" s="496"/>
      <c r="J894" s="640"/>
      <c r="K894" s="628"/>
      <c r="L894" s="628"/>
      <c r="M894" s="636"/>
      <c r="N894" s="496"/>
      <c r="O894" s="640"/>
      <c r="P894" s="636"/>
      <c r="Q894" s="496"/>
      <c r="R894" s="496"/>
      <c r="S894" s="628">
        <v>400</v>
      </c>
      <c r="T894" s="496">
        <v>400</v>
      </c>
      <c r="U894" s="496"/>
      <c r="V894" s="496"/>
      <c r="W894" s="628">
        <v>400</v>
      </c>
    </row>
    <row r="895" spans="1:23" ht="13">
      <c r="A895" s="632" t="s">
        <v>210</v>
      </c>
      <c r="B895" s="632"/>
      <c r="C895" s="628">
        <v>0</v>
      </c>
      <c r="D895" s="628">
        <v>0</v>
      </c>
      <c r="E895" s="628">
        <v>0</v>
      </c>
      <c r="F895" s="628">
        <v>0</v>
      </c>
      <c r="G895" s="628">
        <v>0</v>
      </c>
      <c r="H895" s="636">
        <v>0</v>
      </c>
      <c r="I895" s="496">
        <v>0</v>
      </c>
      <c r="J895" s="640">
        <v>0</v>
      </c>
      <c r="K895" s="628">
        <v>0</v>
      </c>
      <c r="L895" s="628">
        <v>0</v>
      </c>
      <c r="M895" s="636">
        <v>0</v>
      </c>
      <c r="N895" s="496">
        <v>0</v>
      </c>
      <c r="O895" s="640">
        <v>0</v>
      </c>
      <c r="P895" s="636">
        <v>0</v>
      </c>
      <c r="Q895" s="496">
        <v>0</v>
      </c>
      <c r="R895" s="496">
        <v>0</v>
      </c>
      <c r="S895" s="628">
        <v>-8.0459770114942528E-2</v>
      </c>
      <c r="T895" s="496">
        <v>-8.0459770114942528E-2</v>
      </c>
      <c r="U895" s="496">
        <v>0</v>
      </c>
      <c r="V895" s="496">
        <v>0</v>
      </c>
      <c r="W895" s="628">
        <v>-8.0459770114942528E-2</v>
      </c>
    </row>
    <row r="896" spans="1:23" ht="13">
      <c r="A896" s="632" t="s">
        <v>211</v>
      </c>
      <c r="B896" s="632"/>
      <c r="C896" s="628">
        <v>850</v>
      </c>
      <c r="D896" s="628"/>
      <c r="E896" s="628"/>
      <c r="F896" s="628"/>
      <c r="G896" s="628"/>
      <c r="H896" s="636"/>
      <c r="I896" s="496">
        <v>850</v>
      </c>
      <c r="J896" s="640"/>
      <c r="K896" s="628"/>
      <c r="L896" s="628"/>
      <c r="M896" s="636"/>
      <c r="N896" s="496"/>
      <c r="O896" s="640"/>
      <c r="P896" s="636"/>
      <c r="Q896" s="496"/>
      <c r="R896" s="496"/>
      <c r="S896" s="628"/>
      <c r="T896" s="496"/>
      <c r="U896" s="496"/>
      <c r="V896" s="496"/>
      <c r="W896" s="628">
        <v>850</v>
      </c>
    </row>
    <row r="897" spans="1:23" ht="13">
      <c r="A897" s="632" t="s">
        <v>212</v>
      </c>
      <c r="B897" s="632"/>
      <c r="C897" s="628">
        <v>717</v>
      </c>
      <c r="D897" s="628"/>
      <c r="E897" s="628"/>
      <c r="F897" s="628"/>
      <c r="G897" s="628"/>
      <c r="H897" s="636"/>
      <c r="I897" s="496">
        <v>717</v>
      </c>
      <c r="J897" s="640"/>
      <c r="K897" s="628"/>
      <c r="L897" s="628"/>
      <c r="M897" s="636"/>
      <c r="N897" s="496"/>
      <c r="O897" s="640"/>
      <c r="P897" s="636"/>
      <c r="Q897" s="496"/>
      <c r="R897" s="496"/>
      <c r="S897" s="628"/>
      <c r="T897" s="496"/>
      <c r="U897" s="496"/>
      <c r="V897" s="496"/>
      <c r="W897" s="628">
        <v>717</v>
      </c>
    </row>
    <row r="898" spans="1:23" ht="13">
      <c r="A898" s="632" t="s">
        <v>213</v>
      </c>
      <c r="B898" s="632"/>
      <c r="C898" s="628">
        <v>-0.15647058823529411</v>
      </c>
      <c r="D898" s="628">
        <v>0</v>
      </c>
      <c r="E898" s="628">
        <v>0</v>
      </c>
      <c r="F898" s="628">
        <v>0</v>
      </c>
      <c r="G898" s="628">
        <v>0</v>
      </c>
      <c r="H898" s="636">
        <v>0</v>
      </c>
      <c r="I898" s="496">
        <v>-0.15647058823529411</v>
      </c>
      <c r="J898" s="640">
        <v>0</v>
      </c>
      <c r="K898" s="628">
        <v>0</v>
      </c>
      <c r="L898" s="628">
        <v>0</v>
      </c>
      <c r="M898" s="636">
        <v>0</v>
      </c>
      <c r="N898" s="496">
        <v>0</v>
      </c>
      <c r="O898" s="640">
        <v>0</v>
      </c>
      <c r="P898" s="636">
        <v>0</v>
      </c>
      <c r="Q898" s="496">
        <v>0</v>
      </c>
      <c r="R898" s="496">
        <v>0</v>
      </c>
      <c r="S898" s="628">
        <v>0</v>
      </c>
      <c r="T898" s="496">
        <v>0</v>
      </c>
      <c r="U898" s="496">
        <v>0</v>
      </c>
      <c r="V898" s="496">
        <v>0</v>
      </c>
      <c r="W898" s="628">
        <v>-0.15647058823529411</v>
      </c>
    </row>
    <row r="899" spans="1:23" ht="13">
      <c r="A899" s="632" t="s">
        <v>214</v>
      </c>
      <c r="B899" s="632"/>
      <c r="C899" s="628"/>
      <c r="D899" s="628"/>
      <c r="E899" s="628"/>
      <c r="F899" s="628"/>
      <c r="G899" s="628"/>
      <c r="H899" s="636"/>
      <c r="I899" s="496"/>
      <c r="J899" s="640"/>
      <c r="K899" s="628"/>
      <c r="L899" s="628"/>
      <c r="M899" s="636"/>
      <c r="N899" s="496"/>
      <c r="O899" s="640"/>
      <c r="P899" s="636"/>
      <c r="Q899" s="496"/>
      <c r="R899" s="496"/>
      <c r="S899" s="628"/>
      <c r="T899" s="496"/>
      <c r="U899" s="496"/>
      <c r="V899" s="496"/>
      <c r="W899" s="628"/>
    </row>
    <row r="900" spans="1:23" ht="13">
      <c r="A900" s="632" t="s">
        <v>215</v>
      </c>
      <c r="B900" s="632"/>
      <c r="C900" s="628"/>
      <c r="D900" s="628"/>
      <c r="E900" s="628"/>
      <c r="F900" s="628"/>
      <c r="G900" s="628"/>
      <c r="H900" s="636"/>
      <c r="I900" s="496"/>
      <c r="J900" s="640"/>
      <c r="K900" s="628"/>
      <c r="L900" s="628"/>
      <c r="M900" s="636"/>
      <c r="N900" s="496"/>
      <c r="O900" s="640"/>
      <c r="P900" s="636"/>
      <c r="Q900" s="496"/>
      <c r="R900" s="496"/>
      <c r="S900" s="628"/>
      <c r="T900" s="496"/>
      <c r="U900" s="496"/>
      <c r="V900" s="496"/>
      <c r="W900" s="628"/>
    </row>
    <row r="901" spans="1:23" ht="13">
      <c r="A901" s="632" t="s">
        <v>216</v>
      </c>
      <c r="B901" s="632"/>
      <c r="C901" s="628">
        <v>0</v>
      </c>
      <c r="D901" s="628">
        <v>0</v>
      </c>
      <c r="E901" s="628">
        <v>0</v>
      </c>
      <c r="F901" s="628">
        <v>0</v>
      </c>
      <c r="G901" s="628">
        <v>0</v>
      </c>
      <c r="H901" s="636">
        <v>0</v>
      </c>
      <c r="I901" s="496">
        <v>0</v>
      </c>
      <c r="J901" s="640">
        <v>0</v>
      </c>
      <c r="K901" s="628">
        <v>0</v>
      </c>
      <c r="L901" s="628">
        <v>0</v>
      </c>
      <c r="M901" s="636">
        <v>0</v>
      </c>
      <c r="N901" s="496">
        <v>0</v>
      </c>
      <c r="O901" s="640">
        <v>0</v>
      </c>
      <c r="P901" s="636">
        <v>0</v>
      </c>
      <c r="Q901" s="496">
        <v>0</v>
      </c>
      <c r="R901" s="496">
        <v>0</v>
      </c>
      <c r="S901" s="628">
        <v>0</v>
      </c>
      <c r="T901" s="496">
        <v>0</v>
      </c>
      <c r="U901" s="496">
        <v>0</v>
      </c>
      <c r="V901" s="496">
        <v>0</v>
      </c>
      <c r="W901" s="628">
        <v>0</v>
      </c>
    </row>
    <row r="902" spans="1:23">
      <c r="A902" s="633" t="s">
        <v>217</v>
      </c>
      <c r="B902" s="633"/>
      <c r="C902" s="626">
        <v>692</v>
      </c>
      <c r="D902" s="626">
        <v>506</v>
      </c>
      <c r="E902" s="626">
        <v>410</v>
      </c>
      <c r="F902" s="626">
        <v>39</v>
      </c>
      <c r="G902" s="626">
        <v>50</v>
      </c>
      <c r="H902" s="624"/>
      <c r="I902" s="601">
        <v>1697</v>
      </c>
      <c r="J902" s="638"/>
      <c r="K902" s="626"/>
      <c r="L902" s="626"/>
      <c r="M902" s="624"/>
      <c r="N902" s="601"/>
      <c r="O902" s="638"/>
      <c r="P902" s="624"/>
      <c r="Q902" s="601"/>
      <c r="R902" s="601"/>
      <c r="S902" s="626">
        <v>472</v>
      </c>
      <c r="T902" s="601">
        <v>472</v>
      </c>
      <c r="U902" s="601"/>
      <c r="V902" s="601"/>
      <c r="W902" s="626">
        <v>2169</v>
      </c>
    </row>
    <row r="903" spans="1:23">
      <c r="A903" s="633" t="s">
        <v>218</v>
      </c>
      <c r="B903" s="633"/>
      <c r="C903" s="626">
        <v>822</v>
      </c>
      <c r="D903" s="626">
        <v>514</v>
      </c>
      <c r="E903" s="626">
        <v>506</v>
      </c>
      <c r="F903" s="626">
        <v>53</v>
      </c>
      <c r="G903" s="626">
        <v>69</v>
      </c>
      <c r="H903" s="624"/>
      <c r="I903" s="601">
        <v>1964</v>
      </c>
      <c r="J903" s="638"/>
      <c r="K903" s="626"/>
      <c r="L903" s="626"/>
      <c r="M903" s="624"/>
      <c r="N903" s="601"/>
      <c r="O903" s="638"/>
      <c r="P903" s="624"/>
      <c r="Q903" s="601"/>
      <c r="R903" s="601"/>
      <c r="S903" s="626">
        <v>476</v>
      </c>
      <c r="T903" s="601">
        <v>476</v>
      </c>
      <c r="U903" s="601"/>
      <c r="V903" s="601"/>
      <c r="W903" s="626">
        <v>2440</v>
      </c>
    </row>
    <row r="904" spans="1:23">
      <c r="A904" s="633" t="s">
        <v>219</v>
      </c>
      <c r="B904" s="633"/>
      <c r="C904" s="626">
        <v>0.18786127167630057</v>
      </c>
      <c r="D904" s="626">
        <v>1.5810276679841896E-2</v>
      </c>
      <c r="E904" s="626">
        <v>0.23414634146341465</v>
      </c>
      <c r="F904" s="626">
        <v>0.35897435897435898</v>
      </c>
      <c r="G904" s="626">
        <v>0.38</v>
      </c>
      <c r="H904" s="624">
        <v>0</v>
      </c>
      <c r="I904" s="601">
        <v>0.15733647613435475</v>
      </c>
      <c r="J904" s="638">
        <v>0</v>
      </c>
      <c r="K904" s="626">
        <v>0</v>
      </c>
      <c r="L904" s="626">
        <v>0</v>
      </c>
      <c r="M904" s="624">
        <v>0</v>
      </c>
      <c r="N904" s="601">
        <v>0</v>
      </c>
      <c r="O904" s="638">
        <v>0</v>
      </c>
      <c r="P904" s="624">
        <v>0</v>
      </c>
      <c r="Q904" s="601">
        <v>0</v>
      </c>
      <c r="R904" s="601">
        <v>0</v>
      </c>
      <c r="S904" s="626">
        <v>8.4745762711864406E-3</v>
      </c>
      <c r="T904" s="601">
        <v>8.4745762711864406E-3</v>
      </c>
      <c r="U904" s="601">
        <v>0</v>
      </c>
      <c r="V904" s="601">
        <v>0</v>
      </c>
      <c r="W904" s="626">
        <v>0.12494236975564776</v>
      </c>
    </row>
    <row r="905" spans="1:23">
      <c r="A905" s="633" t="s">
        <v>220</v>
      </c>
      <c r="B905" s="633"/>
      <c r="C905" s="626">
        <v>7</v>
      </c>
      <c r="D905" s="626"/>
      <c r="E905" s="626">
        <v>77</v>
      </c>
      <c r="F905" s="626"/>
      <c r="G905" s="626"/>
      <c r="H905" s="624"/>
      <c r="I905" s="601">
        <v>84</v>
      </c>
      <c r="J905" s="638"/>
      <c r="K905" s="626"/>
      <c r="L905" s="626"/>
      <c r="M905" s="624"/>
      <c r="N905" s="601"/>
      <c r="O905" s="638"/>
      <c r="P905" s="624"/>
      <c r="Q905" s="601"/>
      <c r="R905" s="601"/>
      <c r="S905" s="626"/>
      <c r="T905" s="601"/>
      <c r="U905" s="601"/>
      <c r="V905" s="601"/>
      <c r="W905" s="626">
        <v>84</v>
      </c>
    </row>
    <row r="906" spans="1:23">
      <c r="A906" s="633" t="s">
        <v>221</v>
      </c>
      <c r="B906" s="633"/>
      <c r="C906" s="626">
        <v>6</v>
      </c>
      <c r="D906" s="626"/>
      <c r="E906" s="626">
        <v>70</v>
      </c>
      <c r="F906" s="626"/>
      <c r="G906" s="626"/>
      <c r="H906" s="624"/>
      <c r="I906" s="601">
        <v>76</v>
      </c>
      <c r="J906" s="638"/>
      <c r="K906" s="626"/>
      <c r="L906" s="626"/>
      <c r="M906" s="624"/>
      <c r="N906" s="601"/>
      <c r="O906" s="638"/>
      <c r="P906" s="624"/>
      <c r="Q906" s="601"/>
      <c r="R906" s="601"/>
      <c r="S906" s="626"/>
      <c r="T906" s="601"/>
      <c r="U906" s="601"/>
      <c r="V906" s="601"/>
      <c r="W906" s="626">
        <v>76</v>
      </c>
    </row>
    <row r="907" spans="1:23" ht="15.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</row>
    <row r="908" spans="1:23" ht="15.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</row>
    <row r="909" spans="1:23" ht="15.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</row>
    <row r="910" spans="1:23" ht="15.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</row>
    <row r="911" spans="1:23" ht="15.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</row>
    <row r="912" spans="1:23" ht="15.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</row>
    <row r="913" spans="1:23" ht="15.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</row>
    <row r="914" spans="1:23" ht="15.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</row>
    <row r="915" spans="1:23" ht="15.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</row>
    <row r="916" spans="1:23" ht="15.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</row>
    <row r="917" spans="1:23" ht="15.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</row>
    <row r="918" spans="1:23" ht="15.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</row>
    <row r="919" spans="1:23" ht="15.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</row>
    <row r="920" spans="1:23" ht="15.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</row>
    <row r="921" spans="1:23" ht="15.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</row>
    <row r="922" spans="1:23" ht="15.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</row>
    <row r="923" spans="1:23" ht="15.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</row>
    <row r="924" spans="1:23" ht="15.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</row>
    <row r="925" spans="1:23" ht="15.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</row>
    <row r="926" spans="1:23" ht="15.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</row>
    <row r="927" spans="1:23" ht="15.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</row>
    <row r="928" spans="1:23" ht="15.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</row>
    <row r="929" spans="1:23" ht="15.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</row>
    <row r="930" spans="1:23" ht="15.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</row>
    <row r="931" spans="1:23" ht="15.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</row>
    <row r="932" spans="1:23" ht="15.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</row>
    <row r="933" spans="1:23" ht="15.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</row>
    <row r="934" spans="1:23" ht="15.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</row>
    <row r="935" spans="1:23" ht="15.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</row>
    <row r="936" spans="1:23" ht="15.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</row>
    <row r="937" spans="1:23" ht="15.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</row>
    <row r="938" spans="1:23" ht="15.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</row>
    <row r="939" spans="1:23" ht="15.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</row>
    <row r="940" spans="1:23" ht="15.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</row>
    <row r="941" spans="1:23" ht="15.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</row>
    <row r="942" spans="1:23" ht="15.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</row>
    <row r="943" spans="1:23" ht="15.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</row>
    <row r="944" spans="1:23" ht="15.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</row>
    <row r="945" spans="1:23" ht="15.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</row>
    <row r="946" spans="1:23" ht="15.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</row>
    <row r="947" spans="1:23" ht="15.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</row>
    <row r="948" spans="1:23" ht="15.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</row>
    <row r="949" spans="1:23" ht="15.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</row>
    <row r="950" spans="1:23" ht="15.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</row>
    <row r="951" spans="1:23" ht="15.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</row>
    <row r="952" spans="1:23" ht="15.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</row>
    <row r="953" spans="1:23" ht="15.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</row>
    <row r="954" spans="1:23" ht="15.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</row>
    <row r="955" spans="1:23" ht="15.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</row>
    <row r="956" spans="1:23" ht="15.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</row>
    <row r="957" spans="1:23" ht="15.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</row>
    <row r="958" spans="1:23" ht="15.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</row>
    <row r="959" spans="1:23" ht="15.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</row>
  </sheetData>
  <pageMargins left="0.7" right="0.7" top="0.75" bottom="0.75" header="0.3" footer="0.3"/>
  <pageSetup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8C962C-A9CA-489D-8A3E-B8BD91EEFA9A}">
  <sheetPr codeName="Sheet4">
    <tabColor rgb="FF00B050"/>
  </sheetPr>
  <dimension ref="A3:Y17011"/>
  <sheetViews>
    <sheetView workbookViewId="0">
      <selection activeCell="A6" sqref="A6:A245"/>
    </sheetView>
  </sheetViews>
  <sheetFormatPr defaultColWidth="9" defaultRowHeight="12.5"/>
  <cols>
    <col min="1" max="1" width="6.84375" style="161" customWidth="1"/>
    <col min="2" max="2" width="26.61328125" style="65" bestFit="1" customWidth="1"/>
    <col min="3" max="3" width="11.69140625" style="65" bestFit="1" customWidth="1"/>
    <col min="4" max="4" width="11.69140625" style="130" bestFit="1" customWidth="1"/>
    <col min="5" max="8" width="11.69140625" style="65" bestFit="1" customWidth="1"/>
    <col min="9" max="9" width="12.07421875" style="65" bestFit="1" customWidth="1"/>
    <col min="10" max="13" width="9.4609375" style="65" bestFit="1" customWidth="1"/>
    <col min="14" max="14" width="11.84375" style="65" bestFit="1" customWidth="1"/>
    <col min="15" max="17" width="9.61328125" style="65" bestFit="1" customWidth="1"/>
    <col min="18" max="18" width="12.07421875" style="65" bestFit="1" customWidth="1"/>
    <col min="19" max="19" width="11.15234375" style="65" bestFit="1" customWidth="1"/>
    <col min="20" max="20" width="13.07421875" style="65" bestFit="1" customWidth="1"/>
    <col min="21" max="21" width="7.53515625" style="65" bestFit="1" customWidth="1"/>
    <col min="22" max="22" width="9.921875" style="65" bestFit="1" customWidth="1"/>
    <col min="23" max="23" width="9.3828125" style="65" bestFit="1" customWidth="1"/>
    <col min="24" max="25" width="11" style="65" customWidth="1"/>
    <col min="26" max="26" width="7.765625" style="65" customWidth="1"/>
    <col min="27" max="27" width="7.4609375" style="65" customWidth="1"/>
    <col min="28" max="28" width="7.765625" style="65" customWidth="1"/>
    <col min="29" max="29" width="9.4609375" style="65" customWidth="1"/>
    <col min="30" max="30" width="7.765625" style="65" customWidth="1"/>
    <col min="31" max="31" width="29" style="65" bestFit="1" customWidth="1"/>
    <col min="32" max="32" width="29.765625" style="65" bestFit="1" customWidth="1"/>
    <col min="33" max="33" width="27.84375" style="65" bestFit="1" customWidth="1"/>
    <col min="34" max="34" width="28.4609375" style="65" bestFit="1" customWidth="1"/>
    <col min="35" max="35" width="17.84375" style="65" bestFit="1" customWidth="1"/>
    <col min="36" max="36" width="18.4609375" style="65" bestFit="1" customWidth="1"/>
    <col min="37" max="37" width="16.4609375" style="65" bestFit="1" customWidth="1"/>
    <col min="38" max="80" width="3.4609375" style="65" bestFit="1" customWidth="1"/>
    <col min="81" max="314" width="4.4609375" style="65" bestFit="1" customWidth="1"/>
    <col min="315" max="337" width="5.4609375" style="65" bestFit="1" customWidth="1"/>
    <col min="338" max="338" width="6.69140625" style="65" bestFit="1" customWidth="1"/>
    <col min="339" max="339" width="11" style="65" bestFit="1" customWidth="1"/>
    <col min="340" max="16384" width="9" style="65"/>
  </cols>
  <sheetData>
    <row r="3" spans="1:25" ht="15.5">
      <c r="B3" s="161"/>
      <c r="C3" s="500" t="s">
        <v>85</v>
      </c>
      <c r="D3" s="500" t="s">
        <v>86</v>
      </c>
      <c r="Y3"/>
    </row>
    <row r="4" spans="1:25" ht="26.5">
      <c r="B4" s="161"/>
      <c r="C4" s="65" t="s">
        <v>87</v>
      </c>
      <c r="D4" s="65"/>
      <c r="I4" s="65" t="s">
        <v>88</v>
      </c>
      <c r="J4" s="65" t="s">
        <v>89</v>
      </c>
      <c r="N4" s="65" t="s">
        <v>90</v>
      </c>
      <c r="O4" s="65" t="s">
        <v>91</v>
      </c>
      <c r="R4" s="65" t="s">
        <v>92</v>
      </c>
      <c r="S4" s="65" t="s">
        <v>93</v>
      </c>
      <c r="T4" s="131" t="s">
        <v>94</v>
      </c>
      <c r="U4" s="65" t="s">
        <v>95</v>
      </c>
      <c r="V4" s="65" t="s">
        <v>96</v>
      </c>
      <c r="W4" s="162" t="s">
        <v>97</v>
      </c>
      <c r="Y4"/>
    </row>
    <row r="5" spans="1:25" ht="15.5">
      <c r="A5" s="501" t="s">
        <v>98</v>
      </c>
      <c r="B5" s="500" t="s">
        <v>99</v>
      </c>
      <c r="C5" s="65">
        <v>1</v>
      </c>
      <c r="D5" s="65">
        <v>2</v>
      </c>
      <c r="E5" s="65">
        <v>3</v>
      </c>
      <c r="F5" s="65">
        <v>4</v>
      </c>
      <c r="G5" s="65">
        <v>5</v>
      </c>
      <c r="H5" s="65">
        <v>6</v>
      </c>
      <c r="J5" s="65">
        <v>7</v>
      </c>
      <c r="K5" s="65">
        <v>8</v>
      </c>
      <c r="L5" s="65">
        <v>9</v>
      </c>
      <c r="M5" s="65">
        <v>10</v>
      </c>
      <c r="O5" s="65">
        <v>12</v>
      </c>
      <c r="P5" s="65">
        <v>13</v>
      </c>
      <c r="Q5" s="65">
        <v>14</v>
      </c>
      <c r="S5" s="65">
        <v>15</v>
      </c>
      <c r="T5" s="131"/>
      <c r="U5" s="65" t="s">
        <v>95</v>
      </c>
      <c r="W5" s="162"/>
      <c r="Y5"/>
    </row>
    <row r="6" spans="1:25" ht="15.5">
      <c r="A6" s="502" t="s">
        <v>100</v>
      </c>
      <c r="B6" s="511" t="s">
        <v>110</v>
      </c>
      <c r="C6" s="512">
        <v>14711</v>
      </c>
      <c r="D6" s="166">
        <v>3222</v>
      </c>
      <c r="E6" s="166">
        <v>6019</v>
      </c>
      <c r="F6" s="166">
        <v>829</v>
      </c>
      <c r="G6" s="166">
        <v>452</v>
      </c>
      <c r="H6" s="166">
        <v>678</v>
      </c>
      <c r="I6" s="166">
        <v>25911</v>
      </c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513">
        <v>25911</v>
      </c>
      <c r="Y6"/>
    </row>
    <row r="7" spans="1:25" ht="15.5">
      <c r="A7" s="503"/>
      <c r="B7" s="514" t="s">
        <v>111</v>
      </c>
      <c r="C7" s="538">
        <v>15658</v>
      </c>
      <c r="D7" s="171">
        <v>3579</v>
      </c>
      <c r="E7" s="171">
        <v>6185</v>
      </c>
      <c r="F7" s="171">
        <v>873</v>
      </c>
      <c r="G7" s="171">
        <v>451</v>
      </c>
      <c r="H7" s="171">
        <v>684</v>
      </c>
      <c r="I7" s="171">
        <v>27430</v>
      </c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334">
        <v>27430</v>
      </c>
      <c r="Y7"/>
    </row>
    <row r="8" spans="1:25" s="149" customFormat="1" ht="15.5">
      <c r="A8" s="503"/>
      <c r="B8" s="516" t="s">
        <v>112</v>
      </c>
      <c r="C8" s="537">
        <v>6.4373597987900211E-2</v>
      </c>
      <c r="D8" s="146">
        <v>0.11080074487895716</v>
      </c>
      <c r="E8" s="146">
        <v>2.7579332114969265E-2</v>
      </c>
      <c r="F8" s="146">
        <v>5.3075995174909532E-2</v>
      </c>
      <c r="G8" s="146">
        <v>-2.2123893805309734E-3</v>
      </c>
      <c r="H8" s="146">
        <v>8.8495575221238937E-3</v>
      </c>
      <c r="I8" s="146">
        <v>5.8623750530662655E-2</v>
      </c>
      <c r="J8" s="146">
        <v>0</v>
      </c>
      <c r="K8" s="146">
        <v>0</v>
      </c>
      <c r="L8" s="146">
        <v>0</v>
      </c>
      <c r="M8" s="146">
        <v>0</v>
      </c>
      <c r="N8" s="146">
        <v>0</v>
      </c>
      <c r="O8" s="146">
        <v>0</v>
      </c>
      <c r="P8" s="146">
        <v>0</v>
      </c>
      <c r="Q8" s="146">
        <v>0</v>
      </c>
      <c r="R8" s="146">
        <v>0</v>
      </c>
      <c r="S8" s="146">
        <v>0</v>
      </c>
      <c r="T8" s="146">
        <v>0</v>
      </c>
      <c r="U8" s="146">
        <v>0</v>
      </c>
      <c r="V8" s="146">
        <v>0</v>
      </c>
      <c r="W8" s="332">
        <v>5.8623750530662655E-2</v>
      </c>
      <c r="X8" s="65"/>
      <c r="Y8"/>
    </row>
    <row r="9" spans="1:25" ht="15.5">
      <c r="A9" s="503"/>
      <c r="B9" s="131" t="s">
        <v>222</v>
      </c>
      <c r="C9" s="683">
        <v>0</v>
      </c>
      <c r="D9" s="683">
        <v>0</v>
      </c>
      <c r="E9" s="683">
        <v>0</v>
      </c>
      <c r="F9" s="683">
        <v>0</v>
      </c>
      <c r="G9" s="683">
        <v>0</v>
      </c>
      <c r="H9" s="683">
        <v>0</v>
      </c>
      <c r="I9" s="683">
        <v>0</v>
      </c>
      <c r="J9" s="683"/>
      <c r="K9" s="683">
        <v>0</v>
      </c>
      <c r="L9" s="683">
        <v>0</v>
      </c>
      <c r="M9" s="683">
        <v>0</v>
      </c>
      <c r="N9" s="683">
        <v>0</v>
      </c>
      <c r="O9" s="683">
        <v>0</v>
      </c>
      <c r="P9" s="683">
        <v>0</v>
      </c>
      <c r="Q9" s="683"/>
      <c r="R9" s="683">
        <v>0</v>
      </c>
      <c r="S9" s="683">
        <v>0</v>
      </c>
      <c r="T9" s="683">
        <v>0</v>
      </c>
      <c r="U9" s="683"/>
      <c r="V9" s="683"/>
      <c r="W9" s="683">
        <v>0</v>
      </c>
      <c r="Y9"/>
    </row>
    <row r="10" spans="1:25" ht="16" thickBot="1">
      <c r="A10" s="503"/>
      <c r="B10" s="131" t="s">
        <v>223</v>
      </c>
      <c r="C10" s="683">
        <v>0</v>
      </c>
      <c r="D10" s="683">
        <v>0</v>
      </c>
      <c r="E10" s="683">
        <v>0</v>
      </c>
      <c r="F10" s="683">
        <v>0</v>
      </c>
      <c r="G10" s="683">
        <v>0</v>
      </c>
      <c r="H10" s="683">
        <v>0</v>
      </c>
      <c r="I10" s="683">
        <v>0</v>
      </c>
      <c r="J10" s="683"/>
      <c r="K10" s="683">
        <v>0</v>
      </c>
      <c r="L10" s="683">
        <v>0</v>
      </c>
      <c r="M10" s="683">
        <v>0</v>
      </c>
      <c r="N10" s="683">
        <v>0</v>
      </c>
      <c r="O10" s="683">
        <v>0</v>
      </c>
      <c r="P10" s="683">
        <v>0</v>
      </c>
      <c r="Q10" s="683"/>
      <c r="R10" s="683">
        <v>0</v>
      </c>
      <c r="S10" s="683">
        <v>0</v>
      </c>
      <c r="T10" s="683">
        <v>0</v>
      </c>
      <c r="U10" s="683"/>
      <c r="V10" s="683"/>
      <c r="W10" s="683">
        <v>0</v>
      </c>
      <c r="Y10"/>
    </row>
    <row r="11" spans="1:25" s="149" customFormat="1" ht="16" thickBot="1">
      <c r="A11" s="503"/>
      <c r="B11" s="131" t="s">
        <v>224</v>
      </c>
      <c r="C11" s="683">
        <v>0</v>
      </c>
      <c r="D11" s="684">
        <v>0</v>
      </c>
      <c r="E11" s="683">
        <v>0</v>
      </c>
      <c r="F11" s="683">
        <v>0</v>
      </c>
      <c r="G11" s="683">
        <v>0</v>
      </c>
      <c r="H11" s="684">
        <v>0</v>
      </c>
      <c r="I11" s="683">
        <v>0</v>
      </c>
      <c r="J11" s="683">
        <v>0</v>
      </c>
      <c r="K11" s="683">
        <v>0</v>
      </c>
      <c r="L11" s="683">
        <v>0</v>
      </c>
      <c r="M11" s="683">
        <v>0</v>
      </c>
      <c r="N11" s="683">
        <v>0</v>
      </c>
      <c r="O11" s="683">
        <v>0</v>
      </c>
      <c r="P11" s="683">
        <v>0</v>
      </c>
      <c r="Q11" s="683">
        <v>0</v>
      </c>
      <c r="R11" s="683">
        <v>0</v>
      </c>
      <c r="S11" s="683">
        <v>0</v>
      </c>
      <c r="T11" s="683">
        <v>0</v>
      </c>
      <c r="U11" s="683">
        <v>0</v>
      </c>
      <c r="V11" s="683">
        <v>0</v>
      </c>
      <c r="W11" s="683">
        <v>0</v>
      </c>
      <c r="X11" s="65"/>
      <c r="Y11"/>
    </row>
    <row r="12" spans="1:25" ht="15.5">
      <c r="A12" s="503"/>
      <c r="B12" s="131" t="s">
        <v>225</v>
      </c>
      <c r="C12" s="683">
        <v>0</v>
      </c>
      <c r="D12" s="683">
        <v>0</v>
      </c>
      <c r="E12" s="683">
        <v>0</v>
      </c>
      <c r="F12" s="683">
        <v>0</v>
      </c>
      <c r="G12" s="683">
        <v>0</v>
      </c>
      <c r="H12" s="683">
        <v>0</v>
      </c>
      <c r="I12" s="683">
        <v>0</v>
      </c>
      <c r="J12" s="683"/>
      <c r="K12" s="683">
        <v>0</v>
      </c>
      <c r="L12" s="683">
        <v>0</v>
      </c>
      <c r="M12" s="683">
        <v>0</v>
      </c>
      <c r="N12" s="683">
        <v>0</v>
      </c>
      <c r="O12" s="683">
        <v>0</v>
      </c>
      <c r="P12" s="683">
        <v>0</v>
      </c>
      <c r="Q12" s="683"/>
      <c r="R12" s="683">
        <v>0</v>
      </c>
      <c r="S12" s="683">
        <v>0</v>
      </c>
      <c r="T12" s="683">
        <v>0</v>
      </c>
      <c r="U12" s="683"/>
      <c r="V12" s="683"/>
      <c r="W12" s="683">
        <v>0</v>
      </c>
      <c r="Y12"/>
    </row>
    <row r="13" spans="1:25" ht="15.5">
      <c r="A13" s="503"/>
      <c r="B13" s="131" t="s">
        <v>226</v>
      </c>
      <c r="C13" s="683">
        <v>0</v>
      </c>
      <c r="D13" s="683">
        <v>0</v>
      </c>
      <c r="E13" s="683">
        <v>0</v>
      </c>
      <c r="F13" s="683">
        <v>0</v>
      </c>
      <c r="G13" s="683">
        <v>0</v>
      </c>
      <c r="H13" s="683">
        <v>0</v>
      </c>
      <c r="I13" s="683">
        <v>0</v>
      </c>
      <c r="J13" s="683"/>
      <c r="K13" s="683">
        <v>0</v>
      </c>
      <c r="L13" s="683">
        <v>0</v>
      </c>
      <c r="M13" s="683">
        <v>0</v>
      </c>
      <c r="N13" s="683">
        <v>0</v>
      </c>
      <c r="O13" s="683">
        <v>0</v>
      </c>
      <c r="P13" s="683">
        <v>0</v>
      </c>
      <c r="Q13" s="683"/>
      <c r="R13" s="683">
        <v>0</v>
      </c>
      <c r="S13" s="683">
        <v>0</v>
      </c>
      <c r="T13" s="683">
        <v>0</v>
      </c>
      <c r="U13" s="683"/>
      <c r="V13" s="683"/>
      <c r="W13" s="683">
        <v>0</v>
      </c>
      <c r="Y13"/>
    </row>
    <row r="14" spans="1:25" s="149" customFormat="1" ht="26">
      <c r="A14" s="503"/>
      <c r="B14" s="131" t="s">
        <v>227</v>
      </c>
      <c r="C14" s="683">
        <v>0</v>
      </c>
      <c r="D14" s="683">
        <v>0</v>
      </c>
      <c r="E14" s="683">
        <v>0</v>
      </c>
      <c r="F14" s="683">
        <v>0</v>
      </c>
      <c r="G14" s="683">
        <v>0</v>
      </c>
      <c r="H14" s="683">
        <v>0</v>
      </c>
      <c r="I14" s="683">
        <v>0</v>
      </c>
      <c r="J14" s="683">
        <v>0</v>
      </c>
      <c r="K14" s="683">
        <v>0</v>
      </c>
      <c r="L14" s="683">
        <v>0</v>
      </c>
      <c r="M14" s="683">
        <v>0</v>
      </c>
      <c r="N14" s="683">
        <v>0</v>
      </c>
      <c r="O14" s="683">
        <v>0</v>
      </c>
      <c r="P14" s="683">
        <v>0</v>
      </c>
      <c r="Q14" s="683">
        <v>0</v>
      </c>
      <c r="R14" s="683">
        <v>0</v>
      </c>
      <c r="S14" s="683">
        <v>0</v>
      </c>
      <c r="T14" s="683">
        <v>0</v>
      </c>
      <c r="U14" s="683">
        <v>0</v>
      </c>
      <c r="V14" s="683">
        <v>0</v>
      </c>
      <c r="W14" s="683">
        <v>0</v>
      </c>
      <c r="X14" s="65"/>
      <c r="Y14"/>
    </row>
    <row r="15" spans="1:25" ht="15.5">
      <c r="A15" s="503"/>
      <c r="B15" s="131" t="s">
        <v>228</v>
      </c>
      <c r="C15" s="683">
        <v>0</v>
      </c>
      <c r="D15" s="683">
        <v>0</v>
      </c>
      <c r="E15" s="683">
        <v>0</v>
      </c>
      <c r="F15" s="683">
        <v>0</v>
      </c>
      <c r="G15" s="683">
        <v>0</v>
      </c>
      <c r="H15" s="683">
        <v>0</v>
      </c>
      <c r="I15" s="683">
        <v>0</v>
      </c>
      <c r="J15" s="683"/>
      <c r="K15" s="683">
        <v>0</v>
      </c>
      <c r="L15" s="683">
        <v>0</v>
      </c>
      <c r="M15" s="683">
        <v>0</v>
      </c>
      <c r="N15" s="683">
        <v>0</v>
      </c>
      <c r="O15" s="683">
        <v>0</v>
      </c>
      <c r="P15" s="683">
        <v>0</v>
      </c>
      <c r="Q15" s="683"/>
      <c r="R15" s="683">
        <v>0</v>
      </c>
      <c r="S15" s="683">
        <v>0</v>
      </c>
      <c r="T15" s="683">
        <v>0</v>
      </c>
      <c r="U15" s="683"/>
      <c r="V15" s="683"/>
      <c r="W15" s="683">
        <v>0</v>
      </c>
      <c r="Y15"/>
    </row>
    <row r="16" spans="1:25" ht="16" thickBot="1">
      <c r="A16" s="503"/>
      <c r="B16" s="131" t="s">
        <v>229</v>
      </c>
      <c r="C16" s="683">
        <v>0</v>
      </c>
      <c r="D16" s="683">
        <v>0</v>
      </c>
      <c r="E16" s="683">
        <v>0</v>
      </c>
      <c r="F16" s="683">
        <v>0</v>
      </c>
      <c r="G16" s="683">
        <v>0</v>
      </c>
      <c r="H16" s="683">
        <v>0</v>
      </c>
      <c r="I16" s="683">
        <v>0</v>
      </c>
      <c r="J16" s="683"/>
      <c r="K16" s="683">
        <v>0</v>
      </c>
      <c r="L16" s="683">
        <v>0</v>
      </c>
      <c r="M16" s="683">
        <v>0</v>
      </c>
      <c r="N16" s="683">
        <v>0</v>
      </c>
      <c r="O16" s="683">
        <v>0</v>
      </c>
      <c r="P16" s="683">
        <v>0</v>
      </c>
      <c r="Q16" s="683"/>
      <c r="R16" s="683">
        <v>0</v>
      </c>
      <c r="S16" s="683">
        <v>0</v>
      </c>
      <c r="T16" s="683">
        <v>0</v>
      </c>
      <c r="U16" s="683"/>
      <c r="V16" s="683"/>
      <c r="W16" s="683">
        <v>0</v>
      </c>
      <c r="Y16"/>
    </row>
    <row r="17" spans="1:25" s="149" customFormat="1" ht="16" thickBot="1">
      <c r="A17" s="503"/>
      <c r="B17" s="131" t="s">
        <v>230</v>
      </c>
      <c r="C17" s="683">
        <v>0</v>
      </c>
      <c r="D17" s="684">
        <v>0</v>
      </c>
      <c r="E17" s="683">
        <v>0</v>
      </c>
      <c r="F17" s="685">
        <v>0</v>
      </c>
      <c r="G17" s="684">
        <v>0</v>
      </c>
      <c r="H17" s="683">
        <v>0</v>
      </c>
      <c r="I17" s="683">
        <v>0</v>
      </c>
      <c r="J17" s="683">
        <v>0</v>
      </c>
      <c r="K17" s="683">
        <v>0</v>
      </c>
      <c r="L17" s="683">
        <v>0</v>
      </c>
      <c r="M17" s="683">
        <v>0</v>
      </c>
      <c r="N17" s="683">
        <v>0</v>
      </c>
      <c r="O17" s="683">
        <v>0</v>
      </c>
      <c r="P17" s="683">
        <v>0</v>
      </c>
      <c r="Q17" s="683">
        <v>0</v>
      </c>
      <c r="R17" s="683">
        <v>0</v>
      </c>
      <c r="S17" s="683">
        <v>0</v>
      </c>
      <c r="T17" s="683">
        <v>0</v>
      </c>
      <c r="U17" s="683">
        <v>0</v>
      </c>
      <c r="V17" s="683">
        <v>0</v>
      </c>
      <c r="W17" s="683">
        <v>0</v>
      </c>
      <c r="X17" s="65"/>
      <c r="Y17"/>
    </row>
    <row r="18" spans="1:25" ht="15.5">
      <c r="A18" s="503"/>
      <c r="B18" s="131" t="s">
        <v>231</v>
      </c>
      <c r="C18" s="683">
        <v>0</v>
      </c>
      <c r="D18" s="683">
        <v>0</v>
      </c>
      <c r="E18" s="683">
        <v>0</v>
      </c>
      <c r="F18" s="683">
        <v>0</v>
      </c>
      <c r="G18" s="683">
        <v>0</v>
      </c>
      <c r="H18" s="683">
        <v>0</v>
      </c>
      <c r="I18" s="683">
        <v>0</v>
      </c>
      <c r="J18" s="683"/>
      <c r="K18" s="683">
        <v>0</v>
      </c>
      <c r="L18" s="683">
        <v>0</v>
      </c>
      <c r="M18" s="683">
        <v>0</v>
      </c>
      <c r="N18" s="683">
        <v>0</v>
      </c>
      <c r="O18" s="683">
        <v>0</v>
      </c>
      <c r="P18" s="683">
        <v>0</v>
      </c>
      <c r="Q18" s="683"/>
      <c r="R18" s="683">
        <v>0</v>
      </c>
      <c r="S18" s="683">
        <v>0</v>
      </c>
      <c r="T18" s="683">
        <v>0</v>
      </c>
      <c r="U18" s="683"/>
      <c r="V18" s="683"/>
      <c r="W18" s="683">
        <v>0</v>
      </c>
      <c r="Y18"/>
    </row>
    <row r="19" spans="1:25" ht="15.5">
      <c r="A19" s="503"/>
      <c r="B19" s="131" t="s">
        <v>232</v>
      </c>
      <c r="C19" s="683">
        <v>0</v>
      </c>
      <c r="D19" s="683">
        <v>0</v>
      </c>
      <c r="E19" s="683">
        <v>0</v>
      </c>
      <c r="F19" s="683">
        <v>0</v>
      </c>
      <c r="G19" s="683">
        <v>0</v>
      </c>
      <c r="H19" s="683">
        <v>0</v>
      </c>
      <c r="I19" s="683">
        <v>0</v>
      </c>
      <c r="J19" s="683"/>
      <c r="K19" s="683">
        <v>0</v>
      </c>
      <c r="L19" s="683">
        <v>0</v>
      </c>
      <c r="M19" s="683">
        <v>0</v>
      </c>
      <c r="N19" s="683">
        <v>0</v>
      </c>
      <c r="O19" s="683">
        <v>0</v>
      </c>
      <c r="P19" s="683">
        <v>0</v>
      </c>
      <c r="Q19" s="683"/>
      <c r="R19" s="683">
        <v>0</v>
      </c>
      <c r="S19" s="683">
        <v>0</v>
      </c>
      <c r="T19" s="683">
        <v>0</v>
      </c>
      <c r="U19" s="683"/>
      <c r="V19" s="683"/>
      <c r="W19" s="683">
        <v>0</v>
      </c>
      <c r="Y19"/>
    </row>
    <row r="20" spans="1:25" s="149" customFormat="1" ht="15.5">
      <c r="A20" s="542"/>
      <c r="B20" s="520" t="s">
        <v>233</v>
      </c>
      <c r="C20" s="519">
        <v>0</v>
      </c>
      <c r="D20" s="519">
        <v>0</v>
      </c>
      <c r="E20" s="519">
        <v>0</v>
      </c>
      <c r="F20" s="519">
        <v>0</v>
      </c>
      <c r="G20" s="519">
        <v>0</v>
      </c>
      <c r="H20" s="519">
        <v>0</v>
      </c>
      <c r="I20" s="519">
        <v>0</v>
      </c>
      <c r="J20" s="519">
        <v>0</v>
      </c>
      <c r="K20" s="519">
        <v>0</v>
      </c>
      <c r="L20" s="519">
        <v>0</v>
      </c>
      <c r="M20" s="519">
        <v>0</v>
      </c>
      <c r="N20" s="519">
        <v>0</v>
      </c>
      <c r="O20" s="519">
        <v>0</v>
      </c>
      <c r="P20" s="519">
        <v>0</v>
      </c>
      <c r="Q20" s="519">
        <v>0</v>
      </c>
      <c r="R20" s="519">
        <v>0</v>
      </c>
      <c r="S20" s="519">
        <v>0</v>
      </c>
      <c r="T20" s="519">
        <v>0</v>
      </c>
      <c r="U20" s="519">
        <v>0</v>
      </c>
      <c r="V20" s="519">
        <v>0</v>
      </c>
      <c r="W20" s="519">
        <v>0</v>
      </c>
      <c r="X20" s="65"/>
      <c r="Y20"/>
    </row>
    <row r="21" spans="1:25" ht="15.5">
      <c r="A21" s="161" t="s">
        <v>154</v>
      </c>
      <c r="B21" s="65" t="s">
        <v>110</v>
      </c>
      <c r="C21" s="601">
        <v>4903</v>
      </c>
      <c r="D21" s="601">
        <v>1316</v>
      </c>
      <c r="E21" s="601">
        <v>4927</v>
      </c>
      <c r="F21" s="601">
        <v>1382</v>
      </c>
      <c r="G21" s="601"/>
      <c r="H21" s="601">
        <v>1259</v>
      </c>
      <c r="I21" s="601">
        <v>13787</v>
      </c>
      <c r="J21" s="601"/>
      <c r="K21" s="601">
        <v>0</v>
      </c>
      <c r="L21" s="601">
        <v>0</v>
      </c>
      <c r="M21" s="601">
        <v>0</v>
      </c>
      <c r="N21" s="601">
        <v>0</v>
      </c>
      <c r="O21" s="601"/>
      <c r="P21" s="601"/>
      <c r="Q21" s="601"/>
      <c r="R21" s="601"/>
      <c r="S21" s="601">
        <v>245</v>
      </c>
      <c r="T21" s="601">
        <v>245</v>
      </c>
      <c r="U21" s="601"/>
      <c r="V21" s="601"/>
      <c r="W21" s="601">
        <v>14032</v>
      </c>
      <c r="Y21"/>
    </row>
    <row r="22" spans="1:25" ht="16" thickBot="1">
      <c r="B22" s="65" t="s">
        <v>111</v>
      </c>
      <c r="C22" s="601">
        <v>5183</v>
      </c>
      <c r="D22" s="601">
        <v>1280</v>
      </c>
      <c r="E22" s="601">
        <v>4820</v>
      </c>
      <c r="F22" s="601">
        <v>1390</v>
      </c>
      <c r="G22" s="601"/>
      <c r="H22" s="601">
        <v>1283</v>
      </c>
      <c r="I22" s="601">
        <v>13956</v>
      </c>
      <c r="J22" s="601"/>
      <c r="K22" s="601">
        <v>0</v>
      </c>
      <c r="L22" s="601">
        <v>0</v>
      </c>
      <c r="M22" s="601">
        <v>0</v>
      </c>
      <c r="N22" s="601">
        <v>0</v>
      </c>
      <c r="O22" s="601"/>
      <c r="P22" s="601"/>
      <c r="Q22" s="601"/>
      <c r="R22" s="601"/>
      <c r="S22" s="601">
        <v>246</v>
      </c>
      <c r="T22" s="601">
        <v>246</v>
      </c>
      <c r="U22" s="601"/>
      <c r="V22" s="601"/>
      <c r="W22" s="601">
        <v>14202</v>
      </c>
      <c r="Y22"/>
    </row>
    <row r="23" spans="1:25" s="149" customFormat="1" ht="16" thickBot="1">
      <c r="A23" s="161"/>
      <c r="B23" s="65" t="s">
        <v>112</v>
      </c>
      <c r="C23" s="601">
        <v>5.710789312665715E-2</v>
      </c>
      <c r="D23" s="601">
        <v>-2.7355623100303952E-2</v>
      </c>
      <c r="E23" s="601">
        <v>-2.1717069210472905E-2</v>
      </c>
      <c r="F23" s="601">
        <v>5.7887120115774236E-3</v>
      </c>
      <c r="G23" s="687">
        <v>0</v>
      </c>
      <c r="H23" s="601">
        <v>1.9062748212867357E-2</v>
      </c>
      <c r="I23" s="601">
        <v>1.2257924131428156E-2</v>
      </c>
      <c r="J23" s="601">
        <v>0</v>
      </c>
      <c r="K23" s="601">
        <v>0</v>
      </c>
      <c r="L23" s="601">
        <v>0</v>
      </c>
      <c r="M23" s="601">
        <v>0</v>
      </c>
      <c r="N23" s="601">
        <v>0</v>
      </c>
      <c r="O23" s="601">
        <v>0</v>
      </c>
      <c r="P23" s="601">
        <v>0</v>
      </c>
      <c r="Q23" s="601">
        <v>0</v>
      </c>
      <c r="R23" s="601">
        <v>0</v>
      </c>
      <c r="S23" s="681">
        <v>4.0816326530612249E-3</v>
      </c>
      <c r="T23" s="601">
        <v>4.0816326530612249E-3</v>
      </c>
      <c r="U23" s="601">
        <v>0</v>
      </c>
      <c r="V23" s="601">
        <v>0</v>
      </c>
      <c r="W23" s="601">
        <v>1.2115165336374002E-2</v>
      </c>
      <c r="X23" s="65"/>
      <c r="Y23"/>
    </row>
    <row r="24" spans="1:25" ht="15.5">
      <c r="B24" s="65" t="s">
        <v>222</v>
      </c>
      <c r="C24" s="601">
        <v>0</v>
      </c>
      <c r="D24" s="601">
        <v>0</v>
      </c>
      <c r="E24" s="601">
        <v>0</v>
      </c>
      <c r="F24" s="601">
        <v>0</v>
      </c>
      <c r="G24" s="601"/>
      <c r="H24" s="601">
        <v>0</v>
      </c>
      <c r="I24" s="601">
        <v>0</v>
      </c>
      <c r="J24" s="601"/>
      <c r="K24" s="601">
        <v>0</v>
      </c>
      <c r="L24" s="601">
        <v>0</v>
      </c>
      <c r="M24" s="601">
        <v>0</v>
      </c>
      <c r="N24" s="601">
        <v>0</v>
      </c>
      <c r="O24" s="601"/>
      <c r="P24" s="601"/>
      <c r="Q24" s="601"/>
      <c r="R24" s="601"/>
      <c r="S24" s="601">
        <v>0</v>
      </c>
      <c r="T24" s="601">
        <v>0</v>
      </c>
      <c r="U24" s="601"/>
      <c r="V24" s="601"/>
      <c r="W24" s="601">
        <v>0</v>
      </c>
      <c r="Y24"/>
    </row>
    <row r="25" spans="1:25" ht="16" thickBot="1">
      <c r="B25" s="65" t="s">
        <v>223</v>
      </c>
      <c r="C25" s="601">
        <v>0</v>
      </c>
      <c r="D25" s="601">
        <v>0</v>
      </c>
      <c r="E25" s="601">
        <v>0</v>
      </c>
      <c r="F25" s="601">
        <v>0</v>
      </c>
      <c r="G25" s="601"/>
      <c r="H25" s="601">
        <v>0</v>
      </c>
      <c r="I25" s="601">
        <v>0</v>
      </c>
      <c r="J25" s="601"/>
      <c r="K25" s="601">
        <v>0</v>
      </c>
      <c r="L25" s="601">
        <v>0</v>
      </c>
      <c r="M25" s="601">
        <v>0</v>
      </c>
      <c r="N25" s="601">
        <v>0</v>
      </c>
      <c r="O25" s="601"/>
      <c r="P25" s="601"/>
      <c r="Q25" s="601"/>
      <c r="R25" s="601"/>
      <c r="S25" s="601">
        <v>0</v>
      </c>
      <c r="T25" s="601">
        <v>0</v>
      </c>
      <c r="U25" s="601"/>
      <c r="V25" s="601"/>
      <c r="W25" s="601">
        <v>0</v>
      </c>
      <c r="Y25"/>
    </row>
    <row r="26" spans="1:25" s="149" customFormat="1" ht="16" thickBot="1">
      <c r="A26" s="161"/>
      <c r="B26" s="65" t="s">
        <v>224</v>
      </c>
      <c r="C26" s="601">
        <v>0</v>
      </c>
      <c r="D26" s="601">
        <v>0</v>
      </c>
      <c r="E26" s="601">
        <v>0</v>
      </c>
      <c r="F26" s="601">
        <v>0</v>
      </c>
      <c r="G26" s="687">
        <v>0</v>
      </c>
      <c r="H26" s="689">
        <v>0</v>
      </c>
      <c r="I26" s="601">
        <v>0</v>
      </c>
      <c r="J26" s="601">
        <v>0</v>
      </c>
      <c r="K26" s="601">
        <v>0</v>
      </c>
      <c r="L26" s="601">
        <v>0</v>
      </c>
      <c r="M26" s="601">
        <v>0</v>
      </c>
      <c r="N26" s="601">
        <v>0</v>
      </c>
      <c r="O26" s="601">
        <v>0</v>
      </c>
      <c r="P26" s="601">
        <v>0</v>
      </c>
      <c r="Q26" s="601">
        <v>0</v>
      </c>
      <c r="R26" s="601">
        <v>0</v>
      </c>
      <c r="S26" s="601">
        <v>0</v>
      </c>
      <c r="T26" s="601">
        <v>0</v>
      </c>
      <c r="U26" s="601">
        <v>0</v>
      </c>
      <c r="V26" s="601">
        <v>0</v>
      </c>
      <c r="W26" s="601">
        <v>0</v>
      </c>
      <c r="X26" s="65"/>
      <c r="Y26"/>
    </row>
    <row r="27" spans="1:25" ht="15.5">
      <c r="B27" s="65" t="s">
        <v>225</v>
      </c>
      <c r="C27" s="601">
        <v>0</v>
      </c>
      <c r="D27" s="601">
        <v>0</v>
      </c>
      <c r="E27" s="601">
        <v>0</v>
      </c>
      <c r="F27" s="601">
        <v>0</v>
      </c>
      <c r="G27" s="601"/>
      <c r="H27" s="601">
        <v>0</v>
      </c>
      <c r="I27" s="601">
        <v>0</v>
      </c>
      <c r="J27" s="601"/>
      <c r="K27" s="601">
        <v>0</v>
      </c>
      <c r="L27" s="601">
        <v>0</v>
      </c>
      <c r="M27" s="601">
        <v>0</v>
      </c>
      <c r="N27" s="601">
        <v>0</v>
      </c>
      <c r="O27" s="601"/>
      <c r="P27" s="601"/>
      <c r="Q27" s="601"/>
      <c r="R27" s="601"/>
      <c r="S27" s="601">
        <v>0</v>
      </c>
      <c r="T27" s="601">
        <v>0</v>
      </c>
      <c r="U27" s="601"/>
      <c r="V27" s="601"/>
      <c r="W27" s="601">
        <v>0</v>
      </c>
      <c r="Y27"/>
    </row>
    <row r="28" spans="1:25" ht="15.5">
      <c r="B28" s="65" t="s">
        <v>226</v>
      </c>
      <c r="C28" s="601">
        <v>0</v>
      </c>
      <c r="D28" s="601">
        <v>0</v>
      </c>
      <c r="E28" s="601">
        <v>0</v>
      </c>
      <c r="F28" s="601">
        <v>0</v>
      </c>
      <c r="G28" s="601"/>
      <c r="H28" s="601">
        <v>0</v>
      </c>
      <c r="I28" s="601">
        <v>0</v>
      </c>
      <c r="J28" s="601"/>
      <c r="K28" s="601">
        <v>0</v>
      </c>
      <c r="L28" s="601">
        <v>0</v>
      </c>
      <c r="M28" s="601">
        <v>0</v>
      </c>
      <c r="N28" s="601">
        <v>0</v>
      </c>
      <c r="O28" s="601"/>
      <c r="P28" s="601"/>
      <c r="Q28" s="601"/>
      <c r="R28" s="601"/>
      <c r="S28" s="601">
        <v>0</v>
      </c>
      <c r="T28" s="601">
        <v>0</v>
      </c>
      <c r="U28" s="601"/>
      <c r="V28" s="601"/>
      <c r="W28" s="601">
        <v>0</v>
      </c>
      <c r="Y28"/>
    </row>
    <row r="29" spans="1:25" s="149" customFormat="1" ht="15.5">
      <c r="A29" s="161"/>
      <c r="B29" s="65" t="s">
        <v>227</v>
      </c>
      <c r="C29" s="601">
        <v>0</v>
      </c>
      <c r="D29" s="601">
        <v>0</v>
      </c>
      <c r="E29" s="601">
        <v>0</v>
      </c>
      <c r="F29" s="601">
        <v>0</v>
      </c>
      <c r="G29" s="601">
        <v>0</v>
      </c>
      <c r="H29" s="601">
        <v>0</v>
      </c>
      <c r="I29" s="601">
        <v>0</v>
      </c>
      <c r="J29" s="601">
        <v>0</v>
      </c>
      <c r="K29" s="601">
        <v>0</v>
      </c>
      <c r="L29" s="601">
        <v>0</v>
      </c>
      <c r="M29" s="601">
        <v>0</v>
      </c>
      <c r="N29" s="601">
        <v>0</v>
      </c>
      <c r="O29" s="601">
        <v>0</v>
      </c>
      <c r="P29" s="601">
        <v>0</v>
      </c>
      <c r="Q29" s="601">
        <v>0</v>
      </c>
      <c r="R29" s="601">
        <v>0</v>
      </c>
      <c r="S29" s="601">
        <v>0</v>
      </c>
      <c r="T29" s="601">
        <v>0</v>
      </c>
      <c r="U29" s="601">
        <v>0</v>
      </c>
      <c r="V29" s="601">
        <v>0</v>
      </c>
      <c r="W29" s="601">
        <v>0</v>
      </c>
      <c r="X29" s="65"/>
      <c r="Y29"/>
    </row>
    <row r="30" spans="1:25" ht="15.5">
      <c r="B30" s="65" t="s">
        <v>228</v>
      </c>
      <c r="C30" s="601">
        <v>0</v>
      </c>
      <c r="D30" s="601">
        <v>0</v>
      </c>
      <c r="E30" s="601">
        <v>0</v>
      </c>
      <c r="F30" s="601">
        <v>0</v>
      </c>
      <c r="G30" s="601"/>
      <c r="H30" s="601">
        <v>0</v>
      </c>
      <c r="I30" s="601">
        <v>0</v>
      </c>
      <c r="J30" s="601"/>
      <c r="K30" s="601">
        <v>0</v>
      </c>
      <c r="L30" s="601">
        <v>0</v>
      </c>
      <c r="M30" s="601">
        <v>0</v>
      </c>
      <c r="N30" s="601">
        <v>0</v>
      </c>
      <c r="O30" s="601"/>
      <c r="P30" s="601"/>
      <c r="Q30" s="601"/>
      <c r="R30" s="601"/>
      <c r="S30" s="601">
        <v>0</v>
      </c>
      <c r="T30" s="601">
        <v>0</v>
      </c>
      <c r="U30" s="601"/>
      <c r="V30" s="601"/>
      <c r="W30" s="601">
        <v>0</v>
      </c>
      <c r="Y30"/>
    </row>
    <row r="31" spans="1:25" ht="15.5">
      <c r="B31" s="65" t="s">
        <v>229</v>
      </c>
      <c r="C31" s="601">
        <v>0</v>
      </c>
      <c r="D31" s="601">
        <v>0</v>
      </c>
      <c r="E31" s="601">
        <v>0</v>
      </c>
      <c r="F31" s="601">
        <v>0</v>
      </c>
      <c r="G31" s="601"/>
      <c r="H31" s="601">
        <v>0</v>
      </c>
      <c r="I31" s="601">
        <v>0</v>
      </c>
      <c r="J31" s="601"/>
      <c r="K31" s="601">
        <v>0</v>
      </c>
      <c r="L31" s="601">
        <v>0</v>
      </c>
      <c r="M31" s="601">
        <v>0</v>
      </c>
      <c r="N31" s="601">
        <v>0</v>
      </c>
      <c r="O31" s="601"/>
      <c r="P31" s="601"/>
      <c r="Q31" s="601"/>
      <c r="R31" s="601"/>
      <c r="S31" s="601">
        <v>0</v>
      </c>
      <c r="T31" s="601">
        <v>0</v>
      </c>
      <c r="U31" s="601"/>
      <c r="V31" s="601"/>
      <c r="W31" s="601">
        <v>0</v>
      </c>
      <c r="Y31"/>
    </row>
    <row r="32" spans="1:25" s="149" customFormat="1" ht="15.5">
      <c r="A32" s="161"/>
      <c r="B32" s="65" t="s">
        <v>230</v>
      </c>
      <c r="C32" s="601">
        <v>0</v>
      </c>
      <c r="D32" s="601">
        <v>0</v>
      </c>
      <c r="E32" s="601">
        <v>0</v>
      </c>
      <c r="F32" s="601">
        <v>0</v>
      </c>
      <c r="G32" s="601">
        <v>0</v>
      </c>
      <c r="H32" s="601">
        <v>0</v>
      </c>
      <c r="I32" s="601">
        <v>0</v>
      </c>
      <c r="J32" s="601">
        <v>0</v>
      </c>
      <c r="K32" s="601">
        <v>0</v>
      </c>
      <c r="L32" s="601">
        <v>0</v>
      </c>
      <c r="M32" s="601">
        <v>0</v>
      </c>
      <c r="N32" s="601">
        <v>0</v>
      </c>
      <c r="O32" s="601">
        <v>0</v>
      </c>
      <c r="P32" s="601">
        <v>0</v>
      </c>
      <c r="Q32" s="601">
        <v>0</v>
      </c>
      <c r="R32" s="601">
        <v>0</v>
      </c>
      <c r="S32" s="601">
        <v>0</v>
      </c>
      <c r="T32" s="601">
        <v>0</v>
      </c>
      <c r="U32" s="601">
        <v>0</v>
      </c>
      <c r="V32" s="601">
        <v>0</v>
      </c>
      <c r="W32" s="601">
        <v>0</v>
      </c>
      <c r="X32" s="65"/>
      <c r="Y32"/>
    </row>
    <row r="33" spans="1:25" ht="15.5">
      <c r="B33" s="65" t="s">
        <v>231</v>
      </c>
      <c r="C33" s="601">
        <v>0</v>
      </c>
      <c r="D33" s="601">
        <v>0</v>
      </c>
      <c r="E33" s="601">
        <v>0</v>
      </c>
      <c r="F33" s="601">
        <v>0</v>
      </c>
      <c r="G33" s="601"/>
      <c r="H33" s="601">
        <v>0</v>
      </c>
      <c r="I33" s="601">
        <v>0</v>
      </c>
      <c r="J33" s="601"/>
      <c r="K33" s="601">
        <v>0</v>
      </c>
      <c r="L33" s="601">
        <v>0</v>
      </c>
      <c r="M33" s="601">
        <v>0</v>
      </c>
      <c r="N33" s="601">
        <v>0</v>
      </c>
      <c r="O33" s="601"/>
      <c r="P33" s="601"/>
      <c r="Q33" s="601"/>
      <c r="R33" s="601"/>
      <c r="S33" s="601">
        <v>0</v>
      </c>
      <c r="T33" s="601">
        <v>0</v>
      </c>
      <c r="U33" s="601"/>
      <c r="V33" s="601"/>
      <c r="W33" s="601">
        <v>0</v>
      </c>
      <c r="Y33"/>
    </row>
    <row r="34" spans="1:25" ht="16" thickBot="1">
      <c r="B34" s="65" t="s">
        <v>232</v>
      </c>
      <c r="C34" s="601">
        <v>0</v>
      </c>
      <c r="D34" s="601">
        <v>0</v>
      </c>
      <c r="E34" s="601">
        <v>0</v>
      </c>
      <c r="F34" s="601">
        <v>0</v>
      </c>
      <c r="G34" s="601"/>
      <c r="H34" s="601">
        <v>0</v>
      </c>
      <c r="I34" s="601">
        <v>0</v>
      </c>
      <c r="J34" s="601"/>
      <c r="K34" s="601">
        <v>0</v>
      </c>
      <c r="L34" s="601">
        <v>0</v>
      </c>
      <c r="M34" s="601">
        <v>0</v>
      </c>
      <c r="N34" s="601">
        <v>0</v>
      </c>
      <c r="O34" s="601"/>
      <c r="P34" s="601"/>
      <c r="Q34" s="601"/>
      <c r="R34" s="601"/>
      <c r="S34" s="601">
        <v>0</v>
      </c>
      <c r="T34" s="601">
        <v>0</v>
      </c>
      <c r="U34" s="601"/>
      <c r="V34" s="601"/>
      <c r="W34" s="601">
        <v>0</v>
      </c>
      <c r="Y34"/>
    </row>
    <row r="35" spans="1:25" s="149" customFormat="1" ht="16" thickBot="1">
      <c r="A35" s="521"/>
      <c r="B35" s="65" t="s">
        <v>233</v>
      </c>
      <c r="C35" s="211">
        <v>0</v>
      </c>
      <c r="D35" s="211">
        <v>0</v>
      </c>
      <c r="E35" s="211">
        <v>0</v>
      </c>
      <c r="F35" s="211">
        <v>0</v>
      </c>
      <c r="G35" s="518">
        <v>0</v>
      </c>
      <c r="H35" s="211">
        <v>0</v>
      </c>
      <c r="I35" s="211">
        <v>0</v>
      </c>
      <c r="J35" s="211">
        <v>0</v>
      </c>
      <c r="K35" s="211">
        <v>0</v>
      </c>
      <c r="L35" s="211">
        <v>0</v>
      </c>
      <c r="M35" s="211">
        <v>0</v>
      </c>
      <c r="N35" s="211">
        <v>0</v>
      </c>
      <c r="O35" s="211">
        <v>0</v>
      </c>
      <c r="P35" s="211">
        <v>0</v>
      </c>
      <c r="Q35" s="211">
        <v>0</v>
      </c>
      <c r="R35" s="211">
        <v>0</v>
      </c>
      <c r="S35" s="211">
        <v>0</v>
      </c>
      <c r="T35" s="211">
        <v>0</v>
      </c>
      <c r="U35" s="211">
        <v>0</v>
      </c>
      <c r="V35" s="211">
        <v>0</v>
      </c>
      <c r="W35" s="211">
        <v>0</v>
      </c>
      <c r="X35" s="65"/>
      <c r="Y35"/>
    </row>
    <row r="36" spans="1:25" ht="15.5">
      <c r="A36" s="161" t="s">
        <v>155</v>
      </c>
      <c r="B36" s="65" t="s">
        <v>110</v>
      </c>
      <c r="C36" s="172">
        <v>4320</v>
      </c>
      <c r="D36" s="601"/>
      <c r="E36" s="601">
        <v>658</v>
      </c>
      <c r="F36" s="601"/>
      <c r="G36" s="601"/>
      <c r="H36" s="601"/>
      <c r="I36" s="601">
        <v>4978</v>
      </c>
      <c r="J36" s="601"/>
      <c r="K36" s="601"/>
      <c r="L36" s="601">
        <v>43</v>
      </c>
      <c r="M36" s="601"/>
      <c r="N36" s="601">
        <v>43</v>
      </c>
      <c r="O36" s="601"/>
      <c r="P36" s="601"/>
      <c r="Q36" s="601"/>
      <c r="R36" s="601"/>
      <c r="S36" s="601"/>
      <c r="T36" s="601"/>
      <c r="U36" s="601"/>
      <c r="V36" s="601"/>
      <c r="W36" s="601">
        <v>5021</v>
      </c>
      <c r="Y36"/>
    </row>
    <row r="37" spans="1:25" ht="15.5">
      <c r="B37" s="65" t="s">
        <v>111</v>
      </c>
      <c r="C37" s="601">
        <v>4243</v>
      </c>
      <c r="D37" s="601"/>
      <c r="E37" s="601">
        <v>637</v>
      </c>
      <c r="F37" s="601"/>
      <c r="G37" s="601"/>
      <c r="H37" s="601"/>
      <c r="I37" s="601">
        <v>4880</v>
      </c>
      <c r="J37" s="601"/>
      <c r="K37" s="601"/>
      <c r="L37" s="601">
        <v>51</v>
      </c>
      <c r="M37" s="601"/>
      <c r="N37" s="601">
        <v>51</v>
      </c>
      <c r="O37" s="601"/>
      <c r="P37" s="601"/>
      <c r="Q37" s="601"/>
      <c r="R37" s="601"/>
      <c r="S37" s="601"/>
      <c r="T37" s="601"/>
      <c r="U37" s="601"/>
      <c r="V37" s="601"/>
      <c r="W37" s="601">
        <v>4931</v>
      </c>
      <c r="Y37"/>
    </row>
    <row r="38" spans="1:25" s="149" customFormat="1" ht="15.5">
      <c r="A38" s="161"/>
      <c r="B38" s="65" t="s">
        <v>112</v>
      </c>
      <c r="C38" s="601">
        <v>-1.7824074074074076E-2</v>
      </c>
      <c r="D38" s="601">
        <v>0</v>
      </c>
      <c r="E38" s="601">
        <v>-3.1914893617021274E-2</v>
      </c>
      <c r="F38" s="601">
        <v>0</v>
      </c>
      <c r="G38" s="601">
        <v>0</v>
      </c>
      <c r="H38" s="601">
        <v>0</v>
      </c>
      <c r="I38" s="601">
        <v>-1.9686621132985135E-2</v>
      </c>
      <c r="J38" s="601">
        <v>0</v>
      </c>
      <c r="K38" s="601">
        <v>0</v>
      </c>
      <c r="L38" s="601">
        <v>0.18604651162790697</v>
      </c>
      <c r="M38" s="601">
        <v>0</v>
      </c>
      <c r="N38" s="601">
        <v>0.18604651162790697</v>
      </c>
      <c r="O38" s="601">
        <v>0</v>
      </c>
      <c r="P38" s="601">
        <v>0</v>
      </c>
      <c r="Q38" s="601">
        <v>0</v>
      </c>
      <c r="R38" s="601">
        <v>0</v>
      </c>
      <c r="S38" s="601">
        <v>0</v>
      </c>
      <c r="T38" s="601">
        <v>0</v>
      </c>
      <c r="U38" s="601">
        <v>0</v>
      </c>
      <c r="V38" s="601">
        <v>0</v>
      </c>
      <c r="W38" s="601">
        <v>-1.7924716191993626E-2</v>
      </c>
      <c r="X38" s="65"/>
      <c r="Y38"/>
    </row>
    <row r="39" spans="1:25" ht="15.5">
      <c r="B39" s="65" t="s">
        <v>222</v>
      </c>
      <c r="C39" s="601">
        <v>0</v>
      </c>
      <c r="D39" s="601"/>
      <c r="E39" s="601">
        <v>0</v>
      </c>
      <c r="F39" s="601"/>
      <c r="G39" s="601"/>
      <c r="H39" s="601"/>
      <c r="I39" s="601">
        <v>0</v>
      </c>
      <c r="J39" s="601"/>
      <c r="K39" s="601"/>
      <c r="L39" s="601">
        <v>0</v>
      </c>
      <c r="M39" s="601"/>
      <c r="N39" s="601">
        <v>0</v>
      </c>
      <c r="O39" s="601"/>
      <c r="P39" s="601"/>
      <c r="Q39" s="601"/>
      <c r="R39" s="601"/>
      <c r="S39" s="601"/>
      <c r="T39" s="601"/>
      <c r="U39" s="601"/>
      <c r="V39" s="601"/>
      <c r="W39" s="601">
        <v>0</v>
      </c>
      <c r="Y39"/>
    </row>
    <row r="40" spans="1:25" ht="15.5">
      <c r="B40" s="65" t="s">
        <v>223</v>
      </c>
      <c r="C40" s="601">
        <v>0</v>
      </c>
      <c r="D40" s="601"/>
      <c r="E40" s="601">
        <v>0</v>
      </c>
      <c r="F40" s="601"/>
      <c r="G40" s="601"/>
      <c r="H40" s="601"/>
      <c r="I40" s="601">
        <v>0</v>
      </c>
      <c r="J40" s="601"/>
      <c r="K40" s="601"/>
      <c r="L40" s="601">
        <v>0</v>
      </c>
      <c r="M40" s="601"/>
      <c r="N40" s="601">
        <v>0</v>
      </c>
      <c r="O40" s="601"/>
      <c r="P40" s="601"/>
      <c r="Q40" s="601"/>
      <c r="R40" s="601"/>
      <c r="S40" s="601"/>
      <c r="T40" s="601"/>
      <c r="U40" s="601"/>
      <c r="V40" s="601"/>
      <c r="W40" s="601">
        <v>0</v>
      </c>
      <c r="Y40"/>
    </row>
    <row r="41" spans="1:25" s="149" customFormat="1" ht="15.5">
      <c r="A41" s="161"/>
      <c r="B41" s="65" t="s">
        <v>224</v>
      </c>
      <c r="C41" s="601">
        <v>0</v>
      </c>
      <c r="D41" s="601">
        <v>0</v>
      </c>
      <c r="E41" s="601">
        <v>0</v>
      </c>
      <c r="F41" s="601">
        <v>0</v>
      </c>
      <c r="G41" s="601">
        <v>0</v>
      </c>
      <c r="H41" s="601">
        <v>0</v>
      </c>
      <c r="I41" s="601">
        <v>0</v>
      </c>
      <c r="J41" s="601">
        <v>0</v>
      </c>
      <c r="K41" s="601">
        <v>0</v>
      </c>
      <c r="L41" s="601">
        <v>0</v>
      </c>
      <c r="M41" s="601">
        <v>0</v>
      </c>
      <c r="N41" s="601">
        <v>0</v>
      </c>
      <c r="O41" s="601">
        <v>0</v>
      </c>
      <c r="P41" s="601">
        <v>0</v>
      </c>
      <c r="Q41" s="601">
        <v>0</v>
      </c>
      <c r="R41" s="601">
        <v>0</v>
      </c>
      <c r="S41" s="601">
        <v>0</v>
      </c>
      <c r="T41" s="601">
        <v>0</v>
      </c>
      <c r="U41" s="601">
        <v>0</v>
      </c>
      <c r="V41" s="601">
        <v>0</v>
      </c>
      <c r="W41" s="601">
        <v>0</v>
      </c>
      <c r="X41" s="65"/>
      <c r="Y41"/>
    </row>
    <row r="42" spans="1:25" ht="15.5">
      <c r="B42" s="65" t="s">
        <v>225</v>
      </c>
      <c r="C42" s="601">
        <v>0</v>
      </c>
      <c r="D42" s="601"/>
      <c r="E42" s="601">
        <v>0</v>
      </c>
      <c r="F42" s="601"/>
      <c r="G42" s="601"/>
      <c r="H42" s="601"/>
      <c r="I42" s="601">
        <v>0</v>
      </c>
      <c r="J42" s="601"/>
      <c r="K42" s="601"/>
      <c r="L42" s="601">
        <v>0</v>
      </c>
      <c r="M42" s="601"/>
      <c r="N42" s="601">
        <v>0</v>
      </c>
      <c r="O42" s="601"/>
      <c r="P42" s="601"/>
      <c r="Q42" s="601"/>
      <c r="R42" s="601"/>
      <c r="S42" s="601"/>
      <c r="T42" s="601"/>
      <c r="U42" s="601"/>
      <c r="V42" s="601"/>
      <c r="W42" s="601">
        <v>0</v>
      </c>
      <c r="Y42"/>
    </row>
    <row r="43" spans="1:25" ht="15.5">
      <c r="B43" s="65" t="s">
        <v>226</v>
      </c>
      <c r="C43" s="601">
        <v>0</v>
      </c>
      <c r="D43" s="601"/>
      <c r="E43" s="601">
        <v>0</v>
      </c>
      <c r="F43" s="601"/>
      <c r="G43" s="601"/>
      <c r="H43" s="601"/>
      <c r="I43" s="601">
        <v>0</v>
      </c>
      <c r="J43" s="601"/>
      <c r="K43" s="601"/>
      <c r="L43" s="601">
        <v>0</v>
      </c>
      <c r="M43" s="601"/>
      <c r="N43" s="601">
        <v>0</v>
      </c>
      <c r="O43" s="601"/>
      <c r="P43" s="601"/>
      <c r="Q43" s="601"/>
      <c r="R43" s="601"/>
      <c r="S43" s="601"/>
      <c r="T43" s="601"/>
      <c r="U43" s="601"/>
      <c r="V43" s="601"/>
      <c r="W43" s="601">
        <v>0</v>
      </c>
      <c r="Y43"/>
    </row>
    <row r="44" spans="1:25" s="149" customFormat="1" ht="15.5">
      <c r="A44" s="161"/>
      <c r="B44" s="65" t="s">
        <v>227</v>
      </c>
      <c r="C44" s="601">
        <v>0</v>
      </c>
      <c r="D44" s="601">
        <v>0</v>
      </c>
      <c r="E44" s="601">
        <v>0</v>
      </c>
      <c r="F44" s="601">
        <v>0</v>
      </c>
      <c r="G44" s="601">
        <v>0</v>
      </c>
      <c r="H44" s="601">
        <v>0</v>
      </c>
      <c r="I44" s="601">
        <v>0</v>
      </c>
      <c r="J44" s="601">
        <v>0</v>
      </c>
      <c r="K44" s="601">
        <v>0</v>
      </c>
      <c r="L44" s="601">
        <v>0</v>
      </c>
      <c r="M44" s="601">
        <v>0</v>
      </c>
      <c r="N44" s="601">
        <v>0</v>
      </c>
      <c r="O44" s="601">
        <v>0</v>
      </c>
      <c r="P44" s="601">
        <v>0</v>
      </c>
      <c r="Q44" s="601">
        <v>0</v>
      </c>
      <c r="R44" s="601">
        <v>0</v>
      </c>
      <c r="S44" s="601">
        <v>0</v>
      </c>
      <c r="T44" s="601">
        <v>0</v>
      </c>
      <c r="U44" s="601">
        <v>0</v>
      </c>
      <c r="V44" s="601">
        <v>0</v>
      </c>
      <c r="W44" s="601">
        <v>0</v>
      </c>
      <c r="X44" s="65"/>
      <c r="Y44"/>
    </row>
    <row r="45" spans="1:25" ht="15.5">
      <c r="B45" s="65" t="s">
        <v>228</v>
      </c>
      <c r="C45" s="601">
        <v>0</v>
      </c>
      <c r="D45" s="601"/>
      <c r="E45" s="601">
        <v>0</v>
      </c>
      <c r="F45" s="601"/>
      <c r="G45" s="601"/>
      <c r="H45" s="601"/>
      <c r="I45" s="601">
        <v>0</v>
      </c>
      <c r="J45" s="601"/>
      <c r="K45" s="601"/>
      <c r="L45" s="601">
        <v>0</v>
      </c>
      <c r="M45" s="601"/>
      <c r="N45" s="601">
        <v>0</v>
      </c>
      <c r="O45" s="601"/>
      <c r="P45" s="601"/>
      <c r="Q45" s="601"/>
      <c r="R45" s="601"/>
      <c r="S45" s="601"/>
      <c r="T45" s="601"/>
      <c r="U45" s="601"/>
      <c r="V45" s="601"/>
      <c r="W45" s="601">
        <v>0</v>
      </c>
      <c r="Y45"/>
    </row>
    <row r="46" spans="1:25" ht="15.5">
      <c r="B46" s="65" t="s">
        <v>229</v>
      </c>
      <c r="C46" s="601">
        <v>0</v>
      </c>
      <c r="D46" s="601"/>
      <c r="E46" s="601">
        <v>0</v>
      </c>
      <c r="F46" s="601"/>
      <c r="G46" s="601"/>
      <c r="H46" s="601"/>
      <c r="I46" s="601">
        <v>0</v>
      </c>
      <c r="J46" s="601"/>
      <c r="K46" s="601"/>
      <c r="L46" s="601">
        <v>0</v>
      </c>
      <c r="M46" s="601"/>
      <c r="N46" s="601">
        <v>0</v>
      </c>
      <c r="O46" s="601"/>
      <c r="P46" s="601"/>
      <c r="Q46" s="601"/>
      <c r="R46" s="601"/>
      <c r="S46" s="601"/>
      <c r="T46" s="601"/>
      <c r="U46" s="601"/>
      <c r="V46" s="601"/>
      <c r="W46" s="601">
        <v>0</v>
      </c>
      <c r="Y46"/>
    </row>
    <row r="47" spans="1:25" s="149" customFormat="1" ht="15.5">
      <c r="A47" s="161"/>
      <c r="B47" s="65" t="s">
        <v>230</v>
      </c>
      <c r="C47" s="601">
        <v>0</v>
      </c>
      <c r="D47" s="601">
        <v>0</v>
      </c>
      <c r="E47" s="601">
        <v>0</v>
      </c>
      <c r="F47" s="601">
        <v>0</v>
      </c>
      <c r="G47" s="601">
        <v>0</v>
      </c>
      <c r="H47" s="601">
        <v>0</v>
      </c>
      <c r="I47" s="601">
        <v>0</v>
      </c>
      <c r="J47" s="601">
        <v>0</v>
      </c>
      <c r="K47" s="601">
        <v>0</v>
      </c>
      <c r="L47" s="601">
        <v>0</v>
      </c>
      <c r="M47" s="601">
        <v>0</v>
      </c>
      <c r="N47" s="601">
        <v>0</v>
      </c>
      <c r="O47" s="601">
        <v>0</v>
      </c>
      <c r="P47" s="601">
        <v>0</v>
      </c>
      <c r="Q47" s="601">
        <v>0</v>
      </c>
      <c r="R47" s="601">
        <v>0</v>
      </c>
      <c r="S47" s="601">
        <v>0</v>
      </c>
      <c r="T47" s="601">
        <v>0</v>
      </c>
      <c r="U47" s="601">
        <v>0</v>
      </c>
      <c r="V47" s="601">
        <v>0</v>
      </c>
      <c r="W47" s="601">
        <v>0</v>
      </c>
      <c r="X47" s="65"/>
      <c r="Y47"/>
    </row>
    <row r="48" spans="1:25" ht="15.5">
      <c r="B48" s="65" t="s">
        <v>231</v>
      </c>
      <c r="C48" s="601">
        <v>0</v>
      </c>
      <c r="D48" s="601"/>
      <c r="E48" s="601">
        <v>0</v>
      </c>
      <c r="F48" s="601"/>
      <c r="G48" s="601"/>
      <c r="H48" s="601"/>
      <c r="I48" s="601">
        <v>0</v>
      </c>
      <c r="J48" s="601"/>
      <c r="K48" s="601"/>
      <c r="L48" s="601">
        <v>0</v>
      </c>
      <c r="M48" s="601"/>
      <c r="N48" s="601">
        <v>0</v>
      </c>
      <c r="O48" s="601"/>
      <c r="P48" s="601"/>
      <c r="Q48" s="601"/>
      <c r="R48" s="601"/>
      <c r="S48" s="601"/>
      <c r="T48" s="601"/>
      <c r="U48" s="601"/>
      <c r="V48" s="601"/>
      <c r="W48" s="601">
        <v>0</v>
      </c>
      <c r="Y48"/>
    </row>
    <row r="49" spans="1:25" ht="15.5">
      <c r="B49" s="65" t="s">
        <v>232</v>
      </c>
      <c r="C49" s="601">
        <v>0</v>
      </c>
      <c r="D49" s="601"/>
      <c r="E49" s="601">
        <v>0</v>
      </c>
      <c r="F49" s="601"/>
      <c r="G49" s="601"/>
      <c r="H49" s="601"/>
      <c r="I49" s="601">
        <v>0</v>
      </c>
      <c r="J49" s="601"/>
      <c r="K49" s="601"/>
      <c r="L49" s="601">
        <v>0</v>
      </c>
      <c r="M49" s="601"/>
      <c r="N49" s="601">
        <v>0</v>
      </c>
      <c r="O49" s="601"/>
      <c r="P49" s="601"/>
      <c r="Q49" s="601"/>
      <c r="R49" s="601"/>
      <c r="S49" s="601"/>
      <c r="T49" s="601"/>
      <c r="U49" s="601"/>
      <c r="V49" s="601"/>
      <c r="W49" s="601">
        <v>0</v>
      </c>
      <c r="Y49"/>
    </row>
    <row r="50" spans="1:25" s="149" customFormat="1" ht="15.5">
      <c r="A50" s="521"/>
      <c r="B50" s="65" t="s">
        <v>233</v>
      </c>
      <c r="C50" s="211">
        <v>0</v>
      </c>
      <c r="D50" s="211">
        <v>0</v>
      </c>
      <c r="E50" s="211">
        <v>0</v>
      </c>
      <c r="F50" s="211">
        <v>0</v>
      </c>
      <c r="G50" s="211">
        <v>0</v>
      </c>
      <c r="H50" s="211">
        <v>0</v>
      </c>
      <c r="I50" s="211">
        <v>0</v>
      </c>
      <c r="J50" s="211">
        <v>0</v>
      </c>
      <c r="K50" s="211">
        <v>0</v>
      </c>
      <c r="L50" s="211">
        <v>0</v>
      </c>
      <c r="M50" s="211">
        <v>0</v>
      </c>
      <c r="N50" s="211">
        <v>0</v>
      </c>
      <c r="O50" s="211">
        <v>0</v>
      </c>
      <c r="P50" s="211">
        <v>0</v>
      </c>
      <c r="Q50" s="211">
        <v>0</v>
      </c>
      <c r="R50" s="211">
        <v>0</v>
      </c>
      <c r="S50" s="211">
        <v>0</v>
      </c>
      <c r="T50" s="211">
        <v>0</v>
      </c>
      <c r="U50" s="211">
        <v>0</v>
      </c>
      <c r="V50" s="211">
        <v>0</v>
      </c>
      <c r="W50" s="211">
        <v>0</v>
      </c>
      <c r="X50" s="65"/>
      <c r="Y50"/>
    </row>
    <row r="51" spans="1:25" ht="15.5">
      <c r="A51" s="161" t="s">
        <v>156</v>
      </c>
      <c r="B51" s="65" t="s">
        <v>110</v>
      </c>
      <c r="C51" s="601"/>
      <c r="D51" s="601"/>
      <c r="E51" s="601"/>
      <c r="F51" s="601"/>
      <c r="G51" s="601"/>
      <c r="H51" s="601"/>
      <c r="I51" s="601"/>
      <c r="J51" s="601">
        <v>9036</v>
      </c>
      <c r="K51" s="601">
        <v>12</v>
      </c>
      <c r="L51" s="601"/>
      <c r="M51" s="601">
        <v>16</v>
      </c>
      <c r="N51" s="601">
        <v>9064</v>
      </c>
      <c r="O51" s="601"/>
      <c r="P51" s="601"/>
      <c r="Q51" s="601"/>
      <c r="R51" s="601"/>
      <c r="S51" s="601"/>
      <c r="T51" s="601"/>
      <c r="U51" s="601"/>
      <c r="V51" s="601"/>
      <c r="W51" s="601">
        <v>9064</v>
      </c>
      <c r="Y51"/>
    </row>
    <row r="52" spans="1:25" ht="16" thickBot="1">
      <c r="B52" s="65" t="s">
        <v>111</v>
      </c>
      <c r="C52" s="601"/>
      <c r="D52" s="601"/>
      <c r="E52" s="601"/>
      <c r="F52" s="601"/>
      <c r="G52" s="601"/>
      <c r="H52" s="601"/>
      <c r="I52" s="601"/>
      <c r="J52" s="601"/>
      <c r="K52" s="601"/>
      <c r="L52" s="601"/>
      <c r="M52" s="601"/>
      <c r="N52" s="601"/>
      <c r="O52" s="601"/>
      <c r="P52" s="601"/>
      <c r="Q52" s="601"/>
      <c r="R52" s="601"/>
      <c r="S52" s="601"/>
      <c r="T52" s="601"/>
      <c r="U52" s="601"/>
      <c r="V52" s="601"/>
      <c r="W52" s="601"/>
      <c r="Y52"/>
    </row>
    <row r="53" spans="1:25" s="149" customFormat="1" ht="16" thickBot="1">
      <c r="A53" s="161"/>
      <c r="B53" s="65" t="s">
        <v>112</v>
      </c>
      <c r="C53" s="601">
        <v>0</v>
      </c>
      <c r="D53" s="601">
        <v>0</v>
      </c>
      <c r="E53" s="601">
        <v>0</v>
      </c>
      <c r="F53" s="601">
        <v>0</v>
      </c>
      <c r="G53" s="601">
        <v>0</v>
      </c>
      <c r="H53" s="601">
        <v>0</v>
      </c>
      <c r="I53" s="601">
        <v>0</v>
      </c>
      <c r="J53" s="687">
        <v>-1</v>
      </c>
      <c r="K53" s="689">
        <v>-1</v>
      </c>
      <c r="L53" s="688">
        <v>0</v>
      </c>
      <c r="M53" s="601">
        <v>-1</v>
      </c>
      <c r="N53" s="686">
        <v>-1</v>
      </c>
      <c r="O53" s="601">
        <v>0</v>
      </c>
      <c r="P53" s="601">
        <v>0</v>
      </c>
      <c r="Q53" s="601">
        <v>0</v>
      </c>
      <c r="R53" s="601">
        <v>0</v>
      </c>
      <c r="S53" s="601">
        <v>0</v>
      </c>
      <c r="T53" s="601">
        <v>0</v>
      </c>
      <c r="U53" s="601">
        <v>0</v>
      </c>
      <c r="V53" s="601">
        <v>0</v>
      </c>
      <c r="W53" s="601">
        <v>-1</v>
      </c>
      <c r="X53" s="65"/>
      <c r="Y53"/>
    </row>
    <row r="54" spans="1:25" ht="15.5">
      <c r="B54" s="65" t="s">
        <v>222</v>
      </c>
      <c r="C54" s="601"/>
      <c r="D54" s="601"/>
      <c r="E54" s="601"/>
      <c r="F54" s="601"/>
      <c r="G54" s="601"/>
      <c r="H54" s="601"/>
      <c r="I54" s="601"/>
      <c r="J54" s="601">
        <v>0</v>
      </c>
      <c r="K54" s="601">
        <v>0</v>
      </c>
      <c r="L54" s="601"/>
      <c r="M54" s="601">
        <v>0</v>
      </c>
      <c r="N54" s="601">
        <v>0</v>
      </c>
      <c r="O54" s="601"/>
      <c r="P54" s="601"/>
      <c r="Q54" s="601"/>
      <c r="R54" s="601"/>
      <c r="S54" s="601"/>
      <c r="T54" s="601"/>
      <c r="U54" s="601"/>
      <c r="V54" s="601"/>
      <c r="W54" s="601">
        <v>0</v>
      </c>
      <c r="Y54"/>
    </row>
    <row r="55" spans="1:25" ht="15.5">
      <c r="B55" s="65" t="s">
        <v>223</v>
      </c>
      <c r="C55" s="601"/>
      <c r="D55" s="601"/>
      <c r="E55" s="601"/>
      <c r="F55" s="601"/>
      <c r="G55" s="601"/>
      <c r="H55" s="601"/>
      <c r="I55" s="601"/>
      <c r="J55" s="601"/>
      <c r="K55" s="601"/>
      <c r="L55" s="601"/>
      <c r="M55" s="601"/>
      <c r="N55" s="601"/>
      <c r="O55" s="601"/>
      <c r="P55" s="601"/>
      <c r="Q55" s="601"/>
      <c r="R55" s="601"/>
      <c r="S55" s="601"/>
      <c r="T55" s="601"/>
      <c r="U55" s="601"/>
      <c r="V55" s="601"/>
      <c r="W55" s="601"/>
      <c r="Y55"/>
    </row>
    <row r="56" spans="1:25" s="149" customFormat="1" ht="15.5">
      <c r="A56" s="161"/>
      <c r="B56" s="65" t="s">
        <v>224</v>
      </c>
      <c r="C56" s="601">
        <v>0</v>
      </c>
      <c r="D56" s="601">
        <v>0</v>
      </c>
      <c r="E56" s="601">
        <v>0</v>
      </c>
      <c r="F56" s="601">
        <v>0</v>
      </c>
      <c r="G56" s="601">
        <v>0</v>
      </c>
      <c r="H56" s="601">
        <v>0</v>
      </c>
      <c r="I56" s="601">
        <v>0</v>
      </c>
      <c r="J56" s="601">
        <v>0</v>
      </c>
      <c r="K56" s="601">
        <v>0</v>
      </c>
      <c r="L56" s="601">
        <v>0</v>
      </c>
      <c r="M56" s="601">
        <v>0</v>
      </c>
      <c r="N56" s="601">
        <v>0</v>
      </c>
      <c r="O56" s="601">
        <v>0</v>
      </c>
      <c r="P56" s="601">
        <v>0</v>
      </c>
      <c r="Q56" s="601">
        <v>0</v>
      </c>
      <c r="R56" s="601">
        <v>0</v>
      </c>
      <c r="S56" s="601">
        <v>0</v>
      </c>
      <c r="T56" s="601">
        <v>0</v>
      </c>
      <c r="U56" s="601">
        <v>0</v>
      </c>
      <c r="V56" s="601">
        <v>0</v>
      </c>
      <c r="W56" s="601">
        <v>0</v>
      </c>
      <c r="X56" s="65"/>
      <c r="Y56"/>
    </row>
    <row r="57" spans="1:25" ht="15.5">
      <c r="B57" s="65" t="s">
        <v>225</v>
      </c>
      <c r="C57" s="601"/>
      <c r="D57" s="601"/>
      <c r="E57" s="601"/>
      <c r="F57" s="601"/>
      <c r="G57" s="601"/>
      <c r="H57" s="601"/>
      <c r="I57" s="601"/>
      <c r="J57" s="601">
        <v>0</v>
      </c>
      <c r="K57" s="601">
        <v>0</v>
      </c>
      <c r="L57" s="601"/>
      <c r="M57" s="601">
        <v>0</v>
      </c>
      <c r="N57" s="601">
        <v>0</v>
      </c>
      <c r="O57" s="601"/>
      <c r="P57" s="601"/>
      <c r="Q57" s="601"/>
      <c r="R57" s="601"/>
      <c r="S57" s="601"/>
      <c r="T57" s="601"/>
      <c r="U57" s="601"/>
      <c r="V57" s="601"/>
      <c r="W57" s="601">
        <v>0</v>
      </c>
      <c r="Y57"/>
    </row>
    <row r="58" spans="1:25" ht="15.5">
      <c r="B58" s="65" t="s">
        <v>226</v>
      </c>
      <c r="C58" s="601"/>
      <c r="D58" s="601"/>
      <c r="E58" s="601"/>
      <c r="F58" s="601"/>
      <c r="G58" s="601"/>
      <c r="H58" s="601"/>
      <c r="I58" s="601"/>
      <c r="J58" s="601"/>
      <c r="K58" s="601"/>
      <c r="L58" s="601"/>
      <c r="M58" s="601"/>
      <c r="N58" s="601"/>
      <c r="O58" s="601"/>
      <c r="P58" s="601"/>
      <c r="Q58" s="601"/>
      <c r="R58" s="601"/>
      <c r="S58" s="601"/>
      <c r="T58" s="601"/>
      <c r="U58" s="601"/>
      <c r="V58" s="601"/>
      <c r="W58" s="601"/>
      <c r="Y58"/>
    </row>
    <row r="59" spans="1:25" s="149" customFormat="1" ht="15.5">
      <c r="A59" s="161"/>
      <c r="B59" s="65" t="s">
        <v>227</v>
      </c>
      <c r="C59" s="601">
        <v>0</v>
      </c>
      <c r="D59" s="601">
        <v>0</v>
      </c>
      <c r="E59" s="601">
        <v>0</v>
      </c>
      <c r="F59" s="601">
        <v>0</v>
      </c>
      <c r="G59" s="601">
        <v>0</v>
      </c>
      <c r="H59" s="601">
        <v>0</v>
      </c>
      <c r="I59" s="601">
        <v>0</v>
      </c>
      <c r="J59" s="601">
        <v>0</v>
      </c>
      <c r="K59" s="601">
        <v>0</v>
      </c>
      <c r="L59" s="601">
        <v>0</v>
      </c>
      <c r="M59" s="601">
        <v>0</v>
      </c>
      <c r="N59" s="601">
        <v>0</v>
      </c>
      <c r="O59" s="601">
        <v>0</v>
      </c>
      <c r="P59" s="601">
        <v>0</v>
      </c>
      <c r="Q59" s="601">
        <v>0</v>
      </c>
      <c r="R59" s="601">
        <v>0</v>
      </c>
      <c r="S59" s="601">
        <v>0</v>
      </c>
      <c r="T59" s="601">
        <v>0</v>
      </c>
      <c r="U59" s="601">
        <v>0</v>
      </c>
      <c r="V59" s="601">
        <v>0</v>
      </c>
      <c r="W59" s="601">
        <v>0</v>
      </c>
      <c r="X59" s="65"/>
      <c r="Y59"/>
    </row>
    <row r="60" spans="1:25" ht="15.5">
      <c r="B60" s="65" t="s">
        <v>228</v>
      </c>
      <c r="C60" s="601"/>
      <c r="D60" s="601"/>
      <c r="E60" s="601"/>
      <c r="F60" s="601"/>
      <c r="G60" s="601"/>
      <c r="H60" s="601"/>
      <c r="I60" s="601"/>
      <c r="J60" s="601">
        <v>0</v>
      </c>
      <c r="K60" s="601">
        <v>0</v>
      </c>
      <c r="L60" s="601"/>
      <c r="M60" s="601">
        <v>0</v>
      </c>
      <c r="N60" s="601">
        <v>0</v>
      </c>
      <c r="O60" s="601"/>
      <c r="P60" s="601"/>
      <c r="Q60" s="601"/>
      <c r="R60" s="601"/>
      <c r="S60" s="601"/>
      <c r="T60" s="601"/>
      <c r="U60" s="601"/>
      <c r="V60" s="601"/>
      <c r="W60" s="601">
        <v>0</v>
      </c>
      <c r="Y60"/>
    </row>
    <row r="61" spans="1:25" ht="16" thickBot="1">
      <c r="B61" s="65" t="s">
        <v>229</v>
      </c>
      <c r="C61" s="601"/>
      <c r="D61" s="601"/>
      <c r="E61" s="601"/>
      <c r="F61" s="601"/>
      <c r="G61" s="601"/>
      <c r="H61" s="601"/>
      <c r="I61" s="601"/>
      <c r="J61" s="601"/>
      <c r="K61" s="601"/>
      <c r="L61" s="601"/>
      <c r="M61" s="601"/>
      <c r="N61" s="601"/>
      <c r="O61" s="601"/>
      <c r="P61" s="601"/>
      <c r="Q61" s="601"/>
      <c r="R61" s="601"/>
      <c r="S61" s="601"/>
      <c r="T61" s="601"/>
      <c r="U61" s="601"/>
      <c r="V61" s="601"/>
      <c r="W61" s="601"/>
      <c r="Y61"/>
    </row>
    <row r="62" spans="1:25" s="149" customFormat="1" ht="16" thickBot="1">
      <c r="A62" s="161"/>
      <c r="B62" s="65" t="s">
        <v>230</v>
      </c>
      <c r="C62" s="601">
        <v>0</v>
      </c>
      <c r="D62" s="601">
        <v>0</v>
      </c>
      <c r="E62" s="687">
        <v>0</v>
      </c>
      <c r="F62" s="601">
        <v>0</v>
      </c>
      <c r="G62" s="601">
        <v>0</v>
      </c>
      <c r="H62" s="601">
        <v>0</v>
      </c>
      <c r="I62" s="601">
        <v>0</v>
      </c>
      <c r="J62" s="601">
        <v>0</v>
      </c>
      <c r="K62" s="601">
        <v>0</v>
      </c>
      <c r="L62" s="601">
        <v>0</v>
      </c>
      <c r="M62" s="601">
        <v>0</v>
      </c>
      <c r="N62" s="601">
        <v>0</v>
      </c>
      <c r="O62" s="601">
        <v>0</v>
      </c>
      <c r="P62" s="601">
        <v>0</v>
      </c>
      <c r="Q62" s="601">
        <v>0</v>
      </c>
      <c r="R62" s="601">
        <v>0</v>
      </c>
      <c r="S62" s="601">
        <v>0</v>
      </c>
      <c r="T62" s="601">
        <v>0</v>
      </c>
      <c r="U62" s="601">
        <v>0</v>
      </c>
      <c r="V62" s="601">
        <v>0</v>
      </c>
      <c r="W62" s="601">
        <v>0</v>
      </c>
      <c r="X62" s="65"/>
      <c r="Y62"/>
    </row>
    <row r="63" spans="1:25" ht="15.5">
      <c r="B63" s="65" t="s">
        <v>231</v>
      </c>
      <c r="C63" s="601"/>
      <c r="D63" s="601"/>
      <c r="E63" s="601"/>
      <c r="F63" s="601"/>
      <c r="G63" s="601"/>
      <c r="H63" s="601"/>
      <c r="I63" s="601"/>
      <c r="J63" s="601">
        <v>0</v>
      </c>
      <c r="K63" s="601">
        <v>0</v>
      </c>
      <c r="L63" s="601"/>
      <c r="M63" s="601">
        <v>0</v>
      </c>
      <c r="N63" s="601">
        <v>0</v>
      </c>
      <c r="O63" s="601"/>
      <c r="P63" s="601"/>
      <c r="Q63" s="601"/>
      <c r="R63" s="601"/>
      <c r="S63" s="601"/>
      <c r="T63" s="601"/>
      <c r="U63" s="601">
        <v>0</v>
      </c>
      <c r="V63" s="601">
        <v>0</v>
      </c>
      <c r="W63" s="601">
        <v>0</v>
      </c>
      <c r="Y63"/>
    </row>
    <row r="64" spans="1:25" ht="16" thickBot="1">
      <c r="B64" s="65" t="s">
        <v>232</v>
      </c>
      <c r="C64" s="601"/>
      <c r="D64" s="601"/>
      <c r="E64" s="601"/>
      <c r="F64" s="601"/>
      <c r="G64" s="601"/>
      <c r="H64" s="601"/>
      <c r="I64" s="601"/>
      <c r="J64" s="601">
        <v>0</v>
      </c>
      <c r="K64" s="601">
        <v>0</v>
      </c>
      <c r="L64" s="601"/>
      <c r="M64" s="601">
        <v>0</v>
      </c>
      <c r="N64" s="601">
        <v>0</v>
      </c>
      <c r="O64" s="601"/>
      <c r="P64" s="601"/>
      <c r="Q64" s="601"/>
      <c r="R64" s="601"/>
      <c r="S64" s="601"/>
      <c r="T64" s="601"/>
      <c r="U64" s="601">
        <v>0</v>
      </c>
      <c r="V64" s="601">
        <v>0</v>
      </c>
      <c r="W64" s="601">
        <v>0</v>
      </c>
      <c r="Y64"/>
    </row>
    <row r="65" spans="1:25" s="149" customFormat="1" ht="16" thickBot="1">
      <c r="A65" s="521"/>
      <c r="B65" s="65" t="s">
        <v>233</v>
      </c>
      <c r="C65" s="211">
        <v>0</v>
      </c>
      <c r="D65" s="211">
        <v>0</v>
      </c>
      <c r="E65" s="518">
        <v>0</v>
      </c>
      <c r="F65" s="211">
        <v>0</v>
      </c>
      <c r="G65" s="211">
        <v>0</v>
      </c>
      <c r="H65" s="211">
        <v>0</v>
      </c>
      <c r="I65" s="211">
        <v>0</v>
      </c>
      <c r="J65" s="211">
        <v>0</v>
      </c>
      <c r="K65" s="211">
        <v>0</v>
      </c>
      <c r="L65" s="211">
        <v>0</v>
      </c>
      <c r="M65" s="211">
        <v>0</v>
      </c>
      <c r="N65" s="211">
        <v>0</v>
      </c>
      <c r="O65" s="211">
        <v>0</v>
      </c>
      <c r="P65" s="211">
        <v>0</v>
      </c>
      <c r="Q65" s="211">
        <v>0</v>
      </c>
      <c r="R65" s="211">
        <v>0</v>
      </c>
      <c r="S65" s="211">
        <v>0</v>
      </c>
      <c r="T65" s="211">
        <v>0</v>
      </c>
      <c r="U65" s="211">
        <v>0</v>
      </c>
      <c r="V65" s="211">
        <v>0</v>
      </c>
      <c r="W65" s="211">
        <v>0</v>
      </c>
      <c r="X65" s="65"/>
      <c r="Y65"/>
    </row>
    <row r="66" spans="1:25" ht="15.5">
      <c r="A66" s="161" t="s">
        <v>157</v>
      </c>
      <c r="B66" s="65" t="s">
        <v>110</v>
      </c>
      <c r="C66" s="601">
        <v>13174</v>
      </c>
      <c r="D66" s="601">
        <v>3714</v>
      </c>
      <c r="E66" s="601">
        <v>13160</v>
      </c>
      <c r="F66" s="601">
        <v>7196</v>
      </c>
      <c r="G66" s="601">
        <v>1685</v>
      </c>
      <c r="H66" s="601">
        <v>2544</v>
      </c>
      <c r="I66" s="601">
        <v>41473</v>
      </c>
      <c r="J66" s="601">
        <v>228</v>
      </c>
      <c r="K66" s="601"/>
      <c r="L66" s="601"/>
      <c r="M66" s="601"/>
      <c r="N66" s="601">
        <v>228</v>
      </c>
      <c r="O66" s="601"/>
      <c r="P66" s="601"/>
      <c r="Q66" s="601"/>
      <c r="R66" s="601"/>
      <c r="S66" s="601"/>
      <c r="T66" s="601"/>
      <c r="U66" s="601"/>
      <c r="V66" s="601"/>
      <c r="W66" s="601">
        <v>41701</v>
      </c>
      <c r="Y66"/>
    </row>
    <row r="67" spans="1:25" ht="16" thickBot="1">
      <c r="B67" s="65" t="s">
        <v>111</v>
      </c>
      <c r="C67" s="601">
        <v>13868</v>
      </c>
      <c r="D67" s="601">
        <v>3934</v>
      </c>
      <c r="E67" s="601">
        <v>13703</v>
      </c>
      <c r="F67" s="601">
        <v>7420</v>
      </c>
      <c r="G67" s="601">
        <v>1823</v>
      </c>
      <c r="H67" s="601">
        <v>2507</v>
      </c>
      <c r="I67" s="601">
        <v>43255</v>
      </c>
      <c r="J67" s="601">
        <v>267</v>
      </c>
      <c r="K67" s="601"/>
      <c r="L67" s="601"/>
      <c r="M67" s="601"/>
      <c r="N67" s="601">
        <v>267</v>
      </c>
      <c r="O67" s="601"/>
      <c r="P67" s="601"/>
      <c r="Q67" s="601"/>
      <c r="R67" s="601"/>
      <c r="S67" s="601"/>
      <c r="T67" s="601"/>
      <c r="U67" s="601"/>
      <c r="V67" s="601"/>
      <c r="W67" s="601">
        <v>43522</v>
      </c>
      <c r="Y67"/>
    </row>
    <row r="68" spans="1:25" s="149" customFormat="1" ht="16" thickBot="1">
      <c r="A68" s="161"/>
      <c r="B68" s="65" t="s">
        <v>112</v>
      </c>
      <c r="C68" s="601">
        <v>5.2679520267192956E-2</v>
      </c>
      <c r="D68" s="601">
        <v>5.9235325794291867E-2</v>
      </c>
      <c r="E68" s="601">
        <v>4.1261398176291791E-2</v>
      </c>
      <c r="F68" s="601">
        <v>3.1128404669260701E-2</v>
      </c>
      <c r="G68" s="601">
        <v>8.189910979228486E-2</v>
      </c>
      <c r="H68" s="687">
        <v>-1.4544025157232705E-2</v>
      </c>
      <c r="I68" s="601">
        <v>4.2967713934366936E-2</v>
      </c>
      <c r="J68" s="687">
        <v>0.17105263157894737</v>
      </c>
      <c r="K68" s="601">
        <v>0</v>
      </c>
      <c r="L68" s="687">
        <v>0</v>
      </c>
      <c r="M68" s="601">
        <v>0</v>
      </c>
      <c r="N68" s="601">
        <v>0.17105263157894737</v>
      </c>
      <c r="O68" s="601">
        <v>0</v>
      </c>
      <c r="P68" s="601">
        <v>0</v>
      </c>
      <c r="Q68" s="601">
        <v>0</v>
      </c>
      <c r="R68" s="601">
        <v>0</v>
      </c>
      <c r="S68" s="601">
        <v>0</v>
      </c>
      <c r="T68" s="601">
        <v>0</v>
      </c>
      <c r="U68" s="601">
        <v>0</v>
      </c>
      <c r="V68" s="601">
        <v>0</v>
      </c>
      <c r="W68" s="601">
        <v>4.3668017553535887E-2</v>
      </c>
      <c r="X68" s="65"/>
      <c r="Y68"/>
    </row>
    <row r="69" spans="1:25" ht="15.5">
      <c r="B69" s="65" t="s">
        <v>222</v>
      </c>
      <c r="C69" s="601">
        <v>0</v>
      </c>
      <c r="D69" s="601">
        <v>0</v>
      </c>
      <c r="E69" s="601">
        <v>0</v>
      </c>
      <c r="F69" s="601">
        <v>0</v>
      </c>
      <c r="G69" s="601">
        <v>0</v>
      </c>
      <c r="H69" s="601">
        <v>0</v>
      </c>
      <c r="I69" s="601">
        <v>0</v>
      </c>
      <c r="J69" s="601">
        <v>0</v>
      </c>
      <c r="K69" s="601"/>
      <c r="L69" s="601"/>
      <c r="M69" s="601"/>
      <c r="N69" s="601">
        <v>0</v>
      </c>
      <c r="O69" s="601">
        <v>0</v>
      </c>
      <c r="P69" s="601"/>
      <c r="Q69" s="601"/>
      <c r="R69" s="601">
        <v>0</v>
      </c>
      <c r="S69" s="601"/>
      <c r="T69" s="601"/>
      <c r="U69" s="601"/>
      <c r="V69" s="601"/>
      <c r="W69" s="601">
        <v>0</v>
      </c>
      <c r="Y69"/>
    </row>
    <row r="70" spans="1:25" ht="16" thickBot="1">
      <c r="B70" s="65" t="s">
        <v>223</v>
      </c>
      <c r="C70" s="601">
        <v>0</v>
      </c>
      <c r="D70" s="601">
        <v>0</v>
      </c>
      <c r="E70" s="601">
        <v>0</v>
      </c>
      <c r="F70" s="601">
        <v>0</v>
      </c>
      <c r="G70" s="601">
        <v>0</v>
      </c>
      <c r="H70" s="601">
        <v>0</v>
      </c>
      <c r="I70" s="601">
        <v>0</v>
      </c>
      <c r="J70" s="601">
        <v>0</v>
      </c>
      <c r="K70" s="601"/>
      <c r="L70" s="601"/>
      <c r="M70" s="601"/>
      <c r="N70" s="601">
        <v>0</v>
      </c>
      <c r="O70" s="601">
        <v>0</v>
      </c>
      <c r="P70" s="601"/>
      <c r="Q70" s="601"/>
      <c r="R70" s="601">
        <v>0</v>
      </c>
      <c r="S70" s="601"/>
      <c r="T70" s="601"/>
      <c r="U70" s="601"/>
      <c r="V70" s="601"/>
      <c r="W70" s="601">
        <v>0</v>
      </c>
      <c r="Y70"/>
    </row>
    <row r="71" spans="1:25" s="149" customFormat="1" ht="16" thickBot="1">
      <c r="A71" s="161"/>
      <c r="B71" s="65" t="s">
        <v>224</v>
      </c>
      <c r="C71" s="601">
        <v>0</v>
      </c>
      <c r="D71" s="601">
        <v>0</v>
      </c>
      <c r="E71" s="601">
        <v>0</v>
      </c>
      <c r="F71" s="601">
        <v>0</v>
      </c>
      <c r="G71" s="601">
        <v>0</v>
      </c>
      <c r="H71" s="687">
        <v>0</v>
      </c>
      <c r="I71" s="601">
        <v>0</v>
      </c>
      <c r="J71" s="601">
        <v>0</v>
      </c>
      <c r="K71" s="601">
        <v>0</v>
      </c>
      <c r="L71" s="687">
        <v>0</v>
      </c>
      <c r="M71" s="601">
        <v>0</v>
      </c>
      <c r="N71" s="601">
        <v>0</v>
      </c>
      <c r="O71" s="601">
        <v>0</v>
      </c>
      <c r="P71" s="601">
        <v>0</v>
      </c>
      <c r="Q71" s="601">
        <v>0</v>
      </c>
      <c r="R71" s="601">
        <v>0</v>
      </c>
      <c r="S71" s="601">
        <v>0</v>
      </c>
      <c r="T71" s="601">
        <v>0</v>
      </c>
      <c r="U71" s="601">
        <v>0</v>
      </c>
      <c r="V71" s="601">
        <v>0</v>
      </c>
      <c r="W71" s="601">
        <v>0</v>
      </c>
      <c r="X71" s="65"/>
      <c r="Y71"/>
    </row>
    <row r="72" spans="1:25" ht="15.5">
      <c r="B72" s="65" t="s">
        <v>225</v>
      </c>
      <c r="C72" s="601">
        <v>0</v>
      </c>
      <c r="D72" s="601">
        <v>0</v>
      </c>
      <c r="E72" s="601">
        <v>0</v>
      </c>
      <c r="F72" s="601">
        <v>0</v>
      </c>
      <c r="G72" s="601">
        <v>0</v>
      </c>
      <c r="H72" s="601">
        <v>0</v>
      </c>
      <c r="I72" s="601">
        <v>0</v>
      </c>
      <c r="J72" s="601">
        <v>0</v>
      </c>
      <c r="K72" s="601"/>
      <c r="L72" s="601"/>
      <c r="M72" s="601"/>
      <c r="N72" s="601">
        <v>0</v>
      </c>
      <c r="O72" s="601">
        <v>0</v>
      </c>
      <c r="P72" s="601"/>
      <c r="Q72" s="601"/>
      <c r="R72" s="601">
        <v>0</v>
      </c>
      <c r="S72" s="601"/>
      <c r="T72" s="601"/>
      <c r="U72" s="601"/>
      <c r="V72" s="601"/>
      <c r="W72" s="601">
        <v>0</v>
      </c>
      <c r="Y72"/>
    </row>
    <row r="73" spans="1:25" ht="15.5">
      <c r="B73" s="65" t="s">
        <v>226</v>
      </c>
      <c r="C73" s="601">
        <v>0</v>
      </c>
      <c r="D73" s="601">
        <v>0</v>
      </c>
      <c r="E73" s="601">
        <v>0</v>
      </c>
      <c r="F73" s="601">
        <v>0</v>
      </c>
      <c r="G73" s="601">
        <v>0</v>
      </c>
      <c r="H73" s="601">
        <v>0</v>
      </c>
      <c r="I73" s="601">
        <v>0</v>
      </c>
      <c r="J73" s="601">
        <v>0</v>
      </c>
      <c r="K73" s="601"/>
      <c r="L73" s="601"/>
      <c r="M73" s="601"/>
      <c r="N73" s="601">
        <v>0</v>
      </c>
      <c r="O73" s="601">
        <v>0</v>
      </c>
      <c r="P73" s="601"/>
      <c r="Q73" s="601"/>
      <c r="R73" s="601">
        <v>0</v>
      </c>
      <c r="S73" s="601"/>
      <c r="T73" s="601"/>
      <c r="U73" s="601"/>
      <c r="V73" s="601"/>
      <c r="W73" s="601">
        <v>0</v>
      </c>
      <c r="Y73"/>
    </row>
    <row r="74" spans="1:25" s="149" customFormat="1" ht="15.5">
      <c r="A74" s="161"/>
      <c r="B74" s="65" t="s">
        <v>227</v>
      </c>
      <c r="C74" s="601">
        <v>0</v>
      </c>
      <c r="D74" s="601">
        <v>0</v>
      </c>
      <c r="E74" s="601">
        <v>0</v>
      </c>
      <c r="F74" s="601">
        <v>0</v>
      </c>
      <c r="G74" s="601">
        <v>0</v>
      </c>
      <c r="H74" s="601">
        <v>0</v>
      </c>
      <c r="I74" s="601">
        <v>0</v>
      </c>
      <c r="J74" s="601">
        <v>0</v>
      </c>
      <c r="K74" s="601">
        <v>0</v>
      </c>
      <c r="L74" s="601">
        <v>0</v>
      </c>
      <c r="M74" s="601">
        <v>0</v>
      </c>
      <c r="N74" s="601">
        <v>0</v>
      </c>
      <c r="O74" s="601">
        <v>0</v>
      </c>
      <c r="P74" s="601">
        <v>0</v>
      </c>
      <c r="Q74" s="601">
        <v>0</v>
      </c>
      <c r="R74" s="601">
        <v>0</v>
      </c>
      <c r="S74" s="601">
        <v>0</v>
      </c>
      <c r="T74" s="601">
        <v>0</v>
      </c>
      <c r="U74" s="601">
        <v>0</v>
      </c>
      <c r="V74" s="601">
        <v>0</v>
      </c>
      <c r="W74" s="601">
        <v>0</v>
      </c>
      <c r="X74" s="65"/>
      <c r="Y74"/>
    </row>
    <row r="75" spans="1:25" ht="15.5">
      <c r="B75" s="65" t="s">
        <v>228</v>
      </c>
      <c r="C75" s="601">
        <v>0</v>
      </c>
      <c r="D75" s="601">
        <v>0</v>
      </c>
      <c r="E75" s="601">
        <v>0</v>
      </c>
      <c r="F75" s="601">
        <v>0</v>
      </c>
      <c r="G75" s="601">
        <v>0</v>
      </c>
      <c r="H75" s="601">
        <v>0</v>
      </c>
      <c r="I75" s="601">
        <v>0</v>
      </c>
      <c r="J75" s="601">
        <v>0</v>
      </c>
      <c r="K75" s="601"/>
      <c r="L75" s="601"/>
      <c r="M75" s="601"/>
      <c r="N75" s="601">
        <v>0</v>
      </c>
      <c r="O75" s="601">
        <v>0</v>
      </c>
      <c r="P75" s="601"/>
      <c r="Q75" s="601"/>
      <c r="R75" s="601">
        <v>0</v>
      </c>
      <c r="S75" s="601"/>
      <c r="T75" s="601"/>
      <c r="U75" s="601"/>
      <c r="V75" s="601"/>
      <c r="W75" s="601">
        <v>0</v>
      </c>
      <c r="Y75"/>
    </row>
    <row r="76" spans="1:25" ht="15.5">
      <c r="B76" s="65" t="s">
        <v>229</v>
      </c>
      <c r="C76" s="601">
        <v>0</v>
      </c>
      <c r="D76" s="601">
        <v>0</v>
      </c>
      <c r="E76" s="601">
        <v>0</v>
      </c>
      <c r="F76" s="601">
        <v>0</v>
      </c>
      <c r="G76" s="601">
        <v>0</v>
      </c>
      <c r="H76" s="601">
        <v>0</v>
      </c>
      <c r="I76" s="601">
        <v>0</v>
      </c>
      <c r="J76" s="601">
        <v>0</v>
      </c>
      <c r="K76" s="601"/>
      <c r="L76" s="601"/>
      <c r="M76" s="601"/>
      <c r="N76" s="601">
        <v>0</v>
      </c>
      <c r="O76" s="601">
        <v>0</v>
      </c>
      <c r="P76" s="601"/>
      <c r="Q76" s="601"/>
      <c r="R76" s="601">
        <v>0</v>
      </c>
      <c r="S76" s="601"/>
      <c r="T76" s="601"/>
      <c r="U76" s="601"/>
      <c r="V76" s="601"/>
      <c r="W76" s="601">
        <v>0</v>
      </c>
      <c r="Y76"/>
    </row>
    <row r="77" spans="1:25" s="149" customFormat="1" ht="15.5">
      <c r="A77" s="161"/>
      <c r="B77" s="65" t="s">
        <v>230</v>
      </c>
      <c r="C77" s="601">
        <v>0</v>
      </c>
      <c r="D77" s="601">
        <v>0</v>
      </c>
      <c r="E77" s="601">
        <v>0</v>
      </c>
      <c r="F77" s="601">
        <v>0</v>
      </c>
      <c r="G77" s="601">
        <v>0</v>
      </c>
      <c r="H77" s="601">
        <v>0</v>
      </c>
      <c r="I77" s="601">
        <v>0</v>
      </c>
      <c r="J77" s="601">
        <v>0</v>
      </c>
      <c r="K77" s="601">
        <v>0</v>
      </c>
      <c r="L77" s="601">
        <v>0</v>
      </c>
      <c r="M77" s="601">
        <v>0</v>
      </c>
      <c r="N77" s="601">
        <v>0</v>
      </c>
      <c r="O77" s="601">
        <v>0</v>
      </c>
      <c r="P77" s="601">
        <v>0</v>
      </c>
      <c r="Q77" s="601">
        <v>0</v>
      </c>
      <c r="R77" s="601">
        <v>0</v>
      </c>
      <c r="S77" s="601">
        <v>0</v>
      </c>
      <c r="T77" s="601">
        <v>0</v>
      </c>
      <c r="U77" s="601">
        <v>0</v>
      </c>
      <c r="V77" s="601">
        <v>0</v>
      </c>
      <c r="W77" s="601">
        <v>0</v>
      </c>
      <c r="X77" s="65"/>
      <c r="Y77"/>
    </row>
    <row r="78" spans="1:25" ht="15.5">
      <c r="B78" s="65" t="s">
        <v>231</v>
      </c>
      <c r="C78" s="601">
        <v>0</v>
      </c>
      <c r="D78" s="601">
        <v>0</v>
      </c>
      <c r="E78" s="601">
        <v>0</v>
      </c>
      <c r="F78" s="601">
        <v>0</v>
      </c>
      <c r="G78" s="601">
        <v>0</v>
      </c>
      <c r="H78" s="601">
        <v>0</v>
      </c>
      <c r="I78" s="601">
        <v>0</v>
      </c>
      <c r="J78" s="601">
        <v>0</v>
      </c>
      <c r="K78" s="601"/>
      <c r="L78" s="601"/>
      <c r="M78" s="601"/>
      <c r="N78" s="601">
        <v>0</v>
      </c>
      <c r="O78" s="601">
        <v>0</v>
      </c>
      <c r="P78" s="601"/>
      <c r="Q78" s="601"/>
      <c r="R78" s="601">
        <v>0</v>
      </c>
      <c r="S78" s="601"/>
      <c r="T78" s="601"/>
      <c r="U78" s="601"/>
      <c r="V78" s="601"/>
      <c r="W78" s="601">
        <v>0</v>
      </c>
      <c r="Y78"/>
    </row>
    <row r="79" spans="1:25" ht="16" thickBot="1">
      <c r="B79" s="65" t="s">
        <v>232</v>
      </c>
      <c r="C79" s="601">
        <v>0</v>
      </c>
      <c r="D79" s="601">
        <v>0</v>
      </c>
      <c r="E79" s="601">
        <v>0</v>
      </c>
      <c r="F79" s="601">
        <v>0</v>
      </c>
      <c r="G79" s="601">
        <v>0</v>
      </c>
      <c r="H79" s="601">
        <v>0</v>
      </c>
      <c r="I79" s="601">
        <v>0</v>
      </c>
      <c r="J79" s="601">
        <v>0</v>
      </c>
      <c r="K79" s="601"/>
      <c r="L79" s="601"/>
      <c r="M79" s="601"/>
      <c r="N79" s="601">
        <v>0</v>
      </c>
      <c r="O79" s="601">
        <v>0</v>
      </c>
      <c r="P79" s="601"/>
      <c r="Q79" s="601"/>
      <c r="R79" s="601">
        <v>0</v>
      </c>
      <c r="S79" s="601"/>
      <c r="T79" s="601"/>
      <c r="U79" s="601"/>
      <c r="V79" s="601"/>
      <c r="W79" s="601">
        <v>0</v>
      </c>
      <c r="Y79"/>
    </row>
    <row r="80" spans="1:25" s="149" customFormat="1" ht="16" thickBot="1">
      <c r="A80" s="521"/>
      <c r="B80" s="65" t="s">
        <v>233</v>
      </c>
      <c r="C80" s="211">
        <v>0</v>
      </c>
      <c r="D80" s="211">
        <v>0</v>
      </c>
      <c r="E80" s="211">
        <v>0</v>
      </c>
      <c r="F80" s="211">
        <v>0</v>
      </c>
      <c r="G80" s="211">
        <v>0</v>
      </c>
      <c r="H80" s="518">
        <v>0</v>
      </c>
      <c r="I80" s="211">
        <v>0</v>
      </c>
      <c r="J80" s="211">
        <v>0</v>
      </c>
      <c r="K80" s="211">
        <v>0</v>
      </c>
      <c r="L80" s="517">
        <v>0</v>
      </c>
      <c r="M80" s="211">
        <v>0</v>
      </c>
      <c r="N80" s="211">
        <v>0</v>
      </c>
      <c r="O80" s="211">
        <v>0</v>
      </c>
      <c r="P80" s="211">
        <v>0</v>
      </c>
      <c r="Q80" s="211">
        <v>0</v>
      </c>
      <c r="R80" s="211">
        <v>0</v>
      </c>
      <c r="S80" s="211">
        <v>0</v>
      </c>
      <c r="T80" s="211">
        <v>0</v>
      </c>
      <c r="U80" s="211">
        <v>0</v>
      </c>
      <c r="V80" s="211">
        <v>0</v>
      </c>
      <c r="W80" s="211">
        <v>0</v>
      </c>
      <c r="X80" s="65"/>
      <c r="Y80"/>
    </row>
    <row r="81" spans="1:25" ht="15.5">
      <c r="A81" s="161" t="s">
        <v>158</v>
      </c>
      <c r="B81" s="65" t="s">
        <v>110</v>
      </c>
      <c r="C81" s="601">
        <v>8154</v>
      </c>
      <c r="D81" s="601"/>
      <c r="E81" s="601">
        <v>10645</v>
      </c>
      <c r="F81" s="601">
        <v>212</v>
      </c>
      <c r="G81" s="601"/>
      <c r="H81" s="601"/>
      <c r="I81" s="601">
        <v>19011</v>
      </c>
      <c r="J81" s="601"/>
      <c r="K81" s="601"/>
      <c r="L81" s="601"/>
      <c r="M81" s="601"/>
      <c r="N81" s="601"/>
      <c r="O81" s="601"/>
      <c r="P81" s="601"/>
      <c r="Q81" s="601"/>
      <c r="R81" s="601"/>
      <c r="S81" s="601"/>
      <c r="T81" s="601"/>
      <c r="U81" s="601"/>
      <c r="V81" s="601"/>
      <c r="W81" s="601">
        <v>19011</v>
      </c>
      <c r="Y81"/>
    </row>
    <row r="82" spans="1:25" ht="15.5">
      <c r="B82" s="65" t="s">
        <v>111</v>
      </c>
      <c r="C82" s="601">
        <v>8314</v>
      </c>
      <c r="D82" s="601"/>
      <c r="E82" s="601">
        <v>10696</v>
      </c>
      <c r="F82" s="601">
        <v>137</v>
      </c>
      <c r="G82" s="601"/>
      <c r="H82" s="601"/>
      <c r="I82" s="601">
        <v>19147</v>
      </c>
      <c r="J82" s="601"/>
      <c r="K82" s="601"/>
      <c r="L82" s="601"/>
      <c r="M82" s="601"/>
      <c r="N82" s="601"/>
      <c r="O82" s="601"/>
      <c r="P82" s="601"/>
      <c r="Q82" s="601"/>
      <c r="R82" s="601"/>
      <c r="S82" s="601"/>
      <c r="T82" s="601"/>
      <c r="U82" s="601"/>
      <c r="V82" s="601"/>
      <c r="W82" s="601">
        <v>19147</v>
      </c>
      <c r="Y82"/>
    </row>
    <row r="83" spans="1:25" s="149" customFormat="1" ht="15.5">
      <c r="A83" s="161"/>
      <c r="B83" s="65" t="s">
        <v>112</v>
      </c>
      <c r="C83" s="601">
        <v>1.9622271277900418E-2</v>
      </c>
      <c r="D83" s="601">
        <v>0</v>
      </c>
      <c r="E83" s="601">
        <v>4.7909816815406292E-3</v>
      </c>
      <c r="F83" s="601">
        <v>-0.35377358490566035</v>
      </c>
      <c r="G83" s="601">
        <v>0</v>
      </c>
      <c r="H83" s="601">
        <v>0</v>
      </c>
      <c r="I83" s="601">
        <v>7.1537530903161327E-3</v>
      </c>
      <c r="J83" s="601">
        <v>0</v>
      </c>
      <c r="K83" s="601">
        <v>0</v>
      </c>
      <c r="L83" s="601">
        <v>0</v>
      </c>
      <c r="M83" s="601">
        <v>0</v>
      </c>
      <c r="N83" s="601">
        <v>0</v>
      </c>
      <c r="O83" s="601">
        <v>0</v>
      </c>
      <c r="P83" s="601">
        <v>0</v>
      </c>
      <c r="Q83" s="601">
        <v>0</v>
      </c>
      <c r="R83" s="601">
        <v>0</v>
      </c>
      <c r="S83" s="601">
        <v>0</v>
      </c>
      <c r="T83" s="601">
        <v>0</v>
      </c>
      <c r="U83" s="601">
        <v>0</v>
      </c>
      <c r="V83" s="601">
        <v>0</v>
      </c>
      <c r="W83" s="601">
        <v>7.1537530903161327E-3</v>
      </c>
      <c r="X83" s="65"/>
      <c r="Y83"/>
    </row>
    <row r="84" spans="1:25" ht="15.5">
      <c r="B84" s="65" t="s">
        <v>222</v>
      </c>
      <c r="C84" s="601">
        <v>0</v>
      </c>
      <c r="D84" s="601"/>
      <c r="E84" s="601">
        <v>0</v>
      </c>
      <c r="F84" s="601">
        <v>0</v>
      </c>
      <c r="G84" s="601"/>
      <c r="H84" s="601"/>
      <c r="I84" s="601">
        <v>0</v>
      </c>
      <c r="J84" s="601"/>
      <c r="K84" s="601">
        <v>0</v>
      </c>
      <c r="L84" s="601">
        <v>0</v>
      </c>
      <c r="M84" s="601">
        <v>0</v>
      </c>
      <c r="N84" s="601">
        <v>0</v>
      </c>
      <c r="O84" s="601">
        <v>0</v>
      </c>
      <c r="P84" s="601"/>
      <c r="Q84" s="601"/>
      <c r="R84" s="601">
        <v>0</v>
      </c>
      <c r="S84" s="601"/>
      <c r="T84" s="601"/>
      <c r="U84" s="601"/>
      <c r="V84" s="601"/>
      <c r="W84" s="601">
        <v>0</v>
      </c>
      <c r="Y84"/>
    </row>
    <row r="85" spans="1:25" ht="15.5">
      <c r="B85" s="65" t="s">
        <v>223</v>
      </c>
      <c r="C85" s="601">
        <v>0</v>
      </c>
      <c r="D85" s="601"/>
      <c r="E85" s="601">
        <v>0</v>
      </c>
      <c r="F85" s="601">
        <v>0</v>
      </c>
      <c r="G85" s="601"/>
      <c r="H85" s="601"/>
      <c r="I85" s="601">
        <v>0</v>
      </c>
      <c r="J85" s="601"/>
      <c r="K85" s="601">
        <v>0</v>
      </c>
      <c r="L85" s="601">
        <v>0</v>
      </c>
      <c r="M85" s="601">
        <v>0</v>
      </c>
      <c r="N85" s="601">
        <v>0</v>
      </c>
      <c r="O85" s="601">
        <v>0</v>
      </c>
      <c r="P85" s="601"/>
      <c r="Q85" s="601"/>
      <c r="R85" s="601">
        <v>0</v>
      </c>
      <c r="S85" s="601"/>
      <c r="T85" s="601"/>
      <c r="U85" s="601"/>
      <c r="V85" s="601"/>
      <c r="W85" s="601">
        <v>0</v>
      </c>
      <c r="Y85"/>
    </row>
    <row r="86" spans="1:25" s="149" customFormat="1" ht="15.5">
      <c r="A86" s="161"/>
      <c r="B86" s="65" t="s">
        <v>224</v>
      </c>
      <c r="C86" s="601">
        <v>0</v>
      </c>
      <c r="D86" s="601">
        <v>0</v>
      </c>
      <c r="E86" s="601">
        <v>0</v>
      </c>
      <c r="F86" s="601">
        <v>0</v>
      </c>
      <c r="G86" s="601">
        <v>0</v>
      </c>
      <c r="H86" s="601">
        <v>0</v>
      </c>
      <c r="I86" s="601">
        <v>0</v>
      </c>
      <c r="J86" s="601">
        <v>0</v>
      </c>
      <c r="K86" s="601">
        <v>0</v>
      </c>
      <c r="L86" s="601">
        <v>0</v>
      </c>
      <c r="M86" s="601">
        <v>0</v>
      </c>
      <c r="N86" s="601">
        <v>0</v>
      </c>
      <c r="O86" s="601">
        <v>0</v>
      </c>
      <c r="P86" s="601">
        <v>0</v>
      </c>
      <c r="Q86" s="601">
        <v>0</v>
      </c>
      <c r="R86" s="601">
        <v>0</v>
      </c>
      <c r="S86" s="601">
        <v>0</v>
      </c>
      <c r="T86" s="601">
        <v>0</v>
      </c>
      <c r="U86" s="601">
        <v>0</v>
      </c>
      <c r="V86" s="601">
        <v>0</v>
      </c>
      <c r="W86" s="601">
        <v>0</v>
      </c>
      <c r="X86" s="65"/>
      <c r="Y86"/>
    </row>
    <row r="87" spans="1:25" ht="15.5">
      <c r="B87" s="65" t="s">
        <v>225</v>
      </c>
      <c r="C87" s="601">
        <v>0</v>
      </c>
      <c r="D87" s="601"/>
      <c r="E87" s="601">
        <v>0</v>
      </c>
      <c r="F87" s="601">
        <v>0</v>
      </c>
      <c r="G87" s="601"/>
      <c r="H87" s="601"/>
      <c r="I87" s="601">
        <v>0</v>
      </c>
      <c r="J87" s="601"/>
      <c r="K87" s="601">
        <v>0</v>
      </c>
      <c r="L87" s="601">
        <v>0</v>
      </c>
      <c r="M87" s="601">
        <v>0</v>
      </c>
      <c r="N87" s="601">
        <v>0</v>
      </c>
      <c r="O87" s="601">
        <v>0</v>
      </c>
      <c r="P87" s="601"/>
      <c r="Q87" s="601"/>
      <c r="R87" s="601">
        <v>0</v>
      </c>
      <c r="S87" s="601"/>
      <c r="T87" s="601"/>
      <c r="U87" s="601"/>
      <c r="V87" s="601"/>
      <c r="W87" s="601">
        <v>0</v>
      </c>
      <c r="Y87"/>
    </row>
    <row r="88" spans="1:25" ht="15.5">
      <c r="B88" s="65" t="s">
        <v>226</v>
      </c>
      <c r="C88" s="601">
        <v>0</v>
      </c>
      <c r="D88" s="601"/>
      <c r="E88" s="601">
        <v>0</v>
      </c>
      <c r="F88" s="601">
        <v>0</v>
      </c>
      <c r="G88" s="601"/>
      <c r="H88" s="601"/>
      <c r="I88" s="601">
        <v>0</v>
      </c>
      <c r="J88" s="601"/>
      <c r="K88" s="601">
        <v>0</v>
      </c>
      <c r="L88" s="601">
        <v>0</v>
      </c>
      <c r="M88" s="601">
        <v>0</v>
      </c>
      <c r="N88" s="601">
        <v>0</v>
      </c>
      <c r="O88" s="601">
        <v>0</v>
      </c>
      <c r="P88" s="601"/>
      <c r="Q88" s="601"/>
      <c r="R88" s="601">
        <v>0</v>
      </c>
      <c r="S88" s="601"/>
      <c r="T88" s="601"/>
      <c r="U88" s="601"/>
      <c r="V88" s="601"/>
      <c r="W88" s="601">
        <v>0</v>
      </c>
      <c r="Y88"/>
    </row>
    <row r="89" spans="1:25" s="149" customFormat="1" ht="15.5">
      <c r="A89" s="161"/>
      <c r="B89" s="65" t="s">
        <v>227</v>
      </c>
      <c r="C89" s="601">
        <v>0</v>
      </c>
      <c r="D89" s="601">
        <v>0</v>
      </c>
      <c r="E89" s="601">
        <v>0</v>
      </c>
      <c r="F89" s="601">
        <v>0</v>
      </c>
      <c r="G89" s="601">
        <v>0</v>
      </c>
      <c r="H89" s="601">
        <v>0</v>
      </c>
      <c r="I89" s="601">
        <v>0</v>
      </c>
      <c r="J89" s="601">
        <v>0</v>
      </c>
      <c r="K89" s="601">
        <v>0</v>
      </c>
      <c r="L89" s="601">
        <v>0</v>
      </c>
      <c r="M89" s="601">
        <v>0</v>
      </c>
      <c r="N89" s="601">
        <v>0</v>
      </c>
      <c r="O89" s="601">
        <v>0</v>
      </c>
      <c r="P89" s="601">
        <v>0</v>
      </c>
      <c r="Q89" s="601">
        <v>0</v>
      </c>
      <c r="R89" s="601">
        <v>0</v>
      </c>
      <c r="S89" s="601">
        <v>0</v>
      </c>
      <c r="T89" s="601">
        <v>0</v>
      </c>
      <c r="U89" s="601">
        <v>0</v>
      </c>
      <c r="V89" s="601">
        <v>0</v>
      </c>
      <c r="W89" s="601">
        <v>0</v>
      </c>
      <c r="X89" s="65"/>
      <c r="Y89"/>
    </row>
    <row r="90" spans="1:25" ht="15.5">
      <c r="B90" s="65" t="s">
        <v>228</v>
      </c>
      <c r="C90" s="601">
        <v>0</v>
      </c>
      <c r="D90" s="601"/>
      <c r="E90" s="601">
        <v>0</v>
      </c>
      <c r="F90" s="601">
        <v>0</v>
      </c>
      <c r="G90" s="601"/>
      <c r="H90" s="601"/>
      <c r="I90" s="601">
        <v>0</v>
      </c>
      <c r="J90" s="601"/>
      <c r="K90" s="601">
        <v>0</v>
      </c>
      <c r="L90" s="601">
        <v>0</v>
      </c>
      <c r="M90" s="601">
        <v>0</v>
      </c>
      <c r="N90" s="601">
        <v>0</v>
      </c>
      <c r="O90" s="601">
        <v>0</v>
      </c>
      <c r="P90" s="601"/>
      <c r="Q90" s="601"/>
      <c r="R90" s="601">
        <v>0</v>
      </c>
      <c r="S90" s="601"/>
      <c r="T90" s="601"/>
      <c r="U90" s="601"/>
      <c r="V90" s="601"/>
      <c r="W90" s="601">
        <v>0</v>
      </c>
      <c r="Y90"/>
    </row>
    <row r="91" spans="1:25" ht="15.5">
      <c r="B91" s="65" t="s">
        <v>229</v>
      </c>
      <c r="C91" s="601">
        <v>0</v>
      </c>
      <c r="D91" s="601"/>
      <c r="E91" s="601">
        <v>0</v>
      </c>
      <c r="F91" s="601">
        <v>0</v>
      </c>
      <c r="G91" s="601"/>
      <c r="H91" s="601"/>
      <c r="I91" s="601">
        <v>0</v>
      </c>
      <c r="J91" s="601"/>
      <c r="K91" s="601">
        <v>0</v>
      </c>
      <c r="L91" s="601">
        <v>0</v>
      </c>
      <c r="M91" s="601">
        <v>0</v>
      </c>
      <c r="N91" s="601">
        <v>0</v>
      </c>
      <c r="O91" s="601">
        <v>0</v>
      </c>
      <c r="P91" s="601"/>
      <c r="Q91" s="601"/>
      <c r="R91" s="601">
        <v>0</v>
      </c>
      <c r="S91" s="601"/>
      <c r="T91" s="601"/>
      <c r="U91" s="601"/>
      <c r="V91" s="601"/>
      <c r="W91" s="601">
        <v>0</v>
      </c>
      <c r="Y91"/>
    </row>
    <row r="92" spans="1:25" s="149" customFormat="1" ht="15.5">
      <c r="A92" s="161"/>
      <c r="B92" s="65" t="s">
        <v>230</v>
      </c>
      <c r="C92" s="601">
        <v>0</v>
      </c>
      <c r="D92" s="601">
        <v>0</v>
      </c>
      <c r="E92" s="601">
        <v>0</v>
      </c>
      <c r="F92" s="601">
        <v>0</v>
      </c>
      <c r="G92" s="601">
        <v>0</v>
      </c>
      <c r="H92" s="601">
        <v>0</v>
      </c>
      <c r="I92" s="601">
        <v>0</v>
      </c>
      <c r="J92" s="601">
        <v>0</v>
      </c>
      <c r="K92" s="601">
        <v>0</v>
      </c>
      <c r="L92" s="601">
        <v>0</v>
      </c>
      <c r="M92" s="601">
        <v>0</v>
      </c>
      <c r="N92" s="601">
        <v>0</v>
      </c>
      <c r="O92" s="601">
        <v>0</v>
      </c>
      <c r="P92" s="601">
        <v>0</v>
      </c>
      <c r="Q92" s="601">
        <v>0</v>
      </c>
      <c r="R92" s="601">
        <v>0</v>
      </c>
      <c r="S92" s="601">
        <v>0</v>
      </c>
      <c r="T92" s="601">
        <v>0</v>
      </c>
      <c r="U92" s="601">
        <v>0</v>
      </c>
      <c r="V92" s="601">
        <v>0</v>
      </c>
      <c r="W92" s="601">
        <v>0</v>
      </c>
      <c r="X92" s="65"/>
      <c r="Y92"/>
    </row>
    <row r="93" spans="1:25" ht="15.5">
      <c r="B93" s="65" t="s">
        <v>231</v>
      </c>
      <c r="C93" s="601">
        <v>0</v>
      </c>
      <c r="D93" s="601"/>
      <c r="E93" s="601">
        <v>0</v>
      </c>
      <c r="F93" s="601">
        <v>0</v>
      </c>
      <c r="G93" s="601"/>
      <c r="H93" s="601"/>
      <c r="I93" s="601">
        <v>0</v>
      </c>
      <c r="J93" s="601"/>
      <c r="K93" s="601">
        <v>0</v>
      </c>
      <c r="L93" s="601">
        <v>0</v>
      </c>
      <c r="M93" s="601">
        <v>0</v>
      </c>
      <c r="N93" s="601">
        <v>0</v>
      </c>
      <c r="O93" s="601">
        <v>0</v>
      </c>
      <c r="P93" s="601"/>
      <c r="Q93" s="601"/>
      <c r="R93" s="601">
        <v>0</v>
      </c>
      <c r="S93" s="601"/>
      <c r="T93" s="601"/>
      <c r="U93" s="601"/>
      <c r="V93" s="601"/>
      <c r="W93" s="601">
        <v>0</v>
      </c>
      <c r="Y93"/>
    </row>
    <row r="94" spans="1:25" ht="15.5">
      <c r="B94" s="65" t="s">
        <v>232</v>
      </c>
      <c r="C94" s="601">
        <v>0</v>
      </c>
      <c r="D94" s="601"/>
      <c r="E94" s="601">
        <v>0</v>
      </c>
      <c r="F94" s="601">
        <v>0</v>
      </c>
      <c r="G94" s="601"/>
      <c r="H94" s="601"/>
      <c r="I94" s="601">
        <v>0</v>
      </c>
      <c r="J94" s="601"/>
      <c r="K94" s="601">
        <v>0</v>
      </c>
      <c r="L94" s="601">
        <v>0</v>
      </c>
      <c r="M94" s="601">
        <v>0</v>
      </c>
      <c r="N94" s="601">
        <v>0</v>
      </c>
      <c r="O94" s="601">
        <v>0</v>
      </c>
      <c r="P94" s="601"/>
      <c r="Q94" s="601"/>
      <c r="R94" s="601">
        <v>0</v>
      </c>
      <c r="S94" s="601"/>
      <c r="T94" s="601"/>
      <c r="U94" s="601"/>
      <c r="V94" s="601"/>
      <c r="W94" s="601">
        <v>0</v>
      </c>
      <c r="Y94"/>
    </row>
    <row r="95" spans="1:25" s="149" customFormat="1" ht="15.5">
      <c r="A95" s="521"/>
      <c r="B95" s="65" t="s">
        <v>233</v>
      </c>
      <c r="C95" s="211">
        <v>0</v>
      </c>
      <c r="D95" s="211">
        <v>0</v>
      </c>
      <c r="E95" s="211">
        <v>0</v>
      </c>
      <c r="F95" s="522">
        <v>0</v>
      </c>
      <c r="G95" s="211">
        <v>0</v>
      </c>
      <c r="H95" s="211">
        <v>0</v>
      </c>
      <c r="I95" s="211">
        <v>0</v>
      </c>
      <c r="J95" s="211">
        <v>0</v>
      </c>
      <c r="K95" s="211">
        <v>0</v>
      </c>
      <c r="L95" s="211">
        <v>0</v>
      </c>
      <c r="M95" s="211">
        <v>0</v>
      </c>
      <c r="N95" s="211">
        <v>0</v>
      </c>
      <c r="O95" s="211">
        <v>0</v>
      </c>
      <c r="P95" s="211">
        <v>0</v>
      </c>
      <c r="Q95" s="211">
        <v>0</v>
      </c>
      <c r="R95" s="211">
        <v>0</v>
      </c>
      <c r="S95" s="211">
        <v>0</v>
      </c>
      <c r="T95" s="211">
        <v>0</v>
      </c>
      <c r="U95" s="211">
        <v>0</v>
      </c>
      <c r="V95" s="211">
        <v>0</v>
      </c>
      <c r="W95" s="211">
        <v>0</v>
      </c>
      <c r="X95" s="65"/>
      <c r="Y95"/>
    </row>
    <row r="96" spans="1:25" ht="15.5">
      <c r="A96" s="161" t="s">
        <v>159</v>
      </c>
      <c r="B96" s="65" t="s">
        <v>110</v>
      </c>
      <c r="C96" s="601">
        <v>5097</v>
      </c>
      <c r="D96" s="601">
        <v>5470</v>
      </c>
      <c r="E96" s="601">
        <v>4761</v>
      </c>
      <c r="F96" s="601">
        <v>3185</v>
      </c>
      <c r="G96" s="601">
        <v>288</v>
      </c>
      <c r="H96" s="601">
        <v>390</v>
      </c>
      <c r="I96" s="601">
        <v>19191</v>
      </c>
      <c r="J96" s="601"/>
      <c r="K96" s="601"/>
      <c r="L96" s="601"/>
      <c r="M96" s="601"/>
      <c r="N96" s="601"/>
      <c r="O96" s="601"/>
      <c r="P96" s="601"/>
      <c r="Q96" s="601"/>
      <c r="R96" s="601"/>
      <c r="S96" s="601">
        <v>341</v>
      </c>
      <c r="T96" s="601">
        <v>341</v>
      </c>
      <c r="U96" s="601"/>
      <c r="V96" s="601"/>
      <c r="W96" s="601">
        <v>19532</v>
      </c>
      <c r="Y96"/>
    </row>
    <row r="97" spans="1:25" ht="15.5">
      <c r="B97" s="65" t="s">
        <v>111</v>
      </c>
      <c r="C97" s="601">
        <v>4971</v>
      </c>
      <c r="D97" s="601">
        <v>5540</v>
      </c>
      <c r="E97" s="601">
        <v>4776</v>
      </c>
      <c r="F97" s="601">
        <v>3218</v>
      </c>
      <c r="G97" s="601">
        <v>263</v>
      </c>
      <c r="H97" s="601">
        <v>443</v>
      </c>
      <c r="I97" s="601">
        <v>19211</v>
      </c>
      <c r="J97" s="601"/>
      <c r="K97" s="601"/>
      <c r="L97" s="601"/>
      <c r="M97" s="601"/>
      <c r="N97" s="601"/>
      <c r="O97" s="601"/>
      <c r="P97" s="601"/>
      <c r="Q97" s="601"/>
      <c r="R97" s="601"/>
      <c r="S97" s="601">
        <v>346</v>
      </c>
      <c r="T97" s="601">
        <v>346</v>
      </c>
      <c r="U97" s="601"/>
      <c r="V97" s="601"/>
      <c r="W97" s="601">
        <v>19557</v>
      </c>
      <c r="Y97"/>
    </row>
    <row r="98" spans="1:25" s="149" customFormat="1" ht="15.5">
      <c r="A98" s="161"/>
      <c r="B98" s="65" t="s">
        <v>112</v>
      </c>
      <c r="C98" s="601">
        <v>-2.4720423778693348E-2</v>
      </c>
      <c r="D98" s="601">
        <v>1.2797074954296161E-2</v>
      </c>
      <c r="E98" s="601">
        <v>3.1505986137366098E-3</v>
      </c>
      <c r="F98" s="601">
        <v>1.0361067503924647E-2</v>
      </c>
      <c r="G98" s="601">
        <v>-8.6805555555555552E-2</v>
      </c>
      <c r="H98" s="601">
        <v>0.13589743589743589</v>
      </c>
      <c r="I98" s="601">
        <v>1.0421551769058412E-3</v>
      </c>
      <c r="J98" s="601">
        <v>0</v>
      </c>
      <c r="K98" s="601">
        <v>0</v>
      </c>
      <c r="L98" s="601">
        <v>0</v>
      </c>
      <c r="M98" s="601">
        <v>0</v>
      </c>
      <c r="N98" s="601">
        <v>0</v>
      </c>
      <c r="O98" s="601">
        <v>0</v>
      </c>
      <c r="P98" s="601">
        <v>0</v>
      </c>
      <c r="Q98" s="601">
        <v>0</v>
      </c>
      <c r="R98" s="601">
        <v>0</v>
      </c>
      <c r="S98" s="601">
        <v>1.466275659824047E-2</v>
      </c>
      <c r="T98" s="601">
        <v>1.466275659824047E-2</v>
      </c>
      <c r="U98" s="601">
        <v>0</v>
      </c>
      <c r="V98" s="601">
        <v>0</v>
      </c>
      <c r="W98" s="601">
        <v>1.2799508498873642E-3</v>
      </c>
      <c r="X98" s="65"/>
      <c r="Y98"/>
    </row>
    <row r="99" spans="1:25" ht="15.5">
      <c r="B99" s="65" t="s">
        <v>222</v>
      </c>
      <c r="C99" s="601">
        <v>0</v>
      </c>
      <c r="D99" s="601">
        <v>0</v>
      </c>
      <c r="E99" s="601">
        <v>0</v>
      </c>
      <c r="F99" s="601">
        <v>0</v>
      </c>
      <c r="G99" s="601">
        <v>0</v>
      </c>
      <c r="H99" s="601">
        <v>0</v>
      </c>
      <c r="I99" s="601">
        <v>0</v>
      </c>
      <c r="J99" s="601"/>
      <c r="K99" s="601">
        <v>0</v>
      </c>
      <c r="L99" s="601">
        <v>0</v>
      </c>
      <c r="M99" s="601">
        <v>0</v>
      </c>
      <c r="N99" s="601">
        <v>0</v>
      </c>
      <c r="O99" s="601">
        <v>0</v>
      </c>
      <c r="P99" s="601">
        <v>0</v>
      </c>
      <c r="Q99" s="601"/>
      <c r="R99" s="601">
        <v>0</v>
      </c>
      <c r="S99" s="601">
        <v>0</v>
      </c>
      <c r="T99" s="601">
        <v>0</v>
      </c>
      <c r="U99" s="601"/>
      <c r="V99" s="601"/>
      <c r="W99" s="601">
        <v>0</v>
      </c>
      <c r="Y99"/>
    </row>
    <row r="100" spans="1:25" ht="15.5">
      <c r="B100" s="65" t="s">
        <v>223</v>
      </c>
      <c r="C100" s="601">
        <v>0</v>
      </c>
      <c r="D100" s="601">
        <v>0</v>
      </c>
      <c r="E100" s="601">
        <v>0</v>
      </c>
      <c r="F100" s="601">
        <v>0</v>
      </c>
      <c r="G100" s="601">
        <v>0</v>
      </c>
      <c r="H100" s="601">
        <v>0</v>
      </c>
      <c r="I100" s="601">
        <v>0</v>
      </c>
      <c r="J100" s="601"/>
      <c r="K100" s="601">
        <v>0</v>
      </c>
      <c r="L100" s="601">
        <v>0</v>
      </c>
      <c r="M100" s="601">
        <v>0</v>
      </c>
      <c r="N100" s="601">
        <v>0</v>
      </c>
      <c r="O100" s="601">
        <v>0</v>
      </c>
      <c r="P100" s="601">
        <v>0</v>
      </c>
      <c r="Q100" s="601"/>
      <c r="R100" s="601">
        <v>0</v>
      </c>
      <c r="S100" s="601">
        <v>0</v>
      </c>
      <c r="T100" s="601">
        <v>0</v>
      </c>
      <c r="U100" s="601"/>
      <c r="V100" s="601"/>
      <c r="W100" s="601">
        <v>0</v>
      </c>
      <c r="Y100"/>
    </row>
    <row r="101" spans="1:25" s="149" customFormat="1" ht="15.5">
      <c r="A101" s="161"/>
      <c r="B101" s="65" t="s">
        <v>224</v>
      </c>
      <c r="C101" s="601">
        <v>0</v>
      </c>
      <c r="D101" s="601">
        <v>0</v>
      </c>
      <c r="E101" s="601">
        <v>0</v>
      </c>
      <c r="F101" s="601">
        <v>0</v>
      </c>
      <c r="G101" s="601">
        <v>0</v>
      </c>
      <c r="H101" s="601">
        <v>0</v>
      </c>
      <c r="I101" s="601">
        <v>0</v>
      </c>
      <c r="J101" s="601">
        <v>0</v>
      </c>
      <c r="K101" s="601">
        <v>0</v>
      </c>
      <c r="L101" s="601">
        <v>0</v>
      </c>
      <c r="M101" s="601">
        <v>0</v>
      </c>
      <c r="N101" s="601">
        <v>0</v>
      </c>
      <c r="O101" s="601">
        <v>0</v>
      </c>
      <c r="P101" s="601">
        <v>0</v>
      </c>
      <c r="Q101" s="601">
        <v>0</v>
      </c>
      <c r="R101" s="601">
        <v>0</v>
      </c>
      <c r="S101" s="601">
        <v>0</v>
      </c>
      <c r="T101" s="601">
        <v>0</v>
      </c>
      <c r="U101" s="601">
        <v>0</v>
      </c>
      <c r="V101" s="601">
        <v>0</v>
      </c>
      <c r="W101" s="601">
        <v>0</v>
      </c>
      <c r="X101" s="65"/>
      <c r="Y101"/>
    </row>
    <row r="102" spans="1:25" ht="15.5">
      <c r="B102" s="65" t="s">
        <v>225</v>
      </c>
      <c r="C102" s="601">
        <v>0</v>
      </c>
      <c r="D102" s="601">
        <v>0</v>
      </c>
      <c r="E102" s="601">
        <v>0</v>
      </c>
      <c r="F102" s="601">
        <v>0</v>
      </c>
      <c r="G102" s="601">
        <v>0</v>
      </c>
      <c r="H102" s="601">
        <v>0</v>
      </c>
      <c r="I102" s="601">
        <v>0</v>
      </c>
      <c r="J102" s="601"/>
      <c r="K102" s="601">
        <v>0</v>
      </c>
      <c r="L102" s="601">
        <v>0</v>
      </c>
      <c r="M102" s="601">
        <v>0</v>
      </c>
      <c r="N102" s="601">
        <v>0</v>
      </c>
      <c r="O102" s="601">
        <v>0</v>
      </c>
      <c r="P102" s="601">
        <v>0</v>
      </c>
      <c r="Q102" s="601"/>
      <c r="R102" s="601">
        <v>0</v>
      </c>
      <c r="S102" s="601">
        <v>0</v>
      </c>
      <c r="T102" s="601">
        <v>0</v>
      </c>
      <c r="U102" s="601"/>
      <c r="V102" s="601"/>
      <c r="W102" s="601">
        <v>0</v>
      </c>
      <c r="Y102"/>
    </row>
    <row r="103" spans="1:25" ht="15.5">
      <c r="B103" s="65" t="s">
        <v>226</v>
      </c>
      <c r="C103" s="601">
        <v>0</v>
      </c>
      <c r="D103" s="601">
        <v>0</v>
      </c>
      <c r="E103" s="601">
        <v>0</v>
      </c>
      <c r="F103" s="601">
        <v>0</v>
      </c>
      <c r="G103" s="601">
        <v>0</v>
      </c>
      <c r="H103" s="601">
        <v>0</v>
      </c>
      <c r="I103" s="601">
        <v>0</v>
      </c>
      <c r="J103" s="601"/>
      <c r="K103" s="601">
        <v>0</v>
      </c>
      <c r="L103" s="601">
        <v>0</v>
      </c>
      <c r="M103" s="601">
        <v>0</v>
      </c>
      <c r="N103" s="601">
        <v>0</v>
      </c>
      <c r="O103" s="601">
        <v>0</v>
      </c>
      <c r="P103" s="601">
        <v>0</v>
      </c>
      <c r="Q103" s="601"/>
      <c r="R103" s="601">
        <v>0</v>
      </c>
      <c r="S103" s="601">
        <v>0</v>
      </c>
      <c r="T103" s="601">
        <v>0</v>
      </c>
      <c r="U103" s="601"/>
      <c r="V103" s="601"/>
      <c r="W103" s="601">
        <v>0</v>
      </c>
      <c r="Y103"/>
    </row>
    <row r="104" spans="1:25" s="149" customFormat="1" ht="15.5">
      <c r="A104" s="161"/>
      <c r="B104" s="65" t="s">
        <v>227</v>
      </c>
      <c r="C104" s="601">
        <v>0</v>
      </c>
      <c r="D104" s="601">
        <v>0</v>
      </c>
      <c r="E104" s="601">
        <v>0</v>
      </c>
      <c r="F104" s="601">
        <v>0</v>
      </c>
      <c r="G104" s="601">
        <v>0</v>
      </c>
      <c r="H104" s="601">
        <v>0</v>
      </c>
      <c r="I104" s="601">
        <v>0</v>
      </c>
      <c r="J104" s="601">
        <v>0</v>
      </c>
      <c r="K104" s="601">
        <v>0</v>
      </c>
      <c r="L104" s="601">
        <v>0</v>
      </c>
      <c r="M104" s="601">
        <v>0</v>
      </c>
      <c r="N104" s="601">
        <v>0</v>
      </c>
      <c r="O104" s="601">
        <v>0</v>
      </c>
      <c r="P104" s="601">
        <v>0</v>
      </c>
      <c r="Q104" s="601">
        <v>0</v>
      </c>
      <c r="R104" s="601">
        <v>0</v>
      </c>
      <c r="S104" s="601">
        <v>0</v>
      </c>
      <c r="T104" s="601">
        <v>0</v>
      </c>
      <c r="U104" s="601">
        <v>0</v>
      </c>
      <c r="V104" s="601">
        <v>0</v>
      </c>
      <c r="W104" s="601">
        <v>0</v>
      </c>
      <c r="X104" s="65"/>
      <c r="Y104"/>
    </row>
    <row r="105" spans="1:25" ht="15.5">
      <c r="B105" s="65" t="s">
        <v>228</v>
      </c>
      <c r="C105" s="601">
        <v>0</v>
      </c>
      <c r="D105" s="601">
        <v>0</v>
      </c>
      <c r="E105" s="601">
        <v>0</v>
      </c>
      <c r="F105" s="601">
        <v>0</v>
      </c>
      <c r="G105" s="601">
        <v>0</v>
      </c>
      <c r="H105" s="601">
        <v>0</v>
      </c>
      <c r="I105" s="601">
        <v>0</v>
      </c>
      <c r="J105" s="601"/>
      <c r="K105" s="601">
        <v>0</v>
      </c>
      <c r="L105" s="601">
        <v>0</v>
      </c>
      <c r="M105" s="601">
        <v>0</v>
      </c>
      <c r="N105" s="601">
        <v>0</v>
      </c>
      <c r="O105" s="601">
        <v>0</v>
      </c>
      <c r="P105" s="601">
        <v>0</v>
      </c>
      <c r="Q105" s="601"/>
      <c r="R105" s="601">
        <v>0</v>
      </c>
      <c r="S105" s="601">
        <v>0</v>
      </c>
      <c r="T105" s="601">
        <v>0</v>
      </c>
      <c r="U105" s="601"/>
      <c r="V105" s="601"/>
      <c r="W105" s="601">
        <v>0</v>
      </c>
      <c r="Y105"/>
    </row>
    <row r="106" spans="1:25" ht="15.5">
      <c r="B106" s="65" t="s">
        <v>229</v>
      </c>
      <c r="C106" s="601">
        <v>0</v>
      </c>
      <c r="D106" s="601">
        <v>0</v>
      </c>
      <c r="E106" s="601">
        <v>0</v>
      </c>
      <c r="F106" s="601">
        <v>0</v>
      </c>
      <c r="G106" s="601">
        <v>0</v>
      </c>
      <c r="H106" s="601">
        <v>0</v>
      </c>
      <c r="I106" s="601">
        <v>0</v>
      </c>
      <c r="J106" s="601"/>
      <c r="K106" s="601">
        <v>0</v>
      </c>
      <c r="L106" s="601">
        <v>0</v>
      </c>
      <c r="M106" s="601">
        <v>0</v>
      </c>
      <c r="N106" s="601">
        <v>0</v>
      </c>
      <c r="O106" s="601">
        <v>0</v>
      </c>
      <c r="P106" s="601">
        <v>0</v>
      </c>
      <c r="Q106" s="601"/>
      <c r="R106" s="601">
        <v>0</v>
      </c>
      <c r="S106" s="601">
        <v>0</v>
      </c>
      <c r="T106" s="601">
        <v>0</v>
      </c>
      <c r="U106" s="601"/>
      <c r="V106" s="601"/>
      <c r="W106" s="601">
        <v>0</v>
      </c>
      <c r="Y106"/>
    </row>
    <row r="107" spans="1:25" s="149" customFormat="1" ht="15.5">
      <c r="A107" s="161"/>
      <c r="B107" s="65" t="s">
        <v>230</v>
      </c>
      <c r="C107" s="601">
        <v>0</v>
      </c>
      <c r="D107" s="601">
        <v>0</v>
      </c>
      <c r="E107" s="601">
        <v>0</v>
      </c>
      <c r="F107" s="601">
        <v>0</v>
      </c>
      <c r="G107" s="601">
        <v>0</v>
      </c>
      <c r="H107" s="601">
        <v>0</v>
      </c>
      <c r="I107" s="601">
        <v>0</v>
      </c>
      <c r="J107" s="601">
        <v>0</v>
      </c>
      <c r="K107" s="601">
        <v>0</v>
      </c>
      <c r="L107" s="601">
        <v>0</v>
      </c>
      <c r="M107" s="601">
        <v>0</v>
      </c>
      <c r="N107" s="601">
        <v>0</v>
      </c>
      <c r="O107" s="601">
        <v>0</v>
      </c>
      <c r="P107" s="601">
        <v>0</v>
      </c>
      <c r="Q107" s="601">
        <v>0</v>
      </c>
      <c r="R107" s="601">
        <v>0</v>
      </c>
      <c r="S107" s="601">
        <v>0</v>
      </c>
      <c r="T107" s="601">
        <v>0</v>
      </c>
      <c r="U107" s="601">
        <v>0</v>
      </c>
      <c r="V107" s="601">
        <v>0</v>
      </c>
      <c r="W107" s="601">
        <v>0</v>
      </c>
      <c r="X107" s="65"/>
      <c r="Y107"/>
    </row>
    <row r="108" spans="1:25" ht="15.5">
      <c r="B108" s="65" t="s">
        <v>231</v>
      </c>
      <c r="C108" s="601">
        <v>0</v>
      </c>
      <c r="D108" s="601">
        <v>0</v>
      </c>
      <c r="E108" s="601">
        <v>0</v>
      </c>
      <c r="F108" s="601">
        <v>0</v>
      </c>
      <c r="G108" s="601">
        <v>0</v>
      </c>
      <c r="H108" s="601">
        <v>0</v>
      </c>
      <c r="I108" s="601">
        <v>0</v>
      </c>
      <c r="J108" s="601"/>
      <c r="K108" s="601">
        <v>0</v>
      </c>
      <c r="L108" s="601">
        <v>0</v>
      </c>
      <c r="M108" s="601">
        <v>0</v>
      </c>
      <c r="N108" s="601">
        <v>0</v>
      </c>
      <c r="O108" s="601">
        <v>0</v>
      </c>
      <c r="P108" s="601">
        <v>0</v>
      </c>
      <c r="Q108" s="601"/>
      <c r="R108" s="601">
        <v>0</v>
      </c>
      <c r="S108" s="601">
        <v>0</v>
      </c>
      <c r="T108" s="601">
        <v>0</v>
      </c>
      <c r="U108" s="601"/>
      <c r="V108" s="601"/>
      <c r="W108" s="601">
        <v>0</v>
      </c>
      <c r="Y108"/>
    </row>
    <row r="109" spans="1:25" ht="15.5">
      <c r="B109" s="65" t="s">
        <v>232</v>
      </c>
      <c r="C109" s="601">
        <v>0</v>
      </c>
      <c r="D109" s="601">
        <v>0</v>
      </c>
      <c r="E109" s="601">
        <v>0</v>
      </c>
      <c r="F109" s="601">
        <v>0</v>
      </c>
      <c r="G109" s="601">
        <v>0</v>
      </c>
      <c r="H109" s="601">
        <v>0</v>
      </c>
      <c r="I109" s="601">
        <v>0</v>
      </c>
      <c r="J109" s="601"/>
      <c r="K109" s="601">
        <v>0</v>
      </c>
      <c r="L109" s="601">
        <v>0</v>
      </c>
      <c r="M109" s="601">
        <v>0</v>
      </c>
      <c r="N109" s="601">
        <v>0</v>
      </c>
      <c r="O109" s="601">
        <v>0</v>
      </c>
      <c r="P109" s="601">
        <v>0</v>
      </c>
      <c r="Q109" s="601"/>
      <c r="R109" s="601">
        <v>0</v>
      </c>
      <c r="S109" s="601">
        <v>0</v>
      </c>
      <c r="T109" s="601">
        <v>0</v>
      </c>
      <c r="U109" s="601"/>
      <c r="V109" s="601"/>
      <c r="W109" s="601">
        <v>0</v>
      </c>
      <c r="Y109"/>
    </row>
    <row r="110" spans="1:25" s="149" customFormat="1" ht="15.5">
      <c r="A110" s="521"/>
      <c r="B110" s="65" t="s">
        <v>233</v>
      </c>
      <c r="C110" s="211">
        <v>0</v>
      </c>
      <c r="D110" s="211">
        <v>0</v>
      </c>
      <c r="E110" s="211">
        <v>0</v>
      </c>
      <c r="F110" s="211">
        <v>0</v>
      </c>
      <c r="G110" s="211">
        <v>0</v>
      </c>
      <c r="H110" s="517">
        <v>0</v>
      </c>
      <c r="I110" s="211">
        <v>0</v>
      </c>
      <c r="J110" s="211">
        <v>0</v>
      </c>
      <c r="K110" s="211">
        <v>0</v>
      </c>
      <c r="L110" s="211">
        <v>0</v>
      </c>
      <c r="M110" s="211">
        <v>0</v>
      </c>
      <c r="N110" s="211">
        <v>0</v>
      </c>
      <c r="O110" s="211">
        <v>0</v>
      </c>
      <c r="P110" s="211">
        <v>0</v>
      </c>
      <c r="Q110" s="211">
        <v>0</v>
      </c>
      <c r="R110" s="211">
        <v>0</v>
      </c>
      <c r="S110" s="211">
        <v>0</v>
      </c>
      <c r="T110" s="211">
        <v>0</v>
      </c>
      <c r="U110" s="211">
        <v>0</v>
      </c>
      <c r="V110" s="211">
        <v>0</v>
      </c>
      <c r="W110" s="211">
        <v>0</v>
      </c>
      <c r="X110" s="65"/>
      <c r="Y110"/>
    </row>
    <row r="111" spans="1:25" ht="15.5">
      <c r="A111" s="161" t="s">
        <v>160</v>
      </c>
      <c r="B111" s="65" t="s">
        <v>110</v>
      </c>
      <c r="C111" s="601"/>
      <c r="D111" s="601"/>
      <c r="E111" s="601"/>
      <c r="F111" s="601"/>
      <c r="G111" s="601"/>
      <c r="H111" s="601"/>
      <c r="I111" s="601"/>
      <c r="J111" s="601"/>
      <c r="K111" s="601"/>
      <c r="L111" s="601"/>
      <c r="M111" s="601"/>
      <c r="N111" s="601"/>
      <c r="O111" s="601"/>
      <c r="P111" s="601"/>
      <c r="Q111" s="601"/>
      <c r="R111" s="601"/>
      <c r="S111" s="601"/>
      <c r="T111" s="601"/>
      <c r="U111" s="601"/>
      <c r="V111" s="601"/>
      <c r="W111" s="601"/>
      <c r="Y111"/>
    </row>
    <row r="112" spans="1:25" ht="15.5">
      <c r="B112" s="65" t="s">
        <v>111</v>
      </c>
      <c r="C112" s="601"/>
      <c r="D112" s="601"/>
      <c r="E112" s="601"/>
      <c r="F112" s="601"/>
      <c r="G112" s="601"/>
      <c r="H112" s="601"/>
      <c r="I112" s="601"/>
      <c r="J112" s="601"/>
      <c r="K112" s="601"/>
      <c r="L112" s="601"/>
      <c r="M112" s="601"/>
      <c r="N112" s="601"/>
      <c r="O112" s="601"/>
      <c r="P112" s="601"/>
      <c r="Q112" s="601"/>
      <c r="R112" s="601"/>
      <c r="S112" s="601"/>
      <c r="T112" s="601"/>
      <c r="U112" s="601"/>
      <c r="V112" s="601"/>
      <c r="W112" s="601"/>
      <c r="Y112"/>
    </row>
    <row r="113" spans="1:25" s="149" customFormat="1" ht="15.5">
      <c r="A113" s="161"/>
      <c r="B113" s="65" t="s">
        <v>112</v>
      </c>
      <c r="C113" s="601">
        <v>0</v>
      </c>
      <c r="D113" s="601">
        <v>0</v>
      </c>
      <c r="E113" s="601">
        <v>0</v>
      </c>
      <c r="F113" s="601">
        <v>0</v>
      </c>
      <c r="G113" s="681">
        <v>0</v>
      </c>
      <c r="H113" s="601">
        <v>0</v>
      </c>
      <c r="I113" s="601">
        <v>0</v>
      </c>
      <c r="J113" s="601">
        <v>0</v>
      </c>
      <c r="K113" s="601">
        <v>0</v>
      </c>
      <c r="L113" s="601">
        <v>0</v>
      </c>
      <c r="M113" s="601">
        <v>0</v>
      </c>
      <c r="N113" s="601">
        <v>0</v>
      </c>
      <c r="O113" s="601">
        <v>0</v>
      </c>
      <c r="P113" s="601">
        <v>0</v>
      </c>
      <c r="Q113" s="601">
        <v>0</v>
      </c>
      <c r="R113" s="601">
        <v>0</v>
      </c>
      <c r="S113" s="681">
        <v>0</v>
      </c>
      <c r="T113" s="601">
        <v>0</v>
      </c>
      <c r="U113" s="601">
        <v>0</v>
      </c>
      <c r="V113" s="601">
        <v>0</v>
      </c>
      <c r="W113" s="601">
        <v>0</v>
      </c>
      <c r="X113" s="65"/>
      <c r="Y113"/>
    </row>
    <row r="114" spans="1:25" ht="15.5">
      <c r="B114" s="65" t="s">
        <v>222</v>
      </c>
      <c r="C114" s="601"/>
      <c r="D114" s="601"/>
      <c r="E114" s="601"/>
      <c r="F114" s="601"/>
      <c r="G114" s="601"/>
      <c r="H114" s="601"/>
      <c r="I114" s="601"/>
      <c r="J114" s="601"/>
      <c r="K114" s="601"/>
      <c r="L114" s="601"/>
      <c r="M114" s="601"/>
      <c r="N114" s="601"/>
      <c r="O114" s="601"/>
      <c r="P114" s="601"/>
      <c r="Q114" s="601"/>
      <c r="R114" s="601"/>
      <c r="S114" s="601"/>
      <c r="T114" s="601"/>
      <c r="U114" s="601"/>
      <c r="V114" s="601"/>
      <c r="W114" s="601"/>
      <c r="Y114"/>
    </row>
    <row r="115" spans="1:25" ht="16" thickBot="1">
      <c r="B115" s="65" t="s">
        <v>223</v>
      </c>
      <c r="C115" s="601"/>
      <c r="D115" s="601"/>
      <c r="E115" s="601"/>
      <c r="F115" s="601"/>
      <c r="G115" s="601"/>
      <c r="H115" s="601"/>
      <c r="I115" s="601"/>
      <c r="J115" s="601"/>
      <c r="K115" s="601"/>
      <c r="L115" s="601"/>
      <c r="M115" s="601"/>
      <c r="N115" s="601"/>
      <c r="O115" s="601"/>
      <c r="P115" s="601"/>
      <c r="Q115" s="601"/>
      <c r="R115" s="601"/>
      <c r="S115" s="601"/>
      <c r="T115" s="601"/>
      <c r="U115" s="601"/>
      <c r="V115" s="601"/>
      <c r="W115" s="601"/>
      <c r="Y115"/>
    </row>
    <row r="116" spans="1:25" s="149" customFormat="1" ht="16" thickBot="1">
      <c r="A116" s="161"/>
      <c r="B116" s="65" t="s">
        <v>224</v>
      </c>
      <c r="C116" s="601">
        <v>0</v>
      </c>
      <c r="D116" s="681">
        <v>0</v>
      </c>
      <c r="E116" s="601">
        <v>0</v>
      </c>
      <c r="F116" s="687">
        <v>0</v>
      </c>
      <c r="G116" s="601">
        <v>0</v>
      </c>
      <c r="H116" s="601">
        <v>0</v>
      </c>
      <c r="I116" s="601">
        <v>0</v>
      </c>
      <c r="J116" s="601">
        <v>0</v>
      </c>
      <c r="K116" s="601">
        <v>0</v>
      </c>
      <c r="L116" s="601">
        <v>0</v>
      </c>
      <c r="M116" s="601">
        <v>0</v>
      </c>
      <c r="N116" s="601">
        <v>0</v>
      </c>
      <c r="O116" s="601">
        <v>0</v>
      </c>
      <c r="P116" s="601">
        <v>0</v>
      </c>
      <c r="Q116" s="601">
        <v>0</v>
      </c>
      <c r="R116" s="601">
        <v>0</v>
      </c>
      <c r="S116" s="601">
        <v>0</v>
      </c>
      <c r="T116" s="601">
        <v>0</v>
      </c>
      <c r="U116" s="601">
        <v>0</v>
      </c>
      <c r="V116" s="601">
        <v>0</v>
      </c>
      <c r="W116" s="601">
        <v>0</v>
      </c>
      <c r="X116" s="65"/>
      <c r="Y116"/>
    </row>
    <row r="117" spans="1:25" ht="15.5">
      <c r="B117" s="65" t="s">
        <v>225</v>
      </c>
      <c r="C117" s="601"/>
      <c r="D117" s="601"/>
      <c r="E117" s="601"/>
      <c r="F117" s="601"/>
      <c r="G117" s="601"/>
      <c r="H117" s="601"/>
      <c r="I117" s="601"/>
      <c r="J117" s="601"/>
      <c r="K117" s="601"/>
      <c r="L117" s="601"/>
      <c r="M117" s="601"/>
      <c r="N117" s="601"/>
      <c r="O117" s="601"/>
      <c r="P117" s="601"/>
      <c r="Q117" s="601"/>
      <c r="R117" s="601"/>
      <c r="S117" s="601"/>
      <c r="T117" s="601"/>
      <c r="U117" s="601"/>
      <c r="V117" s="601"/>
      <c r="W117" s="601"/>
      <c r="Y117"/>
    </row>
    <row r="118" spans="1:25" ht="15.5">
      <c r="B118" s="65" t="s">
        <v>226</v>
      </c>
      <c r="C118" s="601"/>
      <c r="D118" s="601"/>
      <c r="E118" s="601"/>
      <c r="F118" s="601"/>
      <c r="G118" s="601"/>
      <c r="H118" s="601"/>
      <c r="I118" s="601"/>
      <c r="J118" s="601"/>
      <c r="K118" s="601"/>
      <c r="L118" s="601"/>
      <c r="M118" s="601"/>
      <c r="N118" s="601"/>
      <c r="O118" s="601"/>
      <c r="P118" s="601"/>
      <c r="Q118" s="601"/>
      <c r="R118" s="601"/>
      <c r="S118" s="601"/>
      <c r="T118" s="601"/>
      <c r="U118" s="601"/>
      <c r="V118" s="601"/>
      <c r="W118" s="601"/>
      <c r="Y118"/>
    </row>
    <row r="119" spans="1:25" s="149" customFormat="1" ht="15.5">
      <c r="A119" s="161"/>
      <c r="B119" s="65" t="s">
        <v>227</v>
      </c>
      <c r="C119" s="601">
        <v>0</v>
      </c>
      <c r="D119" s="601">
        <v>0</v>
      </c>
      <c r="E119" s="601">
        <v>0</v>
      </c>
      <c r="F119" s="601">
        <v>0</v>
      </c>
      <c r="G119" s="601">
        <v>0</v>
      </c>
      <c r="H119" s="601">
        <v>0</v>
      </c>
      <c r="I119" s="601">
        <v>0</v>
      </c>
      <c r="J119" s="601">
        <v>0</v>
      </c>
      <c r="K119" s="601">
        <v>0</v>
      </c>
      <c r="L119" s="601">
        <v>0</v>
      </c>
      <c r="M119" s="601">
        <v>0</v>
      </c>
      <c r="N119" s="601">
        <v>0</v>
      </c>
      <c r="O119" s="601">
        <v>0</v>
      </c>
      <c r="P119" s="601">
        <v>0</v>
      </c>
      <c r="Q119" s="601">
        <v>0</v>
      </c>
      <c r="R119" s="601">
        <v>0</v>
      </c>
      <c r="S119" s="601">
        <v>0</v>
      </c>
      <c r="T119" s="601">
        <v>0</v>
      </c>
      <c r="U119" s="601">
        <v>0</v>
      </c>
      <c r="V119" s="601">
        <v>0</v>
      </c>
      <c r="W119" s="601">
        <v>0</v>
      </c>
      <c r="X119" s="65"/>
      <c r="Y119"/>
    </row>
    <row r="120" spans="1:25" ht="15.5">
      <c r="B120" s="65" t="s">
        <v>228</v>
      </c>
      <c r="C120" s="601"/>
      <c r="D120" s="601"/>
      <c r="E120" s="601"/>
      <c r="F120" s="601"/>
      <c r="G120" s="601"/>
      <c r="H120" s="601"/>
      <c r="I120" s="601"/>
      <c r="J120" s="601"/>
      <c r="K120" s="601"/>
      <c r="L120" s="601"/>
      <c r="M120" s="601"/>
      <c r="N120" s="601"/>
      <c r="O120" s="601"/>
      <c r="P120" s="601"/>
      <c r="Q120" s="601"/>
      <c r="R120" s="601"/>
      <c r="S120" s="601"/>
      <c r="T120" s="601"/>
      <c r="U120" s="601"/>
      <c r="V120" s="601"/>
      <c r="W120" s="601"/>
      <c r="Y120"/>
    </row>
    <row r="121" spans="1:25" ht="15.5">
      <c r="B121" s="65" t="s">
        <v>229</v>
      </c>
      <c r="C121" s="601"/>
      <c r="D121" s="601"/>
      <c r="E121" s="601"/>
      <c r="F121" s="601"/>
      <c r="G121" s="601"/>
      <c r="H121" s="601"/>
      <c r="I121" s="601"/>
      <c r="J121" s="601"/>
      <c r="K121" s="601"/>
      <c r="L121" s="601"/>
      <c r="M121" s="601"/>
      <c r="N121" s="601"/>
      <c r="O121" s="601"/>
      <c r="P121" s="601"/>
      <c r="Q121" s="601"/>
      <c r="R121" s="601"/>
      <c r="S121" s="601"/>
      <c r="T121" s="601"/>
      <c r="U121" s="601"/>
      <c r="V121" s="601"/>
      <c r="W121" s="601"/>
      <c r="Y121"/>
    </row>
    <row r="122" spans="1:25" s="149" customFormat="1" ht="15.5">
      <c r="A122" s="161"/>
      <c r="B122" s="65" t="s">
        <v>230</v>
      </c>
      <c r="C122" s="601">
        <v>0</v>
      </c>
      <c r="D122" s="601">
        <v>0</v>
      </c>
      <c r="E122" s="601">
        <v>0</v>
      </c>
      <c r="F122" s="601">
        <v>0</v>
      </c>
      <c r="G122" s="601">
        <v>0</v>
      </c>
      <c r="H122" s="601">
        <v>0</v>
      </c>
      <c r="I122" s="601">
        <v>0</v>
      </c>
      <c r="J122" s="601">
        <v>0</v>
      </c>
      <c r="K122" s="601">
        <v>0</v>
      </c>
      <c r="L122" s="601">
        <v>0</v>
      </c>
      <c r="M122" s="601">
        <v>0</v>
      </c>
      <c r="N122" s="601">
        <v>0</v>
      </c>
      <c r="O122" s="601">
        <v>0</v>
      </c>
      <c r="P122" s="601">
        <v>0</v>
      </c>
      <c r="Q122" s="601">
        <v>0</v>
      </c>
      <c r="R122" s="601">
        <v>0</v>
      </c>
      <c r="S122" s="601">
        <v>0</v>
      </c>
      <c r="T122" s="601">
        <v>0</v>
      </c>
      <c r="U122" s="601">
        <v>0</v>
      </c>
      <c r="V122" s="601">
        <v>0</v>
      </c>
      <c r="W122" s="601">
        <v>0</v>
      </c>
      <c r="X122" s="65"/>
      <c r="Y122"/>
    </row>
    <row r="123" spans="1:25" ht="15.5">
      <c r="B123" s="65" t="s">
        <v>231</v>
      </c>
      <c r="C123" s="601"/>
      <c r="D123" s="601"/>
      <c r="E123" s="601"/>
      <c r="F123" s="601"/>
      <c r="G123" s="601"/>
      <c r="H123" s="601"/>
      <c r="I123" s="601"/>
      <c r="J123" s="601"/>
      <c r="K123" s="601"/>
      <c r="L123" s="601"/>
      <c r="M123" s="601"/>
      <c r="N123" s="601"/>
      <c r="O123" s="601"/>
      <c r="P123" s="601"/>
      <c r="Q123" s="601"/>
      <c r="R123" s="601"/>
      <c r="S123" s="601"/>
      <c r="T123" s="601"/>
      <c r="U123" s="601">
        <v>0</v>
      </c>
      <c r="V123" s="601">
        <v>0</v>
      </c>
      <c r="W123" s="601">
        <v>0</v>
      </c>
      <c r="Y123"/>
    </row>
    <row r="124" spans="1:25" ht="15.5">
      <c r="B124" s="65" t="s">
        <v>232</v>
      </c>
      <c r="C124" s="601"/>
      <c r="D124" s="601"/>
      <c r="E124" s="601"/>
      <c r="F124" s="601"/>
      <c r="G124" s="601"/>
      <c r="H124" s="601"/>
      <c r="I124" s="601"/>
      <c r="J124" s="601"/>
      <c r="K124" s="601"/>
      <c r="L124" s="601"/>
      <c r="M124" s="601"/>
      <c r="N124" s="601"/>
      <c r="O124" s="601"/>
      <c r="P124" s="601"/>
      <c r="Q124" s="601"/>
      <c r="R124" s="601"/>
      <c r="S124" s="601"/>
      <c r="T124" s="601"/>
      <c r="U124" s="601">
        <v>0</v>
      </c>
      <c r="V124" s="601">
        <v>0</v>
      </c>
      <c r="W124" s="601">
        <v>0</v>
      </c>
      <c r="Y124"/>
    </row>
    <row r="125" spans="1:25" s="149" customFormat="1" ht="15.5">
      <c r="A125" s="521"/>
      <c r="B125" s="65" t="s">
        <v>233</v>
      </c>
      <c r="C125" s="522">
        <v>0</v>
      </c>
      <c r="D125" s="517">
        <v>0</v>
      </c>
      <c r="E125" s="211">
        <v>0</v>
      </c>
      <c r="F125" s="211">
        <v>0</v>
      </c>
      <c r="G125" s="211">
        <v>0</v>
      </c>
      <c r="H125" s="211">
        <v>0</v>
      </c>
      <c r="I125" s="211">
        <v>0</v>
      </c>
      <c r="J125" s="211">
        <v>0</v>
      </c>
      <c r="K125" s="211">
        <v>0</v>
      </c>
      <c r="L125" s="211">
        <v>0</v>
      </c>
      <c r="M125" s="211">
        <v>0</v>
      </c>
      <c r="N125" s="211">
        <v>0</v>
      </c>
      <c r="O125" s="211">
        <v>0</v>
      </c>
      <c r="P125" s="211">
        <v>0</v>
      </c>
      <c r="Q125" s="211">
        <v>0</v>
      </c>
      <c r="R125" s="211">
        <v>0</v>
      </c>
      <c r="S125" s="211">
        <v>0</v>
      </c>
      <c r="T125" s="211">
        <v>0</v>
      </c>
      <c r="U125" s="211">
        <v>0</v>
      </c>
      <c r="V125" s="211">
        <v>0</v>
      </c>
      <c r="W125" s="211">
        <v>0</v>
      </c>
      <c r="X125" s="65"/>
      <c r="Y125"/>
    </row>
    <row r="126" spans="1:25" ht="15.5">
      <c r="A126" s="161" t="s">
        <v>161</v>
      </c>
      <c r="B126" s="65" t="s">
        <v>110</v>
      </c>
      <c r="C126" s="601">
        <v>10981</v>
      </c>
      <c r="D126" s="601">
        <v>1155</v>
      </c>
      <c r="E126" s="601"/>
      <c r="F126" s="601">
        <v>2138</v>
      </c>
      <c r="G126" s="601"/>
      <c r="H126" s="601"/>
      <c r="I126" s="601">
        <v>14274</v>
      </c>
      <c r="J126" s="601"/>
      <c r="K126" s="601"/>
      <c r="L126" s="601"/>
      <c r="M126" s="601"/>
      <c r="N126" s="601"/>
      <c r="O126" s="601"/>
      <c r="P126" s="601"/>
      <c r="Q126" s="601"/>
      <c r="R126" s="601"/>
      <c r="S126" s="601"/>
      <c r="T126" s="601"/>
      <c r="U126" s="601"/>
      <c r="V126" s="601"/>
      <c r="W126" s="601">
        <v>14274</v>
      </c>
      <c r="Y126"/>
    </row>
    <row r="127" spans="1:25" ht="16" thickBot="1">
      <c r="B127" s="65" t="s">
        <v>111</v>
      </c>
      <c r="C127" s="601">
        <v>11172</v>
      </c>
      <c r="D127" s="601">
        <v>1082</v>
      </c>
      <c r="E127" s="601"/>
      <c r="F127" s="601">
        <v>2140</v>
      </c>
      <c r="G127" s="601"/>
      <c r="H127" s="601"/>
      <c r="I127" s="601">
        <v>14394</v>
      </c>
      <c r="J127" s="601"/>
      <c r="K127" s="601"/>
      <c r="L127" s="601"/>
      <c r="M127" s="601"/>
      <c r="N127" s="601"/>
      <c r="O127" s="601"/>
      <c r="P127" s="601"/>
      <c r="Q127" s="601"/>
      <c r="R127" s="601"/>
      <c r="S127" s="601"/>
      <c r="T127" s="601"/>
      <c r="U127" s="601"/>
      <c r="V127" s="601"/>
      <c r="W127" s="601">
        <v>14394</v>
      </c>
      <c r="Y127"/>
    </row>
    <row r="128" spans="1:25" s="149" customFormat="1" ht="16" thickBot="1">
      <c r="A128" s="161"/>
      <c r="B128" s="65" t="s">
        <v>112</v>
      </c>
      <c r="C128" s="601">
        <v>1.739367999271469E-2</v>
      </c>
      <c r="D128" s="601">
        <v>-6.3203463203463206E-2</v>
      </c>
      <c r="E128" s="601">
        <v>0</v>
      </c>
      <c r="F128" s="601">
        <v>9.3545369504209543E-4</v>
      </c>
      <c r="G128" s="687">
        <v>0</v>
      </c>
      <c r="H128" s="601">
        <v>0</v>
      </c>
      <c r="I128" s="601">
        <v>8.4068936527952921E-3</v>
      </c>
      <c r="J128" s="601">
        <v>0</v>
      </c>
      <c r="K128" s="601">
        <v>0</v>
      </c>
      <c r="L128" s="601">
        <v>0</v>
      </c>
      <c r="M128" s="601">
        <v>0</v>
      </c>
      <c r="N128" s="601">
        <v>0</v>
      </c>
      <c r="O128" s="601">
        <v>0</v>
      </c>
      <c r="P128" s="601">
        <v>0</v>
      </c>
      <c r="Q128" s="601">
        <v>0</v>
      </c>
      <c r="R128" s="601">
        <v>0</v>
      </c>
      <c r="S128" s="601">
        <v>0</v>
      </c>
      <c r="T128" s="601">
        <v>0</v>
      </c>
      <c r="U128" s="601">
        <v>0</v>
      </c>
      <c r="V128" s="601">
        <v>0</v>
      </c>
      <c r="W128" s="601">
        <v>8.4068936527952921E-3</v>
      </c>
      <c r="X128" s="65"/>
      <c r="Y128"/>
    </row>
    <row r="129" spans="1:25" ht="15.5">
      <c r="B129" s="65" t="s">
        <v>222</v>
      </c>
      <c r="C129" s="601">
        <v>0</v>
      </c>
      <c r="D129" s="601">
        <v>0</v>
      </c>
      <c r="E129" s="601"/>
      <c r="F129" s="601">
        <v>0</v>
      </c>
      <c r="G129" s="601"/>
      <c r="H129" s="601"/>
      <c r="I129" s="601">
        <v>0</v>
      </c>
      <c r="J129" s="601"/>
      <c r="K129" s="601"/>
      <c r="L129" s="601"/>
      <c r="M129" s="601"/>
      <c r="N129" s="601"/>
      <c r="O129" s="601"/>
      <c r="P129" s="601"/>
      <c r="Q129" s="601"/>
      <c r="R129" s="601"/>
      <c r="S129" s="601"/>
      <c r="T129" s="601"/>
      <c r="U129" s="601"/>
      <c r="V129" s="601"/>
      <c r="W129" s="601">
        <v>0</v>
      </c>
      <c r="Y129"/>
    </row>
    <row r="130" spans="1:25" ht="15.5">
      <c r="B130" s="65" t="s">
        <v>223</v>
      </c>
      <c r="C130" s="601">
        <v>0</v>
      </c>
      <c r="D130" s="601">
        <v>0</v>
      </c>
      <c r="E130" s="601"/>
      <c r="F130" s="601">
        <v>0</v>
      </c>
      <c r="G130" s="601"/>
      <c r="H130" s="601"/>
      <c r="I130" s="601">
        <v>0</v>
      </c>
      <c r="J130" s="601"/>
      <c r="K130" s="601"/>
      <c r="L130" s="601"/>
      <c r="M130" s="601"/>
      <c r="N130" s="601"/>
      <c r="O130" s="601"/>
      <c r="P130" s="601"/>
      <c r="Q130" s="601"/>
      <c r="R130" s="601"/>
      <c r="S130" s="601"/>
      <c r="T130" s="601"/>
      <c r="U130" s="601"/>
      <c r="V130" s="601"/>
      <c r="W130" s="601">
        <v>0</v>
      </c>
      <c r="Y130"/>
    </row>
    <row r="131" spans="1:25" s="149" customFormat="1" ht="15.5">
      <c r="A131" s="161"/>
      <c r="B131" s="65" t="s">
        <v>224</v>
      </c>
      <c r="C131" s="601">
        <v>0</v>
      </c>
      <c r="D131" s="601">
        <v>0</v>
      </c>
      <c r="E131" s="601">
        <v>0</v>
      </c>
      <c r="F131" s="601">
        <v>0</v>
      </c>
      <c r="G131" s="601">
        <v>0</v>
      </c>
      <c r="H131" s="601">
        <v>0</v>
      </c>
      <c r="I131" s="601">
        <v>0</v>
      </c>
      <c r="J131" s="601">
        <v>0</v>
      </c>
      <c r="K131" s="601">
        <v>0</v>
      </c>
      <c r="L131" s="601">
        <v>0</v>
      </c>
      <c r="M131" s="601">
        <v>0</v>
      </c>
      <c r="N131" s="601">
        <v>0</v>
      </c>
      <c r="O131" s="601">
        <v>0</v>
      </c>
      <c r="P131" s="601">
        <v>0</v>
      </c>
      <c r="Q131" s="601">
        <v>0</v>
      </c>
      <c r="R131" s="601">
        <v>0</v>
      </c>
      <c r="S131" s="601">
        <v>0</v>
      </c>
      <c r="T131" s="601">
        <v>0</v>
      </c>
      <c r="U131" s="601">
        <v>0</v>
      </c>
      <c r="V131" s="601">
        <v>0</v>
      </c>
      <c r="W131" s="601">
        <v>0</v>
      </c>
      <c r="X131" s="65"/>
      <c r="Y131"/>
    </row>
    <row r="132" spans="1:25" ht="15.5">
      <c r="B132" s="65" t="s">
        <v>225</v>
      </c>
      <c r="C132" s="601">
        <v>0</v>
      </c>
      <c r="D132" s="601">
        <v>0</v>
      </c>
      <c r="E132" s="601"/>
      <c r="F132" s="601">
        <v>0</v>
      </c>
      <c r="G132" s="601"/>
      <c r="H132" s="601"/>
      <c r="I132" s="601">
        <v>0</v>
      </c>
      <c r="J132" s="601"/>
      <c r="K132" s="601"/>
      <c r="L132" s="601"/>
      <c r="M132" s="601"/>
      <c r="N132" s="601"/>
      <c r="O132" s="601"/>
      <c r="P132" s="601"/>
      <c r="Q132" s="601"/>
      <c r="R132" s="601"/>
      <c r="S132" s="601"/>
      <c r="T132" s="601"/>
      <c r="U132" s="601"/>
      <c r="V132" s="601"/>
      <c r="W132" s="601">
        <v>0</v>
      </c>
      <c r="Y132"/>
    </row>
    <row r="133" spans="1:25" ht="15.5">
      <c r="B133" s="65" t="s">
        <v>226</v>
      </c>
      <c r="C133" s="601">
        <v>0</v>
      </c>
      <c r="D133" s="601">
        <v>0</v>
      </c>
      <c r="E133" s="601"/>
      <c r="F133" s="601">
        <v>0</v>
      </c>
      <c r="G133" s="601"/>
      <c r="H133" s="601"/>
      <c r="I133" s="601">
        <v>0</v>
      </c>
      <c r="J133" s="601"/>
      <c r="K133" s="601"/>
      <c r="L133" s="601"/>
      <c r="M133" s="601"/>
      <c r="N133" s="601"/>
      <c r="O133" s="601"/>
      <c r="P133" s="601"/>
      <c r="Q133" s="601"/>
      <c r="R133" s="601"/>
      <c r="S133" s="601"/>
      <c r="T133" s="601"/>
      <c r="U133" s="601"/>
      <c r="V133" s="601"/>
      <c r="W133" s="601">
        <v>0</v>
      </c>
      <c r="Y133"/>
    </row>
    <row r="134" spans="1:25" s="149" customFormat="1" ht="15.5">
      <c r="A134" s="161"/>
      <c r="B134" s="65" t="s">
        <v>227</v>
      </c>
      <c r="C134" s="601">
        <v>0</v>
      </c>
      <c r="D134" s="601">
        <v>0</v>
      </c>
      <c r="E134" s="601">
        <v>0</v>
      </c>
      <c r="F134" s="601">
        <v>0</v>
      </c>
      <c r="G134" s="601">
        <v>0</v>
      </c>
      <c r="H134" s="601">
        <v>0</v>
      </c>
      <c r="I134" s="601">
        <v>0</v>
      </c>
      <c r="J134" s="601">
        <v>0</v>
      </c>
      <c r="K134" s="601">
        <v>0</v>
      </c>
      <c r="L134" s="601">
        <v>0</v>
      </c>
      <c r="M134" s="601">
        <v>0</v>
      </c>
      <c r="N134" s="601">
        <v>0</v>
      </c>
      <c r="O134" s="601">
        <v>0</v>
      </c>
      <c r="P134" s="601">
        <v>0</v>
      </c>
      <c r="Q134" s="601">
        <v>0</v>
      </c>
      <c r="R134" s="601">
        <v>0</v>
      </c>
      <c r="S134" s="601">
        <v>0</v>
      </c>
      <c r="T134" s="601">
        <v>0</v>
      </c>
      <c r="U134" s="601">
        <v>0</v>
      </c>
      <c r="V134" s="601">
        <v>0</v>
      </c>
      <c r="W134" s="601">
        <v>0</v>
      </c>
      <c r="X134" s="65"/>
      <c r="Y134"/>
    </row>
    <row r="135" spans="1:25" ht="15.5">
      <c r="B135" s="65" t="s">
        <v>228</v>
      </c>
      <c r="C135" s="601">
        <v>0</v>
      </c>
      <c r="D135" s="601">
        <v>0</v>
      </c>
      <c r="E135" s="601"/>
      <c r="F135" s="601">
        <v>0</v>
      </c>
      <c r="G135" s="601"/>
      <c r="H135" s="601"/>
      <c r="I135" s="601">
        <v>0</v>
      </c>
      <c r="J135" s="601"/>
      <c r="K135" s="601"/>
      <c r="L135" s="601"/>
      <c r="M135" s="601"/>
      <c r="N135" s="601"/>
      <c r="O135" s="601"/>
      <c r="P135" s="601"/>
      <c r="Q135" s="601"/>
      <c r="R135" s="601"/>
      <c r="S135" s="601"/>
      <c r="T135" s="601"/>
      <c r="U135" s="601"/>
      <c r="V135" s="601"/>
      <c r="W135" s="601">
        <v>0</v>
      </c>
      <c r="Y135"/>
    </row>
    <row r="136" spans="1:25" ht="15.5">
      <c r="B136" s="65" t="s">
        <v>229</v>
      </c>
      <c r="C136" s="601">
        <v>0</v>
      </c>
      <c r="D136" s="601">
        <v>0</v>
      </c>
      <c r="E136" s="601"/>
      <c r="F136" s="601">
        <v>0</v>
      </c>
      <c r="G136" s="601"/>
      <c r="H136" s="601"/>
      <c r="I136" s="601">
        <v>0</v>
      </c>
      <c r="J136" s="601"/>
      <c r="K136" s="601"/>
      <c r="L136" s="601"/>
      <c r="M136" s="601"/>
      <c r="N136" s="601"/>
      <c r="O136" s="601"/>
      <c r="P136" s="601"/>
      <c r="Q136" s="601"/>
      <c r="R136" s="601"/>
      <c r="S136" s="601"/>
      <c r="T136" s="601"/>
      <c r="U136" s="601"/>
      <c r="V136" s="601"/>
      <c r="W136" s="601">
        <v>0</v>
      </c>
      <c r="Y136"/>
    </row>
    <row r="137" spans="1:25" s="149" customFormat="1" ht="15.5">
      <c r="A137" s="161"/>
      <c r="B137" s="65" t="s">
        <v>230</v>
      </c>
      <c r="C137" s="601">
        <v>0</v>
      </c>
      <c r="D137" s="601">
        <v>0</v>
      </c>
      <c r="E137" s="601">
        <v>0</v>
      </c>
      <c r="F137" s="601">
        <v>0</v>
      </c>
      <c r="G137" s="601">
        <v>0</v>
      </c>
      <c r="H137" s="601">
        <v>0</v>
      </c>
      <c r="I137" s="601">
        <v>0</v>
      </c>
      <c r="J137" s="601">
        <v>0</v>
      </c>
      <c r="K137" s="601">
        <v>0</v>
      </c>
      <c r="L137" s="601">
        <v>0</v>
      </c>
      <c r="M137" s="601">
        <v>0</v>
      </c>
      <c r="N137" s="601">
        <v>0</v>
      </c>
      <c r="O137" s="601">
        <v>0</v>
      </c>
      <c r="P137" s="601">
        <v>0</v>
      </c>
      <c r="Q137" s="601">
        <v>0</v>
      </c>
      <c r="R137" s="601">
        <v>0</v>
      </c>
      <c r="S137" s="601">
        <v>0</v>
      </c>
      <c r="T137" s="601">
        <v>0</v>
      </c>
      <c r="U137" s="601">
        <v>0</v>
      </c>
      <c r="V137" s="601">
        <v>0</v>
      </c>
      <c r="W137" s="601">
        <v>0</v>
      </c>
      <c r="X137" s="65"/>
      <c r="Y137"/>
    </row>
    <row r="138" spans="1:25" ht="15.5">
      <c r="B138" s="65" t="s">
        <v>231</v>
      </c>
      <c r="C138" s="601">
        <v>0</v>
      </c>
      <c r="D138" s="601">
        <v>0</v>
      </c>
      <c r="E138" s="601"/>
      <c r="F138" s="601">
        <v>0</v>
      </c>
      <c r="G138" s="601"/>
      <c r="H138" s="601"/>
      <c r="I138" s="601">
        <v>0</v>
      </c>
      <c r="J138" s="601"/>
      <c r="K138" s="601"/>
      <c r="L138" s="601"/>
      <c r="M138" s="601"/>
      <c r="N138" s="601"/>
      <c r="O138" s="601"/>
      <c r="P138" s="601"/>
      <c r="Q138" s="601"/>
      <c r="R138" s="601"/>
      <c r="S138" s="601"/>
      <c r="T138" s="601"/>
      <c r="U138" s="601">
        <v>0</v>
      </c>
      <c r="V138" s="601">
        <v>0</v>
      </c>
      <c r="W138" s="601">
        <v>0</v>
      </c>
      <c r="Y138"/>
    </row>
    <row r="139" spans="1:25" ht="15.5">
      <c r="B139" s="65" t="s">
        <v>232</v>
      </c>
      <c r="C139" s="601">
        <v>0</v>
      </c>
      <c r="D139" s="601">
        <v>0</v>
      </c>
      <c r="E139" s="601"/>
      <c r="F139" s="601">
        <v>0</v>
      </c>
      <c r="G139" s="601"/>
      <c r="H139" s="601"/>
      <c r="I139" s="601">
        <v>0</v>
      </c>
      <c r="J139" s="601"/>
      <c r="K139" s="601"/>
      <c r="L139" s="601"/>
      <c r="M139" s="601"/>
      <c r="N139" s="601"/>
      <c r="O139" s="601"/>
      <c r="P139" s="601"/>
      <c r="Q139" s="601"/>
      <c r="R139" s="601"/>
      <c r="S139" s="601"/>
      <c r="T139" s="601"/>
      <c r="U139" s="601">
        <v>0</v>
      </c>
      <c r="V139" s="601">
        <v>0</v>
      </c>
      <c r="W139" s="601">
        <v>0</v>
      </c>
      <c r="Y139"/>
    </row>
    <row r="140" spans="1:25" s="149" customFormat="1" ht="15.5">
      <c r="A140" s="521"/>
      <c r="B140" s="65" t="s">
        <v>233</v>
      </c>
      <c r="C140" s="211">
        <v>0</v>
      </c>
      <c r="D140" s="211">
        <v>0</v>
      </c>
      <c r="E140" s="211">
        <v>0</v>
      </c>
      <c r="F140" s="211">
        <v>0</v>
      </c>
      <c r="G140" s="211">
        <v>0</v>
      </c>
      <c r="H140" s="211">
        <v>0</v>
      </c>
      <c r="I140" s="211">
        <v>0</v>
      </c>
      <c r="J140" s="211">
        <v>0</v>
      </c>
      <c r="K140" s="211">
        <v>0</v>
      </c>
      <c r="L140" s="211">
        <v>0</v>
      </c>
      <c r="M140" s="211">
        <v>0</v>
      </c>
      <c r="N140" s="211">
        <v>0</v>
      </c>
      <c r="O140" s="211">
        <v>0</v>
      </c>
      <c r="P140" s="211">
        <v>0</v>
      </c>
      <c r="Q140" s="211">
        <v>0</v>
      </c>
      <c r="R140" s="211">
        <v>0</v>
      </c>
      <c r="S140" s="211">
        <v>0</v>
      </c>
      <c r="T140" s="211">
        <v>0</v>
      </c>
      <c r="U140" s="211">
        <v>0</v>
      </c>
      <c r="V140" s="211">
        <v>0</v>
      </c>
      <c r="W140" s="211">
        <v>0</v>
      </c>
      <c r="X140" s="65"/>
      <c r="Y140"/>
    </row>
    <row r="141" spans="1:25" ht="15.5">
      <c r="A141" s="161" t="s">
        <v>162</v>
      </c>
      <c r="B141" s="65" t="s">
        <v>110</v>
      </c>
      <c r="C141" s="601">
        <v>19767</v>
      </c>
      <c r="D141" s="601">
        <v>5045</v>
      </c>
      <c r="E141" s="601">
        <v>12809</v>
      </c>
      <c r="F141" s="601">
        <v>1006</v>
      </c>
      <c r="G141" s="601">
        <v>2012</v>
      </c>
      <c r="H141" s="601">
        <v>1049</v>
      </c>
      <c r="I141" s="601">
        <v>41688</v>
      </c>
      <c r="J141" s="601"/>
      <c r="K141" s="601"/>
      <c r="L141" s="601"/>
      <c r="M141" s="601"/>
      <c r="N141" s="601"/>
      <c r="O141" s="601"/>
      <c r="P141" s="601"/>
      <c r="Q141" s="601"/>
      <c r="R141" s="601"/>
      <c r="S141" s="601">
        <v>196</v>
      </c>
      <c r="T141" s="601">
        <v>196</v>
      </c>
      <c r="U141" s="601"/>
      <c r="V141" s="601"/>
      <c r="W141" s="601">
        <v>41884</v>
      </c>
      <c r="Y141"/>
    </row>
    <row r="142" spans="1:25" ht="15.5">
      <c r="B142" s="65" t="s">
        <v>111</v>
      </c>
      <c r="C142" s="601">
        <v>0</v>
      </c>
      <c r="D142" s="601">
        <v>0</v>
      </c>
      <c r="E142" s="601">
        <v>0</v>
      </c>
      <c r="F142" s="601">
        <v>0</v>
      </c>
      <c r="G142" s="601">
        <v>0</v>
      </c>
      <c r="H142" s="601">
        <v>999</v>
      </c>
      <c r="I142" s="601">
        <v>999</v>
      </c>
      <c r="J142" s="601"/>
      <c r="K142" s="601"/>
      <c r="L142" s="601"/>
      <c r="M142" s="601"/>
      <c r="N142" s="601"/>
      <c r="O142" s="601"/>
      <c r="P142" s="601"/>
      <c r="Q142" s="601"/>
      <c r="R142" s="601"/>
      <c r="S142" s="601">
        <v>223</v>
      </c>
      <c r="T142" s="601">
        <v>223</v>
      </c>
      <c r="U142" s="601"/>
      <c r="V142" s="601"/>
      <c r="W142" s="601">
        <v>1222</v>
      </c>
      <c r="Y142"/>
    </row>
    <row r="143" spans="1:25" s="149" customFormat="1" ht="15.5">
      <c r="A143" s="161"/>
      <c r="B143" s="65" t="s">
        <v>112</v>
      </c>
      <c r="C143" s="601">
        <v>-1</v>
      </c>
      <c r="D143" s="601">
        <v>-1</v>
      </c>
      <c r="E143" s="601">
        <v>-1</v>
      </c>
      <c r="F143" s="601">
        <v>-1</v>
      </c>
      <c r="G143" s="601">
        <v>-1</v>
      </c>
      <c r="H143" s="601">
        <v>-4.7664442326024785E-2</v>
      </c>
      <c r="I143" s="601">
        <v>-0.97603626943005184</v>
      </c>
      <c r="J143" s="601">
        <v>0</v>
      </c>
      <c r="K143" s="601">
        <v>0</v>
      </c>
      <c r="L143" s="601">
        <v>0</v>
      </c>
      <c r="M143" s="601">
        <v>0</v>
      </c>
      <c r="N143" s="601">
        <v>0</v>
      </c>
      <c r="O143" s="601">
        <v>0</v>
      </c>
      <c r="P143" s="601">
        <v>0</v>
      </c>
      <c r="Q143" s="601">
        <v>0</v>
      </c>
      <c r="R143" s="601">
        <v>0</v>
      </c>
      <c r="S143" s="601">
        <v>0.13775510204081631</v>
      </c>
      <c r="T143" s="601">
        <v>0.13775510204081631</v>
      </c>
      <c r="U143" s="601">
        <v>0</v>
      </c>
      <c r="V143" s="601">
        <v>0</v>
      </c>
      <c r="W143" s="601">
        <v>-0.9708241810715309</v>
      </c>
      <c r="X143" s="65"/>
      <c r="Y143"/>
    </row>
    <row r="144" spans="1:25" ht="15.5">
      <c r="B144" s="65" t="s">
        <v>222</v>
      </c>
      <c r="C144" s="601">
        <v>0</v>
      </c>
      <c r="D144" s="601">
        <v>0</v>
      </c>
      <c r="E144" s="601">
        <v>0</v>
      </c>
      <c r="F144" s="601">
        <v>0</v>
      </c>
      <c r="G144" s="601">
        <v>0</v>
      </c>
      <c r="H144" s="601">
        <v>0</v>
      </c>
      <c r="I144" s="601">
        <v>0</v>
      </c>
      <c r="J144" s="601"/>
      <c r="K144" s="601">
        <v>0</v>
      </c>
      <c r="L144" s="601">
        <v>0</v>
      </c>
      <c r="M144" s="601">
        <v>0</v>
      </c>
      <c r="N144" s="601">
        <v>0</v>
      </c>
      <c r="O144" s="601"/>
      <c r="P144" s="601"/>
      <c r="Q144" s="601"/>
      <c r="R144" s="601"/>
      <c r="S144" s="601">
        <v>0</v>
      </c>
      <c r="T144" s="601">
        <v>0</v>
      </c>
      <c r="U144" s="601"/>
      <c r="V144" s="601"/>
      <c r="W144" s="601">
        <v>0</v>
      </c>
      <c r="Y144"/>
    </row>
    <row r="145" spans="1:25" ht="15.5">
      <c r="B145" s="65" t="s">
        <v>223</v>
      </c>
      <c r="C145" s="601">
        <v>0</v>
      </c>
      <c r="D145" s="601">
        <v>0</v>
      </c>
      <c r="E145" s="601">
        <v>0</v>
      </c>
      <c r="F145" s="601">
        <v>0</v>
      </c>
      <c r="G145" s="601">
        <v>0</v>
      </c>
      <c r="H145" s="601">
        <v>0</v>
      </c>
      <c r="I145" s="601">
        <v>0</v>
      </c>
      <c r="J145" s="601"/>
      <c r="K145" s="601">
        <v>0</v>
      </c>
      <c r="L145" s="601">
        <v>0</v>
      </c>
      <c r="M145" s="601">
        <v>0</v>
      </c>
      <c r="N145" s="601">
        <v>0</v>
      </c>
      <c r="O145" s="601"/>
      <c r="P145" s="601"/>
      <c r="Q145" s="601"/>
      <c r="R145" s="601"/>
      <c r="S145" s="601">
        <v>0</v>
      </c>
      <c r="T145" s="601">
        <v>0</v>
      </c>
      <c r="U145" s="601"/>
      <c r="V145" s="601"/>
      <c r="W145" s="601">
        <v>0</v>
      </c>
      <c r="Y145"/>
    </row>
    <row r="146" spans="1:25" s="149" customFormat="1" ht="15.5">
      <c r="A146" s="161"/>
      <c r="B146" s="65" t="s">
        <v>224</v>
      </c>
      <c r="C146" s="601">
        <v>0</v>
      </c>
      <c r="D146" s="601">
        <v>0</v>
      </c>
      <c r="E146" s="601">
        <v>0</v>
      </c>
      <c r="F146" s="601">
        <v>0</v>
      </c>
      <c r="G146" s="601">
        <v>0</v>
      </c>
      <c r="H146" s="601">
        <v>0</v>
      </c>
      <c r="I146" s="601">
        <v>0</v>
      </c>
      <c r="J146" s="601">
        <v>0</v>
      </c>
      <c r="K146" s="601">
        <v>0</v>
      </c>
      <c r="L146" s="601">
        <v>0</v>
      </c>
      <c r="M146" s="601">
        <v>0</v>
      </c>
      <c r="N146" s="601">
        <v>0</v>
      </c>
      <c r="O146" s="601">
        <v>0</v>
      </c>
      <c r="P146" s="601">
        <v>0</v>
      </c>
      <c r="Q146" s="601">
        <v>0</v>
      </c>
      <c r="R146" s="601">
        <v>0</v>
      </c>
      <c r="S146" s="601">
        <v>0</v>
      </c>
      <c r="T146" s="601">
        <v>0</v>
      </c>
      <c r="U146" s="601">
        <v>0</v>
      </c>
      <c r="V146" s="601">
        <v>0</v>
      </c>
      <c r="W146" s="601">
        <v>0</v>
      </c>
      <c r="X146" s="65"/>
      <c r="Y146"/>
    </row>
    <row r="147" spans="1:25" ht="15.5">
      <c r="B147" s="65" t="s">
        <v>225</v>
      </c>
      <c r="C147" s="601">
        <v>0</v>
      </c>
      <c r="D147" s="601">
        <v>0</v>
      </c>
      <c r="E147" s="601">
        <v>0</v>
      </c>
      <c r="F147" s="601">
        <v>0</v>
      </c>
      <c r="G147" s="601">
        <v>0</v>
      </c>
      <c r="H147" s="601">
        <v>0</v>
      </c>
      <c r="I147" s="601">
        <v>0</v>
      </c>
      <c r="J147" s="601"/>
      <c r="K147" s="601">
        <v>0</v>
      </c>
      <c r="L147" s="601">
        <v>0</v>
      </c>
      <c r="M147" s="601">
        <v>0</v>
      </c>
      <c r="N147" s="601">
        <v>0</v>
      </c>
      <c r="O147" s="601"/>
      <c r="P147" s="601"/>
      <c r="Q147" s="601"/>
      <c r="R147" s="601"/>
      <c r="S147" s="601">
        <v>0</v>
      </c>
      <c r="T147" s="601">
        <v>0</v>
      </c>
      <c r="U147" s="601"/>
      <c r="V147" s="601"/>
      <c r="W147" s="601">
        <v>0</v>
      </c>
      <c r="Y147"/>
    </row>
    <row r="148" spans="1:25" ht="16" thickBot="1">
      <c r="B148" s="65" t="s">
        <v>226</v>
      </c>
      <c r="C148" s="601">
        <v>0</v>
      </c>
      <c r="D148" s="601">
        <v>0</v>
      </c>
      <c r="E148" s="601">
        <v>0</v>
      </c>
      <c r="F148" s="601">
        <v>0</v>
      </c>
      <c r="G148" s="601">
        <v>0</v>
      </c>
      <c r="H148" s="601">
        <v>0</v>
      </c>
      <c r="I148" s="601">
        <v>0</v>
      </c>
      <c r="J148" s="601"/>
      <c r="K148" s="601">
        <v>0</v>
      </c>
      <c r="L148" s="601">
        <v>0</v>
      </c>
      <c r="M148" s="601">
        <v>0</v>
      </c>
      <c r="N148" s="601">
        <v>0</v>
      </c>
      <c r="O148" s="601"/>
      <c r="P148" s="601"/>
      <c r="Q148" s="601"/>
      <c r="R148" s="601"/>
      <c r="S148" s="601">
        <v>0</v>
      </c>
      <c r="T148" s="601">
        <v>0</v>
      </c>
      <c r="U148" s="601"/>
      <c r="V148" s="601"/>
      <c r="W148" s="601">
        <v>0</v>
      </c>
      <c r="Y148"/>
    </row>
    <row r="149" spans="1:25" s="149" customFormat="1" ht="16" thickBot="1">
      <c r="A149" s="161"/>
      <c r="B149" s="65" t="s">
        <v>227</v>
      </c>
      <c r="C149" s="687">
        <v>0</v>
      </c>
      <c r="D149" s="601">
        <v>0</v>
      </c>
      <c r="E149" s="692">
        <v>0</v>
      </c>
      <c r="F149" s="601">
        <v>0</v>
      </c>
      <c r="G149" s="601">
        <v>0</v>
      </c>
      <c r="H149" s="681">
        <v>0</v>
      </c>
      <c r="I149" s="601">
        <v>0</v>
      </c>
      <c r="J149" s="601">
        <v>0</v>
      </c>
      <c r="K149" s="601">
        <v>0</v>
      </c>
      <c r="L149" s="601">
        <v>0</v>
      </c>
      <c r="M149" s="601">
        <v>0</v>
      </c>
      <c r="N149" s="601">
        <v>0</v>
      </c>
      <c r="O149" s="601">
        <v>0</v>
      </c>
      <c r="P149" s="601">
        <v>0</v>
      </c>
      <c r="Q149" s="601">
        <v>0</v>
      </c>
      <c r="R149" s="601">
        <v>0</v>
      </c>
      <c r="S149" s="601">
        <v>0</v>
      </c>
      <c r="T149" s="601">
        <v>0</v>
      </c>
      <c r="U149" s="601">
        <v>0</v>
      </c>
      <c r="V149" s="601">
        <v>0</v>
      </c>
      <c r="W149" s="601">
        <v>0</v>
      </c>
      <c r="X149" s="65"/>
      <c r="Y149"/>
    </row>
    <row r="150" spans="1:25" ht="15.5">
      <c r="B150" s="65" t="s">
        <v>228</v>
      </c>
      <c r="C150" s="601">
        <v>0</v>
      </c>
      <c r="D150" s="601">
        <v>0</v>
      </c>
      <c r="E150" s="601">
        <v>0</v>
      </c>
      <c r="F150" s="601">
        <v>0</v>
      </c>
      <c r="G150" s="601">
        <v>0</v>
      </c>
      <c r="H150" s="601">
        <v>0</v>
      </c>
      <c r="I150" s="601">
        <v>0</v>
      </c>
      <c r="J150" s="601"/>
      <c r="K150" s="601">
        <v>0</v>
      </c>
      <c r="L150" s="601">
        <v>0</v>
      </c>
      <c r="M150" s="601">
        <v>0</v>
      </c>
      <c r="N150" s="601">
        <v>0</v>
      </c>
      <c r="O150" s="601"/>
      <c r="P150" s="601"/>
      <c r="Q150" s="601"/>
      <c r="R150" s="601"/>
      <c r="S150" s="601">
        <v>0</v>
      </c>
      <c r="T150" s="601">
        <v>0</v>
      </c>
      <c r="U150" s="601"/>
      <c r="V150" s="601"/>
      <c r="W150" s="601">
        <v>0</v>
      </c>
      <c r="Y150"/>
    </row>
    <row r="151" spans="1:25" ht="15.5">
      <c r="B151" s="65" t="s">
        <v>229</v>
      </c>
      <c r="C151" s="601">
        <v>0</v>
      </c>
      <c r="D151" s="601">
        <v>0</v>
      </c>
      <c r="E151" s="601">
        <v>0</v>
      </c>
      <c r="F151" s="601">
        <v>0</v>
      </c>
      <c r="G151" s="601">
        <v>0</v>
      </c>
      <c r="H151" s="601">
        <v>0</v>
      </c>
      <c r="I151" s="601">
        <v>0</v>
      </c>
      <c r="J151" s="601"/>
      <c r="K151" s="601">
        <v>0</v>
      </c>
      <c r="L151" s="601">
        <v>0</v>
      </c>
      <c r="M151" s="601">
        <v>0</v>
      </c>
      <c r="N151" s="601">
        <v>0</v>
      </c>
      <c r="O151" s="601"/>
      <c r="P151" s="601"/>
      <c r="Q151" s="601"/>
      <c r="R151" s="601"/>
      <c r="S151" s="601">
        <v>0</v>
      </c>
      <c r="T151" s="601">
        <v>0</v>
      </c>
      <c r="U151" s="601"/>
      <c r="V151" s="601"/>
      <c r="W151" s="601">
        <v>0</v>
      </c>
      <c r="Y151"/>
    </row>
    <row r="152" spans="1:25" s="149" customFormat="1" ht="15.5">
      <c r="A152" s="161"/>
      <c r="B152" s="65" t="s">
        <v>230</v>
      </c>
      <c r="C152" s="601">
        <v>0</v>
      </c>
      <c r="D152" s="601">
        <v>0</v>
      </c>
      <c r="E152" s="601">
        <v>0</v>
      </c>
      <c r="F152" s="601">
        <v>0</v>
      </c>
      <c r="G152" s="601">
        <v>0</v>
      </c>
      <c r="H152" s="601">
        <v>0</v>
      </c>
      <c r="I152" s="601">
        <v>0</v>
      </c>
      <c r="J152" s="601">
        <v>0</v>
      </c>
      <c r="K152" s="601">
        <v>0</v>
      </c>
      <c r="L152" s="601">
        <v>0</v>
      </c>
      <c r="M152" s="601">
        <v>0</v>
      </c>
      <c r="N152" s="601">
        <v>0</v>
      </c>
      <c r="O152" s="601">
        <v>0</v>
      </c>
      <c r="P152" s="601">
        <v>0</v>
      </c>
      <c r="Q152" s="601">
        <v>0</v>
      </c>
      <c r="R152" s="601">
        <v>0</v>
      </c>
      <c r="S152" s="601">
        <v>0</v>
      </c>
      <c r="T152" s="601">
        <v>0</v>
      </c>
      <c r="U152" s="601">
        <v>0</v>
      </c>
      <c r="V152" s="601">
        <v>0</v>
      </c>
      <c r="W152" s="601">
        <v>0</v>
      </c>
      <c r="X152" s="65"/>
      <c r="Y152"/>
    </row>
    <row r="153" spans="1:25" ht="15.5">
      <c r="B153" s="65" t="s">
        <v>231</v>
      </c>
      <c r="C153" s="601">
        <v>0</v>
      </c>
      <c r="D153" s="601">
        <v>0</v>
      </c>
      <c r="E153" s="601">
        <v>0</v>
      </c>
      <c r="F153" s="601">
        <v>0</v>
      </c>
      <c r="G153" s="601">
        <v>0</v>
      </c>
      <c r="H153" s="601">
        <v>0</v>
      </c>
      <c r="I153" s="601">
        <v>0</v>
      </c>
      <c r="J153" s="601"/>
      <c r="K153" s="601">
        <v>0</v>
      </c>
      <c r="L153" s="601">
        <v>0</v>
      </c>
      <c r="M153" s="601">
        <v>0</v>
      </c>
      <c r="N153" s="601">
        <v>0</v>
      </c>
      <c r="O153" s="601"/>
      <c r="P153" s="601"/>
      <c r="Q153" s="601"/>
      <c r="R153" s="601"/>
      <c r="S153" s="601">
        <v>0</v>
      </c>
      <c r="T153" s="601">
        <v>0</v>
      </c>
      <c r="U153" s="601"/>
      <c r="V153" s="601"/>
      <c r="W153" s="601">
        <v>0</v>
      </c>
      <c r="Y153"/>
    </row>
    <row r="154" spans="1:25" ht="15.5">
      <c r="B154" s="65" t="s">
        <v>232</v>
      </c>
      <c r="C154" s="601">
        <v>0</v>
      </c>
      <c r="D154" s="601">
        <v>0</v>
      </c>
      <c r="E154" s="601">
        <v>0</v>
      </c>
      <c r="F154" s="601">
        <v>0</v>
      </c>
      <c r="G154" s="601">
        <v>0</v>
      </c>
      <c r="H154" s="601">
        <v>0</v>
      </c>
      <c r="I154" s="601">
        <v>0</v>
      </c>
      <c r="J154" s="601"/>
      <c r="K154" s="601">
        <v>0</v>
      </c>
      <c r="L154" s="601">
        <v>0</v>
      </c>
      <c r="M154" s="601">
        <v>0</v>
      </c>
      <c r="N154" s="601">
        <v>0</v>
      </c>
      <c r="O154" s="601"/>
      <c r="P154" s="601"/>
      <c r="Q154" s="601"/>
      <c r="R154" s="601"/>
      <c r="S154" s="601">
        <v>0</v>
      </c>
      <c r="T154" s="601">
        <v>0</v>
      </c>
      <c r="U154" s="601"/>
      <c r="V154" s="601"/>
      <c r="W154" s="601">
        <v>0</v>
      </c>
      <c r="Y154"/>
    </row>
    <row r="155" spans="1:25" s="149" customFormat="1" ht="15.5">
      <c r="A155" s="521"/>
      <c r="B155" s="65" t="s">
        <v>233</v>
      </c>
      <c r="C155" s="211">
        <v>0</v>
      </c>
      <c r="D155" s="211">
        <v>0</v>
      </c>
      <c r="E155" s="211">
        <v>0</v>
      </c>
      <c r="F155" s="211">
        <v>0</v>
      </c>
      <c r="G155" s="211">
        <v>0</v>
      </c>
      <c r="H155" s="517">
        <v>0</v>
      </c>
      <c r="I155" s="211">
        <v>0</v>
      </c>
      <c r="J155" s="211">
        <v>0</v>
      </c>
      <c r="K155" s="211">
        <v>0</v>
      </c>
      <c r="L155" s="211">
        <v>0</v>
      </c>
      <c r="M155" s="211">
        <v>0</v>
      </c>
      <c r="N155" s="211">
        <v>0</v>
      </c>
      <c r="O155" s="211">
        <v>0</v>
      </c>
      <c r="P155" s="211">
        <v>0</v>
      </c>
      <c r="Q155" s="211">
        <v>0</v>
      </c>
      <c r="R155" s="211">
        <v>0</v>
      </c>
      <c r="S155" s="211">
        <v>0</v>
      </c>
      <c r="T155" s="211">
        <v>0</v>
      </c>
      <c r="U155" s="211">
        <v>0</v>
      </c>
      <c r="V155" s="211">
        <v>0</v>
      </c>
      <c r="W155" s="211">
        <v>0</v>
      </c>
      <c r="X155" s="65"/>
      <c r="Y155"/>
    </row>
    <row r="156" spans="1:25" ht="15.5">
      <c r="A156" s="161" t="s">
        <v>163</v>
      </c>
      <c r="B156" s="65" t="s">
        <v>110</v>
      </c>
      <c r="C156" s="601"/>
      <c r="D156" s="601"/>
      <c r="E156" s="601"/>
      <c r="F156" s="601"/>
      <c r="G156" s="601"/>
      <c r="H156" s="601"/>
      <c r="I156" s="601"/>
      <c r="J156" s="601"/>
      <c r="K156" s="601"/>
      <c r="L156" s="601"/>
      <c r="M156" s="601"/>
      <c r="N156" s="601"/>
      <c r="O156" s="601"/>
      <c r="P156" s="601"/>
      <c r="Q156" s="601"/>
      <c r="R156" s="601"/>
      <c r="S156" s="601"/>
      <c r="T156" s="601"/>
      <c r="U156" s="601"/>
      <c r="V156" s="601"/>
      <c r="W156" s="601"/>
      <c r="Y156"/>
    </row>
    <row r="157" spans="1:25" ht="15.5">
      <c r="B157" s="65" t="s">
        <v>111</v>
      </c>
      <c r="C157" s="601"/>
      <c r="D157" s="601"/>
      <c r="E157" s="601"/>
      <c r="F157" s="601"/>
      <c r="G157" s="601"/>
      <c r="H157" s="601"/>
      <c r="I157" s="601"/>
      <c r="J157" s="601"/>
      <c r="K157" s="601"/>
      <c r="L157" s="601"/>
      <c r="M157" s="601"/>
      <c r="N157" s="601"/>
      <c r="O157" s="601"/>
      <c r="P157" s="601"/>
      <c r="Q157" s="601"/>
      <c r="R157" s="601"/>
      <c r="S157" s="601"/>
      <c r="T157" s="601"/>
      <c r="U157" s="601"/>
      <c r="V157" s="601"/>
      <c r="W157" s="601"/>
      <c r="Y157"/>
    </row>
    <row r="158" spans="1:25" s="149" customFormat="1" ht="15.5">
      <c r="A158" s="161"/>
      <c r="B158" s="65" t="s">
        <v>112</v>
      </c>
      <c r="C158" s="601">
        <v>0</v>
      </c>
      <c r="D158" s="601">
        <v>0</v>
      </c>
      <c r="E158" s="601">
        <v>0</v>
      </c>
      <c r="F158" s="601">
        <v>0</v>
      </c>
      <c r="G158" s="601">
        <v>0</v>
      </c>
      <c r="H158" s="601">
        <v>0</v>
      </c>
      <c r="I158" s="601">
        <v>0</v>
      </c>
      <c r="J158" s="681">
        <v>0</v>
      </c>
      <c r="K158" s="601">
        <v>0</v>
      </c>
      <c r="L158" s="601">
        <v>0</v>
      </c>
      <c r="M158" s="601">
        <v>0</v>
      </c>
      <c r="N158" s="601">
        <v>0</v>
      </c>
      <c r="O158" s="601">
        <v>0</v>
      </c>
      <c r="P158" s="601">
        <v>0</v>
      </c>
      <c r="Q158" s="601">
        <v>0</v>
      </c>
      <c r="R158" s="601">
        <v>0</v>
      </c>
      <c r="S158" s="601">
        <v>0</v>
      </c>
      <c r="T158" s="601">
        <v>0</v>
      </c>
      <c r="U158" s="601">
        <v>0</v>
      </c>
      <c r="V158" s="601">
        <v>0</v>
      </c>
      <c r="W158" s="601">
        <v>0</v>
      </c>
      <c r="X158" s="65"/>
      <c r="Y158"/>
    </row>
    <row r="159" spans="1:25" ht="15.5">
      <c r="B159" s="65" t="s">
        <v>222</v>
      </c>
      <c r="C159" s="601"/>
      <c r="D159" s="601"/>
      <c r="E159" s="601"/>
      <c r="F159" s="601"/>
      <c r="G159" s="601"/>
      <c r="H159" s="601"/>
      <c r="I159" s="601"/>
      <c r="J159" s="601"/>
      <c r="K159" s="601"/>
      <c r="L159" s="601"/>
      <c r="M159" s="601"/>
      <c r="N159" s="601"/>
      <c r="O159" s="601">
        <v>0</v>
      </c>
      <c r="P159" s="601">
        <v>0</v>
      </c>
      <c r="Q159" s="601"/>
      <c r="R159" s="601">
        <v>0</v>
      </c>
      <c r="S159" s="601"/>
      <c r="T159" s="601"/>
      <c r="U159" s="601"/>
      <c r="V159" s="601"/>
      <c r="W159" s="601">
        <v>0</v>
      </c>
      <c r="Y159"/>
    </row>
    <row r="160" spans="1:25" ht="16" thickBot="1">
      <c r="B160" s="65" t="s">
        <v>223</v>
      </c>
      <c r="C160" s="601"/>
      <c r="D160" s="601"/>
      <c r="E160" s="601"/>
      <c r="F160" s="601"/>
      <c r="G160" s="601"/>
      <c r="H160" s="601"/>
      <c r="I160" s="601"/>
      <c r="J160" s="601"/>
      <c r="K160" s="601"/>
      <c r="L160" s="601"/>
      <c r="M160" s="601"/>
      <c r="N160" s="601"/>
      <c r="O160" s="601">
        <v>0</v>
      </c>
      <c r="P160" s="601">
        <v>0</v>
      </c>
      <c r="Q160" s="601"/>
      <c r="R160" s="601">
        <v>0</v>
      </c>
      <c r="S160" s="601"/>
      <c r="T160" s="601"/>
      <c r="U160" s="601"/>
      <c r="V160" s="601"/>
      <c r="W160" s="601">
        <v>0</v>
      </c>
      <c r="Y160"/>
    </row>
    <row r="161" spans="1:25" s="149" customFormat="1" ht="16" thickBot="1">
      <c r="A161" s="161"/>
      <c r="B161" s="65" t="s">
        <v>224</v>
      </c>
      <c r="C161" s="687">
        <v>0</v>
      </c>
      <c r="D161" s="601">
        <v>0</v>
      </c>
      <c r="E161" s="690">
        <v>0</v>
      </c>
      <c r="F161" s="687">
        <v>0</v>
      </c>
      <c r="G161" s="601">
        <v>0</v>
      </c>
      <c r="H161" s="687">
        <v>0</v>
      </c>
      <c r="I161" s="601">
        <v>0</v>
      </c>
      <c r="J161" s="601">
        <v>0</v>
      </c>
      <c r="K161" s="601">
        <v>0</v>
      </c>
      <c r="L161" s="601">
        <v>0</v>
      </c>
      <c r="M161" s="601">
        <v>0</v>
      </c>
      <c r="N161" s="601">
        <v>0</v>
      </c>
      <c r="O161" s="601">
        <v>0</v>
      </c>
      <c r="P161" s="601">
        <v>0</v>
      </c>
      <c r="Q161" s="601">
        <v>0</v>
      </c>
      <c r="R161" s="601">
        <v>0</v>
      </c>
      <c r="S161" s="601">
        <v>0</v>
      </c>
      <c r="T161" s="601">
        <v>0</v>
      </c>
      <c r="U161" s="601">
        <v>0</v>
      </c>
      <c r="V161" s="601">
        <v>0</v>
      </c>
      <c r="W161" s="601">
        <v>0</v>
      </c>
      <c r="X161" s="65"/>
      <c r="Y161"/>
    </row>
    <row r="162" spans="1:25" ht="15.5">
      <c r="B162" s="65" t="s">
        <v>225</v>
      </c>
      <c r="C162" s="601"/>
      <c r="D162" s="601"/>
      <c r="E162" s="601"/>
      <c r="F162" s="601"/>
      <c r="G162" s="601"/>
      <c r="H162" s="601"/>
      <c r="I162" s="601"/>
      <c r="J162" s="601"/>
      <c r="K162" s="601"/>
      <c r="L162" s="601"/>
      <c r="M162" s="601"/>
      <c r="N162" s="601"/>
      <c r="O162" s="601">
        <v>0</v>
      </c>
      <c r="P162" s="601">
        <v>0</v>
      </c>
      <c r="Q162" s="601"/>
      <c r="R162" s="601">
        <v>0</v>
      </c>
      <c r="S162" s="601"/>
      <c r="T162" s="601"/>
      <c r="U162" s="601"/>
      <c r="V162" s="601"/>
      <c r="W162" s="601">
        <v>0</v>
      </c>
      <c r="Y162"/>
    </row>
    <row r="163" spans="1:25" ht="15.5">
      <c r="B163" s="65" t="s">
        <v>226</v>
      </c>
      <c r="C163" s="601"/>
      <c r="D163" s="601"/>
      <c r="E163" s="601"/>
      <c r="F163" s="601"/>
      <c r="G163" s="601"/>
      <c r="H163" s="601"/>
      <c r="I163" s="601"/>
      <c r="J163" s="601"/>
      <c r="K163" s="601"/>
      <c r="L163" s="601"/>
      <c r="M163" s="601"/>
      <c r="N163" s="601"/>
      <c r="O163" s="601">
        <v>0</v>
      </c>
      <c r="P163" s="601">
        <v>0</v>
      </c>
      <c r="Q163" s="601"/>
      <c r="R163" s="601">
        <v>0</v>
      </c>
      <c r="S163" s="601"/>
      <c r="T163" s="601"/>
      <c r="U163" s="601"/>
      <c r="V163" s="601"/>
      <c r="W163" s="601">
        <v>0</v>
      </c>
      <c r="Y163"/>
    </row>
    <row r="164" spans="1:25" s="149" customFormat="1" ht="15.5">
      <c r="A164" s="161"/>
      <c r="B164" s="65" t="s">
        <v>227</v>
      </c>
      <c r="C164" s="601">
        <v>0</v>
      </c>
      <c r="D164" s="601">
        <v>0</v>
      </c>
      <c r="E164" s="601">
        <v>0</v>
      </c>
      <c r="F164" s="601">
        <v>0</v>
      </c>
      <c r="G164" s="601">
        <v>0</v>
      </c>
      <c r="H164" s="601">
        <v>0</v>
      </c>
      <c r="I164" s="601">
        <v>0</v>
      </c>
      <c r="J164" s="601">
        <v>0</v>
      </c>
      <c r="K164" s="601">
        <v>0</v>
      </c>
      <c r="L164" s="601">
        <v>0</v>
      </c>
      <c r="M164" s="601">
        <v>0</v>
      </c>
      <c r="N164" s="601">
        <v>0</v>
      </c>
      <c r="O164" s="601">
        <v>0</v>
      </c>
      <c r="P164" s="601">
        <v>0</v>
      </c>
      <c r="Q164" s="601">
        <v>0</v>
      </c>
      <c r="R164" s="601">
        <v>0</v>
      </c>
      <c r="S164" s="601">
        <v>0</v>
      </c>
      <c r="T164" s="601">
        <v>0</v>
      </c>
      <c r="U164" s="601">
        <v>0</v>
      </c>
      <c r="V164" s="601">
        <v>0</v>
      </c>
      <c r="W164" s="601">
        <v>0</v>
      </c>
      <c r="X164" s="65"/>
      <c r="Y164"/>
    </row>
    <row r="165" spans="1:25" ht="15.5">
      <c r="B165" s="65" t="s">
        <v>228</v>
      </c>
      <c r="C165" s="601"/>
      <c r="D165" s="601"/>
      <c r="E165" s="601"/>
      <c r="F165" s="601"/>
      <c r="G165" s="601"/>
      <c r="H165" s="601"/>
      <c r="I165" s="601"/>
      <c r="J165" s="601"/>
      <c r="K165" s="601"/>
      <c r="L165" s="601"/>
      <c r="M165" s="601"/>
      <c r="N165" s="601"/>
      <c r="O165" s="601">
        <v>0</v>
      </c>
      <c r="P165" s="601">
        <v>0</v>
      </c>
      <c r="Q165" s="601"/>
      <c r="R165" s="601">
        <v>0</v>
      </c>
      <c r="S165" s="601"/>
      <c r="T165" s="601"/>
      <c r="U165" s="601"/>
      <c r="V165" s="601"/>
      <c r="W165" s="601">
        <v>0</v>
      </c>
      <c r="Y165"/>
    </row>
    <row r="166" spans="1:25" ht="15.5">
      <c r="B166" s="65" t="s">
        <v>229</v>
      </c>
      <c r="C166" s="601"/>
      <c r="D166" s="601"/>
      <c r="E166" s="601"/>
      <c r="F166" s="601"/>
      <c r="G166" s="601"/>
      <c r="H166" s="601"/>
      <c r="I166" s="601"/>
      <c r="J166" s="601"/>
      <c r="K166" s="601"/>
      <c r="L166" s="601"/>
      <c r="M166" s="601"/>
      <c r="N166" s="601"/>
      <c r="O166" s="601">
        <v>0</v>
      </c>
      <c r="P166" s="601">
        <v>0</v>
      </c>
      <c r="Q166" s="601"/>
      <c r="R166" s="601">
        <v>0</v>
      </c>
      <c r="S166" s="601"/>
      <c r="T166" s="601"/>
      <c r="U166" s="601"/>
      <c r="V166" s="601"/>
      <c r="W166" s="601">
        <v>0</v>
      </c>
      <c r="Y166"/>
    </row>
    <row r="167" spans="1:25" s="149" customFormat="1" ht="15.5">
      <c r="A167" s="161"/>
      <c r="B167" s="65" t="s">
        <v>230</v>
      </c>
      <c r="C167" s="601">
        <v>0</v>
      </c>
      <c r="D167" s="601">
        <v>0</v>
      </c>
      <c r="E167" s="601">
        <v>0</v>
      </c>
      <c r="F167" s="601">
        <v>0</v>
      </c>
      <c r="G167" s="601">
        <v>0</v>
      </c>
      <c r="H167" s="601">
        <v>0</v>
      </c>
      <c r="I167" s="601">
        <v>0</v>
      </c>
      <c r="J167" s="601">
        <v>0</v>
      </c>
      <c r="K167" s="601">
        <v>0</v>
      </c>
      <c r="L167" s="601">
        <v>0</v>
      </c>
      <c r="M167" s="601">
        <v>0</v>
      </c>
      <c r="N167" s="601">
        <v>0</v>
      </c>
      <c r="O167" s="601">
        <v>0</v>
      </c>
      <c r="P167" s="601">
        <v>0</v>
      </c>
      <c r="Q167" s="601">
        <v>0</v>
      </c>
      <c r="R167" s="601">
        <v>0</v>
      </c>
      <c r="S167" s="601">
        <v>0</v>
      </c>
      <c r="T167" s="601">
        <v>0</v>
      </c>
      <c r="U167" s="601">
        <v>0</v>
      </c>
      <c r="V167" s="601">
        <v>0</v>
      </c>
      <c r="W167" s="601">
        <v>0</v>
      </c>
      <c r="X167" s="65"/>
      <c r="Y167"/>
    </row>
    <row r="168" spans="1:25" ht="15.5">
      <c r="B168" s="65" t="s">
        <v>231</v>
      </c>
      <c r="C168" s="601"/>
      <c r="D168" s="601"/>
      <c r="E168" s="601"/>
      <c r="F168" s="601"/>
      <c r="G168" s="601"/>
      <c r="H168" s="601"/>
      <c r="I168" s="601"/>
      <c r="J168" s="601"/>
      <c r="K168" s="601"/>
      <c r="L168" s="601"/>
      <c r="M168" s="601"/>
      <c r="N168" s="601"/>
      <c r="O168" s="601">
        <v>0</v>
      </c>
      <c r="P168" s="601">
        <v>0</v>
      </c>
      <c r="Q168" s="601"/>
      <c r="R168" s="601">
        <v>0</v>
      </c>
      <c r="S168" s="601"/>
      <c r="T168" s="601"/>
      <c r="U168" s="601">
        <v>0</v>
      </c>
      <c r="V168" s="601">
        <v>0</v>
      </c>
      <c r="W168" s="601">
        <v>0</v>
      </c>
      <c r="Y168"/>
    </row>
    <row r="169" spans="1:25" ht="15.5">
      <c r="B169" s="65" t="s">
        <v>232</v>
      </c>
      <c r="C169" s="601"/>
      <c r="D169" s="601"/>
      <c r="E169" s="601"/>
      <c r="F169" s="601"/>
      <c r="G169" s="601"/>
      <c r="H169" s="601"/>
      <c r="I169" s="601"/>
      <c r="J169" s="601"/>
      <c r="K169" s="601"/>
      <c r="L169" s="601"/>
      <c r="M169" s="601"/>
      <c r="N169" s="601"/>
      <c r="O169" s="601">
        <v>0</v>
      </c>
      <c r="P169" s="601">
        <v>0</v>
      </c>
      <c r="Q169" s="601"/>
      <c r="R169" s="601">
        <v>0</v>
      </c>
      <c r="S169" s="601"/>
      <c r="T169" s="601"/>
      <c r="U169" s="601">
        <v>0</v>
      </c>
      <c r="V169" s="601">
        <v>0</v>
      </c>
      <c r="W169" s="601">
        <v>0</v>
      </c>
      <c r="Y169"/>
    </row>
    <row r="170" spans="1:25" s="149" customFormat="1" ht="15.5">
      <c r="A170" s="521"/>
      <c r="B170" s="65" t="s">
        <v>233</v>
      </c>
      <c r="C170" s="211">
        <v>0</v>
      </c>
      <c r="D170" s="211">
        <v>0</v>
      </c>
      <c r="E170" s="211">
        <v>0</v>
      </c>
      <c r="F170" s="211">
        <v>0</v>
      </c>
      <c r="G170" s="211">
        <v>0</v>
      </c>
      <c r="H170" s="211">
        <v>0</v>
      </c>
      <c r="I170" s="211">
        <v>0</v>
      </c>
      <c r="J170" s="211">
        <v>0</v>
      </c>
      <c r="K170" s="211">
        <v>0</v>
      </c>
      <c r="L170" s="211">
        <v>0</v>
      </c>
      <c r="M170" s="211">
        <v>0</v>
      </c>
      <c r="N170" s="211">
        <v>0</v>
      </c>
      <c r="O170" s="211">
        <v>0</v>
      </c>
      <c r="P170" s="211">
        <v>0</v>
      </c>
      <c r="Q170" s="211">
        <v>0</v>
      </c>
      <c r="R170" s="211">
        <v>0</v>
      </c>
      <c r="S170" s="211">
        <v>0</v>
      </c>
      <c r="T170" s="211">
        <v>0</v>
      </c>
      <c r="U170" s="211">
        <v>0</v>
      </c>
      <c r="V170" s="211">
        <v>0</v>
      </c>
      <c r="W170" s="211">
        <v>0</v>
      </c>
      <c r="X170" s="65"/>
      <c r="Y170"/>
    </row>
    <row r="171" spans="1:25" ht="15.5">
      <c r="A171" s="161" t="s">
        <v>164</v>
      </c>
      <c r="B171" s="65" t="s">
        <v>110</v>
      </c>
      <c r="C171" s="601">
        <v>10670</v>
      </c>
      <c r="D171" s="601"/>
      <c r="E171" s="601">
        <v>3852</v>
      </c>
      <c r="F171" s="601">
        <v>1892</v>
      </c>
      <c r="G171" s="601">
        <v>860</v>
      </c>
      <c r="H171" s="601">
        <v>2681</v>
      </c>
      <c r="I171" s="601">
        <v>19955</v>
      </c>
      <c r="J171" s="601"/>
      <c r="K171" s="601"/>
      <c r="L171" s="601"/>
      <c r="M171" s="601"/>
      <c r="N171" s="601"/>
      <c r="O171" s="601"/>
      <c r="P171" s="601"/>
      <c r="Q171" s="601"/>
      <c r="R171" s="601"/>
      <c r="S171" s="601">
        <v>223</v>
      </c>
      <c r="T171" s="601">
        <v>223</v>
      </c>
      <c r="U171" s="601"/>
      <c r="V171" s="601"/>
      <c r="W171" s="601">
        <v>20178</v>
      </c>
      <c r="Y171"/>
    </row>
    <row r="172" spans="1:25" ht="15.5">
      <c r="B172" s="65" t="s">
        <v>111</v>
      </c>
      <c r="C172" s="601">
        <v>11070</v>
      </c>
      <c r="D172" s="601"/>
      <c r="E172" s="601">
        <v>3876</v>
      </c>
      <c r="F172" s="601">
        <v>1986</v>
      </c>
      <c r="G172" s="601">
        <v>873</v>
      </c>
      <c r="H172" s="601">
        <v>2745</v>
      </c>
      <c r="I172" s="601">
        <v>20550</v>
      </c>
      <c r="J172" s="601"/>
      <c r="K172" s="601"/>
      <c r="L172" s="601"/>
      <c r="M172" s="601"/>
      <c r="N172" s="601"/>
      <c r="O172" s="601"/>
      <c r="P172" s="601"/>
      <c r="Q172" s="601"/>
      <c r="R172" s="601"/>
      <c r="S172" s="601">
        <v>213</v>
      </c>
      <c r="T172" s="601">
        <v>213</v>
      </c>
      <c r="U172" s="601"/>
      <c r="V172" s="601"/>
      <c r="W172" s="601">
        <v>20763</v>
      </c>
      <c r="Y172"/>
    </row>
    <row r="173" spans="1:25" s="149" customFormat="1" ht="15.5">
      <c r="A173" s="161"/>
      <c r="B173" s="65" t="s">
        <v>112</v>
      </c>
      <c r="C173" s="601">
        <v>3.7488284910965321E-2</v>
      </c>
      <c r="D173" s="601">
        <v>0</v>
      </c>
      <c r="E173" s="601">
        <v>6.2305295950155761E-3</v>
      </c>
      <c r="F173" s="601">
        <v>4.9682875264270614E-2</v>
      </c>
      <c r="G173" s="601">
        <v>1.5116279069767442E-2</v>
      </c>
      <c r="H173" s="601">
        <v>2.3871689668034317E-2</v>
      </c>
      <c r="I173" s="601">
        <v>2.9817088449010272E-2</v>
      </c>
      <c r="J173" s="601">
        <v>0</v>
      </c>
      <c r="K173" s="601">
        <v>0</v>
      </c>
      <c r="L173" s="601">
        <v>0</v>
      </c>
      <c r="M173" s="601">
        <v>0</v>
      </c>
      <c r="N173" s="601">
        <v>0</v>
      </c>
      <c r="O173" s="601">
        <v>0</v>
      </c>
      <c r="P173" s="601">
        <v>0</v>
      </c>
      <c r="Q173" s="601">
        <v>0</v>
      </c>
      <c r="R173" s="601">
        <v>0</v>
      </c>
      <c r="S173" s="681">
        <v>-4.4843049327354258E-2</v>
      </c>
      <c r="T173" s="601">
        <v>-4.4843049327354258E-2</v>
      </c>
      <c r="U173" s="601">
        <v>0</v>
      </c>
      <c r="V173" s="601">
        <v>0</v>
      </c>
      <c r="W173" s="601">
        <v>2.8991971454058876E-2</v>
      </c>
      <c r="X173" s="65"/>
      <c r="Y173"/>
    </row>
    <row r="174" spans="1:25" ht="15.5">
      <c r="B174" s="65" t="s">
        <v>222</v>
      </c>
      <c r="C174" s="601">
        <v>0</v>
      </c>
      <c r="D174" s="601"/>
      <c r="E174" s="601">
        <v>0</v>
      </c>
      <c r="F174" s="601">
        <v>0</v>
      </c>
      <c r="G174" s="601">
        <v>0</v>
      </c>
      <c r="H174" s="601">
        <v>0</v>
      </c>
      <c r="I174" s="601">
        <v>0</v>
      </c>
      <c r="J174" s="601"/>
      <c r="K174" s="601">
        <v>0</v>
      </c>
      <c r="L174" s="601">
        <v>0</v>
      </c>
      <c r="M174" s="601">
        <v>0</v>
      </c>
      <c r="N174" s="601">
        <v>0</v>
      </c>
      <c r="O174" s="601"/>
      <c r="P174" s="601"/>
      <c r="Q174" s="601"/>
      <c r="R174" s="601"/>
      <c r="S174" s="601">
        <v>0</v>
      </c>
      <c r="T174" s="601">
        <v>0</v>
      </c>
      <c r="U174" s="601"/>
      <c r="V174" s="601"/>
      <c r="W174" s="601">
        <v>0</v>
      </c>
      <c r="Y174"/>
    </row>
    <row r="175" spans="1:25" ht="15.5">
      <c r="B175" s="65" t="s">
        <v>223</v>
      </c>
      <c r="C175" s="601">
        <v>0</v>
      </c>
      <c r="D175" s="601"/>
      <c r="E175" s="601">
        <v>0</v>
      </c>
      <c r="F175" s="601">
        <v>0</v>
      </c>
      <c r="G175" s="601">
        <v>0</v>
      </c>
      <c r="H175" s="601">
        <v>0</v>
      </c>
      <c r="I175" s="601">
        <v>0</v>
      </c>
      <c r="J175" s="601"/>
      <c r="K175" s="601">
        <v>0</v>
      </c>
      <c r="L175" s="601">
        <v>0</v>
      </c>
      <c r="M175" s="601">
        <v>0</v>
      </c>
      <c r="N175" s="601">
        <v>0</v>
      </c>
      <c r="O175" s="601"/>
      <c r="P175" s="601"/>
      <c r="Q175" s="601"/>
      <c r="R175" s="601"/>
      <c r="S175" s="601">
        <v>0</v>
      </c>
      <c r="T175" s="601">
        <v>0</v>
      </c>
      <c r="U175" s="601"/>
      <c r="V175" s="601"/>
      <c r="W175" s="601">
        <v>0</v>
      </c>
      <c r="Y175"/>
    </row>
    <row r="176" spans="1:25" s="149" customFormat="1" ht="15.5">
      <c r="A176" s="161"/>
      <c r="B176" s="65" t="s">
        <v>224</v>
      </c>
      <c r="C176" s="601">
        <v>0</v>
      </c>
      <c r="D176" s="601">
        <v>0</v>
      </c>
      <c r="E176" s="601">
        <v>0</v>
      </c>
      <c r="F176" s="601">
        <v>0</v>
      </c>
      <c r="G176" s="601">
        <v>0</v>
      </c>
      <c r="H176" s="601">
        <v>0</v>
      </c>
      <c r="I176" s="601">
        <v>0</v>
      </c>
      <c r="J176" s="601">
        <v>0</v>
      </c>
      <c r="K176" s="601">
        <v>0</v>
      </c>
      <c r="L176" s="601">
        <v>0</v>
      </c>
      <c r="M176" s="601">
        <v>0</v>
      </c>
      <c r="N176" s="601">
        <v>0</v>
      </c>
      <c r="O176" s="601">
        <v>0</v>
      </c>
      <c r="P176" s="601">
        <v>0</v>
      </c>
      <c r="Q176" s="601">
        <v>0</v>
      </c>
      <c r="R176" s="601">
        <v>0</v>
      </c>
      <c r="S176" s="601">
        <v>0</v>
      </c>
      <c r="T176" s="601">
        <v>0</v>
      </c>
      <c r="U176" s="601">
        <v>0</v>
      </c>
      <c r="V176" s="601">
        <v>0</v>
      </c>
      <c r="W176" s="601">
        <v>0</v>
      </c>
      <c r="X176" s="65"/>
      <c r="Y176"/>
    </row>
    <row r="177" spans="1:25" ht="15.5">
      <c r="B177" s="65" t="s">
        <v>225</v>
      </c>
      <c r="C177" s="601">
        <v>0</v>
      </c>
      <c r="D177" s="601"/>
      <c r="E177" s="601">
        <v>0</v>
      </c>
      <c r="F177" s="601">
        <v>0</v>
      </c>
      <c r="G177" s="601">
        <v>0</v>
      </c>
      <c r="H177" s="601">
        <v>0</v>
      </c>
      <c r="I177" s="601">
        <v>0</v>
      </c>
      <c r="J177" s="601"/>
      <c r="K177" s="601">
        <v>0</v>
      </c>
      <c r="L177" s="601">
        <v>0</v>
      </c>
      <c r="M177" s="601">
        <v>0</v>
      </c>
      <c r="N177" s="601">
        <v>0</v>
      </c>
      <c r="O177" s="601"/>
      <c r="P177" s="601"/>
      <c r="Q177" s="601"/>
      <c r="R177" s="601"/>
      <c r="S177" s="601">
        <v>0</v>
      </c>
      <c r="T177" s="601">
        <v>0</v>
      </c>
      <c r="U177" s="601"/>
      <c r="V177" s="601"/>
      <c r="W177" s="601">
        <v>0</v>
      </c>
      <c r="Y177"/>
    </row>
    <row r="178" spans="1:25" ht="15.5">
      <c r="B178" s="65" t="s">
        <v>226</v>
      </c>
      <c r="C178" s="601">
        <v>0</v>
      </c>
      <c r="D178" s="601"/>
      <c r="E178" s="601">
        <v>0</v>
      </c>
      <c r="F178" s="601">
        <v>0</v>
      </c>
      <c r="G178" s="601">
        <v>0</v>
      </c>
      <c r="H178" s="601">
        <v>0</v>
      </c>
      <c r="I178" s="601">
        <v>0</v>
      </c>
      <c r="J178" s="601"/>
      <c r="K178" s="601">
        <v>0</v>
      </c>
      <c r="L178" s="601">
        <v>0</v>
      </c>
      <c r="M178" s="601">
        <v>0</v>
      </c>
      <c r="N178" s="601">
        <v>0</v>
      </c>
      <c r="O178" s="601"/>
      <c r="P178" s="601"/>
      <c r="Q178" s="601"/>
      <c r="R178" s="601"/>
      <c r="S178" s="601">
        <v>0</v>
      </c>
      <c r="T178" s="601">
        <v>0</v>
      </c>
      <c r="U178" s="601"/>
      <c r="V178" s="601"/>
      <c r="W178" s="601">
        <v>0</v>
      </c>
      <c r="Y178"/>
    </row>
    <row r="179" spans="1:25" s="149" customFormat="1" ht="15.5">
      <c r="A179" s="161"/>
      <c r="B179" s="65" t="s">
        <v>227</v>
      </c>
      <c r="C179" s="601">
        <v>0</v>
      </c>
      <c r="D179" s="601">
        <v>0</v>
      </c>
      <c r="E179" s="601">
        <v>0</v>
      </c>
      <c r="F179" s="601">
        <v>0</v>
      </c>
      <c r="G179" s="601">
        <v>0</v>
      </c>
      <c r="H179" s="601">
        <v>0</v>
      </c>
      <c r="I179" s="601">
        <v>0</v>
      </c>
      <c r="J179" s="601">
        <v>0</v>
      </c>
      <c r="K179" s="601">
        <v>0</v>
      </c>
      <c r="L179" s="601">
        <v>0</v>
      </c>
      <c r="M179" s="601">
        <v>0</v>
      </c>
      <c r="N179" s="601">
        <v>0</v>
      </c>
      <c r="O179" s="601">
        <v>0</v>
      </c>
      <c r="P179" s="601">
        <v>0</v>
      </c>
      <c r="Q179" s="601">
        <v>0</v>
      </c>
      <c r="R179" s="601">
        <v>0</v>
      </c>
      <c r="S179" s="601">
        <v>0</v>
      </c>
      <c r="T179" s="601">
        <v>0</v>
      </c>
      <c r="U179" s="601">
        <v>0</v>
      </c>
      <c r="V179" s="601">
        <v>0</v>
      </c>
      <c r="W179" s="601">
        <v>0</v>
      </c>
      <c r="X179" s="65"/>
      <c r="Y179"/>
    </row>
    <row r="180" spans="1:25" ht="15.5">
      <c r="B180" s="65" t="s">
        <v>228</v>
      </c>
      <c r="C180" s="601">
        <v>0</v>
      </c>
      <c r="D180" s="601"/>
      <c r="E180" s="601">
        <v>0</v>
      </c>
      <c r="F180" s="601">
        <v>0</v>
      </c>
      <c r="G180" s="601">
        <v>0</v>
      </c>
      <c r="H180" s="601">
        <v>0</v>
      </c>
      <c r="I180" s="601">
        <v>0</v>
      </c>
      <c r="J180" s="601"/>
      <c r="K180" s="601">
        <v>0</v>
      </c>
      <c r="L180" s="601">
        <v>0</v>
      </c>
      <c r="M180" s="601">
        <v>0</v>
      </c>
      <c r="N180" s="601">
        <v>0</v>
      </c>
      <c r="O180" s="601"/>
      <c r="P180" s="601"/>
      <c r="Q180" s="601"/>
      <c r="R180" s="601"/>
      <c r="S180" s="601">
        <v>0</v>
      </c>
      <c r="T180" s="601">
        <v>0</v>
      </c>
      <c r="U180" s="601"/>
      <c r="V180" s="601"/>
      <c r="W180" s="601">
        <v>0</v>
      </c>
      <c r="Y180"/>
    </row>
    <row r="181" spans="1:25" ht="16" thickBot="1">
      <c r="B181" s="65" t="s">
        <v>229</v>
      </c>
      <c r="C181" s="601">
        <v>0</v>
      </c>
      <c r="D181" s="601"/>
      <c r="E181" s="601">
        <v>0</v>
      </c>
      <c r="F181" s="601">
        <v>0</v>
      </c>
      <c r="G181" s="601">
        <v>0</v>
      </c>
      <c r="H181" s="601">
        <v>0</v>
      </c>
      <c r="I181" s="601">
        <v>0</v>
      </c>
      <c r="J181" s="601"/>
      <c r="K181" s="601">
        <v>0</v>
      </c>
      <c r="L181" s="601">
        <v>0</v>
      </c>
      <c r="M181" s="601">
        <v>0</v>
      </c>
      <c r="N181" s="601">
        <v>0</v>
      </c>
      <c r="O181" s="601"/>
      <c r="P181" s="601"/>
      <c r="Q181" s="601"/>
      <c r="R181" s="601"/>
      <c r="S181" s="601">
        <v>0</v>
      </c>
      <c r="T181" s="601">
        <v>0</v>
      </c>
      <c r="U181" s="601"/>
      <c r="V181" s="601"/>
      <c r="W181" s="601">
        <v>0</v>
      </c>
      <c r="Y181"/>
    </row>
    <row r="182" spans="1:25" s="149" customFormat="1" ht="16" thickBot="1">
      <c r="A182" s="161"/>
      <c r="B182" s="65" t="s">
        <v>230</v>
      </c>
      <c r="C182" s="601">
        <v>0</v>
      </c>
      <c r="D182" s="601">
        <v>0</v>
      </c>
      <c r="E182" s="687">
        <v>0</v>
      </c>
      <c r="F182" s="601">
        <v>0</v>
      </c>
      <c r="G182" s="601">
        <v>0</v>
      </c>
      <c r="H182" s="601">
        <v>0</v>
      </c>
      <c r="I182" s="601">
        <v>0</v>
      </c>
      <c r="J182" s="601">
        <v>0</v>
      </c>
      <c r="K182" s="601">
        <v>0</v>
      </c>
      <c r="L182" s="601">
        <v>0</v>
      </c>
      <c r="M182" s="601">
        <v>0</v>
      </c>
      <c r="N182" s="601">
        <v>0</v>
      </c>
      <c r="O182" s="601">
        <v>0</v>
      </c>
      <c r="P182" s="601">
        <v>0</v>
      </c>
      <c r="Q182" s="601">
        <v>0</v>
      </c>
      <c r="R182" s="601">
        <v>0</v>
      </c>
      <c r="S182" s="601">
        <v>0</v>
      </c>
      <c r="T182" s="601">
        <v>0</v>
      </c>
      <c r="U182" s="601">
        <v>0</v>
      </c>
      <c r="V182" s="601">
        <v>0</v>
      </c>
      <c r="W182" s="601">
        <v>0</v>
      </c>
      <c r="X182" s="65"/>
      <c r="Y182"/>
    </row>
    <row r="183" spans="1:25" ht="15.5">
      <c r="B183" s="65" t="s">
        <v>231</v>
      </c>
      <c r="C183" s="601">
        <v>0</v>
      </c>
      <c r="D183" s="601"/>
      <c r="E183" s="601">
        <v>0</v>
      </c>
      <c r="F183" s="601">
        <v>0</v>
      </c>
      <c r="G183" s="601">
        <v>0</v>
      </c>
      <c r="H183" s="601">
        <v>0</v>
      </c>
      <c r="I183" s="601">
        <v>0</v>
      </c>
      <c r="J183" s="601"/>
      <c r="K183" s="601">
        <v>0</v>
      </c>
      <c r="L183" s="601">
        <v>0</v>
      </c>
      <c r="M183" s="601">
        <v>0</v>
      </c>
      <c r="N183" s="601">
        <v>0</v>
      </c>
      <c r="O183" s="601"/>
      <c r="P183" s="601"/>
      <c r="Q183" s="601"/>
      <c r="R183" s="601"/>
      <c r="S183" s="601">
        <v>0</v>
      </c>
      <c r="T183" s="601">
        <v>0</v>
      </c>
      <c r="U183" s="601"/>
      <c r="V183" s="601"/>
      <c r="W183" s="601">
        <v>0</v>
      </c>
      <c r="Y183"/>
    </row>
    <row r="184" spans="1:25" ht="15.5">
      <c r="B184" s="65" t="s">
        <v>232</v>
      </c>
      <c r="C184" s="601">
        <v>0</v>
      </c>
      <c r="D184" s="601"/>
      <c r="E184" s="601">
        <v>0</v>
      </c>
      <c r="F184" s="601">
        <v>0</v>
      </c>
      <c r="G184" s="601">
        <v>0</v>
      </c>
      <c r="H184" s="601">
        <v>0</v>
      </c>
      <c r="I184" s="601">
        <v>0</v>
      </c>
      <c r="J184" s="601"/>
      <c r="K184" s="601">
        <v>0</v>
      </c>
      <c r="L184" s="601">
        <v>0</v>
      </c>
      <c r="M184" s="601">
        <v>0</v>
      </c>
      <c r="N184" s="601">
        <v>0</v>
      </c>
      <c r="O184" s="601"/>
      <c r="P184" s="601"/>
      <c r="Q184" s="601"/>
      <c r="R184" s="601"/>
      <c r="S184" s="601">
        <v>0</v>
      </c>
      <c r="T184" s="601">
        <v>0</v>
      </c>
      <c r="U184" s="601"/>
      <c r="V184" s="601"/>
      <c r="W184" s="601">
        <v>0</v>
      </c>
      <c r="Y184"/>
    </row>
    <row r="185" spans="1:25" s="149" customFormat="1" ht="15.5">
      <c r="A185" s="521"/>
      <c r="B185" s="65" t="s">
        <v>233</v>
      </c>
      <c r="C185" s="211">
        <v>0</v>
      </c>
      <c r="D185" s="211">
        <v>0</v>
      </c>
      <c r="E185" s="211">
        <v>0</v>
      </c>
      <c r="F185" s="211">
        <v>0</v>
      </c>
      <c r="G185" s="211">
        <v>0</v>
      </c>
      <c r="H185" s="211">
        <v>0</v>
      </c>
      <c r="I185" s="211">
        <v>0</v>
      </c>
      <c r="J185" s="211">
        <v>0</v>
      </c>
      <c r="K185" s="211">
        <v>0</v>
      </c>
      <c r="L185" s="211">
        <v>0</v>
      </c>
      <c r="M185" s="211">
        <v>0</v>
      </c>
      <c r="N185" s="211">
        <v>0</v>
      </c>
      <c r="O185" s="211">
        <v>0</v>
      </c>
      <c r="P185" s="211">
        <v>0</v>
      </c>
      <c r="Q185" s="211">
        <v>0</v>
      </c>
      <c r="R185" s="211">
        <v>0</v>
      </c>
      <c r="S185" s="211">
        <v>0</v>
      </c>
      <c r="T185" s="211">
        <v>0</v>
      </c>
      <c r="U185" s="211">
        <v>0</v>
      </c>
      <c r="V185" s="211">
        <v>0</v>
      </c>
      <c r="W185" s="211">
        <v>0</v>
      </c>
      <c r="X185" s="65"/>
      <c r="Y185"/>
    </row>
    <row r="186" spans="1:25" ht="15.5">
      <c r="A186" s="161" t="s">
        <v>165</v>
      </c>
      <c r="B186" s="65" t="s">
        <v>110</v>
      </c>
      <c r="C186" s="601">
        <v>7890</v>
      </c>
      <c r="D186" s="601">
        <v>7586</v>
      </c>
      <c r="E186" s="601">
        <v>5563</v>
      </c>
      <c r="F186" s="601">
        <v>1166</v>
      </c>
      <c r="G186" s="601"/>
      <c r="H186" s="601"/>
      <c r="I186" s="601">
        <v>22205</v>
      </c>
      <c r="J186" s="601"/>
      <c r="K186" s="601"/>
      <c r="L186" s="601"/>
      <c r="M186" s="601"/>
      <c r="N186" s="601"/>
      <c r="O186" s="601"/>
      <c r="P186" s="601"/>
      <c r="Q186" s="601"/>
      <c r="R186" s="601"/>
      <c r="S186" s="601">
        <v>228</v>
      </c>
      <c r="T186" s="601">
        <v>228</v>
      </c>
      <c r="U186" s="601"/>
      <c r="V186" s="601"/>
      <c r="W186" s="601">
        <v>22433</v>
      </c>
      <c r="Y186"/>
    </row>
    <row r="187" spans="1:25" ht="15.5">
      <c r="B187" s="65" t="s">
        <v>111</v>
      </c>
      <c r="C187" s="601">
        <v>8156</v>
      </c>
      <c r="D187" s="601">
        <v>7573</v>
      </c>
      <c r="E187" s="601">
        <v>5712</v>
      </c>
      <c r="F187" s="601">
        <v>1096</v>
      </c>
      <c r="G187" s="601"/>
      <c r="H187" s="601"/>
      <c r="I187" s="601">
        <v>22537</v>
      </c>
      <c r="J187" s="601"/>
      <c r="K187" s="601"/>
      <c r="L187" s="601"/>
      <c r="M187" s="601"/>
      <c r="N187" s="601"/>
      <c r="O187" s="601"/>
      <c r="P187" s="601"/>
      <c r="Q187" s="601"/>
      <c r="R187" s="601"/>
      <c r="S187" s="601">
        <v>182</v>
      </c>
      <c r="T187" s="601">
        <v>182</v>
      </c>
      <c r="U187" s="601"/>
      <c r="V187" s="601"/>
      <c r="W187" s="601">
        <v>22719</v>
      </c>
      <c r="Y187"/>
    </row>
    <row r="188" spans="1:25" s="149" customFormat="1" ht="15.5">
      <c r="A188" s="161"/>
      <c r="B188" s="65" t="s">
        <v>112</v>
      </c>
      <c r="C188" s="601">
        <v>3.371356147021546E-2</v>
      </c>
      <c r="D188" s="601">
        <v>-1.7136831004481939E-3</v>
      </c>
      <c r="E188" s="601">
        <v>2.6784109293546649E-2</v>
      </c>
      <c r="F188" s="601">
        <v>-6.0034305317324184E-2</v>
      </c>
      <c r="G188" s="601">
        <v>0</v>
      </c>
      <c r="H188" s="601">
        <v>0</v>
      </c>
      <c r="I188" s="601">
        <v>1.495158748029723E-2</v>
      </c>
      <c r="J188" s="601">
        <v>0</v>
      </c>
      <c r="K188" s="601">
        <v>0</v>
      </c>
      <c r="L188" s="601">
        <v>0</v>
      </c>
      <c r="M188" s="601">
        <v>0</v>
      </c>
      <c r="N188" s="601">
        <v>0</v>
      </c>
      <c r="O188" s="601">
        <v>0</v>
      </c>
      <c r="P188" s="601">
        <v>0</v>
      </c>
      <c r="Q188" s="601">
        <v>0</v>
      </c>
      <c r="R188" s="601">
        <v>0</v>
      </c>
      <c r="S188" s="601">
        <v>-0.20175438596491227</v>
      </c>
      <c r="T188" s="601">
        <v>-0.20175438596491227</v>
      </c>
      <c r="U188" s="601">
        <v>0</v>
      </c>
      <c r="V188" s="601">
        <v>0</v>
      </c>
      <c r="W188" s="601">
        <v>1.2749075023403023E-2</v>
      </c>
      <c r="X188" s="65"/>
      <c r="Y188"/>
    </row>
    <row r="189" spans="1:25" ht="15.5">
      <c r="B189" s="65" t="s">
        <v>222</v>
      </c>
      <c r="C189" s="601">
        <v>0</v>
      </c>
      <c r="D189" s="601">
        <v>0</v>
      </c>
      <c r="E189" s="601">
        <v>0</v>
      </c>
      <c r="F189" s="601">
        <v>0</v>
      </c>
      <c r="G189" s="601"/>
      <c r="H189" s="601"/>
      <c r="I189" s="601">
        <v>0</v>
      </c>
      <c r="J189" s="601"/>
      <c r="K189" s="601">
        <v>0</v>
      </c>
      <c r="L189" s="601">
        <v>0</v>
      </c>
      <c r="M189" s="601">
        <v>0</v>
      </c>
      <c r="N189" s="601">
        <v>0</v>
      </c>
      <c r="O189" s="601"/>
      <c r="P189" s="601">
        <v>0</v>
      </c>
      <c r="Q189" s="601"/>
      <c r="R189" s="601">
        <v>0</v>
      </c>
      <c r="S189" s="601">
        <v>0</v>
      </c>
      <c r="T189" s="601">
        <v>0</v>
      </c>
      <c r="U189" s="601"/>
      <c r="V189" s="601"/>
      <c r="W189" s="601">
        <v>0</v>
      </c>
      <c r="Y189"/>
    </row>
    <row r="190" spans="1:25" ht="15.5">
      <c r="B190" s="65" t="s">
        <v>223</v>
      </c>
      <c r="C190" s="601">
        <v>0</v>
      </c>
      <c r="D190" s="601">
        <v>0</v>
      </c>
      <c r="E190" s="601">
        <v>0</v>
      </c>
      <c r="F190" s="601">
        <v>0</v>
      </c>
      <c r="G190" s="601"/>
      <c r="H190" s="601"/>
      <c r="I190" s="601">
        <v>0</v>
      </c>
      <c r="J190" s="601"/>
      <c r="K190" s="601">
        <v>0</v>
      </c>
      <c r="L190" s="601">
        <v>0</v>
      </c>
      <c r="M190" s="601">
        <v>0</v>
      </c>
      <c r="N190" s="601">
        <v>0</v>
      </c>
      <c r="O190" s="601"/>
      <c r="P190" s="601">
        <v>0</v>
      </c>
      <c r="Q190" s="601"/>
      <c r="R190" s="601">
        <v>0</v>
      </c>
      <c r="S190" s="601">
        <v>0</v>
      </c>
      <c r="T190" s="601">
        <v>0</v>
      </c>
      <c r="U190" s="601"/>
      <c r="V190" s="601"/>
      <c r="W190" s="601">
        <v>0</v>
      </c>
      <c r="Y190"/>
    </row>
    <row r="191" spans="1:25" s="149" customFormat="1" ht="15.5">
      <c r="A191" s="161"/>
      <c r="B191" s="65" t="s">
        <v>224</v>
      </c>
      <c r="C191" s="601">
        <v>0</v>
      </c>
      <c r="D191" s="601">
        <v>0</v>
      </c>
      <c r="E191" s="601">
        <v>0</v>
      </c>
      <c r="F191" s="601">
        <v>0</v>
      </c>
      <c r="G191" s="601">
        <v>0</v>
      </c>
      <c r="H191" s="601">
        <v>0</v>
      </c>
      <c r="I191" s="601">
        <v>0</v>
      </c>
      <c r="J191" s="601">
        <v>0</v>
      </c>
      <c r="K191" s="601">
        <v>0</v>
      </c>
      <c r="L191" s="601">
        <v>0</v>
      </c>
      <c r="M191" s="601">
        <v>0</v>
      </c>
      <c r="N191" s="601">
        <v>0</v>
      </c>
      <c r="O191" s="601">
        <v>0</v>
      </c>
      <c r="P191" s="601">
        <v>0</v>
      </c>
      <c r="Q191" s="601">
        <v>0</v>
      </c>
      <c r="R191" s="601">
        <v>0</v>
      </c>
      <c r="S191" s="601">
        <v>0</v>
      </c>
      <c r="T191" s="601">
        <v>0</v>
      </c>
      <c r="U191" s="601">
        <v>0</v>
      </c>
      <c r="V191" s="601">
        <v>0</v>
      </c>
      <c r="W191" s="601">
        <v>0</v>
      </c>
      <c r="X191" s="65"/>
      <c r="Y191"/>
    </row>
    <row r="192" spans="1:25" ht="15.5">
      <c r="B192" s="65" t="s">
        <v>225</v>
      </c>
      <c r="C192" s="601">
        <v>0</v>
      </c>
      <c r="D192" s="601">
        <v>0</v>
      </c>
      <c r="E192" s="601">
        <v>0</v>
      </c>
      <c r="F192" s="601">
        <v>0</v>
      </c>
      <c r="G192" s="601"/>
      <c r="H192" s="601"/>
      <c r="I192" s="601">
        <v>0</v>
      </c>
      <c r="J192" s="601"/>
      <c r="K192" s="601">
        <v>0</v>
      </c>
      <c r="L192" s="601">
        <v>0</v>
      </c>
      <c r="M192" s="601">
        <v>0</v>
      </c>
      <c r="N192" s="601">
        <v>0</v>
      </c>
      <c r="O192" s="601"/>
      <c r="P192" s="601">
        <v>0</v>
      </c>
      <c r="Q192" s="601"/>
      <c r="R192" s="601">
        <v>0</v>
      </c>
      <c r="S192" s="601">
        <v>0</v>
      </c>
      <c r="T192" s="601">
        <v>0</v>
      </c>
      <c r="U192" s="601"/>
      <c r="V192" s="601"/>
      <c r="W192" s="601">
        <v>0</v>
      </c>
      <c r="Y192"/>
    </row>
    <row r="193" spans="1:25" ht="15.5">
      <c r="B193" s="65" t="s">
        <v>226</v>
      </c>
      <c r="C193" s="601">
        <v>0</v>
      </c>
      <c r="D193" s="601">
        <v>0</v>
      </c>
      <c r="E193" s="601">
        <v>0</v>
      </c>
      <c r="F193" s="601">
        <v>0</v>
      </c>
      <c r="G193" s="601"/>
      <c r="H193" s="601"/>
      <c r="I193" s="601">
        <v>0</v>
      </c>
      <c r="J193" s="601"/>
      <c r="K193" s="601">
        <v>0</v>
      </c>
      <c r="L193" s="601">
        <v>0</v>
      </c>
      <c r="M193" s="601">
        <v>0</v>
      </c>
      <c r="N193" s="601">
        <v>0</v>
      </c>
      <c r="O193" s="601"/>
      <c r="P193" s="601">
        <v>0</v>
      </c>
      <c r="Q193" s="601"/>
      <c r="R193" s="601">
        <v>0</v>
      </c>
      <c r="S193" s="601">
        <v>0</v>
      </c>
      <c r="T193" s="601">
        <v>0</v>
      </c>
      <c r="U193" s="601"/>
      <c r="V193" s="601"/>
      <c r="W193" s="601">
        <v>0</v>
      </c>
      <c r="Y193"/>
    </row>
    <row r="194" spans="1:25" s="149" customFormat="1" ht="15.5">
      <c r="A194" s="161"/>
      <c r="B194" s="65" t="s">
        <v>227</v>
      </c>
      <c r="C194" s="601">
        <v>0</v>
      </c>
      <c r="D194" s="601">
        <v>0</v>
      </c>
      <c r="E194" s="601">
        <v>0</v>
      </c>
      <c r="F194" s="601">
        <v>0</v>
      </c>
      <c r="G194" s="601">
        <v>0</v>
      </c>
      <c r="H194" s="601">
        <v>0</v>
      </c>
      <c r="I194" s="601">
        <v>0</v>
      </c>
      <c r="J194" s="601">
        <v>0</v>
      </c>
      <c r="K194" s="601">
        <v>0</v>
      </c>
      <c r="L194" s="601">
        <v>0</v>
      </c>
      <c r="M194" s="601">
        <v>0</v>
      </c>
      <c r="N194" s="601">
        <v>0</v>
      </c>
      <c r="O194" s="601">
        <v>0</v>
      </c>
      <c r="P194" s="601">
        <v>0</v>
      </c>
      <c r="Q194" s="601">
        <v>0</v>
      </c>
      <c r="R194" s="601">
        <v>0</v>
      </c>
      <c r="S194" s="601">
        <v>0</v>
      </c>
      <c r="T194" s="601">
        <v>0</v>
      </c>
      <c r="U194" s="601">
        <v>0</v>
      </c>
      <c r="V194" s="601">
        <v>0</v>
      </c>
      <c r="W194" s="601">
        <v>0</v>
      </c>
      <c r="X194" s="65"/>
      <c r="Y194"/>
    </row>
    <row r="195" spans="1:25" ht="15.5">
      <c r="B195" s="65" t="s">
        <v>228</v>
      </c>
      <c r="C195" s="601">
        <v>0</v>
      </c>
      <c r="D195" s="601">
        <v>0</v>
      </c>
      <c r="E195" s="601">
        <v>0</v>
      </c>
      <c r="F195" s="601">
        <v>0</v>
      </c>
      <c r="G195" s="601"/>
      <c r="H195" s="601"/>
      <c r="I195" s="601">
        <v>0</v>
      </c>
      <c r="J195" s="601"/>
      <c r="K195" s="601">
        <v>0</v>
      </c>
      <c r="L195" s="601">
        <v>0</v>
      </c>
      <c r="M195" s="601">
        <v>0</v>
      </c>
      <c r="N195" s="601">
        <v>0</v>
      </c>
      <c r="O195" s="601"/>
      <c r="P195" s="601">
        <v>0</v>
      </c>
      <c r="Q195" s="601"/>
      <c r="R195" s="601">
        <v>0</v>
      </c>
      <c r="S195" s="601">
        <v>0</v>
      </c>
      <c r="T195" s="601">
        <v>0</v>
      </c>
      <c r="U195" s="601"/>
      <c r="V195" s="601"/>
      <c r="W195" s="601">
        <v>0</v>
      </c>
      <c r="Y195"/>
    </row>
    <row r="196" spans="1:25" ht="15.5">
      <c r="B196" s="65" t="s">
        <v>229</v>
      </c>
      <c r="C196" s="601">
        <v>0</v>
      </c>
      <c r="D196" s="601">
        <v>0</v>
      </c>
      <c r="E196" s="601">
        <v>0</v>
      </c>
      <c r="F196" s="601">
        <v>0</v>
      </c>
      <c r="G196" s="601"/>
      <c r="H196" s="601"/>
      <c r="I196" s="601">
        <v>0</v>
      </c>
      <c r="J196" s="601"/>
      <c r="K196" s="601">
        <v>0</v>
      </c>
      <c r="L196" s="601">
        <v>0</v>
      </c>
      <c r="M196" s="601">
        <v>0</v>
      </c>
      <c r="N196" s="601">
        <v>0</v>
      </c>
      <c r="O196" s="601"/>
      <c r="P196" s="601">
        <v>0</v>
      </c>
      <c r="Q196" s="601"/>
      <c r="R196" s="601">
        <v>0</v>
      </c>
      <c r="S196" s="601">
        <v>0</v>
      </c>
      <c r="T196" s="601">
        <v>0</v>
      </c>
      <c r="U196" s="601"/>
      <c r="V196" s="601"/>
      <c r="W196" s="601">
        <v>0</v>
      </c>
      <c r="Y196"/>
    </row>
    <row r="197" spans="1:25" s="149" customFormat="1" ht="15.5">
      <c r="A197" s="161"/>
      <c r="B197" s="65" t="s">
        <v>230</v>
      </c>
      <c r="C197" s="601">
        <v>0</v>
      </c>
      <c r="D197" s="601">
        <v>0</v>
      </c>
      <c r="E197" s="601">
        <v>0</v>
      </c>
      <c r="F197" s="601">
        <v>0</v>
      </c>
      <c r="G197" s="601">
        <v>0</v>
      </c>
      <c r="H197" s="601">
        <v>0</v>
      </c>
      <c r="I197" s="601">
        <v>0</v>
      </c>
      <c r="J197" s="601">
        <v>0</v>
      </c>
      <c r="K197" s="601">
        <v>0</v>
      </c>
      <c r="L197" s="601">
        <v>0</v>
      </c>
      <c r="M197" s="601">
        <v>0</v>
      </c>
      <c r="N197" s="601">
        <v>0</v>
      </c>
      <c r="O197" s="601">
        <v>0</v>
      </c>
      <c r="P197" s="601">
        <v>0</v>
      </c>
      <c r="Q197" s="601">
        <v>0</v>
      </c>
      <c r="R197" s="601">
        <v>0</v>
      </c>
      <c r="S197" s="601">
        <v>0</v>
      </c>
      <c r="T197" s="601">
        <v>0</v>
      </c>
      <c r="U197" s="601">
        <v>0</v>
      </c>
      <c r="V197" s="601">
        <v>0</v>
      </c>
      <c r="W197" s="601">
        <v>0</v>
      </c>
      <c r="X197" s="65"/>
      <c r="Y197"/>
    </row>
    <row r="198" spans="1:25" ht="15.5">
      <c r="B198" s="65" t="s">
        <v>231</v>
      </c>
      <c r="C198" s="601">
        <v>0</v>
      </c>
      <c r="D198" s="601">
        <v>0</v>
      </c>
      <c r="E198" s="601">
        <v>0</v>
      </c>
      <c r="F198" s="601">
        <v>0</v>
      </c>
      <c r="G198" s="601"/>
      <c r="H198" s="601"/>
      <c r="I198" s="601">
        <v>0</v>
      </c>
      <c r="J198" s="601"/>
      <c r="K198" s="601">
        <v>0</v>
      </c>
      <c r="L198" s="601">
        <v>0</v>
      </c>
      <c r="M198" s="601">
        <v>0</v>
      </c>
      <c r="N198" s="601">
        <v>0</v>
      </c>
      <c r="O198" s="601"/>
      <c r="P198" s="601">
        <v>0</v>
      </c>
      <c r="Q198" s="601"/>
      <c r="R198" s="601">
        <v>0</v>
      </c>
      <c r="S198" s="601">
        <v>0</v>
      </c>
      <c r="T198" s="601">
        <v>0</v>
      </c>
      <c r="U198" s="601"/>
      <c r="V198" s="601"/>
      <c r="W198" s="601">
        <v>0</v>
      </c>
      <c r="Y198"/>
    </row>
    <row r="199" spans="1:25" ht="15.5">
      <c r="B199" s="65" t="s">
        <v>232</v>
      </c>
      <c r="C199" s="601">
        <v>0</v>
      </c>
      <c r="D199" s="601">
        <v>0</v>
      </c>
      <c r="E199" s="601">
        <v>0</v>
      </c>
      <c r="F199" s="601">
        <v>0</v>
      </c>
      <c r="G199" s="601"/>
      <c r="H199" s="601"/>
      <c r="I199" s="601">
        <v>0</v>
      </c>
      <c r="J199" s="601"/>
      <c r="K199" s="601">
        <v>0</v>
      </c>
      <c r="L199" s="601">
        <v>0</v>
      </c>
      <c r="M199" s="601">
        <v>0</v>
      </c>
      <c r="N199" s="601">
        <v>0</v>
      </c>
      <c r="O199" s="601"/>
      <c r="P199" s="601">
        <v>0</v>
      </c>
      <c r="Q199" s="601"/>
      <c r="R199" s="601">
        <v>0</v>
      </c>
      <c r="S199" s="601">
        <v>0</v>
      </c>
      <c r="T199" s="601">
        <v>0</v>
      </c>
      <c r="U199" s="601"/>
      <c r="V199" s="601"/>
      <c r="W199" s="601">
        <v>0</v>
      </c>
      <c r="Y199"/>
    </row>
    <row r="200" spans="1:25" s="149" customFormat="1" ht="15.5">
      <c r="A200" s="521"/>
      <c r="B200" s="65" t="s">
        <v>233</v>
      </c>
      <c r="C200" s="211">
        <v>0</v>
      </c>
      <c r="D200" s="211">
        <v>0</v>
      </c>
      <c r="E200" s="211">
        <v>0</v>
      </c>
      <c r="F200" s="211">
        <v>0</v>
      </c>
      <c r="G200" s="211">
        <v>0</v>
      </c>
      <c r="H200" s="211">
        <v>0</v>
      </c>
      <c r="I200" s="211">
        <v>0</v>
      </c>
      <c r="J200" s="211">
        <v>0</v>
      </c>
      <c r="K200" s="211">
        <v>0</v>
      </c>
      <c r="L200" s="211">
        <v>0</v>
      </c>
      <c r="M200" s="211">
        <v>0</v>
      </c>
      <c r="N200" s="211">
        <v>0</v>
      </c>
      <c r="O200" s="211">
        <v>0</v>
      </c>
      <c r="P200" s="211">
        <v>0</v>
      </c>
      <c r="Q200" s="211">
        <v>0</v>
      </c>
      <c r="R200" s="211">
        <v>0</v>
      </c>
      <c r="S200" s="211">
        <v>0</v>
      </c>
      <c r="T200" s="211">
        <v>0</v>
      </c>
      <c r="U200" s="211">
        <v>0</v>
      </c>
      <c r="V200" s="211">
        <v>0</v>
      </c>
      <c r="W200" s="211">
        <v>0</v>
      </c>
      <c r="X200" s="65"/>
      <c r="Y200"/>
    </row>
    <row r="201" spans="1:25" ht="15.5">
      <c r="A201" s="161" t="s">
        <v>166</v>
      </c>
      <c r="B201" s="65" t="s">
        <v>110</v>
      </c>
      <c r="C201" s="601">
        <v>62372</v>
      </c>
      <c r="D201" s="601">
        <v>13107</v>
      </c>
      <c r="E201" s="601">
        <v>32202</v>
      </c>
      <c r="F201" s="601">
        <v>6019</v>
      </c>
      <c r="G201" s="601">
        <v>592</v>
      </c>
      <c r="H201" s="601"/>
      <c r="I201" s="601">
        <v>114292</v>
      </c>
      <c r="J201" s="601">
        <v>407</v>
      </c>
      <c r="K201" s="601">
        <v>30</v>
      </c>
      <c r="L201" s="601"/>
      <c r="M201" s="601"/>
      <c r="N201" s="601">
        <v>437</v>
      </c>
      <c r="O201" s="601"/>
      <c r="P201" s="601"/>
      <c r="Q201" s="601"/>
      <c r="R201" s="601"/>
      <c r="S201" s="601">
        <v>3210</v>
      </c>
      <c r="T201" s="601">
        <v>3210</v>
      </c>
      <c r="U201" s="601"/>
      <c r="V201" s="601"/>
      <c r="W201" s="601">
        <v>117939</v>
      </c>
      <c r="Y201"/>
    </row>
    <row r="202" spans="1:25" ht="16" thickBot="1">
      <c r="B202" s="65" t="s">
        <v>111</v>
      </c>
      <c r="C202" s="601"/>
      <c r="D202" s="601"/>
      <c r="E202" s="601"/>
      <c r="F202" s="601"/>
      <c r="G202" s="601"/>
      <c r="H202" s="601"/>
      <c r="I202" s="601"/>
      <c r="J202" s="601"/>
      <c r="K202" s="601"/>
      <c r="L202" s="601"/>
      <c r="M202" s="601"/>
      <c r="N202" s="601"/>
      <c r="O202" s="601"/>
      <c r="P202" s="601"/>
      <c r="Q202" s="601"/>
      <c r="R202" s="601"/>
      <c r="S202" s="601"/>
      <c r="T202" s="601"/>
      <c r="U202" s="601"/>
      <c r="V202" s="601"/>
      <c r="W202" s="601"/>
      <c r="Y202"/>
    </row>
    <row r="203" spans="1:25" s="149" customFormat="1" ht="16" thickBot="1">
      <c r="A203" s="161"/>
      <c r="B203" s="65" t="s">
        <v>112</v>
      </c>
      <c r="C203" s="601">
        <v>-1</v>
      </c>
      <c r="D203" s="601">
        <v>-1</v>
      </c>
      <c r="E203" s="601">
        <v>-1</v>
      </c>
      <c r="F203" s="601">
        <v>-1</v>
      </c>
      <c r="G203" s="601">
        <v>-1</v>
      </c>
      <c r="H203" s="601">
        <v>0</v>
      </c>
      <c r="I203" s="601">
        <v>-1</v>
      </c>
      <c r="J203" s="687">
        <v>-1</v>
      </c>
      <c r="K203" s="601">
        <v>-1</v>
      </c>
      <c r="L203" s="601">
        <v>0</v>
      </c>
      <c r="M203" s="601">
        <v>0</v>
      </c>
      <c r="N203" s="601">
        <v>-1</v>
      </c>
      <c r="O203" s="601">
        <v>0</v>
      </c>
      <c r="P203" s="601">
        <v>0</v>
      </c>
      <c r="Q203" s="601">
        <v>0</v>
      </c>
      <c r="R203" s="601">
        <v>0</v>
      </c>
      <c r="S203" s="681">
        <v>-1</v>
      </c>
      <c r="T203" s="601">
        <v>-1</v>
      </c>
      <c r="U203" s="601">
        <v>0</v>
      </c>
      <c r="V203" s="601">
        <v>0</v>
      </c>
      <c r="W203" s="601">
        <v>-1</v>
      </c>
      <c r="X203" s="65"/>
      <c r="Y203"/>
    </row>
    <row r="204" spans="1:25" ht="15.5">
      <c r="B204" s="65" t="s">
        <v>222</v>
      </c>
      <c r="C204" s="601">
        <v>0</v>
      </c>
      <c r="D204" s="601">
        <v>0</v>
      </c>
      <c r="E204" s="601">
        <v>0</v>
      </c>
      <c r="F204" s="601">
        <v>0</v>
      </c>
      <c r="G204" s="601">
        <v>0</v>
      </c>
      <c r="H204" s="601"/>
      <c r="I204" s="601">
        <v>0</v>
      </c>
      <c r="J204" s="601">
        <v>0</v>
      </c>
      <c r="K204" s="601">
        <v>0</v>
      </c>
      <c r="L204" s="601">
        <v>0</v>
      </c>
      <c r="M204" s="601">
        <v>0</v>
      </c>
      <c r="N204" s="601">
        <v>0</v>
      </c>
      <c r="O204" s="601"/>
      <c r="P204" s="601"/>
      <c r="Q204" s="601"/>
      <c r="R204" s="601"/>
      <c r="S204" s="601">
        <v>0</v>
      </c>
      <c r="T204" s="601">
        <v>0</v>
      </c>
      <c r="U204" s="601"/>
      <c r="V204" s="601"/>
      <c r="W204" s="601">
        <v>0</v>
      </c>
      <c r="Y204"/>
    </row>
    <row r="205" spans="1:25" ht="15.5">
      <c r="B205" s="65" t="s">
        <v>223</v>
      </c>
      <c r="C205" s="601">
        <v>0</v>
      </c>
      <c r="D205" s="601">
        <v>0</v>
      </c>
      <c r="E205" s="601">
        <v>0</v>
      </c>
      <c r="F205" s="601">
        <v>0</v>
      </c>
      <c r="G205" s="601">
        <v>0</v>
      </c>
      <c r="H205" s="601"/>
      <c r="I205" s="601">
        <v>0</v>
      </c>
      <c r="J205" s="601">
        <v>0</v>
      </c>
      <c r="K205" s="601">
        <v>0</v>
      </c>
      <c r="L205" s="601">
        <v>0</v>
      </c>
      <c r="M205" s="601">
        <v>0</v>
      </c>
      <c r="N205" s="601">
        <v>0</v>
      </c>
      <c r="O205" s="601"/>
      <c r="P205" s="601"/>
      <c r="Q205" s="601"/>
      <c r="R205" s="601"/>
      <c r="S205" s="601">
        <v>0</v>
      </c>
      <c r="T205" s="601">
        <v>0</v>
      </c>
      <c r="U205" s="601"/>
      <c r="V205" s="601"/>
      <c r="W205" s="601">
        <v>0</v>
      </c>
      <c r="Y205"/>
    </row>
    <row r="206" spans="1:25" s="149" customFormat="1" ht="15.5">
      <c r="A206" s="161"/>
      <c r="B206" s="65" t="s">
        <v>224</v>
      </c>
      <c r="C206" s="601">
        <v>0</v>
      </c>
      <c r="D206" s="601">
        <v>0</v>
      </c>
      <c r="E206" s="601">
        <v>0</v>
      </c>
      <c r="F206" s="601">
        <v>0</v>
      </c>
      <c r="G206" s="601">
        <v>0</v>
      </c>
      <c r="H206" s="601">
        <v>0</v>
      </c>
      <c r="I206" s="601">
        <v>0</v>
      </c>
      <c r="J206" s="601">
        <v>0</v>
      </c>
      <c r="K206" s="601">
        <v>0</v>
      </c>
      <c r="L206" s="601">
        <v>0</v>
      </c>
      <c r="M206" s="601">
        <v>0</v>
      </c>
      <c r="N206" s="601">
        <v>0</v>
      </c>
      <c r="O206" s="601">
        <v>0</v>
      </c>
      <c r="P206" s="601">
        <v>0</v>
      </c>
      <c r="Q206" s="601">
        <v>0</v>
      </c>
      <c r="R206" s="601">
        <v>0</v>
      </c>
      <c r="S206" s="601">
        <v>0</v>
      </c>
      <c r="T206" s="601">
        <v>0</v>
      </c>
      <c r="U206" s="601">
        <v>0</v>
      </c>
      <c r="V206" s="601">
        <v>0</v>
      </c>
      <c r="W206" s="601">
        <v>0</v>
      </c>
      <c r="X206" s="65"/>
      <c r="Y206"/>
    </row>
    <row r="207" spans="1:25" ht="15.5">
      <c r="B207" s="65" t="s">
        <v>225</v>
      </c>
      <c r="C207" s="601">
        <v>0</v>
      </c>
      <c r="D207" s="601">
        <v>0</v>
      </c>
      <c r="E207" s="601">
        <v>0</v>
      </c>
      <c r="F207" s="601">
        <v>0</v>
      </c>
      <c r="G207" s="601">
        <v>0</v>
      </c>
      <c r="H207" s="601"/>
      <c r="I207" s="601">
        <v>0</v>
      </c>
      <c r="J207" s="601">
        <v>0</v>
      </c>
      <c r="K207" s="601">
        <v>0</v>
      </c>
      <c r="L207" s="601">
        <v>0</v>
      </c>
      <c r="M207" s="601">
        <v>0</v>
      </c>
      <c r="N207" s="601">
        <v>0</v>
      </c>
      <c r="O207" s="601"/>
      <c r="P207" s="601"/>
      <c r="Q207" s="601"/>
      <c r="R207" s="601"/>
      <c r="S207" s="601">
        <v>0</v>
      </c>
      <c r="T207" s="601">
        <v>0</v>
      </c>
      <c r="U207" s="601"/>
      <c r="V207" s="601"/>
      <c r="W207" s="601">
        <v>0</v>
      </c>
      <c r="Y207"/>
    </row>
    <row r="208" spans="1:25" ht="15.5">
      <c r="B208" s="65" t="s">
        <v>226</v>
      </c>
      <c r="C208" s="601">
        <v>0</v>
      </c>
      <c r="D208" s="601">
        <v>0</v>
      </c>
      <c r="E208" s="601">
        <v>0</v>
      </c>
      <c r="F208" s="601">
        <v>0</v>
      </c>
      <c r="G208" s="601">
        <v>0</v>
      </c>
      <c r="H208" s="601"/>
      <c r="I208" s="601">
        <v>0</v>
      </c>
      <c r="J208" s="601">
        <v>0</v>
      </c>
      <c r="K208" s="601">
        <v>0</v>
      </c>
      <c r="L208" s="601">
        <v>0</v>
      </c>
      <c r="M208" s="601">
        <v>0</v>
      </c>
      <c r="N208" s="601">
        <v>0</v>
      </c>
      <c r="O208" s="601"/>
      <c r="P208" s="601"/>
      <c r="Q208" s="601"/>
      <c r="R208" s="601"/>
      <c r="S208" s="601">
        <v>0</v>
      </c>
      <c r="T208" s="601">
        <v>0</v>
      </c>
      <c r="U208" s="601"/>
      <c r="V208" s="601"/>
      <c r="W208" s="601">
        <v>0</v>
      </c>
      <c r="Y208"/>
    </row>
    <row r="209" spans="1:25" s="149" customFormat="1" ht="15.5">
      <c r="A209" s="161"/>
      <c r="B209" s="65" t="s">
        <v>227</v>
      </c>
      <c r="C209" s="601">
        <v>0</v>
      </c>
      <c r="D209" s="601">
        <v>0</v>
      </c>
      <c r="E209" s="601">
        <v>0</v>
      </c>
      <c r="F209" s="601">
        <v>0</v>
      </c>
      <c r="G209" s="601">
        <v>0</v>
      </c>
      <c r="H209" s="601">
        <v>0</v>
      </c>
      <c r="I209" s="601">
        <v>0</v>
      </c>
      <c r="J209" s="601">
        <v>0</v>
      </c>
      <c r="K209" s="601">
        <v>0</v>
      </c>
      <c r="L209" s="601">
        <v>0</v>
      </c>
      <c r="M209" s="601">
        <v>0</v>
      </c>
      <c r="N209" s="601">
        <v>0</v>
      </c>
      <c r="O209" s="601">
        <v>0</v>
      </c>
      <c r="P209" s="601">
        <v>0</v>
      </c>
      <c r="Q209" s="601">
        <v>0</v>
      </c>
      <c r="R209" s="601">
        <v>0</v>
      </c>
      <c r="S209" s="601">
        <v>0</v>
      </c>
      <c r="T209" s="601">
        <v>0</v>
      </c>
      <c r="U209" s="601">
        <v>0</v>
      </c>
      <c r="V209" s="601">
        <v>0</v>
      </c>
      <c r="W209" s="601">
        <v>0</v>
      </c>
      <c r="X209" s="65"/>
      <c r="Y209"/>
    </row>
    <row r="210" spans="1:25" ht="15.5">
      <c r="B210" s="65" t="s">
        <v>228</v>
      </c>
      <c r="C210" s="601">
        <v>0</v>
      </c>
      <c r="D210" s="601">
        <v>0</v>
      </c>
      <c r="E210" s="601">
        <v>0</v>
      </c>
      <c r="F210" s="601">
        <v>0</v>
      </c>
      <c r="G210" s="601">
        <v>0</v>
      </c>
      <c r="H210" s="601"/>
      <c r="I210" s="601">
        <v>0</v>
      </c>
      <c r="J210" s="601">
        <v>0</v>
      </c>
      <c r="K210" s="601">
        <v>0</v>
      </c>
      <c r="L210" s="601">
        <v>0</v>
      </c>
      <c r="M210" s="601">
        <v>0</v>
      </c>
      <c r="N210" s="601">
        <v>0</v>
      </c>
      <c r="O210" s="601"/>
      <c r="P210" s="601"/>
      <c r="Q210" s="601"/>
      <c r="R210" s="601"/>
      <c r="S210" s="601">
        <v>0</v>
      </c>
      <c r="T210" s="601">
        <v>0</v>
      </c>
      <c r="U210" s="601"/>
      <c r="V210" s="601"/>
      <c r="W210" s="601">
        <v>0</v>
      </c>
      <c r="Y210"/>
    </row>
    <row r="211" spans="1:25" ht="15.5">
      <c r="B211" s="65" t="s">
        <v>229</v>
      </c>
      <c r="C211" s="601">
        <v>0</v>
      </c>
      <c r="D211" s="601">
        <v>0</v>
      </c>
      <c r="E211" s="601">
        <v>0</v>
      </c>
      <c r="F211" s="601">
        <v>0</v>
      </c>
      <c r="G211" s="601">
        <v>0</v>
      </c>
      <c r="H211" s="601"/>
      <c r="I211" s="601">
        <v>0</v>
      </c>
      <c r="J211" s="601">
        <v>0</v>
      </c>
      <c r="K211" s="601">
        <v>0</v>
      </c>
      <c r="L211" s="601">
        <v>0</v>
      </c>
      <c r="M211" s="601">
        <v>0</v>
      </c>
      <c r="N211" s="601">
        <v>0</v>
      </c>
      <c r="O211" s="601"/>
      <c r="P211" s="601"/>
      <c r="Q211" s="601"/>
      <c r="R211" s="601"/>
      <c r="S211" s="601">
        <v>0</v>
      </c>
      <c r="T211" s="601">
        <v>0</v>
      </c>
      <c r="U211" s="601"/>
      <c r="V211" s="601"/>
      <c r="W211" s="601">
        <v>0</v>
      </c>
      <c r="Y211"/>
    </row>
    <row r="212" spans="1:25" s="149" customFormat="1" ht="15.5">
      <c r="A212" s="161"/>
      <c r="B212" s="65" t="s">
        <v>230</v>
      </c>
      <c r="C212" s="601">
        <v>0</v>
      </c>
      <c r="D212" s="601">
        <v>0</v>
      </c>
      <c r="E212" s="601">
        <v>0</v>
      </c>
      <c r="F212" s="601">
        <v>0</v>
      </c>
      <c r="G212" s="601">
        <v>0</v>
      </c>
      <c r="H212" s="601">
        <v>0</v>
      </c>
      <c r="I212" s="601">
        <v>0</v>
      </c>
      <c r="J212" s="601">
        <v>0</v>
      </c>
      <c r="K212" s="601">
        <v>0</v>
      </c>
      <c r="L212" s="601">
        <v>0</v>
      </c>
      <c r="M212" s="601">
        <v>0</v>
      </c>
      <c r="N212" s="601">
        <v>0</v>
      </c>
      <c r="O212" s="601">
        <v>0</v>
      </c>
      <c r="P212" s="601">
        <v>0</v>
      </c>
      <c r="Q212" s="601">
        <v>0</v>
      </c>
      <c r="R212" s="601">
        <v>0</v>
      </c>
      <c r="S212" s="601">
        <v>0</v>
      </c>
      <c r="T212" s="601">
        <v>0</v>
      </c>
      <c r="U212" s="601">
        <v>0</v>
      </c>
      <c r="V212" s="601">
        <v>0</v>
      </c>
      <c r="W212" s="601">
        <v>0</v>
      </c>
      <c r="X212" s="65"/>
      <c r="Y212"/>
    </row>
    <row r="213" spans="1:25" ht="15.5">
      <c r="B213" s="65" t="s">
        <v>231</v>
      </c>
      <c r="C213" s="601">
        <v>0</v>
      </c>
      <c r="D213" s="601">
        <v>0</v>
      </c>
      <c r="E213" s="601">
        <v>0</v>
      </c>
      <c r="F213" s="601">
        <v>0</v>
      </c>
      <c r="G213" s="601">
        <v>0</v>
      </c>
      <c r="H213" s="601"/>
      <c r="I213" s="601">
        <v>0</v>
      </c>
      <c r="J213" s="601">
        <v>0</v>
      </c>
      <c r="K213" s="601">
        <v>0</v>
      </c>
      <c r="L213" s="601">
        <v>0</v>
      </c>
      <c r="M213" s="601">
        <v>0</v>
      </c>
      <c r="N213" s="601">
        <v>0</v>
      </c>
      <c r="O213" s="601"/>
      <c r="P213" s="601"/>
      <c r="Q213" s="601"/>
      <c r="R213" s="601"/>
      <c r="S213" s="601">
        <v>0</v>
      </c>
      <c r="T213" s="601">
        <v>0</v>
      </c>
      <c r="U213" s="601"/>
      <c r="V213" s="601"/>
      <c r="W213" s="601">
        <v>0</v>
      </c>
      <c r="Y213"/>
    </row>
    <row r="214" spans="1:25" ht="15.5">
      <c r="B214" s="65" t="s">
        <v>232</v>
      </c>
      <c r="C214" s="601">
        <v>0</v>
      </c>
      <c r="D214" s="601">
        <v>0</v>
      </c>
      <c r="E214" s="601">
        <v>0</v>
      </c>
      <c r="F214" s="601">
        <v>0</v>
      </c>
      <c r="G214" s="601">
        <v>0</v>
      </c>
      <c r="H214" s="601"/>
      <c r="I214" s="601">
        <v>0</v>
      </c>
      <c r="J214" s="601">
        <v>0</v>
      </c>
      <c r="K214" s="601">
        <v>0</v>
      </c>
      <c r="L214" s="601">
        <v>0</v>
      </c>
      <c r="M214" s="601">
        <v>0</v>
      </c>
      <c r="N214" s="601">
        <v>0</v>
      </c>
      <c r="O214" s="601"/>
      <c r="P214" s="601"/>
      <c r="Q214" s="601"/>
      <c r="R214" s="601"/>
      <c r="S214" s="601">
        <v>0</v>
      </c>
      <c r="T214" s="601">
        <v>0</v>
      </c>
      <c r="U214" s="601"/>
      <c r="V214" s="601"/>
      <c r="W214" s="601">
        <v>0</v>
      </c>
      <c r="Y214"/>
    </row>
    <row r="215" spans="1:25" s="149" customFormat="1" ht="15.5">
      <c r="A215" s="521"/>
      <c r="B215" s="65" t="s">
        <v>233</v>
      </c>
      <c r="C215" s="211">
        <v>0</v>
      </c>
      <c r="D215" s="211">
        <v>0</v>
      </c>
      <c r="E215" s="211">
        <v>0</v>
      </c>
      <c r="F215" s="211">
        <v>0</v>
      </c>
      <c r="G215" s="211">
        <v>0</v>
      </c>
      <c r="H215" s="211">
        <v>0</v>
      </c>
      <c r="I215" s="211">
        <v>0</v>
      </c>
      <c r="J215" s="211">
        <v>0</v>
      </c>
      <c r="K215" s="211">
        <v>0</v>
      </c>
      <c r="L215" s="211">
        <v>0</v>
      </c>
      <c r="M215" s="211">
        <v>0</v>
      </c>
      <c r="N215" s="211">
        <v>0</v>
      </c>
      <c r="O215" s="211">
        <v>0</v>
      </c>
      <c r="P215" s="211">
        <v>0</v>
      </c>
      <c r="Q215" s="211">
        <v>0</v>
      </c>
      <c r="R215" s="211">
        <v>0</v>
      </c>
      <c r="S215" s="211">
        <v>0</v>
      </c>
      <c r="T215" s="211">
        <v>0</v>
      </c>
      <c r="U215" s="211">
        <v>0</v>
      </c>
      <c r="V215" s="211">
        <v>0</v>
      </c>
      <c r="W215" s="211">
        <v>0</v>
      </c>
      <c r="X215" s="65"/>
      <c r="Y215"/>
    </row>
    <row r="216" spans="1:25" ht="15.5">
      <c r="A216" s="161" t="s">
        <v>167</v>
      </c>
      <c r="B216" s="65" t="s">
        <v>110</v>
      </c>
      <c r="C216" s="601">
        <v>25841</v>
      </c>
      <c r="D216" s="601">
        <v>1653</v>
      </c>
      <c r="E216" s="601">
        <v>7010</v>
      </c>
      <c r="F216" s="601">
        <v>610</v>
      </c>
      <c r="G216" s="601">
        <v>3086</v>
      </c>
      <c r="H216" s="601">
        <v>261</v>
      </c>
      <c r="I216" s="601">
        <v>38461</v>
      </c>
      <c r="J216" s="601"/>
      <c r="K216" s="601">
        <v>0</v>
      </c>
      <c r="L216" s="601">
        <v>0</v>
      </c>
      <c r="M216" s="601">
        <v>0</v>
      </c>
      <c r="N216" s="601">
        <v>0</v>
      </c>
      <c r="O216" s="601"/>
      <c r="P216" s="601"/>
      <c r="Q216" s="601"/>
      <c r="R216" s="601"/>
      <c r="S216" s="601">
        <v>351</v>
      </c>
      <c r="T216" s="601">
        <v>351</v>
      </c>
      <c r="U216" s="601"/>
      <c r="V216" s="601"/>
      <c r="W216" s="601">
        <v>38812</v>
      </c>
      <c r="Y216"/>
    </row>
    <row r="217" spans="1:25" ht="16" thickBot="1">
      <c r="B217" s="65" t="s">
        <v>111</v>
      </c>
      <c r="C217" s="601">
        <v>25672</v>
      </c>
      <c r="D217" s="601">
        <v>1604</v>
      </c>
      <c r="E217" s="601">
        <v>7236</v>
      </c>
      <c r="F217" s="601">
        <v>710</v>
      </c>
      <c r="G217" s="601">
        <v>2964</v>
      </c>
      <c r="H217" s="601">
        <v>232</v>
      </c>
      <c r="I217" s="601">
        <v>38418</v>
      </c>
      <c r="J217" s="601"/>
      <c r="K217" s="601">
        <v>0</v>
      </c>
      <c r="L217" s="601">
        <v>0</v>
      </c>
      <c r="M217" s="601">
        <v>0</v>
      </c>
      <c r="N217" s="601">
        <v>0</v>
      </c>
      <c r="O217" s="601"/>
      <c r="P217" s="601"/>
      <c r="Q217" s="601"/>
      <c r="R217" s="601"/>
      <c r="S217" s="601">
        <v>372</v>
      </c>
      <c r="T217" s="601">
        <v>372</v>
      </c>
      <c r="U217" s="601"/>
      <c r="V217" s="601"/>
      <c r="W217" s="601">
        <v>38790</v>
      </c>
      <c r="Y217"/>
    </row>
    <row r="218" spans="1:25" s="149" customFormat="1" ht="16" thickBot="1">
      <c r="A218" s="161"/>
      <c r="B218" s="65" t="s">
        <v>112</v>
      </c>
      <c r="C218" s="601">
        <v>-6.5399945822530092E-3</v>
      </c>
      <c r="D218" s="601">
        <v>-2.9643073200241985E-2</v>
      </c>
      <c r="E218" s="601">
        <v>3.2239657631954348E-2</v>
      </c>
      <c r="F218" s="601">
        <v>0.16393442622950818</v>
      </c>
      <c r="G218" s="601">
        <v>-3.9533376539209332E-2</v>
      </c>
      <c r="H218" s="601">
        <v>-0.1111111111111111</v>
      </c>
      <c r="I218" s="601">
        <v>-1.1180156522191311E-3</v>
      </c>
      <c r="J218" s="601">
        <v>0</v>
      </c>
      <c r="K218" s="601">
        <v>0</v>
      </c>
      <c r="L218" s="601">
        <v>0</v>
      </c>
      <c r="M218" s="601">
        <v>0</v>
      </c>
      <c r="N218" s="601">
        <v>0</v>
      </c>
      <c r="O218" s="601">
        <v>0</v>
      </c>
      <c r="P218" s="601">
        <v>0</v>
      </c>
      <c r="Q218" s="601">
        <v>0</v>
      </c>
      <c r="R218" s="601">
        <v>0</v>
      </c>
      <c r="S218" s="687">
        <v>5.9829059829059832E-2</v>
      </c>
      <c r="T218" s="601">
        <v>5.9829059829059832E-2</v>
      </c>
      <c r="U218" s="601">
        <v>0</v>
      </c>
      <c r="V218" s="601">
        <v>0</v>
      </c>
      <c r="W218" s="601">
        <v>-5.6683499948469542E-4</v>
      </c>
      <c r="X218" s="65"/>
      <c r="Y218"/>
    </row>
    <row r="219" spans="1:25" ht="15.5">
      <c r="B219" s="65" t="s">
        <v>222</v>
      </c>
      <c r="C219" s="601">
        <v>0</v>
      </c>
      <c r="D219" s="601">
        <v>0</v>
      </c>
      <c r="E219" s="601">
        <v>0</v>
      </c>
      <c r="F219" s="601">
        <v>0</v>
      </c>
      <c r="G219" s="601">
        <v>0</v>
      </c>
      <c r="H219" s="601">
        <v>0</v>
      </c>
      <c r="I219" s="601">
        <v>0</v>
      </c>
      <c r="J219" s="601"/>
      <c r="K219" s="601">
        <v>0</v>
      </c>
      <c r="L219" s="601">
        <v>0</v>
      </c>
      <c r="M219" s="601">
        <v>0</v>
      </c>
      <c r="N219" s="601">
        <v>0</v>
      </c>
      <c r="O219" s="601"/>
      <c r="P219" s="601"/>
      <c r="Q219" s="601"/>
      <c r="R219" s="601"/>
      <c r="S219" s="601">
        <v>0</v>
      </c>
      <c r="T219" s="601">
        <v>0</v>
      </c>
      <c r="U219" s="601"/>
      <c r="V219" s="601"/>
      <c r="W219" s="601">
        <v>0</v>
      </c>
      <c r="Y219"/>
    </row>
    <row r="220" spans="1:25" ht="15.5">
      <c r="B220" s="65" t="s">
        <v>223</v>
      </c>
      <c r="C220" s="601">
        <v>0</v>
      </c>
      <c r="D220" s="601">
        <v>0</v>
      </c>
      <c r="E220" s="601">
        <v>0</v>
      </c>
      <c r="F220" s="601">
        <v>0</v>
      </c>
      <c r="G220" s="601">
        <v>0</v>
      </c>
      <c r="H220" s="601">
        <v>0</v>
      </c>
      <c r="I220" s="601">
        <v>0</v>
      </c>
      <c r="J220" s="601"/>
      <c r="K220" s="601">
        <v>0</v>
      </c>
      <c r="L220" s="601">
        <v>0</v>
      </c>
      <c r="M220" s="601">
        <v>0</v>
      </c>
      <c r="N220" s="601">
        <v>0</v>
      </c>
      <c r="O220" s="601"/>
      <c r="P220" s="601"/>
      <c r="Q220" s="601"/>
      <c r="R220" s="601"/>
      <c r="S220" s="601">
        <v>0</v>
      </c>
      <c r="T220" s="601">
        <v>0</v>
      </c>
      <c r="U220" s="601"/>
      <c r="V220" s="601"/>
      <c r="W220" s="601">
        <v>0</v>
      </c>
      <c r="Y220"/>
    </row>
    <row r="221" spans="1:25" s="149" customFormat="1" ht="15.5">
      <c r="A221" s="161"/>
      <c r="B221" s="65" t="s">
        <v>224</v>
      </c>
      <c r="C221" s="601">
        <v>0</v>
      </c>
      <c r="D221" s="601">
        <v>0</v>
      </c>
      <c r="E221" s="601">
        <v>0</v>
      </c>
      <c r="F221" s="601">
        <v>0</v>
      </c>
      <c r="G221" s="601">
        <v>0</v>
      </c>
      <c r="H221" s="601">
        <v>0</v>
      </c>
      <c r="I221" s="601">
        <v>0</v>
      </c>
      <c r="J221" s="601">
        <v>0</v>
      </c>
      <c r="K221" s="601">
        <v>0</v>
      </c>
      <c r="L221" s="601">
        <v>0</v>
      </c>
      <c r="M221" s="601">
        <v>0</v>
      </c>
      <c r="N221" s="601">
        <v>0</v>
      </c>
      <c r="O221" s="601">
        <v>0</v>
      </c>
      <c r="P221" s="601">
        <v>0</v>
      </c>
      <c r="Q221" s="601">
        <v>0</v>
      </c>
      <c r="R221" s="601">
        <v>0</v>
      </c>
      <c r="S221" s="601">
        <v>0</v>
      </c>
      <c r="T221" s="601">
        <v>0</v>
      </c>
      <c r="U221" s="601">
        <v>0</v>
      </c>
      <c r="V221" s="601">
        <v>0</v>
      </c>
      <c r="W221" s="601">
        <v>0</v>
      </c>
      <c r="X221" s="65"/>
      <c r="Y221"/>
    </row>
    <row r="222" spans="1:25" ht="15.5">
      <c r="B222" s="65" t="s">
        <v>225</v>
      </c>
      <c r="C222" s="601">
        <v>0</v>
      </c>
      <c r="D222" s="601">
        <v>0</v>
      </c>
      <c r="E222" s="601">
        <v>0</v>
      </c>
      <c r="F222" s="601">
        <v>0</v>
      </c>
      <c r="G222" s="601">
        <v>0</v>
      </c>
      <c r="H222" s="601">
        <v>0</v>
      </c>
      <c r="I222" s="601">
        <v>0</v>
      </c>
      <c r="J222" s="601"/>
      <c r="K222" s="601">
        <v>0</v>
      </c>
      <c r="L222" s="601">
        <v>0</v>
      </c>
      <c r="M222" s="601">
        <v>0</v>
      </c>
      <c r="N222" s="601">
        <v>0</v>
      </c>
      <c r="O222" s="601"/>
      <c r="P222" s="601"/>
      <c r="Q222" s="601"/>
      <c r="R222" s="601"/>
      <c r="S222" s="601">
        <v>0</v>
      </c>
      <c r="T222" s="601">
        <v>0</v>
      </c>
      <c r="U222" s="601"/>
      <c r="V222" s="601"/>
      <c r="W222" s="601">
        <v>0</v>
      </c>
      <c r="Y222"/>
    </row>
    <row r="223" spans="1:25" ht="15.5">
      <c r="B223" s="65" t="s">
        <v>226</v>
      </c>
      <c r="C223" s="601">
        <v>0</v>
      </c>
      <c r="D223" s="601">
        <v>0</v>
      </c>
      <c r="E223" s="601">
        <v>0</v>
      </c>
      <c r="F223" s="601">
        <v>0</v>
      </c>
      <c r="G223" s="601">
        <v>0</v>
      </c>
      <c r="H223" s="601">
        <v>0</v>
      </c>
      <c r="I223" s="601">
        <v>0</v>
      </c>
      <c r="J223" s="601"/>
      <c r="K223" s="601">
        <v>0</v>
      </c>
      <c r="L223" s="601">
        <v>0</v>
      </c>
      <c r="M223" s="601">
        <v>0</v>
      </c>
      <c r="N223" s="601">
        <v>0</v>
      </c>
      <c r="O223" s="601"/>
      <c r="P223" s="601"/>
      <c r="Q223" s="601"/>
      <c r="R223" s="601"/>
      <c r="S223" s="601">
        <v>0</v>
      </c>
      <c r="T223" s="601">
        <v>0</v>
      </c>
      <c r="U223" s="601"/>
      <c r="V223" s="601"/>
      <c r="W223" s="601">
        <v>0</v>
      </c>
      <c r="Y223"/>
    </row>
    <row r="224" spans="1:25" s="149" customFormat="1" ht="15.5">
      <c r="A224" s="161"/>
      <c r="B224" s="65" t="s">
        <v>227</v>
      </c>
      <c r="C224" s="601">
        <v>0</v>
      </c>
      <c r="D224" s="601">
        <v>0</v>
      </c>
      <c r="E224" s="601">
        <v>0</v>
      </c>
      <c r="F224" s="601">
        <v>0</v>
      </c>
      <c r="G224" s="601">
        <v>0</v>
      </c>
      <c r="H224" s="601">
        <v>0</v>
      </c>
      <c r="I224" s="601">
        <v>0</v>
      </c>
      <c r="J224" s="601">
        <v>0</v>
      </c>
      <c r="K224" s="601">
        <v>0</v>
      </c>
      <c r="L224" s="601">
        <v>0</v>
      </c>
      <c r="M224" s="601">
        <v>0</v>
      </c>
      <c r="N224" s="601">
        <v>0</v>
      </c>
      <c r="O224" s="601">
        <v>0</v>
      </c>
      <c r="P224" s="601">
        <v>0</v>
      </c>
      <c r="Q224" s="601">
        <v>0</v>
      </c>
      <c r="R224" s="601">
        <v>0</v>
      </c>
      <c r="S224" s="601">
        <v>0</v>
      </c>
      <c r="T224" s="601">
        <v>0</v>
      </c>
      <c r="U224" s="601">
        <v>0</v>
      </c>
      <c r="V224" s="601">
        <v>0</v>
      </c>
      <c r="W224" s="601">
        <v>0</v>
      </c>
      <c r="X224" s="65"/>
      <c r="Y224"/>
    </row>
    <row r="225" spans="1:25" ht="15.5">
      <c r="B225" s="65" t="s">
        <v>228</v>
      </c>
      <c r="C225" s="601">
        <v>0</v>
      </c>
      <c r="D225" s="601">
        <v>0</v>
      </c>
      <c r="E225" s="601">
        <v>0</v>
      </c>
      <c r="F225" s="601">
        <v>0</v>
      </c>
      <c r="G225" s="601">
        <v>0</v>
      </c>
      <c r="H225" s="601">
        <v>0</v>
      </c>
      <c r="I225" s="601">
        <v>0</v>
      </c>
      <c r="J225" s="601"/>
      <c r="K225" s="601">
        <v>0</v>
      </c>
      <c r="L225" s="601">
        <v>0</v>
      </c>
      <c r="M225" s="601">
        <v>0</v>
      </c>
      <c r="N225" s="601">
        <v>0</v>
      </c>
      <c r="O225" s="601"/>
      <c r="P225" s="601"/>
      <c r="Q225" s="601"/>
      <c r="R225" s="601"/>
      <c r="S225" s="601">
        <v>0</v>
      </c>
      <c r="T225" s="601">
        <v>0</v>
      </c>
      <c r="U225" s="601"/>
      <c r="V225" s="601"/>
      <c r="W225" s="601">
        <v>0</v>
      </c>
      <c r="Y225"/>
    </row>
    <row r="226" spans="1:25" ht="15.5">
      <c r="B226" s="65" t="s">
        <v>229</v>
      </c>
      <c r="C226" s="601">
        <v>0</v>
      </c>
      <c r="D226" s="601">
        <v>0</v>
      </c>
      <c r="E226" s="601">
        <v>0</v>
      </c>
      <c r="F226" s="601">
        <v>0</v>
      </c>
      <c r="G226" s="601">
        <v>0</v>
      </c>
      <c r="H226" s="601">
        <v>0</v>
      </c>
      <c r="I226" s="601">
        <v>0</v>
      </c>
      <c r="J226" s="601"/>
      <c r="K226" s="601">
        <v>0</v>
      </c>
      <c r="L226" s="601">
        <v>0</v>
      </c>
      <c r="M226" s="601">
        <v>0</v>
      </c>
      <c r="N226" s="601">
        <v>0</v>
      </c>
      <c r="O226" s="601"/>
      <c r="P226" s="601"/>
      <c r="Q226" s="601"/>
      <c r="R226" s="601"/>
      <c r="S226" s="601">
        <v>0</v>
      </c>
      <c r="T226" s="601">
        <v>0</v>
      </c>
      <c r="U226" s="601"/>
      <c r="V226" s="601"/>
      <c r="W226" s="601">
        <v>0</v>
      </c>
      <c r="Y226"/>
    </row>
    <row r="227" spans="1:25" s="149" customFormat="1" ht="15.5">
      <c r="A227" s="161"/>
      <c r="B227" s="65" t="s">
        <v>230</v>
      </c>
      <c r="C227" s="601">
        <v>0</v>
      </c>
      <c r="D227" s="601">
        <v>0</v>
      </c>
      <c r="E227" s="601">
        <v>0</v>
      </c>
      <c r="F227" s="681">
        <v>0</v>
      </c>
      <c r="G227" s="681">
        <v>0</v>
      </c>
      <c r="H227" s="601">
        <v>0</v>
      </c>
      <c r="I227" s="601">
        <v>0</v>
      </c>
      <c r="J227" s="601">
        <v>0</v>
      </c>
      <c r="K227" s="601">
        <v>0</v>
      </c>
      <c r="L227" s="601">
        <v>0</v>
      </c>
      <c r="M227" s="601">
        <v>0</v>
      </c>
      <c r="N227" s="601">
        <v>0</v>
      </c>
      <c r="O227" s="601">
        <v>0</v>
      </c>
      <c r="P227" s="601">
        <v>0</v>
      </c>
      <c r="Q227" s="601">
        <v>0</v>
      </c>
      <c r="R227" s="601">
        <v>0</v>
      </c>
      <c r="S227" s="601">
        <v>0</v>
      </c>
      <c r="T227" s="601">
        <v>0</v>
      </c>
      <c r="U227" s="601">
        <v>0</v>
      </c>
      <c r="V227" s="601">
        <v>0</v>
      </c>
      <c r="W227" s="601">
        <v>0</v>
      </c>
      <c r="X227" s="65"/>
      <c r="Y227"/>
    </row>
    <row r="228" spans="1:25" ht="15.5">
      <c r="B228" s="65" t="s">
        <v>231</v>
      </c>
      <c r="C228" s="601">
        <v>0</v>
      </c>
      <c r="D228" s="601">
        <v>0</v>
      </c>
      <c r="E228" s="601">
        <v>0</v>
      </c>
      <c r="F228" s="601">
        <v>0</v>
      </c>
      <c r="G228" s="601">
        <v>0</v>
      </c>
      <c r="H228" s="601">
        <v>0</v>
      </c>
      <c r="I228" s="601">
        <v>0</v>
      </c>
      <c r="J228" s="601"/>
      <c r="K228" s="601">
        <v>0</v>
      </c>
      <c r="L228" s="601">
        <v>0</v>
      </c>
      <c r="M228" s="601">
        <v>0</v>
      </c>
      <c r="N228" s="601">
        <v>0</v>
      </c>
      <c r="O228" s="601"/>
      <c r="P228" s="601"/>
      <c r="Q228" s="601"/>
      <c r="R228" s="601"/>
      <c r="S228" s="601">
        <v>0</v>
      </c>
      <c r="T228" s="601">
        <v>0</v>
      </c>
      <c r="U228" s="601"/>
      <c r="V228" s="601"/>
      <c r="W228" s="601">
        <v>0</v>
      </c>
      <c r="Y228"/>
    </row>
    <row r="229" spans="1:25" ht="15.5">
      <c r="B229" s="65" t="s">
        <v>232</v>
      </c>
      <c r="C229" s="601">
        <v>0</v>
      </c>
      <c r="D229" s="601">
        <v>0</v>
      </c>
      <c r="E229" s="601">
        <v>0</v>
      </c>
      <c r="F229" s="601">
        <v>0</v>
      </c>
      <c r="G229" s="601">
        <v>0</v>
      </c>
      <c r="H229" s="601">
        <v>0</v>
      </c>
      <c r="I229" s="601">
        <v>0</v>
      </c>
      <c r="J229" s="601"/>
      <c r="K229" s="601">
        <v>0</v>
      </c>
      <c r="L229" s="601">
        <v>0</v>
      </c>
      <c r="M229" s="601">
        <v>0</v>
      </c>
      <c r="N229" s="601">
        <v>0</v>
      </c>
      <c r="O229" s="601"/>
      <c r="P229" s="601"/>
      <c r="Q229" s="601"/>
      <c r="R229" s="601"/>
      <c r="S229" s="601">
        <v>0</v>
      </c>
      <c r="T229" s="601">
        <v>0</v>
      </c>
      <c r="U229" s="601"/>
      <c r="V229" s="601"/>
      <c r="W229" s="601">
        <v>0</v>
      </c>
      <c r="Y229"/>
    </row>
    <row r="230" spans="1:25" s="149" customFormat="1" ht="15.5">
      <c r="A230" s="521"/>
      <c r="B230" s="65" t="s">
        <v>233</v>
      </c>
      <c r="C230" s="211">
        <v>0</v>
      </c>
      <c r="D230" s="211">
        <v>0</v>
      </c>
      <c r="E230" s="211">
        <v>0</v>
      </c>
      <c r="F230" s="211">
        <v>0</v>
      </c>
      <c r="G230" s="211">
        <v>0</v>
      </c>
      <c r="H230" s="211">
        <v>0</v>
      </c>
      <c r="I230" s="211">
        <v>0</v>
      </c>
      <c r="J230" s="211">
        <v>0</v>
      </c>
      <c r="K230" s="211">
        <v>0</v>
      </c>
      <c r="L230" s="211">
        <v>0</v>
      </c>
      <c r="M230" s="211">
        <v>0</v>
      </c>
      <c r="N230" s="211">
        <v>0</v>
      </c>
      <c r="O230" s="211">
        <v>0</v>
      </c>
      <c r="P230" s="211">
        <v>0</v>
      </c>
      <c r="Q230" s="211">
        <v>0</v>
      </c>
      <c r="R230" s="211">
        <v>0</v>
      </c>
      <c r="S230" s="211">
        <v>0</v>
      </c>
      <c r="T230" s="211">
        <v>0</v>
      </c>
      <c r="U230" s="211">
        <v>0</v>
      </c>
      <c r="V230" s="211">
        <v>0</v>
      </c>
      <c r="W230" s="211">
        <v>0</v>
      </c>
      <c r="X230" s="65"/>
      <c r="Y230"/>
    </row>
    <row r="231" spans="1:25" ht="15.5">
      <c r="A231" s="161" t="s">
        <v>168</v>
      </c>
      <c r="B231" s="65" t="s">
        <v>110</v>
      </c>
      <c r="C231" s="601">
        <v>4561</v>
      </c>
      <c r="D231" s="601"/>
      <c r="E231" s="601">
        <v>1661</v>
      </c>
      <c r="F231" s="601"/>
      <c r="G231" s="601">
        <v>2107</v>
      </c>
      <c r="H231" s="601">
        <v>890</v>
      </c>
      <c r="I231" s="601">
        <v>9219</v>
      </c>
      <c r="J231" s="601">
        <v>267</v>
      </c>
      <c r="K231" s="601"/>
      <c r="L231" s="601"/>
      <c r="M231" s="601"/>
      <c r="N231" s="601">
        <v>267</v>
      </c>
      <c r="O231" s="601"/>
      <c r="P231" s="601"/>
      <c r="Q231" s="601"/>
      <c r="R231" s="601"/>
      <c r="S231" s="601"/>
      <c r="T231" s="601"/>
      <c r="U231" s="601"/>
      <c r="V231" s="601"/>
      <c r="W231" s="601">
        <v>9486</v>
      </c>
      <c r="Y231"/>
    </row>
    <row r="232" spans="1:25" ht="15.5">
      <c r="B232" s="65" t="s">
        <v>111</v>
      </c>
      <c r="C232" s="601">
        <v>4649</v>
      </c>
      <c r="D232" s="601"/>
      <c r="E232" s="601">
        <v>1628</v>
      </c>
      <c r="F232" s="601"/>
      <c r="G232" s="601">
        <v>2067</v>
      </c>
      <c r="H232" s="601">
        <v>875</v>
      </c>
      <c r="I232" s="601">
        <v>9219</v>
      </c>
      <c r="J232" s="601">
        <v>286</v>
      </c>
      <c r="K232" s="601"/>
      <c r="L232" s="601"/>
      <c r="M232" s="601"/>
      <c r="N232" s="601">
        <v>286</v>
      </c>
      <c r="O232" s="601"/>
      <c r="P232" s="601"/>
      <c r="Q232" s="601"/>
      <c r="R232" s="601"/>
      <c r="S232" s="601"/>
      <c r="T232" s="601"/>
      <c r="U232" s="601"/>
      <c r="V232" s="601"/>
      <c r="W232" s="601">
        <v>9505</v>
      </c>
      <c r="Y232"/>
    </row>
    <row r="233" spans="1:25" s="149" customFormat="1" ht="15.5">
      <c r="A233" s="161"/>
      <c r="B233" s="65" t="s">
        <v>112</v>
      </c>
      <c r="C233" s="601">
        <v>1.9294014470510854E-2</v>
      </c>
      <c r="D233" s="601">
        <v>0</v>
      </c>
      <c r="E233" s="601">
        <v>-1.9867549668874173E-2</v>
      </c>
      <c r="F233" s="601">
        <v>0</v>
      </c>
      <c r="G233" s="601">
        <v>-1.8984337921214997E-2</v>
      </c>
      <c r="H233" s="601">
        <v>-1.6853932584269662E-2</v>
      </c>
      <c r="I233" s="601">
        <v>0</v>
      </c>
      <c r="J233" s="681">
        <v>7.116104868913857E-2</v>
      </c>
      <c r="K233" s="601">
        <v>0</v>
      </c>
      <c r="L233" s="601">
        <v>0</v>
      </c>
      <c r="M233" s="601">
        <v>0</v>
      </c>
      <c r="N233" s="601">
        <v>7.116104868913857E-2</v>
      </c>
      <c r="O233" s="601">
        <v>0</v>
      </c>
      <c r="P233" s="601">
        <v>0</v>
      </c>
      <c r="Q233" s="601">
        <v>0</v>
      </c>
      <c r="R233" s="601">
        <v>0</v>
      </c>
      <c r="S233" s="601">
        <v>0</v>
      </c>
      <c r="T233" s="601">
        <v>0</v>
      </c>
      <c r="U233" s="601">
        <v>0</v>
      </c>
      <c r="V233" s="601">
        <v>0</v>
      </c>
      <c r="W233" s="601">
        <v>2.0029517183217374E-3</v>
      </c>
      <c r="X233" s="65"/>
      <c r="Y233"/>
    </row>
    <row r="234" spans="1:25" ht="15.5">
      <c r="B234" s="65" t="s">
        <v>222</v>
      </c>
      <c r="C234" s="601">
        <v>0</v>
      </c>
      <c r="D234" s="601"/>
      <c r="E234" s="601">
        <v>0</v>
      </c>
      <c r="F234" s="601"/>
      <c r="G234" s="601">
        <v>0</v>
      </c>
      <c r="H234" s="601">
        <v>0</v>
      </c>
      <c r="I234" s="601">
        <v>0</v>
      </c>
      <c r="J234" s="601">
        <v>0</v>
      </c>
      <c r="K234" s="601"/>
      <c r="L234" s="601">
        <v>0</v>
      </c>
      <c r="M234" s="601">
        <v>0</v>
      </c>
      <c r="N234" s="601">
        <v>0</v>
      </c>
      <c r="O234" s="601"/>
      <c r="P234" s="601"/>
      <c r="Q234" s="601">
        <v>0</v>
      </c>
      <c r="R234" s="601">
        <v>0</v>
      </c>
      <c r="S234" s="601">
        <v>0</v>
      </c>
      <c r="T234" s="601">
        <v>0</v>
      </c>
      <c r="U234" s="601"/>
      <c r="V234" s="601"/>
      <c r="W234" s="601">
        <v>0</v>
      </c>
      <c r="Y234"/>
    </row>
    <row r="235" spans="1:25" ht="16" thickBot="1">
      <c r="B235" s="65" t="s">
        <v>223</v>
      </c>
      <c r="C235" s="601">
        <v>0</v>
      </c>
      <c r="D235" s="601"/>
      <c r="E235" s="601">
        <v>0</v>
      </c>
      <c r="F235" s="601"/>
      <c r="G235" s="601">
        <v>0</v>
      </c>
      <c r="H235" s="601">
        <v>0</v>
      </c>
      <c r="I235" s="601">
        <v>0</v>
      </c>
      <c r="J235" s="601">
        <v>0</v>
      </c>
      <c r="K235" s="601"/>
      <c r="L235" s="601">
        <v>0</v>
      </c>
      <c r="M235" s="601">
        <v>0</v>
      </c>
      <c r="N235" s="601">
        <v>0</v>
      </c>
      <c r="O235" s="601"/>
      <c r="P235" s="601"/>
      <c r="Q235" s="601">
        <v>0</v>
      </c>
      <c r="R235" s="601">
        <v>0</v>
      </c>
      <c r="S235" s="601">
        <v>0</v>
      </c>
      <c r="T235" s="601">
        <v>0</v>
      </c>
      <c r="U235" s="601"/>
      <c r="V235" s="601"/>
      <c r="W235" s="601">
        <v>0</v>
      </c>
      <c r="Y235"/>
    </row>
    <row r="236" spans="1:25" s="149" customFormat="1" ht="16" thickBot="1">
      <c r="A236" s="161"/>
      <c r="B236" s="65" t="s">
        <v>224</v>
      </c>
      <c r="C236" s="601">
        <v>0</v>
      </c>
      <c r="D236" s="601">
        <v>0</v>
      </c>
      <c r="E236" s="687">
        <v>0</v>
      </c>
      <c r="F236" s="601">
        <v>0</v>
      </c>
      <c r="G236" s="687">
        <v>0</v>
      </c>
      <c r="H236" s="601">
        <v>0</v>
      </c>
      <c r="I236" s="601">
        <v>0</v>
      </c>
      <c r="J236" s="601">
        <v>0</v>
      </c>
      <c r="K236" s="601">
        <v>0</v>
      </c>
      <c r="L236" s="601">
        <v>0</v>
      </c>
      <c r="M236" s="601">
        <v>0</v>
      </c>
      <c r="N236" s="601">
        <v>0</v>
      </c>
      <c r="O236" s="601">
        <v>0</v>
      </c>
      <c r="P236" s="601">
        <v>0</v>
      </c>
      <c r="Q236" s="601">
        <v>0</v>
      </c>
      <c r="R236" s="601">
        <v>0</v>
      </c>
      <c r="S236" s="601">
        <v>0</v>
      </c>
      <c r="T236" s="601">
        <v>0</v>
      </c>
      <c r="U236" s="601">
        <v>0</v>
      </c>
      <c r="V236" s="601">
        <v>0</v>
      </c>
      <c r="W236" s="601">
        <v>0</v>
      </c>
      <c r="X236" s="65"/>
      <c r="Y236"/>
    </row>
    <row r="237" spans="1:25" ht="15.5">
      <c r="B237" s="65" t="s">
        <v>225</v>
      </c>
      <c r="C237" s="601">
        <v>0</v>
      </c>
      <c r="D237" s="601"/>
      <c r="E237" s="601">
        <v>0</v>
      </c>
      <c r="F237" s="601"/>
      <c r="G237" s="601">
        <v>0</v>
      </c>
      <c r="H237" s="601">
        <v>0</v>
      </c>
      <c r="I237" s="601">
        <v>0</v>
      </c>
      <c r="J237" s="601">
        <v>0</v>
      </c>
      <c r="K237" s="601"/>
      <c r="L237" s="601">
        <v>0</v>
      </c>
      <c r="M237" s="601">
        <v>0</v>
      </c>
      <c r="N237" s="601">
        <v>0</v>
      </c>
      <c r="O237" s="601"/>
      <c r="P237" s="601"/>
      <c r="Q237" s="601">
        <v>0</v>
      </c>
      <c r="R237" s="601">
        <v>0</v>
      </c>
      <c r="S237" s="601">
        <v>0</v>
      </c>
      <c r="T237" s="601">
        <v>0</v>
      </c>
      <c r="U237" s="601"/>
      <c r="V237" s="601"/>
      <c r="W237" s="601">
        <v>0</v>
      </c>
      <c r="Y237"/>
    </row>
    <row r="238" spans="1:25" ht="15.5">
      <c r="B238" s="65" t="s">
        <v>226</v>
      </c>
      <c r="C238" s="601">
        <v>0</v>
      </c>
      <c r="D238" s="601"/>
      <c r="E238" s="601">
        <v>0</v>
      </c>
      <c r="F238" s="601"/>
      <c r="G238" s="601">
        <v>0</v>
      </c>
      <c r="H238" s="601">
        <v>0</v>
      </c>
      <c r="I238" s="601">
        <v>0</v>
      </c>
      <c r="J238" s="601">
        <v>0</v>
      </c>
      <c r="K238" s="601"/>
      <c r="L238" s="601">
        <v>0</v>
      </c>
      <c r="M238" s="601">
        <v>0</v>
      </c>
      <c r="N238" s="601">
        <v>0</v>
      </c>
      <c r="O238" s="601"/>
      <c r="P238" s="601"/>
      <c r="Q238" s="601">
        <v>0</v>
      </c>
      <c r="R238" s="601">
        <v>0</v>
      </c>
      <c r="S238" s="601">
        <v>0</v>
      </c>
      <c r="T238" s="601">
        <v>0</v>
      </c>
      <c r="U238" s="601"/>
      <c r="V238" s="601"/>
      <c r="W238" s="601">
        <v>0</v>
      </c>
      <c r="Y238"/>
    </row>
    <row r="239" spans="1:25" s="149" customFormat="1" ht="15.5">
      <c r="A239" s="161"/>
      <c r="B239" s="65" t="s">
        <v>227</v>
      </c>
      <c r="C239" s="601">
        <v>0</v>
      </c>
      <c r="D239" s="601">
        <v>0</v>
      </c>
      <c r="E239" s="601">
        <v>0</v>
      </c>
      <c r="F239" s="601">
        <v>0</v>
      </c>
      <c r="G239" s="601">
        <v>0</v>
      </c>
      <c r="H239" s="601">
        <v>0</v>
      </c>
      <c r="I239" s="601">
        <v>0</v>
      </c>
      <c r="J239" s="601">
        <v>0</v>
      </c>
      <c r="K239" s="601">
        <v>0</v>
      </c>
      <c r="L239" s="601">
        <v>0</v>
      </c>
      <c r="M239" s="601">
        <v>0</v>
      </c>
      <c r="N239" s="601">
        <v>0</v>
      </c>
      <c r="O239" s="601">
        <v>0</v>
      </c>
      <c r="P239" s="601">
        <v>0</v>
      </c>
      <c r="Q239" s="601">
        <v>0</v>
      </c>
      <c r="R239" s="601">
        <v>0</v>
      </c>
      <c r="S239" s="601">
        <v>0</v>
      </c>
      <c r="T239" s="601">
        <v>0</v>
      </c>
      <c r="U239" s="601">
        <v>0</v>
      </c>
      <c r="V239" s="601">
        <v>0</v>
      </c>
      <c r="W239" s="601">
        <v>0</v>
      </c>
      <c r="X239" s="65"/>
      <c r="Y239"/>
    </row>
    <row r="240" spans="1:25" ht="15.5">
      <c r="B240" s="65" t="s">
        <v>228</v>
      </c>
      <c r="C240" s="601">
        <v>0</v>
      </c>
      <c r="D240" s="601"/>
      <c r="E240" s="601">
        <v>0</v>
      </c>
      <c r="F240" s="601"/>
      <c r="G240" s="601">
        <v>0</v>
      </c>
      <c r="H240" s="601">
        <v>0</v>
      </c>
      <c r="I240" s="601">
        <v>0</v>
      </c>
      <c r="J240" s="601">
        <v>0</v>
      </c>
      <c r="K240" s="601"/>
      <c r="L240" s="601">
        <v>0</v>
      </c>
      <c r="M240" s="601">
        <v>0</v>
      </c>
      <c r="N240" s="601">
        <v>0</v>
      </c>
      <c r="O240" s="601"/>
      <c r="P240" s="601"/>
      <c r="Q240" s="601">
        <v>0</v>
      </c>
      <c r="R240" s="601">
        <v>0</v>
      </c>
      <c r="S240" s="601">
        <v>0</v>
      </c>
      <c r="T240" s="601">
        <v>0</v>
      </c>
      <c r="U240" s="601"/>
      <c r="V240" s="601"/>
      <c r="W240" s="601">
        <v>0</v>
      </c>
      <c r="Y240"/>
    </row>
    <row r="241" spans="1:25" ht="15.5">
      <c r="B241" s="65" t="s">
        <v>229</v>
      </c>
      <c r="C241" s="601">
        <v>0</v>
      </c>
      <c r="D241" s="601"/>
      <c r="E241" s="601">
        <v>0</v>
      </c>
      <c r="F241" s="601"/>
      <c r="G241" s="601">
        <v>0</v>
      </c>
      <c r="H241" s="601">
        <v>0</v>
      </c>
      <c r="I241" s="601">
        <v>0</v>
      </c>
      <c r="J241" s="601">
        <v>0</v>
      </c>
      <c r="K241" s="601"/>
      <c r="L241" s="601">
        <v>0</v>
      </c>
      <c r="M241" s="601">
        <v>0</v>
      </c>
      <c r="N241" s="601">
        <v>0</v>
      </c>
      <c r="O241" s="601"/>
      <c r="P241" s="601"/>
      <c r="Q241" s="601">
        <v>0</v>
      </c>
      <c r="R241" s="601">
        <v>0</v>
      </c>
      <c r="S241" s="601">
        <v>0</v>
      </c>
      <c r="T241" s="601">
        <v>0</v>
      </c>
      <c r="U241" s="601"/>
      <c r="V241" s="601"/>
      <c r="W241" s="601">
        <v>0</v>
      </c>
      <c r="Y241"/>
    </row>
    <row r="242" spans="1:25" s="149" customFormat="1" ht="15.5">
      <c r="A242" s="161"/>
      <c r="B242" s="65" t="s">
        <v>230</v>
      </c>
      <c r="C242" s="601">
        <v>0</v>
      </c>
      <c r="D242" s="601">
        <v>0</v>
      </c>
      <c r="E242" s="601">
        <v>0</v>
      </c>
      <c r="F242" s="601">
        <v>0</v>
      </c>
      <c r="G242" s="601">
        <v>0</v>
      </c>
      <c r="H242" s="601">
        <v>0</v>
      </c>
      <c r="I242" s="601">
        <v>0</v>
      </c>
      <c r="J242" s="601">
        <v>0</v>
      </c>
      <c r="K242" s="601">
        <v>0</v>
      </c>
      <c r="L242" s="601">
        <v>0</v>
      </c>
      <c r="M242" s="601">
        <v>0</v>
      </c>
      <c r="N242" s="601">
        <v>0</v>
      </c>
      <c r="O242" s="601">
        <v>0</v>
      </c>
      <c r="P242" s="601">
        <v>0</v>
      </c>
      <c r="Q242" s="601">
        <v>0</v>
      </c>
      <c r="R242" s="601">
        <v>0</v>
      </c>
      <c r="S242" s="601">
        <v>0</v>
      </c>
      <c r="T242" s="601">
        <v>0</v>
      </c>
      <c r="U242" s="601">
        <v>0</v>
      </c>
      <c r="V242" s="601">
        <v>0</v>
      </c>
      <c r="W242" s="601">
        <v>0</v>
      </c>
      <c r="X242" s="65"/>
      <c r="Y242"/>
    </row>
    <row r="243" spans="1:25" ht="15.5">
      <c r="B243" s="65" t="s">
        <v>231</v>
      </c>
      <c r="C243" s="601">
        <v>0</v>
      </c>
      <c r="D243" s="601"/>
      <c r="E243" s="601">
        <v>0</v>
      </c>
      <c r="F243" s="601"/>
      <c r="G243" s="601">
        <v>0</v>
      </c>
      <c r="H243" s="601">
        <v>0</v>
      </c>
      <c r="I243" s="601">
        <v>0</v>
      </c>
      <c r="J243" s="601">
        <v>0</v>
      </c>
      <c r="K243" s="601"/>
      <c r="L243" s="601">
        <v>0</v>
      </c>
      <c r="M243" s="601">
        <v>0</v>
      </c>
      <c r="N243" s="601">
        <v>0</v>
      </c>
      <c r="O243" s="601"/>
      <c r="P243" s="601"/>
      <c r="Q243" s="601">
        <v>0</v>
      </c>
      <c r="R243" s="601">
        <v>0</v>
      </c>
      <c r="S243" s="601">
        <v>0</v>
      </c>
      <c r="T243" s="601">
        <v>0</v>
      </c>
      <c r="U243" s="601"/>
      <c r="V243" s="601"/>
      <c r="W243" s="601">
        <v>0</v>
      </c>
      <c r="Y243"/>
    </row>
    <row r="244" spans="1:25" ht="15.5">
      <c r="B244" s="65" t="s">
        <v>232</v>
      </c>
      <c r="C244" s="601">
        <v>0</v>
      </c>
      <c r="D244" s="601"/>
      <c r="E244" s="601">
        <v>0</v>
      </c>
      <c r="F244" s="601"/>
      <c r="G244" s="601">
        <v>0</v>
      </c>
      <c r="H244" s="601">
        <v>0</v>
      </c>
      <c r="I244" s="601">
        <v>0</v>
      </c>
      <c r="J244" s="601">
        <v>0</v>
      </c>
      <c r="K244" s="601"/>
      <c r="L244" s="601">
        <v>0</v>
      </c>
      <c r="M244" s="601">
        <v>0</v>
      </c>
      <c r="N244" s="601">
        <v>0</v>
      </c>
      <c r="O244" s="601"/>
      <c r="P244" s="601"/>
      <c r="Q244" s="601">
        <v>0</v>
      </c>
      <c r="R244" s="601">
        <v>0</v>
      </c>
      <c r="S244" s="601">
        <v>0</v>
      </c>
      <c r="T244" s="601">
        <v>0</v>
      </c>
      <c r="U244" s="601"/>
      <c r="V244" s="601"/>
      <c r="W244" s="601">
        <v>0</v>
      </c>
      <c r="Y244"/>
    </row>
    <row r="245" spans="1:25" s="149" customFormat="1" ht="15.5">
      <c r="A245" s="521"/>
      <c r="B245" s="65" t="s">
        <v>233</v>
      </c>
      <c r="C245" s="211">
        <v>0</v>
      </c>
      <c r="D245" s="211">
        <v>0</v>
      </c>
      <c r="E245" s="211">
        <v>0</v>
      </c>
      <c r="F245" s="211">
        <v>0</v>
      </c>
      <c r="G245" s="211">
        <v>0</v>
      </c>
      <c r="H245" s="211">
        <v>0</v>
      </c>
      <c r="I245" s="211">
        <v>0</v>
      </c>
      <c r="J245" s="211">
        <v>0</v>
      </c>
      <c r="K245" s="211">
        <v>0</v>
      </c>
      <c r="L245" s="211">
        <v>0</v>
      </c>
      <c r="M245" s="211">
        <v>0</v>
      </c>
      <c r="N245" s="211">
        <v>0</v>
      </c>
      <c r="O245" s="211">
        <v>0</v>
      </c>
      <c r="P245" s="211">
        <v>0</v>
      </c>
      <c r="Q245" s="211">
        <v>0</v>
      </c>
      <c r="R245" s="211">
        <v>0</v>
      </c>
      <c r="S245" s="211">
        <v>0</v>
      </c>
      <c r="T245" s="211">
        <v>0</v>
      </c>
      <c r="U245" s="211">
        <v>0</v>
      </c>
      <c r="V245" s="211">
        <v>0</v>
      </c>
      <c r="W245" s="211">
        <v>0</v>
      </c>
      <c r="X245" s="65"/>
      <c r="Y245"/>
    </row>
    <row r="246" spans="1:25" ht="52.5">
      <c r="A246" s="504" t="s">
        <v>178</v>
      </c>
      <c r="B246" s="504"/>
      <c r="C246" s="172">
        <v>192441</v>
      </c>
      <c r="D246" s="172">
        <v>42268</v>
      </c>
      <c r="E246" s="172">
        <v>103267</v>
      </c>
      <c r="F246" s="172">
        <v>25635</v>
      </c>
      <c r="G246" s="172">
        <v>11082</v>
      </c>
      <c r="H246" s="172">
        <v>9752</v>
      </c>
      <c r="I246" s="172">
        <v>384445</v>
      </c>
      <c r="J246" s="172">
        <v>9938</v>
      </c>
      <c r="K246" s="172">
        <v>42</v>
      </c>
      <c r="L246" s="172">
        <v>43</v>
      </c>
      <c r="M246" s="172">
        <v>16</v>
      </c>
      <c r="N246" s="172">
        <v>10039</v>
      </c>
      <c r="O246" s="172"/>
      <c r="P246" s="172"/>
      <c r="Q246" s="172"/>
      <c r="R246" s="172"/>
      <c r="S246" s="172">
        <v>4794</v>
      </c>
      <c r="T246" s="172">
        <v>4794</v>
      </c>
      <c r="U246" s="172"/>
      <c r="V246" s="172"/>
      <c r="W246" s="172">
        <v>399278</v>
      </c>
      <c r="Y246"/>
    </row>
    <row r="247" spans="1:25" ht="52.5">
      <c r="A247" s="504" t="s">
        <v>179</v>
      </c>
      <c r="B247" s="504"/>
      <c r="C247" s="172">
        <v>112956</v>
      </c>
      <c r="D247" s="172">
        <v>24592</v>
      </c>
      <c r="E247" s="172">
        <v>59269</v>
      </c>
      <c r="F247" s="172">
        <v>18970</v>
      </c>
      <c r="G247" s="172">
        <v>8441</v>
      </c>
      <c r="H247" s="172">
        <v>9768</v>
      </c>
      <c r="I247" s="172">
        <v>233996</v>
      </c>
      <c r="J247" s="172">
        <v>553</v>
      </c>
      <c r="K247" s="172">
        <v>0</v>
      </c>
      <c r="L247" s="172">
        <v>51</v>
      </c>
      <c r="M247" s="172">
        <v>0</v>
      </c>
      <c r="N247" s="172">
        <v>604</v>
      </c>
      <c r="O247" s="172"/>
      <c r="P247" s="172"/>
      <c r="Q247" s="172"/>
      <c r="R247" s="172"/>
      <c r="S247" s="172">
        <v>1582</v>
      </c>
      <c r="T247" s="172">
        <v>1582</v>
      </c>
      <c r="U247" s="172"/>
      <c r="V247" s="172"/>
      <c r="W247" s="172">
        <v>236182</v>
      </c>
      <c r="Y247"/>
    </row>
    <row r="248" spans="1:25" s="149" customFormat="1" ht="65.5">
      <c r="A248" s="131" t="s">
        <v>180</v>
      </c>
      <c r="B248" s="131"/>
      <c r="C248" s="683">
        <v>-0.41303568366408405</v>
      </c>
      <c r="D248" s="683">
        <v>-0.41818870067190311</v>
      </c>
      <c r="E248" s="683">
        <v>-0.42606060019173597</v>
      </c>
      <c r="F248" s="683">
        <v>-0.25999609908328458</v>
      </c>
      <c r="G248" s="683">
        <v>-0.23831438368525537</v>
      </c>
      <c r="H248" s="683">
        <v>1.6406890894175555E-3</v>
      </c>
      <c r="I248" s="683">
        <v>-0.39134076395843359</v>
      </c>
      <c r="J248" s="683">
        <v>-0.9443550010062387</v>
      </c>
      <c r="K248" s="691">
        <v>-1</v>
      </c>
      <c r="L248" s="683">
        <v>0.18604651162790697</v>
      </c>
      <c r="M248" s="683">
        <v>-1</v>
      </c>
      <c r="N248" s="683">
        <v>-0.93983464488494872</v>
      </c>
      <c r="O248" s="683">
        <v>0</v>
      </c>
      <c r="P248" s="683">
        <v>0</v>
      </c>
      <c r="Q248" s="683">
        <v>0</v>
      </c>
      <c r="R248" s="683">
        <v>0</v>
      </c>
      <c r="S248" s="683">
        <v>-0.67000417188151862</v>
      </c>
      <c r="T248" s="683">
        <v>-0.67000417188151862</v>
      </c>
      <c r="U248" s="683">
        <v>0</v>
      </c>
      <c r="V248" s="683">
        <v>0</v>
      </c>
      <c r="W248" s="683">
        <v>-0.40847730152926032</v>
      </c>
      <c r="X248" s="65"/>
      <c r="Y248"/>
    </row>
    <row r="249" spans="1:25" ht="65.5">
      <c r="A249" s="131" t="s">
        <v>234</v>
      </c>
      <c r="B249" s="131"/>
      <c r="C249" s="683">
        <v>0</v>
      </c>
      <c r="D249" s="683">
        <v>0</v>
      </c>
      <c r="E249" s="683">
        <v>0</v>
      </c>
      <c r="F249" s="683">
        <v>0</v>
      </c>
      <c r="G249" s="683">
        <v>0</v>
      </c>
      <c r="H249" s="683">
        <v>0</v>
      </c>
      <c r="I249" s="683">
        <v>0</v>
      </c>
      <c r="J249" s="683">
        <v>0</v>
      </c>
      <c r="K249" s="683">
        <v>0</v>
      </c>
      <c r="L249" s="683">
        <v>0</v>
      </c>
      <c r="M249" s="683">
        <v>0</v>
      </c>
      <c r="N249" s="683">
        <v>0</v>
      </c>
      <c r="O249" s="683">
        <v>0</v>
      </c>
      <c r="P249" s="683">
        <v>0</v>
      </c>
      <c r="Q249" s="683">
        <v>0</v>
      </c>
      <c r="R249" s="683">
        <v>0</v>
      </c>
      <c r="S249" s="683">
        <v>0</v>
      </c>
      <c r="T249" s="683">
        <v>0</v>
      </c>
      <c r="U249" s="683"/>
      <c r="V249" s="683"/>
      <c r="W249" s="683">
        <v>0</v>
      </c>
      <c r="Y249"/>
    </row>
    <row r="250" spans="1:25" ht="65.5">
      <c r="A250" s="131" t="s">
        <v>235</v>
      </c>
      <c r="B250" s="131"/>
      <c r="C250" s="683">
        <v>0</v>
      </c>
      <c r="D250" s="683">
        <v>0</v>
      </c>
      <c r="E250" s="683">
        <v>0</v>
      </c>
      <c r="F250" s="683">
        <v>0</v>
      </c>
      <c r="G250" s="683">
        <v>0</v>
      </c>
      <c r="H250" s="683">
        <v>0</v>
      </c>
      <c r="I250" s="683">
        <v>0</v>
      </c>
      <c r="J250" s="683">
        <v>0</v>
      </c>
      <c r="K250" s="683">
        <v>0</v>
      </c>
      <c r="L250" s="683">
        <v>0</v>
      </c>
      <c r="M250" s="683">
        <v>0</v>
      </c>
      <c r="N250" s="683">
        <v>0</v>
      </c>
      <c r="O250" s="683">
        <v>0</v>
      </c>
      <c r="P250" s="683">
        <v>0</v>
      </c>
      <c r="Q250" s="683">
        <v>0</v>
      </c>
      <c r="R250" s="683">
        <v>0</v>
      </c>
      <c r="S250" s="683">
        <v>0</v>
      </c>
      <c r="T250" s="683">
        <v>0</v>
      </c>
      <c r="U250" s="683"/>
      <c r="V250" s="683"/>
      <c r="W250" s="683">
        <v>0</v>
      </c>
      <c r="Y250"/>
    </row>
    <row r="251" spans="1:25" s="149" customFormat="1" ht="65.5">
      <c r="A251" s="131" t="s">
        <v>236</v>
      </c>
      <c r="B251" s="131"/>
      <c r="C251" s="683">
        <v>0</v>
      </c>
      <c r="D251" s="683">
        <v>0</v>
      </c>
      <c r="E251" s="683">
        <v>0</v>
      </c>
      <c r="F251" s="683">
        <v>0</v>
      </c>
      <c r="G251" s="683">
        <v>0</v>
      </c>
      <c r="H251" s="683">
        <v>0</v>
      </c>
      <c r="I251" s="683">
        <v>0</v>
      </c>
      <c r="J251" s="683">
        <v>0</v>
      </c>
      <c r="K251" s="683">
        <v>0</v>
      </c>
      <c r="L251" s="683">
        <v>0</v>
      </c>
      <c r="M251" s="683">
        <v>0</v>
      </c>
      <c r="N251" s="683">
        <v>0</v>
      </c>
      <c r="O251" s="683">
        <v>0</v>
      </c>
      <c r="P251" s="683">
        <v>0</v>
      </c>
      <c r="Q251" s="683">
        <v>0</v>
      </c>
      <c r="R251" s="683">
        <v>0</v>
      </c>
      <c r="S251" s="683">
        <v>0</v>
      </c>
      <c r="T251" s="683">
        <v>0</v>
      </c>
      <c r="U251" s="683">
        <v>0</v>
      </c>
      <c r="V251" s="683">
        <v>0</v>
      </c>
      <c r="W251" s="683">
        <v>0</v>
      </c>
      <c r="X251" s="65"/>
      <c r="Y251"/>
    </row>
    <row r="252" spans="1:25" ht="78.5">
      <c r="A252" s="131" t="s">
        <v>237</v>
      </c>
      <c r="B252" s="131"/>
      <c r="C252" s="683">
        <v>0</v>
      </c>
      <c r="D252" s="683">
        <v>0</v>
      </c>
      <c r="E252" s="683">
        <v>0</v>
      </c>
      <c r="F252" s="683">
        <v>0</v>
      </c>
      <c r="G252" s="683">
        <v>0</v>
      </c>
      <c r="H252" s="683">
        <v>0</v>
      </c>
      <c r="I252" s="683">
        <v>0</v>
      </c>
      <c r="J252" s="683">
        <v>0</v>
      </c>
      <c r="K252" s="683">
        <v>0</v>
      </c>
      <c r="L252" s="683">
        <v>0</v>
      </c>
      <c r="M252" s="683">
        <v>0</v>
      </c>
      <c r="N252" s="683">
        <v>0</v>
      </c>
      <c r="O252" s="683">
        <v>0</v>
      </c>
      <c r="P252" s="683">
        <v>0</v>
      </c>
      <c r="Q252" s="683">
        <v>0</v>
      </c>
      <c r="R252" s="683">
        <v>0</v>
      </c>
      <c r="S252" s="683">
        <v>0</v>
      </c>
      <c r="T252" s="683">
        <v>0</v>
      </c>
      <c r="U252" s="683"/>
      <c r="V252" s="683"/>
      <c r="W252" s="683">
        <v>0</v>
      </c>
      <c r="Y252"/>
    </row>
    <row r="253" spans="1:25" ht="78.5">
      <c r="A253" s="131" t="s">
        <v>238</v>
      </c>
      <c r="B253" s="131"/>
      <c r="C253" s="683">
        <v>0</v>
      </c>
      <c r="D253" s="683">
        <v>0</v>
      </c>
      <c r="E253" s="683">
        <v>0</v>
      </c>
      <c r="F253" s="683">
        <v>0</v>
      </c>
      <c r="G253" s="683">
        <v>0</v>
      </c>
      <c r="H253" s="683">
        <v>0</v>
      </c>
      <c r="I253" s="683">
        <v>0</v>
      </c>
      <c r="J253" s="683">
        <v>0</v>
      </c>
      <c r="K253" s="683">
        <v>0</v>
      </c>
      <c r="L253" s="683">
        <v>0</v>
      </c>
      <c r="M253" s="683">
        <v>0</v>
      </c>
      <c r="N253" s="683">
        <v>0</v>
      </c>
      <c r="O253" s="683">
        <v>0</v>
      </c>
      <c r="P253" s="683">
        <v>0</v>
      </c>
      <c r="Q253" s="683">
        <v>0</v>
      </c>
      <c r="R253" s="683">
        <v>0</v>
      </c>
      <c r="S253" s="683">
        <v>0</v>
      </c>
      <c r="T253" s="683">
        <v>0</v>
      </c>
      <c r="U253" s="683"/>
      <c r="V253" s="683"/>
      <c r="W253" s="683">
        <v>0</v>
      </c>
      <c r="Y253"/>
    </row>
    <row r="254" spans="1:25" s="149" customFormat="1" ht="78.5">
      <c r="A254" s="131" t="s">
        <v>239</v>
      </c>
      <c r="B254" s="131"/>
      <c r="C254" s="683">
        <v>0</v>
      </c>
      <c r="D254" s="691">
        <v>0</v>
      </c>
      <c r="E254" s="683">
        <v>0</v>
      </c>
      <c r="F254" s="683">
        <v>0</v>
      </c>
      <c r="G254" s="683">
        <v>0</v>
      </c>
      <c r="H254" s="683">
        <v>0</v>
      </c>
      <c r="I254" s="683">
        <v>0</v>
      </c>
      <c r="J254" s="683">
        <v>0</v>
      </c>
      <c r="K254" s="683">
        <v>0</v>
      </c>
      <c r="L254" s="683">
        <v>0</v>
      </c>
      <c r="M254" s="683">
        <v>0</v>
      </c>
      <c r="N254" s="683">
        <v>0</v>
      </c>
      <c r="O254" s="683">
        <v>0</v>
      </c>
      <c r="P254" s="683">
        <v>0</v>
      </c>
      <c r="Q254" s="683">
        <v>0</v>
      </c>
      <c r="R254" s="683">
        <v>0</v>
      </c>
      <c r="S254" s="683">
        <v>0</v>
      </c>
      <c r="T254" s="683">
        <v>0</v>
      </c>
      <c r="U254" s="683">
        <v>0</v>
      </c>
      <c r="V254" s="683">
        <v>0</v>
      </c>
      <c r="W254" s="683">
        <v>0</v>
      </c>
      <c r="X254" s="65"/>
      <c r="Y254"/>
    </row>
    <row r="255" spans="1:25" ht="65.5">
      <c r="A255" s="131" t="s">
        <v>240</v>
      </c>
      <c r="B255" s="131"/>
      <c r="C255" s="683">
        <v>0</v>
      </c>
      <c r="D255" s="683">
        <v>0</v>
      </c>
      <c r="E255" s="683">
        <v>0</v>
      </c>
      <c r="F255" s="683">
        <v>0</v>
      </c>
      <c r="G255" s="683">
        <v>0</v>
      </c>
      <c r="H255" s="683">
        <v>0</v>
      </c>
      <c r="I255" s="683">
        <v>0</v>
      </c>
      <c r="J255" s="683">
        <v>0</v>
      </c>
      <c r="K255" s="683">
        <v>0</v>
      </c>
      <c r="L255" s="683">
        <v>0</v>
      </c>
      <c r="M255" s="683">
        <v>0</v>
      </c>
      <c r="N255" s="683">
        <v>0</v>
      </c>
      <c r="O255" s="683">
        <v>0</v>
      </c>
      <c r="P255" s="683">
        <v>0</v>
      </c>
      <c r="Q255" s="683">
        <v>0</v>
      </c>
      <c r="R255" s="683">
        <v>0</v>
      </c>
      <c r="S255" s="683">
        <v>0</v>
      </c>
      <c r="T255" s="683">
        <v>0</v>
      </c>
      <c r="U255" s="683"/>
      <c r="V255" s="683"/>
      <c r="W255" s="683">
        <v>0</v>
      </c>
      <c r="Y255"/>
    </row>
    <row r="256" spans="1:25" ht="65.5">
      <c r="A256" s="131" t="s">
        <v>241</v>
      </c>
      <c r="B256" s="131"/>
      <c r="C256" s="683">
        <v>0</v>
      </c>
      <c r="D256" s="683">
        <v>0</v>
      </c>
      <c r="E256" s="683">
        <v>0</v>
      </c>
      <c r="F256" s="683">
        <v>0</v>
      </c>
      <c r="G256" s="683">
        <v>0</v>
      </c>
      <c r="H256" s="683">
        <v>0</v>
      </c>
      <c r="I256" s="683">
        <v>0</v>
      </c>
      <c r="J256" s="683">
        <v>0</v>
      </c>
      <c r="K256" s="683">
        <v>0</v>
      </c>
      <c r="L256" s="683">
        <v>0</v>
      </c>
      <c r="M256" s="683">
        <v>0</v>
      </c>
      <c r="N256" s="683">
        <v>0</v>
      </c>
      <c r="O256" s="683">
        <v>0</v>
      </c>
      <c r="P256" s="683">
        <v>0</v>
      </c>
      <c r="Q256" s="683">
        <v>0</v>
      </c>
      <c r="R256" s="683">
        <v>0</v>
      </c>
      <c r="S256" s="683">
        <v>0</v>
      </c>
      <c r="T256" s="683">
        <v>0</v>
      </c>
      <c r="U256" s="683"/>
      <c r="V256" s="683"/>
      <c r="W256" s="683">
        <v>0</v>
      </c>
      <c r="Y256"/>
    </row>
    <row r="257" spans="1:25" s="149" customFormat="1" ht="65.5">
      <c r="A257" s="131" t="s">
        <v>242</v>
      </c>
      <c r="B257" s="131"/>
      <c r="C257" s="683">
        <v>0</v>
      </c>
      <c r="D257" s="691">
        <v>0</v>
      </c>
      <c r="E257" s="683">
        <v>0</v>
      </c>
      <c r="F257" s="683">
        <v>0</v>
      </c>
      <c r="G257" s="683">
        <v>0</v>
      </c>
      <c r="H257" s="683">
        <v>0</v>
      </c>
      <c r="I257" s="683">
        <v>0</v>
      </c>
      <c r="J257" s="683">
        <v>0</v>
      </c>
      <c r="K257" s="683">
        <v>0</v>
      </c>
      <c r="L257" s="683">
        <v>0</v>
      </c>
      <c r="M257" s="683">
        <v>0</v>
      </c>
      <c r="N257" s="683">
        <v>0</v>
      </c>
      <c r="O257" s="683">
        <v>0</v>
      </c>
      <c r="P257" s="683">
        <v>0</v>
      </c>
      <c r="Q257" s="683">
        <v>0</v>
      </c>
      <c r="R257" s="683">
        <v>0</v>
      </c>
      <c r="S257" s="683">
        <v>0</v>
      </c>
      <c r="T257" s="683">
        <v>0</v>
      </c>
      <c r="U257" s="683">
        <v>0</v>
      </c>
      <c r="V257" s="683">
        <v>0</v>
      </c>
      <c r="W257" s="683">
        <v>0</v>
      </c>
      <c r="X257" s="65"/>
      <c r="Y257"/>
    </row>
    <row r="258" spans="1:25" ht="78.5">
      <c r="A258" s="131" t="s">
        <v>243</v>
      </c>
      <c r="B258" s="131"/>
      <c r="C258" s="683">
        <v>0</v>
      </c>
      <c r="D258" s="683">
        <v>0</v>
      </c>
      <c r="E258" s="683">
        <v>0</v>
      </c>
      <c r="F258" s="683">
        <v>0</v>
      </c>
      <c r="G258" s="683">
        <v>0</v>
      </c>
      <c r="H258" s="683">
        <v>0</v>
      </c>
      <c r="I258" s="683">
        <v>0</v>
      </c>
      <c r="J258" s="683">
        <v>0</v>
      </c>
      <c r="K258" s="683">
        <v>0</v>
      </c>
      <c r="L258" s="683">
        <v>0</v>
      </c>
      <c r="M258" s="683">
        <v>0</v>
      </c>
      <c r="N258" s="683">
        <v>0</v>
      </c>
      <c r="O258" s="683">
        <v>0</v>
      </c>
      <c r="P258" s="683">
        <v>0</v>
      </c>
      <c r="Q258" s="683">
        <v>0</v>
      </c>
      <c r="R258" s="683">
        <v>0</v>
      </c>
      <c r="S258" s="683">
        <v>0</v>
      </c>
      <c r="T258" s="683">
        <v>0</v>
      </c>
      <c r="U258" s="683">
        <v>0</v>
      </c>
      <c r="V258" s="683">
        <v>0</v>
      </c>
      <c r="W258" s="683">
        <v>0</v>
      </c>
      <c r="Y258"/>
    </row>
    <row r="259" spans="1:25" ht="78.5">
      <c r="A259" s="131" t="s">
        <v>244</v>
      </c>
      <c r="B259" s="131"/>
      <c r="C259" s="683">
        <v>0</v>
      </c>
      <c r="D259" s="683">
        <v>0</v>
      </c>
      <c r="E259" s="683">
        <v>0</v>
      </c>
      <c r="F259" s="683">
        <v>0</v>
      </c>
      <c r="G259" s="683">
        <v>0</v>
      </c>
      <c r="H259" s="683">
        <v>0</v>
      </c>
      <c r="I259" s="683">
        <v>0</v>
      </c>
      <c r="J259" s="683">
        <v>0</v>
      </c>
      <c r="K259" s="683">
        <v>0</v>
      </c>
      <c r="L259" s="683">
        <v>0</v>
      </c>
      <c r="M259" s="683">
        <v>0</v>
      </c>
      <c r="N259" s="683">
        <v>0</v>
      </c>
      <c r="O259" s="683">
        <v>0</v>
      </c>
      <c r="P259" s="683">
        <v>0</v>
      </c>
      <c r="Q259" s="683">
        <v>0</v>
      </c>
      <c r="R259" s="683">
        <v>0</v>
      </c>
      <c r="S259" s="683">
        <v>0</v>
      </c>
      <c r="T259" s="683">
        <v>0</v>
      </c>
      <c r="U259" s="683">
        <v>0</v>
      </c>
      <c r="V259" s="683">
        <v>0</v>
      </c>
      <c r="W259" s="683">
        <v>0</v>
      </c>
      <c r="Y259"/>
    </row>
    <row r="260" spans="1:25" s="149" customFormat="1" ht="78.5">
      <c r="A260" s="131" t="s">
        <v>245</v>
      </c>
      <c r="B260" s="131"/>
      <c r="C260" s="515">
        <v>0</v>
      </c>
      <c r="D260" s="515">
        <v>0</v>
      </c>
      <c r="E260" s="515">
        <v>0</v>
      </c>
      <c r="F260" s="515">
        <v>0</v>
      </c>
      <c r="G260" s="515">
        <v>0</v>
      </c>
      <c r="H260" s="515">
        <v>0</v>
      </c>
      <c r="I260" s="515">
        <v>0</v>
      </c>
      <c r="J260" s="515">
        <v>0</v>
      </c>
      <c r="K260" s="515">
        <v>0</v>
      </c>
      <c r="L260" s="515">
        <v>0</v>
      </c>
      <c r="M260" s="515">
        <v>0</v>
      </c>
      <c r="N260" s="515">
        <v>0</v>
      </c>
      <c r="O260" s="515">
        <v>0</v>
      </c>
      <c r="P260" s="515">
        <v>0</v>
      </c>
      <c r="Q260" s="515">
        <v>0</v>
      </c>
      <c r="R260" s="515">
        <v>0</v>
      </c>
      <c r="S260" s="515">
        <v>0</v>
      </c>
      <c r="T260" s="515">
        <v>0</v>
      </c>
      <c r="U260" s="515">
        <v>0</v>
      </c>
      <c r="V260" s="515">
        <v>0</v>
      </c>
      <c r="W260" s="515">
        <v>0</v>
      </c>
      <c r="X260" s="65"/>
      <c r="Y260"/>
    </row>
    <row r="261" spans="1:25" ht="15.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</row>
    <row r="262" spans="1:25" ht="15.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</row>
    <row r="263" spans="1:25" s="149" customFormat="1" ht="15.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 s="65"/>
      <c r="Y263" s="65"/>
    </row>
    <row r="264" spans="1:25" ht="15.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</row>
    <row r="265" spans="1:25" ht="15.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</row>
    <row r="266" spans="1:25" s="149" customFormat="1" ht="15.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 s="65"/>
      <c r="Y266" s="65"/>
    </row>
    <row r="267" spans="1:25" ht="15.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</row>
    <row r="268" spans="1:25" ht="15.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</row>
    <row r="269" spans="1:25" s="149" customFormat="1" ht="15.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 s="65"/>
      <c r="Y269" s="65"/>
    </row>
    <row r="270" spans="1:25" ht="15.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</row>
    <row r="271" spans="1:25" ht="15.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</row>
    <row r="272" spans="1:25" s="149" customFormat="1" ht="15.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 s="65"/>
      <c r="Y272" s="65"/>
    </row>
    <row r="273" spans="1:25" ht="15.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</row>
    <row r="274" spans="1:25" ht="15.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</row>
    <row r="275" spans="1:25" s="149" customFormat="1" ht="15.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 s="65"/>
      <c r="Y275" s="65"/>
    </row>
    <row r="276" spans="1:25">
      <c r="A276" s="65"/>
      <c r="D276" s="65"/>
    </row>
    <row r="277" spans="1:25">
      <c r="A277" s="65"/>
      <c r="D277" s="65"/>
    </row>
    <row r="278" spans="1:25" s="149" customFormat="1" ht="13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</row>
    <row r="279" spans="1:25">
      <c r="A279" s="65"/>
      <c r="D279" s="65"/>
    </row>
    <row r="280" spans="1:25">
      <c r="A280" s="65"/>
      <c r="D280" s="65"/>
    </row>
    <row r="281" spans="1:25" s="149" customFormat="1" ht="13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</row>
    <row r="282" spans="1:25">
      <c r="A282" s="65"/>
      <c r="D282" s="65"/>
    </row>
    <row r="283" spans="1:25">
      <c r="A283" s="65"/>
      <c r="D283" s="65"/>
    </row>
    <row r="284" spans="1:25" s="149" customFormat="1" ht="13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</row>
    <row r="285" spans="1:25">
      <c r="A285" s="65"/>
      <c r="D285" s="65"/>
    </row>
    <row r="286" spans="1:25">
      <c r="A286" s="65"/>
      <c r="D286" s="65"/>
    </row>
    <row r="287" spans="1:25" s="149" customFormat="1" ht="13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</row>
    <row r="288" spans="1:25">
      <c r="A288" s="65"/>
      <c r="D288" s="65"/>
    </row>
    <row r="289" spans="1:25">
      <c r="A289" s="65"/>
      <c r="D289" s="65"/>
    </row>
    <row r="290" spans="1:25" s="149" customFormat="1" ht="13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</row>
    <row r="291" spans="1:25">
      <c r="A291" s="65"/>
      <c r="D291" s="65"/>
    </row>
    <row r="292" spans="1:25">
      <c r="A292" s="65"/>
      <c r="D292" s="65"/>
    </row>
    <row r="293" spans="1:25" s="149" customFormat="1" ht="13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</row>
    <row r="294" spans="1:25">
      <c r="A294" s="65"/>
      <c r="D294" s="65"/>
    </row>
    <row r="295" spans="1:25">
      <c r="A295" s="65"/>
      <c r="D295" s="65"/>
    </row>
    <row r="296" spans="1:25" s="149" customFormat="1" ht="13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</row>
    <row r="297" spans="1:25">
      <c r="A297" s="65"/>
      <c r="D297" s="65"/>
    </row>
    <row r="298" spans="1:25">
      <c r="A298" s="65"/>
      <c r="D298" s="65"/>
    </row>
    <row r="299" spans="1:25" s="149" customFormat="1" ht="13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</row>
    <row r="300" spans="1:25">
      <c r="A300" s="65"/>
      <c r="D300" s="65"/>
    </row>
    <row r="301" spans="1:25">
      <c r="A301" s="65"/>
      <c r="D301" s="65"/>
    </row>
    <row r="302" spans="1:25" s="149" customFormat="1" ht="13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</row>
    <row r="303" spans="1:25">
      <c r="A303" s="65"/>
      <c r="D303" s="65"/>
    </row>
    <row r="304" spans="1:25">
      <c r="A304" s="65"/>
      <c r="D304" s="65"/>
    </row>
    <row r="305" spans="1:25" s="149" customFormat="1" ht="13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</row>
    <row r="306" spans="1:25">
      <c r="A306" s="65"/>
      <c r="D306" s="65"/>
    </row>
    <row r="307" spans="1:25">
      <c r="A307" s="65"/>
      <c r="D307" s="65"/>
    </row>
    <row r="308" spans="1:25" s="149" customFormat="1" ht="13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</row>
    <row r="309" spans="1:25">
      <c r="A309" s="65"/>
      <c r="D309" s="65"/>
    </row>
    <row r="310" spans="1:25">
      <c r="A310" s="65"/>
      <c r="D310" s="65"/>
    </row>
    <row r="311" spans="1:25" s="149" customFormat="1" ht="13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</row>
    <row r="312" spans="1:25">
      <c r="A312" s="65"/>
      <c r="D312" s="65"/>
    </row>
    <row r="313" spans="1:25">
      <c r="A313" s="65"/>
      <c r="D313" s="65"/>
    </row>
    <row r="314" spans="1:25" s="149" customFormat="1" ht="13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</row>
    <row r="315" spans="1:25">
      <c r="A315" s="65"/>
      <c r="D315" s="65"/>
    </row>
    <row r="316" spans="1:25">
      <c r="A316" s="65"/>
      <c r="D316" s="65"/>
    </row>
    <row r="317" spans="1:25" s="149" customFormat="1" ht="13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</row>
    <row r="318" spans="1:25">
      <c r="A318" s="65"/>
      <c r="D318" s="65"/>
    </row>
    <row r="319" spans="1:25">
      <c r="A319" s="65"/>
      <c r="D319" s="65"/>
    </row>
    <row r="320" spans="1:25" s="149" customFormat="1" ht="13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</row>
    <row r="321" spans="1:25">
      <c r="A321" s="65"/>
      <c r="D321" s="65"/>
    </row>
    <row r="322" spans="1:25">
      <c r="A322" s="65"/>
      <c r="D322" s="65"/>
    </row>
    <row r="323" spans="1:25" s="149" customFormat="1" ht="13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</row>
    <row r="324" spans="1:25">
      <c r="A324" s="65"/>
      <c r="D324" s="65"/>
    </row>
    <row r="325" spans="1:25">
      <c r="A325" s="65"/>
      <c r="D325" s="65"/>
    </row>
    <row r="326" spans="1:25" s="149" customFormat="1" ht="13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</row>
    <row r="327" spans="1:25">
      <c r="A327" s="65"/>
      <c r="D327" s="65"/>
    </row>
    <row r="328" spans="1:25">
      <c r="A328" s="65"/>
      <c r="D328" s="65"/>
    </row>
    <row r="329" spans="1:25" s="149" customFormat="1" ht="13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</row>
    <row r="330" spans="1:25">
      <c r="A330" s="65"/>
      <c r="D330" s="65"/>
    </row>
    <row r="331" spans="1:25">
      <c r="A331" s="65"/>
      <c r="D331" s="65"/>
    </row>
    <row r="332" spans="1:25" s="149" customFormat="1" ht="13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</row>
    <row r="333" spans="1:25">
      <c r="A333" s="65"/>
      <c r="D333" s="65"/>
    </row>
    <row r="334" spans="1:25">
      <c r="A334" s="65"/>
      <c r="D334" s="65"/>
    </row>
    <row r="335" spans="1:25" s="149" customFormat="1" ht="13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</row>
    <row r="336" spans="1:25">
      <c r="A336" s="65"/>
      <c r="D336" s="65"/>
    </row>
    <row r="337" spans="1:25">
      <c r="A337" s="65"/>
      <c r="D337" s="65"/>
    </row>
    <row r="338" spans="1:25" s="149" customFormat="1" ht="13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</row>
    <row r="339" spans="1:25">
      <c r="A339" s="65"/>
      <c r="D339" s="65"/>
    </row>
    <row r="340" spans="1:25">
      <c r="A340" s="65"/>
      <c r="D340" s="65"/>
    </row>
    <row r="341" spans="1:25" s="149" customFormat="1" ht="13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</row>
    <row r="342" spans="1:25">
      <c r="A342" s="65"/>
      <c r="D342" s="65"/>
    </row>
    <row r="343" spans="1:25">
      <c r="A343" s="65"/>
      <c r="D343" s="65"/>
    </row>
    <row r="344" spans="1:25" s="149" customFormat="1" ht="13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</row>
    <row r="345" spans="1:25">
      <c r="A345" s="65"/>
      <c r="D345" s="65"/>
    </row>
    <row r="346" spans="1:25">
      <c r="A346" s="65"/>
      <c r="D346" s="65"/>
    </row>
    <row r="347" spans="1:25" s="149" customFormat="1" ht="13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</row>
    <row r="348" spans="1:25">
      <c r="A348" s="65"/>
      <c r="D348" s="65"/>
    </row>
    <row r="349" spans="1:25">
      <c r="A349" s="65"/>
      <c r="D349" s="65"/>
    </row>
    <row r="350" spans="1:25" s="149" customFormat="1" ht="13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</row>
    <row r="351" spans="1:25">
      <c r="A351" s="65"/>
      <c r="D351" s="65"/>
    </row>
    <row r="352" spans="1:25">
      <c r="A352" s="65"/>
      <c r="D352" s="65"/>
    </row>
    <row r="353" spans="1:25" s="149" customFormat="1" ht="13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</row>
    <row r="354" spans="1:25">
      <c r="A354" s="65"/>
      <c r="D354" s="65"/>
    </row>
    <row r="355" spans="1:25">
      <c r="A355" s="65"/>
      <c r="D355" s="65"/>
    </row>
    <row r="356" spans="1:25" s="149" customFormat="1" ht="13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</row>
    <row r="357" spans="1:25">
      <c r="A357" s="65"/>
      <c r="D357" s="65"/>
    </row>
    <row r="358" spans="1:25">
      <c r="A358" s="65"/>
      <c r="D358" s="65"/>
    </row>
    <row r="359" spans="1:25" s="149" customFormat="1" ht="13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</row>
    <row r="360" spans="1:25">
      <c r="A360" s="65"/>
      <c r="D360" s="65"/>
    </row>
    <row r="361" spans="1:25">
      <c r="A361" s="65"/>
      <c r="D361" s="65"/>
    </row>
    <row r="362" spans="1:25" s="149" customFormat="1" ht="13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</row>
    <row r="363" spans="1:25">
      <c r="A363" s="65"/>
      <c r="D363" s="65"/>
    </row>
    <row r="364" spans="1:25">
      <c r="A364" s="65"/>
      <c r="D364" s="65"/>
    </row>
    <row r="365" spans="1:25" s="149" customFormat="1" ht="13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</row>
    <row r="366" spans="1:25">
      <c r="A366" s="65"/>
      <c r="D366" s="65"/>
    </row>
    <row r="367" spans="1:25">
      <c r="A367" s="65"/>
      <c r="D367" s="65"/>
    </row>
    <row r="368" spans="1:25" s="149" customFormat="1" ht="13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</row>
    <row r="369" spans="1:25">
      <c r="A369" s="65"/>
      <c r="D369" s="65"/>
    </row>
    <row r="370" spans="1:25">
      <c r="A370" s="65"/>
      <c r="D370" s="65"/>
    </row>
    <row r="371" spans="1:25" s="149" customFormat="1" ht="13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</row>
    <row r="372" spans="1:25">
      <c r="A372" s="65"/>
      <c r="D372" s="65"/>
    </row>
    <row r="373" spans="1:25">
      <c r="A373" s="65"/>
      <c r="D373" s="65"/>
    </row>
    <row r="374" spans="1:25" s="149" customFormat="1" ht="13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</row>
    <row r="375" spans="1:25">
      <c r="A375" s="65"/>
      <c r="D375" s="65"/>
    </row>
    <row r="376" spans="1:25">
      <c r="A376" s="65"/>
      <c r="D376" s="65"/>
    </row>
    <row r="377" spans="1:25" s="149" customFormat="1" ht="13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</row>
    <row r="378" spans="1:25">
      <c r="A378" s="65"/>
      <c r="D378" s="65"/>
    </row>
    <row r="379" spans="1:25">
      <c r="A379" s="65"/>
      <c r="D379" s="65"/>
    </row>
    <row r="380" spans="1:25" s="149" customFormat="1" ht="13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</row>
    <row r="381" spans="1:25">
      <c r="A381" s="65"/>
      <c r="D381" s="65"/>
    </row>
    <row r="382" spans="1:25">
      <c r="A382" s="65"/>
      <c r="D382" s="65"/>
    </row>
    <row r="383" spans="1:25" s="149" customFormat="1" ht="13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</row>
    <row r="384" spans="1:25">
      <c r="A384" s="65"/>
      <c r="D384" s="65"/>
    </row>
    <row r="385" spans="1:25">
      <c r="A385" s="65"/>
      <c r="D385" s="65"/>
    </row>
    <row r="386" spans="1:25" s="149" customFormat="1" ht="13">
      <c r="A386" s="65"/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</row>
    <row r="387" spans="1:25">
      <c r="A387" s="65"/>
      <c r="D387" s="65"/>
    </row>
    <row r="388" spans="1:25">
      <c r="A388" s="65"/>
      <c r="D388" s="65"/>
    </row>
    <row r="389" spans="1:25" s="149" customFormat="1" ht="13">
      <c r="A389" s="65"/>
      <c r="B389" s="65"/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</row>
    <row r="390" spans="1:25">
      <c r="A390" s="65"/>
      <c r="D390" s="65"/>
    </row>
    <row r="391" spans="1:25">
      <c r="A391" s="65"/>
      <c r="D391" s="65"/>
    </row>
    <row r="392" spans="1:25" s="149" customFormat="1" ht="13">
      <c r="A392" s="65"/>
      <c r="B392" s="65"/>
      <c r="C392" s="65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</row>
    <row r="393" spans="1:25">
      <c r="A393" s="65"/>
      <c r="D393" s="65"/>
    </row>
    <row r="394" spans="1:25">
      <c r="A394" s="65"/>
      <c r="D394" s="65"/>
    </row>
    <row r="395" spans="1:25" s="149" customFormat="1" ht="13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</row>
    <row r="396" spans="1:25">
      <c r="A396" s="65"/>
      <c r="D396" s="65"/>
    </row>
    <row r="397" spans="1:25">
      <c r="A397" s="65"/>
      <c r="D397" s="65"/>
    </row>
    <row r="398" spans="1:25" s="149" customFormat="1" ht="13">
      <c r="A398" s="65"/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</row>
    <row r="399" spans="1:25">
      <c r="A399" s="65"/>
      <c r="D399" s="65"/>
    </row>
    <row r="400" spans="1:25">
      <c r="A400" s="65"/>
      <c r="D400" s="65"/>
    </row>
    <row r="401" spans="1:25" s="149" customFormat="1" ht="13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</row>
    <row r="402" spans="1:25">
      <c r="A402" s="65"/>
      <c r="D402" s="65"/>
    </row>
    <row r="403" spans="1:25">
      <c r="A403" s="65"/>
      <c r="D403" s="65"/>
    </row>
    <row r="404" spans="1:25" s="149" customFormat="1" ht="13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</row>
    <row r="405" spans="1:25">
      <c r="A405" s="65"/>
      <c r="D405" s="65"/>
    </row>
    <row r="406" spans="1:25">
      <c r="A406" s="65"/>
      <c r="D406" s="65"/>
    </row>
    <row r="407" spans="1:25" s="149" customFormat="1" ht="13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</row>
    <row r="408" spans="1:25">
      <c r="A408" s="65"/>
      <c r="D408" s="65"/>
    </row>
    <row r="409" spans="1:25">
      <c r="A409" s="65"/>
      <c r="D409" s="65"/>
    </row>
    <row r="410" spans="1:25" s="149" customFormat="1" ht="13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</row>
    <row r="411" spans="1:25">
      <c r="A411" s="65"/>
      <c r="D411" s="65"/>
    </row>
    <row r="412" spans="1:25">
      <c r="A412" s="65"/>
      <c r="D412" s="65"/>
    </row>
    <row r="413" spans="1:25" s="149" customFormat="1" ht="13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</row>
    <row r="414" spans="1:25">
      <c r="A414" s="65"/>
      <c r="D414" s="65"/>
    </row>
    <row r="415" spans="1:25">
      <c r="A415" s="65"/>
      <c r="D415" s="65"/>
    </row>
    <row r="416" spans="1:25" s="149" customFormat="1" ht="13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</row>
    <row r="417" spans="1:25">
      <c r="A417" s="65"/>
      <c r="D417" s="65"/>
    </row>
    <row r="418" spans="1:25">
      <c r="A418" s="65"/>
      <c r="D418" s="65"/>
    </row>
    <row r="419" spans="1:25" s="149" customFormat="1" ht="13">
      <c r="A419" s="65"/>
      <c r="B419" s="65"/>
      <c r="C419" s="65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</row>
    <row r="420" spans="1:25">
      <c r="A420" s="65"/>
      <c r="D420" s="65"/>
    </row>
    <row r="421" spans="1:25">
      <c r="A421" s="65"/>
      <c r="D421" s="65"/>
    </row>
    <row r="422" spans="1:25" s="149" customFormat="1" ht="13">
      <c r="A422" s="65"/>
      <c r="B422" s="65"/>
      <c r="C422" s="65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</row>
    <row r="423" spans="1:25">
      <c r="A423" s="65"/>
      <c r="D423" s="65"/>
    </row>
    <row r="424" spans="1:25">
      <c r="A424" s="65"/>
      <c r="D424" s="65"/>
    </row>
    <row r="425" spans="1:25" s="149" customFormat="1" ht="13">
      <c r="A425" s="65"/>
      <c r="B425" s="65"/>
      <c r="C425" s="65"/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</row>
    <row r="426" spans="1:25">
      <c r="A426" s="65"/>
      <c r="D426" s="65"/>
    </row>
    <row r="427" spans="1:25">
      <c r="A427" s="65"/>
      <c r="D427" s="65"/>
    </row>
    <row r="428" spans="1:25" s="149" customFormat="1" ht="13">
      <c r="A428" s="65"/>
      <c r="B428" s="65"/>
      <c r="C428" s="65"/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</row>
    <row r="429" spans="1:25">
      <c r="A429" s="65"/>
      <c r="D429" s="65"/>
    </row>
    <row r="430" spans="1:25">
      <c r="A430" s="65"/>
      <c r="D430" s="65"/>
    </row>
    <row r="431" spans="1:25" s="149" customFormat="1" ht="13">
      <c r="A431" s="65"/>
      <c r="B431" s="65"/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</row>
    <row r="432" spans="1:25">
      <c r="A432" s="65"/>
      <c r="D432" s="65"/>
    </row>
    <row r="433" spans="1:25">
      <c r="A433" s="65"/>
      <c r="D433" s="65"/>
    </row>
    <row r="434" spans="1:25" s="149" customFormat="1" ht="13">
      <c r="A434" s="65"/>
      <c r="B434" s="65"/>
      <c r="C434" s="65"/>
      <c r="D434" s="65"/>
      <c r="E434" s="65"/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</row>
    <row r="435" spans="1:25">
      <c r="A435" s="65"/>
      <c r="D435" s="65"/>
    </row>
    <row r="436" spans="1:25">
      <c r="A436" s="65"/>
      <c r="D436" s="65"/>
    </row>
    <row r="437" spans="1:25" s="149" customFormat="1" ht="13">
      <c r="A437" s="65"/>
      <c r="B437" s="65"/>
      <c r="C437" s="65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</row>
    <row r="438" spans="1:25">
      <c r="A438" s="65"/>
      <c r="D438" s="65"/>
    </row>
    <row r="439" spans="1:25">
      <c r="A439" s="65"/>
      <c r="D439" s="65"/>
    </row>
    <row r="440" spans="1:25" s="149" customFormat="1" ht="13">
      <c r="A440" s="65"/>
      <c r="B440" s="65"/>
      <c r="C440" s="65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</row>
    <row r="441" spans="1:25">
      <c r="A441" s="65"/>
      <c r="D441" s="65"/>
    </row>
    <row r="442" spans="1:25">
      <c r="A442" s="65"/>
      <c r="D442" s="65"/>
    </row>
    <row r="443" spans="1:25" s="149" customFormat="1" ht="13">
      <c r="A443" s="65"/>
      <c r="B443" s="65"/>
      <c r="C443" s="65"/>
      <c r="D443" s="65"/>
      <c r="E443" s="65"/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</row>
    <row r="444" spans="1:25">
      <c r="A444" s="65"/>
      <c r="D444" s="65"/>
    </row>
    <row r="445" spans="1:25">
      <c r="A445" s="65"/>
      <c r="D445" s="65"/>
    </row>
    <row r="446" spans="1:25" s="149" customFormat="1" ht="13">
      <c r="A446" s="65"/>
      <c r="B446" s="65"/>
      <c r="C446" s="65"/>
      <c r="D446" s="65"/>
      <c r="E446" s="65"/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</row>
    <row r="447" spans="1:25">
      <c r="A447" s="65"/>
      <c r="D447" s="65"/>
    </row>
    <row r="448" spans="1:25">
      <c r="A448" s="65"/>
      <c r="D448" s="65"/>
    </row>
    <row r="449" spans="1:25" s="149" customFormat="1" ht="13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</row>
    <row r="450" spans="1:25">
      <c r="A450" s="65"/>
      <c r="D450" s="65"/>
    </row>
    <row r="451" spans="1:25">
      <c r="A451" s="65"/>
      <c r="D451" s="65"/>
    </row>
    <row r="452" spans="1:25" s="149" customFormat="1" ht="13">
      <c r="A452" s="65"/>
      <c r="B452" s="65"/>
      <c r="C452" s="65"/>
      <c r="D452" s="65"/>
      <c r="E452" s="65"/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</row>
    <row r="453" spans="1:25">
      <c r="A453" s="65"/>
      <c r="D453" s="65"/>
    </row>
    <row r="454" spans="1:25">
      <c r="A454" s="65"/>
      <c r="D454" s="65"/>
    </row>
    <row r="455" spans="1:25" s="149" customFormat="1" ht="13">
      <c r="A455" s="65"/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</row>
    <row r="456" spans="1:25">
      <c r="A456" s="65"/>
      <c r="D456" s="65"/>
    </row>
    <row r="457" spans="1:25">
      <c r="A457" s="65"/>
      <c r="D457" s="65"/>
    </row>
    <row r="458" spans="1:25" s="149" customFormat="1" ht="13">
      <c r="A458" s="65"/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</row>
    <row r="459" spans="1:25">
      <c r="A459" s="65"/>
      <c r="D459" s="65"/>
    </row>
    <row r="460" spans="1:25">
      <c r="A460" s="65"/>
      <c r="D460" s="65"/>
    </row>
    <row r="461" spans="1:25" s="149" customFormat="1" ht="13">
      <c r="A461" s="65"/>
      <c r="B461" s="65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</row>
    <row r="462" spans="1:25">
      <c r="A462" s="65"/>
      <c r="D462" s="65"/>
    </row>
    <row r="463" spans="1:25">
      <c r="A463" s="65"/>
      <c r="D463" s="65"/>
    </row>
    <row r="464" spans="1:25" s="149" customFormat="1" ht="13">
      <c r="A464" s="65"/>
      <c r="B464" s="65"/>
      <c r="C464" s="65"/>
      <c r="D464" s="65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</row>
    <row r="465" spans="1:25">
      <c r="A465" s="65"/>
      <c r="D465" s="65"/>
    </row>
    <row r="466" spans="1:25">
      <c r="A466" s="65"/>
      <c r="D466" s="65"/>
    </row>
    <row r="467" spans="1:25" s="149" customFormat="1" ht="13">
      <c r="A467" s="65"/>
      <c r="B467" s="65"/>
      <c r="C467" s="65"/>
      <c r="D467" s="65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</row>
    <row r="468" spans="1:25">
      <c r="A468" s="65"/>
      <c r="D468" s="65"/>
    </row>
    <row r="469" spans="1:25">
      <c r="A469" s="65"/>
      <c r="D469" s="65"/>
    </row>
    <row r="470" spans="1:25" s="149" customFormat="1" ht="13">
      <c r="A470" s="65"/>
      <c r="B470" s="65"/>
      <c r="C470" s="65"/>
      <c r="D470" s="65"/>
      <c r="E470" s="65"/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</row>
    <row r="471" spans="1:25">
      <c r="A471" s="65"/>
      <c r="D471" s="65"/>
    </row>
    <row r="472" spans="1:25">
      <c r="A472" s="65"/>
      <c r="D472" s="65"/>
    </row>
    <row r="473" spans="1:25" s="149" customFormat="1" ht="13">
      <c r="A473" s="65"/>
      <c r="B473" s="65"/>
      <c r="C473" s="65"/>
      <c r="D473" s="65"/>
      <c r="E473" s="65"/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</row>
    <row r="474" spans="1:25">
      <c r="A474" s="65"/>
      <c r="D474" s="65"/>
    </row>
    <row r="475" spans="1:25">
      <c r="A475" s="65"/>
      <c r="D475" s="65"/>
    </row>
    <row r="476" spans="1:25" s="149" customFormat="1" ht="13">
      <c r="A476" s="65"/>
      <c r="B476" s="65"/>
      <c r="C476" s="65"/>
      <c r="D476" s="65"/>
      <c r="E476" s="65"/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</row>
    <row r="477" spans="1:25">
      <c r="A477" s="65"/>
      <c r="D477" s="65"/>
    </row>
    <row r="478" spans="1:25">
      <c r="A478" s="65"/>
      <c r="D478" s="65"/>
    </row>
    <row r="479" spans="1:25" s="149" customFormat="1" ht="13">
      <c r="A479" s="65"/>
      <c r="B479" s="65"/>
      <c r="C479" s="65"/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</row>
    <row r="480" spans="1:25">
      <c r="A480" s="65"/>
      <c r="D480" s="65"/>
    </row>
    <row r="481" spans="1:25">
      <c r="A481" s="65"/>
      <c r="D481" s="65"/>
    </row>
    <row r="482" spans="1:25" s="149" customFormat="1" ht="13">
      <c r="A482" s="65"/>
      <c r="B482" s="65"/>
      <c r="C482" s="65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</row>
    <row r="483" spans="1:25">
      <c r="A483" s="65"/>
      <c r="D483" s="65"/>
    </row>
    <row r="484" spans="1:25">
      <c r="A484" s="65"/>
      <c r="D484" s="65"/>
    </row>
    <row r="485" spans="1:25" s="149" customFormat="1" ht="13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</row>
    <row r="486" spans="1:25">
      <c r="A486" s="65"/>
      <c r="D486" s="65"/>
    </row>
    <row r="487" spans="1:25">
      <c r="A487" s="65"/>
      <c r="D487" s="65"/>
    </row>
    <row r="488" spans="1:25" s="149" customFormat="1" ht="13">
      <c r="A488" s="65"/>
      <c r="B488" s="65"/>
      <c r="C488" s="65"/>
      <c r="D488" s="65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</row>
    <row r="489" spans="1:25">
      <c r="A489" s="65"/>
      <c r="D489" s="65"/>
    </row>
    <row r="490" spans="1:25">
      <c r="A490" s="65"/>
      <c r="D490" s="65"/>
    </row>
    <row r="491" spans="1:25" s="149" customFormat="1" ht="13">
      <c r="A491" s="65"/>
      <c r="B491" s="65"/>
      <c r="C491" s="65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</row>
    <row r="492" spans="1:25">
      <c r="A492" s="65"/>
      <c r="D492" s="65"/>
    </row>
    <row r="493" spans="1:25">
      <c r="A493" s="65"/>
      <c r="D493" s="65"/>
    </row>
    <row r="494" spans="1:25" s="149" customFormat="1" ht="13">
      <c r="A494" s="65"/>
      <c r="B494" s="65"/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</row>
    <row r="495" spans="1:25">
      <c r="A495" s="65"/>
      <c r="D495" s="65"/>
    </row>
    <row r="496" spans="1:25">
      <c r="A496" s="65"/>
      <c r="D496" s="65"/>
    </row>
    <row r="497" spans="1:25" s="149" customFormat="1" ht="13">
      <c r="A497" s="65"/>
      <c r="B497" s="65"/>
      <c r="C497" s="65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</row>
    <row r="498" spans="1:25">
      <c r="A498" s="65"/>
      <c r="D498" s="65"/>
    </row>
    <row r="499" spans="1:25">
      <c r="A499" s="65"/>
      <c r="D499" s="65"/>
    </row>
    <row r="500" spans="1:25" s="149" customFormat="1" ht="13">
      <c r="A500" s="65"/>
      <c r="B500" s="65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1:25">
      <c r="A501" s="65"/>
      <c r="D501" s="65"/>
    </row>
    <row r="502" spans="1:25">
      <c r="A502" s="65"/>
      <c r="D502" s="65"/>
    </row>
    <row r="503" spans="1:25" s="149" customFormat="1" ht="13">
      <c r="A503" s="65"/>
      <c r="B503" s="65"/>
      <c r="C503" s="65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</row>
    <row r="504" spans="1:25">
      <c r="A504" s="65"/>
      <c r="D504" s="65"/>
    </row>
    <row r="505" spans="1:25">
      <c r="A505" s="65"/>
      <c r="D505" s="65"/>
    </row>
    <row r="506" spans="1:25" s="149" customFormat="1" ht="13">
      <c r="A506" s="65"/>
      <c r="B506" s="65"/>
      <c r="C506" s="65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</row>
    <row r="507" spans="1:25">
      <c r="A507" s="65"/>
      <c r="D507" s="65"/>
    </row>
    <row r="508" spans="1:25">
      <c r="A508" s="65"/>
      <c r="D508" s="65"/>
    </row>
    <row r="509" spans="1:25" s="149" customFormat="1" ht="13">
      <c r="A509" s="65"/>
      <c r="B509" s="65"/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</row>
    <row r="510" spans="1:25">
      <c r="A510" s="65"/>
      <c r="D510" s="65"/>
    </row>
    <row r="511" spans="1:25">
      <c r="A511" s="65"/>
      <c r="D511" s="65"/>
    </row>
    <row r="512" spans="1:25" s="149" customFormat="1" ht="13">
      <c r="A512" s="65"/>
      <c r="B512" s="65"/>
      <c r="C512" s="65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</row>
    <row r="513" spans="1:25">
      <c r="A513" s="65"/>
      <c r="D513" s="65"/>
    </row>
    <row r="514" spans="1:25">
      <c r="A514" s="65"/>
      <c r="D514" s="65"/>
    </row>
    <row r="515" spans="1:25" s="149" customFormat="1" ht="13">
      <c r="A515" s="65"/>
      <c r="B515" s="65"/>
      <c r="C515" s="65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</row>
    <row r="516" spans="1:25">
      <c r="A516" s="65"/>
      <c r="D516" s="65"/>
    </row>
    <row r="517" spans="1:25">
      <c r="A517" s="65"/>
      <c r="D517" s="65"/>
    </row>
    <row r="518" spans="1:25" s="149" customFormat="1" ht="13">
      <c r="A518" s="65"/>
      <c r="B518" s="65"/>
      <c r="C518" s="65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</row>
    <row r="519" spans="1:25">
      <c r="A519" s="65"/>
      <c r="D519" s="65"/>
    </row>
    <row r="520" spans="1:25">
      <c r="A520" s="65"/>
      <c r="D520" s="65"/>
    </row>
    <row r="521" spans="1:25" s="149" customFormat="1" ht="13">
      <c r="A521" s="65"/>
      <c r="B521" s="65"/>
      <c r="C521" s="65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</row>
    <row r="522" spans="1:25">
      <c r="A522" s="65"/>
      <c r="D522" s="65"/>
    </row>
    <row r="523" spans="1:25">
      <c r="A523" s="65"/>
      <c r="D523" s="65"/>
    </row>
    <row r="524" spans="1:25" s="149" customFormat="1" ht="13">
      <c r="A524" s="65"/>
      <c r="B524" s="65"/>
      <c r="C524" s="65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</row>
    <row r="525" spans="1:25">
      <c r="A525" s="65"/>
      <c r="D525" s="65"/>
    </row>
    <row r="526" spans="1:25">
      <c r="A526" s="65"/>
      <c r="D526" s="65"/>
    </row>
    <row r="527" spans="1:25" s="149" customFormat="1" ht="13">
      <c r="A527" s="65"/>
      <c r="B527" s="65"/>
      <c r="C527" s="65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</row>
    <row r="528" spans="1:25">
      <c r="A528" s="65"/>
      <c r="D528" s="65"/>
    </row>
    <row r="529" spans="1:25">
      <c r="A529" s="65"/>
      <c r="D529" s="65"/>
    </row>
    <row r="530" spans="1:25" s="149" customFormat="1" ht="13">
      <c r="A530" s="65"/>
      <c r="B530" s="65"/>
      <c r="C530" s="65"/>
      <c r="D530" s="65"/>
      <c r="E530" s="65"/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</row>
    <row r="531" spans="1:25">
      <c r="A531" s="65"/>
      <c r="D531" s="65"/>
    </row>
    <row r="532" spans="1:25">
      <c r="A532" s="65"/>
      <c r="D532" s="65"/>
    </row>
    <row r="533" spans="1:25" s="149" customFormat="1" ht="13">
      <c r="A533" s="65"/>
      <c r="B533" s="65"/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</row>
    <row r="534" spans="1:25">
      <c r="A534" s="65"/>
      <c r="D534" s="65"/>
    </row>
    <row r="535" spans="1:25">
      <c r="A535" s="65"/>
      <c r="D535" s="65"/>
    </row>
    <row r="536" spans="1:25" s="149" customFormat="1" ht="13">
      <c r="A536" s="65"/>
      <c r="B536" s="65"/>
      <c r="C536" s="65"/>
      <c r="D536" s="65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</row>
    <row r="537" spans="1:25">
      <c r="A537" s="65"/>
      <c r="D537" s="65"/>
    </row>
    <row r="538" spans="1:25">
      <c r="A538" s="65"/>
      <c r="D538" s="65"/>
    </row>
    <row r="539" spans="1:25" s="149" customFormat="1" ht="13">
      <c r="A539" s="65"/>
      <c r="B539" s="65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1:25">
      <c r="A540" s="65"/>
      <c r="D540" s="65"/>
    </row>
    <row r="541" spans="1:25">
      <c r="A541" s="65"/>
      <c r="D541" s="65"/>
    </row>
    <row r="542" spans="1:25" s="149" customFormat="1" ht="13">
      <c r="A542" s="65"/>
      <c r="B542" s="65"/>
      <c r="C542" s="65"/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</row>
    <row r="543" spans="1:25">
      <c r="A543" s="65"/>
      <c r="D543" s="65"/>
    </row>
    <row r="544" spans="1:25">
      <c r="A544" s="65"/>
      <c r="D544" s="65"/>
    </row>
    <row r="545" spans="1:25" s="149" customFormat="1" ht="13">
      <c r="A545" s="65"/>
      <c r="B545" s="65"/>
      <c r="C545" s="65"/>
      <c r="D545" s="65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</row>
    <row r="546" spans="1:25">
      <c r="A546" s="65"/>
      <c r="D546" s="65"/>
    </row>
    <row r="547" spans="1:25">
      <c r="A547" s="65"/>
      <c r="D547" s="65"/>
    </row>
    <row r="548" spans="1:25" s="149" customFormat="1" ht="13">
      <c r="A548" s="65"/>
      <c r="B548" s="65"/>
      <c r="C548" s="65"/>
      <c r="D548" s="65"/>
      <c r="E548" s="65"/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</row>
    <row r="549" spans="1:25">
      <c r="A549" s="65"/>
      <c r="D549" s="65"/>
    </row>
    <row r="550" spans="1:25">
      <c r="A550" s="65"/>
      <c r="D550" s="65"/>
    </row>
    <row r="551" spans="1:25" s="149" customFormat="1" ht="13">
      <c r="A551" s="65"/>
      <c r="B551" s="65"/>
      <c r="C551" s="65"/>
      <c r="D551" s="65"/>
      <c r="E551" s="65"/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</row>
    <row r="552" spans="1:25">
      <c r="A552" s="65"/>
      <c r="D552" s="65"/>
    </row>
    <row r="553" spans="1:25">
      <c r="A553" s="65"/>
      <c r="D553" s="65"/>
    </row>
    <row r="554" spans="1:25" s="149" customFormat="1" ht="13">
      <c r="A554" s="65"/>
      <c r="B554" s="65"/>
      <c r="C554" s="65"/>
      <c r="D554" s="65"/>
      <c r="E554" s="65"/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</row>
    <row r="555" spans="1:25">
      <c r="A555" s="65"/>
      <c r="D555" s="65"/>
    </row>
    <row r="556" spans="1:25">
      <c r="A556" s="65"/>
      <c r="D556" s="65"/>
    </row>
    <row r="557" spans="1:25" s="149" customFormat="1" ht="13">
      <c r="A557" s="65"/>
      <c r="B557" s="65"/>
      <c r="C557" s="65"/>
      <c r="D557" s="65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</row>
    <row r="558" spans="1:25">
      <c r="A558" s="65"/>
      <c r="D558" s="65"/>
    </row>
    <row r="559" spans="1:25">
      <c r="A559" s="65"/>
      <c r="D559" s="65"/>
    </row>
    <row r="560" spans="1:25" s="149" customFormat="1" ht="13">
      <c r="A560" s="65"/>
      <c r="B560" s="65"/>
      <c r="C560" s="65"/>
      <c r="D560" s="65"/>
      <c r="E560" s="65"/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</row>
    <row r="561" spans="1:25">
      <c r="A561" s="65"/>
      <c r="D561" s="65"/>
    </row>
    <row r="562" spans="1:25">
      <c r="A562" s="65"/>
      <c r="D562" s="65"/>
    </row>
    <row r="563" spans="1:25" s="149" customFormat="1" ht="13">
      <c r="A563" s="65"/>
      <c r="B563" s="65"/>
      <c r="C563" s="65"/>
      <c r="D563" s="65"/>
      <c r="E563" s="65"/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</row>
    <row r="564" spans="1:25">
      <c r="A564" s="65"/>
      <c r="D564" s="65"/>
    </row>
    <row r="565" spans="1:25">
      <c r="A565" s="65"/>
      <c r="D565" s="65"/>
    </row>
    <row r="566" spans="1:25" s="149" customFormat="1" ht="13">
      <c r="A566" s="65"/>
      <c r="B566" s="65"/>
      <c r="C566" s="65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</row>
    <row r="567" spans="1:25">
      <c r="A567" s="65"/>
      <c r="D567" s="65"/>
    </row>
    <row r="568" spans="1:25">
      <c r="A568" s="65"/>
      <c r="D568" s="65"/>
    </row>
    <row r="569" spans="1:25" s="149" customFormat="1" ht="13">
      <c r="A569" s="65"/>
      <c r="B569" s="65"/>
      <c r="C569" s="65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</row>
    <row r="570" spans="1:25">
      <c r="A570" s="65"/>
      <c r="D570" s="65"/>
    </row>
    <row r="571" spans="1:25">
      <c r="A571" s="65"/>
      <c r="D571" s="65"/>
    </row>
    <row r="572" spans="1:25" s="149" customFormat="1" ht="13">
      <c r="A572" s="65"/>
      <c r="B572" s="65"/>
      <c r="C572" s="65"/>
      <c r="D572" s="65"/>
      <c r="E572" s="65"/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</row>
    <row r="573" spans="1:25">
      <c r="A573" s="65"/>
      <c r="D573" s="65"/>
    </row>
    <row r="574" spans="1:25">
      <c r="A574" s="65"/>
      <c r="D574" s="65"/>
    </row>
    <row r="575" spans="1:25" s="149" customFormat="1" ht="13">
      <c r="A575" s="65"/>
      <c r="B575" s="65"/>
      <c r="C575" s="65"/>
      <c r="D575" s="65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</row>
    <row r="576" spans="1:25">
      <c r="A576" s="65"/>
      <c r="D576" s="65"/>
    </row>
    <row r="577" spans="1:25">
      <c r="A577" s="65"/>
      <c r="D577" s="65"/>
    </row>
    <row r="578" spans="1:25" s="149" customFormat="1" ht="13">
      <c r="A578" s="65"/>
      <c r="B578" s="65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1:25">
      <c r="A579" s="65"/>
      <c r="D579" s="65"/>
    </row>
    <row r="580" spans="1:25">
      <c r="A580" s="65"/>
      <c r="D580" s="65"/>
    </row>
    <row r="581" spans="1:25" s="149" customFormat="1" ht="13">
      <c r="A581" s="65"/>
      <c r="B581" s="65"/>
      <c r="C581" s="65"/>
      <c r="D581" s="65"/>
      <c r="E581" s="65"/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</row>
    <row r="582" spans="1:25">
      <c r="A582" s="65"/>
      <c r="D582" s="65"/>
    </row>
    <row r="583" spans="1:25">
      <c r="A583" s="65"/>
      <c r="D583" s="65"/>
    </row>
    <row r="584" spans="1:25" s="149" customFormat="1" ht="13">
      <c r="A584" s="65"/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</row>
    <row r="585" spans="1:25">
      <c r="A585" s="65"/>
      <c r="D585" s="65"/>
    </row>
    <row r="586" spans="1:25">
      <c r="A586" s="65"/>
      <c r="D586" s="65"/>
    </row>
    <row r="587" spans="1:25" s="149" customFormat="1" ht="13">
      <c r="A587" s="65"/>
      <c r="B587" s="65"/>
      <c r="C587" s="65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</row>
    <row r="588" spans="1:25">
      <c r="A588" s="65"/>
      <c r="D588" s="65"/>
    </row>
    <row r="589" spans="1:25">
      <c r="A589" s="65"/>
      <c r="D589" s="65"/>
    </row>
    <row r="590" spans="1:25" s="149" customFormat="1" ht="13">
      <c r="A590" s="65"/>
      <c r="B590" s="65"/>
      <c r="C590" s="65"/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</row>
    <row r="591" spans="1:25">
      <c r="A591" s="65"/>
      <c r="D591" s="65"/>
    </row>
    <row r="592" spans="1:25">
      <c r="A592" s="65"/>
      <c r="D592" s="65"/>
    </row>
    <row r="593" spans="1:25" s="149" customFormat="1" ht="13">
      <c r="A593" s="65"/>
      <c r="B593" s="65"/>
      <c r="C593" s="65"/>
      <c r="D593" s="65"/>
      <c r="E593" s="65"/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</row>
    <row r="594" spans="1:25">
      <c r="A594" s="65"/>
      <c r="D594" s="65"/>
    </row>
    <row r="595" spans="1:25">
      <c r="A595" s="65"/>
      <c r="D595" s="65"/>
    </row>
    <row r="596" spans="1:25" s="149" customFormat="1" ht="13">
      <c r="A596" s="65"/>
      <c r="B596" s="65"/>
      <c r="C596" s="65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</row>
    <row r="597" spans="1:25">
      <c r="A597" s="65"/>
      <c r="D597" s="65"/>
    </row>
    <row r="598" spans="1:25">
      <c r="A598" s="65"/>
      <c r="D598" s="65"/>
    </row>
    <row r="599" spans="1:25" s="149" customFormat="1" ht="13">
      <c r="A599" s="65"/>
      <c r="B599" s="65"/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</row>
    <row r="600" spans="1:25">
      <c r="A600" s="65"/>
      <c r="D600" s="65"/>
    </row>
    <row r="601" spans="1:25">
      <c r="A601" s="65"/>
      <c r="D601" s="65"/>
    </row>
    <row r="602" spans="1:25" s="149" customFormat="1" ht="13">
      <c r="A602" s="65"/>
      <c r="B602" s="65"/>
      <c r="C602" s="65"/>
      <c r="D602" s="65"/>
      <c r="E602" s="65"/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</row>
    <row r="603" spans="1:25">
      <c r="A603" s="65"/>
      <c r="D603" s="65"/>
    </row>
    <row r="604" spans="1:25">
      <c r="A604" s="65"/>
      <c r="D604" s="65"/>
    </row>
    <row r="605" spans="1:25" s="149" customFormat="1" ht="13">
      <c r="A605" s="65"/>
      <c r="B605" s="65"/>
      <c r="C605" s="65"/>
      <c r="D605" s="65"/>
      <c r="E605" s="65"/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</row>
    <row r="606" spans="1:25">
      <c r="A606" s="65"/>
      <c r="D606" s="65"/>
    </row>
    <row r="607" spans="1:25">
      <c r="A607" s="65"/>
      <c r="D607" s="65"/>
    </row>
    <row r="608" spans="1:25" s="149" customFormat="1" ht="13">
      <c r="A608" s="65"/>
      <c r="B608" s="65"/>
      <c r="C608" s="65"/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</row>
    <row r="609" spans="1:25">
      <c r="A609" s="65"/>
      <c r="D609" s="65"/>
    </row>
    <row r="610" spans="1:25">
      <c r="A610" s="65"/>
      <c r="D610" s="65"/>
    </row>
    <row r="611" spans="1:25" s="149" customFormat="1" ht="13">
      <c r="A611" s="65"/>
      <c r="B611" s="65"/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</row>
    <row r="612" spans="1:25">
      <c r="A612" s="65"/>
      <c r="D612" s="65"/>
    </row>
    <row r="613" spans="1:25">
      <c r="A613" s="65"/>
      <c r="D613" s="65"/>
    </row>
    <row r="614" spans="1:25" s="149" customFormat="1" ht="13">
      <c r="A614" s="65"/>
      <c r="B614" s="65"/>
      <c r="C614" s="65"/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</row>
    <row r="615" spans="1:25">
      <c r="A615" s="65"/>
      <c r="D615" s="65"/>
    </row>
    <row r="616" spans="1:25">
      <c r="A616" s="65"/>
      <c r="D616" s="65"/>
    </row>
    <row r="617" spans="1:25" s="149" customFormat="1" ht="13">
      <c r="A617" s="65"/>
      <c r="B617" s="65"/>
      <c r="C617" s="65"/>
      <c r="D617" s="65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</row>
    <row r="618" spans="1:25">
      <c r="A618" s="65"/>
      <c r="D618" s="65"/>
    </row>
    <row r="619" spans="1:25">
      <c r="A619" s="65"/>
      <c r="D619" s="65"/>
    </row>
    <row r="620" spans="1:25" s="149" customFormat="1" ht="13">
      <c r="A620" s="65"/>
      <c r="B620" s="65"/>
      <c r="C620" s="65"/>
      <c r="D620" s="65"/>
      <c r="E620" s="65"/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</row>
    <row r="621" spans="1:25">
      <c r="A621" s="65"/>
      <c r="D621" s="65"/>
    </row>
    <row r="622" spans="1:25">
      <c r="A622" s="65"/>
      <c r="D622" s="65"/>
    </row>
    <row r="623" spans="1:25" s="149" customFormat="1" ht="13">
      <c r="A623" s="65"/>
      <c r="B623" s="65"/>
      <c r="C623" s="65"/>
      <c r="D623" s="65"/>
      <c r="E623" s="65"/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</row>
    <row r="624" spans="1:25">
      <c r="A624" s="65"/>
      <c r="D624" s="65"/>
    </row>
    <row r="625" spans="1:25">
      <c r="A625" s="65"/>
      <c r="D625" s="65"/>
    </row>
    <row r="626" spans="1:25" s="149" customFormat="1" ht="13">
      <c r="A626" s="65"/>
      <c r="B626" s="65"/>
      <c r="C626" s="65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</row>
    <row r="627" spans="1:25">
      <c r="A627" s="65"/>
      <c r="D627" s="65"/>
    </row>
    <row r="628" spans="1:25">
      <c r="A628" s="65"/>
      <c r="D628" s="65"/>
    </row>
    <row r="629" spans="1:25" s="149" customFormat="1" ht="13">
      <c r="A629" s="65"/>
      <c r="B629" s="65"/>
      <c r="C629" s="65"/>
      <c r="D629" s="65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</row>
    <row r="630" spans="1:25">
      <c r="A630" s="65"/>
      <c r="D630" s="65"/>
    </row>
    <row r="631" spans="1:25">
      <c r="A631" s="65"/>
      <c r="D631" s="65"/>
    </row>
    <row r="632" spans="1:25" s="149" customFormat="1" ht="13">
      <c r="A632" s="65"/>
      <c r="B632" s="65"/>
      <c r="C632" s="65"/>
      <c r="D632" s="65"/>
      <c r="E632" s="65"/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</row>
    <row r="633" spans="1:25">
      <c r="A633" s="65"/>
      <c r="D633" s="65"/>
    </row>
    <row r="634" spans="1:25">
      <c r="A634" s="65"/>
      <c r="D634" s="65"/>
    </row>
    <row r="635" spans="1:25" s="149" customFormat="1" ht="13">
      <c r="A635" s="65"/>
      <c r="B635" s="65"/>
      <c r="C635" s="65"/>
      <c r="D635" s="65"/>
      <c r="E635" s="65"/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</row>
    <row r="636" spans="1:25">
      <c r="A636" s="65"/>
      <c r="D636" s="65"/>
    </row>
    <row r="637" spans="1:25">
      <c r="A637" s="65"/>
      <c r="D637" s="65"/>
    </row>
    <row r="638" spans="1:25" s="149" customFormat="1" ht="13">
      <c r="A638" s="65"/>
      <c r="B638" s="65"/>
      <c r="C638" s="65"/>
      <c r="D638" s="65"/>
      <c r="E638" s="65"/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</row>
    <row r="639" spans="1:25">
      <c r="A639" s="65"/>
      <c r="D639" s="65"/>
    </row>
    <row r="640" spans="1:25">
      <c r="A640" s="65"/>
      <c r="D640" s="65"/>
    </row>
    <row r="641" spans="1:25" s="149" customFormat="1" ht="13">
      <c r="A641" s="65"/>
      <c r="B641" s="65"/>
      <c r="C641" s="65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</row>
    <row r="642" spans="1:25">
      <c r="A642" s="65"/>
      <c r="D642" s="65"/>
    </row>
    <row r="643" spans="1:25">
      <c r="A643" s="65"/>
      <c r="D643" s="65"/>
    </row>
    <row r="644" spans="1:25" s="149" customFormat="1" ht="13">
      <c r="A644" s="65"/>
      <c r="B644" s="65"/>
      <c r="C644" s="65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</row>
    <row r="645" spans="1:25">
      <c r="A645" s="65"/>
      <c r="D645" s="65"/>
    </row>
    <row r="646" spans="1:25">
      <c r="A646" s="65"/>
      <c r="D646" s="65"/>
    </row>
    <row r="647" spans="1:25" s="149" customFormat="1" ht="13">
      <c r="A647" s="65"/>
      <c r="B647" s="65"/>
      <c r="C647" s="65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</row>
    <row r="648" spans="1:25">
      <c r="A648" s="65"/>
      <c r="D648" s="65"/>
    </row>
    <row r="649" spans="1:25">
      <c r="A649" s="65"/>
      <c r="D649" s="65"/>
    </row>
    <row r="650" spans="1:25" s="149" customFormat="1" ht="13">
      <c r="A650" s="65"/>
      <c r="B650" s="65"/>
      <c r="C650" s="65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</row>
    <row r="651" spans="1:25">
      <c r="A651" s="65"/>
      <c r="D651" s="65"/>
    </row>
    <row r="652" spans="1:25">
      <c r="A652" s="65"/>
      <c r="D652" s="65"/>
    </row>
    <row r="653" spans="1:25" s="149" customFormat="1" ht="13">
      <c r="A653" s="65"/>
      <c r="B653" s="65"/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</row>
    <row r="654" spans="1:25">
      <c r="A654" s="65"/>
      <c r="D654" s="65"/>
    </row>
    <row r="655" spans="1:25">
      <c r="A655" s="65"/>
      <c r="D655" s="65"/>
    </row>
    <row r="656" spans="1:25" s="149" customFormat="1" ht="13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</row>
    <row r="657" spans="1:25">
      <c r="A657" s="65"/>
      <c r="D657" s="65"/>
    </row>
    <row r="658" spans="1:25">
      <c r="A658" s="65"/>
      <c r="D658" s="65"/>
    </row>
    <row r="659" spans="1:25" s="149" customFormat="1" ht="13">
      <c r="A659" s="65"/>
      <c r="B659" s="65"/>
      <c r="C659" s="65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</row>
    <row r="660" spans="1:25">
      <c r="A660" s="65"/>
      <c r="D660" s="65"/>
    </row>
    <row r="661" spans="1:25">
      <c r="A661" s="65"/>
      <c r="D661" s="65"/>
    </row>
    <row r="662" spans="1:25" s="149" customFormat="1" ht="13">
      <c r="A662" s="65"/>
      <c r="B662" s="65"/>
      <c r="C662" s="65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</row>
    <row r="663" spans="1:25">
      <c r="A663" s="65"/>
      <c r="D663" s="65"/>
    </row>
    <row r="664" spans="1:25">
      <c r="A664" s="65"/>
      <c r="D664" s="65"/>
    </row>
    <row r="665" spans="1:25" s="149" customFormat="1" ht="13">
      <c r="A665" s="65"/>
      <c r="B665" s="65"/>
      <c r="C665" s="65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</row>
    <row r="666" spans="1:25">
      <c r="A666" s="65"/>
      <c r="D666" s="65"/>
    </row>
    <row r="667" spans="1:25">
      <c r="A667" s="65"/>
      <c r="D667" s="65"/>
    </row>
    <row r="668" spans="1:25" s="149" customFormat="1" ht="13">
      <c r="A668" s="65"/>
      <c r="B668" s="65"/>
      <c r="C668" s="65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</row>
    <row r="669" spans="1:25">
      <c r="A669" s="65"/>
      <c r="D669" s="65"/>
    </row>
    <row r="670" spans="1:25">
      <c r="A670" s="65"/>
      <c r="D670" s="65"/>
    </row>
    <row r="671" spans="1:25" s="149" customFormat="1" ht="13">
      <c r="A671" s="65"/>
      <c r="B671" s="65"/>
      <c r="C671" s="65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</row>
    <row r="672" spans="1:25">
      <c r="A672" s="65"/>
      <c r="D672" s="65"/>
    </row>
    <row r="673" spans="1:25">
      <c r="A673" s="65"/>
      <c r="D673" s="65"/>
    </row>
    <row r="674" spans="1:25" s="149" customFormat="1" ht="13">
      <c r="A674" s="65"/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</row>
    <row r="675" spans="1:25">
      <c r="A675" s="65"/>
      <c r="D675" s="65"/>
    </row>
    <row r="676" spans="1:25">
      <c r="A676" s="65"/>
      <c r="D676" s="65"/>
    </row>
    <row r="677" spans="1:25" s="149" customFormat="1" ht="13">
      <c r="A677" s="65"/>
      <c r="B677" s="65"/>
      <c r="C677" s="65"/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</row>
    <row r="678" spans="1:25">
      <c r="A678" s="65"/>
      <c r="D678" s="65"/>
    </row>
    <row r="679" spans="1:25">
      <c r="A679" s="65"/>
      <c r="D679" s="65"/>
    </row>
    <row r="680" spans="1:25" s="149" customFormat="1" ht="13">
      <c r="A680" s="65"/>
      <c r="B680" s="65"/>
      <c r="C680" s="65"/>
      <c r="D680" s="65"/>
      <c r="E680" s="65"/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</row>
    <row r="681" spans="1:25">
      <c r="A681" s="65"/>
      <c r="D681" s="65"/>
    </row>
    <row r="682" spans="1:25">
      <c r="A682" s="65"/>
      <c r="D682" s="65"/>
    </row>
    <row r="683" spans="1:25" s="149" customFormat="1" ht="13">
      <c r="A683" s="65"/>
      <c r="B683" s="65"/>
      <c r="C683" s="65"/>
      <c r="D683" s="65"/>
      <c r="E683" s="65"/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</row>
    <row r="684" spans="1:25">
      <c r="A684" s="65"/>
      <c r="D684" s="65"/>
    </row>
    <row r="685" spans="1:25">
      <c r="A685" s="65"/>
      <c r="D685" s="65"/>
    </row>
    <row r="686" spans="1:25" s="149" customFormat="1" ht="13">
      <c r="A686" s="65"/>
      <c r="B686" s="65"/>
      <c r="C686" s="65"/>
      <c r="D686" s="65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</row>
    <row r="687" spans="1:25">
      <c r="A687" s="65"/>
      <c r="D687" s="65"/>
    </row>
    <row r="688" spans="1:25">
      <c r="A688" s="65"/>
      <c r="D688" s="65"/>
    </row>
    <row r="689" spans="1:25" s="149" customFormat="1" ht="13">
      <c r="A689" s="65"/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</row>
    <row r="690" spans="1:25">
      <c r="A690" s="65"/>
      <c r="D690" s="65"/>
    </row>
    <row r="691" spans="1:25">
      <c r="A691" s="65"/>
      <c r="D691" s="65"/>
    </row>
    <row r="692" spans="1:25" s="149" customFormat="1" ht="13">
      <c r="A692" s="65"/>
      <c r="B692" s="65"/>
      <c r="C692" s="65"/>
      <c r="D692" s="65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</row>
    <row r="693" spans="1:25">
      <c r="A693" s="65"/>
      <c r="D693" s="65"/>
    </row>
    <row r="694" spans="1:25">
      <c r="A694" s="65"/>
      <c r="D694" s="65"/>
    </row>
    <row r="695" spans="1:25" s="149" customFormat="1" ht="13">
      <c r="A695" s="65"/>
      <c r="B695" s="65"/>
      <c r="C695" s="65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</row>
    <row r="696" spans="1:25">
      <c r="A696" s="65"/>
      <c r="D696" s="65"/>
    </row>
    <row r="697" spans="1:25">
      <c r="A697" s="65"/>
      <c r="D697" s="65"/>
    </row>
    <row r="698" spans="1:25" s="149" customFormat="1" ht="13">
      <c r="A698" s="65"/>
      <c r="B698" s="65"/>
      <c r="C698" s="65"/>
      <c r="D698" s="65"/>
      <c r="E698" s="65"/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</row>
    <row r="699" spans="1:25">
      <c r="A699" s="65"/>
      <c r="D699" s="65"/>
    </row>
    <row r="700" spans="1:25">
      <c r="A700" s="65"/>
      <c r="D700" s="65"/>
    </row>
    <row r="701" spans="1:25" s="149" customFormat="1" ht="13">
      <c r="A701" s="65"/>
      <c r="B701" s="65"/>
      <c r="C701" s="65"/>
      <c r="D701" s="65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</row>
    <row r="702" spans="1:25">
      <c r="A702" s="65"/>
      <c r="D702" s="65"/>
    </row>
    <row r="703" spans="1:25">
      <c r="A703" s="65"/>
      <c r="D703" s="65"/>
    </row>
    <row r="704" spans="1:25" s="149" customFormat="1" ht="13">
      <c r="A704" s="65"/>
      <c r="B704" s="65"/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</row>
    <row r="705" spans="1:25">
      <c r="A705" s="65"/>
      <c r="D705" s="65"/>
    </row>
    <row r="706" spans="1:25">
      <c r="A706" s="65"/>
      <c r="D706" s="65"/>
    </row>
    <row r="707" spans="1:25" s="149" customFormat="1" ht="13">
      <c r="A707" s="65"/>
      <c r="B707" s="65"/>
      <c r="C707" s="65"/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</row>
    <row r="708" spans="1:25">
      <c r="A708" s="65"/>
      <c r="D708" s="65"/>
    </row>
    <row r="709" spans="1:25">
      <c r="A709" s="65"/>
      <c r="D709" s="65"/>
    </row>
    <row r="710" spans="1:25" s="149" customFormat="1" ht="13">
      <c r="A710" s="65"/>
      <c r="B710" s="65"/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</row>
    <row r="711" spans="1:25">
      <c r="A711" s="65"/>
      <c r="D711" s="65"/>
    </row>
    <row r="712" spans="1:25">
      <c r="A712" s="65"/>
      <c r="D712" s="65"/>
    </row>
    <row r="713" spans="1:25" s="149" customFormat="1" ht="13">
      <c r="A713" s="65"/>
      <c r="B713" s="65"/>
      <c r="C713" s="65"/>
      <c r="D713" s="65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</row>
    <row r="714" spans="1:25">
      <c r="A714" s="65"/>
      <c r="D714" s="65"/>
    </row>
    <row r="715" spans="1:25">
      <c r="A715" s="65"/>
      <c r="D715" s="65"/>
    </row>
    <row r="716" spans="1:25" s="149" customFormat="1" ht="13">
      <c r="A716" s="65"/>
      <c r="B716" s="65"/>
      <c r="C716" s="65"/>
      <c r="D716" s="65"/>
      <c r="E716" s="65"/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</row>
    <row r="717" spans="1:25">
      <c r="A717" s="65"/>
      <c r="D717" s="65"/>
    </row>
    <row r="718" spans="1:25">
      <c r="A718" s="65"/>
      <c r="D718" s="65"/>
    </row>
    <row r="719" spans="1:25" s="149" customFormat="1" ht="13">
      <c r="A719" s="65"/>
      <c r="B719" s="65"/>
      <c r="C719" s="65"/>
      <c r="D719" s="65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</row>
    <row r="720" spans="1:25">
      <c r="A720" s="65"/>
      <c r="D720" s="65"/>
    </row>
    <row r="721" spans="1:25">
      <c r="A721" s="65"/>
      <c r="D721" s="65"/>
    </row>
    <row r="722" spans="1:25" s="149" customFormat="1" ht="13">
      <c r="A722" s="65"/>
      <c r="B722" s="65"/>
      <c r="C722" s="65"/>
      <c r="D722" s="65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</row>
    <row r="723" spans="1:25">
      <c r="A723" s="65"/>
      <c r="D723" s="65"/>
    </row>
    <row r="724" spans="1:25">
      <c r="A724" s="65"/>
      <c r="D724" s="65"/>
    </row>
    <row r="725" spans="1:25" s="149" customFormat="1" ht="13">
      <c r="A725" s="65"/>
      <c r="B725" s="65"/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</row>
    <row r="726" spans="1:25">
      <c r="A726" s="65"/>
      <c r="D726" s="65"/>
    </row>
    <row r="727" spans="1:25">
      <c r="A727" s="65"/>
      <c r="D727" s="65"/>
    </row>
    <row r="728" spans="1:25" s="149" customFormat="1" ht="13">
      <c r="A728" s="65"/>
      <c r="B728" s="65"/>
      <c r="C728" s="65"/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</row>
    <row r="729" spans="1:25">
      <c r="A729" s="65"/>
      <c r="D729" s="65"/>
    </row>
    <row r="730" spans="1:25">
      <c r="A730" s="65"/>
      <c r="D730" s="65"/>
    </row>
    <row r="731" spans="1:25" s="149" customFormat="1" ht="13">
      <c r="A731" s="65"/>
      <c r="B731" s="65"/>
      <c r="C731" s="65"/>
      <c r="D731" s="65"/>
      <c r="E731" s="65"/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</row>
    <row r="732" spans="1:25">
      <c r="A732" s="65"/>
      <c r="D732" s="65"/>
    </row>
    <row r="733" spans="1:25">
      <c r="A733" s="65"/>
      <c r="D733" s="65"/>
    </row>
    <row r="734" spans="1:25" s="149" customFormat="1" ht="13">
      <c r="A734" s="65"/>
      <c r="B734" s="65"/>
      <c r="C734" s="65"/>
      <c r="D734" s="65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</row>
    <row r="735" spans="1:25">
      <c r="A735" s="65"/>
      <c r="D735" s="65"/>
    </row>
    <row r="736" spans="1:25">
      <c r="A736" s="65"/>
      <c r="D736" s="65"/>
    </row>
    <row r="737" spans="1:25" s="149" customFormat="1" ht="13">
      <c r="A737" s="65"/>
      <c r="B737" s="65"/>
      <c r="C737" s="65"/>
      <c r="D737" s="65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</row>
    <row r="738" spans="1:25">
      <c r="A738" s="65"/>
      <c r="D738" s="65"/>
    </row>
    <row r="739" spans="1:25">
      <c r="A739" s="65"/>
      <c r="D739" s="65"/>
    </row>
    <row r="740" spans="1:25" s="149" customFormat="1" ht="13">
      <c r="A740" s="65"/>
      <c r="B740" s="65"/>
      <c r="C740" s="65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</row>
    <row r="741" spans="1:25">
      <c r="A741" s="65"/>
      <c r="D741" s="65"/>
    </row>
    <row r="742" spans="1:25">
      <c r="A742" s="65"/>
      <c r="D742" s="65"/>
    </row>
    <row r="743" spans="1:25" s="149" customFormat="1" ht="13">
      <c r="A743" s="65"/>
      <c r="B743" s="65"/>
      <c r="C743" s="65"/>
      <c r="D743" s="65"/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</row>
    <row r="744" spans="1:25">
      <c r="A744" s="65"/>
      <c r="D744" s="65"/>
    </row>
    <row r="745" spans="1:25">
      <c r="A745" s="65"/>
      <c r="D745" s="65"/>
    </row>
    <row r="746" spans="1:25" s="149" customFormat="1" ht="13">
      <c r="A746" s="65"/>
      <c r="B746" s="65"/>
      <c r="C746" s="65"/>
      <c r="D746" s="65"/>
      <c r="E746" s="65"/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</row>
    <row r="747" spans="1:25">
      <c r="A747" s="65"/>
      <c r="D747" s="65"/>
    </row>
    <row r="748" spans="1:25">
      <c r="A748" s="65"/>
      <c r="D748" s="65"/>
    </row>
    <row r="749" spans="1:25" s="149" customFormat="1" ht="13">
      <c r="A749" s="65"/>
      <c r="B749" s="65"/>
      <c r="C749" s="65"/>
      <c r="D749" s="65"/>
      <c r="E749" s="65"/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</row>
    <row r="750" spans="1:25">
      <c r="A750" s="65"/>
      <c r="D750" s="65"/>
    </row>
    <row r="751" spans="1:25">
      <c r="A751" s="65"/>
      <c r="D751" s="65"/>
    </row>
    <row r="752" spans="1:25" s="149" customFormat="1" ht="13">
      <c r="A752" s="65"/>
      <c r="B752" s="65"/>
      <c r="C752" s="65"/>
      <c r="D752" s="65"/>
      <c r="E752" s="65"/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</row>
    <row r="753" spans="1:25">
      <c r="A753" s="65"/>
      <c r="D753" s="65"/>
    </row>
    <row r="754" spans="1:25">
      <c r="A754" s="65"/>
      <c r="D754" s="65"/>
    </row>
    <row r="755" spans="1:25" s="149" customFormat="1" ht="13">
      <c r="A755" s="65"/>
      <c r="B755" s="65"/>
      <c r="C755" s="65"/>
      <c r="D755" s="65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</row>
    <row r="756" spans="1:25">
      <c r="A756" s="65"/>
      <c r="D756" s="65"/>
    </row>
    <row r="757" spans="1:25">
      <c r="A757" s="65"/>
      <c r="D757" s="65"/>
    </row>
    <row r="758" spans="1:25" s="149" customFormat="1" ht="13">
      <c r="A758" s="65"/>
      <c r="B758" s="65"/>
      <c r="C758" s="65"/>
      <c r="D758" s="65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</row>
    <row r="759" spans="1:25">
      <c r="A759" s="65"/>
      <c r="D759" s="65"/>
    </row>
    <row r="760" spans="1:25">
      <c r="A760" s="65"/>
      <c r="D760" s="65"/>
    </row>
    <row r="761" spans="1:25" s="149" customFormat="1" ht="13">
      <c r="A761" s="65"/>
      <c r="B761" s="65"/>
      <c r="C761" s="65"/>
      <c r="D761" s="65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</row>
    <row r="762" spans="1:25">
      <c r="A762" s="65"/>
      <c r="D762" s="65"/>
    </row>
    <row r="763" spans="1:25">
      <c r="A763" s="65"/>
      <c r="D763" s="65"/>
    </row>
    <row r="764" spans="1:25" s="149" customFormat="1" ht="13">
      <c r="A764" s="65"/>
      <c r="B764" s="65"/>
      <c r="C764" s="65"/>
      <c r="D764" s="65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</row>
    <row r="765" spans="1:25">
      <c r="A765" s="65"/>
      <c r="D765" s="65"/>
    </row>
    <row r="766" spans="1:25">
      <c r="A766" s="65"/>
      <c r="D766" s="65"/>
    </row>
    <row r="767" spans="1:25" s="149" customFormat="1" ht="13">
      <c r="A767" s="65"/>
      <c r="B767" s="65"/>
      <c r="C767" s="65"/>
      <c r="D767" s="65"/>
      <c r="E767" s="65"/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</row>
    <row r="768" spans="1:25">
      <c r="A768" s="65"/>
      <c r="D768" s="65"/>
    </row>
    <row r="769" spans="1:25">
      <c r="A769" s="65"/>
      <c r="D769" s="65"/>
    </row>
    <row r="770" spans="1:25" s="149" customFormat="1" ht="13">
      <c r="A770" s="65"/>
      <c r="B770" s="65"/>
      <c r="C770" s="65"/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</row>
    <row r="771" spans="1:25">
      <c r="A771" s="65"/>
      <c r="D771" s="65"/>
    </row>
    <row r="772" spans="1:25">
      <c r="A772" s="65"/>
      <c r="D772" s="65"/>
    </row>
    <row r="773" spans="1:25" s="149" customFormat="1" ht="13">
      <c r="A773" s="65"/>
      <c r="B773" s="65"/>
      <c r="C773" s="65"/>
      <c r="D773" s="65"/>
      <c r="E773" s="65"/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</row>
    <row r="774" spans="1:25">
      <c r="A774" s="65"/>
      <c r="D774" s="65"/>
    </row>
    <row r="775" spans="1:25">
      <c r="A775" s="65"/>
      <c r="D775" s="65"/>
    </row>
    <row r="776" spans="1:25" s="149" customFormat="1" ht="13">
      <c r="A776" s="65"/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</row>
    <row r="777" spans="1:25">
      <c r="A777" s="65"/>
      <c r="D777" s="65"/>
    </row>
    <row r="778" spans="1:25">
      <c r="A778" s="65"/>
      <c r="D778" s="65"/>
    </row>
    <row r="779" spans="1:25" s="149" customFormat="1" ht="13">
      <c r="A779" s="65"/>
      <c r="B779" s="65"/>
      <c r="C779" s="65"/>
      <c r="D779" s="65"/>
      <c r="E779" s="65"/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</row>
    <row r="780" spans="1:25">
      <c r="A780" s="65"/>
      <c r="D780" s="65"/>
    </row>
    <row r="781" spans="1:25">
      <c r="A781" s="65"/>
      <c r="D781" s="65"/>
    </row>
    <row r="782" spans="1:25" s="149" customFormat="1" ht="13">
      <c r="A782" s="65"/>
      <c r="B782" s="65"/>
      <c r="C782" s="65"/>
      <c r="D782" s="65"/>
      <c r="E782" s="65"/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</row>
    <row r="783" spans="1:25">
      <c r="A783" s="65"/>
      <c r="D783" s="65"/>
    </row>
    <row r="784" spans="1:25">
      <c r="A784" s="65"/>
      <c r="D784" s="65"/>
    </row>
    <row r="785" spans="1:25" s="149" customFormat="1" ht="13">
      <c r="A785" s="65"/>
      <c r="B785" s="65"/>
      <c r="C785" s="65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</row>
    <row r="786" spans="1:25">
      <c r="A786" s="65"/>
      <c r="D786" s="65"/>
    </row>
    <row r="787" spans="1:25">
      <c r="A787" s="65"/>
      <c r="D787" s="65"/>
    </row>
    <row r="788" spans="1:25" s="149" customFormat="1" ht="13">
      <c r="A788" s="65"/>
      <c r="B788" s="65"/>
      <c r="C788" s="65"/>
      <c r="D788" s="65"/>
      <c r="E788" s="65"/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</row>
    <row r="789" spans="1:25">
      <c r="A789" s="65"/>
      <c r="D789" s="65"/>
    </row>
    <row r="790" spans="1:25">
      <c r="A790" s="65"/>
      <c r="D790" s="65"/>
    </row>
    <row r="791" spans="1:25" s="149" customFormat="1" ht="13">
      <c r="A791" s="65"/>
      <c r="B791" s="65"/>
      <c r="C791" s="65"/>
      <c r="D791" s="65"/>
      <c r="E791" s="65"/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</row>
    <row r="792" spans="1:25">
      <c r="A792" s="65"/>
      <c r="D792" s="65"/>
    </row>
    <row r="793" spans="1:25">
      <c r="A793" s="65"/>
      <c r="D793" s="65"/>
    </row>
    <row r="794" spans="1:25" s="149" customFormat="1" ht="13">
      <c r="A794" s="65"/>
      <c r="B794" s="65"/>
      <c r="C794" s="65"/>
      <c r="D794" s="65"/>
      <c r="E794" s="65"/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</row>
    <row r="795" spans="1:25">
      <c r="A795" s="65"/>
      <c r="D795" s="65"/>
    </row>
    <row r="796" spans="1:25">
      <c r="A796" s="65"/>
      <c r="D796" s="65"/>
    </row>
    <row r="797" spans="1:25" s="149" customFormat="1" ht="13">
      <c r="A797" s="65"/>
      <c r="B797" s="65"/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</row>
    <row r="798" spans="1:25">
      <c r="A798" s="65"/>
      <c r="D798" s="65"/>
    </row>
    <row r="799" spans="1:25">
      <c r="A799" s="65"/>
      <c r="D799" s="65"/>
    </row>
    <row r="800" spans="1:25" s="149" customFormat="1" ht="13">
      <c r="A800" s="65"/>
      <c r="B800" s="65"/>
      <c r="C800" s="65"/>
      <c r="D800" s="65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</row>
    <row r="801" spans="1:25">
      <c r="A801" s="65"/>
      <c r="D801" s="65"/>
    </row>
    <row r="802" spans="1:25">
      <c r="A802" s="65"/>
      <c r="D802" s="65"/>
    </row>
    <row r="803" spans="1:25" s="149" customFormat="1" ht="13">
      <c r="A803" s="65"/>
      <c r="B803" s="65"/>
      <c r="C803" s="65"/>
      <c r="D803" s="65"/>
      <c r="E803" s="65"/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</row>
    <row r="804" spans="1:25">
      <c r="A804" s="65"/>
      <c r="D804" s="65"/>
    </row>
    <row r="805" spans="1:25">
      <c r="A805" s="65"/>
      <c r="D805" s="65"/>
    </row>
    <row r="806" spans="1:25" s="149" customFormat="1" ht="13">
      <c r="A806" s="65"/>
      <c r="B806" s="65"/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</row>
    <row r="807" spans="1:25">
      <c r="A807" s="65"/>
      <c r="D807" s="65"/>
    </row>
    <row r="808" spans="1:25">
      <c r="A808" s="65"/>
      <c r="D808" s="65"/>
    </row>
    <row r="809" spans="1:25" s="149" customFormat="1" ht="13">
      <c r="A809" s="65"/>
      <c r="B809" s="65"/>
      <c r="C809" s="65"/>
      <c r="D809" s="65"/>
      <c r="E809" s="65"/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</row>
    <row r="810" spans="1:25">
      <c r="A810" s="65"/>
      <c r="D810" s="65"/>
    </row>
    <row r="811" spans="1:25">
      <c r="A811" s="65"/>
      <c r="D811" s="65"/>
    </row>
    <row r="812" spans="1:25" s="149" customFormat="1" ht="13">
      <c r="A812" s="65"/>
      <c r="B812" s="65"/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</row>
    <row r="813" spans="1:25">
      <c r="A813" s="65"/>
      <c r="D813" s="65"/>
    </row>
    <row r="814" spans="1:25">
      <c r="A814" s="65"/>
      <c r="D814" s="65"/>
    </row>
    <row r="815" spans="1:25" s="149" customFormat="1" ht="13">
      <c r="A815" s="65"/>
      <c r="B815" s="65"/>
      <c r="C815" s="65"/>
      <c r="D815" s="65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</row>
    <row r="816" spans="1:25">
      <c r="A816" s="65"/>
      <c r="D816" s="65"/>
    </row>
    <row r="817" spans="1:25">
      <c r="A817" s="65"/>
      <c r="D817" s="65"/>
    </row>
    <row r="818" spans="1:25" s="149" customFormat="1" ht="13">
      <c r="A818" s="65"/>
      <c r="B818" s="65"/>
      <c r="C818" s="65"/>
      <c r="D818" s="65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</row>
    <row r="819" spans="1:25">
      <c r="A819" s="65"/>
      <c r="D819" s="65"/>
    </row>
    <row r="820" spans="1:25">
      <c r="A820" s="65"/>
      <c r="D820" s="65"/>
    </row>
    <row r="821" spans="1:25" s="149" customFormat="1" ht="13">
      <c r="A821" s="65"/>
      <c r="B821" s="65"/>
      <c r="C821" s="65"/>
      <c r="D821" s="65"/>
      <c r="E821" s="65"/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</row>
    <row r="822" spans="1:25">
      <c r="A822" s="65"/>
      <c r="D822" s="65"/>
    </row>
    <row r="823" spans="1:25">
      <c r="A823" s="65"/>
      <c r="D823" s="65"/>
    </row>
    <row r="824" spans="1:25" s="149" customFormat="1" ht="13">
      <c r="A824" s="65"/>
      <c r="B824" s="65"/>
      <c r="C824" s="65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</row>
    <row r="825" spans="1:25">
      <c r="A825" s="65"/>
      <c r="D825" s="65"/>
    </row>
    <row r="826" spans="1:25">
      <c r="A826" s="65"/>
      <c r="D826" s="65"/>
    </row>
    <row r="827" spans="1:25" s="149" customFormat="1" ht="13">
      <c r="A827" s="65"/>
      <c r="B827" s="65"/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</row>
    <row r="828" spans="1:25">
      <c r="A828" s="65"/>
      <c r="D828" s="65"/>
    </row>
    <row r="829" spans="1:25">
      <c r="A829" s="65"/>
      <c r="D829" s="65"/>
    </row>
    <row r="830" spans="1:25" s="149" customFormat="1" ht="13">
      <c r="A830" s="65"/>
      <c r="B830" s="65"/>
      <c r="C830" s="65"/>
      <c r="D830" s="65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</row>
    <row r="831" spans="1:25">
      <c r="A831" s="65"/>
      <c r="D831" s="65"/>
    </row>
    <row r="832" spans="1:25">
      <c r="A832" s="65"/>
      <c r="D832" s="65"/>
    </row>
    <row r="833" spans="1:25" s="149" customFormat="1" ht="13">
      <c r="A833" s="65"/>
      <c r="B833" s="65"/>
      <c r="C833" s="65"/>
      <c r="D833" s="65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</row>
    <row r="834" spans="1:25">
      <c r="A834" s="65"/>
      <c r="D834" s="65"/>
    </row>
    <row r="835" spans="1:25">
      <c r="A835" s="65"/>
      <c r="D835" s="65"/>
    </row>
    <row r="836" spans="1:25" s="149" customFormat="1" ht="13">
      <c r="A836" s="65"/>
      <c r="B836" s="65"/>
      <c r="C836" s="65"/>
      <c r="D836" s="65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</row>
    <row r="837" spans="1:25">
      <c r="A837" s="65"/>
      <c r="D837" s="65"/>
    </row>
    <row r="838" spans="1:25">
      <c r="A838" s="65"/>
      <c r="D838" s="65"/>
    </row>
    <row r="839" spans="1:25" s="149" customFormat="1" ht="13">
      <c r="A839" s="65"/>
      <c r="B839" s="65"/>
      <c r="C839" s="65"/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</row>
    <row r="840" spans="1:25">
      <c r="A840" s="65"/>
      <c r="D840" s="65"/>
    </row>
    <row r="841" spans="1:25">
      <c r="A841" s="65"/>
      <c r="D841" s="65"/>
    </row>
    <row r="842" spans="1:25" s="149" customFormat="1" ht="13">
      <c r="A842" s="65"/>
      <c r="B842" s="65"/>
      <c r="C842" s="65"/>
      <c r="D842" s="65"/>
      <c r="E842" s="65"/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</row>
    <row r="843" spans="1:25">
      <c r="A843" s="65"/>
      <c r="D843" s="65"/>
    </row>
    <row r="844" spans="1:25">
      <c r="A844" s="65"/>
      <c r="D844" s="65"/>
    </row>
    <row r="845" spans="1:25" s="149" customFormat="1" ht="13">
      <c r="A845" s="65"/>
      <c r="B845" s="65"/>
      <c r="C845" s="65"/>
      <c r="D845" s="65"/>
      <c r="E845" s="65"/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</row>
    <row r="846" spans="1:25">
      <c r="A846" s="65"/>
      <c r="D846" s="65"/>
    </row>
    <row r="847" spans="1:25">
      <c r="A847" s="65"/>
      <c r="D847" s="65"/>
    </row>
    <row r="848" spans="1:25" s="149" customFormat="1" ht="13">
      <c r="A848" s="65"/>
      <c r="B848" s="65"/>
      <c r="C848" s="65"/>
      <c r="D848" s="65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</row>
    <row r="849" spans="1:25">
      <c r="A849" s="65"/>
      <c r="D849" s="65"/>
    </row>
    <row r="850" spans="1:25">
      <c r="A850" s="65"/>
      <c r="D850" s="65"/>
    </row>
    <row r="851" spans="1:25" s="149" customFormat="1" ht="13">
      <c r="A851" s="65"/>
      <c r="B851" s="65"/>
      <c r="C851" s="65"/>
      <c r="D851" s="65"/>
      <c r="E851" s="65"/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</row>
    <row r="852" spans="1:25">
      <c r="A852" s="65"/>
      <c r="D852" s="65"/>
    </row>
    <row r="853" spans="1:25">
      <c r="A853" s="65"/>
      <c r="D853" s="65"/>
    </row>
    <row r="854" spans="1:25" s="149" customFormat="1" ht="13">
      <c r="A854" s="65"/>
      <c r="B854" s="65"/>
      <c r="C854" s="65"/>
      <c r="D854" s="65"/>
      <c r="E854" s="65"/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</row>
    <row r="855" spans="1:25">
      <c r="A855" s="65"/>
      <c r="D855" s="65"/>
    </row>
    <row r="856" spans="1:25">
      <c r="A856" s="65"/>
      <c r="D856" s="65"/>
    </row>
    <row r="857" spans="1:25" s="149" customFormat="1" ht="13">
      <c r="A857" s="65"/>
      <c r="B857" s="65"/>
      <c r="C857" s="65"/>
      <c r="D857" s="65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</row>
    <row r="858" spans="1:25">
      <c r="A858" s="65"/>
      <c r="D858" s="65"/>
    </row>
    <row r="859" spans="1:25">
      <c r="A859" s="65"/>
      <c r="D859" s="65"/>
    </row>
    <row r="860" spans="1:25" s="149" customFormat="1" ht="13">
      <c r="A860" s="65"/>
      <c r="B860" s="65"/>
      <c r="C860" s="65"/>
      <c r="D860" s="65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</row>
    <row r="861" spans="1:25">
      <c r="A861" s="65"/>
      <c r="D861" s="65"/>
    </row>
    <row r="862" spans="1:25">
      <c r="A862" s="65"/>
      <c r="D862" s="65"/>
    </row>
    <row r="863" spans="1:25" s="149" customFormat="1" ht="13">
      <c r="A863" s="65"/>
      <c r="B863" s="65"/>
      <c r="C863" s="65"/>
      <c r="D863" s="65"/>
      <c r="E863" s="65"/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</row>
    <row r="864" spans="1:25">
      <c r="A864" s="65"/>
      <c r="D864" s="65"/>
    </row>
    <row r="865" spans="1:25">
      <c r="A865" s="65"/>
      <c r="D865" s="65"/>
    </row>
    <row r="866" spans="1:25" s="149" customFormat="1" ht="13">
      <c r="A866" s="65"/>
      <c r="B866" s="65"/>
      <c r="C866" s="65"/>
      <c r="D866" s="65"/>
      <c r="E866" s="65"/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</row>
    <row r="867" spans="1:25">
      <c r="A867" s="65"/>
      <c r="D867" s="65"/>
    </row>
    <row r="868" spans="1:25">
      <c r="A868" s="65"/>
      <c r="D868" s="65"/>
    </row>
    <row r="869" spans="1:25" s="149" customFormat="1" ht="13">
      <c r="A869" s="65"/>
      <c r="B869" s="65"/>
      <c r="C869" s="65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</row>
    <row r="870" spans="1:25">
      <c r="A870" s="65"/>
      <c r="D870" s="65"/>
    </row>
    <row r="871" spans="1:25">
      <c r="A871" s="65"/>
      <c r="D871" s="65"/>
    </row>
    <row r="872" spans="1:25" s="149" customFormat="1" ht="13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</row>
    <row r="873" spans="1:25">
      <c r="A873" s="65"/>
      <c r="D873" s="65"/>
    </row>
    <row r="874" spans="1:25">
      <c r="A874" s="65"/>
      <c r="D874" s="65"/>
    </row>
    <row r="875" spans="1:25">
      <c r="A875" s="65"/>
      <c r="D875" s="65"/>
    </row>
    <row r="876" spans="1:25">
      <c r="A876" s="65"/>
      <c r="D876" s="65"/>
    </row>
    <row r="877" spans="1:25">
      <c r="A877" s="65"/>
      <c r="D877" s="65"/>
    </row>
    <row r="878" spans="1:25">
      <c r="A878" s="65"/>
      <c r="D878" s="65"/>
    </row>
    <row r="879" spans="1:25">
      <c r="A879" s="65"/>
      <c r="D879" s="65"/>
    </row>
    <row r="880" spans="1:25">
      <c r="A880" s="65"/>
      <c r="D880" s="65"/>
    </row>
    <row r="881" s="65" customFormat="1"/>
    <row r="882" s="65" customFormat="1"/>
    <row r="883" s="65" customFormat="1"/>
    <row r="884" s="65" customFormat="1"/>
    <row r="885" s="65" customFormat="1"/>
    <row r="886" s="65" customFormat="1"/>
    <row r="887" s="65" customFormat="1"/>
    <row r="888" s="65" customFormat="1"/>
    <row r="889" s="65" customFormat="1"/>
    <row r="890" s="65" customFormat="1"/>
    <row r="891" s="65" customFormat="1"/>
    <row r="892" s="65" customFormat="1"/>
    <row r="893" s="65" customFormat="1"/>
    <row r="894" s="65" customFormat="1"/>
    <row r="895" s="65" customFormat="1"/>
    <row r="896" s="65" customFormat="1"/>
    <row r="897" s="65" customFormat="1"/>
    <row r="898" s="65" customFormat="1"/>
    <row r="899" s="65" customFormat="1"/>
    <row r="900" s="65" customFormat="1"/>
    <row r="901" s="65" customFormat="1"/>
    <row r="902" s="65" customFormat="1"/>
    <row r="903" s="65" customFormat="1"/>
    <row r="904" s="65" customFormat="1"/>
    <row r="905" s="65" customFormat="1"/>
    <row r="906" s="65" customFormat="1"/>
    <row r="907" s="65" customFormat="1"/>
    <row r="908" s="65" customFormat="1"/>
    <row r="909" s="65" customFormat="1"/>
    <row r="910" s="65" customFormat="1"/>
    <row r="911" s="65" customFormat="1"/>
    <row r="912" s="65" customFormat="1"/>
    <row r="913" s="65" customFormat="1"/>
    <row r="914" s="65" customFormat="1"/>
    <row r="915" s="65" customFormat="1"/>
    <row r="916" s="65" customFormat="1"/>
    <row r="917" s="65" customFormat="1"/>
    <row r="918" s="65" customFormat="1"/>
    <row r="919" s="65" customFormat="1"/>
    <row r="920" s="65" customFormat="1"/>
    <row r="921" s="65" customFormat="1"/>
    <row r="922" s="65" customFormat="1"/>
    <row r="923" s="65" customFormat="1"/>
    <row r="924" s="65" customFormat="1"/>
    <row r="925" s="65" customFormat="1"/>
    <row r="926" s="65" customFormat="1"/>
    <row r="927" s="65" customFormat="1"/>
    <row r="928" s="65" customFormat="1"/>
    <row r="929" s="65" customFormat="1"/>
    <row r="930" s="65" customFormat="1"/>
    <row r="931" s="65" customFormat="1"/>
    <row r="932" s="65" customFormat="1"/>
    <row r="933" s="65" customFormat="1"/>
    <row r="934" s="65" customFormat="1"/>
    <row r="935" s="65" customFormat="1"/>
    <row r="936" s="65" customFormat="1"/>
    <row r="937" s="65" customFormat="1"/>
    <row r="938" s="65" customFormat="1"/>
    <row r="939" s="65" customFormat="1"/>
    <row r="940" s="65" customFormat="1"/>
    <row r="941" s="65" customFormat="1"/>
    <row r="942" s="65" customFormat="1"/>
    <row r="943" s="65" customFormat="1"/>
    <row r="944" s="65" customFormat="1"/>
    <row r="945" s="65" customFormat="1"/>
    <row r="946" s="65" customFormat="1"/>
    <row r="947" s="65" customFormat="1"/>
    <row r="948" s="65" customFormat="1"/>
    <row r="949" s="65" customFormat="1"/>
    <row r="950" s="65" customFormat="1"/>
    <row r="951" s="65" customFormat="1"/>
    <row r="952" s="65" customFormat="1"/>
    <row r="953" s="65" customFormat="1"/>
    <row r="954" s="65" customFormat="1"/>
    <row r="955" s="65" customFormat="1"/>
    <row r="956" s="65" customFormat="1"/>
    <row r="957" s="65" customFormat="1"/>
    <row r="958" s="65" customFormat="1"/>
    <row r="959" s="65" customFormat="1"/>
    <row r="960" s="65" customFormat="1"/>
    <row r="961" s="65" customFormat="1"/>
    <row r="962" s="65" customFormat="1"/>
    <row r="963" s="65" customFormat="1"/>
    <row r="964" s="65" customFormat="1"/>
    <row r="965" s="65" customFormat="1"/>
    <row r="966" s="65" customFormat="1"/>
    <row r="967" s="65" customFormat="1"/>
    <row r="968" s="65" customFormat="1"/>
    <row r="969" s="65" customFormat="1"/>
    <row r="970" s="65" customFormat="1"/>
    <row r="971" s="65" customFormat="1"/>
    <row r="972" s="65" customFormat="1"/>
    <row r="973" s="65" customFormat="1"/>
    <row r="974" s="65" customFormat="1"/>
    <row r="975" s="65" customFormat="1"/>
    <row r="976" s="65" customFormat="1"/>
    <row r="977" s="65" customFormat="1"/>
    <row r="978" s="65" customFormat="1"/>
    <row r="979" s="65" customFormat="1"/>
    <row r="980" s="65" customFormat="1"/>
    <row r="981" s="65" customFormat="1"/>
    <row r="982" s="65" customFormat="1"/>
    <row r="983" s="65" customFormat="1"/>
    <row r="984" s="65" customFormat="1"/>
    <row r="985" s="65" customFormat="1"/>
    <row r="986" s="65" customFormat="1"/>
    <row r="987" s="65" customFormat="1"/>
    <row r="988" s="65" customFormat="1"/>
    <row r="989" s="65" customFormat="1"/>
    <row r="990" s="65" customFormat="1"/>
    <row r="991" s="65" customFormat="1"/>
    <row r="992" s="65" customFormat="1"/>
    <row r="993" s="65" customFormat="1"/>
    <row r="994" s="65" customFormat="1"/>
    <row r="995" s="65" customFormat="1"/>
    <row r="996" s="65" customFormat="1"/>
    <row r="997" s="65" customFormat="1"/>
    <row r="998" s="65" customFormat="1"/>
    <row r="999" s="65" customFormat="1"/>
    <row r="1000" s="65" customFormat="1"/>
    <row r="1001" s="65" customFormat="1"/>
    <row r="1002" s="65" customFormat="1"/>
    <row r="1003" s="65" customFormat="1"/>
    <row r="1004" s="65" customFormat="1"/>
    <row r="1005" s="65" customFormat="1"/>
    <row r="1006" s="65" customFormat="1"/>
    <row r="1007" s="65" customFormat="1"/>
    <row r="1008" s="65" customFormat="1"/>
    <row r="1009" s="65" customFormat="1"/>
    <row r="1010" s="65" customFormat="1"/>
    <row r="1011" s="65" customFormat="1"/>
    <row r="1012" s="65" customFormat="1"/>
    <row r="1013" s="65" customFormat="1"/>
    <row r="1014" s="65" customFormat="1"/>
    <row r="1015" s="65" customFormat="1"/>
    <row r="1016" s="65" customFormat="1"/>
    <row r="1017" s="65" customFormat="1"/>
    <row r="1018" s="65" customFormat="1"/>
    <row r="1019" s="65" customFormat="1"/>
    <row r="1020" s="65" customFormat="1"/>
    <row r="1021" s="65" customFormat="1"/>
    <row r="1022" s="65" customFormat="1"/>
    <row r="1023" s="65" customFormat="1"/>
    <row r="1024" s="65" customFormat="1"/>
    <row r="1025" s="65" customFormat="1"/>
    <row r="1026" s="65" customFormat="1"/>
    <row r="1027" s="65" customFormat="1"/>
    <row r="1028" s="65" customFormat="1"/>
    <row r="1029" s="65" customFormat="1"/>
    <row r="1030" s="65" customFormat="1"/>
    <row r="1031" s="65" customFormat="1"/>
    <row r="1032" s="65" customFormat="1"/>
    <row r="1033" s="65" customFormat="1"/>
    <row r="1034" s="65" customFormat="1"/>
    <row r="1035" s="65" customFormat="1"/>
    <row r="1036" s="65" customFormat="1"/>
    <row r="1037" s="65" customFormat="1"/>
    <row r="1038" s="65" customFormat="1"/>
    <row r="1039" s="65" customFormat="1"/>
    <row r="1040" s="65" customFormat="1"/>
    <row r="1041" s="65" customFormat="1"/>
    <row r="1042" s="65" customFormat="1"/>
    <row r="1043" s="65" customFormat="1"/>
    <row r="1044" s="65" customFormat="1"/>
    <row r="1045" s="65" customFormat="1"/>
    <row r="1046" s="65" customFormat="1"/>
    <row r="1047" s="65" customFormat="1"/>
    <row r="1048" s="65" customFormat="1"/>
    <row r="1049" s="65" customFormat="1"/>
    <row r="1050" s="65" customFormat="1"/>
    <row r="1051" s="65" customFormat="1"/>
    <row r="1052" s="65" customFormat="1"/>
    <row r="1053" s="65" customFormat="1"/>
    <row r="1054" s="65" customFormat="1"/>
    <row r="1055" s="65" customFormat="1"/>
    <row r="1056" s="65" customFormat="1"/>
    <row r="1057" s="65" customFormat="1"/>
    <row r="1058" s="65" customFormat="1"/>
    <row r="1059" s="65" customFormat="1"/>
    <row r="1060" s="65" customFormat="1"/>
    <row r="1061" s="65" customFormat="1"/>
    <row r="1062" s="65" customFormat="1"/>
    <row r="1063" s="65" customFormat="1"/>
    <row r="1064" s="65" customFormat="1"/>
    <row r="1065" s="65" customFormat="1"/>
    <row r="1066" s="65" customFormat="1"/>
    <row r="1067" s="65" customFormat="1"/>
    <row r="1068" s="65" customFormat="1"/>
    <row r="1069" s="65" customFormat="1"/>
    <row r="1070" s="65" customFormat="1"/>
    <row r="1071" s="65" customFormat="1"/>
    <row r="1072" s="65" customFormat="1"/>
    <row r="1073" s="65" customFormat="1"/>
    <row r="1074" s="65" customFormat="1"/>
    <row r="1075" s="65" customFormat="1"/>
    <row r="1076" s="65" customFormat="1"/>
    <row r="1077" s="65" customFormat="1"/>
    <row r="1078" s="65" customFormat="1"/>
    <row r="1079" s="65" customFormat="1"/>
    <row r="1080" s="65" customFormat="1"/>
    <row r="1081" s="65" customFormat="1"/>
    <row r="1082" s="65" customFormat="1"/>
    <row r="1083" s="65" customFormat="1"/>
    <row r="1084" s="65" customFormat="1"/>
    <row r="1085" s="65" customFormat="1"/>
    <row r="1086" s="65" customFormat="1"/>
    <row r="1087" s="65" customFormat="1"/>
    <row r="1088" s="65" customFormat="1"/>
    <row r="1089" s="65" customFormat="1"/>
    <row r="1090" s="65" customFormat="1"/>
    <row r="1091" s="65" customFormat="1"/>
    <row r="1092" s="65" customFormat="1"/>
    <row r="1093" s="65" customFormat="1"/>
    <row r="1094" s="65" customFormat="1"/>
    <row r="1095" s="65" customFormat="1"/>
    <row r="1096" s="65" customFormat="1"/>
    <row r="1097" s="65" customFormat="1"/>
    <row r="1098" s="65" customFormat="1"/>
    <row r="1099" s="65" customFormat="1"/>
    <row r="1100" s="65" customFormat="1"/>
    <row r="1101" s="65" customFormat="1"/>
    <row r="1102" s="65" customFormat="1"/>
    <row r="1103" s="65" customFormat="1"/>
    <row r="1104" s="65" customFormat="1"/>
    <row r="1105" s="65" customFormat="1"/>
    <row r="1106" s="65" customFormat="1"/>
    <row r="1107" s="65" customFormat="1"/>
    <row r="1108" s="65" customFormat="1"/>
    <row r="1109" s="65" customFormat="1"/>
    <row r="1110" s="65" customFormat="1"/>
    <row r="1111" s="65" customFormat="1"/>
    <row r="1112" s="65" customFormat="1"/>
    <row r="1113" s="65" customFormat="1"/>
    <row r="1114" s="65" customFormat="1"/>
    <row r="1115" s="65" customFormat="1"/>
    <row r="1116" s="65" customFormat="1"/>
    <row r="1117" s="65" customFormat="1"/>
    <row r="1118" s="65" customFormat="1"/>
    <row r="1119" s="65" customFormat="1"/>
    <row r="1120" s="65" customFormat="1"/>
    <row r="1121" s="65" customFormat="1"/>
    <row r="1122" s="65" customFormat="1"/>
    <row r="1123" s="65" customFormat="1"/>
    <row r="1124" s="65" customFormat="1"/>
    <row r="1125" s="65" customFormat="1"/>
    <row r="1126" s="65" customFormat="1"/>
    <row r="1127" s="65" customFormat="1"/>
    <row r="1128" s="65" customFormat="1"/>
    <row r="1129" s="65" customFormat="1"/>
    <row r="1130" s="65" customFormat="1"/>
    <row r="1131" s="65" customFormat="1"/>
    <row r="1132" s="65" customFormat="1"/>
    <row r="1133" s="65" customFormat="1"/>
    <row r="1134" s="65" customFormat="1"/>
    <row r="1135" s="65" customFormat="1"/>
    <row r="1136" s="65" customFormat="1"/>
    <row r="1137" s="65" customFormat="1"/>
    <row r="1138" s="65" customFormat="1"/>
    <row r="1139" s="65" customFormat="1"/>
    <row r="1140" s="65" customFormat="1"/>
    <row r="1141" s="65" customFormat="1"/>
    <row r="1142" s="65" customFormat="1"/>
    <row r="1143" s="65" customFormat="1"/>
    <row r="1144" s="65" customFormat="1"/>
    <row r="1145" s="65" customFormat="1"/>
    <row r="1146" s="65" customFormat="1"/>
    <row r="1147" s="65" customFormat="1"/>
    <row r="1148" s="65" customFormat="1"/>
    <row r="1149" s="65" customFormat="1"/>
    <row r="1150" s="65" customFormat="1"/>
    <row r="1151" s="65" customFormat="1"/>
    <row r="1152" s="65" customFormat="1"/>
    <row r="1153" s="65" customFormat="1"/>
    <row r="1154" s="65" customFormat="1"/>
    <row r="1155" s="65" customFormat="1"/>
    <row r="1156" s="65" customFormat="1"/>
    <row r="1157" s="65" customFormat="1"/>
    <row r="1158" s="65" customFormat="1"/>
    <row r="1159" s="65" customFormat="1"/>
    <row r="1160" s="65" customFormat="1"/>
    <row r="1161" s="65" customFormat="1"/>
    <row r="1162" s="65" customFormat="1"/>
    <row r="1163" s="65" customFormat="1"/>
    <row r="1164" s="65" customFormat="1"/>
    <row r="1165" s="65" customFormat="1"/>
    <row r="1166" s="65" customFormat="1"/>
    <row r="1167" s="65" customFormat="1"/>
    <row r="1168" s="65" customFormat="1"/>
    <row r="1169" s="65" customFormat="1"/>
    <row r="1170" s="65" customFormat="1"/>
    <row r="1171" s="65" customFormat="1"/>
    <row r="1172" s="65" customFormat="1"/>
    <row r="1173" s="65" customFormat="1"/>
    <row r="1174" s="65" customFormat="1"/>
    <row r="1175" s="65" customFormat="1"/>
    <row r="1176" s="65" customFormat="1"/>
    <row r="1177" s="65" customFormat="1"/>
    <row r="1178" s="65" customFormat="1"/>
    <row r="1179" s="65" customFormat="1"/>
    <row r="1180" s="65" customFormat="1"/>
    <row r="1181" s="65" customFormat="1"/>
    <row r="1182" s="65" customFormat="1"/>
    <row r="1183" s="65" customFormat="1"/>
    <row r="1184" s="65" customFormat="1"/>
    <row r="1185" s="65" customFormat="1"/>
    <row r="1186" s="65" customFormat="1"/>
    <row r="1187" s="65" customFormat="1"/>
    <row r="1188" s="65" customFormat="1"/>
    <row r="1189" s="65" customFormat="1"/>
    <row r="1190" s="65" customFormat="1"/>
    <row r="1191" s="65" customFormat="1"/>
    <row r="1192" s="65" customFormat="1"/>
    <row r="1193" s="65" customFormat="1"/>
    <row r="1194" s="65" customFormat="1"/>
    <row r="1195" s="65" customFormat="1"/>
    <row r="1196" s="65" customFormat="1"/>
    <row r="1197" s="65" customFormat="1"/>
    <row r="1198" s="65" customFormat="1"/>
    <row r="1199" s="65" customFormat="1"/>
    <row r="1200" s="65" customFormat="1"/>
    <row r="1201" s="65" customFormat="1"/>
    <row r="1202" s="65" customFormat="1"/>
    <row r="1203" s="65" customFormat="1"/>
    <row r="1204" s="65" customFormat="1"/>
    <row r="1205" s="65" customFormat="1"/>
    <row r="1206" s="65" customFormat="1"/>
    <row r="1207" s="65" customFormat="1"/>
    <row r="1208" s="65" customFormat="1"/>
    <row r="1209" s="65" customFormat="1"/>
    <row r="1210" s="65" customFormat="1"/>
    <row r="1211" s="65" customFormat="1"/>
    <row r="1212" s="65" customFormat="1"/>
    <row r="1213" s="65" customFormat="1"/>
    <row r="1214" s="65" customFormat="1"/>
    <row r="1215" s="65" customFormat="1"/>
    <row r="1216" s="65" customFormat="1"/>
    <row r="1217" s="65" customFormat="1"/>
    <row r="1218" s="65" customFormat="1"/>
    <row r="1219" s="65" customFormat="1"/>
    <row r="1220" s="65" customFormat="1"/>
    <row r="1221" s="65" customFormat="1"/>
    <row r="1222" s="65" customFormat="1"/>
    <row r="1223" s="65" customFormat="1"/>
    <row r="1224" s="65" customFormat="1"/>
    <row r="1225" s="65" customFormat="1"/>
    <row r="1226" s="65" customFormat="1"/>
    <row r="1227" s="65" customFormat="1"/>
    <row r="1228" s="65" customFormat="1"/>
    <row r="1229" s="65" customFormat="1"/>
    <row r="1230" s="65" customFormat="1"/>
    <row r="1231" s="65" customFormat="1"/>
    <row r="1232" s="65" customFormat="1"/>
    <row r="1233" s="65" customFormat="1"/>
    <row r="1234" s="65" customFormat="1"/>
    <row r="1235" s="65" customFormat="1"/>
    <row r="1236" s="65" customFormat="1"/>
    <row r="1237" s="65" customFormat="1"/>
    <row r="1238" s="65" customFormat="1"/>
    <row r="1239" s="65" customFormat="1"/>
    <row r="1240" s="65" customFormat="1"/>
    <row r="1241" s="65" customFormat="1"/>
    <row r="1242" s="65" customFormat="1"/>
    <row r="1243" s="65" customFormat="1"/>
    <row r="1244" s="65" customFormat="1"/>
    <row r="1245" s="65" customFormat="1"/>
    <row r="1246" s="65" customFormat="1"/>
    <row r="1247" s="65" customFormat="1"/>
    <row r="1248" s="65" customFormat="1"/>
    <row r="1249" s="65" customFormat="1"/>
    <row r="1250" s="65" customFormat="1"/>
    <row r="1251" s="65" customFormat="1"/>
    <row r="1252" s="65" customFormat="1"/>
    <row r="1253" s="65" customFormat="1"/>
    <row r="1254" s="65" customFormat="1"/>
    <row r="1255" s="65" customFormat="1"/>
    <row r="1256" s="65" customFormat="1"/>
    <row r="1257" s="65" customFormat="1"/>
    <row r="1258" s="65" customFormat="1"/>
    <row r="1259" s="65" customFormat="1"/>
    <row r="1260" s="65" customFormat="1"/>
    <row r="1261" s="65" customFormat="1"/>
    <row r="1262" s="65" customFormat="1"/>
    <row r="1263" s="65" customFormat="1"/>
    <row r="1264" s="65" customFormat="1"/>
    <row r="1265" s="65" customFormat="1"/>
    <row r="1266" s="65" customFormat="1"/>
    <row r="1267" s="65" customFormat="1"/>
    <row r="1268" s="65" customFormat="1"/>
    <row r="1269" s="65" customFormat="1"/>
    <row r="1270" s="65" customFormat="1"/>
    <row r="1271" s="65" customFormat="1"/>
    <row r="1272" s="65" customFormat="1"/>
    <row r="1273" s="65" customFormat="1"/>
    <row r="1274" s="65" customFormat="1"/>
    <row r="1275" s="65" customFormat="1"/>
    <row r="1276" s="65" customFormat="1"/>
    <row r="1277" s="65" customFormat="1"/>
    <row r="1278" s="65" customFormat="1"/>
    <row r="1279" s="65" customFormat="1"/>
    <row r="1280" s="65" customFormat="1"/>
    <row r="1281" s="65" customFormat="1"/>
    <row r="1282" s="65" customFormat="1"/>
    <row r="1283" s="65" customFormat="1"/>
    <row r="1284" s="65" customFormat="1"/>
    <row r="1285" s="65" customFormat="1"/>
    <row r="1286" s="65" customFormat="1"/>
    <row r="1287" s="65" customFormat="1"/>
    <row r="1288" s="65" customFormat="1"/>
    <row r="1289" s="65" customFormat="1"/>
    <row r="1290" s="65" customFormat="1"/>
    <row r="1291" s="65" customFormat="1"/>
    <row r="1292" s="65" customFormat="1"/>
    <row r="1293" s="65" customFormat="1"/>
    <row r="1294" s="65" customFormat="1"/>
    <row r="1295" s="65" customFormat="1"/>
    <row r="1296" s="65" customFormat="1"/>
    <row r="1297" s="65" customFormat="1"/>
    <row r="1298" s="65" customFormat="1"/>
    <row r="1299" s="65" customFormat="1"/>
    <row r="1300" s="65" customFormat="1"/>
    <row r="1301" s="65" customFormat="1"/>
    <row r="1302" s="65" customFormat="1"/>
    <row r="1303" s="65" customFormat="1"/>
    <row r="1304" s="65" customFormat="1"/>
    <row r="1305" s="65" customFormat="1"/>
    <row r="1306" s="65" customFormat="1"/>
    <row r="1307" s="65" customFormat="1"/>
    <row r="1308" s="65" customFormat="1"/>
    <row r="1309" s="65" customFormat="1"/>
    <row r="1310" s="65" customFormat="1"/>
    <row r="1311" s="65" customFormat="1"/>
    <row r="1312" s="65" customFormat="1"/>
    <row r="1313" s="65" customFormat="1"/>
    <row r="1314" s="65" customFormat="1"/>
    <row r="1315" s="65" customFormat="1"/>
    <row r="1316" s="65" customFormat="1"/>
    <row r="1317" s="65" customFormat="1"/>
    <row r="1318" s="65" customFormat="1"/>
    <row r="1319" s="65" customFormat="1"/>
    <row r="1320" s="65" customFormat="1"/>
    <row r="1321" s="65" customFormat="1"/>
    <row r="1322" s="65" customFormat="1"/>
    <row r="1323" s="65" customFormat="1"/>
    <row r="1324" s="65" customFormat="1"/>
    <row r="1325" s="65" customFormat="1"/>
    <row r="1326" s="65" customFormat="1"/>
    <row r="1327" s="65" customFormat="1"/>
    <row r="1328" s="65" customFormat="1"/>
    <row r="1329" s="65" customFormat="1"/>
    <row r="1330" s="65" customFormat="1"/>
    <row r="1331" s="65" customFormat="1"/>
    <row r="1332" s="65" customFormat="1"/>
    <row r="1333" s="65" customFormat="1"/>
    <row r="1334" s="65" customFormat="1"/>
    <row r="1335" s="65" customFormat="1"/>
    <row r="1336" s="65" customFormat="1"/>
    <row r="1337" s="65" customFormat="1"/>
    <row r="1338" s="65" customFormat="1"/>
    <row r="1339" s="65" customFormat="1"/>
    <row r="1340" s="65" customFormat="1"/>
    <row r="1341" s="65" customFormat="1"/>
    <row r="1342" s="65" customFormat="1"/>
    <row r="1343" s="65" customFormat="1"/>
    <row r="1344" s="65" customFormat="1"/>
    <row r="1345" s="65" customFormat="1"/>
    <row r="1346" s="65" customFormat="1"/>
    <row r="1347" s="65" customFormat="1"/>
    <row r="1348" s="65" customFormat="1"/>
    <row r="1349" s="65" customFormat="1"/>
    <row r="1350" s="65" customFormat="1"/>
    <row r="1351" s="65" customFormat="1"/>
    <row r="1352" s="65" customFormat="1"/>
    <row r="1353" s="65" customFormat="1"/>
    <row r="1354" s="65" customFormat="1"/>
    <row r="1355" s="65" customFormat="1"/>
    <row r="1356" s="65" customFormat="1"/>
    <row r="1357" s="65" customFormat="1"/>
    <row r="1358" s="65" customFormat="1"/>
    <row r="1359" s="65" customFormat="1"/>
    <row r="1360" s="65" customFormat="1"/>
    <row r="1361" s="65" customFormat="1"/>
    <row r="1362" s="65" customFormat="1"/>
    <row r="1363" s="65" customFormat="1"/>
    <row r="1364" s="65" customFormat="1"/>
    <row r="1365" s="65" customFormat="1"/>
    <row r="1366" s="65" customFormat="1"/>
    <row r="1367" s="65" customFormat="1"/>
    <row r="1368" s="65" customFormat="1"/>
    <row r="1369" s="65" customFormat="1"/>
    <row r="1370" s="65" customFormat="1"/>
    <row r="1371" s="65" customFormat="1"/>
    <row r="1372" s="65" customFormat="1"/>
    <row r="1373" s="65" customFormat="1"/>
    <row r="1374" s="65" customFormat="1"/>
    <row r="1375" s="65" customFormat="1"/>
    <row r="1376" s="65" customFormat="1"/>
    <row r="1377" s="65" customFormat="1"/>
    <row r="1378" s="65" customFormat="1"/>
    <row r="1379" s="65" customFormat="1"/>
    <row r="1380" s="65" customFormat="1"/>
    <row r="1381" s="65" customFormat="1"/>
    <row r="1382" s="65" customFormat="1"/>
    <row r="1383" s="65" customFormat="1"/>
    <row r="1384" s="65" customFormat="1"/>
    <row r="1385" s="65" customFormat="1"/>
    <row r="1386" s="65" customFormat="1"/>
    <row r="1387" s="65" customFormat="1"/>
    <row r="1388" s="65" customFormat="1"/>
    <row r="1389" s="65" customFormat="1"/>
    <row r="1390" s="65" customFormat="1"/>
    <row r="1391" s="65" customFormat="1"/>
    <row r="1392" s="65" customFormat="1"/>
    <row r="1393" s="65" customFormat="1"/>
    <row r="1394" s="65" customFormat="1"/>
    <row r="1395" s="65" customFormat="1"/>
    <row r="1396" s="65" customFormat="1"/>
    <row r="1397" s="65" customFormat="1"/>
    <row r="1398" s="65" customFormat="1"/>
    <row r="1399" s="65" customFormat="1"/>
    <row r="1400" s="65" customFormat="1"/>
    <row r="1401" s="65" customFormat="1"/>
    <row r="1402" s="65" customFormat="1"/>
    <row r="1403" s="65" customFormat="1"/>
    <row r="1404" s="65" customFormat="1"/>
    <row r="1405" s="65" customFormat="1"/>
    <row r="1406" s="65" customFormat="1"/>
    <row r="1407" s="65" customFormat="1"/>
    <row r="1408" s="65" customFormat="1"/>
    <row r="1409" s="65" customFormat="1"/>
    <row r="1410" s="65" customFormat="1"/>
    <row r="1411" s="65" customFormat="1"/>
    <row r="1412" s="65" customFormat="1"/>
    <row r="1413" s="65" customFormat="1"/>
    <row r="1414" s="65" customFormat="1"/>
    <row r="1415" s="65" customFormat="1"/>
    <row r="1416" s="65" customFormat="1"/>
    <row r="1417" s="65" customFormat="1"/>
    <row r="1418" s="65" customFormat="1"/>
    <row r="1419" s="65" customFormat="1"/>
    <row r="1420" s="65" customFormat="1"/>
    <row r="1421" s="65" customFormat="1"/>
    <row r="1422" s="65" customFormat="1"/>
    <row r="1423" s="65" customFormat="1"/>
    <row r="1424" s="65" customFormat="1"/>
    <row r="1425" s="65" customFormat="1"/>
    <row r="1426" s="65" customFormat="1"/>
    <row r="1427" s="65" customFormat="1"/>
    <row r="1428" s="65" customFormat="1"/>
    <row r="1429" s="65" customFormat="1"/>
    <row r="1430" s="65" customFormat="1"/>
    <row r="1431" s="65" customFormat="1"/>
    <row r="1432" s="65" customFormat="1"/>
    <row r="1433" s="65" customFormat="1"/>
    <row r="1434" s="65" customFormat="1"/>
    <row r="1435" s="65" customFormat="1"/>
    <row r="1436" s="65" customFormat="1"/>
    <row r="1437" s="65" customFormat="1"/>
    <row r="1438" s="65" customFormat="1"/>
    <row r="1439" s="65" customFormat="1"/>
    <row r="1440" s="65" customFormat="1"/>
    <row r="1441" s="65" customFormat="1"/>
    <row r="1442" s="65" customFormat="1"/>
    <row r="1443" s="65" customFormat="1"/>
    <row r="1444" s="65" customFormat="1"/>
    <row r="1445" s="65" customFormat="1"/>
    <row r="1446" s="65" customFormat="1"/>
    <row r="1447" s="65" customFormat="1"/>
    <row r="1448" s="65" customFormat="1"/>
    <row r="1449" s="65" customFormat="1"/>
    <row r="1450" s="65" customFormat="1"/>
    <row r="1451" s="65" customFormat="1"/>
    <row r="1452" s="65" customFormat="1"/>
    <row r="1453" s="65" customFormat="1"/>
    <row r="1454" s="65" customFormat="1"/>
    <row r="1455" s="65" customFormat="1"/>
    <row r="1456" s="65" customFormat="1"/>
    <row r="1457" s="65" customFormat="1"/>
    <row r="1458" s="65" customFormat="1"/>
    <row r="1459" s="65" customFormat="1"/>
    <row r="1460" s="65" customFormat="1"/>
    <row r="1461" s="65" customFormat="1"/>
    <row r="1462" s="65" customFormat="1"/>
    <row r="1463" s="65" customFormat="1"/>
    <row r="1464" s="65" customFormat="1"/>
    <row r="1465" s="65" customFormat="1"/>
    <row r="1466" s="65" customFormat="1"/>
    <row r="1467" s="65" customFormat="1"/>
    <row r="1468" s="65" customFormat="1"/>
    <row r="1469" s="65" customFormat="1"/>
    <row r="1470" s="65" customFormat="1"/>
    <row r="1471" s="65" customFormat="1"/>
    <row r="1472" s="65" customFormat="1"/>
    <row r="1473" s="65" customFormat="1"/>
    <row r="1474" s="65" customFormat="1"/>
    <row r="1475" s="65" customFormat="1"/>
    <row r="1476" s="65" customFormat="1"/>
    <row r="1477" s="65" customFormat="1"/>
    <row r="1478" s="65" customFormat="1"/>
    <row r="1479" s="65" customFormat="1"/>
    <row r="1480" s="65" customFormat="1"/>
    <row r="1481" s="65" customFormat="1"/>
    <row r="1482" s="65" customFormat="1"/>
    <row r="1483" s="65" customFormat="1"/>
    <row r="1484" s="65" customFormat="1"/>
    <row r="1485" s="65" customFormat="1"/>
    <row r="1486" s="65" customFormat="1"/>
    <row r="1487" s="65" customFormat="1"/>
    <row r="1488" s="65" customFormat="1"/>
    <row r="1489" s="65" customFormat="1"/>
    <row r="1490" s="65" customFormat="1"/>
    <row r="1491" s="65" customFormat="1"/>
    <row r="1492" s="65" customFormat="1"/>
    <row r="1493" s="65" customFormat="1"/>
    <row r="1494" s="65" customFormat="1"/>
    <row r="1495" s="65" customFormat="1"/>
    <row r="1496" s="65" customFormat="1"/>
    <row r="1497" s="65" customFormat="1"/>
    <row r="1498" s="65" customFormat="1"/>
    <row r="1499" s="65" customFormat="1"/>
    <row r="1500" s="65" customFormat="1"/>
    <row r="1501" s="65" customFormat="1"/>
    <row r="1502" s="65" customFormat="1"/>
    <row r="1503" s="65" customFormat="1"/>
    <row r="1504" s="65" customFormat="1"/>
    <row r="1505" s="65" customFormat="1"/>
    <row r="1506" s="65" customFormat="1"/>
    <row r="1507" s="65" customFormat="1"/>
    <row r="1508" s="65" customFormat="1"/>
    <row r="1509" s="65" customFormat="1"/>
    <row r="1510" s="65" customFormat="1"/>
    <row r="1511" s="65" customFormat="1"/>
    <row r="1512" s="65" customFormat="1"/>
    <row r="1513" s="65" customFormat="1"/>
    <row r="1514" s="65" customFormat="1"/>
    <row r="1515" s="65" customFormat="1"/>
    <row r="1516" s="65" customFormat="1"/>
    <row r="1517" s="65" customFormat="1"/>
    <row r="1518" s="65" customFormat="1"/>
    <row r="1519" s="65" customFormat="1"/>
    <row r="1520" s="65" customFormat="1"/>
    <row r="1521" s="65" customFormat="1"/>
    <row r="1522" s="65" customFormat="1"/>
    <row r="1523" s="65" customFormat="1"/>
    <row r="1524" s="65" customFormat="1"/>
    <row r="1525" s="65" customFormat="1"/>
    <row r="1526" s="65" customFormat="1"/>
    <row r="1527" s="65" customFormat="1"/>
    <row r="1528" s="65" customFormat="1"/>
    <row r="1529" s="65" customFormat="1"/>
    <row r="1530" s="65" customFormat="1"/>
    <row r="1531" s="65" customFormat="1"/>
    <row r="1532" s="65" customFormat="1"/>
    <row r="1533" s="65" customFormat="1"/>
    <row r="1534" s="65" customFormat="1"/>
    <row r="1535" s="65" customFormat="1"/>
    <row r="1536" s="65" customFormat="1"/>
    <row r="1537" s="65" customFormat="1"/>
    <row r="1538" s="65" customFormat="1"/>
    <row r="1539" s="65" customFormat="1"/>
    <row r="1540" s="65" customFormat="1"/>
    <row r="1541" s="65" customFormat="1"/>
    <row r="1542" s="65" customFormat="1"/>
    <row r="1543" s="65" customFormat="1"/>
    <row r="1544" s="65" customFormat="1"/>
    <row r="1545" s="65" customFormat="1"/>
    <row r="1546" s="65" customFormat="1"/>
    <row r="1547" s="65" customFormat="1"/>
    <row r="1548" s="65" customFormat="1"/>
    <row r="1549" s="65" customFormat="1"/>
    <row r="1550" s="65" customFormat="1"/>
    <row r="1551" s="65" customFormat="1"/>
    <row r="1552" s="65" customFormat="1"/>
    <row r="1553" s="65" customFormat="1"/>
    <row r="1554" s="65" customFormat="1"/>
    <row r="1555" s="65" customFormat="1"/>
    <row r="1556" s="65" customFormat="1"/>
    <row r="1557" s="65" customFormat="1"/>
    <row r="1558" s="65" customFormat="1"/>
    <row r="1559" s="65" customFormat="1"/>
    <row r="1560" s="65" customFormat="1"/>
    <row r="1561" s="65" customFormat="1"/>
    <row r="1562" s="65" customFormat="1"/>
    <row r="1563" s="65" customFormat="1"/>
    <row r="1564" s="65" customFormat="1"/>
    <row r="1565" s="65" customFormat="1"/>
    <row r="1566" s="65" customFormat="1"/>
    <row r="1567" s="65" customFormat="1"/>
    <row r="1568" s="65" customFormat="1"/>
    <row r="1569" s="65" customFormat="1"/>
    <row r="1570" s="65" customFormat="1"/>
    <row r="1571" s="65" customFormat="1"/>
    <row r="1572" s="65" customFormat="1"/>
    <row r="1573" s="65" customFormat="1"/>
    <row r="1574" s="65" customFormat="1"/>
    <row r="1575" s="65" customFormat="1"/>
    <row r="1576" s="65" customFormat="1"/>
    <row r="1577" s="65" customFormat="1"/>
    <row r="1578" s="65" customFormat="1"/>
    <row r="1579" s="65" customFormat="1"/>
    <row r="1580" s="65" customFormat="1"/>
    <row r="1581" s="65" customFormat="1"/>
    <row r="1582" s="65" customFormat="1"/>
    <row r="1583" s="65" customFormat="1"/>
    <row r="1584" s="65" customFormat="1"/>
    <row r="1585" s="65" customFormat="1"/>
    <row r="1586" s="65" customFormat="1"/>
    <row r="1587" s="65" customFormat="1"/>
    <row r="1588" s="65" customFormat="1"/>
    <row r="1589" s="65" customFormat="1"/>
    <row r="1590" s="65" customFormat="1"/>
    <row r="1591" s="65" customFormat="1"/>
    <row r="1592" s="65" customFormat="1"/>
    <row r="1593" s="65" customFormat="1"/>
    <row r="1594" s="65" customFormat="1"/>
    <row r="1595" s="65" customFormat="1"/>
    <row r="1596" s="65" customFormat="1"/>
    <row r="1597" s="65" customFormat="1"/>
    <row r="1598" s="65" customFormat="1"/>
    <row r="1599" s="65" customFormat="1"/>
    <row r="1600" s="65" customFormat="1"/>
    <row r="1601" s="65" customFormat="1"/>
    <row r="1602" s="65" customFormat="1"/>
    <row r="1603" s="65" customFormat="1"/>
    <row r="1604" s="65" customFormat="1"/>
    <row r="1605" s="65" customFormat="1"/>
    <row r="1606" s="65" customFormat="1"/>
    <row r="1607" s="65" customFormat="1"/>
    <row r="1608" s="65" customFormat="1"/>
    <row r="1609" s="65" customFormat="1"/>
    <row r="1610" s="65" customFormat="1"/>
    <row r="1611" s="65" customFormat="1"/>
    <row r="1612" s="65" customFormat="1"/>
    <row r="1613" s="65" customFormat="1"/>
    <row r="1614" s="65" customFormat="1"/>
    <row r="1615" s="65" customFormat="1"/>
    <row r="1616" s="65" customFormat="1"/>
    <row r="1617" s="65" customFormat="1"/>
    <row r="1618" s="65" customFormat="1"/>
    <row r="1619" s="65" customFormat="1"/>
    <row r="1620" s="65" customFormat="1"/>
    <row r="1621" s="65" customFormat="1"/>
    <row r="1622" s="65" customFormat="1"/>
    <row r="1623" s="65" customFormat="1"/>
    <row r="1624" s="65" customFormat="1"/>
    <row r="1625" s="65" customFormat="1"/>
    <row r="1626" s="65" customFormat="1"/>
    <row r="1627" s="65" customFormat="1"/>
    <row r="1628" s="65" customFormat="1"/>
    <row r="1629" s="65" customFormat="1"/>
    <row r="1630" s="65" customFormat="1"/>
    <row r="1631" s="65" customFormat="1"/>
    <row r="1632" s="65" customFormat="1"/>
    <row r="1633" s="65" customFormat="1"/>
    <row r="1634" s="65" customFormat="1"/>
    <row r="1635" s="65" customFormat="1"/>
    <row r="1636" s="65" customFormat="1"/>
    <row r="1637" s="65" customFormat="1"/>
    <row r="1638" s="65" customFormat="1"/>
    <row r="1639" s="65" customFormat="1"/>
    <row r="1640" s="65" customFormat="1"/>
    <row r="1641" s="65" customFormat="1"/>
    <row r="1642" s="65" customFormat="1"/>
    <row r="1643" s="65" customFormat="1"/>
    <row r="1644" s="65" customFormat="1"/>
    <row r="1645" s="65" customFormat="1"/>
    <row r="1646" s="65" customFormat="1"/>
    <row r="1647" s="65" customFormat="1"/>
    <row r="1648" s="65" customFormat="1"/>
    <row r="1649" s="65" customFormat="1"/>
    <row r="1650" s="65" customFormat="1"/>
    <row r="1651" s="65" customFormat="1"/>
    <row r="1652" s="65" customFormat="1"/>
    <row r="1653" s="65" customFormat="1"/>
    <row r="1654" s="65" customFormat="1"/>
    <row r="1655" s="65" customFormat="1"/>
    <row r="1656" s="65" customFormat="1"/>
    <row r="1657" s="65" customFormat="1"/>
    <row r="1658" s="65" customFormat="1"/>
    <row r="1659" s="65" customFormat="1"/>
    <row r="1660" s="65" customFormat="1"/>
    <row r="1661" s="65" customFormat="1"/>
    <row r="1662" s="65" customFormat="1"/>
    <row r="1663" s="65" customFormat="1"/>
    <row r="1664" s="65" customFormat="1"/>
    <row r="1665" s="65" customFormat="1"/>
    <row r="1666" s="65" customFormat="1"/>
    <row r="1667" s="65" customFormat="1"/>
    <row r="1668" s="65" customFormat="1"/>
    <row r="1669" s="65" customFormat="1"/>
    <row r="1670" s="65" customFormat="1"/>
    <row r="1671" s="65" customFormat="1"/>
    <row r="1672" s="65" customFormat="1"/>
    <row r="1673" s="65" customFormat="1"/>
    <row r="1674" s="65" customFormat="1"/>
    <row r="1675" s="65" customFormat="1"/>
    <row r="1676" s="65" customFormat="1"/>
    <row r="1677" s="65" customFormat="1"/>
    <row r="1678" s="65" customFormat="1"/>
    <row r="1679" s="65" customFormat="1"/>
    <row r="1680" s="65" customFormat="1"/>
    <row r="1681" s="65" customFormat="1"/>
    <row r="1682" s="65" customFormat="1"/>
    <row r="1683" s="65" customFormat="1"/>
    <row r="1684" s="65" customFormat="1"/>
    <row r="1685" s="65" customFormat="1"/>
    <row r="1686" s="65" customFormat="1"/>
    <row r="1687" s="65" customFormat="1"/>
    <row r="1688" s="65" customFormat="1"/>
    <row r="1689" s="65" customFormat="1"/>
    <row r="1690" s="65" customFormat="1"/>
    <row r="1691" s="65" customFormat="1"/>
    <row r="1692" s="65" customFormat="1"/>
    <row r="1693" s="65" customFormat="1"/>
    <row r="1694" s="65" customFormat="1"/>
    <row r="1695" s="65" customFormat="1"/>
    <row r="1696" s="65" customFormat="1"/>
    <row r="1697" s="65" customFormat="1"/>
    <row r="1698" s="65" customFormat="1"/>
    <row r="1699" s="65" customFormat="1"/>
    <row r="1700" s="65" customFormat="1"/>
    <row r="1701" s="65" customFormat="1"/>
    <row r="1702" s="65" customFormat="1"/>
    <row r="1703" s="65" customFormat="1"/>
    <row r="1704" s="65" customFormat="1"/>
    <row r="1705" s="65" customFormat="1"/>
    <row r="1706" s="65" customFormat="1"/>
    <row r="1707" s="65" customFormat="1"/>
    <row r="1708" s="65" customFormat="1"/>
    <row r="1709" s="65" customFormat="1"/>
    <row r="1710" s="65" customFormat="1"/>
    <row r="1711" s="65" customFormat="1"/>
    <row r="1712" s="65" customFormat="1"/>
    <row r="1713" s="65" customFormat="1"/>
    <row r="1714" s="65" customFormat="1"/>
    <row r="1715" s="65" customFormat="1"/>
    <row r="1716" s="65" customFormat="1"/>
    <row r="1717" s="65" customFormat="1"/>
    <row r="1718" s="65" customFormat="1"/>
    <row r="1719" s="65" customFormat="1"/>
    <row r="1720" s="65" customFormat="1"/>
    <row r="1721" s="65" customFormat="1"/>
    <row r="1722" s="65" customFormat="1"/>
    <row r="1723" s="65" customFormat="1"/>
    <row r="1724" s="65" customFormat="1"/>
    <row r="1725" s="65" customFormat="1"/>
    <row r="1726" s="65" customFormat="1"/>
    <row r="1727" s="65" customFormat="1"/>
    <row r="1728" s="65" customFormat="1"/>
    <row r="1729" s="65" customFormat="1"/>
    <row r="1730" s="65" customFormat="1"/>
    <row r="1731" s="65" customFormat="1"/>
    <row r="1732" s="65" customFormat="1"/>
    <row r="1733" s="65" customFormat="1"/>
    <row r="1734" s="65" customFormat="1"/>
    <row r="1735" s="65" customFormat="1"/>
    <row r="1736" s="65" customFormat="1"/>
    <row r="1737" s="65" customFormat="1"/>
    <row r="1738" s="65" customFormat="1"/>
    <row r="1739" s="65" customFormat="1"/>
    <row r="1740" s="65" customFormat="1"/>
    <row r="1741" s="65" customFormat="1"/>
    <row r="1742" s="65" customFormat="1"/>
    <row r="1743" s="65" customFormat="1"/>
    <row r="1744" s="65" customFormat="1"/>
    <row r="1745" s="65" customFormat="1"/>
    <row r="1746" s="65" customFormat="1"/>
    <row r="1747" s="65" customFormat="1"/>
    <row r="1748" s="65" customFormat="1"/>
    <row r="1749" s="65" customFormat="1"/>
    <row r="1750" s="65" customFormat="1"/>
    <row r="1751" s="65" customFormat="1"/>
    <row r="1752" s="65" customFormat="1"/>
    <row r="1753" s="65" customFormat="1"/>
    <row r="1754" s="65" customFormat="1"/>
    <row r="1755" s="65" customFormat="1"/>
    <row r="1756" s="65" customFormat="1"/>
    <row r="1757" s="65" customFormat="1"/>
    <row r="1758" s="65" customFormat="1"/>
    <row r="1759" s="65" customFormat="1"/>
    <row r="1760" s="65" customFormat="1"/>
    <row r="1761" s="65" customFormat="1"/>
    <row r="1762" s="65" customFormat="1"/>
    <row r="1763" s="65" customFormat="1"/>
    <row r="1764" s="65" customFormat="1"/>
    <row r="1765" s="65" customFormat="1"/>
    <row r="1766" s="65" customFormat="1"/>
    <row r="1767" s="65" customFormat="1"/>
    <row r="1768" s="65" customFormat="1"/>
    <row r="1769" s="65" customFormat="1"/>
    <row r="1770" s="65" customFormat="1"/>
    <row r="1771" s="65" customFormat="1"/>
    <row r="1772" s="65" customFormat="1"/>
    <row r="1773" s="65" customFormat="1"/>
    <row r="1774" s="65" customFormat="1"/>
    <row r="1775" s="65" customFormat="1"/>
    <row r="1776" s="65" customFormat="1"/>
    <row r="1777" s="65" customFormat="1"/>
    <row r="1778" s="65" customFormat="1"/>
    <row r="1779" s="65" customFormat="1"/>
    <row r="1780" s="65" customFormat="1"/>
    <row r="1781" s="65" customFormat="1"/>
    <row r="1782" s="65" customFormat="1"/>
    <row r="1783" s="65" customFormat="1"/>
    <row r="1784" s="65" customFormat="1"/>
    <row r="1785" s="65" customFormat="1"/>
    <row r="1786" s="65" customFormat="1"/>
    <row r="1787" s="65" customFormat="1"/>
    <row r="1788" s="65" customFormat="1"/>
    <row r="1789" s="65" customFormat="1"/>
    <row r="1790" s="65" customFormat="1"/>
    <row r="1791" s="65" customFormat="1"/>
    <row r="1792" s="65" customFormat="1"/>
    <row r="1793" s="65" customFormat="1"/>
    <row r="1794" s="65" customFormat="1"/>
    <row r="1795" s="65" customFormat="1"/>
    <row r="1796" s="65" customFormat="1"/>
    <row r="1797" s="65" customFormat="1"/>
    <row r="1798" s="65" customFormat="1"/>
    <row r="1799" s="65" customFormat="1"/>
    <row r="1800" s="65" customFormat="1"/>
    <row r="1801" s="65" customFormat="1"/>
    <row r="1802" s="65" customFormat="1"/>
    <row r="1803" s="65" customFormat="1"/>
    <row r="1804" s="65" customFormat="1"/>
    <row r="1805" s="65" customFormat="1"/>
    <row r="1806" s="65" customFormat="1"/>
    <row r="1807" s="65" customFormat="1"/>
    <row r="1808" s="65" customFormat="1"/>
    <row r="1809" s="65" customFormat="1"/>
    <row r="1810" s="65" customFormat="1"/>
    <row r="1811" s="65" customFormat="1"/>
    <row r="1812" s="65" customFormat="1"/>
    <row r="1813" s="65" customFormat="1"/>
    <row r="1814" s="65" customFormat="1"/>
    <row r="1815" s="65" customFormat="1"/>
    <row r="1816" s="65" customFormat="1"/>
    <row r="1817" s="65" customFormat="1"/>
    <row r="1818" s="65" customFormat="1"/>
    <row r="1819" s="65" customFormat="1"/>
    <row r="1820" s="65" customFormat="1"/>
    <row r="1821" s="65" customFormat="1"/>
    <row r="1822" s="65" customFormat="1"/>
    <row r="1823" s="65" customFormat="1"/>
    <row r="1824" s="65" customFormat="1"/>
    <row r="1825" s="65" customFormat="1"/>
    <row r="1826" s="65" customFormat="1"/>
    <row r="1827" s="65" customFormat="1"/>
    <row r="1828" s="65" customFormat="1"/>
    <row r="1829" s="65" customFormat="1"/>
    <row r="1830" s="65" customFormat="1"/>
    <row r="1831" s="65" customFormat="1"/>
    <row r="1832" s="65" customFormat="1"/>
    <row r="1833" s="65" customFormat="1"/>
    <row r="1834" s="65" customFormat="1"/>
    <row r="1835" s="65" customFormat="1"/>
    <row r="1836" s="65" customFormat="1"/>
    <row r="1837" s="65" customFormat="1"/>
    <row r="1838" s="65" customFormat="1"/>
    <row r="1839" s="65" customFormat="1"/>
    <row r="1840" s="65" customFormat="1"/>
    <row r="1841" s="65" customFormat="1"/>
    <row r="1842" s="65" customFormat="1"/>
    <row r="1843" s="65" customFormat="1"/>
    <row r="1844" s="65" customFormat="1"/>
    <row r="1845" s="65" customFormat="1"/>
    <row r="1846" s="65" customFormat="1"/>
    <row r="1847" s="65" customFormat="1"/>
    <row r="1848" s="65" customFormat="1"/>
    <row r="1849" s="65" customFormat="1"/>
    <row r="1850" s="65" customFormat="1"/>
    <row r="1851" s="65" customFormat="1"/>
    <row r="1852" s="65" customFormat="1"/>
    <row r="1853" s="65" customFormat="1"/>
    <row r="1854" s="65" customFormat="1"/>
    <row r="1855" s="65" customFormat="1"/>
    <row r="1856" s="65" customFormat="1"/>
    <row r="1857" s="65" customFormat="1"/>
    <row r="1858" s="65" customFormat="1"/>
    <row r="1859" s="65" customFormat="1"/>
    <row r="1860" s="65" customFormat="1"/>
    <row r="1861" s="65" customFormat="1"/>
    <row r="1862" s="65" customFormat="1"/>
    <row r="1863" s="65" customFormat="1"/>
    <row r="1864" s="65" customFormat="1"/>
    <row r="1865" s="65" customFormat="1"/>
    <row r="1866" s="65" customFormat="1"/>
    <row r="1867" s="65" customFormat="1"/>
    <row r="1868" s="65" customFormat="1"/>
    <row r="1869" s="65" customFormat="1"/>
    <row r="1870" s="65" customFormat="1"/>
    <row r="1871" s="65" customFormat="1"/>
    <row r="1872" s="65" customFormat="1"/>
    <row r="1873" s="65" customFormat="1"/>
    <row r="1874" s="65" customFormat="1"/>
    <row r="1875" s="65" customFormat="1"/>
    <row r="1876" s="65" customFormat="1"/>
    <row r="1877" s="65" customFormat="1"/>
    <row r="1878" s="65" customFormat="1"/>
    <row r="1879" s="65" customFormat="1"/>
    <row r="1880" s="65" customFormat="1"/>
    <row r="1881" s="65" customFormat="1"/>
    <row r="1882" s="65" customFormat="1"/>
    <row r="1883" s="65" customFormat="1"/>
    <row r="1884" s="65" customFormat="1"/>
    <row r="1885" s="65" customFormat="1"/>
    <row r="1886" s="65" customFormat="1"/>
    <row r="1887" s="65" customFormat="1"/>
    <row r="1888" s="65" customFormat="1"/>
    <row r="1889" s="65" customFormat="1"/>
    <row r="1890" s="65" customFormat="1"/>
    <row r="1891" s="65" customFormat="1"/>
    <row r="1892" s="65" customFormat="1"/>
    <row r="1893" s="65" customFormat="1"/>
    <row r="1894" s="65" customFormat="1"/>
    <row r="1895" s="65" customFormat="1"/>
    <row r="1896" s="65" customFormat="1"/>
    <row r="1897" s="65" customFormat="1"/>
    <row r="1898" s="65" customFormat="1"/>
    <row r="1899" s="65" customFormat="1"/>
    <row r="1900" s="65" customFormat="1"/>
    <row r="1901" s="65" customFormat="1"/>
    <row r="1902" s="65" customFormat="1"/>
    <row r="1903" s="65" customFormat="1"/>
    <row r="1904" s="65" customFormat="1"/>
    <row r="1905" s="65" customFormat="1"/>
    <row r="1906" s="65" customFormat="1"/>
    <row r="1907" s="65" customFormat="1"/>
    <row r="1908" s="65" customFormat="1"/>
    <row r="1909" s="65" customFormat="1"/>
    <row r="1910" s="65" customFormat="1"/>
    <row r="1911" s="65" customFormat="1"/>
    <row r="1912" s="65" customFormat="1"/>
    <row r="1913" s="65" customFormat="1"/>
    <row r="1914" s="65" customFormat="1"/>
    <row r="1915" s="65" customFormat="1"/>
    <row r="1916" s="65" customFormat="1"/>
    <row r="1917" s="65" customFormat="1"/>
    <row r="1918" s="65" customFormat="1"/>
    <row r="1919" s="65" customFormat="1"/>
    <row r="1920" s="65" customFormat="1"/>
    <row r="1921" s="65" customFormat="1"/>
    <row r="1922" s="65" customFormat="1"/>
    <row r="1923" s="65" customFormat="1"/>
    <row r="1924" s="65" customFormat="1"/>
    <row r="1925" s="65" customFormat="1"/>
    <row r="1926" s="65" customFormat="1"/>
    <row r="1927" s="65" customFormat="1"/>
    <row r="1928" s="65" customFormat="1"/>
    <row r="1929" s="65" customFormat="1"/>
    <row r="1930" s="65" customFormat="1"/>
    <row r="1931" s="65" customFormat="1"/>
    <row r="1932" s="65" customFormat="1"/>
    <row r="1933" s="65" customFormat="1"/>
    <row r="1934" s="65" customFormat="1"/>
    <row r="1935" s="65" customFormat="1"/>
    <row r="1936" s="65" customFormat="1"/>
    <row r="1937" s="65" customFormat="1"/>
    <row r="1938" s="65" customFormat="1"/>
    <row r="1939" s="65" customFormat="1"/>
    <row r="1940" s="65" customFormat="1"/>
    <row r="1941" s="65" customFormat="1"/>
    <row r="1942" s="65" customFormat="1"/>
    <row r="1943" s="65" customFormat="1"/>
    <row r="1944" s="65" customFormat="1"/>
    <row r="1945" s="65" customFormat="1"/>
    <row r="1946" s="65" customFormat="1"/>
    <row r="1947" s="65" customFormat="1"/>
    <row r="1948" s="65" customFormat="1"/>
    <row r="1949" s="65" customFormat="1"/>
    <row r="1950" s="65" customFormat="1"/>
    <row r="1951" s="65" customFormat="1"/>
    <row r="1952" s="65" customFormat="1"/>
    <row r="1953" s="65" customFormat="1"/>
    <row r="1954" s="65" customFormat="1"/>
    <row r="1955" s="65" customFormat="1"/>
    <row r="1956" s="65" customFormat="1"/>
    <row r="1957" s="65" customFormat="1"/>
    <row r="1958" s="65" customFormat="1"/>
    <row r="1959" s="65" customFormat="1"/>
    <row r="1960" s="65" customFormat="1"/>
    <row r="1961" s="65" customFormat="1"/>
    <row r="1962" s="65" customFormat="1"/>
    <row r="1963" s="65" customFormat="1"/>
    <row r="1964" s="65" customFormat="1"/>
    <row r="1965" s="65" customFormat="1"/>
    <row r="1966" s="65" customFormat="1"/>
    <row r="1967" s="65" customFormat="1"/>
    <row r="1968" s="65" customFormat="1"/>
    <row r="1969" s="65" customFormat="1"/>
    <row r="1970" s="65" customFormat="1"/>
    <row r="1971" s="65" customFormat="1"/>
    <row r="1972" s="65" customFormat="1"/>
    <row r="1973" s="65" customFormat="1"/>
    <row r="1974" s="65" customFormat="1"/>
    <row r="1975" s="65" customFormat="1"/>
    <row r="1976" s="65" customFormat="1"/>
    <row r="1977" s="65" customFormat="1"/>
    <row r="1978" s="65" customFormat="1"/>
    <row r="1979" s="65" customFormat="1"/>
    <row r="1980" s="65" customFormat="1"/>
    <row r="1981" s="65" customFormat="1"/>
    <row r="1982" s="65" customFormat="1"/>
    <row r="1983" s="65" customFormat="1"/>
    <row r="1984" s="65" customFormat="1"/>
    <row r="1985" s="65" customFormat="1"/>
    <row r="1986" s="65" customFormat="1"/>
    <row r="1987" s="65" customFormat="1"/>
    <row r="1988" s="65" customFormat="1"/>
    <row r="1989" s="65" customFormat="1"/>
    <row r="1990" s="65" customFormat="1"/>
    <row r="1991" s="65" customFormat="1"/>
    <row r="1992" s="65" customFormat="1"/>
    <row r="1993" s="65" customFormat="1"/>
    <row r="1994" s="65" customFormat="1"/>
    <row r="1995" s="65" customFormat="1"/>
    <row r="1996" s="65" customFormat="1"/>
    <row r="1997" s="65" customFormat="1"/>
    <row r="1998" s="65" customFormat="1"/>
    <row r="1999" s="65" customFormat="1"/>
    <row r="2000" s="65" customFormat="1"/>
    <row r="2001" s="65" customFormat="1"/>
    <row r="2002" s="65" customFormat="1"/>
    <row r="2003" s="65" customFormat="1"/>
    <row r="2004" s="65" customFormat="1"/>
    <row r="2005" s="65" customFormat="1"/>
    <row r="2006" s="65" customFormat="1"/>
    <row r="2007" s="65" customFormat="1"/>
    <row r="2008" s="65" customFormat="1"/>
    <row r="2009" s="65" customFormat="1"/>
    <row r="2010" s="65" customFormat="1"/>
    <row r="2011" s="65" customFormat="1"/>
    <row r="2012" s="65" customFormat="1"/>
    <row r="2013" s="65" customFormat="1"/>
    <row r="2014" s="65" customFormat="1"/>
    <row r="2015" s="65" customFormat="1"/>
    <row r="2016" s="65" customFormat="1"/>
    <row r="2017" s="65" customFormat="1"/>
    <row r="2018" s="65" customFormat="1"/>
    <row r="2019" s="65" customFormat="1"/>
    <row r="2020" s="65" customFormat="1"/>
    <row r="2021" s="65" customFormat="1"/>
    <row r="2022" s="65" customFormat="1"/>
    <row r="2023" s="65" customFormat="1"/>
    <row r="2024" s="65" customFormat="1"/>
    <row r="2025" s="65" customFormat="1"/>
    <row r="2026" s="65" customFormat="1"/>
    <row r="2027" s="65" customFormat="1"/>
    <row r="2028" s="65" customFormat="1"/>
    <row r="2029" s="65" customFormat="1"/>
    <row r="2030" s="65" customFormat="1"/>
    <row r="2031" s="65" customFormat="1"/>
    <row r="2032" s="65" customFormat="1"/>
    <row r="2033" s="65" customFormat="1"/>
    <row r="2034" s="65" customFormat="1"/>
    <row r="2035" s="65" customFormat="1"/>
    <row r="2036" s="65" customFormat="1"/>
    <row r="2037" s="65" customFormat="1"/>
    <row r="2038" s="65" customFormat="1"/>
    <row r="2039" s="65" customFormat="1"/>
    <row r="2040" s="65" customFormat="1"/>
    <row r="2041" s="65" customFormat="1"/>
    <row r="2042" s="65" customFormat="1"/>
    <row r="2043" s="65" customFormat="1"/>
    <row r="2044" s="65" customFormat="1"/>
    <row r="2045" s="65" customFormat="1"/>
    <row r="2046" s="65" customFormat="1"/>
    <row r="2047" s="65" customFormat="1"/>
    <row r="2048" s="65" customFormat="1"/>
    <row r="2049" s="65" customFormat="1"/>
    <row r="2050" s="65" customFormat="1"/>
    <row r="2051" s="65" customFormat="1"/>
    <row r="2052" s="65" customFormat="1"/>
    <row r="2053" s="65" customFormat="1"/>
    <row r="2054" s="65" customFormat="1"/>
    <row r="2055" s="65" customFormat="1"/>
    <row r="2056" s="65" customFormat="1"/>
    <row r="2057" s="65" customFormat="1"/>
    <row r="2058" s="65" customFormat="1"/>
    <row r="2059" s="65" customFormat="1"/>
    <row r="2060" s="65" customFormat="1"/>
    <row r="2061" s="65" customFormat="1"/>
    <row r="2062" s="65" customFormat="1"/>
    <row r="2063" s="65" customFormat="1"/>
    <row r="2064" s="65" customFormat="1"/>
    <row r="2065" s="65" customFormat="1"/>
    <row r="2066" s="65" customFormat="1"/>
    <row r="2067" s="65" customFormat="1"/>
    <row r="2068" s="65" customFormat="1"/>
    <row r="2069" s="65" customFormat="1"/>
    <row r="2070" s="65" customFormat="1"/>
    <row r="2071" s="65" customFormat="1"/>
    <row r="2072" s="65" customFormat="1"/>
    <row r="2073" s="65" customFormat="1"/>
    <row r="2074" s="65" customFormat="1"/>
    <row r="2075" s="65" customFormat="1"/>
    <row r="2076" s="65" customFormat="1"/>
    <row r="2077" s="65" customFormat="1"/>
    <row r="2078" s="65" customFormat="1"/>
    <row r="2079" s="65" customFormat="1"/>
    <row r="2080" s="65" customFormat="1"/>
    <row r="2081" s="65" customFormat="1"/>
    <row r="2082" s="65" customFormat="1"/>
    <row r="2083" s="65" customFormat="1"/>
    <row r="2084" s="65" customFormat="1"/>
    <row r="2085" s="65" customFormat="1"/>
    <row r="2086" s="65" customFormat="1"/>
    <row r="2087" s="65" customFormat="1"/>
    <row r="2088" s="65" customFormat="1"/>
    <row r="2089" s="65" customFormat="1"/>
    <row r="2090" s="65" customFormat="1"/>
    <row r="2091" s="65" customFormat="1"/>
    <row r="2092" s="65" customFormat="1"/>
    <row r="2093" s="65" customFormat="1"/>
    <row r="2094" s="65" customFormat="1"/>
    <row r="2095" s="65" customFormat="1"/>
    <row r="2096" s="65" customFormat="1"/>
    <row r="2097" s="65" customFormat="1"/>
    <row r="2098" s="65" customFormat="1"/>
    <row r="2099" s="65" customFormat="1"/>
    <row r="2100" s="65" customFormat="1"/>
    <row r="2101" s="65" customFormat="1"/>
    <row r="2102" s="65" customFormat="1"/>
    <row r="2103" s="65" customFormat="1"/>
    <row r="2104" s="65" customFormat="1"/>
    <row r="2105" s="65" customFormat="1"/>
    <row r="2106" s="65" customFormat="1"/>
    <row r="2107" s="65" customFormat="1"/>
    <row r="2108" s="65" customFormat="1"/>
    <row r="2109" s="65" customFormat="1"/>
    <row r="2110" s="65" customFormat="1"/>
    <row r="2111" s="65" customFormat="1"/>
    <row r="2112" s="65" customFormat="1"/>
    <row r="2113" s="65" customFormat="1"/>
    <row r="2114" s="65" customFormat="1"/>
    <row r="2115" s="65" customFormat="1"/>
    <row r="2116" s="65" customFormat="1"/>
    <row r="2117" s="65" customFormat="1"/>
    <row r="2118" s="65" customFormat="1"/>
    <row r="2119" s="65" customFormat="1"/>
    <row r="2120" s="65" customFormat="1"/>
    <row r="2121" s="65" customFormat="1"/>
    <row r="2122" s="65" customFormat="1"/>
    <row r="2123" s="65" customFormat="1"/>
    <row r="2124" s="65" customFormat="1"/>
    <row r="2125" s="65" customFormat="1"/>
    <row r="2126" s="65" customFormat="1"/>
    <row r="2127" s="65" customFormat="1"/>
    <row r="2128" s="65" customFormat="1"/>
    <row r="2129" s="65" customFormat="1"/>
    <row r="2130" s="65" customFormat="1"/>
    <row r="2131" s="65" customFormat="1"/>
    <row r="2132" s="65" customFormat="1"/>
    <row r="2133" s="65" customFormat="1"/>
    <row r="2134" s="65" customFormat="1"/>
    <row r="2135" s="65" customFormat="1"/>
    <row r="2136" s="65" customFormat="1"/>
    <row r="2137" s="65" customFormat="1"/>
    <row r="2138" s="65" customFormat="1"/>
    <row r="2139" s="65" customFormat="1"/>
    <row r="2140" s="65" customFormat="1"/>
    <row r="2141" s="65" customFormat="1"/>
    <row r="2142" s="65" customFormat="1"/>
    <row r="2143" s="65" customFormat="1"/>
    <row r="2144" s="65" customFormat="1"/>
    <row r="2145" s="65" customFormat="1"/>
    <row r="2146" s="65" customFormat="1"/>
    <row r="2147" s="65" customFormat="1"/>
    <row r="2148" s="65" customFormat="1"/>
    <row r="2149" s="65" customFormat="1"/>
    <row r="2150" s="65" customFormat="1"/>
    <row r="2151" s="65" customFormat="1"/>
    <row r="2152" s="65" customFormat="1"/>
    <row r="2153" s="65" customFormat="1"/>
    <row r="2154" s="65" customFormat="1"/>
    <row r="2155" s="65" customFormat="1"/>
    <row r="2156" s="65" customFormat="1"/>
    <row r="2157" s="65" customFormat="1"/>
    <row r="2158" s="65" customFormat="1"/>
    <row r="2159" s="65" customFormat="1"/>
    <row r="2160" s="65" customFormat="1"/>
    <row r="2161" s="65" customFormat="1"/>
    <row r="2162" s="65" customFormat="1"/>
    <row r="2163" s="65" customFormat="1"/>
    <row r="2164" s="65" customFormat="1"/>
    <row r="2165" s="65" customFormat="1"/>
    <row r="2166" s="65" customFormat="1"/>
    <row r="2167" s="65" customFormat="1"/>
    <row r="2168" s="65" customFormat="1"/>
    <row r="2169" s="65" customFormat="1"/>
    <row r="2170" s="65" customFormat="1"/>
    <row r="2171" s="65" customFormat="1"/>
    <row r="2172" s="65" customFormat="1"/>
    <row r="2173" s="65" customFormat="1"/>
    <row r="2174" s="65" customFormat="1"/>
    <row r="2175" s="65" customFormat="1"/>
    <row r="2176" s="65" customFormat="1"/>
    <row r="2177" s="65" customFormat="1"/>
    <row r="2178" s="65" customFormat="1"/>
    <row r="2179" s="65" customFormat="1"/>
    <row r="2180" s="65" customFormat="1"/>
    <row r="2181" s="65" customFormat="1"/>
    <row r="2182" s="65" customFormat="1"/>
    <row r="2183" s="65" customFormat="1"/>
    <row r="2184" s="65" customFormat="1"/>
    <row r="2185" s="65" customFormat="1"/>
    <row r="2186" s="65" customFormat="1"/>
    <row r="2187" s="65" customFormat="1"/>
    <row r="2188" s="65" customFormat="1"/>
    <row r="2189" s="65" customFormat="1"/>
    <row r="2190" s="65" customFormat="1"/>
    <row r="2191" s="65" customFormat="1"/>
    <row r="2192" s="65" customFormat="1"/>
    <row r="2193" s="65" customFormat="1"/>
    <row r="2194" s="65" customFormat="1"/>
    <row r="2195" s="65" customFormat="1"/>
    <row r="2196" s="65" customFormat="1"/>
    <row r="2197" s="65" customFormat="1"/>
    <row r="2198" s="65" customFormat="1"/>
    <row r="2199" s="65" customFormat="1"/>
    <row r="2200" s="65" customFormat="1"/>
    <row r="2201" s="65" customFormat="1"/>
    <row r="2202" s="65" customFormat="1"/>
    <row r="2203" s="65" customFormat="1"/>
    <row r="2204" s="65" customFormat="1"/>
    <row r="2205" s="65" customFormat="1"/>
    <row r="2206" s="65" customFormat="1"/>
    <row r="2207" s="65" customFormat="1"/>
    <row r="2208" s="65" customFormat="1"/>
    <row r="2209" s="65" customFormat="1"/>
    <row r="2210" s="65" customFormat="1"/>
    <row r="2211" s="65" customFormat="1"/>
    <row r="2212" s="65" customFormat="1"/>
    <row r="2213" s="65" customFormat="1"/>
    <row r="2214" s="65" customFormat="1"/>
    <row r="2215" s="65" customFormat="1"/>
    <row r="2216" s="65" customFormat="1"/>
    <row r="2217" s="65" customFormat="1"/>
    <row r="2218" s="65" customFormat="1"/>
    <row r="2219" s="65" customFormat="1"/>
    <row r="2220" s="65" customFormat="1"/>
    <row r="2221" s="65" customFormat="1"/>
    <row r="2222" s="65" customFormat="1"/>
    <row r="2223" s="65" customFormat="1"/>
    <row r="2224" s="65" customFormat="1"/>
    <row r="2225" s="65" customFormat="1"/>
    <row r="2226" s="65" customFormat="1"/>
    <row r="2227" s="65" customFormat="1"/>
    <row r="2228" s="65" customFormat="1"/>
    <row r="2229" s="65" customFormat="1"/>
    <row r="2230" s="65" customFormat="1"/>
    <row r="2231" s="65" customFormat="1"/>
    <row r="2232" s="65" customFormat="1"/>
    <row r="2233" s="65" customFormat="1"/>
    <row r="2234" s="65" customFormat="1"/>
    <row r="2235" s="65" customFormat="1"/>
    <row r="2236" s="65" customFormat="1"/>
    <row r="2237" s="65" customFormat="1"/>
    <row r="2238" s="65" customFormat="1"/>
    <row r="2239" s="65" customFormat="1"/>
    <row r="2240" s="65" customFormat="1"/>
    <row r="2241" s="65" customFormat="1"/>
    <row r="2242" s="65" customFormat="1"/>
    <row r="2243" s="65" customFormat="1"/>
    <row r="2244" s="65" customFormat="1"/>
    <row r="2245" s="65" customFormat="1"/>
    <row r="2246" s="65" customFormat="1"/>
    <row r="2247" s="65" customFormat="1"/>
    <row r="2248" s="65" customFormat="1"/>
    <row r="2249" s="65" customFormat="1"/>
    <row r="2250" s="65" customFormat="1"/>
    <row r="2251" s="65" customFormat="1"/>
    <row r="2252" s="65" customFormat="1"/>
    <row r="2253" s="65" customFormat="1"/>
    <row r="2254" s="65" customFormat="1"/>
    <row r="2255" s="65" customFormat="1"/>
    <row r="2256" s="65" customFormat="1"/>
    <row r="2257" s="65" customFormat="1"/>
    <row r="2258" s="65" customFormat="1"/>
    <row r="2259" s="65" customFormat="1"/>
    <row r="2260" s="65" customFormat="1"/>
    <row r="2261" s="65" customFormat="1"/>
    <row r="2262" s="65" customFormat="1"/>
    <row r="2263" s="65" customFormat="1"/>
    <row r="2264" s="65" customFormat="1"/>
    <row r="2265" s="65" customFormat="1"/>
    <row r="2266" s="65" customFormat="1"/>
    <row r="2267" s="65" customFormat="1"/>
    <row r="2268" s="65" customFormat="1"/>
    <row r="2269" s="65" customFormat="1"/>
    <row r="2270" s="65" customFormat="1"/>
    <row r="2271" s="65" customFormat="1"/>
    <row r="2272" s="65" customFormat="1"/>
    <row r="2273" s="65" customFormat="1"/>
    <row r="2274" s="65" customFormat="1"/>
    <row r="2275" s="65" customFormat="1"/>
    <row r="2276" s="65" customFormat="1"/>
    <row r="2277" s="65" customFormat="1"/>
    <row r="2278" s="65" customFormat="1"/>
    <row r="2279" s="65" customFormat="1"/>
    <row r="2280" s="65" customFormat="1"/>
    <row r="2281" s="65" customFormat="1"/>
    <row r="2282" s="65" customFormat="1"/>
    <row r="2283" s="65" customFormat="1"/>
    <row r="2284" s="65" customFormat="1"/>
    <row r="2285" s="65" customFormat="1"/>
    <row r="2286" s="65" customFormat="1"/>
    <row r="2287" s="65" customFormat="1"/>
    <row r="2288" s="65" customFormat="1"/>
    <row r="2289" s="65" customFormat="1"/>
    <row r="2290" s="65" customFormat="1"/>
    <row r="2291" s="65" customFormat="1"/>
    <row r="2292" s="65" customFormat="1"/>
    <row r="2293" s="65" customFormat="1"/>
    <row r="2294" s="65" customFormat="1"/>
    <row r="2295" s="65" customFormat="1"/>
    <row r="2296" s="65" customFormat="1"/>
    <row r="2297" s="65" customFormat="1"/>
    <row r="2298" s="65" customFormat="1"/>
    <row r="2299" s="65" customFormat="1"/>
    <row r="2300" s="65" customFormat="1"/>
    <row r="2301" s="65" customFormat="1"/>
    <row r="2302" s="65" customFormat="1"/>
    <row r="2303" s="65" customFormat="1"/>
    <row r="2304" s="65" customFormat="1"/>
    <row r="2305" s="65" customFormat="1"/>
    <row r="2306" s="65" customFormat="1"/>
    <row r="2307" s="65" customFormat="1"/>
    <row r="2308" s="65" customFormat="1"/>
    <row r="2309" s="65" customFormat="1"/>
    <row r="2310" s="65" customFormat="1"/>
    <row r="2311" s="65" customFormat="1"/>
    <row r="2312" s="65" customFormat="1"/>
    <row r="2313" s="65" customFormat="1"/>
    <row r="2314" s="65" customFormat="1"/>
    <row r="2315" s="65" customFormat="1"/>
    <row r="2316" s="65" customFormat="1"/>
    <row r="2317" s="65" customFormat="1"/>
    <row r="2318" s="65" customFormat="1"/>
    <row r="2319" s="65" customFormat="1"/>
    <row r="2320" s="65" customFormat="1"/>
    <row r="2321" s="65" customFormat="1"/>
    <row r="2322" s="65" customFormat="1"/>
    <row r="2323" s="65" customFormat="1"/>
    <row r="2324" s="65" customFormat="1"/>
    <row r="2325" s="65" customFormat="1"/>
    <row r="2326" s="65" customFormat="1"/>
    <row r="2327" s="65" customFormat="1"/>
    <row r="2328" s="65" customFormat="1"/>
    <row r="2329" s="65" customFormat="1"/>
    <row r="2330" s="65" customFormat="1"/>
    <row r="2331" s="65" customFormat="1"/>
    <row r="2332" s="65" customFormat="1"/>
    <row r="2333" s="65" customFormat="1"/>
    <row r="2334" s="65" customFormat="1"/>
    <row r="2335" s="65" customFormat="1"/>
    <row r="2336" s="65" customFormat="1"/>
    <row r="2337" s="65" customFormat="1"/>
    <row r="2338" s="65" customFormat="1"/>
    <row r="2339" s="65" customFormat="1"/>
    <row r="2340" s="65" customFormat="1"/>
    <row r="2341" s="65" customFormat="1"/>
    <row r="2342" s="65" customFormat="1"/>
    <row r="2343" s="65" customFormat="1"/>
    <row r="2344" s="65" customFormat="1"/>
    <row r="2345" s="65" customFormat="1"/>
    <row r="2346" s="65" customFormat="1"/>
    <row r="2347" s="65" customFormat="1"/>
    <row r="2348" s="65" customFormat="1"/>
    <row r="2349" s="65" customFormat="1"/>
    <row r="2350" s="65" customFormat="1"/>
    <row r="2351" s="65" customFormat="1"/>
    <row r="2352" s="65" customFormat="1"/>
    <row r="2353" s="65" customFormat="1"/>
    <row r="2354" s="65" customFormat="1"/>
    <row r="2355" s="65" customFormat="1"/>
    <row r="2356" s="65" customFormat="1"/>
    <row r="2357" s="65" customFormat="1"/>
    <row r="2358" s="65" customFormat="1"/>
    <row r="2359" s="65" customFormat="1"/>
    <row r="2360" s="65" customFormat="1"/>
    <row r="2361" s="65" customFormat="1"/>
    <row r="2362" s="65" customFormat="1"/>
    <row r="2363" s="65" customFormat="1"/>
    <row r="2364" s="65" customFormat="1"/>
    <row r="2365" s="65" customFormat="1"/>
    <row r="2366" s="65" customFormat="1"/>
    <row r="2367" s="65" customFormat="1"/>
    <row r="2368" s="65" customFormat="1"/>
    <row r="2369" s="65" customFormat="1"/>
    <row r="2370" s="65" customFormat="1"/>
    <row r="2371" s="65" customFormat="1"/>
    <row r="2372" s="65" customFormat="1"/>
    <row r="2373" s="65" customFormat="1"/>
    <row r="2374" s="65" customFormat="1"/>
    <row r="2375" s="65" customFormat="1"/>
    <row r="2376" s="65" customFormat="1"/>
    <row r="2377" s="65" customFormat="1"/>
    <row r="2378" s="65" customFormat="1"/>
    <row r="2379" s="65" customFormat="1"/>
    <row r="2380" s="65" customFormat="1"/>
    <row r="2381" s="65" customFormat="1"/>
    <row r="2382" s="65" customFormat="1"/>
    <row r="2383" s="65" customFormat="1"/>
    <row r="2384" s="65" customFormat="1"/>
    <row r="2385" s="65" customFormat="1"/>
    <row r="2386" s="65" customFormat="1"/>
    <row r="2387" s="65" customFormat="1"/>
    <row r="2388" s="65" customFormat="1"/>
    <row r="2389" s="65" customFormat="1"/>
    <row r="2390" s="65" customFormat="1"/>
    <row r="2391" s="65" customFormat="1"/>
    <row r="2392" s="65" customFormat="1"/>
    <row r="2393" s="65" customFormat="1"/>
    <row r="2394" s="65" customFormat="1"/>
    <row r="2395" s="65" customFormat="1"/>
    <row r="2396" s="65" customFormat="1"/>
    <row r="2397" s="65" customFormat="1"/>
    <row r="2398" s="65" customFormat="1"/>
    <row r="2399" s="65" customFormat="1"/>
    <row r="2400" s="65" customFormat="1"/>
    <row r="2401" s="65" customFormat="1"/>
    <row r="2402" s="65" customFormat="1"/>
    <row r="2403" s="65" customFormat="1"/>
    <row r="2404" s="65" customFormat="1"/>
    <row r="2405" s="65" customFormat="1"/>
    <row r="2406" s="65" customFormat="1"/>
    <row r="2407" s="65" customFormat="1"/>
    <row r="2408" s="65" customFormat="1"/>
    <row r="2409" s="65" customFormat="1"/>
    <row r="2410" s="65" customFormat="1"/>
    <row r="2411" s="65" customFormat="1"/>
    <row r="2412" s="65" customFormat="1"/>
    <row r="2413" s="65" customFormat="1"/>
    <row r="2414" s="65" customFormat="1"/>
    <row r="2415" s="65" customFormat="1"/>
    <row r="2416" s="65" customFormat="1"/>
    <row r="2417" s="65" customFormat="1"/>
    <row r="2418" s="65" customFormat="1"/>
    <row r="2419" s="65" customFormat="1"/>
    <row r="2420" s="65" customFormat="1"/>
    <row r="2421" s="65" customFormat="1"/>
    <row r="2422" s="65" customFormat="1"/>
    <row r="2423" s="65" customFormat="1"/>
    <row r="2424" s="65" customFormat="1"/>
    <row r="2425" s="65" customFormat="1"/>
    <row r="2426" s="65" customFormat="1"/>
    <row r="2427" s="65" customFormat="1"/>
    <row r="2428" s="65" customFormat="1"/>
    <row r="2429" s="65" customFormat="1"/>
    <row r="2430" s="65" customFormat="1"/>
    <row r="2431" s="65" customFormat="1"/>
    <row r="2432" s="65" customFormat="1"/>
    <row r="2433" s="65" customFormat="1"/>
    <row r="2434" s="65" customFormat="1"/>
    <row r="2435" s="65" customFormat="1"/>
    <row r="2436" s="65" customFormat="1"/>
    <row r="2437" s="65" customFormat="1"/>
    <row r="2438" s="65" customFormat="1"/>
    <row r="2439" s="65" customFormat="1"/>
    <row r="2440" s="65" customFormat="1"/>
    <row r="2441" s="65" customFormat="1"/>
    <row r="2442" s="65" customFormat="1"/>
    <row r="2443" s="65" customFormat="1"/>
    <row r="2444" s="65" customFormat="1"/>
    <row r="2445" s="65" customFormat="1"/>
    <row r="2446" s="65" customFormat="1"/>
    <row r="2447" s="65" customFormat="1"/>
    <row r="2448" s="65" customFormat="1"/>
    <row r="2449" s="65" customFormat="1"/>
    <row r="2450" s="65" customFormat="1"/>
    <row r="2451" s="65" customFormat="1"/>
    <row r="2452" s="65" customFormat="1"/>
    <row r="2453" s="65" customFormat="1"/>
    <row r="2454" s="65" customFormat="1"/>
    <row r="2455" s="65" customFormat="1"/>
    <row r="2456" s="65" customFormat="1"/>
    <row r="2457" s="65" customFormat="1"/>
    <row r="2458" s="65" customFormat="1"/>
    <row r="2459" s="65" customFormat="1"/>
    <row r="2460" s="65" customFormat="1"/>
    <row r="2461" s="65" customFormat="1"/>
    <row r="2462" s="65" customFormat="1"/>
    <row r="2463" s="65" customFormat="1"/>
    <row r="2464" s="65" customFormat="1"/>
    <row r="2465" s="65" customFormat="1"/>
    <row r="2466" s="65" customFormat="1"/>
    <row r="2467" s="65" customFormat="1"/>
    <row r="2468" s="65" customFormat="1"/>
    <row r="2469" s="65" customFormat="1"/>
    <row r="2470" s="65" customFormat="1"/>
    <row r="2471" s="65" customFormat="1"/>
    <row r="2472" s="65" customFormat="1"/>
    <row r="2473" s="65" customFormat="1"/>
    <row r="2474" s="65" customFormat="1"/>
    <row r="2475" s="65" customFormat="1"/>
    <row r="2476" s="65" customFormat="1"/>
    <row r="2477" s="65" customFormat="1"/>
    <row r="2478" s="65" customFormat="1"/>
    <row r="2479" s="65" customFormat="1"/>
    <row r="2480" s="65" customFormat="1"/>
    <row r="2481" s="65" customFormat="1"/>
    <row r="2482" s="65" customFormat="1"/>
    <row r="2483" s="65" customFormat="1"/>
    <row r="2484" s="65" customFormat="1"/>
    <row r="2485" s="65" customFormat="1"/>
    <row r="2486" s="65" customFormat="1"/>
    <row r="2487" s="65" customFormat="1"/>
    <row r="2488" s="65" customFormat="1"/>
    <row r="2489" s="65" customFormat="1"/>
    <row r="2490" s="65" customFormat="1"/>
    <row r="2491" s="65" customFormat="1"/>
    <row r="2492" s="65" customFormat="1"/>
    <row r="2493" s="65" customFormat="1"/>
    <row r="2494" s="65" customFormat="1"/>
    <row r="2495" s="65" customFormat="1"/>
    <row r="2496" s="65" customFormat="1"/>
    <row r="2497" s="65" customFormat="1"/>
    <row r="2498" s="65" customFormat="1"/>
    <row r="2499" s="65" customFormat="1"/>
    <row r="2500" s="65" customFormat="1"/>
    <row r="2501" s="65" customFormat="1"/>
    <row r="2502" s="65" customFormat="1"/>
    <row r="2503" s="65" customFormat="1"/>
    <row r="2504" s="65" customFormat="1"/>
    <row r="2505" s="65" customFormat="1"/>
    <row r="2506" s="65" customFormat="1"/>
    <row r="2507" s="65" customFormat="1"/>
    <row r="2508" s="65" customFormat="1"/>
    <row r="2509" s="65" customFormat="1"/>
    <row r="2510" s="65" customFormat="1"/>
    <row r="2511" s="65" customFormat="1"/>
    <row r="2512" s="65" customFormat="1"/>
    <row r="2513" s="65" customFormat="1"/>
    <row r="2514" s="65" customFormat="1"/>
    <row r="2515" s="65" customFormat="1"/>
    <row r="2516" s="65" customFormat="1"/>
    <row r="2517" s="65" customFormat="1"/>
    <row r="2518" s="65" customFormat="1"/>
    <row r="2519" s="65" customFormat="1"/>
    <row r="2520" s="65" customFormat="1"/>
    <row r="2521" s="65" customFormat="1"/>
    <row r="2522" s="65" customFormat="1"/>
    <row r="2523" s="65" customFormat="1"/>
    <row r="2524" s="65" customFormat="1"/>
    <row r="2525" s="65" customFormat="1"/>
    <row r="2526" s="65" customFormat="1"/>
    <row r="2527" s="65" customFormat="1"/>
    <row r="2528" s="65" customFormat="1"/>
    <row r="2529" s="65" customFormat="1"/>
    <row r="2530" s="65" customFormat="1"/>
    <row r="2531" s="65" customFormat="1"/>
    <row r="2532" s="65" customFormat="1"/>
    <row r="2533" s="65" customFormat="1"/>
    <row r="2534" s="65" customFormat="1"/>
    <row r="2535" s="65" customFormat="1"/>
    <row r="2536" s="65" customFormat="1"/>
    <row r="2537" s="65" customFormat="1"/>
    <row r="2538" s="65" customFormat="1"/>
    <row r="2539" s="65" customFormat="1"/>
    <row r="2540" s="65" customFormat="1"/>
    <row r="2541" s="65" customFormat="1"/>
    <row r="2542" s="65" customFormat="1"/>
    <row r="2543" s="65" customFormat="1"/>
    <row r="2544" s="65" customFormat="1"/>
    <row r="2545" s="65" customFormat="1"/>
    <row r="2546" s="65" customFormat="1"/>
    <row r="2547" s="65" customFormat="1"/>
    <row r="2548" s="65" customFormat="1"/>
    <row r="2549" s="65" customFormat="1"/>
    <row r="2550" s="65" customFormat="1"/>
    <row r="2551" s="65" customFormat="1"/>
    <row r="2552" s="65" customFormat="1"/>
    <row r="2553" s="65" customFormat="1"/>
    <row r="2554" s="65" customFormat="1"/>
    <row r="2555" s="65" customFormat="1"/>
    <row r="2556" s="65" customFormat="1"/>
    <row r="2557" s="65" customFormat="1"/>
    <row r="2558" s="65" customFormat="1"/>
    <row r="2559" s="65" customFormat="1"/>
    <row r="2560" s="65" customFormat="1"/>
    <row r="2561" s="65" customFormat="1"/>
    <row r="2562" s="65" customFormat="1"/>
    <row r="2563" s="65" customFormat="1"/>
    <row r="2564" s="65" customFormat="1"/>
    <row r="2565" s="65" customFormat="1"/>
    <row r="2566" s="65" customFormat="1"/>
    <row r="2567" s="65" customFormat="1"/>
    <row r="2568" s="65" customFormat="1"/>
    <row r="2569" s="65" customFormat="1"/>
    <row r="2570" s="65" customFormat="1"/>
    <row r="2571" s="65" customFormat="1"/>
    <row r="2572" s="65" customFormat="1"/>
    <row r="2573" s="65" customFormat="1"/>
    <row r="2574" s="65" customFormat="1"/>
    <row r="2575" s="65" customFormat="1"/>
    <row r="2576" s="65" customFormat="1"/>
    <row r="2577" s="65" customFormat="1"/>
    <row r="2578" s="65" customFormat="1"/>
    <row r="2579" s="65" customFormat="1"/>
    <row r="2580" s="65" customFormat="1"/>
    <row r="2581" s="65" customFormat="1"/>
    <row r="2582" s="65" customFormat="1"/>
    <row r="2583" s="65" customFormat="1"/>
    <row r="2584" s="65" customFormat="1"/>
    <row r="2585" s="65" customFormat="1"/>
    <row r="2586" s="65" customFormat="1"/>
    <row r="2587" s="65" customFormat="1"/>
    <row r="2588" s="65" customFormat="1"/>
    <row r="2589" s="65" customFormat="1"/>
    <row r="2590" s="65" customFormat="1"/>
    <row r="2591" s="65" customFormat="1"/>
    <row r="2592" s="65" customFormat="1"/>
    <row r="2593" s="65" customFormat="1"/>
    <row r="2594" s="65" customFormat="1"/>
    <row r="2595" s="65" customFormat="1"/>
    <row r="2596" s="65" customFormat="1"/>
    <row r="2597" s="65" customFormat="1"/>
    <row r="2598" s="65" customFormat="1"/>
    <row r="2599" s="65" customFormat="1"/>
    <row r="2600" s="65" customFormat="1"/>
    <row r="2601" s="65" customFormat="1"/>
    <row r="2602" s="65" customFormat="1"/>
    <row r="2603" s="65" customFormat="1"/>
    <row r="2604" s="65" customFormat="1"/>
    <row r="2605" s="65" customFormat="1"/>
    <row r="2606" s="65" customFormat="1"/>
    <row r="2607" s="65" customFormat="1"/>
    <row r="2608" s="65" customFormat="1"/>
    <row r="2609" s="65" customFormat="1"/>
    <row r="2610" s="65" customFormat="1"/>
    <row r="2611" s="65" customFormat="1"/>
    <row r="2612" s="65" customFormat="1"/>
    <row r="2613" s="65" customFormat="1"/>
    <row r="2614" s="65" customFormat="1"/>
    <row r="2615" s="65" customFormat="1"/>
    <row r="2616" s="65" customFormat="1"/>
    <row r="2617" s="65" customFormat="1"/>
    <row r="2618" s="65" customFormat="1"/>
    <row r="2619" s="65" customFormat="1"/>
    <row r="2620" s="65" customFormat="1"/>
    <row r="2621" s="65" customFormat="1"/>
    <row r="2622" s="65" customFormat="1"/>
    <row r="2623" s="65" customFormat="1"/>
    <row r="2624" s="65" customFormat="1"/>
    <row r="2625" s="65" customFormat="1"/>
    <row r="2626" s="65" customFormat="1"/>
    <row r="2627" s="65" customFormat="1"/>
    <row r="2628" s="65" customFormat="1"/>
    <row r="2629" s="65" customFormat="1"/>
    <row r="2630" s="65" customFormat="1"/>
    <row r="2631" s="65" customFormat="1"/>
    <row r="2632" s="65" customFormat="1"/>
    <row r="2633" s="65" customFormat="1"/>
    <row r="2634" s="65" customFormat="1"/>
    <row r="2635" s="65" customFormat="1"/>
    <row r="2636" s="65" customFormat="1"/>
    <row r="2637" s="65" customFormat="1"/>
    <row r="2638" s="65" customFormat="1"/>
    <row r="2639" s="65" customFormat="1"/>
    <row r="2640" s="65" customFormat="1"/>
    <row r="2641" s="65" customFormat="1"/>
    <row r="2642" s="65" customFormat="1"/>
    <row r="2643" s="65" customFormat="1"/>
    <row r="2644" s="65" customFormat="1"/>
    <row r="2645" s="65" customFormat="1"/>
    <row r="2646" s="65" customFormat="1"/>
    <row r="2647" s="65" customFormat="1"/>
    <row r="2648" s="65" customFormat="1"/>
    <row r="2649" s="65" customFormat="1"/>
    <row r="2650" s="65" customFormat="1"/>
    <row r="2651" s="65" customFormat="1"/>
    <row r="2652" s="65" customFormat="1"/>
    <row r="2653" s="65" customFormat="1"/>
    <row r="2654" s="65" customFormat="1"/>
    <row r="2655" s="65" customFormat="1"/>
    <row r="2656" s="65" customFormat="1"/>
    <row r="2657" s="65" customFormat="1"/>
    <row r="2658" s="65" customFormat="1"/>
    <row r="2659" s="65" customFormat="1"/>
    <row r="2660" s="65" customFormat="1"/>
    <row r="2661" s="65" customFormat="1"/>
    <row r="2662" s="65" customFormat="1"/>
    <row r="2663" s="65" customFormat="1"/>
    <row r="2664" s="65" customFormat="1"/>
    <row r="2665" s="65" customFormat="1"/>
    <row r="2666" s="65" customFormat="1"/>
    <row r="2667" s="65" customFormat="1"/>
    <row r="2668" s="65" customFormat="1"/>
    <row r="2669" s="65" customFormat="1"/>
    <row r="2670" s="65" customFormat="1"/>
    <row r="2671" s="65" customFormat="1"/>
    <row r="2672" s="65" customFormat="1"/>
    <row r="2673" s="65" customFormat="1"/>
    <row r="2674" s="65" customFormat="1"/>
    <row r="2675" s="65" customFormat="1"/>
    <row r="2676" s="65" customFormat="1"/>
    <row r="2677" s="65" customFormat="1"/>
    <row r="2678" s="65" customFormat="1"/>
    <row r="2679" s="65" customFormat="1"/>
    <row r="2680" s="65" customFormat="1"/>
    <row r="2681" s="65" customFormat="1"/>
    <row r="2682" s="65" customFormat="1"/>
    <row r="2683" s="65" customFormat="1"/>
    <row r="2684" s="65" customFormat="1"/>
    <row r="2685" s="65" customFormat="1"/>
    <row r="2686" s="65" customFormat="1"/>
    <row r="2687" s="65" customFormat="1"/>
    <row r="2688" s="65" customFormat="1"/>
    <row r="2689" s="65" customFormat="1"/>
    <row r="2690" s="65" customFormat="1"/>
    <row r="2691" s="65" customFormat="1"/>
    <row r="2692" s="65" customFormat="1"/>
    <row r="2693" s="65" customFormat="1"/>
    <row r="2694" s="65" customFormat="1"/>
    <row r="2695" s="65" customFormat="1"/>
    <row r="2696" s="65" customFormat="1"/>
    <row r="2697" s="65" customFormat="1"/>
    <row r="2698" s="65" customFormat="1"/>
    <row r="2699" s="65" customFormat="1"/>
    <row r="2700" s="65" customFormat="1"/>
    <row r="2701" s="65" customFormat="1"/>
    <row r="2702" s="65" customFormat="1"/>
    <row r="2703" s="65" customFormat="1"/>
    <row r="2704" s="65" customFormat="1"/>
    <row r="2705" s="65" customFormat="1"/>
    <row r="2706" s="65" customFormat="1"/>
    <row r="2707" s="65" customFormat="1"/>
    <row r="2708" s="65" customFormat="1"/>
    <row r="2709" s="65" customFormat="1"/>
    <row r="2710" s="65" customFormat="1"/>
    <row r="2711" s="65" customFormat="1"/>
    <row r="2712" s="65" customFormat="1"/>
    <row r="2713" s="65" customFormat="1"/>
    <row r="2714" s="65" customFormat="1"/>
    <row r="2715" s="65" customFormat="1"/>
    <row r="2716" s="65" customFormat="1"/>
    <row r="2717" s="65" customFormat="1"/>
    <row r="2718" s="65" customFormat="1"/>
    <row r="2719" s="65" customFormat="1"/>
    <row r="2720" s="65" customFormat="1"/>
    <row r="2721" s="65" customFormat="1"/>
    <row r="2722" s="65" customFormat="1"/>
    <row r="2723" s="65" customFormat="1"/>
    <row r="2724" s="65" customFormat="1"/>
    <row r="2725" s="65" customFormat="1"/>
    <row r="2726" s="65" customFormat="1"/>
    <row r="2727" s="65" customFormat="1"/>
    <row r="2728" s="65" customFormat="1"/>
    <row r="2729" s="65" customFormat="1"/>
    <row r="2730" s="65" customFormat="1"/>
    <row r="2731" s="65" customFormat="1"/>
    <row r="2732" s="65" customFormat="1"/>
    <row r="2733" s="65" customFormat="1"/>
    <row r="2734" s="65" customFormat="1"/>
    <row r="2735" s="65" customFormat="1"/>
    <row r="2736" s="65" customFormat="1"/>
    <row r="2737" s="65" customFormat="1"/>
    <row r="2738" s="65" customFormat="1"/>
    <row r="2739" s="65" customFormat="1"/>
    <row r="2740" s="65" customFormat="1"/>
    <row r="2741" s="65" customFormat="1"/>
    <row r="2742" s="65" customFormat="1"/>
    <row r="2743" s="65" customFormat="1"/>
    <row r="2744" s="65" customFormat="1"/>
    <row r="2745" s="65" customFormat="1"/>
    <row r="2746" s="65" customFormat="1"/>
    <row r="2747" s="65" customFormat="1"/>
    <row r="2748" s="65" customFormat="1"/>
    <row r="2749" s="65" customFormat="1"/>
    <row r="2750" s="65" customFormat="1"/>
    <row r="2751" s="65" customFormat="1"/>
    <row r="2752" s="65" customFormat="1"/>
    <row r="2753" s="65" customFormat="1"/>
    <row r="2754" s="65" customFormat="1"/>
    <row r="2755" s="65" customFormat="1"/>
    <row r="2756" s="65" customFormat="1"/>
    <row r="2757" s="65" customFormat="1"/>
    <row r="2758" s="65" customFormat="1"/>
    <row r="2759" s="65" customFormat="1"/>
    <row r="2760" s="65" customFormat="1"/>
    <row r="2761" s="65" customFormat="1"/>
    <row r="2762" s="65" customFormat="1"/>
    <row r="2763" s="65" customFormat="1"/>
    <row r="2764" s="65" customFormat="1"/>
    <row r="2765" s="65" customFormat="1"/>
    <row r="2766" s="65" customFormat="1"/>
    <row r="2767" s="65" customFormat="1"/>
    <row r="2768" s="65" customFormat="1"/>
    <row r="2769" s="65" customFormat="1"/>
    <row r="2770" s="65" customFormat="1"/>
    <row r="2771" s="65" customFormat="1"/>
    <row r="2772" s="65" customFormat="1"/>
    <row r="2773" s="65" customFormat="1"/>
    <row r="2774" s="65" customFormat="1"/>
    <row r="2775" s="65" customFormat="1"/>
    <row r="2776" s="65" customFormat="1"/>
    <row r="2777" s="65" customFormat="1"/>
    <row r="2778" s="65" customFormat="1"/>
    <row r="2779" s="65" customFormat="1"/>
    <row r="2780" s="65" customFormat="1"/>
    <row r="2781" s="65" customFormat="1"/>
    <row r="2782" s="65" customFormat="1"/>
    <row r="2783" s="65" customFormat="1"/>
    <row r="2784" s="65" customFormat="1"/>
    <row r="2785" s="65" customFormat="1"/>
    <row r="2786" s="65" customFormat="1"/>
    <row r="2787" s="65" customFormat="1"/>
    <row r="2788" s="65" customFormat="1"/>
    <row r="2789" s="65" customFormat="1"/>
    <row r="2790" s="65" customFormat="1"/>
    <row r="2791" s="65" customFormat="1"/>
    <row r="2792" s="65" customFormat="1"/>
    <row r="2793" s="65" customFormat="1"/>
    <row r="2794" s="65" customFormat="1"/>
    <row r="2795" s="65" customFormat="1"/>
    <row r="2796" s="65" customFormat="1"/>
    <row r="2797" s="65" customFormat="1"/>
    <row r="2798" s="65" customFormat="1"/>
    <row r="2799" s="65" customFormat="1"/>
    <row r="2800" s="65" customFormat="1"/>
    <row r="2801" s="65" customFormat="1"/>
    <row r="2802" s="65" customFormat="1"/>
    <row r="2803" s="65" customFormat="1"/>
    <row r="2804" s="65" customFormat="1"/>
    <row r="2805" s="65" customFormat="1"/>
    <row r="2806" s="65" customFormat="1"/>
    <row r="2807" s="65" customFormat="1"/>
    <row r="2808" s="65" customFormat="1"/>
    <row r="2809" s="65" customFormat="1"/>
    <row r="2810" s="65" customFormat="1"/>
    <row r="2811" s="65" customFormat="1"/>
    <row r="2812" s="65" customFormat="1"/>
    <row r="2813" s="65" customFormat="1"/>
    <row r="2814" s="65" customFormat="1"/>
    <row r="2815" s="65" customFormat="1"/>
    <row r="2816" s="65" customFormat="1"/>
    <row r="2817" s="65" customFormat="1"/>
    <row r="2818" s="65" customFormat="1"/>
    <row r="2819" s="65" customFormat="1"/>
    <row r="2820" s="65" customFormat="1"/>
    <row r="2821" s="65" customFormat="1"/>
    <row r="2822" s="65" customFormat="1"/>
    <row r="2823" s="65" customFormat="1"/>
    <row r="2824" s="65" customFormat="1"/>
    <row r="2825" s="65" customFormat="1"/>
    <row r="2826" s="65" customFormat="1"/>
    <row r="2827" s="65" customFormat="1"/>
    <row r="2828" s="65" customFormat="1"/>
    <row r="2829" s="65" customFormat="1"/>
    <row r="2830" s="65" customFormat="1"/>
    <row r="2831" s="65" customFormat="1"/>
    <row r="2832" s="65" customFormat="1"/>
    <row r="2833" s="65" customFormat="1"/>
    <row r="2834" s="65" customFormat="1"/>
    <row r="2835" s="65" customFormat="1"/>
    <row r="2836" s="65" customFormat="1"/>
    <row r="2837" s="65" customFormat="1"/>
    <row r="2838" s="65" customFormat="1"/>
    <row r="2839" s="65" customFormat="1"/>
    <row r="2840" s="65" customFormat="1"/>
    <row r="2841" s="65" customFormat="1"/>
    <row r="2842" s="65" customFormat="1"/>
    <row r="2843" s="65" customFormat="1"/>
    <row r="2844" s="65" customFormat="1"/>
    <row r="2845" s="65" customFormat="1"/>
    <row r="2846" s="65" customFormat="1"/>
    <row r="2847" s="65" customFormat="1"/>
    <row r="2848" s="65" customFormat="1"/>
    <row r="2849" s="65" customFormat="1"/>
    <row r="2850" s="65" customFormat="1"/>
    <row r="2851" s="65" customFormat="1"/>
    <row r="2852" s="65" customFormat="1"/>
    <row r="2853" s="65" customFormat="1"/>
    <row r="2854" s="65" customFormat="1"/>
    <row r="2855" s="65" customFormat="1"/>
    <row r="2856" s="65" customFormat="1"/>
    <row r="2857" s="65" customFormat="1"/>
    <row r="2858" s="65" customFormat="1"/>
    <row r="2859" s="65" customFormat="1"/>
    <row r="2860" s="65" customFormat="1"/>
    <row r="2861" s="65" customFormat="1"/>
    <row r="2862" s="65" customFormat="1"/>
    <row r="2863" s="65" customFormat="1"/>
    <row r="2864" s="65" customFormat="1"/>
    <row r="2865" s="65" customFormat="1"/>
    <row r="2866" s="65" customFormat="1"/>
    <row r="2867" s="65" customFormat="1"/>
    <row r="2868" s="65" customFormat="1"/>
    <row r="2869" s="65" customFormat="1"/>
    <row r="2870" s="65" customFormat="1"/>
    <row r="2871" s="65" customFormat="1"/>
    <row r="2872" s="65" customFormat="1"/>
    <row r="2873" s="65" customFormat="1"/>
    <row r="2874" s="65" customFormat="1"/>
    <row r="2875" s="65" customFormat="1"/>
    <row r="2876" s="65" customFormat="1"/>
    <row r="2877" s="65" customFormat="1"/>
    <row r="2878" s="65" customFormat="1"/>
    <row r="2879" s="65" customFormat="1"/>
    <row r="2880" s="65" customFormat="1"/>
    <row r="2881" s="65" customFormat="1"/>
    <row r="2882" s="65" customFormat="1"/>
    <row r="2883" s="65" customFormat="1"/>
    <row r="2884" s="65" customFormat="1"/>
    <row r="2885" s="65" customFormat="1"/>
    <row r="2886" s="65" customFormat="1"/>
    <row r="2887" s="65" customFormat="1"/>
    <row r="2888" s="65" customFormat="1"/>
    <row r="2889" s="65" customFormat="1"/>
    <row r="2890" s="65" customFormat="1"/>
    <row r="2891" s="65" customFormat="1"/>
    <row r="2892" s="65" customFormat="1"/>
    <row r="2893" s="65" customFormat="1"/>
    <row r="2894" s="65" customFormat="1"/>
    <row r="2895" s="65" customFormat="1"/>
    <row r="2896" s="65" customFormat="1"/>
    <row r="2897" s="65" customFormat="1"/>
    <row r="2898" s="65" customFormat="1"/>
    <row r="2899" s="65" customFormat="1"/>
    <row r="2900" s="65" customFormat="1"/>
    <row r="2901" s="65" customFormat="1"/>
    <row r="2902" s="65" customFormat="1"/>
    <row r="2903" s="65" customFormat="1"/>
    <row r="2904" s="65" customFormat="1"/>
    <row r="2905" s="65" customFormat="1"/>
    <row r="2906" s="65" customFormat="1"/>
    <row r="2907" s="65" customFormat="1"/>
    <row r="2908" s="65" customFormat="1"/>
    <row r="2909" s="65" customFormat="1"/>
    <row r="2910" s="65" customFormat="1"/>
    <row r="2911" s="65" customFormat="1"/>
    <row r="2912" s="65" customFormat="1"/>
    <row r="2913" s="65" customFormat="1"/>
    <row r="2914" s="65" customFormat="1"/>
    <row r="2915" s="65" customFormat="1"/>
    <row r="2916" s="65" customFormat="1"/>
    <row r="2917" s="65" customFormat="1"/>
    <row r="2918" s="65" customFormat="1"/>
    <row r="2919" s="65" customFormat="1"/>
    <row r="2920" s="65" customFormat="1"/>
    <row r="2921" s="65" customFormat="1"/>
    <row r="2922" s="65" customFormat="1"/>
    <row r="2923" s="65" customFormat="1"/>
    <row r="2924" s="65" customFormat="1"/>
    <row r="2925" s="65" customFormat="1"/>
    <row r="2926" s="65" customFormat="1"/>
    <row r="2927" s="65" customFormat="1"/>
    <row r="2928" s="65" customFormat="1"/>
    <row r="2929" s="65" customFormat="1"/>
    <row r="2930" s="65" customFormat="1"/>
    <row r="2931" s="65" customFormat="1"/>
    <row r="2932" s="65" customFormat="1"/>
    <row r="2933" s="65" customFormat="1"/>
    <row r="2934" s="65" customFormat="1"/>
    <row r="2935" s="65" customFormat="1"/>
    <row r="2936" s="65" customFormat="1"/>
    <row r="2937" s="65" customFormat="1"/>
    <row r="2938" s="65" customFormat="1"/>
    <row r="2939" s="65" customFormat="1"/>
    <row r="2940" s="65" customFormat="1"/>
    <row r="2941" s="65" customFormat="1"/>
    <row r="2942" s="65" customFormat="1"/>
    <row r="2943" s="65" customFormat="1"/>
    <row r="2944" s="65" customFormat="1"/>
    <row r="2945" s="65" customFormat="1"/>
    <row r="2946" s="65" customFormat="1"/>
    <row r="2947" s="65" customFormat="1"/>
    <row r="2948" s="65" customFormat="1"/>
    <row r="2949" s="65" customFormat="1"/>
    <row r="2950" s="65" customFormat="1"/>
    <row r="2951" s="65" customFormat="1"/>
    <row r="2952" s="65" customFormat="1"/>
    <row r="2953" s="65" customFormat="1"/>
    <row r="2954" s="65" customFormat="1"/>
    <row r="2955" s="65" customFormat="1"/>
    <row r="2956" s="65" customFormat="1"/>
    <row r="2957" s="65" customFormat="1"/>
    <row r="2958" s="65" customFormat="1"/>
    <row r="2959" s="65" customFormat="1"/>
    <row r="2960" s="65" customFormat="1"/>
    <row r="2961" s="65" customFormat="1"/>
    <row r="2962" s="65" customFormat="1"/>
    <row r="2963" s="65" customFormat="1"/>
    <row r="2964" s="65" customFormat="1"/>
    <row r="2965" s="65" customFormat="1"/>
    <row r="2966" s="65" customFormat="1"/>
    <row r="2967" s="65" customFormat="1"/>
    <row r="2968" s="65" customFormat="1"/>
    <row r="2969" s="65" customFormat="1"/>
    <row r="2970" s="65" customFormat="1"/>
    <row r="2971" s="65" customFormat="1"/>
    <row r="2972" s="65" customFormat="1"/>
    <row r="2973" s="65" customFormat="1"/>
    <row r="2974" s="65" customFormat="1"/>
    <row r="2975" s="65" customFormat="1"/>
    <row r="2976" s="65" customFormat="1"/>
    <row r="2977" s="65" customFormat="1"/>
    <row r="2978" s="65" customFormat="1"/>
    <row r="2979" s="65" customFormat="1"/>
    <row r="2980" s="65" customFormat="1"/>
    <row r="2981" s="65" customFormat="1"/>
    <row r="2982" s="65" customFormat="1"/>
    <row r="2983" s="65" customFormat="1"/>
    <row r="2984" s="65" customFormat="1"/>
    <row r="2985" s="65" customFormat="1"/>
    <row r="2986" s="65" customFormat="1"/>
    <row r="2987" s="65" customFormat="1"/>
    <row r="2988" s="65" customFormat="1"/>
    <row r="2989" s="65" customFormat="1"/>
    <row r="2990" s="65" customFormat="1"/>
    <row r="2991" s="65" customFormat="1"/>
    <row r="2992" s="65" customFormat="1"/>
    <row r="2993" s="65" customFormat="1"/>
    <row r="2994" s="65" customFormat="1"/>
    <row r="2995" s="65" customFormat="1"/>
    <row r="2996" s="65" customFormat="1"/>
    <row r="2997" s="65" customFormat="1"/>
    <row r="2998" s="65" customFormat="1"/>
    <row r="2999" s="65" customFormat="1"/>
    <row r="3000" s="65" customFormat="1"/>
    <row r="3001" s="65" customFormat="1"/>
    <row r="3002" s="65" customFormat="1"/>
    <row r="3003" s="65" customFormat="1"/>
    <row r="3004" s="65" customFormat="1"/>
    <row r="3005" s="65" customFormat="1"/>
    <row r="3006" s="65" customFormat="1"/>
    <row r="3007" s="65" customFormat="1"/>
    <row r="3008" s="65" customFormat="1"/>
    <row r="3009" s="65" customFormat="1"/>
    <row r="3010" s="65" customFormat="1"/>
    <row r="3011" s="65" customFormat="1"/>
    <row r="3012" s="65" customFormat="1"/>
    <row r="3013" s="65" customFormat="1"/>
    <row r="3014" s="65" customFormat="1"/>
    <row r="3015" s="65" customFormat="1"/>
    <row r="3016" s="65" customFormat="1"/>
    <row r="3017" s="65" customFormat="1"/>
    <row r="3018" s="65" customFormat="1"/>
    <row r="3019" s="65" customFormat="1"/>
    <row r="3020" s="65" customFormat="1"/>
    <row r="3021" s="65" customFormat="1"/>
    <row r="3022" s="65" customFormat="1"/>
    <row r="3023" s="65" customFormat="1"/>
    <row r="3024" s="65" customFormat="1"/>
    <row r="3025" s="65" customFormat="1"/>
    <row r="3026" s="65" customFormat="1"/>
    <row r="3027" s="65" customFormat="1"/>
    <row r="3028" s="65" customFormat="1"/>
    <row r="3029" s="65" customFormat="1"/>
    <row r="3030" s="65" customFormat="1"/>
    <row r="3031" s="65" customFormat="1"/>
    <row r="3032" s="65" customFormat="1"/>
    <row r="3033" s="65" customFormat="1"/>
    <row r="3034" s="65" customFormat="1"/>
    <row r="3035" s="65" customFormat="1"/>
    <row r="3036" s="65" customFormat="1"/>
    <row r="3037" s="65" customFormat="1"/>
    <row r="3038" s="65" customFormat="1"/>
    <row r="3039" s="65" customFormat="1"/>
    <row r="3040" s="65" customFormat="1"/>
    <row r="3041" s="65" customFormat="1"/>
    <row r="3042" s="65" customFormat="1"/>
    <row r="3043" s="65" customFormat="1"/>
    <row r="3044" s="65" customFormat="1"/>
    <row r="3045" s="65" customFormat="1"/>
    <row r="3046" s="65" customFormat="1"/>
    <row r="3047" s="65" customFormat="1"/>
    <row r="3048" s="65" customFormat="1"/>
    <row r="3049" s="65" customFormat="1"/>
    <row r="3050" s="65" customFormat="1"/>
    <row r="3051" s="65" customFormat="1"/>
    <row r="3052" s="65" customFormat="1"/>
    <row r="3053" s="65" customFormat="1"/>
    <row r="3054" s="65" customFormat="1"/>
    <row r="3055" s="65" customFormat="1"/>
    <row r="3056" s="65" customFormat="1"/>
    <row r="3057" s="65" customFormat="1"/>
    <row r="3058" s="65" customFormat="1"/>
    <row r="3059" s="65" customFormat="1"/>
    <row r="3060" s="65" customFormat="1"/>
    <row r="3061" s="65" customFormat="1"/>
    <row r="3062" s="65" customFormat="1"/>
    <row r="3063" s="65" customFormat="1"/>
    <row r="3064" s="65" customFormat="1"/>
    <row r="3065" s="65" customFormat="1"/>
    <row r="3066" s="65" customFormat="1"/>
    <row r="3067" s="65" customFormat="1"/>
    <row r="3068" s="65" customFormat="1"/>
    <row r="3069" s="65" customFormat="1"/>
    <row r="3070" s="65" customFormat="1"/>
    <row r="3071" s="65" customFormat="1"/>
    <row r="3072" s="65" customFormat="1"/>
    <row r="3073" s="65" customFormat="1"/>
    <row r="3074" s="65" customFormat="1"/>
    <row r="3075" s="65" customFormat="1"/>
    <row r="3076" s="65" customFormat="1"/>
    <row r="3077" s="65" customFormat="1"/>
    <row r="3078" s="65" customFormat="1"/>
    <row r="3079" s="65" customFormat="1"/>
    <row r="3080" s="65" customFormat="1"/>
    <row r="3081" s="65" customFormat="1"/>
    <row r="3082" s="65" customFormat="1"/>
    <row r="3083" s="65" customFormat="1"/>
    <row r="3084" s="65" customFormat="1"/>
    <row r="3085" s="65" customFormat="1"/>
    <row r="3086" s="65" customFormat="1"/>
    <row r="3087" s="65" customFormat="1"/>
    <row r="3088" s="65" customFormat="1"/>
    <row r="3089" s="65" customFormat="1"/>
    <row r="3090" s="65" customFormat="1"/>
    <row r="3091" s="65" customFormat="1"/>
    <row r="3092" s="65" customFormat="1"/>
    <row r="3093" s="65" customFormat="1"/>
    <row r="3094" s="65" customFormat="1"/>
    <row r="3095" s="65" customFormat="1"/>
    <row r="3096" s="65" customFormat="1"/>
    <row r="3097" s="65" customFormat="1"/>
    <row r="3098" s="65" customFormat="1"/>
    <row r="3099" s="65" customFormat="1"/>
    <row r="3100" s="65" customFormat="1"/>
    <row r="3101" s="65" customFormat="1"/>
    <row r="3102" s="65" customFormat="1"/>
    <row r="3103" s="65" customFormat="1"/>
    <row r="3104" s="65" customFormat="1"/>
    <row r="3105" s="65" customFormat="1"/>
    <row r="3106" s="65" customFormat="1"/>
    <row r="3107" s="65" customFormat="1"/>
    <row r="3108" s="65" customFormat="1"/>
    <row r="3109" s="65" customFormat="1"/>
    <row r="3110" s="65" customFormat="1"/>
    <row r="3111" s="65" customFormat="1"/>
    <row r="3112" s="65" customFormat="1"/>
    <row r="3113" s="65" customFormat="1"/>
    <row r="3114" s="65" customFormat="1"/>
    <row r="3115" s="65" customFormat="1"/>
    <row r="3116" s="65" customFormat="1"/>
    <row r="3117" s="65" customFormat="1"/>
    <row r="3118" s="65" customFormat="1"/>
    <row r="3119" s="65" customFormat="1"/>
    <row r="3120" s="65" customFormat="1"/>
    <row r="3121" s="65" customFormat="1"/>
    <row r="3122" s="65" customFormat="1"/>
    <row r="3123" s="65" customFormat="1"/>
    <row r="3124" s="65" customFormat="1"/>
    <row r="3125" s="65" customFormat="1"/>
    <row r="3126" s="65" customFormat="1"/>
    <row r="3127" s="65" customFormat="1"/>
    <row r="3128" s="65" customFormat="1"/>
    <row r="3129" s="65" customFormat="1"/>
    <row r="3130" s="65" customFormat="1"/>
    <row r="3131" s="65" customFormat="1"/>
    <row r="3132" s="65" customFormat="1"/>
    <row r="3133" s="65" customFormat="1"/>
    <row r="3134" s="65" customFormat="1"/>
    <row r="3135" s="65" customFormat="1"/>
    <row r="3136" s="65" customFormat="1"/>
    <row r="3137" s="65" customFormat="1"/>
    <row r="3138" s="65" customFormat="1"/>
    <row r="3139" s="65" customFormat="1"/>
    <row r="3140" s="65" customFormat="1"/>
    <row r="3141" s="65" customFormat="1"/>
    <row r="3142" s="65" customFormat="1"/>
    <row r="3143" s="65" customFormat="1"/>
    <row r="3144" s="65" customFormat="1"/>
    <row r="3145" s="65" customFormat="1"/>
    <row r="3146" s="65" customFormat="1"/>
    <row r="3147" s="65" customFormat="1"/>
    <row r="3148" s="65" customFormat="1"/>
    <row r="3149" s="65" customFormat="1"/>
    <row r="3150" s="65" customFormat="1"/>
    <row r="3151" s="65" customFormat="1"/>
    <row r="3152" s="65" customFormat="1"/>
    <row r="3153" s="65" customFormat="1"/>
    <row r="3154" s="65" customFormat="1"/>
    <row r="3155" s="65" customFormat="1"/>
    <row r="3156" s="65" customFormat="1"/>
    <row r="3157" s="65" customFormat="1"/>
    <row r="3158" s="65" customFormat="1"/>
    <row r="3159" s="65" customFormat="1"/>
    <row r="3160" s="65" customFormat="1"/>
    <row r="3161" s="65" customFormat="1"/>
    <row r="3162" s="65" customFormat="1"/>
    <row r="3163" s="65" customFormat="1"/>
    <row r="3164" s="65" customFormat="1"/>
    <row r="3165" s="65" customFormat="1"/>
    <row r="3166" s="65" customFormat="1"/>
    <row r="3167" s="65" customFormat="1"/>
    <row r="3168" s="65" customFormat="1"/>
    <row r="3169" s="65" customFormat="1"/>
    <row r="3170" s="65" customFormat="1"/>
    <row r="3171" s="65" customFormat="1"/>
    <row r="3172" s="65" customFormat="1"/>
    <row r="3173" s="65" customFormat="1"/>
    <row r="3174" s="65" customFormat="1"/>
    <row r="3175" s="65" customFormat="1"/>
    <row r="3176" s="65" customFormat="1"/>
    <row r="3177" s="65" customFormat="1"/>
    <row r="3178" s="65" customFormat="1"/>
    <row r="3179" s="65" customFormat="1"/>
    <row r="3180" s="65" customFormat="1"/>
    <row r="3181" s="65" customFormat="1"/>
    <row r="3182" s="65" customFormat="1"/>
    <row r="3183" s="65" customFormat="1"/>
    <row r="3184" s="65" customFormat="1"/>
    <row r="3185" s="65" customFormat="1"/>
    <row r="3186" s="65" customFormat="1"/>
    <row r="3187" s="65" customFormat="1"/>
    <row r="3188" s="65" customFormat="1"/>
    <row r="3189" s="65" customFormat="1"/>
    <row r="3190" s="65" customFormat="1"/>
    <row r="3191" s="65" customFormat="1"/>
    <row r="3192" s="65" customFormat="1"/>
    <row r="3193" s="65" customFormat="1"/>
    <row r="3194" s="65" customFormat="1"/>
    <row r="3195" s="65" customFormat="1"/>
    <row r="3196" s="65" customFormat="1"/>
    <row r="3197" s="65" customFormat="1"/>
    <row r="3198" s="65" customFormat="1"/>
    <row r="3199" s="65" customFormat="1"/>
    <row r="3200" s="65" customFormat="1"/>
    <row r="3201" s="65" customFormat="1"/>
    <row r="3202" s="65" customFormat="1"/>
    <row r="3203" s="65" customFormat="1"/>
    <row r="3204" s="65" customFormat="1"/>
    <row r="3205" s="65" customFormat="1"/>
    <row r="3206" s="65" customFormat="1"/>
    <row r="3207" s="65" customFormat="1"/>
    <row r="3208" s="65" customFormat="1"/>
    <row r="3209" s="65" customFormat="1"/>
    <row r="3210" s="65" customFormat="1"/>
    <row r="3211" s="65" customFormat="1"/>
    <row r="3212" s="65" customFormat="1"/>
    <row r="3213" s="65" customFormat="1"/>
    <row r="3214" s="65" customFormat="1"/>
    <row r="3215" s="65" customFormat="1"/>
    <row r="3216" s="65" customFormat="1"/>
    <row r="3217" s="65" customFormat="1"/>
    <row r="3218" s="65" customFormat="1"/>
    <row r="3219" s="65" customFormat="1"/>
    <row r="3220" s="65" customFormat="1"/>
    <row r="3221" s="65" customFormat="1"/>
    <row r="3222" s="65" customFormat="1"/>
    <row r="3223" s="65" customFormat="1"/>
    <row r="3224" s="65" customFormat="1"/>
    <row r="3225" s="65" customFormat="1"/>
    <row r="3226" s="65" customFormat="1"/>
    <row r="3227" s="65" customFormat="1"/>
    <row r="3228" s="65" customFormat="1"/>
    <row r="3229" s="65" customFormat="1"/>
    <row r="3230" s="65" customFormat="1"/>
    <row r="3231" s="65" customFormat="1"/>
    <row r="3232" s="65" customFormat="1"/>
    <row r="3233" s="65" customFormat="1"/>
    <row r="3234" s="65" customFormat="1"/>
    <row r="3235" s="65" customFormat="1"/>
    <row r="3236" s="65" customFormat="1"/>
    <row r="3237" s="65" customFormat="1"/>
    <row r="3238" s="65" customFormat="1"/>
    <row r="3239" s="65" customFormat="1"/>
    <row r="3240" s="65" customFormat="1"/>
    <row r="3241" s="65" customFormat="1"/>
    <row r="3242" s="65" customFormat="1"/>
    <row r="3243" s="65" customFormat="1"/>
    <row r="3244" s="65" customFormat="1"/>
    <row r="3245" s="65" customFormat="1"/>
    <row r="3246" s="65" customFormat="1"/>
    <row r="3247" s="65" customFormat="1"/>
    <row r="3248" s="65" customFormat="1"/>
    <row r="3249" s="65" customFormat="1"/>
    <row r="3250" s="65" customFormat="1"/>
    <row r="3251" s="65" customFormat="1"/>
    <row r="3252" s="65" customFormat="1"/>
    <row r="3253" s="65" customFormat="1"/>
    <row r="3254" s="65" customFormat="1"/>
    <row r="3255" s="65" customFormat="1"/>
    <row r="3256" s="65" customFormat="1"/>
    <row r="3257" s="65" customFormat="1"/>
    <row r="3258" s="65" customFormat="1"/>
    <row r="3259" s="65" customFormat="1"/>
    <row r="3260" s="65" customFormat="1"/>
    <row r="3261" s="65" customFormat="1"/>
    <row r="3262" s="65" customFormat="1"/>
    <row r="3263" s="65" customFormat="1"/>
    <row r="3264" s="65" customFormat="1"/>
    <row r="3265" s="65" customFormat="1"/>
    <row r="3266" s="65" customFormat="1"/>
    <row r="3267" s="65" customFormat="1"/>
    <row r="3268" s="65" customFormat="1"/>
    <row r="3269" s="65" customFormat="1"/>
    <row r="3270" s="65" customFormat="1"/>
    <row r="3271" s="65" customFormat="1"/>
    <row r="3272" s="65" customFormat="1"/>
    <row r="3273" s="65" customFormat="1"/>
    <row r="3274" s="65" customFormat="1"/>
    <row r="3275" s="65" customFormat="1"/>
    <row r="3276" s="65" customFormat="1"/>
    <row r="3277" s="65" customFormat="1"/>
    <row r="3278" s="65" customFormat="1"/>
    <row r="3279" s="65" customFormat="1"/>
    <row r="3280" s="65" customFormat="1"/>
    <row r="3281" s="65" customFormat="1"/>
    <row r="3282" s="65" customFormat="1"/>
    <row r="3283" s="65" customFormat="1"/>
    <row r="3284" s="65" customFormat="1"/>
    <row r="3285" s="65" customFormat="1"/>
    <row r="3286" s="65" customFormat="1"/>
    <row r="3287" s="65" customFormat="1"/>
    <row r="3288" s="65" customFormat="1"/>
    <row r="3289" s="65" customFormat="1"/>
    <row r="3290" s="65" customFormat="1"/>
    <row r="3291" s="65" customFormat="1"/>
    <row r="3292" s="65" customFormat="1"/>
    <row r="3293" s="65" customFormat="1"/>
    <row r="3294" s="65" customFormat="1"/>
    <row r="3295" s="65" customFormat="1"/>
    <row r="3296" s="65" customFormat="1"/>
    <row r="3297" s="65" customFormat="1"/>
    <row r="3298" s="65" customFormat="1"/>
    <row r="3299" s="65" customFormat="1"/>
    <row r="3300" s="65" customFormat="1"/>
    <row r="3301" s="65" customFormat="1"/>
    <row r="3302" s="65" customFormat="1"/>
    <row r="3303" s="65" customFormat="1"/>
    <row r="3304" s="65" customFormat="1"/>
    <row r="3305" s="65" customFormat="1"/>
    <row r="3306" s="65" customFormat="1"/>
    <row r="3307" s="65" customFormat="1"/>
    <row r="3308" s="65" customFormat="1"/>
    <row r="3309" s="65" customFormat="1"/>
    <row r="3310" s="65" customFormat="1"/>
    <row r="3311" s="65" customFormat="1"/>
    <row r="3312" s="65" customFormat="1"/>
    <row r="3313" s="65" customFormat="1"/>
    <row r="3314" s="65" customFormat="1"/>
    <row r="3315" s="65" customFormat="1"/>
    <row r="3316" s="65" customFormat="1"/>
    <row r="3317" s="65" customFormat="1"/>
    <row r="3318" s="65" customFormat="1"/>
    <row r="3319" s="65" customFormat="1"/>
    <row r="3320" s="65" customFormat="1"/>
    <row r="3321" s="65" customFormat="1"/>
    <row r="3322" s="65" customFormat="1"/>
    <row r="3323" s="65" customFormat="1"/>
    <row r="3324" s="65" customFormat="1"/>
    <row r="3325" s="65" customFormat="1"/>
    <row r="3326" s="65" customFormat="1"/>
    <row r="3327" s="65" customFormat="1"/>
    <row r="3328" s="65" customFormat="1"/>
    <row r="3329" s="65" customFormat="1"/>
    <row r="3330" s="65" customFormat="1"/>
    <row r="3331" s="65" customFormat="1"/>
    <row r="3332" s="65" customFormat="1"/>
    <row r="3333" s="65" customFormat="1"/>
    <row r="3334" s="65" customFormat="1"/>
    <row r="3335" s="65" customFormat="1"/>
    <row r="3336" s="65" customFormat="1"/>
    <row r="3337" s="65" customFormat="1"/>
    <row r="3338" s="65" customFormat="1"/>
    <row r="3339" s="65" customFormat="1"/>
    <row r="3340" s="65" customFormat="1"/>
    <row r="3341" s="65" customFormat="1"/>
    <row r="3342" s="65" customFormat="1"/>
    <row r="3343" s="65" customFormat="1"/>
    <row r="3344" s="65" customFormat="1"/>
    <row r="3345" s="65" customFormat="1"/>
    <row r="3346" s="65" customFormat="1"/>
    <row r="3347" s="65" customFormat="1"/>
    <row r="3348" s="65" customFormat="1"/>
    <row r="3349" s="65" customFormat="1"/>
    <row r="3350" s="65" customFormat="1"/>
    <row r="3351" s="65" customFormat="1"/>
    <row r="3352" s="65" customFormat="1"/>
    <row r="3353" s="65" customFormat="1"/>
    <row r="3354" s="65" customFormat="1"/>
    <row r="3355" s="65" customFormat="1"/>
    <row r="3356" s="65" customFormat="1"/>
    <row r="3357" s="65" customFormat="1"/>
    <row r="3358" s="65" customFormat="1"/>
    <row r="3359" s="65" customFormat="1"/>
    <row r="3360" s="65" customFormat="1"/>
    <row r="3361" s="65" customFormat="1"/>
    <row r="3362" s="65" customFormat="1"/>
    <row r="3363" s="65" customFormat="1"/>
    <row r="3364" s="65" customFormat="1"/>
    <row r="3365" s="65" customFormat="1"/>
    <row r="3366" s="65" customFormat="1"/>
    <row r="3367" s="65" customFormat="1"/>
    <row r="3368" s="65" customFormat="1"/>
    <row r="3369" s="65" customFormat="1"/>
    <row r="3370" s="65" customFormat="1"/>
    <row r="3371" s="65" customFormat="1"/>
    <row r="3372" s="65" customFormat="1"/>
    <row r="3373" s="65" customFormat="1"/>
    <row r="3374" s="65" customFormat="1"/>
    <row r="3375" s="65" customFormat="1"/>
    <row r="3376" s="65" customFormat="1"/>
    <row r="3377" s="65" customFormat="1"/>
    <row r="3378" s="65" customFormat="1"/>
    <row r="3379" s="65" customFormat="1"/>
    <row r="3380" s="65" customFormat="1"/>
    <row r="3381" s="65" customFormat="1"/>
    <row r="3382" s="65" customFormat="1"/>
    <row r="3383" s="65" customFormat="1"/>
    <row r="3384" s="65" customFormat="1"/>
    <row r="3385" s="65" customFormat="1"/>
    <row r="3386" s="65" customFormat="1"/>
    <row r="3387" s="65" customFormat="1"/>
    <row r="3388" s="65" customFormat="1"/>
    <row r="3389" s="65" customFormat="1"/>
    <row r="3390" s="65" customFormat="1"/>
    <row r="3391" s="65" customFormat="1"/>
    <row r="3392" s="65" customFormat="1"/>
    <row r="3393" s="65" customFormat="1"/>
    <row r="3394" s="65" customFormat="1"/>
    <row r="3395" s="65" customFormat="1"/>
    <row r="3396" s="65" customFormat="1"/>
    <row r="3397" s="65" customFormat="1"/>
    <row r="3398" s="65" customFormat="1"/>
    <row r="3399" s="65" customFormat="1"/>
    <row r="3400" s="65" customFormat="1"/>
    <row r="3401" s="65" customFormat="1"/>
    <row r="3402" s="65" customFormat="1"/>
    <row r="3403" s="65" customFormat="1"/>
    <row r="3404" s="65" customFormat="1"/>
    <row r="3405" s="65" customFormat="1"/>
    <row r="3406" s="65" customFormat="1"/>
    <row r="3407" s="65" customFormat="1"/>
    <row r="3408" s="65" customFormat="1"/>
    <row r="3409" s="65" customFormat="1"/>
    <row r="3410" s="65" customFormat="1"/>
    <row r="3411" s="65" customFormat="1"/>
    <row r="3412" s="65" customFormat="1"/>
    <row r="3413" s="65" customFormat="1"/>
    <row r="3414" s="65" customFormat="1"/>
    <row r="3415" s="65" customFormat="1"/>
    <row r="3416" s="65" customFormat="1"/>
    <row r="3417" s="65" customFormat="1"/>
    <row r="3418" s="65" customFormat="1"/>
    <row r="3419" s="65" customFormat="1"/>
    <row r="3420" s="65" customFormat="1"/>
    <row r="3421" s="65" customFormat="1"/>
    <row r="3422" s="65" customFormat="1"/>
    <row r="3423" s="65" customFormat="1"/>
    <row r="3424" s="65" customFormat="1"/>
    <row r="3425" s="65" customFormat="1"/>
    <row r="3426" s="65" customFormat="1"/>
    <row r="3427" s="65" customFormat="1"/>
    <row r="3428" s="65" customFormat="1"/>
    <row r="3429" s="65" customFormat="1"/>
    <row r="3430" s="65" customFormat="1"/>
    <row r="3431" s="65" customFormat="1"/>
    <row r="3432" s="65" customFormat="1"/>
    <row r="3433" s="65" customFormat="1"/>
    <row r="3434" s="65" customFormat="1"/>
    <row r="3435" s="65" customFormat="1"/>
    <row r="3436" s="65" customFormat="1"/>
    <row r="3437" s="65" customFormat="1"/>
    <row r="3438" s="65" customFormat="1"/>
    <row r="3439" s="65" customFormat="1"/>
    <row r="3440" s="65" customFormat="1"/>
    <row r="3441" s="65" customFormat="1"/>
    <row r="3442" s="65" customFormat="1"/>
    <row r="3443" s="65" customFormat="1"/>
    <row r="3444" s="65" customFormat="1"/>
    <row r="3445" s="65" customFormat="1"/>
    <row r="3446" s="65" customFormat="1"/>
    <row r="3447" s="65" customFormat="1"/>
    <row r="3448" s="65" customFormat="1"/>
    <row r="3449" s="65" customFormat="1"/>
    <row r="3450" s="65" customFormat="1"/>
    <row r="3451" s="65" customFormat="1"/>
    <row r="3452" s="65" customFormat="1"/>
    <row r="3453" s="65" customFormat="1"/>
    <row r="3454" s="65" customFormat="1"/>
    <row r="3455" s="65" customFormat="1"/>
    <row r="3456" s="65" customFormat="1"/>
    <row r="3457" s="65" customFormat="1"/>
    <row r="3458" s="65" customFormat="1"/>
    <row r="3459" s="65" customFormat="1"/>
    <row r="3460" s="65" customFormat="1"/>
    <row r="3461" s="65" customFormat="1"/>
    <row r="3462" s="65" customFormat="1"/>
    <row r="3463" s="65" customFormat="1"/>
    <row r="3464" s="65" customFormat="1"/>
    <row r="3465" s="65" customFormat="1"/>
    <row r="3466" s="65" customFormat="1"/>
    <row r="3467" s="65" customFormat="1"/>
    <row r="3468" s="65" customFormat="1"/>
    <row r="3469" s="65" customFormat="1"/>
    <row r="3470" s="65" customFormat="1"/>
    <row r="3471" s="65" customFormat="1"/>
    <row r="3472" s="65" customFormat="1"/>
    <row r="3473" s="65" customFormat="1"/>
    <row r="3474" s="65" customFormat="1"/>
    <row r="3475" s="65" customFormat="1"/>
    <row r="3476" s="65" customFormat="1"/>
    <row r="3477" s="65" customFormat="1"/>
    <row r="3478" s="65" customFormat="1"/>
    <row r="3479" s="65" customFormat="1"/>
    <row r="3480" s="65" customFormat="1"/>
    <row r="3481" s="65" customFormat="1"/>
    <row r="3482" s="65" customFormat="1"/>
    <row r="3483" s="65" customFormat="1"/>
    <row r="3484" s="65" customFormat="1"/>
    <row r="3485" s="65" customFormat="1"/>
    <row r="3486" s="65" customFormat="1"/>
    <row r="3487" s="65" customFormat="1"/>
    <row r="3488" s="65" customFormat="1"/>
    <row r="3489" s="65" customFormat="1"/>
    <row r="3490" s="65" customFormat="1"/>
    <row r="3491" s="65" customFormat="1"/>
    <row r="3492" s="65" customFormat="1"/>
    <row r="3493" s="65" customFormat="1"/>
    <row r="3494" s="65" customFormat="1"/>
    <row r="3495" s="65" customFormat="1"/>
    <row r="3496" s="65" customFormat="1"/>
    <row r="3497" s="65" customFormat="1"/>
    <row r="3498" s="65" customFormat="1"/>
    <row r="3499" s="65" customFormat="1"/>
    <row r="3500" s="65" customFormat="1"/>
    <row r="3501" s="65" customFormat="1"/>
    <row r="3502" s="65" customFormat="1"/>
    <row r="3503" s="65" customFormat="1"/>
    <row r="3504" s="65" customFormat="1"/>
    <row r="3505" s="65" customFormat="1"/>
    <row r="3506" s="65" customFormat="1"/>
    <row r="3507" s="65" customFormat="1"/>
    <row r="3508" s="65" customFormat="1"/>
    <row r="3509" s="65" customFormat="1"/>
    <row r="3510" s="65" customFormat="1"/>
    <row r="3511" s="65" customFormat="1"/>
    <row r="3512" s="65" customFormat="1"/>
    <row r="3513" s="65" customFormat="1"/>
    <row r="3514" s="65" customFormat="1"/>
    <row r="3515" s="65" customFormat="1"/>
    <row r="3516" s="65" customFormat="1"/>
    <row r="3517" s="65" customFormat="1"/>
    <row r="3518" s="65" customFormat="1"/>
    <row r="3519" s="65" customFormat="1"/>
    <row r="3520" s="65" customFormat="1"/>
    <row r="3521" s="65" customFormat="1"/>
    <row r="3522" s="65" customFormat="1"/>
    <row r="3523" s="65" customFormat="1"/>
    <row r="3524" s="65" customFormat="1"/>
    <row r="3525" s="65" customFormat="1"/>
    <row r="3526" s="65" customFormat="1"/>
    <row r="3527" s="65" customFormat="1"/>
    <row r="3528" s="65" customFormat="1"/>
    <row r="3529" s="65" customFormat="1"/>
    <row r="3530" s="65" customFormat="1"/>
    <row r="3531" s="65" customFormat="1"/>
    <row r="3532" s="65" customFormat="1"/>
    <row r="3533" s="65" customFormat="1"/>
    <row r="3534" s="65" customFormat="1"/>
    <row r="3535" s="65" customFormat="1"/>
    <row r="3536" s="65" customFormat="1"/>
    <row r="3537" s="65" customFormat="1"/>
    <row r="3538" s="65" customFormat="1"/>
    <row r="3539" s="65" customFormat="1"/>
    <row r="3540" s="65" customFormat="1"/>
    <row r="3541" s="65" customFormat="1"/>
    <row r="3542" s="65" customFormat="1"/>
    <row r="3543" s="65" customFormat="1"/>
    <row r="3544" s="65" customFormat="1"/>
    <row r="3545" s="65" customFormat="1"/>
    <row r="3546" s="65" customFormat="1"/>
    <row r="3547" s="65" customFormat="1"/>
    <row r="3548" s="65" customFormat="1"/>
    <row r="3549" s="65" customFormat="1"/>
    <row r="3550" s="65" customFormat="1"/>
    <row r="3551" s="65" customFormat="1"/>
    <row r="3552" s="65" customFormat="1"/>
    <row r="3553" s="65" customFormat="1"/>
    <row r="3554" s="65" customFormat="1"/>
    <row r="3555" s="65" customFormat="1"/>
    <row r="3556" s="65" customFormat="1"/>
    <row r="3557" s="65" customFormat="1"/>
    <row r="3558" s="65" customFormat="1"/>
    <row r="3559" s="65" customFormat="1"/>
    <row r="3560" s="65" customFormat="1"/>
    <row r="3561" s="65" customFormat="1"/>
    <row r="3562" s="65" customFormat="1"/>
    <row r="3563" s="65" customFormat="1"/>
    <row r="3564" s="65" customFormat="1"/>
    <row r="3565" s="65" customFormat="1"/>
    <row r="3566" s="65" customFormat="1"/>
    <row r="3567" s="65" customFormat="1"/>
    <row r="3568" s="65" customFormat="1"/>
    <row r="3569" s="65" customFormat="1"/>
    <row r="3570" s="65" customFormat="1"/>
    <row r="3571" s="65" customFormat="1"/>
    <row r="3572" s="65" customFormat="1"/>
    <row r="3573" s="65" customFormat="1"/>
    <row r="3574" s="65" customFormat="1"/>
    <row r="3575" s="65" customFormat="1"/>
    <row r="3576" s="65" customFormat="1"/>
    <row r="3577" s="65" customFormat="1"/>
    <row r="3578" s="65" customFormat="1"/>
    <row r="3579" s="65" customFormat="1"/>
    <row r="3580" s="65" customFormat="1"/>
    <row r="3581" s="65" customFormat="1"/>
    <row r="3582" s="65" customFormat="1"/>
    <row r="3583" s="65" customFormat="1"/>
    <row r="3584" s="65" customFormat="1"/>
    <row r="3585" s="65" customFormat="1"/>
    <row r="3586" s="65" customFormat="1"/>
    <row r="3587" s="65" customFormat="1"/>
    <row r="3588" s="65" customFormat="1"/>
    <row r="3589" s="65" customFormat="1"/>
    <row r="3590" s="65" customFormat="1"/>
    <row r="3591" s="65" customFormat="1"/>
    <row r="3592" s="65" customFormat="1"/>
    <row r="3593" s="65" customFormat="1"/>
    <row r="3594" s="65" customFormat="1"/>
    <row r="3595" s="65" customFormat="1"/>
    <row r="3596" s="65" customFormat="1"/>
    <row r="3597" s="65" customFormat="1"/>
    <row r="3598" s="65" customFormat="1"/>
    <row r="3599" s="65" customFormat="1"/>
    <row r="3600" s="65" customFormat="1"/>
    <row r="3601" s="65" customFormat="1"/>
    <row r="3602" s="65" customFormat="1"/>
    <row r="3603" s="65" customFormat="1"/>
    <row r="3604" s="65" customFormat="1"/>
    <row r="3605" s="65" customFormat="1"/>
    <row r="3606" s="65" customFormat="1"/>
    <row r="3607" s="65" customFormat="1"/>
    <row r="3608" s="65" customFormat="1"/>
    <row r="3609" s="65" customFormat="1"/>
    <row r="3610" s="65" customFormat="1"/>
    <row r="3611" s="65" customFormat="1"/>
    <row r="3612" s="65" customFormat="1"/>
    <row r="3613" s="65" customFormat="1"/>
    <row r="3614" s="65" customFormat="1"/>
    <row r="3615" s="65" customFormat="1"/>
    <row r="3616" s="65" customFormat="1"/>
    <row r="3617" s="65" customFormat="1"/>
    <row r="3618" s="65" customFormat="1"/>
    <row r="3619" s="65" customFormat="1"/>
    <row r="3620" s="65" customFormat="1"/>
    <row r="3621" s="65" customFormat="1"/>
    <row r="3622" s="65" customFormat="1"/>
    <row r="3623" s="65" customFormat="1"/>
    <row r="3624" s="65" customFormat="1"/>
    <row r="3625" s="65" customFormat="1"/>
    <row r="3626" s="65" customFormat="1"/>
    <row r="3627" s="65" customFormat="1"/>
    <row r="3628" s="65" customFormat="1"/>
    <row r="3629" s="65" customFormat="1"/>
    <row r="3630" s="65" customFormat="1"/>
    <row r="3631" s="65" customFormat="1"/>
    <row r="3632" s="65" customFormat="1"/>
    <row r="3633" s="65" customFormat="1"/>
    <row r="3634" s="65" customFormat="1"/>
    <row r="3635" s="65" customFormat="1"/>
    <row r="3636" s="65" customFormat="1"/>
    <row r="3637" s="65" customFormat="1"/>
    <row r="3638" s="65" customFormat="1"/>
    <row r="3639" s="65" customFormat="1"/>
    <row r="3640" s="65" customFormat="1"/>
    <row r="3641" s="65" customFormat="1"/>
    <row r="3642" s="65" customFormat="1"/>
    <row r="3643" s="65" customFormat="1"/>
    <row r="3644" s="65" customFormat="1"/>
    <row r="3645" s="65" customFormat="1"/>
    <row r="3646" s="65" customFormat="1"/>
    <row r="3647" s="65" customFormat="1"/>
    <row r="3648" s="65" customFormat="1"/>
    <row r="3649" s="65" customFormat="1"/>
    <row r="3650" s="65" customFormat="1"/>
    <row r="3651" s="65" customFormat="1"/>
    <row r="3652" s="65" customFormat="1"/>
    <row r="3653" s="65" customFormat="1"/>
    <row r="3654" s="65" customFormat="1"/>
    <row r="3655" s="65" customFormat="1"/>
    <row r="3656" s="65" customFormat="1"/>
    <row r="3657" s="65" customFormat="1"/>
    <row r="3658" s="65" customFormat="1"/>
    <row r="3659" s="65" customFormat="1"/>
    <row r="3660" s="65" customFormat="1"/>
    <row r="3661" s="65" customFormat="1"/>
    <row r="3662" s="65" customFormat="1"/>
    <row r="3663" s="65" customFormat="1"/>
    <row r="3664" s="65" customFormat="1"/>
    <row r="3665" s="65" customFormat="1"/>
    <row r="3666" s="65" customFormat="1"/>
    <row r="3667" s="65" customFormat="1"/>
    <row r="3668" s="65" customFormat="1"/>
    <row r="3669" s="65" customFormat="1"/>
    <row r="3670" s="65" customFormat="1"/>
    <row r="3671" s="65" customFormat="1"/>
    <row r="3672" s="65" customFormat="1"/>
    <row r="3673" s="65" customFormat="1"/>
    <row r="3674" s="65" customFormat="1"/>
    <row r="3675" s="65" customFormat="1"/>
    <row r="3676" s="65" customFormat="1"/>
    <row r="3677" s="65" customFormat="1"/>
    <row r="3678" s="65" customFormat="1"/>
    <row r="3679" s="65" customFormat="1"/>
    <row r="3680" s="65" customFormat="1"/>
    <row r="3681" s="65" customFormat="1"/>
    <row r="3682" s="65" customFormat="1"/>
    <row r="3683" s="65" customFormat="1"/>
    <row r="3684" s="65" customFormat="1"/>
    <row r="3685" s="65" customFormat="1"/>
    <row r="3686" s="65" customFormat="1"/>
    <row r="3687" s="65" customFormat="1"/>
    <row r="3688" s="65" customFormat="1"/>
    <row r="3689" s="65" customFormat="1"/>
    <row r="3690" s="65" customFormat="1"/>
    <row r="3691" s="65" customFormat="1"/>
    <row r="3692" s="65" customFormat="1"/>
    <row r="3693" s="65" customFormat="1"/>
    <row r="3694" s="65" customFormat="1"/>
    <row r="3695" s="65" customFormat="1"/>
    <row r="3696" s="65" customFormat="1"/>
    <row r="3697" s="65" customFormat="1"/>
    <row r="3698" s="65" customFormat="1"/>
    <row r="3699" s="65" customFormat="1"/>
    <row r="3700" s="65" customFormat="1"/>
    <row r="3701" s="65" customFormat="1"/>
    <row r="3702" s="65" customFormat="1"/>
    <row r="3703" s="65" customFormat="1"/>
    <row r="3704" s="65" customFormat="1"/>
    <row r="3705" s="65" customFormat="1"/>
    <row r="3706" s="65" customFormat="1"/>
    <row r="3707" s="65" customFormat="1"/>
    <row r="3708" s="65" customFormat="1"/>
    <row r="3709" s="65" customFormat="1"/>
    <row r="3710" s="65" customFormat="1"/>
    <row r="3711" s="65" customFormat="1"/>
    <row r="3712" s="65" customFormat="1"/>
    <row r="3713" s="65" customFormat="1"/>
    <row r="3714" s="65" customFormat="1"/>
    <row r="3715" s="65" customFormat="1"/>
    <row r="3716" s="65" customFormat="1"/>
    <row r="3717" s="65" customFormat="1"/>
    <row r="3718" s="65" customFormat="1"/>
    <row r="3719" s="65" customFormat="1"/>
    <row r="3720" s="65" customFormat="1"/>
    <row r="3721" s="65" customFormat="1"/>
    <row r="3722" s="65" customFormat="1"/>
    <row r="3723" s="65" customFormat="1"/>
    <row r="3724" s="65" customFormat="1"/>
    <row r="3725" s="65" customFormat="1"/>
    <row r="3726" s="65" customFormat="1"/>
    <row r="3727" s="65" customFormat="1"/>
    <row r="3728" s="65" customFormat="1"/>
    <row r="3729" s="65" customFormat="1"/>
    <row r="3730" s="65" customFormat="1"/>
    <row r="3731" s="65" customFormat="1"/>
    <row r="3732" s="65" customFormat="1"/>
    <row r="3733" s="65" customFormat="1"/>
    <row r="3734" s="65" customFormat="1"/>
    <row r="3735" s="65" customFormat="1"/>
    <row r="3736" s="65" customFormat="1"/>
    <row r="3737" s="65" customFormat="1"/>
    <row r="3738" s="65" customFormat="1"/>
    <row r="3739" s="65" customFormat="1"/>
    <row r="3740" s="65" customFormat="1"/>
    <row r="3741" s="65" customFormat="1"/>
    <row r="3742" s="65" customFormat="1"/>
    <row r="3743" s="65" customFormat="1"/>
    <row r="3744" s="65" customFormat="1"/>
    <row r="3745" s="65" customFormat="1"/>
    <row r="3746" s="65" customFormat="1"/>
    <row r="3747" s="65" customFormat="1"/>
    <row r="3748" s="65" customFormat="1"/>
    <row r="3749" s="65" customFormat="1"/>
    <row r="3750" s="65" customFormat="1"/>
    <row r="3751" s="65" customFormat="1"/>
    <row r="3752" s="65" customFormat="1"/>
    <row r="3753" s="65" customFormat="1"/>
    <row r="3754" s="65" customFormat="1"/>
    <row r="3755" s="65" customFormat="1"/>
    <row r="3756" s="65" customFormat="1"/>
    <row r="3757" s="65" customFormat="1"/>
    <row r="3758" s="65" customFormat="1"/>
    <row r="3759" s="65" customFormat="1"/>
    <row r="3760" s="65" customFormat="1"/>
    <row r="3761" s="65" customFormat="1"/>
    <row r="3762" s="65" customFormat="1"/>
    <row r="3763" s="65" customFormat="1"/>
    <row r="3764" s="65" customFormat="1"/>
    <row r="3765" s="65" customFormat="1"/>
    <row r="3766" s="65" customFormat="1"/>
    <row r="3767" s="65" customFormat="1"/>
    <row r="3768" s="65" customFormat="1"/>
    <row r="3769" s="65" customFormat="1"/>
    <row r="3770" s="65" customFormat="1"/>
    <row r="3771" s="65" customFormat="1"/>
    <row r="3772" s="65" customFormat="1"/>
    <row r="3773" s="65" customFormat="1"/>
    <row r="3774" s="65" customFormat="1"/>
    <row r="3775" s="65" customFormat="1"/>
    <row r="3776" s="65" customFormat="1"/>
    <row r="3777" s="65" customFormat="1"/>
    <row r="3778" s="65" customFormat="1"/>
    <row r="3779" s="65" customFormat="1"/>
    <row r="3780" s="65" customFormat="1"/>
    <row r="3781" s="65" customFormat="1"/>
    <row r="3782" s="65" customFormat="1"/>
    <row r="3783" s="65" customFormat="1"/>
    <row r="3784" s="65" customFormat="1"/>
    <row r="3785" s="65" customFormat="1"/>
    <row r="3786" s="65" customFormat="1"/>
    <row r="3787" s="65" customFormat="1"/>
    <row r="3788" s="65" customFormat="1"/>
    <row r="3789" s="65" customFormat="1"/>
    <row r="3790" s="65" customFormat="1"/>
    <row r="3791" s="65" customFormat="1"/>
    <row r="3792" s="65" customFormat="1"/>
    <row r="3793" s="65" customFormat="1"/>
    <row r="3794" s="65" customFormat="1"/>
    <row r="3795" s="65" customFormat="1"/>
    <row r="3796" s="65" customFormat="1"/>
    <row r="3797" s="65" customFormat="1"/>
    <row r="3798" s="65" customFormat="1"/>
    <row r="3799" s="65" customFormat="1"/>
    <row r="3800" s="65" customFormat="1"/>
    <row r="3801" s="65" customFormat="1"/>
    <row r="3802" s="65" customFormat="1"/>
    <row r="3803" s="65" customFormat="1"/>
    <row r="3804" s="65" customFormat="1"/>
    <row r="3805" s="65" customFormat="1"/>
    <row r="3806" s="65" customFormat="1"/>
    <row r="3807" s="65" customFormat="1"/>
    <row r="3808" s="65" customFormat="1"/>
    <row r="3809" s="65" customFormat="1"/>
    <row r="3810" s="65" customFormat="1"/>
    <row r="3811" s="65" customFormat="1"/>
    <row r="3812" s="65" customFormat="1"/>
    <row r="3813" s="65" customFormat="1"/>
    <row r="3814" s="65" customFormat="1"/>
    <row r="3815" s="65" customFormat="1"/>
    <row r="3816" s="65" customFormat="1"/>
    <row r="3817" s="65" customFormat="1"/>
    <row r="3818" s="65" customFormat="1"/>
    <row r="3819" s="65" customFormat="1"/>
    <row r="3820" s="65" customFormat="1"/>
    <row r="3821" s="65" customFormat="1"/>
    <row r="3822" s="65" customFormat="1"/>
    <row r="3823" s="65" customFormat="1"/>
    <row r="3824" s="65" customFormat="1"/>
    <row r="3825" s="65" customFormat="1"/>
    <row r="3826" s="65" customFormat="1"/>
    <row r="3827" s="65" customFormat="1"/>
    <row r="3828" s="65" customFormat="1"/>
    <row r="3829" s="65" customFormat="1"/>
    <row r="3830" s="65" customFormat="1"/>
    <row r="3831" s="65" customFormat="1"/>
    <row r="3832" s="65" customFormat="1"/>
    <row r="3833" s="65" customFormat="1"/>
    <row r="3834" s="65" customFormat="1"/>
    <row r="3835" s="65" customFormat="1"/>
    <row r="3836" s="65" customFormat="1"/>
    <row r="3837" s="65" customFormat="1"/>
    <row r="3838" s="65" customFormat="1"/>
    <row r="3839" s="65" customFormat="1"/>
    <row r="3840" s="65" customFormat="1"/>
    <row r="3841" s="65" customFormat="1"/>
    <row r="3842" s="65" customFormat="1"/>
    <row r="3843" s="65" customFormat="1"/>
    <row r="3844" s="65" customFormat="1"/>
    <row r="3845" s="65" customFormat="1"/>
    <row r="3846" s="65" customFormat="1"/>
    <row r="3847" s="65" customFormat="1"/>
    <row r="3848" s="65" customFormat="1"/>
    <row r="3849" s="65" customFormat="1"/>
    <row r="3850" s="65" customFormat="1"/>
    <row r="3851" s="65" customFormat="1"/>
    <row r="3852" s="65" customFormat="1"/>
    <row r="3853" s="65" customFormat="1"/>
    <row r="3854" s="65" customFormat="1"/>
    <row r="3855" s="65" customFormat="1"/>
    <row r="3856" s="65" customFormat="1"/>
    <row r="3857" s="65" customFormat="1"/>
    <row r="3858" s="65" customFormat="1"/>
    <row r="3859" s="65" customFormat="1"/>
    <row r="3860" s="65" customFormat="1"/>
    <row r="3861" s="65" customFormat="1"/>
    <row r="3862" s="65" customFormat="1"/>
    <row r="3863" s="65" customFormat="1"/>
    <row r="3864" s="65" customFormat="1"/>
    <row r="3865" s="65" customFormat="1"/>
    <row r="3866" s="65" customFormat="1"/>
    <row r="3867" s="65" customFormat="1"/>
    <row r="3868" s="65" customFormat="1"/>
    <row r="3869" s="65" customFormat="1"/>
    <row r="3870" s="65" customFormat="1"/>
    <row r="3871" s="65" customFormat="1"/>
    <row r="3872" s="65" customFormat="1"/>
    <row r="3873" s="65" customFormat="1"/>
    <row r="3874" s="65" customFormat="1"/>
    <row r="3875" s="65" customFormat="1"/>
    <row r="3876" s="65" customFormat="1"/>
    <row r="3877" s="65" customFormat="1"/>
    <row r="3878" s="65" customFormat="1"/>
    <row r="3879" s="65" customFormat="1"/>
    <row r="3880" s="65" customFormat="1"/>
    <row r="3881" s="65" customFormat="1"/>
    <row r="3882" s="65" customFormat="1"/>
    <row r="3883" s="65" customFormat="1"/>
    <row r="3884" s="65" customFormat="1"/>
    <row r="3885" s="65" customFormat="1"/>
    <row r="3886" s="65" customFormat="1"/>
    <row r="3887" s="65" customFormat="1"/>
    <row r="3888" s="65" customFormat="1"/>
    <row r="3889" s="65" customFormat="1"/>
    <row r="3890" s="65" customFormat="1"/>
    <row r="3891" s="65" customFormat="1"/>
    <row r="3892" s="65" customFormat="1"/>
    <row r="3893" s="65" customFormat="1"/>
    <row r="3894" s="65" customFormat="1"/>
    <row r="3895" s="65" customFormat="1"/>
    <row r="3896" s="65" customFormat="1"/>
    <row r="3897" s="65" customFormat="1"/>
    <row r="3898" s="65" customFormat="1"/>
    <row r="3899" s="65" customFormat="1"/>
    <row r="3900" s="65" customFormat="1"/>
    <row r="3901" s="65" customFormat="1"/>
    <row r="3902" s="65" customFormat="1"/>
    <row r="3903" s="65" customFormat="1"/>
    <row r="3904" s="65" customFormat="1"/>
    <row r="3905" s="65" customFormat="1"/>
    <row r="3906" s="65" customFormat="1"/>
    <row r="3907" s="65" customFormat="1"/>
    <row r="3908" s="65" customFormat="1"/>
    <row r="3909" s="65" customFormat="1"/>
    <row r="3910" s="65" customFormat="1"/>
    <row r="3911" s="65" customFormat="1"/>
    <row r="3912" s="65" customFormat="1"/>
    <row r="3913" s="65" customFormat="1"/>
    <row r="3914" s="65" customFormat="1"/>
    <row r="3915" s="65" customFormat="1"/>
    <row r="3916" s="65" customFormat="1"/>
    <row r="3917" s="65" customFormat="1"/>
    <row r="3918" s="65" customFormat="1"/>
    <row r="3919" s="65" customFormat="1"/>
    <row r="3920" s="65" customFormat="1"/>
    <row r="3921" s="65" customFormat="1"/>
    <row r="3922" s="65" customFormat="1"/>
    <row r="3923" s="65" customFormat="1"/>
    <row r="3924" s="65" customFormat="1"/>
    <row r="3925" s="65" customFormat="1"/>
    <row r="3926" s="65" customFormat="1"/>
    <row r="3927" s="65" customFormat="1"/>
    <row r="3928" s="65" customFormat="1"/>
    <row r="3929" s="65" customFormat="1"/>
    <row r="3930" s="65" customFormat="1"/>
    <row r="3931" s="65" customFormat="1"/>
    <row r="3932" s="65" customFormat="1"/>
    <row r="3933" s="65" customFormat="1"/>
    <row r="3934" s="65" customFormat="1"/>
    <row r="3935" s="65" customFormat="1"/>
    <row r="3936" s="65" customFormat="1"/>
    <row r="3937" s="65" customFormat="1"/>
    <row r="3938" s="65" customFormat="1"/>
    <row r="3939" s="65" customFormat="1"/>
    <row r="3940" s="65" customFormat="1"/>
    <row r="3941" s="65" customFormat="1"/>
    <row r="3942" s="65" customFormat="1"/>
    <row r="3943" s="65" customFormat="1"/>
    <row r="3944" s="65" customFormat="1"/>
    <row r="3945" s="65" customFormat="1"/>
    <row r="3946" s="65" customFormat="1"/>
    <row r="3947" s="65" customFormat="1"/>
    <row r="3948" s="65" customFormat="1"/>
    <row r="3949" s="65" customFormat="1"/>
    <row r="3950" s="65" customFormat="1"/>
    <row r="3951" s="65" customFormat="1"/>
    <row r="3952" s="65" customFormat="1"/>
    <row r="3953" s="65" customFormat="1"/>
    <row r="3954" s="65" customFormat="1"/>
    <row r="3955" s="65" customFormat="1"/>
    <row r="3956" s="65" customFormat="1"/>
    <row r="3957" s="65" customFormat="1"/>
    <row r="3958" s="65" customFormat="1"/>
    <row r="3959" s="65" customFormat="1"/>
    <row r="3960" s="65" customFormat="1"/>
    <row r="3961" s="65" customFormat="1"/>
    <row r="3962" s="65" customFormat="1"/>
    <row r="3963" s="65" customFormat="1"/>
    <row r="3964" s="65" customFormat="1"/>
    <row r="3965" s="65" customFormat="1"/>
    <row r="3966" s="65" customFormat="1"/>
    <row r="3967" s="65" customFormat="1"/>
    <row r="3968" s="65" customFormat="1"/>
    <row r="3969" s="65" customFormat="1"/>
    <row r="3970" s="65" customFormat="1"/>
    <row r="3971" s="65" customFormat="1"/>
    <row r="3972" s="65" customFormat="1"/>
    <row r="3973" s="65" customFormat="1"/>
    <row r="3974" s="65" customFormat="1"/>
    <row r="3975" s="65" customFormat="1"/>
    <row r="3976" s="65" customFormat="1"/>
    <row r="3977" s="65" customFormat="1"/>
    <row r="3978" s="65" customFormat="1"/>
    <row r="3979" s="65" customFormat="1"/>
    <row r="3980" s="65" customFormat="1"/>
    <row r="3981" s="65" customFormat="1"/>
    <row r="3982" s="65" customFormat="1"/>
    <row r="3983" s="65" customFormat="1"/>
    <row r="3984" s="65" customFormat="1"/>
    <row r="3985" s="65" customFormat="1"/>
    <row r="3986" s="65" customFormat="1"/>
    <row r="3987" s="65" customFormat="1"/>
    <row r="3988" s="65" customFormat="1"/>
    <row r="3989" s="65" customFormat="1"/>
    <row r="3990" s="65" customFormat="1"/>
    <row r="3991" s="65" customFormat="1"/>
    <row r="3992" s="65" customFormat="1"/>
    <row r="3993" s="65" customFormat="1"/>
    <row r="3994" s="65" customFormat="1"/>
    <row r="3995" s="65" customFormat="1"/>
    <row r="3996" s="65" customFormat="1"/>
    <row r="3997" s="65" customFormat="1"/>
    <row r="3998" s="65" customFormat="1"/>
    <row r="3999" s="65" customFormat="1"/>
    <row r="4000" s="65" customFormat="1"/>
    <row r="4001" s="65" customFormat="1"/>
    <row r="4002" s="65" customFormat="1"/>
    <row r="4003" s="65" customFormat="1"/>
    <row r="4004" s="65" customFormat="1"/>
    <row r="4005" s="65" customFormat="1"/>
    <row r="4006" s="65" customFormat="1"/>
    <row r="4007" s="65" customFormat="1"/>
    <row r="4008" s="65" customFormat="1"/>
    <row r="4009" s="65" customFormat="1"/>
    <row r="4010" s="65" customFormat="1"/>
    <row r="4011" s="65" customFormat="1"/>
    <row r="4012" s="65" customFormat="1"/>
    <row r="4013" s="65" customFormat="1"/>
    <row r="4014" s="65" customFormat="1"/>
    <row r="4015" s="65" customFormat="1"/>
    <row r="4016" s="65" customFormat="1"/>
    <row r="4017" s="65" customFormat="1"/>
    <row r="4018" s="65" customFormat="1"/>
    <row r="4019" s="65" customFormat="1"/>
    <row r="4020" s="65" customFormat="1"/>
    <row r="4021" s="65" customFormat="1"/>
    <row r="4022" s="65" customFormat="1"/>
    <row r="4023" s="65" customFormat="1"/>
    <row r="4024" s="65" customFormat="1"/>
    <row r="4025" s="65" customFormat="1"/>
    <row r="4026" s="65" customFormat="1"/>
    <row r="4027" s="65" customFormat="1"/>
    <row r="4028" s="65" customFormat="1"/>
    <row r="4029" s="65" customFormat="1"/>
    <row r="4030" s="65" customFormat="1"/>
    <row r="4031" s="65" customFormat="1"/>
    <row r="4032" s="65" customFormat="1"/>
    <row r="4033" s="65" customFormat="1"/>
    <row r="4034" s="65" customFormat="1"/>
    <row r="4035" s="65" customFormat="1"/>
    <row r="4036" s="65" customFormat="1"/>
    <row r="4037" s="65" customFormat="1"/>
    <row r="4038" s="65" customFormat="1"/>
    <row r="4039" s="65" customFormat="1"/>
    <row r="4040" s="65" customFormat="1"/>
    <row r="4041" s="65" customFormat="1"/>
    <row r="4042" s="65" customFormat="1"/>
    <row r="4043" s="65" customFormat="1"/>
    <row r="4044" s="65" customFormat="1"/>
    <row r="4045" s="65" customFormat="1"/>
    <row r="4046" s="65" customFormat="1"/>
    <row r="4047" s="65" customFormat="1"/>
    <row r="4048" s="65" customFormat="1"/>
    <row r="4049" s="65" customFormat="1"/>
    <row r="4050" s="65" customFormat="1"/>
    <row r="4051" s="65" customFormat="1"/>
    <row r="4052" s="65" customFormat="1"/>
    <row r="4053" s="65" customFormat="1"/>
    <row r="4054" s="65" customFormat="1"/>
    <row r="4055" s="65" customFormat="1"/>
    <row r="4056" s="65" customFormat="1"/>
    <row r="4057" s="65" customFormat="1"/>
    <row r="4058" s="65" customFormat="1"/>
    <row r="4059" s="65" customFormat="1"/>
    <row r="4060" s="65" customFormat="1"/>
    <row r="4061" s="65" customFormat="1"/>
    <row r="4062" s="65" customFormat="1"/>
    <row r="4063" s="65" customFormat="1"/>
    <row r="4064" s="65" customFormat="1"/>
    <row r="4065" s="65" customFormat="1"/>
    <row r="4066" s="65" customFormat="1"/>
    <row r="4067" s="65" customFormat="1"/>
    <row r="4068" s="65" customFormat="1"/>
    <row r="4069" s="65" customFormat="1"/>
    <row r="4070" s="65" customFormat="1"/>
    <row r="4071" s="65" customFormat="1"/>
    <row r="4072" s="65" customFormat="1"/>
    <row r="4073" s="65" customFormat="1"/>
    <row r="4074" s="65" customFormat="1"/>
    <row r="4075" s="65" customFormat="1"/>
    <row r="4076" s="65" customFormat="1"/>
    <row r="4077" s="65" customFormat="1"/>
    <row r="4078" s="65" customFormat="1"/>
    <row r="4079" s="65" customFormat="1"/>
    <row r="4080" s="65" customFormat="1"/>
    <row r="4081" s="65" customFormat="1"/>
    <row r="4082" s="65" customFormat="1"/>
    <row r="4083" s="65" customFormat="1"/>
    <row r="4084" s="65" customFormat="1"/>
    <row r="4085" s="65" customFormat="1"/>
    <row r="4086" s="65" customFormat="1"/>
    <row r="4087" s="65" customFormat="1"/>
    <row r="4088" s="65" customFormat="1"/>
    <row r="4089" s="65" customFormat="1"/>
    <row r="4090" s="65" customFormat="1"/>
    <row r="4091" s="65" customFormat="1"/>
    <row r="4092" s="65" customFormat="1"/>
    <row r="4093" s="65" customFormat="1"/>
    <row r="4094" s="65" customFormat="1"/>
    <row r="4095" s="65" customFormat="1"/>
    <row r="4096" s="65" customFormat="1"/>
    <row r="4097" s="65" customFormat="1"/>
    <row r="4098" s="65" customFormat="1"/>
    <row r="4099" s="65" customFormat="1"/>
    <row r="4100" s="65" customFormat="1"/>
    <row r="4101" s="65" customFormat="1"/>
    <row r="4102" s="65" customFormat="1"/>
    <row r="4103" s="65" customFormat="1"/>
    <row r="4104" s="65" customFormat="1"/>
    <row r="4105" s="65" customFormat="1"/>
    <row r="4106" s="65" customFormat="1"/>
    <row r="4107" s="65" customFormat="1"/>
    <row r="4108" s="65" customFormat="1"/>
    <row r="4109" s="65" customFormat="1"/>
    <row r="4110" s="65" customFormat="1"/>
    <row r="4111" s="65" customFormat="1"/>
    <row r="4112" s="65" customFormat="1"/>
    <row r="4113" s="65" customFormat="1"/>
    <row r="4114" s="65" customFormat="1"/>
    <row r="4115" s="65" customFormat="1"/>
    <row r="4116" s="65" customFormat="1"/>
    <row r="4117" s="65" customFormat="1"/>
    <row r="4118" s="65" customFormat="1"/>
    <row r="4119" s="65" customFormat="1"/>
    <row r="4120" s="65" customFormat="1"/>
    <row r="4121" s="65" customFormat="1"/>
    <row r="4122" s="65" customFormat="1"/>
    <row r="4123" s="65" customFormat="1"/>
    <row r="4124" s="65" customFormat="1"/>
    <row r="4125" s="65" customFormat="1"/>
    <row r="4126" s="65" customFormat="1"/>
    <row r="4127" s="65" customFormat="1"/>
    <row r="4128" s="65" customFormat="1"/>
    <row r="4129" s="65" customFormat="1"/>
    <row r="4130" s="65" customFormat="1"/>
    <row r="4131" s="65" customFormat="1"/>
    <row r="4132" s="65" customFormat="1"/>
    <row r="4133" s="65" customFormat="1"/>
    <row r="4134" s="65" customFormat="1"/>
    <row r="4135" s="65" customFormat="1"/>
    <row r="4136" s="65" customFormat="1"/>
    <row r="4137" s="65" customFormat="1"/>
    <row r="4138" s="65" customFormat="1"/>
    <row r="4139" s="65" customFormat="1"/>
    <row r="4140" s="65" customFormat="1"/>
    <row r="4141" s="65" customFormat="1"/>
    <row r="4142" s="65" customFormat="1"/>
    <row r="4143" s="65" customFormat="1"/>
    <row r="4144" s="65" customFormat="1"/>
    <row r="4145" s="65" customFormat="1"/>
    <row r="4146" s="65" customFormat="1"/>
    <row r="4147" s="65" customFormat="1"/>
    <row r="4148" s="65" customFormat="1"/>
    <row r="4149" s="65" customFormat="1"/>
    <row r="4150" s="65" customFormat="1"/>
    <row r="4151" s="65" customFormat="1"/>
    <row r="4152" s="65" customFormat="1"/>
    <row r="4153" s="65" customFormat="1"/>
    <row r="4154" s="65" customFormat="1"/>
    <row r="4155" s="65" customFormat="1"/>
    <row r="4156" s="65" customFormat="1"/>
    <row r="4157" s="65" customFormat="1"/>
    <row r="4158" s="65" customFormat="1"/>
    <row r="4159" s="65" customFormat="1"/>
    <row r="4160" s="65" customFormat="1"/>
    <row r="4161" s="65" customFormat="1"/>
    <row r="4162" s="65" customFormat="1"/>
    <row r="4163" s="65" customFormat="1"/>
    <row r="4164" s="65" customFormat="1"/>
    <row r="4165" s="65" customFormat="1"/>
    <row r="4166" s="65" customFormat="1"/>
    <row r="4167" s="65" customFormat="1"/>
    <row r="4168" s="65" customFormat="1"/>
    <row r="4169" s="65" customFormat="1"/>
    <row r="4170" s="65" customFormat="1"/>
    <row r="4171" s="65" customFormat="1"/>
    <row r="4172" s="65" customFormat="1"/>
    <row r="4173" s="65" customFormat="1"/>
    <row r="4174" s="65" customFormat="1"/>
    <row r="4175" s="65" customFormat="1"/>
    <row r="4176" s="65" customFormat="1"/>
    <row r="4177" s="65" customFormat="1"/>
    <row r="4178" s="65" customFormat="1"/>
    <row r="4179" s="65" customFormat="1"/>
    <row r="4180" s="65" customFormat="1"/>
    <row r="4181" s="65" customFormat="1"/>
    <row r="4182" s="65" customFormat="1"/>
    <row r="4183" s="65" customFormat="1"/>
    <row r="4184" s="65" customFormat="1"/>
    <row r="4185" s="65" customFormat="1"/>
    <row r="4186" s="65" customFormat="1"/>
    <row r="4187" s="65" customFormat="1"/>
    <row r="4188" s="65" customFormat="1"/>
    <row r="4189" s="65" customFormat="1"/>
    <row r="4190" s="65" customFormat="1"/>
    <row r="4191" s="65" customFormat="1"/>
    <row r="4192" s="65" customFormat="1"/>
    <row r="4193" s="65" customFormat="1"/>
    <row r="4194" s="65" customFormat="1"/>
    <row r="4195" s="65" customFormat="1"/>
    <row r="4196" s="65" customFormat="1"/>
    <row r="4197" s="65" customFormat="1"/>
    <row r="4198" s="65" customFormat="1"/>
    <row r="4199" s="65" customFormat="1"/>
    <row r="4200" s="65" customFormat="1"/>
    <row r="4201" s="65" customFormat="1"/>
    <row r="4202" s="65" customFormat="1"/>
    <row r="4203" s="65" customFormat="1"/>
    <row r="4204" s="65" customFormat="1"/>
    <row r="4205" s="65" customFormat="1"/>
    <row r="4206" s="65" customFormat="1"/>
    <row r="4207" s="65" customFormat="1"/>
    <row r="4208" s="65" customFormat="1"/>
    <row r="4209" s="65" customFormat="1"/>
    <row r="4210" s="65" customFormat="1"/>
    <row r="4211" s="65" customFormat="1"/>
    <row r="4212" s="65" customFormat="1"/>
    <row r="4213" s="65" customFormat="1"/>
    <row r="4214" s="65" customFormat="1"/>
    <row r="4215" s="65" customFormat="1"/>
    <row r="4216" s="65" customFormat="1"/>
    <row r="4217" s="65" customFormat="1"/>
    <row r="4218" s="65" customFormat="1"/>
    <row r="4219" s="65" customFormat="1"/>
    <row r="4220" s="65" customFormat="1"/>
    <row r="4221" s="65" customFormat="1"/>
    <row r="4222" s="65" customFormat="1"/>
    <row r="4223" s="65" customFormat="1"/>
    <row r="4224" s="65" customFormat="1"/>
    <row r="4225" s="65" customFormat="1"/>
    <row r="4226" s="65" customFormat="1"/>
    <row r="4227" s="65" customFormat="1"/>
    <row r="4228" s="65" customFormat="1"/>
    <row r="4229" s="65" customFormat="1"/>
    <row r="4230" s="65" customFormat="1"/>
    <row r="4231" s="65" customFormat="1"/>
    <row r="4232" s="65" customFormat="1"/>
    <row r="4233" s="65" customFormat="1"/>
    <row r="4234" s="65" customFormat="1"/>
    <row r="4235" s="65" customFormat="1"/>
    <row r="4236" s="65" customFormat="1"/>
    <row r="4237" s="65" customFormat="1"/>
    <row r="4238" s="65" customFormat="1"/>
    <row r="4239" s="65" customFormat="1"/>
    <row r="4240" s="65" customFormat="1"/>
    <row r="4241" s="65" customFormat="1"/>
    <row r="4242" s="65" customFormat="1"/>
    <row r="4243" s="65" customFormat="1"/>
    <row r="4244" s="65" customFormat="1"/>
    <row r="4245" s="65" customFormat="1"/>
    <row r="4246" s="65" customFormat="1"/>
    <row r="4247" s="65" customFormat="1"/>
    <row r="4248" s="65" customFormat="1"/>
    <row r="4249" s="65" customFormat="1"/>
    <row r="4250" s="65" customFormat="1"/>
    <row r="4251" s="65" customFormat="1"/>
    <row r="4252" s="65" customFormat="1"/>
    <row r="4253" s="65" customFormat="1"/>
    <row r="4254" s="65" customFormat="1"/>
    <row r="4255" s="65" customFormat="1"/>
    <row r="4256" s="65" customFormat="1"/>
    <row r="4257" s="65" customFormat="1"/>
    <row r="4258" s="65" customFormat="1"/>
    <row r="4259" s="65" customFormat="1"/>
    <row r="4260" s="65" customFormat="1"/>
    <row r="4261" s="65" customFormat="1"/>
    <row r="4262" s="65" customFormat="1"/>
    <row r="4263" s="65" customFormat="1"/>
    <row r="4264" s="65" customFormat="1"/>
    <row r="4265" s="65" customFormat="1"/>
    <row r="4266" s="65" customFormat="1"/>
    <row r="4267" s="65" customFormat="1"/>
    <row r="4268" s="65" customFormat="1"/>
    <row r="4269" s="65" customFormat="1"/>
    <row r="4270" s="65" customFormat="1"/>
    <row r="4271" s="65" customFormat="1"/>
    <row r="4272" s="65" customFormat="1"/>
    <row r="4273" s="65" customFormat="1"/>
    <row r="4274" s="65" customFormat="1"/>
    <row r="4275" s="65" customFormat="1"/>
    <row r="4276" s="65" customFormat="1"/>
    <row r="4277" s="65" customFormat="1"/>
    <row r="4278" s="65" customFormat="1"/>
    <row r="4279" s="65" customFormat="1"/>
    <row r="4280" s="65" customFormat="1"/>
    <row r="4281" s="65" customFormat="1"/>
    <row r="4282" s="65" customFormat="1"/>
    <row r="4283" s="65" customFormat="1"/>
    <row r="4284" s="65" customFormat="1"/>
    <row r="4285" s="65" customFormat="1"/>
    <row r="4286" s="65" customFormat="1"/>
    <row r="4287" s="65" customFormat="1"/>
    <row r="4288" s="65" customFormat="1"/>
    <row r="4289" s="65" customFormat="1"/>
    <row r="4290" s="65" customFormat="1"/>
    <row r="4291" s="65" customFormat="1"/>
    <row r="4292" s="65" customFormat="1"/>
    <row r="4293" s="65" customFormat="1"/>
    <row r="4294" s="65" customFormat="1"/>
    <row r="4295" s="65" customFormat="1"/>
    <row r="4296" s="65" customFormat="1"/>
    <row r="4297" s="65" customFormat="1"/>
    <row r="4298" s="65" customFormat="1"/>
    <row r="4299" s="65" customFormat="1"/>
    <row r="4300" s="65" customFormat="1"/>
    <row r="4301" s="65" customFormat="1"/>
    <row r="4302" s="65" customFormat="1"/>
    <row r="4303" s="65" customFormat="1"/>
    <row r="4304" s="65" customFormat="1"/>
    <row r="4305" s="65" customFormat="1"/>
    <row r="4306" s="65" customFormat="1"/>
    <row r="4307" s="65" customFormat="1"/>
    <row r="4308" s="65" customFormat="1"/>
    <row r="4309" s="65" customFormat="1"/>
    <row r="4310" s="65" customFormat="1"/>
    <row r="4311" s="65" customFormat="1"/>
    <row r="4312" s="65" customFormat="1"/>
    <row r="4313" s="65" customFormat="1"/>
    <row r="4314" s="65" customFormat="1"/>
    <row r="4315" s="65" customFormat="1"/>
    <row r="4316" s="65" customFormat="1"/>
    <row r="4317" s="65" customFormat="1"/>
    <row r="4318" s="65" customFormat="1"/>
    <row r="4319" s="65" customFormat="1"/>
    <row r="4320" s="65" customFormat="1"/>
    <row r="4321" s="65" customFormat="1"/>
    <row r="4322" s="65" customFormat="1"/>
    <row r="4323" s="65" customFormat="1"/>
    <row r="4324" s="65" customFormat="1"/>
    <row r="4325" s="65" customFormat="1"/>
    <row r="4326" s="65" customFormat="1"/>
    <row r="4327" s="65" customFormat="1"/>
    <row r="4328" s="65" customFormat="1"/>
    <row r="4329" s="65" customFormat="1"/>
    <row r="4330" s="65" customFormat="1"/>
    <row r="4331" s="65" customFormat="1"/>
    <row r="4332" s="65" customFormat="1"/>
    <row r="4333" s="65" customFormat="1"/>
    <row r="4334" s="65" customFormat="1"/>
    <row r="4335" s="65" customFormat="1"/>
    <row r="4336" s="65" customFormat="1"/>
    <row r="4337" s="65" customFormat="1"/>
    <row r="4338" s="65" customFormat="1"/>
    <row r="4339" s="65" customFormat="1"/>
    <row r="4340" s="65" customFormat="1"/>
    <row r="4341" s="65" customFormat="1"/>
    <row r="4342" s="65" customFormat="1"/>
    <row r="4343" s="65" customFormat="1"/>
    <row r="4344" s="65" customFormat="1"/>
    <row r="4345" s="65" customFormat="1"/>
    <row r="4346" s="65" customFormat="1"/>
    <row r="4347" s="65" customFormat="1"/>
    <row r="4348" s="65" customFormat="1"/>
    <row r="4349" s="65" customFormat="1"/>
    <row r="4350" s="65" customFormat="1"/>
    <row r="4351" s="65" customFormat="1"/>
    <row r="4352" s="65" customFormat="1"/>
    <row r="4353" s="65" customFormat="1"/>
    <row r="4354" s="65" customFormat="1"/>
    <row r="4355" s="65" customFormat="1"/>
    <row r="4356" s="65" customFormat="1"/>
    <row r="4357" s="65" customFormat="1"/>
    <row r="4358" s="65" customFormat="1"/>
    <row r="4359" s="65" customFormat="1"/>
    <row r="4360" s="65" customFormat="1"/>
    <row r="4361" s="65" customFormat="1"/>
    <row r="4362" s="65" customFormat="1"/>
    <row r="4363" s="65" customFormat="1"/>
    <row r="4364" s="65" customFormat="1"/>
    <row r="4365" s="65" customFormat="1"/>
    <row r="4366" s="65" customFormat="1"/>
    <row r="4367" s="65" customFormat="1"/>
    <row r="4368" s="65" customFormat="1"/>
    <row r="4369" s="65" customFormat="1"/>
    <row r="4370" s="65" customFormat="1"/>
    <row r="4371" s="65" customFormat="1"/>
    <row r="4372" s="65" customFormat="1"/>
    <row r="4373" s="65" customFormat="1"/>
    <row r="4374" s="65" customFormat="1"/>
    <row r="4375" s="65" customFormat="1"/>
    <row r="4376" s="65" customFormat="1"/>
    <row r="4377" s="65" customFormat="1"/>
    <row r="4378" s="65" customFormat="1"/>
    <row r="4379" s="65" customFormat="1"/>
    <row r="4380" s="65" customFormat="1"/>
    <row r="4381" s="65" customFormat="1"/>
    <row r="4382" s="65" customFormat="1"/>
    <row r="4383" s="65" customFormat="1"/>
    <row r="4384" s="65" customFormat="1"/>
    <row r="4385" s="65" customFormat="1"/>
    <row r="4386" s="65" customFormat="1"/>
    <row r="4387" s="65" customFormat="1"/>
    <row r="4388" s="65" customFormat="1"/>
    <row r="4389" s="65" customFormat="1"/>
    <row r="4390" s="65" customFormat="1"/>
    <row r="4391" s="65" customFormat="1"/>
    <row r="4392" s="65" customFormat="1"/>
    <row r="4393" s="65" customFormat="1"/>
    <row r="4394" s="65" customFormat="1"/>
    <row r="4395" s="65" customFormat="1"/>
    <row r="4396" s="65" customFormat="1"/>
    <row r="4397" s="65" customFormat="1"/>
    <row r="4398" s="65" customFormat="1"/>
    <row r="4399" s="65" customFormat="1"/>
    <row r="4400" s="65" customFormat="1"/>
    <row r="4401" s="65" customFormat="1"/>
    <row r="4402" s="65" customFormat="1"/>
    <row r="4403" s="65" customFormat="1"/>
    <row r="4404" s="65" customFormat="1"/>
    <row r="4405" s="65" customFormat="1"/>
    <row r="4406" s="65" customFormat="1"/>
    <row r="4407" s="65" customFormat="1"/>
    <row r="4408" s="65" customFormat="1"/>
    <row r="4409" s="65" customFormat="1"/>
    <row r="4410" s="65" customFormat="1"/>
    <row r="4411" s="65" customFormat="1"/>
    <row r="4412" s="65" customFormat="1"/>
    <row r="4413" s="65" customFormat="1"/>
    <row r="4414" s="65" customFormat="1"/>
    <row r="4415" s="65" customFormat="1"/>
    <row r="4416" s="65" customFormat="1"/>
    <row r="4417" s="65" customFormat="1"/>
    <row r="4418" s="65" customFormat="1"/>
    <row r="4419" s="65" customFormat="1"/>
    <row r="4420" s="65" customFormat="1"/>
    <row r="4421" s="65" customFormat="1"/>
    <row r="4422" s="65" customFormat="1"/>
    <row r="4423" s="65" customFormat="1"/>
    <row r="4424" s="65" customFormat="1"/>
    <row r="4425" s="65" customFormat="1"/>
    <row r="4426" s="65" customFormat="1"/>
    <row r="4427" s="65" customFormat="1"/>
    <row r="4428" s="65" customFormat="1"/>
    <row r="4429" s="65" customFormat="1"/>
    <row r="4430" s="65" customFormat="1"/>
    <row r="4431" s="65" customFormat="1"/>
    <row r="4432" s="65" customFormat="1"/>
    <row r="4433" s="65" customFormat="1"/>
    <row r="4434" s="65" customFormat="1"/>
    <row r="4435" s="65" customFormat="1"/>
    <row r="4436" s="65" customFormat="1"/>
    <row r="4437" s="65" customFormat="1"/>
    <row r="4438" s="65" customFormat="1"/>
    <row r="4439" s="65" customFormat="1"/>
    <row r="4440" s="65" customFormat="1"/>
    <row r="4441" s="65" customFormat="1"/>
    <row r="4442" s="65" customFormat="1"/>
    <row r="4443" s="65" customFormat="1"/>
    <row r="4444" s="65" customFormat="1"/>
    <row r="4445" s="65" customFormat="1"/>
    <row r="4446" s="65" customFormat="1"/>
    <row r="4447" s="65" customFormat="1"/>
    <row r="4448" s="65" customFormat="1"/>
    <row r="4449" s="65" customFormat="1"/>
    <row r="4450" s="65" customFormat="1"/>
    <row r="4451" s="65" customFormat="1"/>
    <row r="4452" s="65" customFormat="1"/>
    <row r="4453" s="65" customFormat="1"/>
    <row r="4454" s="65" customFormat="1"/>
    <row r="4455" s="65" customFormat="1"/>
    <row r="4456" s="65" customFormat="1"/>
    <row r="4457" s="65" customFormat="1"/>
    <row r="4458" s="65" customFormat="1"/>
    <row r="4459" s="65" customFormat="1"/>
    <row r="4460" s="65" customFormat="1"/>
    <row r="4461" s="65" customFormat="1"/>
    <row r="4462" s="65" customFormat="1"/>
    <row r="4463" s="65" customFormat="1"/>
    <row r="4464" s="65" customFormat="1"/>
    <row r="4465" s="65" customFormat="1"/>
    <row r="4466" s="65" customFormat="1"/>
    <row r="4467" s="65" customFormat="1"/>
    <row r="4468" s="65" customFormat="1"/>
    <row r="4469" s="65" customFormat="1"/>
    <row r="4470" s="65" customFormat="1"/>
    <row r="4471" s="65" customFormat="1"/>
    <row r="4472" s="65" customFormat="1"/>
    <row r="4473" s="65" customFormat="1"/>
    <row r="4474" s="65" customFormat="1"/>
    <row r="4475" s="65" customFormat="1"/>
    <row r="4476" s="65" customFormat="1"/>
    <row r="4477" s="65" customFormat="1"/>
    <row r="4478" s="65" customFormat="1"/>
    <row r="4479" s="65" customFormat="1"/>
    <row r="4480" s="65" customFormat="1"/>
    <row r="4481" s="65" customFormat="1"/>
    <row r="4482" s="65" customFormat="1"/>
    <row r="4483" s="65" customFormat="1"/>
    <row r="4484" s="65" customFormat="1"/>
    <row r="4485" s="65" customFormat="1"/>
    <row r="4486" s="65" customFormat="1"/>
    <row r="4487" s="65" customFormat="1"/>
    <row r="4488" s="65" customFormat="1"/>
    <row r="4489" s="65" customFormat="1"/>
    <row r="4490" s="65" customFormat="1"/>
    <row r="4491" s="65" customFormat="1"/>
    <row r="4492" s="65" customFormat="1"/>
    <row r="4493" s="65" customFormat="1"/>
    <row r="4494" s="65" customFormat="1"/>
    <row r="4495" s="65" customFormat="1"/>
    <row r="4496" s="65" customFormat="1"/>
    <row r="4497" s="65" customFormat="1"/>
    <row r="4498" s="65" customFormat="1"/>
    <row r="4499" s="65" customFormat="1"/>
    <row r="4500" s="65" customFormat="1"/>
    <row r="4501" s="65" customFormat="1"/>
    <row r="4502" s="65" customFormat="1"/>
    <row r="4503" s="65" customFormat="1"/>
    <row r="4504" s="65" customFormat="1"/>
    <row r="4505" s="65" customFormat="1"/>
    <row r="4506" s="65" customFormat="1"/>
    <row r="4507" s="65" customFormat="1"/>
    <row r="4508" s="65" customFormat="1"/>
    <row r="4509" s="65" customFormat="1"/>
    <row r="4510" s="65" customFormat="1"/>
    <row r="4511" s="65" customFormat="1"/>
    <row r="4512" s="65" customFormat="1"/>
    <row r="4513" s="65" customFormat="1"/>
    <row r="4514" s="65" customFormat="1"/>
    <row r="4515" s="65" customFormat="1"/>
    <row r="4516" s="65" customFormat="1"/>
    <row r="4517" s="65" customFormat="1"/>
    <row r="4518" s="65" customFormat="1"/>
    <row r="4519" s="65" customFormat="1"/>
    <row r="4520" s="65" customFormat="1"/>
    <row r="4521" s="65" customFormat="1"/>
    <row r="4522" s="65" customFormat="1"/>
    <row r="4523" s="65" customFormat="1"/>
    <row r="4524" s="65" customFormat="1"/>
    <row r="4525" s="65" customFormat="1"/>
    <row r="4526" s="65" customFormat="1"/>
    <row r="4527" s="65" customFormat="1"/>
    <row r="4528" s="65" customFormat="1"/>
    <row r="4529" s="65" customFormat="1"/>
    <row r="4530" s="65" customFormat="1"/>
    <row r="4531" s="65" customFormat="1"/>
    <row r="4532" s="65" customFormat="1"/>
    <row r="4533" s="65" customFormat="1"/>
    <row r="4534" s="65" customFormat="1"/>
    <row r="4535" s="65" customFormat="1"/>
    <row r="4536" s="65" customFormat="1"/>
    <row r="4537" s="65" customFormat="1"/>
    <row r="4538" s="65" customFormat="1"/>
    <row r="4539" s="65" customFormat="1"/>
    <row r="4540" s="65" customFormat="1"/>
    <row r="4541" s="65" customFormat="1"/>
    <row r="4542" s="65" customFormat="1"/>
    <row r="4543" s="65" customFormat="1"/>
    <row r="4544" s="65" customFormat="1"/>
    <row r="4545" s="65" customFormat="1"/>
    <row r="4546" s="65" customFormat="1"/>
    <row r="4547" s="65" customFormat="1"/>
    <row r="4548" s="65" customFormat="1"/>
    <row r="4549" s="65" customFormat="1"/>
    <row r="4550" s="65" customFormat="1"/>
    <row r="4551" s="65" customFormat="1"/>
    <row r="4552" s="65" customFormat="1"/>
    <row r="4553" s="65" customFormat="1"/>
    <row r="4554" s="65" customFormat="1"/>
    <row r="4555" s="65" customFormat="1"/>
    <row r="4556" s="65" customFormat="1"/>
    <row r="4557" s="65" customFormat="1"/>
    <row r="4558" s="65" customFormat="1"/>
    <row r="4559" s="65" customFormat="1"/>
    <row r="4560" s="65" customFormat="1"/>
    <row r="4561" s="65" customFormat="1"/>
    <row r="4562" s="65" customFormat="1"/>
    <row r="4563" s="65" customFormat="1"/>
    <row r="4564" s="65" customFormat="1"/>
    <row r="4565" s="65" customFormat="1"/>
    <row r="4566" s="65" customFormat="1"/>
    <row r="4567" s="65" customFormat="1"/>
    <row r="4568" s="65" customFormat="1"/>
    <row r="4569" s="65" customFormat="1"/>
    <row r="4570" s="65" customFormat="1"/>
    <row r="4571" s="65" customFormat="1"/>
    <row r="4572" s="65" customFormat="1"/>
    <row r="4573" s="65" customFormat="1"/>
    <row r="4574" s="65" customFormat="1"/>
    <row r="4575" s="65" customFormat="1"/>
    <row r="4576" s="65" customFormat="1"/>
    <row r="4577" s="65" customFormat="1"/>
    <row r="4578" s="65" customFormat="1"/>
    <row r="4579" s="65" customFormat="1"/>
    <row r="4580" s="65" customFormat="1"/>
    <row r="4581" s="65" customFormat="1"/>
    <row r="4582" s="65" customFormat="1"/>
    <row r="4583" s="65" customFormat="1"/>
    <row r="4584" s="65" customFormat="1"/>
    <row r="4585" s="65" customFormat="1"/>
    <row r="4586" s="65" customFormat="1"/>
    <row r="4587" s="65" customFormat="1"/>
    <row r="4588" s="65" customFormat="1"/>
    <row r="4589" s="65" customFormat="1"/>
    <row r="4590" s="65" customFormat="1"/>
    <row r="4591" s="65" customFormat="1"/>
    <row r="4592" s="65" customFormat="1"/>
    <row r="4593" s="65" customFormat="1"/>
    <row r="4594" s="65" customFormat="1"/>
    <row r="4595" s="65" customFormat="1"/>
    <row r="4596" s="65" customFormat="1"/>
    <row r="4597" s="65" customFormat="1"/>
    <row r="4598" s="65" customFormat="1"/>
    <row r="4599" s="65" customFormat="1"/>
    <row r="4600" s="65" customFormat="1"/>
    <row r="4601" s="65" customFormat="1"/>
    <row r="4602" s="65" customFormat="1"/>
    <row r="4603" s="65" customFormat="1"/>
    <row r="4604" s="65" customFormat="1"/>
    <row r="4605" s="65" customFormat="1"/>
    <row r="4606" s="65" customFormat="1"/>
    <row r="4607" s="65" customFormat="1"/>
    <row r="4608" s="65" customFormat="1"/>
    <row r="4609" s="65" customFormat="1"/>
    <row r="4610" s="65" customFormat="1"/>
    <row r="4611" s="65" customFormat="1"/>
    <row r="4612" s="65" customFormat="1"/>
    <row r="4613" s="65" customFormat="1"/>
    <row r="4614" s="65" customFormat="1"/>
    <row r="4615" s="65" customFormat="1"/>
    <row r="4616" s="65" customFormat="1"/>
    <row r="4617" s="65" customFormat="1"/>
    <row r="4618" s="65" customFormat="1"/>
    <row r="4619" s="65" customFormat="1"/>
    <row r="4620" s="65" customFormat="1"/>
    <row r="4621" s="65" customFormat="1"/>
    <row r="4622" s="65" customFormat="1"/>
    <row r="4623" s="65" customFormat="1"/>
    <row r="4624" s="65" customFormat="1"/>
    <row r="4625" s="65" customFormat="1"/>
    <row r="4626" s="65" customFormat="1"/>
    <row r="4627" s="65" customFormat="1"/>
    <row r="4628" s="65" customFormat="1"/>
    <row r="4629" s="65" customFormat="1"/>
    <row r="4630" s="65" customFormat="1"/>
    <row r="4631" s="65" customFormat="1"/>
    <row r="4632" s="65" customFormat="1"/>
    <row r="4633" s="65" customFormat="1"/>
    <row r="4634" s="65" customFormat="1"/>
    <row r="4635" s="65" customFormat="1"/>
    <row r="4636" s="65" customFormat="1"/>
    <row r="4637" s="65" customFormat="1"/>
    <row r="4638" s="65" customFormat="1"/>
    <row r="4639" s="65" customFormat="1"/>
    <row r="4640" s="65" customFormat="1"/>
    <row r="4641" s="65" customFormat="1"/>
    <row r="4642" s="65" customFormat="1"/>
    <row r="4643" s="65" customFormat="1"/>
    <row r="4644" s="65" customFormat="1"/>
    <row r="4645" s="65" customFormat="1"/>
    <row r="4646" s="65" customFormat="1"/>
    <row r="4647" s="65" customFormat="1"/>
    <row r="4648" s="65" customFormat="1"/>
    <row r="4649" s="65" customFormat="1"/>
    <row r="4650" s="65" customFormat="1"/>
    <row r="4651" s="65" customFormat="1"/>
    <row r="4652" s="65" customFormat="1"/>
    <row r="4653" s="65" customFormat="1"/>
    <row r="4654" s="65" customFormat="1"/>
    <row r="4655" s="65" customFormat="1"/>
    <row r="4656" s="65" customFormat="1"/>
    <row r="4657" s="65" customFormat="1"/>
    <row r="4658" s="65" customFormat="1"/>
    <row r="4659" s="65" customFormat="1"/>
    <row r="4660" s="65" customFormat="1"/>
    <row r="4661" s="65" customFormat="1"/>
    <row r="4662" s="65" customFormat="1"/>
    <row r="4663" s="65" customFormat="1"/>
    <row r="4664" s="65" customFormat="1"/>
    <row r="4665" s="65" customFormat="1"/>
    <row r="4666" s="65" customFormat="1"/>
    <row r="4667" s="65" customFormat="1"/>
    <row r="4668" s="65" customFormat="1"/>
    <row r="4669" s="65" customFormat="1"/>
    <row r="4670" s="65" customFormat="1"/>
    <row r="4671" s="65" customFormat="1"/>
    <row r="4672" s="65" customFormat="1"/>
    <row r="4673" s="65" customFormat="1"/>
    <row r="4674" s="65" customFormat="1"/>
    <row r="4675" s="65" customFormat="1"/>
    <row r="4676" s="65" customFormat="1"/>
    <row r="4677" s="65" customFormat="1"/>
    <row r="4678" s="65" customFormat="1"/>
    <row r="4679" s="65" customFormat="1"/>
    <row r="4680" s="65" customFormat="1"/>
    <row r="4681" s="65" customFormat="1"/>
    <row r="4682" s="65" customFormat="1"/>
    <row r="4683" s="65" customFormat="1"/>
    <row r="4684" s="65" customFormat="1"/>
    <row r="4685" s="65" customFormat="1"/>
    <row r="4686" s="65" customFormat="1"/>
    <row r="4687" s="65" customFormat="1"/>
    <row r="4688" s="65" customFormat="1"/>
    <row r="4689" s="65" customFormat="1"/>
    <row r="4690" s="65" customFormat="1"/>
    <row r="4691" s="65" customFormat="1"/>
    <row r="4692" s="65" customFormat="1"/>
    <row r="4693" s="65" customFormat="1"/>
    <row r="4694" s="65" customFormat="1"/>
    <row r="4695" s="65" customFormat="1"/>
    <row r="4696" s="65" customFormat="1"/>
    <row r="4697" s="65" customFormat="1"/>
    <row r="4698" s="65" customFormat="1"/>
    <row r="4699" s="65" customFormat="1"/>
    <row r="4700" s="65" customFormat="1"/>
    <row r="4701" s="65" customFormat="1"/>
    <row r="4702" s="65" customFormat="1"/>
    <row r="4703" s="65" customFormat="1"/>
    <row r="4704" s="65" customFormat="1"/>
    <row r="4705" s="65" customFormat="1"/>
    <row r="4706" s="65" customFormat="1"/>
    <row r="4707" s="65" customFormat="1"/>
    <row r="4708" s="65" customFormat="1"/>
    <row r="4709" s="65" customFormat="1"/>
    <row r="4710" s="65" customFormat="1"/>
    <row r="4711" s="65" customFormat="1"/>
    <row r="4712" s="65" customFormat="1"/>
    <row r="4713" s="65" customFormat="1"/>
    <row r="4714" s="65" customFormat="1"/>
    <row r="4715" s="65" customFormat="1"/>
    <row r="4716" s="65" customFormat="1"/>
    <row r="4717" s="65" customFormat="1"/>
    <row r="4718" s="65" customFormat="1"/>
    <row r="4719" s="65" customFormat="1"/>
    <row r="4720" s="65" customFormat="1"/>
    <row r="4721" s="65" customFormat="1"/>
    <row r="4722" s="65" customFormat="1"/>
    <row r="4723" s="65" customFormat="1"/>
    <row r="4724" s="65" customFormat="1"/>
    <row r="4725" s="65" customFormat="1"/>
    <row r="4726" s="65" customFormat="1"/>
    <row r="4727" s="65" customFormat="1"/>
    <row r="4728" s="65" customFormat="1"/>
    <row r="4729" s="65" customFormat="1"/>
    <row r="4730" s="65" customFormat="1"/>
    <row r="4731" s="65" customFormat="1"/>
    <row r="4732" s="65" customFormat="1"/>
    <row r="4733" s="65" customFormat="1"/>
    <row r="4734" s="65" customFormat="1"/>
    <row r="4735" s="65" customFormat="1"/>
    <row r="4736" s="65" customFormat="1"/>
    <row r="4737" s="65" customFormat="1"/>
    <row r="4738" s="65" customFormat="1"/>
    <row r="4739" s="65" customFormat="1"/>
    <row r="4740" s="65" customFormat="1"/>
    <row r="4741" s="65" customFormat="1"/>
    <row r="4742" s="65" customFormat="1"/>
    <row r="4743" s="65" customFormat="1"/>
    <row r="4744" s="65" customFormat="1"/>
    <row r="4745" s="65" customFormat="1"/>
    <row r="4746" s="65" customFormat="1"/>
    <row r="4747" s="65" customFormat="1"/>
    <row r="4748" s="65" customFormat="1"/>
    <row r="4749" s="65" customFormat="1"/>
    <row r="4750" s="65" customFormat="1"/>
    <row r="4751" s="65" customFormat="1"/>
    <row r="4752" s="65" customFormat="1"/>
    <row r="4753" s="65" customFormat="1"/>
    <row r="4754" s="65" customFormat="1"/>
    <row r="4755" s="65" customFormat="1"/>
    <row r="4756" s="65" customFormat="1"/>
    <row r="4757" s="65" customFormat="1"/>
    <row r="4758" s="65" customFormat="1"/>
    <row r="4759" s="65" customFormat="1"/>
    <row r="4760" s="65" customFormat="1"/>
    <row r="4761" s="65" customFormat="1"/>
    <row r="4762" s="65" customFormat="1"/>
    <row r="4763" s="65" customFormat="1"/>
    <row r="4764" s="65" customFormat="1"/>
    <row r="4765" s="65" customFormat="1"/>
    <row r="4766" s="65" customFormat="1"/>
    <row r="4767" s="65" customFormat="1"/>
    <row r="4768" s="65" customFormat="1"/>
    <row r="4769" s="65" customFormat="1"/>
    <row r="4770" s="65" customFormat="1"/>
    <row r="4771" s="65" customFormat="1"/>
    <row r="4772" s="65" customFormat="1"/>
    <row r="4773" s="65" customFormat="1"/>
    <row r="4774" s="65" customFormat="1"/>
    <row r="4775" s="65" customFormat="1"/>
    <row r="4776" s="65" customFormat="1"/>
    <row r="4777" s="65" customFormat="1"/>
    <row r="4778" s="65" customFormat="1"/>
    <row r="4779" s="65" customFormat="1"/>
    <row r="4780" s="65" customFormat="1"/>
    <row r="4781" s="65" customFormat="1"/>
    <row r="4782" s="65" customFormat="1"/>
    <row r="4783" s="65" customFormat="1"/>
    <row r="4784" s="65" customFormat="1"/>
    <row r="4785" s="65" customFormat="1"/>
    <row r="4786" s="65" customFormat="1"/>
    <row r="4787" s="65" customFormat="1"/>
    <row r="4788" s="65" customFormat="1"/>
    <row r="4789" s="65" customFormat="1"/>
    <row r="4790" s="65" customFormat="1"/>
    <row r="4791" s="65" customFormat="1"/>
    <row r="4792" s="65" customFormat="1"/>
    <row r="4793" s="65" customFormat="1"/>
    <row r="4794" s="65" customFormat="1"/>
    <row r="4795" s="65" customFormat="1"/>
    <row r="4796" s="65" customFormat="1"/>
    <row r="4797" s="65" customFormat="1"/>
    <row r="4798" s="65" customFormat="1"/>
    <row r="4799" s="65" customFormat="1"/>
    <row r="4800" s="65" customFormat="1"/>
    <row r="4801" s="65" customFormat="1"/>
    <row r="4802" s="65" customFormat="1"/>
    <row r="4803" s="65" customFormat="1"/>
    <row r="4804" s="65" customFormat="1"/>
    <row r="4805" s="65" customFormat="1"/>
    <row r="4806" s="65" customFormat="1"/>
    <row r="4807" s="65" customFormat="1"/>
    <row r="4808" s="65" customFormat="1"/>
    <row r="4809" s="65" customFormat="1"/>
    <row r="4810" s="65" customFormat="1"/>
    <row r="4811" s="65" customFormat="1"/>
    <row r="4812" s="65" customFormat="1"/>
    <row r="4813" s="65" customFormat="1"/>
    <row r="4814" s="65" customFormat="1"/>
    <row r="4815" s="65" customFormat="1"/>
    <row r="4816" s="65" customFormat="1"/>
    <row r="4817" s="65" customFormat="1"/>
    <row r="4818" s="65" customFormat="1"/>
    <row r="4819" s="65" customFormat="1"/>
    <row r="4820" s="65" customFormat="1"/>
    <row r="4821" s="65" customFormat="1"/>
    <row r="4822" s="65" customFormat="1"/>
    <row r="4823" s="65" customFormat="1"/>
    <row r="4824" s="65" customFormat="1"/>
    <row r="4825" s="65" customFormat="1"/>
    <row r="4826" s="65" customFormat="1"/>
    <row r="4827" s="65" customFormat="1"/>
    <row r="4828" s="65" customFormat="1"/>
    <row r="4829" s="65" customFormat="1"/>
    <row r="4830" s="65" customFormat="1"/>
    <row r="4831" s="65" customFormat="1"/>
    <row r="4832" s="65" customFormat="1"/>
    <row r="4833" s="65" customFormat="1"/>
    <row r="4834" s="65" customFormat="1"/>
    <row r="4835" s="65" customFormat="1"/>
    <row r="4836" s="65" customFormat="1"/>
    <row r="4837" s="65" customFormat="1"/>
    <row r="4838" s="65" customFormat="1"/>
    <row r="4839" s="65" customFormat="1"/>
    <row r="4840" s="65" customFormat="1"/>
    <row r="4841" s="65" customFormat="1"/>
    <row r="4842" s="65" customFormat="1"/>
    <row r="4843" s="65" customFormat="1"/>
    <row r="4844" s="65" customFormat="1"/>
    <row r="4845" s="65" customFormat="1"/>
    <row r="4846" s="65" customFormat="1"/>
    <row r="4847" s="65" customFormat="1"/>
    <row r="4848" s="65" customFormat="1"/>
    <row r="4849" s="65" customFormat="1"/>
    <row r="4850" s="65" customFormat="1"/>
    <row r="4851" s="65" customFormat="1"/>
    <row r="4852" s="65" customFormat="1"/>
    <row r="4853" s="65" customFormat="1"/>
    <row r="4854" s="65" customFormat="1"/>
    <row r="4855" s="65" customFormat="1"/>
    <row r="4856" s="65" customFormat="1"/>
    <row r="4857" s="65" customFormat="1"/>
    <row r="4858" s="65" customFormat="1"/>
    <row r="4859" s="65" customFormat="1"/>
    <row r="4860" s="65" customFormat="1"/>
    <row r="4861" s="65" customFormat="1"/>
    <row r="4862" s="65" customFormat="1"/>
    <row r="4863" s="65" customFormat="1"/>
    <row r="4864" s="65" customFormat="1"/>
    <row r="4865" s="65" customFormat="1"/>
    <row r="4866" s="65" customFormat="1"/>
    <row r="4867" s="65" customFormat="1"/>
    <row r="4868" s="65" customFormat="1"/>
    <row r="4869" s="65" customFormat="1"/>
    <row r="4870" s="65" customFormat="1"/>
    <row r="4871" s="65" customFormat="1"/>
    <row r="4872" s="65" customFormat="1"/>
    <row r="4873" s="65" customFormat="1"/>
    <row r="4874" s="65" customFormat="1"/>
    <row r="4875" s="65" customFormat="1"/>
    <row r="4876" s="65" customFormat="1"/>
    <row r="4877" s="65" customFormat="1"/>
    <row r="4878" s="65" customFormat="1"/>
    <row r="4879" s="65" customFormat="1"/>
    <row r="4880" s="65" customFormat="1"/>
    <row r="4881" s="65" customFormat="1"/>
    <row r="4882" s="65" customFormat="1"/>
    <row r="4883" s="65" customFormat="1"/>
    <row r="4884" s="65" customFormat="1"/>
    <row r="4885" s="65" customFormat="1"/>
    <row r="4886" s="65" customFormat="1"/>
    <row r="4887" s="65" customFormat="1"/>
    <row r="4888" s="65" customFormat="1"/>
    <row r="4889" s="65" customFormat="1"/>
    <row r="4890" s="65" customFormat="1"/>
    <row r="4891" s="65" customFormat="1"/>
    <row r="4892" s="65" customFormat="1"/>
    <row r="4893" s="65" customFormat="1"/>
    <row r="4894" s="65" customFormat="1"/>
    <row r="4895" s="65" customFormat="1"/>
    <row r="4896" s="65" customFormat="1"/>
    <row r="4897" s="65" customFormat="1"/>
    <row r="4898" s="65" customFormat="1"/>
    <row r="4899" s="65" customFormat="1"/>
    <row r="4900" s="65" customFormat="1"/>
    <row r="4901" s="65" customFormat="1"/>
    <row r="4902" s="65" customFormat="1"/>
    <row r="4903" s="65" customFormat="1"/>
    <row r="4904" s="65" customFormat="1"/>
    <row r="4905" s="65" customFormat="1"/>
    <row r="4906" s="65" customFormat="1"/>
    <row r="4907" s="65" customFormat="1"/>
    <row r="4908" s="65" customFormat="1"/>
    <row r="4909" s="65" customFormat="1"/>
    <row r="4910" s="65" customFormat="1"/>
    <row r="4911" s="65" customFormat="1"/>
    <row r="4912" s="65" customFormat="1"/>
    <row r="4913" s="65" customFormat="1"/>
    <row r="4914" s="65" customFormat="1"/>
    <row r="4915" s="65" customFormat="1"/>
    <row r="4916" s="65" customFormat="1"/>
    <row r="4917" s="65" customFormat="1"/>
    <row r="4918" s="65" customFormat="1"/>
    <row r="4919" s="65" customFormat="1"/>
    <row r="4920" s="65" customFormat="1"/>
    <row r="4921" s="65" customFormat="1"/>
    <row r="4922" s="65" customFormat="1"/>
    <row r="4923" s="65" customFormat="1"/>
    <row r="4924" s="65" customFormat="1"/>
    <row r="4925" s="65" customFormat="1"/>
    <row r="4926" s="65" customFormat="1"/>
    <row r="4927" s="65" customFormat="1"/>
    <row r="4928" s="65" customFormat="1"/>
    <row r="4929" s="65" customFormat="1"/>
    <row r="4930" s="65" customFormat="1"/>
    <row r="4931" s="65" customFormat="1"/>
    <row r="4932" s="65" customFormat="1"/>
    <row r="4933" s="65" customFormat="1"/>
    <row r="4934" s="65" customFormat="1"/>
    <row r="4935" s="65" customFormat="1"/>
    <row r="4936" s="65" customFormat="1"/>
    <row r="4937" s="65" customFormat="1"/>
    <row r="4938" s="65" customFormat="1"/>
    <row r="4939" s="65" customFormat="1"/>
    <row r="4940" s="65" customFormat="1"/>
    <row r="4941" s="65" customFormat="1"/>
    <row r="4942" s="65" customFormat="1"/>
    <row r="4943" s="65" customFormat="1"/>
    <row r="4944" s="65" customFormat="1"/>
    <row r="4945" s="65" customFormat="1"/>
    <row r="4946" s="65" customFormat="1"/>
    <row r="4947" s="65" customFormat="1"/>
    <row r="4948" s="65" customFormat="1"/>
    <row r="4949" s="65" customFormat="1"/>
    <row r="4950" s="65" customFormat="1"/>
    <row r="4951" s="65" customFormat="1"/>
    <row r="4952" s="65" customFormat="1"/>
    <row r="4953" s="65" customFormat="1"/>
    <row r="4954" s="65" customFormat="1"/>
    <row r="4955" s="65" customFormat="1"/>
    <row r="4956" s="65" customFormat="1"/>
    <row r="4957" s="65" customFormat="1"/>
    <row r="4958" s="65" customFormat="1"/>
    <row r="4959" s="65" customFormat="1"/>
    <row r="4960" s="65" customFormat="1"/>
    <row r="4961" s="65" customFormat="1"/>
    <row r="4962" s="65" customFormat="1"/>
    <row r="4963" s="65" customFormat="1"/>
    <row r="4964" s="65" customFormat="1"/>
    <row r="4965" s="65" customFormat="1"/>
    <row r="4966" s="65" customFormat="1"/>
    <row r="4967" s="65" customFormat="1"/>
    <row r="4968" s="65" customFormat="1"/>
    <row r="4969" s="65" customFormat="1"/>
    <row r="4970" s="65" customFormat="1"/>
    <row r="4971" s="65" customFormat="1"/>
    <row r="4972" s="65" customFormat="1"/>
    <row r="4973" s="65" customFormat="1"/>
    <row r="4974" s="65" customFormat="1"/>
    <row r="4975" s="65" customFormat="1"/>
    <row r="4976" s="65" customFormat="1"/>
    <row r="4977" s="65" customFormat="1"/>
    <row r="4978" s="65" customFormat="1"/>
    <row r="4979" s="65" customFormat="1"/>
    <row r="4980" s="65" customFormat="1"/>
    <row r="4981" s="65" customFormat="1"/>
    <row r="4982" s="65" customFormat="1"/>
    <row r="4983" s="65" customFormat="1"/>
    <row r="4984" s="65" customFormat="1"/>
    <row r="4985" s="65" customFormat="1"/>
    <row r="4986" s="65" customFormat="1"/>
    <row r="4987" s="65" customFormat="1"/>
    <row r="4988" s="65" customFormat="1"/>
    <row r="4989" s="65" customFormat="1"/>
    <row r="4990" s="65" customFormat="1"/>
    <row r="4991" s="65" customFormat="1"/>
    <row r="4992" s="65" customFormat="1"/>
    <row r="4993" s="65" customFormat="1"/>
    <row r="4994" s="65" customFormat="1"/>
    <row r="4995" s="65" customFormat="1"/>
    <row r="4996" s="65" customFormat="1"/>
    <row r="4997" s="65" customFormat="1"/>
    <row r="4998" s="65" customFormat="1"/>
    <row r="4999" s="65" customFormat="1"/>
    <row r="5000" s="65" customFormat="1"/>
    <row r="5001" s="65" customFormat="1"/>
    <row r="5002" s="65" customFormat="1"/>
    <row r="5003" s="65" customFormat="1"/>
    <row r="5004" s="65" customFormat="1"/>
    <row r="5005" s="65" customFormat="1"/>
    <row r="5006" s="65" customFormat="1"/>
    <row r="5007" s="65" customFormat="1"/>
    <row r="5008" s="65" customFormat="1"/>
    <row r="5009" s="65" customFormat="1"/>
    <row r="5010" s="65" customFormat="1"/>
    <row r="5011" s="65" customFormat="1"/>
    <row r="5012" s="65" customFormat="1"/>
    <row r="5013" s="65" customFormat="1"/>
    <row r="5014" s="65" customFormat="1"/>
    <row r="5015" s="65" customFormat="1"/>
    <row r="5016" s="65" customFormat="1"/>
    <row r="5017" s="65" customFormat="1"/>
    <row r="5018" s="65" customFormat="1"/>
    <row r="5019" s="65" customFormat="1"/>
    <row r="5020" s="65" customFormat="1"/>
    <row r="5021" s="65" customFormat="1"/>
    <row r="5022" s="65" customFormat="1"/>
    <row r="5023" s="65" customFormat="1"/>
    <row r="5024" s="65" customFormat="1"/>
    <row r="5025" s="65" customFormat="1"/>
    <row r="5026" s="65" customFormat="1"/>
    <row r="5027" s="65" customFormat="1"/>
    <row r="5028" s="65" customFormat="1"/>
    <row r="5029" s="65" customFormat="1"/>
    <row r="5030" s="65" customFormat="1"/>
    <row r="5031" s="65" customFormat="1"/>
    <row r="5032" s="65" customFormat="1"/>
    <row r="5033" s="65" customFormat="1"/>
    <row r="5034" s="65" customFormat="1"/>
    <row r="5035" s="65" customFormat="1"/>
    <row r="5036" s="65" customFormat="1"/>
    <row r="5037" s="65" customFormat="1"/>
    <row r="5038" s="65" customFormat="1"/>
    <row r="5039" s="65" customFormat="1"/>
    <row r="5040" s="65" customFormat="1"/>
    <row r="5041" s="65" customFormat="1"/>
    <row r="5042" s="65" customFormat="1"/>
    <row r="5043" s="65" customFormat="1"/>
    <row r="5044" s="65" customFormat="1"/>
    <row r="5045" s="65" customFormat="1"/>
    <row r="5046" s="65" customFormat="1"/>
    <row r="5047" s="65" customFormat="1"/>
    <row r="5048" s="65" customFormat="1"/>
    <row r="5049" s="65" customFormat="1"/>
    <row r="5050" s="65" customFormat="1"/>
    <row r="5051" s="65" customFormat="1"/>
    <row r="5052" s="65" customFormat="1"/>
    <row r="5053" s="65" customFormat="1"/>
    <row r="5054" s="65" customFormat="1"/>
    <row r="5055" s="65" customFormat="1"/>
    <row r="5056" s="65" customFormat="1"/>
    <row r="5057" s="65" customFormat="1"/>
    <row r="5058" s="65" customFormat="1"/>
    <row r="5059" s="65" customFormat="1"/>
    <row r="5060" s="65" customFormat="1"/>
    <row r="5061" s="65" customFormat="1"/>
    <row r="5062" s="65" customFormat="1"/>
    <row r="5063" s="65" customFormat="1"/>
    <row r="5064" s="65" customFormat="1"/>
    <row r="5065" s="65" customFormat="1"/>
    <row r="5066" s="65" customFormat="1"/>
    <row r="5067" s="65" customFormat="1"/>
    <row r="5068" s="65" customFormat="1"/>
    <row r="5069" s="65" customFormat="1"/>
    <row r="5070" s="65" customFormat="1"/>
    <row r="5071" s="65" customFormat="1"/>
    <row r="5072" s="65" customFormat="1"/>
    <row r="5073" s="65" customFormat="1"/>
    <row r="5074" s="65" customFormat="1"/>
    <row r="5075" s="65" customFormat="1"/>
    <row r="5076" s="65" customFormat="1"/>
    <row r="5077" s="65" customFormat="1"/>
    <row r="5078" s="65" customFormat="1"/>
    <row r="5079" s="65" customFormat="1"/>
    <row r="5080" s="65" customFormat="1"/>
    <row r="5081" s="65" customFormat="1"/>
    <row r="5082" s="65" customFormat="1"/>
    <row r="5083" s="65" customFormat="1"/>
    <row r="5084" s="65" customFormat="1"/>
    <row r="5085" s="65" customFormat="1"/>
    <row r="5086" s="65" customFormat="1"/>
    <row r="5087" s="65" customFormat="1"/>
    <row r="5088" s="65" customFormat="1"/>
    <row r="5089" s="65" customFormat="1"/>
    <row r="5090" s="65" customFormat="1"/>
    <row r="5091" s="65" customFormat="1"/>
    <row r="5092" s="65" customFormat="1"/>
    <row r="5093" s="65" customFormat="1"/>
    <row r="5094" s="65" customFormat="1"/>
    <row r="5095" s="65" customFormat="1"/>
    <row r="5096" s="65" customFormat="1"/>
    <row r="5097" s="65" customFormat="1"/>
    <row r="5098" s="65" customFormat="1"/>
    <row r="5099" s="65" customFormat="1"/>
    <row r="5100" s="65" customFormat="1"/>
    <row r="5101" s="65" customFormat="1"/>
    <row r="5102" s="65" customFormat="1"/>
    <row r="5103" s="65" customFormat="1"/>
    <row r="5104" s="65" customFormat="1"/>
    <row r="5105" s="65" customFormat="1"/>
    <row r="5106" s="65" customFormat="1"/>
    <row r="5107" s="65" customFormat="1"/>
    <row r="5108" s="65" customFormat="1"/>
    <row r="5109" s="65" customFormat="1"/>
    <row r="5110" s="65" customFormat="1"/>
    <row r="5111" s="65" customFormat="1"/>
    <row r="5112" s="65" customFormat="1"/>
    <row r="5113" s="65" customFormat="1"/>
    <row r="5114" s="65" customFormat="1"/>
    <row r="5115" s="65" customFormat="1"/>
    <row r="5116" s="65" customFormat="1"/>
    <row r="5117" s="65" customFormat="1"/>
    <row r="5118" s="65" customFormat="1"/>
    <row r="5119" s="65" customFormat="1"/>
    <row r="5120" s="65" customFormat="1"/>
    <row r="5121" s="65" customFormat="1"/>
    <row r="5122" s="65" customFormat="1"/>
    <row r="5123" s="65" customFormat="1"/>
    <row r="5124" s="65" customFormat="1"/>
    <row r="5125" s="65" customFormat="1"/>
    <row r="5126" s="65" customFormat="1"/>
    <row r="5127" s="65" customFormat="1"/>
    <row r="5128" s="65" customFormat="1"/>
    <row r="5129" s="65" customFormat="1"/>
    <row r="5130" s="65" customFormat="1"/>
    <row r="5131" s="65" customFormat="1"/>
    <row r="5132" s="65" customFormat="1"/>
    <row r="5133" s="65" customFormat="1"/>
    <row r="5134" s="65" customFormat="1"/>
    <row r="5135" s="65" customFormat="1"/>
    <row r="5136" s="65" customFormat="1"/>
    <row r="5137" s="65" customFormat="1"/>
    <row r="5138" s="65" customFormat="1"/>
    <row r="5139" s="65" customFormat="1"/>
    <row r="5140" s="65" customFormat="1"/>
    <row r="5141" s="65" customFormat="1"/>
    <row r="5142" s="65" customFormat="1"/>
    <row r="5143" s="65" customFormat="1"/>
    <row r="5144" s="65" customFormat="1"/>
    <row r="5145" s="65" customFormat="1"/>
    <row r="5146" s="65" customFormat="1"/>
    <row r="5147" s="65" customFormat="1"/>
    <row r="5148" s="65" customFormat="1"/>
    <row r="5149" s="65" customFormat="1"/>
    <row r="5150" s="65" customFormat="1"/>
    <row r="5151" s="65" customFormat="1"/>
    <row r="5152" s="65" customFormat="1"/>
    <row r="5153" s="65" customFormat="1"/>
    <row r="5154" s="65" customFormat="1"/>
    <row r="5155" s="65" customFormat="1"/>
    <row r="5156" s="65" customFormat="1"/>
    <row r="5157" s="65" customFormat="1"/>
    <row r="5158" s="65" customFormat="1"/>
    <row r="5159" s="65" customFormat="1"/>
    <row r="5160" s="65" customFormat="1"/>
    <row r="5161" s="65" customFormat="1"/>
    <row r="5162" s="65" customFormat="1"/>
    <row r="5163" s="65" customFormat="1"/>
    <row r="5164" s="65" customFormat="1"/>
    <row r="5165" s="65" customFormat="1"/>
    <row r="5166" s="65" customFormat="1"/>
    <row r="5167" s="65" customFormat="1"/>
    <row r="5168" s="65" customFormat="1"/>
    <row r="5169" s="65" customFormat="1"/>
    <row r="5170" s="65" customFormat="1"/>
    <row r="5171" s="65" customFormat="1"/>
    <row r="5172" s="65" customFormat="1"/>
    <row r="5173" s="65" customFormat="1"/>
    <row r="5174" s="65" customFormat="1"/>
    <row r="5175" s="65" customFormat="1"/>
    <row r="5176" s="65" customFormat="1"/>
    <row r="5177" s="65" customFormat="1"/>
    <row r="5178" s="65" customFormat="1"/>
    <row r="5179" s="65" customFormat="1"/>
    <row r="5180" s="65" customFormat="1"/>
    <row r="5181" s="65" customFormat="1"/>
    <row r="5182" s="65" customFormat="1"/>
    <row r="5183" s="65" customFormat="1"/>
    <row r="5184" s="65" customFormat="1"/>
    <row r="5185" s="65" customFormat="1"/>
    <row r="5186" s="65" customFormat="1"/>
    <row r="5187" s="65" customFormat="1"/>
    <row r="5188" s="65" customFormat="1"/>
    <row r="5189" s="65" customFormat="1"/>
    <row r="5190" s="65" customFormat="1"/>
    <row r="5191" s="65" customFormat="1"/>
    <row r="5192" s="65" customFormat="1"/>
    <row r="5193" s="65" customFormat="1"/>
    <row r="5194" s="65" customFormat="1"/>
    <row r="5195" s="65" customFormat="1"/>
    <row r="5196" s="65" customFormat="1"/>
    <row r="5197" s="65" customFormat="1"/>
    <row r="5198" s="65" customFormat="1"/>
    <row r="5199" s="65" customFormat="1"/>
    <row r="5200" s="65" customFormat="1"/>
    <row r="5201" s="65" customFormat="1"/>
    <row r="5202" s="65" customFormat="1"/>
    <row r="5203" s="65" customFormat="1"/>
    <row r="5204" s="65" customFormat="1"/>
    <row r="5205" s="65" customFormat="1"/>
    <row r="5206" s="65" customFormat="1"/>
    <row r="5207" s="65" customFormat="1"/>
    <row r="5208" s="65" customFormat="1"/>
    <row r="5209" s="65" customFormat="1"/>
    <row r="5210" s="65" customFormat="1"/>
    <row r="5211" s="65" customFormat="1"/>
    <row r="5212" s="65" customFormat="1"/>
    <row r="5213" s="65" customFormat="1"/>
    <row r="5214" s="65" customFormat="1"/>
    <row r="5215" s="65" customFormat="1"/>
    <row r="5216" s="65" customFormat="1"/>
    <row r="5217" s="65" customFormat="1"/>
    <row r="5218" s="65" customFormat="1"/>
    <row r="5219" s="65" customFormat="1"/>
    <row r="5220" s="65" customFormat="1"/>
    <row r="5221" s="65" customFormat="1"/>
    <row r="5222" s="65" customFormat="1"/>
    <row r="5223" s="65" customFormat="1"/>
    <row r="5224" s="65" customFormat="1"/>
    <row r="5225" s="65" customFormat="1"/>
    <row r="5226" s="65" customFormat="1"/>
    <row r="5227" s="65" customFormat="1"/>
    <row r="5228" s="65" customFormat="1"/>
    <row r="5229" s="65" customFormat="1"/>
    <row r="5230" s="65" customFormat="1"/>
    <row r="5231" s="65" customFormat="1"/>
    <row r="5232" s="65" customFormat="1"/>
    <row r="5233" s="65" customFormat="1"/>
    <row r="5234" s="65" customFormat="1"/>
    <row r="5235" s="65" customFormat="1"/>
    <row r="5236" s="65" customFormat="1"/>
    <row r="5237" s="65" customFormat="1"/>
    <row r="5238" s="65" customFormat="1"/>
    <row r="5239" s="65" customFormat="1"/>
    <row r="5240" s="65" customFormat="1"/>
    <row r="5241" s="65" customFormat="1"/>
    <row r="5242" s="65" customFormat="1"/>
    <row r="5243" s="65" customFormat="1"/>
    <row r="5244" s="65" customFormat="1"/>
    <row r="5245" s="65" customFormat="1"/>
    <row r="5246" s="65" customFormat="1"/>
    <row r="5247" s="65" customFormat="1"/>
    <row r="5248" s="65" customFormat="1"/>
    <row r="5249" s="65" customFormat="1"/>
    <row r="5250" s="65" customFormat="1"/>
    <row r="5251" s="65" customFormat="1"/>
    <row r="5252" s="65" customFormat="1"/>
    <row r="5253" s="65" customFormat="1"/>
    <row r="5254" s="65" customFormat="1"/>
    <row r="5255" s="65" customFormat="1"/>
    <row r="5256" s="65" customFormat="1"/>
    <row r="5257" s="65" customFormat="1"/>
    <row r="5258" s="65" customFormat="1"/>
    <row r="5259" s="65" customFormat="1"/>
    <row r="5260" s="65" customFormat="1"/>
    <row r="5261" s="65" customFormat="1"/>
    <row r="5262" s="65" customFormat="1"/>
    <row r="5263" s="65" customFormat="1"/>
    <row r="5264" s="65" customFormat="1"/>
    <row r="5265" s="65" customFormat="1"/>
    <row r="5266" s="65" customFormat="1"/>
    <row r="5267" s="65" customFormat="1"/>
    <row r="5268" s="65" customFormat="1"/>
    <row r="5269" s="65" customFormat="1"/>
    <row r="5270" s="65" customFormat="1"/>
    <row r="5271" s="65" customFormat="1"/>
    <row r="5272" s="65" customFormat="1"/>
    <row r="5273" s="65" customFormat="1"/>
    <row r="5274" s="65" customFormat="1"/>
    <row r="5275" s="65" customFormat="1"/>
    <row r="5276" s="65" customFormat="1"/>
    <row r="5277" s="65" customFormat="1"/>
    <row r="5278" s="65" customFormat="1"/>
    <row r="5279" s="65" customFormat="1"/>
    <row r="5280" s="65" customFormat="1"/>
    <row r="5281" s="65" customFormat="1"/>
    <row r="5282" s="65" customFormat="1"/>
    <row r="5283" s="65" customFormat="1"/>
    <row r="5284" s="65" customFormat="1"/>
    <row r="5285" s="65" customFormat="1"/>
    <row r="5286" s="65" customFormat="1"/>
    <row r="5287" s="65" customFormat="1"/>
    <row r="5288" s="65" customFormat="1"/>
    <row r="5289" s="65" customFormat="1"/>
    <row r="5290" s="65" customFormat="1"/>
    <row r="5291" s="65" customFormat="1"/>
    <row r="5292" s="65" customFormat="1"/>
    <row r="5293" s="65" customFormat="1"/>
    <row r="5294" s="65" customFormat="1"/>
    <row r="5295" s="65" customFormat="1"/>
    <row r="5296" s="65" customFormat="1"/>
    <row r="5297" s="65" customFormat="1"/>
    <row r="5298" s="65" customFormat="1"/>
    <row r="5299" s="65" customFormat="1"/>
    <row r="5300" s="65" customFormat="1"/>
    <row r="5301" s="65" customFormat="1"/>
    <row r="5302" s="65" customFormat="1"/>
    <row r="5303" s="65" customFormat="1"/>
    <row r="5304" s="65" customFormat="1"/>
    <row r="5305" s="65" customFormat="1"/>
    <row r="5306" s="65" customFormat="1"/>
    <row r="5307" s="65" customFormat="1"/>
    <row r="5308" s="65" customFormat="1"/>
    <row r="5309" s="65" customFormat="1"/>
    <row r="5310" s="65" customFormat="1"/>
    <row r="5311" s="65" customFormat="1"/>
    <row r="5312" s="65" customFormat="1"/>
    <row r="5313" s="65" customFormat="1"/>
    <row r="5314" s="65" customFormat="1"/>
    <row r="5315" s="65" customFormat="1"/>
    <row r="5316" s="65" customFormat="1"/>
    <row r="5317" s="65" customFormat="1"/>
    <row r="5318" s="65" customFormat="1"/>
    <row r="5319" s="65" customFormat="1"/>
    <row r="5320" s="65" customFormat="1"/>
    <row r="5321" s="65" customFormat="1"/>
    <row r="5322" s="65" customFormat="1"/>
    <row r="5323" s="65" customFormat="1"/>
    <row r="5324" s="65" customFormat="1"/>
    <row r="5325" s="65" customFormat="1"/>
    <row r="5326" s="65" customFormat="1"/>
    <row r="5327" s="65" customFormat="1"/>
    <row r="5328" s="65" customFormat="1"/>
    <row r="5329" s="65" customFormat="1"/>
    <row r="5330" s="65" customFormat="1"/>
    <row r="5331" s="65" customFormat="1"/>
    <row r="5332" s="65" customFormat="1"/>
    <row r="5333" s="65" customFormat="1"/>
    <row r="5334" s="65" customFormat="1"/>
    <row r="5335" s="65" customFormat="1"/>
    <row r="5336" s="65" customFormat="1"/>
    <row r="5337" s="65" customFormat="1"/>
    <row r="5338" s="65" customFormat="1"/>
    <row r="5339" s="65" customFormat="1"/>
    <row r="5340" s="65" customFormat="1"/>
    <row r="5341" s="65" customFormat="1"/>
    <row r="5342" s="65" customFormat="1"/>
    <row r="5343" s="65" customFormat="1"/>
    <row r="5344" s="65" customFormat="1"/>
    <row r="5345" s="65" customFormat="1"/>
    <row r="5346" s="65" customFormat="1"/>
    <row r="5347" s="65" customFormat="1"/>
    <row r="5348" s="65" customFormat="1"/>
    <row r="5349" s="65" customFormat="1"/>
    <row r="5350" s="65" customFormat="1"/>
    <row r="5351" s="65" customFormat="1"/>
    <row r="5352" s="65" customFormat="1"/>
    <row r="5353" s="65" customFormat="1"/>
    <row r="5354" s="65" customFormat="1"/>
    <row r="5355" s="65" customFormat="1"/>
    <row r="5356" s="65" customFormat="1"/>
    <row r="5357" s="65" customFormat="1"/>
    <row r="5358" s="65" customFormat="1"/>
    <row r="5359" s="65" customFormat="1"/>
    <row r="5360" s="65" customFormat="1"/>
    <row r="5361" s="65" customFormat="1"/>
    <row r="5362" s="65" customFormat="1"/>
    <row r="5363" s="65" customFormat="1"/>
    <row r="5364" s="65" customFormat="1"/>
    <row r="5365" s="65" customFormat="1"/>
    <row r="5366" s="65" customFormat="1"/>
    <row r="5367" s="65" customFormat="1"/>
    <row r="5368" s="65" customFormat="1"/>
    <row r="5369" s="65" customFormat="1"/>
    <row r="5370" s="65" customFormat="1"/>
    <row r="5371" s="65" customFormat="1"/>
    <row r="5372" s="65" customFormat="1"/>
    <row r="5373" s="65" customFormat="1"/>
    <row r="5374" s="65" customFormat="1"/>
    <row r="5375" s="65" customFormat="1"/>
    <row r="5376" s="65" customFormat="1"/>
    <row r="5377" s="65" customFormat="1"/>
    <row r="5378" s="65" customFormat="1"/>
    <row r="5379" s="65" customFormat="1"/>
    <row r="5380" s="65" customFormat="1"/>
    <row r="5381" s="65" customFormat="1"/>
    <row r="5382" s="65" customFormat="1"/>
    <row r="5383" s="65" customFormat="1"/>
    <row r="5384" s="65" customFormat="1"/>
    <row r="5385" s="65" customFormat="1"/>
    <row r="5386" s="65" customFormat="1"/>
    <row r="5387" s="65" customFormat="1"/>
    <row r="5388" s="65" customFormat="1"/>
    <row r="5389" s="65" customFormat="1"/>
    <row r="5390" s="65" customFormat="1"/>
    <row r="5391" s="65" customFormat="1"/>
    <row r="5392" s="65" customFormat="1"/>
    <row r="5393" s="65" customFormat="1"/>
    <row r="5394" s="65" customFormat="1"/>
    <row r="5395" s="65" customFormat="1"/>
    <row r="5396" s="65" customFormat="1"/>
    <row r="5397" s="65" customFormat="1"/>
    <row r="5398" s="65" customFormat="1"/>
    <row r="5399" s="65" customFormat="1"/>
    <row r="5400" s="65" customFormat="1"/>
    <row r="5401" s="65" customFormat="1"/>
    <row r="5402" s="65" customFormat="1"/>
    <row r="5403" s="65" customFormat="1"/>
    <row r="5404" s="65" customFormat="1"/>
    <row r="5405" s="65" customFormat="1"/>
    <row r="5406" s="65" customFormat="1"/>
    <row r="5407" s="65" customFormat="1"/>
    <row r="5408" s="65" customFormat="1"/>
    <row r="5409" s="65" customFormat="1"/>
    <row r="5410" s="65" customFormat="1"/>
    <row r="5411" s="65" customFormat="1"/>
    <row r="5412" s="65" customFormat="1"/>
    <row r="5413" s="65" customFormat="1"/>
    <row r="5414" s="65" customFormat="1"/>
    <row r="5415" s="65" customFormat="1"/>
    <row r="5416" s="65" customFormat="1"/>
    <row r="5417" s="65" customFormat="1"/>
    <row r="5418" s="65" customFormat="1"/>
    <row r="5419" s="65" customFormat="1"/>
    <row r="5420" s="65" customFormat="1"/>
    <row r="5421" s="65" customFormat="1"/>
    <row r="5422" s="65" customFormat="1"/>
    <row r="5423" s="65" customFormat="1"/>
    <row r="5424" s="65" customFormat="1"/>
    <row r="5425" s="65" customFormat="1"/>
    <row r="5426" s="65" customFormat="1"/>
    <row r="5427" s="65" customFormat="1"/>
    <row r="5428" s="65" customFormat="1"/>
    <row r="5429" s="65" customFormat="1"/>
    <row r="5430" s="65" customFormat="1"/>
    <row r="5431" s="65" customFormat="1"/>
    <row r="5432" s="65" customFormat="1"/>
    <row r="5433" s="65" customFormat="1"/>
    <row r="5434" s="65" customFormat="1"/>
    <row r="5435" s="65" customFormat="1"/>
    <row r="5436" s="65" customFormat="1"/>
    <row r="5437" s="65" customFormat="1"/>
    <row r="5438" s="65" customFormat="1"/>
    <row r="5439" s="65" customFormat="1"/>
    <row r="5440" s="65" customFormat="1"/>
    <row r="5441" s="65" customFormat="1"/>
    <row r="5442" s="65" customFormat="1"/>
    <row r="5443" s="65" customFormat="1"/>
    <row r="5444" s="65" customFormat="1"/>
    <row r="5445" s="65" customFormat="1"/>
    <row r="5446" s="65" customFormat="1"/>
    <row r="5447" s="65" customFormat="1"/>
    <row r="5448" s="65" customFormat="1"/>
    <row r="5449" s="65" customFormat="1"/>
    <row r="5450" s="65" customFormat="1"/>
    <row r="5451" s="65" customFormat="1"/>
    <row r="5452" s="65" customFormat="1"/>
    <row r="5453" s="65" customFormat="1"/>
    <row r="5454" s="65" customFormat="1"/>
    <row r="5455" s="65" customFormat="1"/>
    <row r="5456" s="65" customFormat="1"/>
    <row r="5457" s="65" customFormat="1"/>
    <row r="5458" s="65" customFormat="1"/>
    <row r="5459" s="65" customFormat="1"/>
    <row r="5460" s="65" customFormat="1"/>
    <row r="5461" s="65" customFormat="1"/>
    <row r="5462" s="65" customFormat="1"/>
    <row r="5463" s="65" customFormat="1"/>
    <row r="5464" s="65" customFormat="1"/>
    <row r="5465" s="65" customFormat="1"/>
    <row r="5466" s="65" customFormat="1"/>
    <row r="5467" s="65" customFormat="1"/>
    <row r="5468" s="65" customFormat="1"/>
    <row r="5469" s="65" customFormat="1"/>
    <row r="5470" s="65" customFormat="1"/>
    <row r="5471" s="65" customFormat="1"/>
    <row r="5472" s="65" customFormat="1"/>
    <row r="5473" s="65" customFormat="1"/>
    <row r="5474" s="65" customFormat="1"/>
    <row r="5475" s="65" customFormat="1"/>
    <row r="5476" s="65" customFormat="1"/>
    <row r="5477" s="65" customFormat="1"/>
    <row r="5478" s="65" customFormat="1"/>
    <row r="5479" s="65" customFormat="1"/>
    <row r="5480" s="65" customFormat="1"/>
    <row r="5481" s="65" customFormat="1"/>
    <row r="5482" s="65" customFormat="1"/>
    <row r="5483" s="65" customFormat="1"/>
    <row r="5484" s="65" customFormat="1"/>
    <row r="5485" s="65" customFormat="1"/>
    <row r="5486" s="65" customFormat="1"/>
    <row r="5487" s="65" customFormat="1"/>
    <row r="5488" s="65" customFormat="1"/>
    <row r="5489" s="65" customFormat="1"/>
    <row r="5490" s="65" customFormat="1"/>
    <row r="5491" s="65" customFormat="1"/>
    <row r="5492" s="65" customFormat="1"/>
    <row r="5493" s="65" customFormat="1"/>
    <row r="5494" s="65" customFormat="1"/>
    <row r="5495" s="65" customFormat="1"/>
    <row r="5496" s="65" customFormat="1"/>
    <row r="5497" s="65" customFormat="1"/>
    <row r="5498" s="65" customFormat="1"/>
    <row r="5499" s="65" customFormat="1"/>
    <row r="5500" s="65" customFormat="1"/>
    <row r="5501" s="65" customFormat="1"/>
    <row r="5502" s="65" customFormat="1"/>
    <row r="5503" s="65" customFormat="1"/>
    <row r="5504" s="65" customFormat="1"/>
    <row r="5505" s="65" customFormat="1"/>
    <row r="5506" s="65" customFormat="1"/>
    <row r="5507" s="65" customFormat="1"/>
    <row r="5508" s="65" customFormat="1"/>
    <row r="5509" s="65" customFormat="1"/>
    <row r="5510" s="65" customFormat="1"/>
    <row r="5511" s="65" customFormat="1"/>
    <row r="5512" s="65" customFormat="1"/>
    <row r="5513" s="65" customFormat="1"/>
    <row r="5514" s="65" customFormat="1"/>
    <row r="5515" s="65" customFormat="1"/>
    <row r="5516" s="65" customFormat="1"/>
    <row r="5517" s="65" customFormat="1"/>
    <row r="5518" s="65" customFormat="1"/>
    <row r="5519" s="65" customFormat="1"/>
    <row r="5520" s="65" customFormat="1"/>
    <row r="5521" s="65" customFormat="1"/>
    <row r="5522" s="65" customFormat="1"/>
    <row r="5523" s="65" customFormat="1"/>
    <row r="5524" s="65" customFormat="1"/>
    <row r="5525" s="65" customFormat="1"/>
    <row r="5526" s="65" customFormat="1"/>
    <row r="5527" s="65" customFormat="1"/>
    <row r="5528" s="65" customFormat="1"/>
    <row r="5529" s="65" customFormat="1"/>
    <row r="5530" s="65" customFormat="1"/>
    <row r="5531" s="65" customFormat="1"/>
    <row r="5532" s="65" customFormat="1"/>
    <row r="5533" s="65" customFormat="1"/>
    <row r="5534" s="65" customFormat="1"/>
    <row r="5535" s="65" customFormat="1"/>
    <row r="5536" s="65" customFormat="1"/>
    <row r="5537" s="65" customFormat="1"/>
    <row r="5538" s="65" customFormat="1"/>
    <row r="5539" s="65" customFormat="1"/>
    <row r="5540" s="65" customFormat="1"/>
    <row r="5541" s="65" customFormat="1"/>
    <row r="5542" s="65" customFormat="1"/>
    <row r="5543" s="65" customFormat="1"/>
    <row r="5544" s="65" customFormat="1"/>
    <row r="5545" s="65" customFormat="1"/>
    <row r="5546" s="65" customFormat="1"/>
    <row r="5547" s="65" customFormat="1"/>
    <row r="5548" s="65" customFormat="1"/>
    <row r="5549" s="65" customFormat="1"/>
    <row r="5550" s="65" customFormat="1"/>
    <row r="5551" s="65" customFormat="1"/>
    <row r="5552" s="65" customFormat="1"/>
    <row r="5553" s="65" customFormat="1"/>
    <row r="5554" s="65" customFormat="1"/>
    <row r="5555" s="65" customFormat="1"/>
    <row r="5556" s="65" customFormat="1"/>
    <row r="5557" s="65" customFormat="1"/>
    <row r="5558" s="65" customFormat="1"/>
    <row r="5559" s="65" customFormat="1"/>
    <row r="5560" s="65" customFormat="1"/>
    <row r="5561" s="65" customFormat="1"/>
    <row r="5562" s="65" customFormat="1"/>
    <row r="5563" s="65" customFormat="1"/>
    <row r="5564" s="65" customFormat="1"/>
    <row r="5565" s="65" customFormat="1"/>
    <row r="5566" s="65" customFormat="1"/>
    <row r="5567" s="65" customFormat="1"/>
    <row r="5568" s="65" customFormat="1"/>
    <row r="5569" s="65" customFormat="1"/>
    <row r="5570" s="65" customFormat="1"/>
    <row r="5571" s="65" customFormat="1"/>
    <row r="5572" s="65" customFormat="1"/>
    <row r="5573" s="65" customFormat="1"/>
    <row r="5574" s="65" customFormat="1"/>
    <row r="5575" s="65" customFormat="1"/>
    <row r="5576" s="65" customFormat="1"/>
    <row r="5577" s="65" customFormat="1"/>
    <row r="5578" s="65" customFormat="1"/>
    <row r="5579" s="65" customFormat="1"/>
    <row r="5580" s="65" customFormat="1"/>
    <row r="5581" s="65" customFormat="1"/>
    <row r="5582" s="65" customFormat="1"/>
    <row r="5583" s="65" customFormat="1"/>
    <row r="5584" s="65" customFormat="1"/>
    <row r="5585" s="65" customFormat="1"/>
    <row r="5586" s="65" customFormat="1"/>
    <row r="5587" s="65" customFormat="1"/>
    <row r="5588" s="65" customFormat="1"/>
    <row r="5589" s="65" customFormat="1"/>
    <row r="5590" s="65" customFormat="1"/>
    <row r="5591" s="65" customFormat="1"/>
    <row r="5592" s="65" customFormat="1"/>
    <row r="5593" s="65" customFormat="1"/>
    <row r="5594" s="65" customFormat="1"/>
    <row r="5595" s="65" customFormat="1"/>
    <row r="5596" s="65" customFormat="1"/>
    <row r="5597" s="65" customFormat="1"/>
    <row r="5598" s="65" customFormat="1"/>
    <row r="5599" s="65" customFormat="1"/>
    <row r="5600" s="65" customFormat="1"/>
    <row r="5601" s="65" customFormat="1"/>
    <row r="5602" s="65" customFormat="1"/>
    <row r="5603" s="65" customFormat="1"/>
    <row r="5604" s="65" customFormat="1"/>
    <row r="5605" s="65" customFormat="1"/>
    <row r="5606" s="65" customFormat="1"/>
    <row r="5607" s="65" customFormat="1"/>
    <row r="5608" s="65" customFormat="1"/>
    <row r="5609" s="65" customFormat="1"/>
    <row r="5610" s="65" customFormat="1"/>
    <row r="5611" s="65" customFormat="1"/>
    <row r="5612" s="65" customFormat="1"/>
    <row r="5613" s="65" customFormat="1"/>
    <row r="5614" s="65" customFormat="1"/>
    <row r="5615" s="65" customFormat="1"/>
    <row r="5616" s="65" customFormat="1"/>
    <row r="5617" s="65" customFormat="1"/>
    <row r="5618" s="65" customFormat="1"/>
    <row r="5619" s="65" customFormat="1"/>
    <row r="5620" s="65" customFormat="1"/>
    <row r="5621" s="65" customFormat="1"/>
    <row r="5622" s="65" customFormat="1"/>
    <row r="5623" s="65" customFormat="1"/>
    <row r="5624" s="65" customFormat="1"/>
    <row r="5625" s="65" customFormat="1"/>
    <row r="5626" s="65" customFormat="1"/>
    <row r="5627" s="65" customFormat="1"/>
    <row r="5628" s="65" customFormat="1"/>
    <row r="5629" s="65" customFormat="1"/>
    <row r="5630" s="65" customFormat="1"/>
    <row r="5631" s="65" customFormat="1"/>
    <row r="5632" s="65" customFormat="1"/>
    <row r="5633" s="65" customFormat="1"/>
    <row r="5634" s="65" customFormat="1"/>
    <row r="5635" s="65" customFormat="1"/>
    <row r="5636" s="65" customFormat="1"/>
    <row r="5637" s="65" customFormat="1"/>
    <row r="5638" s="65" customFormat="1"/>
    <row r="5639" s="65" customFormat="1"/>
    <row r="5640" s="65" customFormat="1"/>
    <row r="5641" s="65" customFormat="1"/>
    <row r="5642" s="65" customFormat="1"/>
    <row r="5643" s="65" customFormat="1"/>
    <row r="5644" s="65" customFormat="1"/>
    <row r="5645" s="65" customFormat="1"/>
    <row r="5646" s="65" customFormat="1"/>
    <row r="5647" s="65" customFormat="1"/>
    <row r="5648" s="65" customFormat="1"/>
    <row r="5649" s="65" customFormat="1"/>
    <row r="5650" s="65" customFormat="1"/>
    <row r="5651" s="65" customFormat="1"/>
    <row r="5652" s="65" customFormat="1"/>
    <row r="5653" s="65" customFormat="1"/>
    <row r="5654" s="65" customFormat="1"/>
    <row r="5655" s="65" customFormat="1"/>
    <row r="5656" s="65" customFormat="1"/>
    <row r="5657" s="65" customFormat="1"/>
    <row r="5658" s="65" customFormat="1"/>
    <row r="5659" s="65" customFormat="1"/>
    <row r="5660" s="65" customFormat="1"/>
    <row r="5661" s="65" customFormat="1"/>
    <row r="5662" s="65" customFormat="1"/>
    <row r="5663" s="65" customFormat="1"/>
    <row r="5664" s="65" customFormat="1"/>
    <row r="5665" s="65" customFormat="1"/>
    <row r="5666" s="65" customFormat="1"/>
    <row r="5667" s="65" customFormat="1"/>
    <row r="5668" s="65" customFormat="1"/>
    <row r="5669" s="65" customFormat="1"/>
    <row r="5670" s="65" customFormat="1"/>
    <row r="5671" s="65" customFormat="1"/>
    <row r="5672" s="65" customFormat="1"/>
    <row r="5673" s="65" customFormat="1"/>
    <row r="5674" s="65" customFormat="1"/>
    <row r="5675" s="65" customFormat="1"/>
    <row r="5676" s="65" customFormat="1"/>
    <row r="5677" s="65" customFormat="1"/>
    <row r="5678" s="65" customFormat="1"/>
    <row r="5679" s="65" customFormat="1"/>
    <row r="5680" s="65" customFormat="1"/>
    <row r="5681" s="65" customFormat="1"/>
    <row r="5682" s="65" customFormat="1"/>
    <row r="5683" s="65" customFormat="1"/>
    <row r="5684" s="65" customFormat="1"/>
    <row r="5685" s="65" customFormat="1"/>
    <row r="5686" s="65" customFormat="1"/>
    <row r="5687" s="65" customFormat="1"/>
    <row r="5688" s="65" customFormat="1"/>
    <row r="5689" s="65" customFormat="1"/>
    <row r="5690" s="65" customFormat="1"/>
    <row r="5691" s="65" customFormat="1"/>
    <row r="5692" s="65" customFormat="1"/>
    <row r="5693" s="65" customFormat="1"/>
    <row r="5694" s="65" customFormat="1"/>
    <row r="5695" s="65" customFormat="1"/>
    <row r="5696" s="65" customFormat="1"/>
    <row r="5697" s="65" customFormat="1"/>
    <row r="5698" s="65" customFormat="1"/>
    <row r="5699" s="65" customFormat="1"/>
    <row r="5700" s="65" customFormat="1"/>
    <row r="5701" s="65" customFormat="1"/>
    <row r="5702" s="65" customFormat="1"/>
    <row r="5703" s="65" customFormat="1"/>
    <row r="5704" s="65" customFormat="1"/>
    <row r="5705" s="65" customFormat="1"/>
    <row r="5706" s="65" customFormat="1"/>
    <row r="5707" s="65" customFormat="1"/>
    <row r="5708" s="65" customFormat="1"/>
    <row r="5709" s="65" customFormat="1"/>
    <row r="5710" s="65" customFormat="1"/>
    <row r="5711" s="65" customFormat="1"/>
    <row r="5712" s="65" customFormat="1"/>
    <row r="5713" s="65" customFormat="1"/>
    <row r="5714" s="65" customFormat="1"/>
    <row r="5715" s="65" customFormat="1"/>
    <row r="5716" s="65" customFormat="1"/>
    <row r="5717" s="65" customFormat="1"/>
    <row r="5718" s="65" customFormat="1"/>
    <row r="5719" s="65" customFormat="1"/>
    <row r="5720" s="65" customFormat="1"/>
    <row r="5721" s="65" customFormat="1"/>
    <row r="5722" s="65" customFormat="1"/>
    <row r="5723" s="65" customFormat="1"/>
    <row r="5724" s="65" customFormat="1"/>
    <row r="5725" s="65" customFormat="1"/>
    <row r="5726" s="65" customFormat="1"/>
    <row r="5727" s="65" customFormat="1"/>
    <row r="5728" s="65" customFormat="1"/>
    <row r="5729" s="65" customFormat="1"/>
    <row r="5730" s="65" customFormat="1"/>
    <row r="5731" s="65" customFormat="1"/>
    <row r="5732" s="65" customFormat="1"/>
    <row r="5733" s="65" customFormat="1"/>
    <row r="5734" s="65" customFormat="1"/>
    <row r="5735" s="65" customFormat="1"/>
    <row r="5736" s="65" customFormat="1"/>
    <row r="5737" s="65" customFormat="1"/>
    <row r="5738" s="65" customFormat="1"/>
    <row r="5739" s="65" customFormat="1"/>
    <row r="5740" s="65" customFormat="1"/>
    <row r="5741" s="65" customFormat="1"/>
    <row r="5742" s="65" customFormat="1"/>
    <row r="5743" s="65" customFormat="1"/>
    <row r="5744" s="65" customFormat="1"/>
    <row r="5745" s="65" customFormat="1"/>
    <row r="5746" s="65" customFormat="1"/>
    <row r="5747" s="65" customFormat="1"/>
    <row r="5748" s="65" customFormat="1"/>
    <row r="5749" s="65" customFormat="1"/>
    <row r="5750" s="65" customFormat="1"/>
    <row r="5751" s="65" customFormat="1"/>
    <row r="5752" s="65" customFormat="1"/>
    <row r="5753" s="65" customFormat="1"/>
    <row r="5754" s="65" customFormat="1"/>
    <row r="5755" s="65" customFormat="1"/>
    <row r="5756" s="65" customFormat="1"/>
    <row r="5757" s="65" customFormat="1"/>
    <row r="5758" s="65" customFormat="1"/>
    <row r="5759" s="65" customFormat="1"/>
    <row r="5760" s="65" customFormat="1"/>
    <row r="5761" s="65" customFormat="1"/>
    <row r="5762" s="65" customFormat="1"/>
    <row r="5763" s="65" customFormat="1"/>
    <row r="5764" s="65" customFormat="1"/>
    <row r="5765" s="65" customFormat="1"/>
    <row r="5766" s="65" customFormat="1"/>
    <row r="5767" s="65" customFormat="1"/>
    <row r="5768" s="65" customFormat="1"/>
    <row r="5769" s="65" customFormat="1"/>
    <row r="5770" s="65" customFormat="1"/>
    <row r="5771" s="65" customFormat="1"/>
    <row r="5772" s="65" customFormat="1"/>
    <row r="5773" s="65" customFormat="1"/>
    <row r="5774" s="65" customFormat="1"/>
    <row r="5775" s="65" customFormat="1"/>
    <row r="5776" s="65" customFormat="1"/>
    <row r="5777" s="65" customFormat="1"/>
    <row r="5778" s="65" customFormat="1"/>
    <row r="5779" s="65" customFormat="1"/>
    <row r="5780" s="65" customFormat="1"/>
    <row r="5781" s="65" customFormat="1"/>
    <row r="5782" s="65" customFormat="1"/>
    <row r="5783" s="65" customFormat="1"/>
    <row r="5784" s="65" customFormat="1"/>
    <row r="5785" s="65" customFormat="1"/>
    <row r="5786" s="65" customFormat="1"/>
    <row r="5787" s="65" customFormat="1"/>
    <row r="5788" s="65" customFormat="1"/>
    <row r="5789" s="65" customFormat="1"/>
    <row r="5790" s="65" customFormat="1"/>
    <row r="5791" s="65" customFormat="1"/>
    <row r="5792" s="65" customFormat="1"/>
    <row r="5793" s="65" customFormat="1"/>
    <row r="5794" s="65" customFormat="1"/>
    <row r="5795" s="65" customFormat="1"/>
    <row r="5796" s="65" customFormat="1"/>
    <row r="5797" s="65" customFormat="1"/>
    <row r="5798" s="65" customFormat="1"/>
    <row r="5799" s="65" customFormat="1"/>
    <row r="5800" s="65" customFormat="1"/>
    <row r="5801" s="65" customFormat="1"/>
    <row r="5802" s="65" customFormat="1"/>
    <row r="5803" s="65" customFormat="1"/>
    <row r="5804" s="65" customFormat="1"/>
    <row r="5805" s="65" customFormat="1"/>
    <row r="5806" s="65" customFormat="1"/>
    <row r="5807" s="65" customFormat="1"/>
    <row r="5808" s="65" customFormat="1"/>
    <row r="5809" s="65" customFormat="1"/>
    <row r="5810" s="65" customFormat="1"/>
    <row r="5811" s="65" customFormat="1"/>
    <row r="5812" s="65" customFormat="1"/>
    <row r="5813" s="65" customFormat="1"/>
    <row r="5814" s="65" customFormat="1"/>
    <row r="5815" s="65" customFormat="1"/>
    <row r="5816" s="65" customFormat="1"/>
    <row r="5817" s="65" customFormat="1"/>
    <row r="5818" s="65" customFormat="1"/>
    <row r="5819" s="65" customFormat="1"/>
    <row r="5820" s="65" customFormat="1"/>
    <row r="5821" s="65" customFormat="1"/>
    <row r="5822" s="65" customFormat="1"/>
    <row r="5823" s="65" customFormat="1"/>
    <row r="5824" s="65" customFormat="1"/>
    <row r="5825" s="65" customFormat="1"/>
    <row r="5826" s="65" customFormat="1"/>
    <row r="5827" s="65" customFormat="1"/>
    <row r="5828" s="65" customFormat="1"/>
    <row r="5829" s="65" customFormat="1"/>
    <row r="5830" s="65" customFormat="1"/>
    <row r="5831" s="65" customFormat="1"/>
    <row r="5832" s="65" customFormat="1"/>
    <row r="5833" s="65" customFormat="1"/>
    <row r="5834" s="65" customFormat="1"/>
    <row r="5835" s="65" customFormat="1"/>
    <row r="5836" s="65" customFormat="1"/>
    <row r="5837" s="65" customFormat="1"/>
    <row r="5838" s="65" customFormat="1"/>
    <row r="5839" s="65" customFormat="1"/>
    <row r="5840" s="65" customFormat="1"/>
    <row r="5841" s="65" customFormat="1"/>
    <row r="5842" s="65" customFormat="1"/>
    <row r="5843" s="65" customFormat="1"/>
    <row r="5844" s="65" customFormat="1"/>
    <row r="5845" s="65" customFormat="1"/>
    <row r="5846" s="65" customFormat="1"/>
    <row r="5847" s="65" customFormat="1"/>
    <row r="5848" s="65" customFormat="1"/>
    <row r="5849" s="65" customFormat="1"/>
    <row r="5850" s="65" customFormat="1"/>
    <row r="5851" s="65" customFormat="1"/>
    <row r="5852" s="65" customFormat="1"/>
    <row r="5853" s="65" customFormat="1"/>
    <row r="5854" s="65" customFormat="1"/>
    <row r="5855" s="65" customFormat="1"/>
    <row r="5856" s="65" customFormat="1"/>
    <row r="5857" s="65" customFormat="1"/>
    <row r="5858" s="65" customFormat="1"/>
    <row r="5859" s="65" customFormat="1"/>
    <row r="5860" s="65" customFormat="1"/>
    <row r="5861" s="65" customFormat="1"/>
    <row r="5862" s="65" customFormat="1"/>
    <row r="5863" s="65" customFormat="1"/>
    <row r="5864" s="65" customFormat="1"/>
    <row r="5865" s="65" customFormat="1"/>
    <row r="5866" s="65" customFormat="1"/>
    <row r="5867" s="65" customFormat="1"/>
    <row r="5868" s="65" customFormat="1"/>
    <row r="5869" s="65" customFormat="1"/>
    <row r="5870" s="65" customFormat="1"/>
    <row r="5871" s="65" customFormat="1"/>
    <row r="5872" s="65" customFormat="1"/>
    <row r="5873" s="65" customFormat="1"/>
    <row r="5874" s="65" customFormat="1"/>
    <row r="5875" s="65" customFormat="1"/>
    <row r="5876" s="65" customFormat="1"/>
    <row r="5877" s="65" customFormat="1"/>
    <row r="5878" s="65" customFormat="1"/>
    <row r="5879" s="65" customFormat="1"/>
    <row r="5880" s="65" customFormat="1"/>
    <row r="5881" s="65" customFormat="1"/>
    <row r="5882" s="65" customFormat="1"/>
    <row r="5883" s="65" customFormat="1"/>
    <row r="5884" s="65" customFormat="1"/>
    <row r="5885" s="65" customFormat="1"/>
    <row r="5886" s="65" customFormat="1"/>
    <row r="5887" s="65" customFormat="1"/>
    <row r="5888" s="65" customFormat="1"/>
    <row r="5889" s="65" customFormat="1"/>
    <row r="5890" s="65" customFormat="1"/>
    <row r="5891" s="65" customFormat="1"/>
    <row r="5892" s="65" customFormat="1"/>
    <row r="5893" s="65" customFormat="1"/>
    <row r="5894" s="65" customFormat="1"/>
    <row r="5895" s="65" customFormat="1"/>
    <row r="5896" s="65" customFormat="1"/>
    <row r="5897" s="65" customFormat="1"/>
    <row r="5898" s="65" customFormat="1"/>
    <row r="5899" s="65" customFormat="1"/>
    <row r="5900" s="65" customFormat="1"/>
    <row r="5901" s="65" customFormat="1"/>
    <row r="5902" s="65" customFormat="1"/>
    <row r="5903" s="65" customFormat="1"/>
    <row r="5904" s="65" customFormat="1"/>
    <row r="5905" s="65" customFormat="1"/>
    <row r="5906" s="65" customFormat="1"/>
    <row r="5907" s="65" customFormat="1"/>
    <row r="5908" s="65" customFormat="1"/>
    <row r="5909" s="65" customFormat="1"/>
    <row r="5910" s="65" customFormat="1"/>
    <row r="5911" s="65" customFormat="1"/>
    <row r="5912" s="65" customFormat="1"/>
    <row r="5913" s="65" customFormat="1"/>
    <row r="5914" s="65" customFormat="1"/>
    <row r="5915" s="65" customFormat="1"/>
    <row r="5916" s="65" customFormat="1"/>
    <row r="5917" s="65" customFormat="1"/>
    <row r="5918" s="65" customFormat="1"/>
    <row r="5919" s="65" customFormat="1"/>
    <row r="5920" s="65" customFormat="1"/>
    <row r="5921" s="65" customFormat="1"/>
    <row r="5922" s="65" customFormat="1"/>
    <row r="5923" s="65" customFormat="1"/>
    <row r="5924" s="65" customFormat="1"/>
    <row r="5925" s="65" customFormat="1"/>
    <row r="5926" s="65" customFormat="1"/>
    <row r="5927" s="65" customFormat="1"/>
    <row r="5928" s="65" customFormat="1"/>
    <row r="5929" s="65" customFormat="1"/>
    <row r="5930" s="65" customFormat="1"/>
    <row r="5931" s="65" customFormat="1"/>
    <row r="5932" s="65" customFormat="1"/>
    <row r="5933" s="65" customFormat="1"/>
    <row r="5934" s="65" customFormat="1"/>
    <row r="5935" s="65" customFormat="1"/>
    <row r="5936" s="65" customFormat="1"/>
    <row r="5937" s="65" customFormat="1"/>
    <row r="5938" s="65" customFormat="1"/>
    <row r="5939" s="65" customFormat="1"/>
    <row r="5940" s="65" customFormat="1"/>
    <row r="5941" s="65" customFormat="1"/>
    <row r="5942" s="65" customFormat="1"/>
    <row r="5943" s="65" customFormat="1"/>
    <row r="5944" s="65" customFormat="1"/>
    <row r="5945" s="65" customFormat="1"/>
    <row r="5946" s="65" customFormat="1"/>
    <row r="5947" s="65" customFormat="1"/>
    <row r="5948" s="65" customFormat="1"/>
    <row r="5949" s="65" customFormat="1"/>
    <row r="5950" s="65" customFormat="1"/>
    <row r="5951" s="65" customFormat="1"/>
    <row r="5952" s="65" customFormat="1"/>
    <row r="5953" s="65" customFormat="1"/>
    <row r="5954" s="65" customFormat="1"/>
    <row r="5955" s="65" customFormat="1"/>
    <row r="5956" s="65" customFormat="1"/>
    <row r="5957" s="65" customFormat="1"/>
    <row r="5958" s="65" customFormat="1"/>
    <row r="5959" s="65" customFormat="1"/>
    <row r="5960" s="65" customFormat="1"/>
    <row r="5961" s="65" customFormat="1"/>
    <row r="5962" s="65" customFormat="1"/>
    <row r="5963" s="65" customFormat="1"/>
    <row r="5964" s="65" customFormat="1"/>
    <row r="5965" s="65" customFormat="1"/>
    <row r="5966" s="65" customFormat="1"/>
    <row r="5967" s="65" customFormat="1"/>
    <row r="5968" s="65" customFormat="1"/>
    <row r="5969" s="65" customFormat="1"/>
    <row r="5970" s="65" customFormat="1"/>
    <row r="5971" s="65" customFormat="1"/>
    <row r="5972" s="65" customFormat="1"/>
    <row r="5973" s="65" customFormat="1"/>
    <row r="5974" s="65" customFormat="1"/>
    <row r="5975" s="65" customFormat="1"/>
    <row r="5976" s="65" customFormat="1"/>
    <row r="5977" s="65" customFormat="1"/>
    <row r="5978" s="65" customFormat="1"/>
    <row r="5979" s="65" customFormat="1"/>
    <row r="5980" s="65" customFormat="1"/>
    <row r="5981" s="65" customFormat="1"/>
    <row r="5982" s="65" customFormat="1"/>
    <row r="5983" s="65" customFormat="1"/>
    <row r="5984" s="65" customFormat="1"/>
    <row r="5985" s="65" customFormat="1"/>
    <row r="5986" s="65" customFormat="1"/>
    <row r="5987" s="65" customFormat="1"/>
    <row r="5988" s="65" customFormat="1"/>
    <row r="5989" s="65" customFormat="1"/>
    <row r="5990" s="65" customFormat="1"/>
    <row r="5991" s="65" customFormat="1"/>
    <row r="5992" s="65" customFormat="1"/>
    <row r="5993" s="65" customFormat="1"/>
    <row r="5994" s="65" customFormat="1"/>
    <row r="5995" s="65" customFormat="1"/>
    <row r="5996" s="65" customFormat="1"/>
    <row r="5997" s="65" customFormat="1"/>
    <row r="5998" s="65" customFormat="1"/>
    <row r="5999" s="65" customFormat="1"/>
    <row r="6000" s="65" customFormat="1"/>
    <row r="6001" s="65" customFormat="1"/>
    <row r="6002" s="65" customFormat="1"/>
    <row r="6003" s="65" customFormat="1"/>
    <row r="6004" s="65" customFormat="1"/>
    <row r="6005" s="65" customFormat="1"/>
    <row r="6006" s="65" customFormat="1"/>
    <row r="6007" s="65" customFormat="1"/>
    <row r="6008" s="65" customFormat="1"/>
    <row r="6009" s="65" customFormat="1"/>
    <row r="6010" s="65" customFormat="1"/>
    <row r="6011" s="65" customFormat="1"/>
    <row r="6012" s="65" customFormat="1"/>
    <row r="6013" s="65" customFormat="1"/>
    <row r="6014" s="65" customFormat="1"/>
    <row r="6015" s="65" customFormat="1"/>
    <row r="6016" s="65" customFormat="1"/>
    <row r="6017" s="65" customFormat="1"/>
    <row r="6018" s="65" customFormat="1"/>
    <row r="6019" s="65" customFormat="1"/>
    <row r="6020" s="65" customFormat="1"/>
    <row r="6021" s="65" customFormat="1"/>
    <row r="6022" s="65" customFormat="1"/>
    <row r="6023" s="65" customFormat="1"/>
    <row r="6024" s="65" customFormat="1"/>
    <row r="6025" s="65" customFormat="1"/>
    <row r="6026" s="65" customFormat="1"/>
    <row r="6027" s="65" customFormat="1"/>
    <row r="6028" s="65" customFormat="1"/>
    <row r="6029" s="65" customFormat="1"/>
    <row r="6030" s="65" customFormat="1"/>
    <row r="6031" s="65" customFormat="1"/>
    <row r="6032" s="65" customFormat="1"/>
    <row r="6033" s="65" customFormat="1"/>
    <row r="6034" s="65" customFormat="1"/>
    <row r="6035" s="65" customFormat="1"/>
    <row r="6036" s="65" customFormat="1"/>
    <row r="6037" s="65" customFormat="1"/>
    <row r="6038" s="65" customFormat="1"/>
    <row r="6039" s="65" customFormat="1"/>
    <row r="6040" s="65" customFormat="1"/>
    <row r="6041" s="65" customFormat="1"/>
    <row r="6042" s="65" customFormat="1"/>
    <row r="6043" s="65" customFormat="1"/>
    <row r="6044" s="65" customFormat="1"/>
    <row r="6045" s="65" customFormat="1"/>
    <row r="6046" s="65" customFormat="1"/>
    <row r="6047" s="65" customFormat="1"/>
    <row r="6048" s="65" customFormat="1"/>
    <row r="6049" s="65" customFormat="1"/>
    <row r="6050" s="65" customFormat="1"/>
    <row r="6051" s="65" customFormat="1"/>
    <row r="6052" s="65" customFormat="1"/>
    <row r="6053" s="65" customFormat="1"/>
    <row r="6054" s="65" customFormat="1"/>
    <row r="6055" s="65" customFormat="1"/>
    <row r="6056" s="65" customFormat="1"/>
    <row r="6057" s="65" customFormat="1"/>
    <row r="6058" s="65" customFormat="1"/>
    <row r="6059" s="65" customFormat="1"/>
    <row r="6060" s="65" customFormat="1"/>
    <row r="6061" s="65" customFormat="1"/>
    <row r="6062" s="65" customFormat="1"/>
    <row r="6063" s="65" customFormat="1"/>
    <row r="6064" s="65" customFormat="1"/>
    <row r="6065" s="65" customFormat="1"/>
    <row r="6066" s="65" customFormat="1"/>
    <row r="6067" s="65" customFormat="1"/>
    <row r="6068" s="65" customFormat="1"/>
    <row r="6069" s="65" customFormat="1"/>
    <row r="6070" s="65" customFormat="1"/>
    <row r="6071" s="65" customFormat="1"/>
    <row r="6072" s="65" customFormat="1"/>
    <row r="6073" s="65" customFormat="1"/>
    <row r="6074" s="65" customFormat="1"/>
    <row r="6075" s="65" customFormat="1"/>
    <row r="6076" s="65" customFormat="1"/>
    <row r="6077" s="65" customFormat="1"/>
    <row r="6078" s="65" customFormat="1"/>
    <row r="6079" s="65" customFormat="1"/>
    <row r="6080" s="65" customFormat="1"/>
    <row r="6081" s="65" customFormat="1"/>
    <row r="6082" s="65" customFormat="1"/>
    <row r="6083" s="65" customFormat="1"/>
    <row r="6084" s="65" customFormat="1"/>
    <row r="6085" s="65" customFormat="1"/>
    <row r="6086" s="65" customFormat="1"/>
    <row r="6087" s="65" customFormat="1"/>
    <row r="6088" s="65" customFormat="1"/>
    <row r="6089" s="65" customFormat="1"/>
    <row r="6090" s="65" customFormat="1"/>
    <row r="6091" s="65" customFormat="1"/>
    <row r="6092" s="65" customFormat="1"/>
    <row r="6093" s="65" customFormat="1"/>
    <row r="6094" s="65" customFormat="1"/>
    <row r="6095" s="65" customFormat="1"/>
    <row r="6096" s="65" customFormat="1"/>
    <row r="6097" s="65" customFormat="1"/>
    <row r="6098" s="65" customFormat="1"/>
    <row r="6099" s="65" customFormat="1"/>
    <row r="6100" s="65" customFormat="1"/>
    <row r="6101" s="65" customFormat="1"/>
    <row r="6102" s="65" customFormat="1"/>
    <row r="6103" s="65" customFormat="1"/>
    <row r="6104" s="65" customFormat="1"/>
    <row r="6105" s="65" customFormat="1"/>
    <row r="6106" s="65" customFormat="1"/>
    <row r="6107" s="65" customFormat="1"/>
    <row r="6108" s="65" customFormat="1"/>
    <row r="6109" s="65" customFormat="1"/>
    <row r="6110" s="65" customFormat="1"/>
    <row r="6111" s="65" customFormat="1"/>
    <row r="6112" s="65" customFormat="1"/>
    <row r="6113" s="65" customFormat="1"/>
    <row r="6114" s="65" customFormat="1"/>
    <row r="6115" s="65" customFormat="1"/>
    <row r="6116" s="65" customFormat="1"/>
    <row r="6117" s="65" customFormat="1"/>
    <row r="6118" s="65" customFormat="1"/>
    <row r="6119" s="65" customFormat="1"/>
    <row r="6120" s="65" customFormat="1"/>
    <row r="6121" s="65" customFormat="1"/>
    <row r="6122" s="65" customFormat="1"/>
    <row r="6123" s="65" customFormat="1"/>
    <row r="6124" s="65" customFormat="1"/>
    <row r="6125" s="65" customFormat="1"/>
    <row r="6126" s="65" customFormat="1"/>
    <row r="6127" s="65" customFormat="1"/>
    <row r="6128" s="65" customFormat="1"/>
    <row r="6129" s="65" customFormat="1"/>
    <row r="6130" s="65" customFormat="1"/>
    <row r="6131" s="65" customFormat="1"/>
    <row r="6132" s="65" customFormat="1"/>
    <row r="6133" s="65" customFormat="1"/>
    <row r="6134" s="65" customFormat="1"/>
    <row r="6135" s="65" customFormat="1"/>
    <row r="6136" s="65" customFormat="1"/>
    <row r="6137" s="65" customFormat="1"/>
    <row r="6138" s="65" customFormat="1"/>
    <row r="6139" s="65" customFormat="1"/>
    <row r="6140" s="65" customFormat="1"/>
    <row r="6141" s="65" customFormat="1"/>
    <row r="6142" s="65" customFormat="1"/>
    <row r="6143" s="65" customFormat="1"/>
    <row r="6144" s="65" customFormat="1"/>
    <row r="6145" s="65" customFormat="1"/>
    <row r="6146" s="65" customFormat="1"/>
    <row r="6147" s="65" customFormat="1"/>
    <row r="6148" s="65" customFormat="1"/>
    <row r="6149" s="65" customFormat="1"/>
    <row r="6150" s="65" customFormat="1"/>
    <row r="6151" s="65" customFormat="1"/>
    <row r="6152" s="65" customFormat="1"/>
    <row r="6153" s="65" customFormat="1"/>
    <row r="6154" s="65" customFormat="1"/>
    <row r="6155" s="65" customFormat="1"/>
    <row r="6156" s="65" customFormat="1"/>
    <row r="6157" s="65" customFormat="1"/>
    <row r="6158" s="65" customFormat="1"/>
    <row r="6159" s="65" customFormat="1"/>
    <row r="6160" s="65" customFormat="1"/>
    <row r="6161" s="65" customFormat="1"/>
    <row r="6162" s="65" customFormat="1"/>
    <row r="6163" s="65" customFormat="1"/>
    <row r="6164" s="65" customFormat="1"/>
    <row r="6165" s="65" customFormat="1"/>
    <row r="6166" s="65" customFormat="1"/>
    <row r="6167" s="65" customFormat="1"/>
    <row r="6168" s="65" customFormat="1"/>
    <row r="6169" s="65" customFormat="1"/>
    <row r="6170" s="65" customFormat="1"/>
    <row r="6171" s="65" customFormat="1"/>
    <row r="6172" s="65" customFormat="1"/>
    <row r="6173" s="65" customFormat="1"/>
    <row r="6174" s="65" customFormat="1"/>
    <row r="6175" s="65" customFormat="1"/>
    <row r="6176" s="65" customFormat="1"/>
    <row r="6177" s="65" customFormat="1"/>
    <row r="6178" s="65" customFormat="1"/>
    <row r="6179" s="65" customFormat="1"/>
    <row r="6180" s="65" customFormat="1"/>
    <row r="6181" s="65" customFormat="1"/>
    <row r="6182" s="65" customFormat="1"/>
    <row r="6183" s="65" customFormat="1"/>
    <row r="6184" s="65" customFormat="1"/>
    <row r="6185" s="65" customFormat="1"/>
    <row r="6186" s="65" customFormat="1"/>
    <row r="6187" s="65" customFormat="1"/>
    <row r="6188" s="65" customFormat="1"/>
    <row r="6189" s="65" customFormat="1"/>
    <row r="6190" s="65" customFormat="1"/>
    <row r="6191" s="65" customFormat="1"/>
    <row r="6192" s="65" customFormat="1"/>
    <row r="6193" s="65" customFormat="1"/>
    <row r="6194" s="65" customFormat="1"/>
    <row r="6195" s="65" customFormat="1"/>
    <row r="6196" s="65" customFormat="1"/>
    <row r="6197" s="65" customFormat="1"/>
    <row r="6198" s="65" customFormat="1"/>
    <row r="6199" s="65" customFormat="1"/>
    <row r="6200" s="65" customFormat="1"/>
    <row r="6201" s="65" customFormat="1"/>
    <row r="6202" s="65" customFormat="1"/>
    <row r="6203" s="65" customFormat="1"/>
    <row r="6204" s="65" customFormat="1"/>
    <row r="6205" s="65" customFormat="1"/>
    <row r="6206" s="65" customFormat="1"/>
    <row r="6207" s="65" customFormat="1"/>
    <row r="6208" s="65" customFormat="1"/>
    <row r="6209" s="65" customFormat="1"/>
    <row r="6210" s="65" customFormat="1"/>
    <row r="6211" s="65" customFormat="1"/>
    <row r="6212" s="65" customFormat="1"/>
    <row r="6213" s="65" customFormat="1"/>
    <row r="6214" s="65" customFormat="1"/>
    <row r="6215" s="65" customFormat="1"/>
    <row r="6216" s="65" customFormat="1"/>
    <row r="6217" s="65" customFormat="1"/>
    <row r="6218" s="65" customFormat="1"/>
    <row r="6219" s="65" customFormat="1"/>
    <row r="6220" s="65" customFormat="1"/>
    <row r="6221" s="65" customFormat="1"/>
    <row r="6222" s="65" customFormat="1"/>
    <row r="6223" s="65" customFormat="1"/>
    <row r="6224" s="65" customFormat="1"/>
    <row r="6225" s="65" customFormat="1"/>
    <row r="6226" s="65" customFormat="1"/>
    <row r="6227" s="65" customFormat="1"/>
    <row r="6228" s="65" customFormat="1"/>
    <row r="6229" s="65" customFormat="1"/>
    <row r="6230" s="65" customFormat="1"/>
    <row r="6231" s="65" customFormat="1"/>
    <row r="6232" s="65" customFormat="1"/>
    <row r="6233" s="65" customFormat="1"/>
    <row r="6234" s="65" customFormat="1"/>
    <row r="6235" s="65" customFormat="1"/>
    <row r="6236" s="65" customFormat="1"/>
    <row r="6237" s="65" customFormat="1"/>
    <row r="6238" s="65" customFormat="1"/>
    <row r="6239" s="65" customFormat="1"/>
    <row r="6240" s="65" customFormat="1"/>
    <row r="6241" s="65" customFormat="1"/>
    <row r="6242" s="65" customFormat="1"/>
    <row r="6243" s="65" customFormat="1"/>
    <row r="6244" s="65" customFormat="1"/>
    <row r="6245" s="65" customFormat="1"/>
    <row r="6246" s="65" customFormat="1"/>
    <row r="6247" s="65" customFormat="1"/>
    <row r="6248" s="65" customFormat="1"/>
    <row r="6249" s="65" customFormat="1"/>
    <row r="6250" s="65" customFormat="1"/>
    <row r="6251" s="65" customFormat="1"/>
    <row r="6252" s="65" customFormat="1"/>
    <row r="6253" s="65" customFormat="1"/>
    <row r="6254" s="65" customFormat="1"/>
    <row r="6255" s="65" customFormat="1"/>
    <row r="6256" s="65" customFormat="1"/>
    <row r="6257" s="65" customFormat="1"/>
    <row r="6258" s="65" customFormat="1"/>
    <row r="6259" s="65" customFormat="1"/>
    <row r="6260" s="65" customFormat="1"/>
    <row r="6261" s="65" customFormat="1"/>
    <row r="6262" s="65" customFormat="1"/>
    <row r="6263" s="65" customFormat="1"/>
    <row r="6264" s="65" customFormat="1"/>
    <row r="6265" s="65" customFormat="1"/>
    <row r="6266" s="65" customFormat="1"/>
    <row r="6267" s="65" customFormat="1"/>
    <row r="6268" s="65" customFormat="1"/>
    <row r="6269" s="65" customFormat="1"/>
    <row r="6270" s="65" customFormat="1"/>
    <row r="6271" s="65" customFormat="1"/>
    <row r="6272" s="65" customFormat="1"/>
    <row r="6273" s="65" customFormat="1"/>
    <row r="6274" s="65" customFormat="1"/>
    <row r="6275" s="65" customFormat="1"/>
    <row r="6276" s="65" customFormat="1"/>
    <row r="6277" s="65" customFormat="1"/>
    <row r="6278" s="65" customFormat="1"/>
    <row r="6279" s="65" customFormat="1"/>
    <row r="6280" s="65" customFormat="1"/>
    <row r="6281" s="65" customFormat="1"/>
    <row r="6282" s="65" customFormat="1"/>
    <row r="6283" s="65" customFormat="1"/>
    <row r="6284" s="65" customFormat="1"/>
    <row r="6285" s="65" customFormat="1"/>
    <row r="6286" s="65" customFormat="1"/>
    <row r="6287" s="65" customFormat="1"/>
    <row r="6288" s="65" customFormat="1"/>
    <row r="6289" s="65" customFormat="1"/>
    <row r="6290" s="65" customFormat="1"/>
    <row r="6291" s="65" customFormat="1"/>
    <row r="6292" s="65" customFormat="1"/>
    <row r="6293" s="65" customFormat="1"/>
    <row r="6294" s="65" customFormat="1"/>
    <row r="6295" s="65" customFormat="1"/>
    <row r="6296" s="65" customFormat="1"/>
    <row r="6297" s="65" customFormat="1"/>
    <row r="6298" s="65" customFormat="1"/>
    <row r="6299" s="65" customFormat="1"/>
    <row r="6300" s="65" customFormat="1"/>
    <row r="6301" s="65" customFormat="1"/>
    <row r="6302" s="65" customFormat="1"/>
    <row r="6303" s="65" customFormat="1"/>
    <row r="6304" s="65" customFormat="1"/>
    <row r="6305" s="65" customFormat="1"/>
    <row r="6306" s="65" customFormat="1"/>
    <row r="6307" s="65" customFormat="1"/>
    <row r="6308" s="65" customFormat="1"/>
    <row r="6309" s="65" customFormat="1"/>
    <row r="6310" s="65" customFormat="1"/>
    <row r="6311" s="65" customFormat="1"/>
    <row r="6312" s="65" customFormat="1"/>
    <row r="6313" s="65" customFormat="1"/>
    <row r="6314" s="65" customFormat="1"/>
    <row r="6315" s="65" customFormat="1"/>
    <row r="6316" s="65" customFormat="1"/>
    <row r="6317" s="65" customFormat="1"/>
    <row r="6318" s="65" customFormat="1"/>
    <row r="6319" s="65" customFormat="1"/>
    <row r="6320" s="65" customFormat="1"/>
    <row r="6321" s="65" customFormat="1"/>
    <row r="6322" s="65" customFormat="1"/>
    <row r="6323" s="65" customFormat="1"/>
    <row r="6324" s="65" customFormat="1"/>
    <row r="6325" s="65" customFormat="1"/>
    <row r="6326" s="65" customFormat="1"/>
    <row r="6327" s="65" customFormat="1"/>
    <row r="6328" s="65" customFormat="1"/>
    <row r="6329" s="65" customFormat="1"/>
    <row r="6330" s="65" customFormat="1"/>
    <row r="6331" s="65" customFormat="1"/>
    <row r="6332" s="65" customFormat="1"/>
    <row r="6333" s="65" customFormat="1"/>
    <row r="6334" s="65" customFormat="1"/>
    <row r="6335" s="65" customFormat="1"/>
    <row r="6336" s="65" customFormat="1"/>
    <row r="6337" s="65" customFormat="1"/>
    <row r="6338" s="65" customFormat="1"/>
    <row r="6339" s="65" customFormat="1"/>
    <row r="6340" s="65" customFormat="1"/>
    <row r="6341" s="65" customFormat="1"/>
    <row r="6342" s="65" customFormat="1"/>
    <row r="6343" s="65" customFormat="1"/>
    <row r="6344" s="65" customFormat="1"/>
    <row r="6345" s="65" customFormat="1"/>
    <row r="6346" s="65" customFormat="1"/>
    <row r="6347" s="65" customFormat="1"/>
    <row r="6348" s="65" customFormat="1"/>
    <row r="6349" s="65" customFormat="1"/>
    <row r="6350" s="65" customFormat="1"/>
    <row r="6351" s="65" customFormat="1"/>
    <row r="6352" s="65" customFormat="1"/>
    <row r="6353" s="65" customFormat="1"/>
    <row r="6354" s="65" customFormat="1"/>
    <row r="6355" s="65" customFormat="1"/>
    <row r="6356" s="65" customFormat="1"/>
    <row r="6357" s="65" customFormat="1"/>
    <row r="6358" s="65" customFormat="1"/>
    <row r="6359" s="65" customFormat="1"/>
    <row r="6360" s="65" customFormat="1"/>
    <row r="6361" s="65" customFormat="1"/>
    <row r="6362" s="65" customFormat="1"/>
    <row r="6363" s="65" customFormat="1"/>
    <row r="6364" s="65" customFormat="1"/>
    <row r="6365" s="65" customFormat="1"/>
    <row r="6366" s="65" customFormat="1"/>
    <row r="6367" s="65" customFormat="1"/>
    <row r="6368" s="65" customFormat="1"/>
    <row r="6369" s="65" customFormat="1"/>
    <row r="6370" s="65" customFormat="1"/>
    <row r="6371" s="65" customFormat="1"/>
    <row r="6372" s="65" customFormat="1"/>
    <row r="6373" s="65" customFormat="1"/>
    <row r="6374" s="65" customFormat="1"/>
    <row r="6375" s="65" customFormat="1"/>
    <row r="6376" s="65" customFormat="1"/>
    <row r="6377" s="65" customFormat="1"/>
    <row r="6378" s="65" customFormat="1"/>
    <row r="6379" s="65" customFormat="1"/>
    <row r="6380" s="65" customFormat="1"/>
    <row r="6381" s="65" customFormat="1"/>
    <row r="6382" s="65" customFormat="1"/>
    <row r="6383" s="65" customFormat="1"/>
    <row r="6384" s="65" customFormat="1"/>
    <row r="6385" s="65" customFormat="1"/>
    <row r="6386" s="65" customFormat="1"/>
    <row r="6387" s="65" customFormat="1"/>
    <row r="6388" s="65" customFormat="1"/>
    <row r="6389" s="65" customFormat="1"/>
    <row r="6390" s="65" customFormat="1"/>
    <row r="6391" s="65" customFormat="1"/>
    <row r="6392" s="65" customFormat="1"/>
    <row r="6393" s="65" customFormat="1"/>
    <row r="6394" s="65" customFormat="1"/>
    <row r="6395" s="65" customFormat="1"/>
    <row r="6396" s="65" customFormat="1"/>
    <row r="6397" s="65" customFormat="1"/>
    <row r="6398" s="65" customFormat="1"/>
    <row r="6399" s="65" customFormat="1"/>
    <row r="6400" s="65" customFormat="1"/>
    <row r="6401" s="65" customFormat="1"/>
    <row r="6402" s="65" customFormat="1"/>
    <row r="6403" s="65" customFormat="1"/>
    <row r="6404" s="65" customFormat="1"/>
    <row r="6405" s="65" customFormat="1"/>
    <row r="6406" s="65" customFormat="1"/>
    <row r="6407" s="65" customFormat="1"/>
    <row r="6408" s="65" customFormat="1"/>
    <row r="6409" s="65" customFormat="1"/>
    <row r="6410" s="65" customFormat="1"/>
    <row r="6411" s="65" customFormat="1"/>
    <row r="6412" s="65" customFormat="1"/>
    <row r="6413" s="65" customFormat="1"/>
    <row r="6414" s="65" customFormat="1"/>
    <row r="6415" s="65" customFormat="1"/>
    <row r="6416" s="65" customFormat="1"/>
    <row r="6417" s="65" customFormat="1"/>
    <row r="6418" s="65" customFormat="1"/>
    <row r="6419" s="65" customFormat="1"/>
    <row r="6420" s="65" customFormat="1"/>
    <row r="6421" s="65" customFormat="1"/>
    <row r="6422" s="65" customFormat="1"/>
    <row r="6423" s="65" customFormat="1"/>
    <row r="6424" s="65" customFormat="1"/>
    <row r="6425" s="65" customFormat="1"/>
    <row r="6426" s="65" customFormat="1"/>
    <row r="6427" s="65" customFormat="1"/>
    <row r="6428" s="65" customFormat="1"/>
    <row r="6429" s="65" customFormat="1"/>
    <row r="6430" s="65" customFormat="1"/>
    <row r="6431" s="65" customFormat="1"/>
    <row r="6432" s="65" customFormat="1"/>
    <row r="6433" s="65" customFormat="1"/>
    <row r="6434" s="65" customFormat="1"/>
    <row r="6435" s="65" customFormat="1"/>
    <row r="6436" s="65" customFormat="1"/>
    <row r="6437" s="65" customFormat="1"/>
    <row r="6438" s="65" customFormat="1"/>
    <row r="6439" s="65" customFormat="1"/>
    <row r="6440" s="65" customFormat="1"/>
    <row r="6441" s="65" customFormat="1"/>
    <row r="6442" s="65" customFormat="1"/>
    <row r="6443" s="65" customFormat="1"/>
    <row r="6444" s="65" customFormat="1"/>
    <row r="6445" s="65" customFormat="1"/>
    <row r="6446" s="65" customFormat="1"/>
    <row r="6447" s="65" customFormat="1"/>
    <row r="6448" s="65" customFormat="1"/>
    <row r="6449" s="65" customFormat="1"/>
    <row r="6450" s="65" customFormat="1"/>
    <row r="6451" s="65" customFormat="1"/>
    <row r="6452" s="65" customFormat="1"/>
    <row r="6453" s="65" customFormat="1"/>
    <row r="6454" s="65" customFormat="1"/>
    <row r="6455" s="65" customFormat="1"/>
    <row r="6456" s="65" customFormat="1"/>
    <row r="6457" s="65" customFormat="1"/>
    <row r="6458" s="65" customFormat="1"/>
    <row r="6459" s="65" customFormat="1"/>
    <row r="6460" s="65" customFormat="1"/>
    <row r="6461" s="65" customFormat="1"/>
    <row r="6462" s="65" customFormat="1"/>
    <row r="6463" s="65" customFormat="1"/>
    <row r="6464" s="65" customFormat="1"/>
    <row r="6465" s="65" customFormat="1"/>
    <row r="6466" s="65" customFormat="1"/>
    <row r="6467" s="65" customFormat="1"/>
    <row r="6468" s="65" customFormat="1"/>
    <row r="6469" s="65" customFormat="1"/>
    <row r="6470" s="65" customFormat="1"/>
    <row r="6471" s="65" customFormat="1"/>
    <row r="6472" s="65" customFormat="1"/>
    <row r="6473" s="65" customFormat="1"/>
    <row r="6474" s="65" customFormat="1"/>
    <row r="6475" s="65" customFormat="1"/>
    <row r="6476" s="65" customFormat="1"/>
    <row r="6477" s="65" customFormat="1"/>
    <row r="6478" s="65" customFormat="1"/>
    <row r="6479" s="65" customFormat="1"/>
    <row r="6480" s="65" customFormat="1"/>
    <row r="6481" s="65" customFormat="1"/>
    <row r="6482" s="65" customFormat="1"/>
    <row r="6483" s="65" customFormat="1"/>
    <row r="6484" s="65" customFormat="1"/>
    <row r="6485" s="65" customFormat="1"/>
    <row r="6486" s="65" customFormat="1"/>
    <row r="6487" s="65" customFormat="1"/>
    <row r="6488" s="65" customFormat="1"/>
    <row r="6489" s="65" customFormat="1"/>
    <row r="6490" s="65" customFormat="1"/>
    <row r="6491" s="65" customFormat="1"/>
    <row r="6492" s="65" customFormat="1"/>
    <row r="6493" s="65" customFormat="1"/>
    <row r="6494" s="65" customFormat="1"/>
    <row r="6495" s="65" customFormat="1"/>
    <row r="6496" s="65" customFormat="1"/>
    <row r="6497" s="65" customFormat="1"/>
    <row r="6498" s="65" customFormat="1"/>
    <row r="6499" s="65" customFormat="1"/>
    <row r="6500" s="65" customFormat="1"/>
    <row r="6501" s="65" customFormat="1"/>
    <row r="6502" s="65" customFormat="1"/>
    <row r="6503" s="65" customFormat="1"/>
    <row r="6504" s="65" customFormat="1"/>
    <row r="6505" s="65" customFormat="1"/>
    <row r="6506" s="65" customFormat="1"/>
    <row r="6507" s="65" customFormat="1"/>
    <row r="6508" s="65" customFormat="1"/>
    <row r="6509" s="65" customFormat="1"/>
    <row r="6510" s="65" customFormat="1"/>
    <row r="6511" s="65" customFormat="1"/>
    <row r="6512" s="65" customFormat="1"/>
    <row r="6513" s="65" customFormat="1"/>
    <row r="6514" s="65" customFormat="1"/>
    <row r="6515" s="65" customFormat="1"/>
    <row r="6516" s="65" customFormat="1"/>
    <row r="6517" s="65" customFormat="1"/>
    <row r="6518" s="65" customFormat="1"/>
    <row r="6519" s="65" customFormat="1"/>
    <row r="6520" s="65" customFormat="1"/>
    <row r="6521" s="65" customFormat="1"/>
    <row r="6522" s="65" customFormat="1"/>
    <row r="6523" s="65" customFormat="1"/>
    <row r="6524" s="65" customFormat="1"/>
    <row r="6525" s="65" customFormat="1"/>
    <row r="6526" s="65" customFormat="1"/>
    <row r="6527" s="65" customFormat="1"/>
    <row r="6528" s="65" customFormat="1"/>
    <row r="6529" s="65" customFormat="1"/>
    <row r="6530" s="65" customFormat="1"/>
    <row r="6531" s="65" customFormat="1"/>
    <row r="6532" s="65" customFormat="1"/>
    <row r="6533" s="65" customFormat="1"/>
    <row r="6534" s="65" customFormat="1"/>
    <row r="6535" s="65" customFormat="1"/>
    <row r="6536" s="65" customFormat="1"/>
    <row r="6537" s="65" customFormat="1"/>
    <row r="6538" s="65" customFormat="1"/>
    <row r="6539" s="65" customFormat="1"/>
    <row r="6540" s="65" customFormat="1"/>
    <row r="6541" s="65" customFormat="1"/>
    <row r="6542" s="65" customFormat="1"/>
    <row r="6543" s="65" customFormat="1"/>
    <row r="6544" s="65" customFormat="1"/>
    <row r="6545" s="65" customFormat="1"/>
    <row r="6546" s="65" customFormat="1"/>
    <row r="6547" s="65" customFormat="1"/>
    <row r="6548" s="65" customFormat="1"/>
    <row r="6549" s="65" customFormat="1"/>
    <row r="6550" s="65" customFormat="1"/>
    <row r="6551" s="65" customFormat="1"/>
    <row r="6552" s="65" customFormat="1"/>
    <row r="6553" s="65" customFormat="1"/>
    <row r="6554" s="65" customFormat="1"/>
    <row r="6555" s="65" customFormat="1"/>
    <row r="6556" s="65" customFormat="1"/>
    <row r="6557" s="65" customFormat="1"/>
    <row r="6558" s="65" customFormat="1"/>
    <row r="6559" s="65" customFormat="1"/>
    <row r="6560" s="65" customFormat="1"/>
    <row r="6561" s="65" customFormat="1"/>
    <row r="6562" s="65" customFormat="1"/>
    <row r="6563" s="65" customFormat="1"/>
    <row r="6564" s="65" customFormat="1"/>
    <row r="6565" s="65" customFormat="1"/>
    <row r="6566" s="65" customFormat="1"/>
    <row r="6567" s="65" customFormat="1"/>
    <row r="6568" s="65" customFormat="1"/>
    <row r="6569" s="65" customFormat="1"/>
    <row r="6570" s="65" customFormat="1"/>
    <row r="6571" s="65" customFormat="1"/>
    <row r="6572" s="65" customFormat="1"/>
    <row r="6573" s="65" customFormat="1"/>
    <row r="6574" s="65" customFormat="1"/>
    <row r="6575" s="65" customFormat="1"/>
    <row r="6576" s="65" customFormat="1"/>
    <row r="6577" s="65" customFormat="1"/>
    <row r="6578" s="65" customFormat="1"/>
    <row r="6579" s="65" customFormat="1"/>
    <row r="6580" s="65" customFormat="1"/>
    <row r="6581" s="65" customFormat="1"/>
    <row r="6582" s="65" customFormat="1"/>
    <row r="6583" s="65" customFormat="1"/>
    <row r="6584" s="65" customFormat="1"/>
    <row r="6585" s="65" customFormat="1"/>
    <row r="6586" s="65" customFormat="1"/>
    <row r="6587" s="65" customFormat="1"/>
    <row r="6588" s="65" customFormat="1"/>
    <row r="6589" s="65" customFormat="1"/>
    <row r="6590" s="65" customFormat="1"/>
    <row r="6591" s="65" customFormat="1"/>
    <row r="6592" s="65" customFormat="1"/>
    <row r="6593" s="65" customFormat="1"/>
    <row r="6594" s="65" customFormat="1"/>
    <row r="6595" s="65" customFormat="1"/>
    <row r="6596" s="65" customFormat="1"/>
    <row r="6597" s="65" customFormat="1"/>
    <row r="6598" s="65" customFormat="1"/>
    <row r="6599" s="65" customFormat="1"/>
    <row r="6600" s="65" customFormat="1"/>
    <row r="6601" s="65" customFormat="1"/>
    <row r="6602" s="65" customFormat="1"/>
    <row r="6603" s="65" customFormat="1"/>
    <row r="6604" s="65" customFormat="1"/>
    <row r="6605" s="65" customFormat="1"/>
    <row r="6606" s="65" customFormat="1"/>
    <row r="6607" s="65" customFormat="1"/>
    <row r="6608" s="65" customFormat="1"/>
    <row r="6609" s="65" customFormat="1"/>
    <row r="6610" s="65" customFormat="1"/>
    <row r="6611" s="65" customFormat="1"/>
    <row r="6612" s="65" customFormat="1"/>
    <row r="6613" s="65" customFormat="1"/>
    <row r="6614" s="65" customFormat="1"/>
    <row r="6615" s="65" customFormat="1"/>
    <row r="6616" s="65" customFormat="1"/>
    <row r="6617" s="65" customFormat="1"/>
    <row r="6618" s="65" customFormat="1"/>
    <row r="6619" s="65" customFormat="1"/>
    <row r="6620" s="65" customFormat="1"/>
    <row r="6621" s="65" customFormat="1"/>
    <row r="6622" s="65" customFormat="1"/>
    <row r="6623" s="65" customFormat="1"/>
    <row r="6624" s="65" customFormat="1"/>
    <row r="6625" s="65" customFormat="1"/>
    <row r="6626" s="65" customFormat="1"/>
    <row r="6627" s="65" customFormat="1"/>
    <row r="6628" s="65" customFormat="1"/>
    <row r="6629" s="65" customFormat="1"/>
    <row r="6630" s="65" customFormat="1"/>
    <row r="6631" s="65" customFormat="1"/>
    <row r="6632" s="65" customFormat="1"/>
    <row r="6633" s="65" customFormat="1"/>
    <row r="6634" s="65" customFormat="1"/>
    <row r="6635" s="65" customFormat="1"/>
    <row r="6636" s="65" customFormat="1"/>
    <row r="6637" s="65" customFormat="1"/>
    <row r="6638" s="65" customFormat="1"/>
    <row r="6639" s="65" customFormat="1"/>
    <row r="6640" s="65" customFormat="1"/>
    <row r="6641" s="65" customFormat="1"/>
    <row r="6642" s="65" customFormat="1"/>
    <row r="6643" s="65" customFormat="1"/>
    <row r="6644" s="65" customFormat="1"/>
    <row r="6645" s="65" customFormat="1"/>
    <row r="6646" s="65" customFormat="1"/>
    <row r="6647" s="65" customFormat="1"/>
    <row r="6648" s="65" customFormat="1"/>
    <row r="6649" s="65" customFormat="1"/>
    <row r="6650" s="65" customFormat="1"/>
    <row r="6651" s="65" customFormat="1"/>
    <row r="6652" s="65" customFormat="1"/>
    <row r="6653" s="65" customFormat="1"/>
    <row r="6654" s="65" customFormat="1"/>
    <row r="6655" s="65" customFormat="1"/>
    <row r="6656" s="65" customFormat="1"/>
    <row r="6657" s="65" customFormat="1"/>
    <row r="6658" s="65" customFormat="1"/>
    <row r="6659" s="65" customFormat="1"/>
    <row r="6660" s="65" customFormat="1"/>
    <row r="6661" s="65" customFormat="1"/>
    <row r="6662" s="65" customFormat="1"/>
    <row r="6663" s="65" customFormat="1"/>
    <row r="6664" s="65" customFormat="1"/>
    <row r="6665" s="65" customFormat="1"/>
    <row r="6666" s="65" customFormat="1"/>
    <row r="6667" s="65" customFormat="1"/>
    <row r="6668" s="65" customFormat="1"/>
    <row r="6669" s="65" customFormat="1"/>
    <row r="6670" s="65" customFormat="1"/>
    <row r="6671" s="65" customFormat="1"/>
    <row r="6672" s="65" customFormat="1"/>
    <row r="6673" s="65" customFormat="1"/>
    <row r="6674" s="65" customFormat="1"/>
    <row r="6675" s="65" customFormat="1"/>
    <row r="6676" s="65" customFormat="1"/>
    <row r="6677" s="65" customFormat="1"/>
    <row r="6678" s="65" customFormat="1"/>
    <row r="6679" s="65" customFormat="1"/>
    <row r="6680" s="65" customFormat="1"/>
    <row r="6681" s="65" customFormat="1"/>
    <row r="6682" s="65" customFormat="1"/>
    <row r="6683" s="65" customFormat="1"/>
    <row r="6684" s="65" customFormat="1"/>
    <row r="6685" s="65" customFormat="1"/>
    <row r="6686" s="65" customFormat="1"/>
    <row r="6687" s="65" customFormat="1"/>
    <row r="6688" s="65" customFormat="1"/>
    <row r="6689" s="65" customFormat="1"/>
    <row r="6690" s="65" customFormat="1"/>
    <row r="6691" s="65" customFormat="1"/>
    <row r="6692" s="65" customFormat="1"/>
    <row r="6693" s="65" customFormat="1"/>
    <row r="6694" s="65" customFormat="1"/>
    <row r="6695" s="65" customFormat="1"/>
    <row r="6696" s="65" customFormat="1"/>
    <row r="6697" s="65" customFormat="1"/>
    <row r="6698" s="65" customFormat="1"/>
    <row r="6699" s="65" customFormat="1"/>
    <row r="6700" s="65" customFormat="1"/>
    <row r="6701" s="65" customFormat="1"/>
    <row r="6702" s="65" customFormat="1"/>
    <row r="6703" s="65" customFormat="1"/>
    <row r="6704" s="65" customFormat="1"/>
    <row r="6705" s="65" customFormat="1"/>
    <row r="6706" s="65" customFormat="1"/>
    <row r="6707" s="65" customFormat="1"/>
    <row r="6708" s="65" customFormat="1"/>
    <row r="6709" s="65" customFormat="1"/>
    <row r="6710" s="65" customFormat="1"/>
    <row r="6711" s="65" customFormat="1"/>
    <row r="6712" s="65" customFormat="1"/>
    <row r="6713" s="65" customFormat="1"/>
    <row r="6714" s="65" customFormat="1"/>
    <row r="6715" s="65" customFormat="1"/>
    <row r="6716" s="65" customFormat="1"/>
    <row r="6717" s="65" customFormat="1"/>
    <row r="6718" s="65" customFormat="1"/>
    <row r="6719" s="65" customFormat="1"/>
    <row r="6720" s="65" customFormat="1"/>
    <row r="6721" s="65" customFormat="1"/>
    <row r="6722" s="65" customFormat="1"/>
    <row r="6723" s="65" customFormat="1"/>
    <row r="6724" s="65" customFormat="1"/>
    <row r="6725" s="65" customFormat="1"/>
    <row r="6726" s="65" customFormat="1"/>
    <row r="6727" s="65" customFormat="1"/>
    <row r="6728" s="65" customFormat="1"/>
    <row r="6729" s="65" customFormat="1"/>
    <row r="6730" s="65" customFormat="1"/>
    <row r="6731" s="65" customFormat="1"/>
    <row r="6732" s="65" customFormat="1"/>
    <row r="6733" s="65" customFormat="1"/>
    <row r="6734" s="65" customFormat="1"/>
    <row r="6735" s="65" customFormat="1"/>
    <row r="6736" s="65" customFormat="1"/>
    <row r="6737" s="65" customFormat="1"/>
    <row r="6738" s="65" customFormat="1"/>
    <row r="6739" s="65" customFormat="1"/>
    <row r="6740" s="65" customFormat="1"/>
    <row r="6741" s="65" customFormat="1"/>
    <row r="6742" s="65" customFormat="1"/>
    <row r="6743" s="65" customFormat="1"/>
    <row r="6744" s="65" customFormat="1"/>
    <row r="6745" s="65" customFormat="1"/>
    <row r="6746" s="65" customFormat="1"/>
    <row r="6747" s="65" customFormat="1"/>
    <row r="6748" s="65" customFormat="1"/>
    <row r="6749" s="65" customFormat="1"/>
    <row r="6750" s="65" customFormat="1"/>
    <row r="6751" s="65" customFormat="1"/>
    <row r="6752" s="65" customFormat="1"/>
    <row r="6753" s="65" customFormat="1"/>
    <row r="6754" s="65" customFormat="1"/>
    <row r="6755" s="65" customFormat="1"/>
    <row r="6756" s="65" customFormat="1"/>
    <row r="6757" s="65" customFormat="1"/>
    <row r="6758" s="65" customFormat="1"/>
    <row r="6759" s="65" customFormat="1"/>
    <row r="6760" s="65" customFormat="1"/>
    <row r="6761" s="65" customFormat="1"/>
    <row r="6762" s="65" customFormat="1"/>
    <row r="6763" s="65" customFormat="1"/>
    <row r="6764" s="65" customFormat="1"/>
    <row r="6765" s="65" customFormat="1"/>
    <row r="6766" s="65" customFormat="1"/>
    <row r="6767" s="65" customFormat="1"/>
    <row r="6768" s="65" customFormat="1"/>
    <row r="6769" s="65" customFormat="1"/>
    <row r="6770" s="65" customFormat="1"/>
    <row r="6771" s="65" customFormat="1"/>
    <row r="6772" s="65" customFormat="1"/>
    <row r="6773" s="65" customFormat="1"/>
    <row r="6774" s="65" customFormat="1"/>
    <row r="6775" s="65" customFormat="1"/>
    <row r="6776" s="65" customFormat="1"/>
    <row r="6777" s="65" customFormat="1"/>
    <row r="6778" s="65" customFormat="1"/>
    <row r="6779" s="65" customFormat="1"/>
    <row r="6780" s="65" customFormat="1"/>
    <row r="6781" s="65" customFormat="1"/>
    <row r="6782" s="65" customFormat="1"/>
    <row r="6783" s="65" customFormat="1"/>
    <row r="6784" s="65" customFormat="1"/>
    <row r="6785" s="65" customFormat="1"/>
    <row r="6786" s="65" customFormat="1"/>
    <row r="6787" s="65" customFormat="1"/>
    <row r="6788" s="65" customFormat="1"/>
    <row r="6789" s="65" customFormat="1"/>
    <row r="6790" s="65" customFormat="1"/>
    <row r="6791" s="65" customFormat="1"/>
    <row r="6792" s="65" customFormat="1"/>
    <row r="6793" s="65" customFormat="1"/>
    <row r="6794" s="65" customFormat="1"/>
    <row r="6795" s="65" customFormat="1"/>
    <row r="6796" s="65" customFormat="1"/>
    <row r="6797" s="65" customFormat="1"/>
    <row r="6798" s="65" customFormat="1"/>
    <row r="6799" s="65" customFormat="1"/>
    <row r="6800" s="65" customFormat="1"/>
    <row r="6801" s="65" customFormat="1"/>
    <row r="6802" s="65" customFormat="1"/>
    <row r="6803" s="65" customFormat="1"/>
    <row r="6804" s="65" customFormat="1"/>
    <row r="6805" s="65" customFormat="1"/>
    <row r="6806" s="65" customFormat="1"/>
    <row r="6807" s="65" customFormat="1"/>
    <row r="6808" s="65" customFormat="1"/>
    <row r="6809" s="65" customFormat="1"/>
    <row r="6810" s="65" customFormat="1"/>
    <row r="6811" s="65" customFormat="1"/>
    <row r="6812" s="65" customFormat="1"/>
    <row r="6813" s="65" customFormat="1"/>
    <row r="6814" s="65" customFormat="1"/>
    <row r="6815" s="65" customFormat="1"/>
    <row r="6816" s="65" customFormat="1"/>
    <row r="6817" s="65" customFormat="1"/>
    <row r="6818" s="65" customFormat="1"/>
    <row r="6819" s="65" customFormat="1"/>
    <row r="6820" s="65" customFormat="1"/>
    <row r="6821" s="65" customFormat="1"/>
    <row r="6822" s="65" customFormat="1"/>
    <row r="6823" s="65" customFormat="1"/>
    <row r="6824" s="65" customFormat="1"/>
    <row r="6825" s="65" customFormat="1"/>
    <row r="6826" s="65" customFormat="1"/>
    <row r="6827" s="65" customFormat="1"/>
    <row r="6828" s="65" customFormat="1"/>
    <row r="6829" s="65" customFormat="1"/>
    <row r="6830" s="65" customFormat="1"/>
    <row r="6831" s="65" customFormat="1"/>
    <row r="6832" s="65" customFormat="1"/>
    <row r="6833" s="65" customFormat="1"/>
    <row r="6834" s="65" customFormat="1"/>
    <row r="6835" s="65" customFormat="1"/>
    <row r="6836" s="65" customFormat="1"/>
    <row r="6837" s="65" customFormat="1"/>
    <row r="6838" s="65" customFormat="1"/>
    <row r="6839" s="65" customFormat="1"/>
    <row r="6840" s="65" customFormat="1"/>
    <row r="6841" s="65" customFormat="1"/>
    <row r="6842" s="65" customFormat="1"/>
    <row r="6843" s="65" customFormat="1"/>
    <row r="6844" s="65" customFormat="1"/>
    <row r="6845" s="65" customFormat="1"/>
    <row r="6846" s="65" customFormat="1"/>
    <row r="6847" s="65" customFormat="1"/>
    <row r="6848" s="65" customFormat="1"/>
    <row r="6849" s="65" customFormat="1"/>
    <row r="6850" s="65" customFormat="1"/>
    <row r="6851" s="65" customFormat="1"/>
    <row r="6852" s="65" customFormat="1"/>
    <row r="6853" s="65" customFormat="1"/>
    <row r="6854" s="65" customFormat="1"/>
    <row r="6855" s="65" customFormat="1"/>
    <row r="6856" s="65" customFormat="1"/>
    <row r="6857" s="65" customFormat="1"/>
    <row r="6858" s="65" customFormat="1"/>
    <row r="6859" s="65" customFormat="1"/>
    <row r="6860" s="65" customFormat="1"/>
    <row r="6861" s="65" customFormat="1"/>
    <row r="6862" s="65" customFormat="1"/>
    <row r="6863" s="65" customFormat="1"/>
    <row r="6864" s="65" customFormat="1"/>
    <row r="6865" s="65" customFormat="1"/>
    <row r="6866" s="65" customFormat="1"/>
    <row r="6867" s="65" customFormat="1"/>
    <row r="6868" s="65" customFormat="1"/>
    <row r="6869" s="65" customFormat="1"/>
    <row r="6870" s="65" customFormat="1"/>
    <row r="6871" s="65" customFormat="1"/>
    <row r="6872" s="65" customFormat="1"/>
    <row r="6873" s="65" customFormat="1"/>
    <row r="6874" s="65" customFormat="1"/>
    <row r="6875" s="65" customFormat="1"/>
    <row r="6876" s="65" customFormat="1"/>
    <row r="6877" s="65" customFormat="1"/>
    <row r="6878" s="65" customFormat="1"/>
    <row r="6879" s="65" customFormat="1"/>
    <row r="6880" s="65" customFormat="1"/>
    <row r="6881" s="65" customFormat="1"/>
    <row r="6882" s="65" customFormat="1"/>
    <row r="6883" s="65" customFormat="1"/>
    <row r="6884" s="65" customFormat="1"/>
    <row r="6885" s="65" customFormat="1"/>
    <row r="6886" s="65" customFormat="1"/>
    <row r="6887" s="65" customFormat="1"/>
    <row r="6888" s="65" customFormat="1"/>
    <row r="6889" s="65" customFormat="1"/>
    <row r="6890" s="65" customFormat="1"/>
    <row r="6891" s="65" customFormat="1"/>
    <row r="6892" s="65" customFormat="1"/>
    <row r="6893" s="65" customFormat="1"/>
    <row r="6894" s="65" customFormat="1"/>
    <row r="6895" s="65" customFormat="1"/>
    <row r="6896" s="65" customFormat="1"/>
    <row r="6897" s="65" customFormat="1"/>
    <row r="6898" s="65" customFormat="1"/>
    <row r="6899" s="65" customFormat="1"/>
    <row r="6900" s="65" customFormat="1"/>
    <row r="6901" s="65" customFormat="1"/>
    <row r="6902" s="65" customFormat="1"/>
    <row r="6903" s="65" customFormat="1"/>
    <row r="6904" s="65" customFormat="1"/>
    <row r="6905" s="65" customFormat="1"/>
    <row r="6906" s="65" customFormat="1"/>
    <row r="6907" s="65" customFormat="1"/>
    <row r="6908" s="65" customFormat="1"/>
    <row r="6909" s="65" customFormat="1"/>
    <row r="6910" s="65" customFormat="1"/>
    <row r="6911" s="65" customFormat="1"/>
    <row r="6912" s="65" customFormat="1"/>
    <row r="6913" s="65" customFormat="1"/>
    <row r="6914" s="65" customFormat="1"/>
    <row r="6915" s="65" customFormat="1"/>
    <row r="6916" s="65" customFormat="1"/>
    <row r="6917" s="65" customFormat="1"/>
    <row r="6918" s="65" customFormat="1"/>
    <row r="6919" s="65" customFormat="1"/>
    <row r="6920" s="65" customFormat="1"/>
    <row r="6921" s="65" customFormat="1"/>
    <row r="6922" s="65" customFormat="1"/>
    <row r="6923" s="65" customFormat="1"/>
    <row r="6924" s="65" customFormat="1"/>
    <row r="6925" s="65" customFormat="1"/>
    <row r="6926" s="65" customFormat="1"/>
    <row r="6927" s="65" customFormat="1"/>
    <row r="6928" s="65" customFormat="1"/>
    <row r="6929" s="65" customFormat="1"/>
    <row r="6930" s="65" customFormat="1"/>
    <row r="6931" s="65" customFormat="1"/>
    <row r="6932" s="65" customFormat="1"/>
    <row r="6933" s="65" customFormat="1"/>
    <row r="6934" s="65" customFormat="1"/>
    <row r="6935" s="65" customFormat="1"/>
    <row r="6936" s="65" customFormat="1"/>
    <row r="6937" s="65" customFormat="1"/>
    <row r="6938" s="65" customFormat="1"/>
    <row r="6939" s="65" customFormat="1"/>
    <row r="6940" s="65" customFormat="1"/>
    <row r="6941" s="65" customFormat="1"/>
    <row r="6942" s="65" customFormat="1"/>
    <row r="6943" s="65" customFormat="1"/>
    <row r="6944" s="65" customFormat="1"/>
    <row r="6945" s="65" customFormat="1"/>
    <row r="6946" s="65" customFormat="1"/>
    <row r="6947" s="65" customFormat="1"/>
    <row r="6948" s="65" customFormat="1"/>
    <row r="6949" s="65" customFormat="1"/>
    <row r="6950" s="65" customFormat="1"/>
    <row r="6951" s="65" customFormat="1"/>
    <row r="6952" s="65" customFormat="1"/>
    <row r="6953" s="65" customFormat="1"/>
    <row r="6954" s="65" customFormat="1"/>
    <row r="6955" s="65" customFormat="1"/>
    <row r="6956" s="65" customFormat="1"/>
    <row r="6957" s="65" customFormat="1"/>
    <row r="6958" s="65" customFormat="1"/>
    <row r="6959" s="65" customFormat="1"/>
    <row r="6960" s="65" customFormat="1"/>
    <row r="6961" s="65" customFormat="1"/>
    <row r="6962" s="65" customFormat="1"/>
    <row r="6963" s="65" customFormat="1"/>
    <row r="6964" s="65" customFormat="1"/>
    <row r="6965" s="65" customFormat="1"/>
    <row r="6966" s="65" customFormat="1"/>
    <row r="6967" s="65" customFormat="1"/>
    <row r="6968" s="65" customFormat="1"/>
    <row r="6969" s="65" customFormat="1"/>
    <row r="6970" s="65" customFormat="1"/>
    <row r="6971" s="65" customFormat="1"/>
    <row r="6972" s="65" customFormat="1"/>
    <row r="6973" s="65" customFormat="1"/>
    <row r="6974" s="65" customFormat="1"/>
    <row r="6975" s="65" customFormat="1"/>
    <row r="6976" s="65" customFormat="1"/>
    <row r="6977" s="65" customFormat="1"/>
    <row r="6978" s="65" customFormat="1"/>
    <row r="6979" s="65" customFormat="1"/>
    <row r="6980" s="65" customFormat="1"/>
    <row r="6981" s="65" customFormat="1"/>
    <row r="6982" s="65" customFormat="1"/>
    <row r="6983" s="65" customFormat="1"/>
    <row r="6984" s="65" customFormat="1"/>
    <row r="6985" s="65" customFormat="1"/>
    <row r="6986" s="65" customFormat="1"/>
    <row r="6987" s="65" customFormat="1"/>
    <row r="6988" s="65" customFormat="1"/>
    <row r="6989" s="65" customFormat="1"/>
    <row r="6990" s="65" customFormat="1"/>
    <row r="6991" s="65" customFormat="1"/>
    <row r="6992" s="65" customFormat="1"/>
    <row r="6993" s="65" customFormat="1"/>
    <row r="6994" s="65" customFormat="1"/>
    <row r="6995" s="65" customFormat="1"/>
    <row r="6996" s="65" customFormat="1"/>
    <row r="6997" s="65" customFormat="1"/>
    <row r="6998" s="65" customFormat="1"/>
    <row r="6999" s="65" customFormat="1"/>
    <row r="7000" s="65" customFormat="1"/>
    <row r="7001" s="65" customFormat="1"/>
    <row r="7002" s="65" customFormat="1"/>
    <row r="7003" s="65" customFormat="1"/>
    <row r="7004" s="65" customFormat="1"/>
    <row r="7005" s="65" customFormat="1"/>
    <row r="7006" s="65" customFormat="1"/>
    <row r="7007" s="65" customFormat="1"/>
    <row r="7008" s="65" customFormat="1"/>
    <row r="7009" s="65" customFormat="1"/>
    <row r="7010" s="65" customFormat="1"/>
    <row r="7011" s="65" customFormat="1"/>
    <row r="7012" s="65" customFormat="1"/>
    <row r="7013" s="65" customFormat="1"/>
    <row r="7014" s="65" customFormat="1"/>
    <row r="7015" s="65" customFormat="1"/>
    <row r="7016" s="65" customFormat="1"/>
    <row r="7017" s="65" customFormat="1"/>
    <row r="7018" s="65" customFormat="1"/>
    <row r="7019" s="65" customFormat="1"/>
    <row r="7020" s="65" customFormat="1"/>
    <row r="7021" s="65" customFormat="1"/>
    <row r="7022" s="65" customFormat="1"/>
    <row r="7023" s="65" customFormat="1"/>
    <row r="7024" s="65" customFormat="1"/>
    <row r="7025" s="65" customFormat="1"/>
    <row r="7026" s="65" customFormat="1"/>
    <row r="7027" s="65" customFormat="1"/>
    <row r="7028" s="65" customFormat="1"/>
    <row r="7029" s="65" customFormat="1"/>
    <row r="7030" s="65" customFormat="1"/>
    <row r="7031" s="65" customFormat="1"/>
    <row r="7032" s="65" customFormat="1"/>
    <row r="7033" s="65" customFormat="1"/>
    <row r="7034" s="65" customFormat="1"/>
    <row r="7035" s="65" customFormat="1"/>
    <row r="7036" s="65" customFormat="1"/>
    <row r="7037" s="65" customFormat="1"/>
    <row r="7038" s="65" customFormat="1"/>
    <row r="7039" s="65" customFormat="1"/>
    <row r="7040" s="65" customFormat="1"/>
    <row r="7041" s="65" customFormat="1"/>
    <row r="7042" s="65" customFormat="1"/>
    <row r="7043" s="65" customFormat="1"/>
    <row r="7044" s="65" customFormat="1"/>
    <row r="7045" s="65" customFormat="1"/>
    <row r="7046" s="65" customFormat="1"/>
    <row r="7047" s="65" customFormat="1"/>
    <row r="7048" s="65" customFormat="1"/>
    <row r="7049" s="65" customFormat="1"/>
    <row r="7050" s="65" customFormat="1"/>
    <row r="7051" s="65" customFormat="1"/>
    <row r="7052" s="65" customFormat="1"/>
    <row r="7053" s="65" customFormat="1"/>
    <row r="7054" s="65" customFormat="1"/>
    <row r="7055" s="65" customFormat="1"/>
    <row r="7056" s="65" customFormat="1"/>
    <row r="7057" s="65" customFormat="1"/>
    <row r="7058" s="65" customFormat="1"/>
    <row r="7059" s="65" customFormat="1"/>
    <row r="7060" s="65" customFormat="1"/>
    <row r="7061" s="65" customFormat="1"/>
    <row r="7062" s="65" customFormat="1"/>
    <row r="7063" s="65" customFormat="1"/>
    <row r="7064" s="65" customFormat="1"/>
    <row r="7065" s="65" customFormat="1"/>
    <row r="7066" s="65" customFormat="1"/>
    <row r="7067" s="65" customFormat="1"/>
    <row r="7068" s="65" customFormat="1"/>
    <row r="7069" s="65" customFormat="1"/>
    <row r="7070" s="65" customFormat="1"/>
    <row r="7071" s="65" customFormat="1"/>
    <row r="7072" s="65" customFormat="1"/>
    <row r="7073" s="65" customFormat="1"/>
    <row r="7074" s="65" customFormat="1"/>
    <row r="7075" s="65" customFormat="1"/>
    <row r="7076" s="65" customFormat="1"/>
    <row r="7077" s="65" customFormat="1"/>
    <row r="7078" s="65" customFormat="1"/>
    <row r="7079" s="65" customFormat="1"/>
    <row r="7080" s="65" customFormat="1"/>
    <row r="7081" s="65" customFormat="1"/>
    <row r="7082" s="65" customFormat="1"/>
    <row r="7083" s="65" customFormat="1"/>
    <row r="7084" s="65" customFormat="1"/>
    <row r="7085" s="65" customFormat="1"/>
    <row r="7086" s="65" customFormat="1"/>
    <row r="7087" s="65" customFormat="1"/>
    <row r="7088" s="65" customFormat="1"/>
    <row r="7089" s="65" customFormat="1"/>
    <row r="7090" s="65" customFormat="1"/>
    <row r="7091" s="65" customFormat="1"/>
    <row r="7092" s="65" customFormat="1"/>
    <row r="7093" s="65" customFormat="1"/>
    <row r="7094" s="65" customFormat="1"/>
    <row r="7095" s="65" customFormat="1"/>
    <row r="7096" s="65" customFormat="1"/>
    <row r="7097" s="65" customFormat="1"/>
    <row r="7098" s="65" customFormat="1"/>
    <row r="7099" s="65" customFormat="1"/>
    <row r="7100" s="65" customFormat="1"/>
    <row r="7101" s="65" customFormat="1"/>
    <row r="7102" s="65" customFormat="1"/>
    <row r="7103" s="65" customFormat="1"/>
    <row r="7104" s="65" customFormat="1"/>
    <row r="7105" s="65" customFormat="1"/>
    <row r="7106" s="65" customFormat="1"/>
    <row r="7107" s="65" customFormat="1"/>
    <row r="7108" s="65" customFormat="1"/>
    <row r="7109" s="65" customFormat="1"/>
    <row r="7110" s="65" customFormat="1"/>
    <row r="7111" s="65" customFormat="1"/>
    <row r="7112" s="65" customFormat="1"/>
    <row r="7113" s="65" customFormat="1"/>
    <row r="7114" s="65" customFormat="1"/>
    <row r="7115" s="65" customFormat="1"/>
    <row r="7116" s="65" customFormat="1"/>
    <row r="7117" s="65" customFormat="1"/>
    <row r="7118" s="65" customFormat="1"/>
    <row r="7119" s="65" customFormat="1"/>
    <row r="7120" s="65" customFormat="1"/>
    <row r="7121" s="65" customFormat="1"/>
    <row r="7122" s="65" customFormat="1"/>
    <row r="7123" s="65" customFormat="1"/>
    <row r="7124" s="65" customFormat="1"/>
    <row r="7125" s="65" customFormat="1"/>
    <row r="7126" s="65" customFormat="1"/>
    <row r="7127" s="65" customFormat="1"/>
    <row r="7128" s="65" customFormat="1"/>
    <row r="7129" s="65" customFormat="1"/>
    <row r="7130" s="65" customFormat="1"/>
    <row r="7131" s="65" customFormat="1"/>
    <row r="7132" s="65" customFormat="1"/>
    <row r="7133" s="65" customFormat="1"/>
    <row r="7134" s="65" customFormat="1"/>
    <row r="7135" s="65" customFormat="1"/>
    <row r="7136" s="65" customFormat="1"/>
    <row r="7137" s="65" customFormat="1"/>
    <row r="7138" s="65" customFormat="1"/>
    <row r="7139" s="65" customFormat="1"/>
    <row r="7140" s="65" customFormat="1"/>
    <row r="7141" s="65" customFormat="1"/>
    <row r="7142" s="65" customFormat="1"/>
    <row r="7143" s="65" customFormat="1"/>
    <row r="7144" s="65" customFormat="1"/>
    <row r="7145" s="65" customFormat="1"/>
    <row r="7146" s="65" customFormat="1"/>
    <row r="7147" s="65" customFormat="1"/>
    <row r="7148" s="65" customFormat="1"/>
    <row r="7149" s="65" customFormat="1"/>
    <row r="7150" s="65" customFormat="1"/>
    <row r="7151" s="65" customFormat="1"/>
    <row r="7152" s="65" customFormat="1"/>
    <row r="7153" s="65" customFormat="1"/>
    <row r="7154" s="65" customFormat="1"/>
    <row r="7155" s="65" customFormat="1"/>
    <row r="7156" s="65" customFormat="1"/>
    <row r="7157" s="65" customFormat="1"/>
    <row r="7158" s="65" customFormat="1"/>
    <row r="7159" s="65" customFormat="1"/>
    <row r="7160" s="65" customFormat="1"/>
    <row r="7161" s="65" customFormat="1"/>
    <row r="7162" s="65" customFormat="1"/>
    <row r="7163" s="65" customFormat="1"/>
    <row r="7164" s="65" customFormat="1"/>
    <row r="7165" s="65" customFormat="1"/>
    <row r="7166" s="65" customFormat="1"/>
    <row r="7167" s="65" customFormat="1"/>
    <row r="7168" s="65" customFormat="1"/>
    <row r="7169" s="65" customFormat="1"/>
    <row r="7170" s="65" customFormat="1"/>
    <row r="7171" s="65" customFormat="1"/>
    <row r="7172" s="65" customFormat="1"/>
    <row r="7173" s="65" customFormat="1"/>
    <row r="7174" s="65" customFormat="1"/>
    <row r="7175" s="65" customFormat="1"/>
    <row r="7176" s="65" customFormat="1"/>
    <row r="7177" s="65" customFormat="1"/>
    <row r="7178" s="65" customFormat="1"/>
    <row r="7179" s="65" customFormat="1"/>
    <row r="7180" s="65" customFormat="1"/>
    <row r="7181" s="65" customFormat="1"/>
    <row r="7182" s="65" customFormat="1"/>
    <row r="7183" s="65" customFormat="1"/>
    <row r="7184" s="65" customFormat="1"/>
    <row r="7185" s="65" customFormat="1"/>
    <row r="7186" s="65" customFormat="1"/>
    <row r="7187" s="65" customFormat="1"/>
    <row r="7188" s="65" customFormat="1"/>
    <row r="7189" s="65" customFormat="1"/>
    <row r="7190" s="65" customFormat="1"/>
    <row r="7191" s="65" customFormat="1"/>
    <row r="7192" s="65" customFormat="1"/>
    <row r="7193" s="65" customFormat="1"/>
    <row r="7194" s="65" customFormat="1"/>
    <row r="7195" s="65" customFormat="1"/>
    <row r="7196" s="65" customFormat="1"/>
    <row r="7197" s="65" customFormat="1"/>
    <row r="7198" s="65" customFormat="1"/>
    <row r="7199" s="65" customFormat="1"/>
    <row r="7200" s="65" customFormat="1"/>
    <row r="7201" s="65" customFormat="1"/>
    <row r="7202" s="65" customFormat="1"/>
    <row r="7203" s="65" customFormat="1"/>
    <row r="7204" s="65" customFormat="1"/>
    <row r="7205" s="65" customFormat="1"/>
    <row r="7206" s="65" customFormat="1"/>
    <row r="7207" s="65" customFormat="1"/>
    <row r="7208" s="65" customFormat="1"/>
    <row r="7209" s="65" customFormat="1"/>
    <row r="7210" s="65" customFormat="1"/>
    <row r="7211" s="65" customFormat="1"/>
    <row r="7212" s="65" customFormat="1"/>
    <row r="7213" s="65" customFormat="1"/>
    <row r="7214" s="65" customFormat="1"/>
    <row r="7215" s="65" customFormat="1"/>
    <row r="7216" s="65" customFormat="1"/>
    <row r="7217" s="65" customFormat="1"/>
    <row r="7218" s="65" customFormat="1"/>
    <row r="7219" s="65" customFormat="1"/>
    <row r="7220" s="65" customFormat="1"/>
    <row r="7221" s="65" customFormat="1"/>
    <row r="7222" s="65" customFormat="1"/>
    <row r="7223" s="65" customFormat="1"/>
    <row r="7224" s="65" customFormat="1"/>
    <row r="7225" s="65" customFormat="1"/>
    <row r="7226" s="65" customFormat="1"/>
    <row r="7227" s="65" customFormat="1"/>
    <row r="7228" s="65" customFormat="1"/>
    <row r="7229" s="65" customFormat="1"/>
    <row r="7230" s="65" customFormat="1"/>
    <row r="7231" s="65" customFormat="1"/>
    <row r="7232" s="65" customFormat="1"/>
    <row r="7233" s="65" customFormat="1"/>
    <row r="7234" s="65" customFormat="1"/>
    <row r="7235" s="65" customFormat="1"/>
    <row r="7236" s="65" customFormat="1"/>
    <row r="7237" s="65" customFormat="1"/>
    <row r="7238" s="65" customFormat="1"/>
    <row r="7239" s="65" customFormat="1"/>
    <row r="7240" s="65" customFormat="1"/>
    <row r="7241" s="65" customFormat="1"/>
    <row r="7242" s="65" customFormat="1"/>
    <row r="7243" s="65" customFormat="1"/>
    <row r="7244" s="65" customFormat="1"/>
    <row r="7245" s="65" customFormat="1"/>
    <row r="7246" s="65" customFormat="1"/>
    <row r="7247" s="65" customFormat="1"/>
    <row r="7248" s="65" customFormat="1"/>
    <row r="7249" s="65" customFormat="1"/>
    <row r="7250" s="65" customFormat="1"/>
    <row r="7251" s="65" customFormat="1"/>
    <row r="7252" s="65" customFormat="1"/>
    <row r="7253" s="65" customFormat="1"/>
    <row r="7254" s="65" customFormat="1"/>
    <row r="7255" s="65" customFormat="1"/>
    <row r="7256" s="65" customFormat="1"/>
    <row r="7257" s="65" customFormat="1"/>
    <row r="7258" s="65" customFormat="1"/>
    <row r="7259" s="65" customFormat="1"/>
    <row r="7260" s="65" customFormat="1"/>
    <row r="7261" s="65" customFormat="1"/>
    <row r="7262" s="65" customFormat="1"/>
    <row r="7263" s="65" customFormat="1"/>
    <row r="7264" s="65" customFormat="1"/>
    <row r="7265" s="65" customFormat="1"/>
    <row r="7266" s="65" customFormat="1"/>
    <row r="7267" s="65" customFormat="1"/>
    <row r="7268" s="65" customFormat="1"/>
    <row r="7269" s="65" customFormat="1"/>
    <row r="7270" s="65" customFormat="1"/>
    <row r="7271" s="65" customFormat="1"/>
    <row r="7272" s="65" customFormat="1"/>
    <row r="7273" s="65" customFormat="1"/>
    <row r="7274" s="65" customFormat="1"/>
    <row r="7275" s="65" customFormat="1"/>
    <row r="7276" s="65" customFormat="1"/>
    <row r="7277" s="65" customFormat="1"/>
    <row r="7278" s="65" customFormat="1"/>
    <row r="7279" s="65" customFormat="1"/>
    <row r="7280" s="65" customFormat="1"/>
    <row r="7281" s="65" customFormat="1"/>
    <row r="7282" s="65" customFormat="1"/>
    <row r="7283" s="65" customFormat="1"/>
    <row r="7284" s="65" customFormat="1"/>
    <row r="7285" s="65" customFormat="1"/>
    <row r="7286" s="65" customFormat="1"/>
    <row r="7287" s="65" customFormat="1"/>
    <row r="7288" s="65" customFormat="1"/>
    <row r="7289" s="65" customFormat="1"/>
    <row r="7290" s="65" customFormat="1"/>
    <row r="7291" s="65" customFormat="1"/>
    <row r="7292" s="65" customFormat="1"/>
    <row r="7293" s="65" customFormat="1"/>
    <row r="7294" s="65" customFormat="1"/>
    <row r="7295" s="65" customFormat="1"/>
    <row r="7296" s="65" customFormat="1"/>
    <row r="7297" s="65" customFormat="1"/>
    <row r="7298" s="65" customFormat="1"/>
    <row r="7299" s="65" customFormat="1"/>
    <row r="7300" s="65" customFormat="1"/>
    <row r="7301" s="65" customFormat="1"/>
    <row r="7302" s="65" customFormat="1"/>
    <row r="7303" s="65" customFormat="1"/>
    <row r="7304" s="65" customFormat="1"/>
    <row r="7305" s="65" customFormat="1"/>
    <row r="7306" s="65" customFormat="1"/>
    <row r="7307" s="65" customFormat="1"/>
    <row r="7308" s="65" customFormat="1"/>
    <row r="7309" s="65" customFormat="1"/>
    <row r="7310" s="65" customFormat="1"/>
    <row r="7311" s="65" customFormat="1"/>
    <row r="7312" s="65" customFormat="1"/>
    <row r="7313" s="65" customFormat="1"/>
    <row r="7314" s="65" customFormat="1"/>
    <row r="7315" s="65" customFormat="1"/>
    <row r="7316" s="65" customFormat="1"/>
    <row r="7317" s="65" customFormat="1"/>
    <row r="7318" s="65" customFormat="1"/>
    <row r="7319" s="65" customFormat="1"/>
    <row r="7320" s="65" customFormat="1"/>
    <row r="7321" s="65" customFormat="1"/>
    <row r="7322" s="65" customFormat="1"/>
    <row r="7323" s="65" customFormat="1"/>
    <row r="7324" s="65" customFormat="1"/>
    <row r="7325" s="65" customFormat="1"/>
    <row r="7326" s="65" customFormat="1"/>
    <row r="7327" s="65" customFormat="1"/>
    <row r="7328" s="65" customFormat="1"/>
    <row r="7329" s="65" customFormat="1"/>
    <row r="7330" s="65" customFormat="1"/>
    <row r="7331" s="65" customFormat="1"/>
    <row r="7332" s="65" customFormat="1"/>
    <row r="7333" s="65" customFormat="1"/>
    <row r="7334" s="65" customFormat="1"/>
    <row r="7335" s="65" customFormat="1"/>
    <row r="7336" s="65" customFormat="1"/>
    <row r="7337" s="65" customFormat="1"/>
    <row r="7338" s="65" customFormat="1"/>
    <row r="7339" s="65" customFormat="1"/>
    <row r="7340" s="65" customFormat="1"/>
    <row r="7341" s="65" customFormat="1"/>
    <row r="7342" s="65" customFormat="1"/>
    <row r="7343" s="65" customFormat="1"/>
    <row r="7344" s="65" customFormat="1"/>
    <row r="7345" s="65" customFormat="1"/>
    <row r="7346" s="65" customFormat="1"/>
    <row r="7347" s="65" customFormat="1"/>
    <row r="7348" s="65" customFormat="1"/>
    <row r="7349" s="65" customFormat="1"/>
    <row r="7350" s="65" customFormat="1"/>
    <row r="7351" s="65" customFormat="1"/>
    <row r="7352" s="65" customFormat="1"/>
    <row r="7353" s="65" customFormat="1"/>
    <row r="7354" s="65" customFormat="1"/>
    <row r="7355" s="65" customFormat="1"/>
    <row r="7356" s="65" customFormat="1"/>
    <row r="7357" s="65" customFormat="1"/>
    <row r="7358" s="65" customFormat="1"/>
    <row r="7359" s="65" customFormat="1"/>
    <row r="7360" s="65" customFormat="1"/>
    <row r="7361" s="65" customFormat="1"/>
    <row r="7362" s="65" customFormat="1"/>
    <row r="7363" s="65" customFormat="1"/>
    <row r="7364" s="65" customFormat="1"/>
    <row r="7365" s="65" customFormat="1"/>
    <row r="7366" s="65" customFormat="1"/>
    <row r="7367" s="65" customFormat="1"/>
    <row r="7368" s="65" customFormat="1"/>
    <row r="7369" s="65" customFormat="1"/>
    <row r="7370" s="65" customFormat="1"/>
    <row r="7371" s="65" customFormat="1"/>
    <row r="7372" s="65" customFormat="1"/>
    <row r="7373" s="65" customFormat="1"/>
    <row r="7374" s="65" customFormat="1"/>
    <row r="7375" s="65" customFormat="1"/>
    <row r="7376" s="65" customFormat="1"/>
    <row r="7377" s="65" customFormat="1"/>
    <row r="7378" s="65" customFormat="1"/>
    <row r="7379" s="65" customFormat="1"/>
    <row r="7380" s="65" customFormat="1"/>
    <row r="7381" s="65" customFormat="1"/>
    <row r="7382" s="65" customFormat="1"/>
    <row r="7383" s="65" customFormat="1"/>
    <row r="7384" s="65" customFormat="1"/>
    <row r="7385" s="65" customFormat="1"/>
    <row r="7386" s="65" customFormat="1"/>
    <row r="7387" s="65" customFormat="1"/>
    <row r="7388" s="65" customFormat="1"/>
    <row r="7389" s="65" customFormat="1"/>
    <row r="7390" s="65" customFormat="1"/>
    <row r="7391" s="65" customFormat="1"/>
    <row r="7392" s="65" customFormat="1"/>
    <row r="7393" s="65" customFormat="1"/>
    <row r="7394" s="65" customFormat="1"/>
    <row r="7395" s="65" customFormat="1"/>
    <row r="7396" s="65" customFormat="1"/>
    <row r="7397" s="65" customFormat="1"/>
    <row r="7398" s="65" customFormat="1"/>
    <row r="7399" s="65" customFormat="1"/>
    <row r="7400" s="65" customFormat="1"/>
    <row r="7401" s="65" customFormat="1"/>
    <row r="7402" s="65" customFormat="1"/>
    <row r="7403" s="65" customFormat="1"/>
    <row r="7404" s="65" customFormat="1"/>
    <row r="7405" s="65" customFormat="1"/>
    <row r="7406" s="65" customFormat="1"/>
    <row r="7407" s="65" customFormat="1"/>
    <row r="7408" s="65" customFormat="1"/>
    <row r="7409" s="65" customFormat="1"/>
    <row r="7410" s="65" customFormat="1"/>
    <row r="7411" s="65" customFormat="1"/>
    <row r="7412" s="65" customFormat="1"/>
    <row r="7413" s="65" customFormat="1"/>
    <row r="7414" s="65" customFormat="1"/>
    <row r="7415" s="65" customFormat="1"/>
    <row r="7416" s="65" customFormat="1"/>
    <row r="7417" s="65" customFormat="1"/>
    <row r="7418" s="65" customFormat="1"/>
    <row r="7419" s="65" customFormat="1"/>
    <row r="7420" s="65" customFormat="1"/>
    <row r="7421" s="65" customFormat="1"/>
    <row r="7422" s="65" customFormat="1"/>
    <row r="7423" s="65" customFormat="1"/>
    <row r="7424" s="65" customFormat="1"/>
    <row r="7425" s="65" customFormat="1"/>
    <row r="7426" s="65" customFormat="1"/>
    <row r="7427" s="65" customFormat="1"/>
    <row r="7428" s="65" customFormat="1"/>
    <row r="7429" s="65" customFormat="1"/>
    <row r="7430" s="65" customFormat="1"/>
    <row r="7431" s="65" customFormat="1"/>
    <row r="7432" s="65" customFormat="1"/>
    <row r="7433" s="65" customFormat="1"/>
    <row r="7434" s="65" customFormat="1"/>
    <row r="7435" s="65" customFormat="1"/>
    <row r="7436" s="65" customFormat="1"/>
    <row r="7437" s="65" customFormat="1"/>
    <row r="7438" s="65" customFormat="1"/>
    <row r="7439" s="65" customFormat="1"/>
    <row r="7440" s="65" customFormat="1"/>
    <row r="7441" s="65" customFormat="1"/>
    <row r="7442" s="65" customFormat="1"/>
    <row r="7443" s="65" customFormat="1"/>
    <row r="7444" s="65" customFormat="1"/>
    <row r="7445" s="65" customFormat="1"/>
    <row r="7446" s="65" customFormat="1"/>
    <row r="7447" s="65" customFormat="1"/>
    <row r="7448" s="65" customFormat="1"/>
    <row r="7449" s="65" customFormat="1"/>
    <row r="7450" s="65" customFormat="1"/>
    <row r="7451" s="65" customFormat="1"/>
    <row r="7452" s="65" customFormat="1"/>
    <row r="7453" s="65" customFormat="1"/>
    <row r="7454" s="65" customFormat="1"/>
    <row r="7455" s="65" customFormat="1"/>
    <row r="7456" s="65" customFormat="1"/>
    <row r="7457" s="65" customFormat="1"/>
    <row r="7458" s="65" customFormat="1"/>
    <row r="7459" s="65" customFormat="1"/>
    <row r="7460" s="65" customFormat="1"/>
    <row r="7461" s="65" customFormat="1"/>
    <row r="7462" s="65" customFormat="1"/>
    <row r="7463" s="65" customFormat="1"/>
    <row r="7464" s="65" customFormat="1"/>
    <row r="7465" s="65" customFormat="1"/>
    <row r="7466" s="65" customFormat="1"/>
    <row r="7467" s="65" customFormat="1"/>
    <row r="7468" s="65" customFormat="1"/>
    <row r="7469" s="65" customFormat="1"/>
    <row r="7470" s="65" customFormat="1"/>
    <row r="7471" s="65" customFormat="1"/>
    <row r="7472" s="65" customFormat="1"/>
    <row r="7473" s="65" customFormat="1"/>
    <row r="7474" s="65" customFormat="1"/>
    <row r="7475" s="65" customFormat="1"/>
    <row r="7476" s="65" customFormat="1"/>
    <row r="7477" s="65" customFormat="1"/>
    <row r="7478" s="65" customFormat="1"/>
    <row r="7479" s="65" customFormat="1"/>
    <row r="7480" s="65" customFormat="1"/>
    <row r="7481" s="65" customFormat="1"/>
    <row r="7482" s="65" customFormat="1"/>
    <row r="7483" s="65" customFormat="1"/>
    <row r="7484" s="65" customFormat="1"/>
    <row r="7485" s="65" customFormat="1"/>
    <row r="7486" s="65" customFormat="1"/>
    <row r="7487" s="65" customFormat="1"/>
    <row r="7488" s="65" customFormat="1"/>
    <row r="7489" s="65" customFormat="1"/>
    <row r="7490" s="65" customFormat="1"/>
    <row r="7491" s="65" customFormat="1"/>
    <row r="7492" s="65" customFormat="1"/>
    <row r="7493" s="65" customFormat="1"/>
    <row r="7494" s="65" customFormat="1"/>
    <row r="7495" s="65" customFormat="1"/>
    <row r="7496" s="65" customFormat="1"/>
    <row r="7497" s="65" customFormat="1"/>
    <row r="7498" s="65" customFormat="1"/>
    <row r="7499" s="65" customFormat="1"/>
    <row r="7500" s="65" customFormat="1"/>
    <row r="7501" s="65" customFormat="1"/>
    <row r="7502" s="65" customFormat="1"/>
    <row r="7503" s="65" customFormat="1"/>
    <row r="7504" s="65" customFormat="1"/>
    <row r="7505" s="65" customFormat="1"/>
    <row r="7506" s="65" customFormat="1"/>
    <row r="7507" s="65" customFormat="1"/>
    <row r="7508" s="65" customFormat="1"/>
    <row r="7509" s="65" customFormat="1"/>
    <row r="7510" s="65" customFormat="1"/>
    <row r="7511" s="65" customFormat="1"/>
    <row r="7512" s="65" customFormat="1"/>
    <row r="7513" s="65" customFormat="1"/>
    <row r="7514" s="65" customFormat="1"/>
    <row r="7515" s="65" customFormat="1"/>
    <row r="7516" s="65" customFormat="1"/>
    <row r="7517" s="65" customFormat="1"/>
    <row r="7518" s="65" customFormat="1"/>
    <row r="7519" s="65" customFormat="1"/>
    <row r="7520" s="65" customFormat="1"/>
    <row r="7521" s="65" customFormat="1"/>
    <row r="7522" s="65" customFormat="1"/>
    <row r="7523" s="65" customFormat="1"/>
    <row r="7524" s="65" customFormat="1"/>
    <row r="7525" s="65" customFormat="1"/>
    <row r="7526" s="65" customFormat="1"/>
    <row r="7527" s="65" customFormat="1"/>
    <row r="7528" s="65" customFormat="1"/>
    <row r="7529" s="65" customFormat="1"/>
    <row r="7530" s="65" customFormat="1"/>
    <row r="7531" s="65" customFormat="1"/>
    <row r="7532" s="65" customFormat="1"/>
    <row r="7533" s="65" customFormat="1"/>
    <row r="7534" s="65" customFormat="1"/>
    <row r="7535" s="65" customFormat="1"/>
    <row r="7536" s="65" customFormat="1"/>
    <row r="7537" s="65" customFormat="1"/>
    <row r="7538" s="65" customFormat="1"/>
    <row r="7539" s="65" customFormat="1"/>
    <row r="7540" s="65" customFormat="1"/>
    <row r="7541" s="65" customFormat="1"/>
    <row r="7542" s="65" customFormat="1"/>
    <row r="7543" s="65" customFormat="1"/>
    <row r="7544" s="65" customFormat="1"/>
    <row r="7545" s="65" customFormat="1"/>
    <row r="7546" s="65" customFormat="1"/>
    <row r="7547" s="65" customFormat="1"/>
    <row r="7548" s="65" customFormat="1"/>
    <row r="7549" s="65" customFormat="1"/>
    <row r="7550" s="65" customFormat="1"/>
    <row r="7551" s="65" customFormat="1"/>
    <row r="7552" s="65" customFormat="1"/>
    <row r="7553" s="65" customFormat="1"/>
    <row r="7554" s="65" customFormat="1"/>
    <row r="7555" s="65" customFormat="1"/>
    <row r="7556" s="65" customFormat="1"/>
    <row r="7557" s="65" customFormat="1"/>
    <row r="7558" s="65" customFormat="1"/>
    <row r="7559" s="65" customFormat="1"/>
    <row r="7560" s="65" customFormat="1"/>
    <row r="7561" s="65" customFormat="1"/>
    <row r="7562" s="65" customFormat="1"/>
    <row r="7563" s="65" customFormat="1"/>
    <row r="7564" s="65" customFormat="1"/>
    <row r="7565" s="65" customFormat="1"/>
    <row r="7566" s="65" customFormat="1"/>
    <row r="7567" s="65" customFormat="1"/>
    <row r="7568" s="65" customFormat="1"/>
    <row r="7569" s="65" customFormat="1"/>
    <row r="7570" s="65" customFormat="1"/>
    <row r="7571" s="65" customFormat="1"/>
    <row r="7572" s="65" customFormat="1"/>
    <row r="7573" s="65" customFormat="1"/>
    <row r="7574" s="65" customFormat="1"/>
    <row r="7575" s="65" customFormat="1"/>
    <row r="7576" s="65" customFormat="1"/>
    <row r="7577" s="65" customFormat="1"/>
    <row r="7578" s="65" customFormat="1"/>
    <row r="7579" s="65" customFormat="1"/>
    <row r="7580" s="65" customFormat="1"/>
    <row r="7581" s="65" customFormat="1"/>
    <row r="7582" s="65" customFormat="1"/>
    <row r="7583" s="65" customFormat="1"/>
    <row r="7584" s="65" customFormat="1"/>
    <row r="7585" s="65" customFormat="1"/>
    <row r="7586" s="65" customFormat="1"/>
    <row r="7587" s="65" customFormat="1"/>
    <row r="7588" s="65" customFormat="1"/>
    <row r="7589" s="65" customFormat="1"/>
    <row r="7590" s="65" customFormat="1"/>
    <row r="7591" s="65" customFormat="1"/>
    <row r="7592" s="65" customFormat="1"/>
    <row r="7593" s="65" customFormat="1"/>
    <row r="7594" s="65" customFormat="1"/>
    <row r="7595" s="65" customFormat="1"/>
    <row r="7596" s="65" customFormat="1"/>
    <row r="7597" s="65" customFormat="1"/>
    <row r="7598" s="65" customFormat="1"/>
    <row r="7599" s="65" customFormat="1"/>
    <row r="7600" s="65" customFormat="1"/>
    <row r="7601" s="65" customFormat="1"/>
    <row r="7602" s="65" customFormat="1"/>
    <row r="7603" s="65" customFormat="1"/>
    <row r="7604" s="65" customFormat="1"/>
    <row r="7605" s="65" customFormat="1"/>
    <row r="7606" s="65" customFormat="1"/>
    <row r="7607" s="65" customFormat="1"/>
    <row r="7608" s="65" customFormat="1"/>
    <row r="7609" s="65" customFormat="1"/>
    <row r="7610" s="65" customFormat="1"/>
    <row r="7611" s="65" customFormat="1"/>
    <row r="7612" s="65" customFormat="1"/>
    <row r="7613" s="65" customFormat="1"/>
    <row r="7614" s="65" customFormat="1"/>
    <row r="7615" s="65" customFormat="1"/>
    <row r="7616" s="65" customFormat="1"/>
    <row r="7617" s="65" customFormat="1"/>
    <row r="7618" s="65" customFormat="1"/>
    <row r="7619" s="65" customFormat="1"/>
    <row r="7620" s="65" customFormat="1"/>
    <row r="7621" s="65" customFormat="1"/>
    <row r="7622" s="65" customFormat="1"/>
    <row r="7623" s="65" customFormat="1"/>
    <row r="7624" s="65" customFormat="1"/>
    <row r="7625" s="65" customFormat="1"/>
    <row r="7626" s="65" customFormat="1"/>
    <row r="7627" s="65" customFormat="1"/>
    <row r="7628" s="65" customFormat="1"/>
    <row r="7629" s="65" customFormat="1"/>
    <row r="7630" s="65" customFormat="1"/>
    <row r="7631" s="65" customFormat="1"/>
    <row r="7632" s="65" customFormat="1"/>
    <row r="7633" s="65" customFormat="1"/>
    <row r="7634" s="65" customFormat="1"/>
    <row r="7635" s="65" customFormat="1"/>
    <row r="7636" s="65" customFormat="1"/>
    <row r="7637" s="65" customFormat="1"/>
    <row r="7638" s="65" customFormat="1"/>
    <row r="7639" s="65" customFormat="1"/>
    <row r="7640" s="65" customFormat="1"/>
    <row r="7641" s="65" customFormat="1"/>
    <row r="7642" s="65" customFormat="1"/>
    <row r="7643" s="65" customFormat="1"/>
    <row r="7644" s="65" customFormat="1"/>
    <row r="7645" s="65" customFormat="1"/>
    <row r="7646" s="65" customFormat="1"/>
    <row r="7647" s="65" customFormat="1"/>
    <row r="7648" s="65" customFormat="1"/>
    <row r="7649" s="65" customFormat="1"/>
    <row r="7650" s="65" customFormat="1"/>
    <row r="7651" s="65" customFormat="1"/>
    <row r="7652" s="65" customFormat="1"/>
    <row r="7653" s="65" customFormat="1"/>
    <row r="7654" s="65" customFormat="1"/>
    <row r="7655" s="65" customFormat="1"/>
    <row r="7656" s="65" customFormat="1"/>
    <row r="7657" s="65" customFormat="1"/>
    <row r="7658" s="65" customFormat="1"/>
    <row r="7659" s="65" customFormat="1"/>
    <row r="7660" s="65" customFormat="1"/>
    <row r="7661" s="65" customFormat="1"/>
    <row r="7662" s="65" customFormat="1"/>
    <row r="7663" s="65" customFormat="1"/>
    <row r="7664" s="65" customFormat="1"/>
    <row r="7665" s="65" customFormat="1"/>
    <row r="7666" s="65" customFormat="1"/>
    <row r="7667" s="65" customFormat="1"/>
    <row r="7668" s="65" customFormat="1"/>
    <row r="7669" s="65" customFormat="1"/>
    <row r="7670" s="65" customFormat="1"/>
    <row r="7671" s="65" customFormat="1"/>
    <row r="7672" s="65" customFormat="1"/>
    <row r="7673" s="65" customFormat="1"/>
    <row r="7674" s="65" customFormat="1"/>
    <row r="7675" s="65" customFormat="1"/>
    <row r="7676" s="65" customFormat="1"/>
    <row r="7677" s="65" customFormat="1"/>
    <row r="7678" s="65" customFormat="1"/>
    <row r="7679" s="65" customFormat="1"/>
    <row r="7680" s="65" customFormat="1"/>
    <row r="7681" s="65" customFormat="1"/>
    <row r="7682" s="65" customFormat="1"/>
    <row r="7683" s="65" customFormat="1"/>
    <row r="7684" s="65" customFormat="1"/>
    <row r="7685" s="65" customFormat="1"/>
    <row r="7686" s="65" customFormat="1"/>
    <row r="7687" s="65" customFormat="1"/>
    <row r="7688" s="65" customFormat="1"/>
    <row r="7689" s="65" customFormat="1"/>
    <row r="7690" s="65" customFormat="1"/>
    <row r="7691" s="65" customFormat="1"/>
    <row r="7692" s="65" customFormat="1"/>
    <row r="7693" s="65" customFormat="1"/>
    <row r="7694" s="65" customFormat="1"/>
    <row r="7695" s="65" customFormat="1"/>
    <row r="7696" s="65" customFormat="1"/>
    <row r="7697" s="65" customFormat="1"/>
    <row r="7698" s="65" customFormat="1"/>
    <row r="7699" s="65" customFormat="1"/>
    <row r="7700" s="65" customFormat="1"/>
    <row r="7701" s="65" customFormat="1"/>
    <row r="7702" s="65" customFormat="1"/>
    <row r="7703" s="65" customFormat="1"/>
    <row r="7704" s="65" customFormat="1"/>
    <row r="7705" s="65" customFormat="1"/>
    <row r="7706" s="65" customFormat="1"/>
    <row r="7707" s="65" customFormat="1"/>
    <row r="7708" s="65" customFormat="1"/>
    <row r="7709" s="65" customFormat="1"/>
    <row r="7710" s="65" customFormat="1"/>
    <row r="7711" s="65" customFormat="1"/>
    <row r="7712" s="65" customFormat="1"/>
    <row r="7713" s="65" customFormat="1"/>
    <row r="7714" s="65" customFormat="1"/>
    <row r="7715" s="65" customFormat="1"/>
    <row r="7716" s="65" customFormat="1"/>
    <row r="7717" s="65" customFormat="1"/>
    <row r="7718" s="65" customFormat="1"/>
    <row r="7719" s="65" customFormat="1"/>
    <row r="7720" s="65" customFormat="1"/>
    <row r="7721" s="65" customFormat="1"/>
    <row r="7722" s="65" customFormat="1"/>
    <row r="7723" s="65" customFormat="1"/>
    <row r="7724" s="65" customFormat="1"/>
    <row r="7725" s="65" customFormat="1"/>
    <row r="7726" s="65" customFormat="1"/>
    <row r="7727" s="65" customFormat="1"/>
    <row r="7728" s="65" customFormat="1"/>
    <row r="7729" s="65" customFormat="1"/>
    <row r="7730" s="65" customFormat="1"/>
    <row r="7731" s="65" customFormat="1"/>
    <row r="7732" s="65" customFormat="1"/>
    <row r="7733" s="65" customFormat="1"/>
    <row r="7734" s="65" customFormat="1"/>
    <row r="7735" s="65" customFormat="1"/>
    <row r="7736" s="65" customFormat="1"/>
    <row r="7737" s="65" customFormat="1"/>
    <row r="7738" s="65" customFormat="1"/>
    <row r="7739" s="65" customFormat="1"/>
    <row r="7740" s="65" customFormat="1"/>
    <row r="7741" s="65" customFormat="1"/>
    <row r="7742" s="65" customFormat="1"/>
    <row r="7743" s="65" customFormat="1"/>
    <row r="7744" s="65" customFormat="1"/>
    <row r="7745" s="65" customFormat="1"/>
    <row r="7746" s="65" customFormat="1"/>
    <row r="7747" s="65" customFormat="1"/>
    <row r="7748" s="65" customFormat="1"/>
    <row r="7749" s="65" customFormat="1"/>
    <row r="7750" s="65" customFormat="1"/>
    <row r="7751" s="65" customFormat="1"/>
    <row r="7752" s="65" customFormat="1"/>
    <row r="7753" s="65" customFormat="1"/>
    <row r="7754" s="65" customFormat="1"/>
    <row r="7755" s="65" customFormat="1"/>
    <row r="7756" s="65" customFormat="1"/>
    <row r="7757" s="65" customFormat="1"/>
    <row r="7758" s="65" customFormat="1"/>
    <row r="7759" s="65" customFormat="1"/>
    <row r="7760" s="65" customFormat="1"/>
    <row r="7761" s="65" customFormat="1"/>
    <row r="7762" s="65" customFormat="1"/>
    <row r="7763" s="65" customFormat="1"/>
    <row r="7764" s="65" customFormat="1"/>
    <row r="7765" s="65" customFormat="1"/>
    <row r="7766" s="65" customFormat="1"/>
    <row r="7767" s="65" customFormat="1"/>
    <row r="7768" s="65" customFormat="1"/>
    <row r="7769" s="65" customFormat="1"/>
    <row r="7770" s="65" customFormat="1"/>
    <row r="7771" s="65" customFormat="1"/>
    <row r="7772" s="65" customFormat="1"/>
    <row r="7773" s="65" customFormat="1"/>
    <row r="7774" s="65" customFormat="1"/>
    <row r="7775" s="65" customFormat="1"/>
    <row r="7776" s="65" customFormat="1"/>
    <row r="7777" s="65" customFormat="1"/>
    <row r="7778" s="65" customFormat="1"/>
    <row r="7779" s="65" customFormat="1"/>
    <row r="7780" s="65" customFormat="1"/>
    <row r="7781" s="65" customFormat="1"/>
    <row r="7782" s="65" customFormat="1"/>
    <row r="7783" s="65" customFormat="1"/>
    <row r="7784" s="65" customFormat="1"/>
    <row r="7785" s="65" customFormat="1"/>
    <row r="7786" s="65" customFormat="1"/>
    <row r="7787" s="65" customFormat="1"/>
    <row r="7788" s="65" customFormat="1"/>
    <row r="7789" s="65" customFormat="1"/>
    <row r="7790" s="65" customFormat="1"/>
    <row r="7791" s="65" customFormat="1"/>
    <row r="7792" s="65" customFormat="1"/>
    <row r="7793" s="65" customFormat="1"/>
    <row r="7794" s="65" customFormat="1"/>
    <row r="7795" s="65" customFormat="1"/>
    <row r="7796" s="65" customFormat="1"/>
    <row r="7797" s="65" customFormat="1"/>
    <row r="7798" s="65" customFormat="1"/>
    <row r="7799" s="65" customFormat="1"/>
    <row r="7800" s="65" customFormat="1"/>
    <row r="7801" s="65" customFormat="1"/>
    <row r="7802" s="65" customFormat="1"/>
    <row r="7803" s="65" customFormat="1"/>
    <row r="7804" s="65" customFormat="1"/>
    <row r="7805" s="65" customFormat="1"/>
    <row r="7806" s="65" customFormat="1"/>
    <row r="7807" s="65" customFormat="1"/>
    <row r="7808" s="65" customFormat="1"/>
    <row r="7809" s="65" customFormat="1"/>
    <row r="7810" s="65" customFormat="1"/>
    <row r="7811" s="65" customFormat="1"/>
    <row r="7812" s="65" customFormat="1"/>
    <row r="7813" s="65" customFormat="1"/>
    <row r="7814" s="65" customFormat="1"/>
    <row r="7815" s="65" customFormat="1"/>
    <row r="7816" s="65" customFormat="1"/>
    <row r="7817" s="65" customFormat="1"/>
    <row r="7818" s="65" customFormat="1"/>
    <row r="7819" s="65" customFormat="1"/>
    <row r="7820" s="65" customFormat="1"/>
    <row r="7821" s="65" customFormat="1"/>
    <row r="7822" s="65" customFormat="1"/>
    <row r="7823" s="65" customFormat="1"/>
    <row r="7824" s="65" customFormat="1"/>
    <row r="7825" s="65" customFormat="1"/>
    <row r="7826" s="65" customFormat="1"/>
    <row r="7827" s="65" customFormat="1"/>
    <row r="7828" s="65" customFormat="1"/>
    <row r="7829" s="65" customFormat="1"/>
    <row r="7830" s="65" customFormat="1"/>
    <row r="7831" s="65" customFormat="1"/>
    <row r="7832" s="65" customFormat="1"/>
    <row r="7833" s="65" customFormat="1"/>
    <row r="7834" s="65" customFormat="1"/>
    <row r="7835" s="65" customFormat="1"/>
    <row r="7836" s="65" customFormat="1"/>
    <row r="7837" s="65" customFormat="1"/>
    <row r="7838" s="65" customFormat="1"/>
    <row r="7839" s="65" customFormat="1"/>
    <row r="7840" s="65" customFormat="1"/>
    <row r="7841" s="65" customFormat="1"/>
    <row r="7842" s="65" customFormat="1"/>
    <row r="7843" s="65" customFormat="1"/>
    <row r="7844" s="65" customFormat="1"/>
    <row r="7845" s="65" customFormat="1"/>
    <row r="7846" s="65" customFormat="1"/>
    <row r="7847" s="65" customFormat="1"/>
    <row r="7848" s="65" customFormat="1"/>
    <row r="7849" s="65" customFormat="1"/>
    <row r="7850" s="65" customFormat="1"/>
    <row r="7851" s="65" customFormat="1"/>
    <row r="7852" s="65" customFormat="1"/>
    <row r="7853" s="65" customFormat="1"/>
    <row r="7854" s="65" customFormat="1"/>
    <row r="7855" s="65" customFormat="1"/>
    <row r="7856" s="65" customFormat="1"/>
    <row r="7857" s="65" customFormat="1"/>
    <row r="7858" s="65" customFormat="1"/>
    <row r="7859" s="65" customFormat="1"/>
    <row r="7860" s="65" customFormat="1"/>
    <row r="7861" s="65" customFormat="1"/>
    <row r="7862" s="65" customFormat="1"/>
    <row r="7863" s="65" customFormat="1"/>
    <row r="7864" s="65" customFormat="1"/>
    <row r="7865" s="65" customFormat="1"/>
    <row r="7866" s="65" customFormat="1"/>
    <row r="7867" s="65" customFormat="1"/>
    <row r="7868" s="65" customFormat="1"/>
    <row r="7869" s="65" customFormat="1"/>
    <row r="7870" s="65" customFormat="1"/>
    <row r="7871" s="65" customFormat="1"/>
    <row r="7872" s="65" customFormat="1"/>
    <row r="7873" s="65" customFormat="1"/>
    <row r="7874" s="65" customFormat="1"/>
    <row r="7875" s="65" customFormat="1"/>
    <row r="7876" s="65" customFormat="1"/>
    <row r="7877" s="65" customFormat="1"/>
    <row r="7878" s="65" customFormat="1"/>
    <row r="7879" s="65" customFormat="1"/>
    <row r="7880" s="65" customFormat="1"/>
    <row r="7881" s="65" customFormat="1"/>
    <row r="7882" s="65" customFormat="1"/>
    <row r="7883" s="65" customFormat="1"/>
    <row r="7884" s="65" customFormat="1"/>
    <row r="7885" s="65" customFormat="1"/>
    <row r="7886" s="65" customFormat="1"/>
    <row r="7887" s="65" customFormat="1"/>
    <row r="7888" s="65" customFormat="1"/>
    <row r="7889" s="65" customFormat="1"/>
    <row r="7890" s="65" customFormat="1"/>
    <row r="7891" s="65" customFormat="1"/>
    <row r="7892" s="65" customFormat="1"/>
    <row r="7893" s="65" customFormat="1"/>
    <row r="7894" s="65" customFormat="1"/>
    <row r="7895" s="65" customFormat="1"/>
    <row r="7896" s="65" customFormat="1"/>
    <row r="7897" s="65" customFormat="1"/>
    <row r="7898" s="65" customFormat="1"/>
    <row r="7899" s="65" customFormat="1"/>
    <row r="7900" s="65" customFormat="1"/>
    <row r="7901" s="65" customFormat="1"/>
    <row r="7902" s="65" customFormat="1"/>
    <row r="7903" s="65" customFormat="1"/>
    <row r="7904" s="65" customFormat="1"/>
    <row r="7905" s="65" customFormat="1"/>
    <row r="7906" s="65" customFormat="1"/>
    <row r="7907" s="65" customFormat="1"/>
    <row r="7908" s="65" customFormat="1"/>
    <row r="7909" s="65" customFormat="1"/>
    <row r="7910" s="65" customFormat="1"/>
    <row r="7911" s="65" customFormat="1"/>
    <row r="7912" s="65" customFormat="1"/>
    <row r="7913" s="65" customFormat="1"/>
    <row r="7914" s="65" customFormat="1"/>
    <row r="7915" s="65" customFormat="1"/>
    <row r="7916" s="65" customFormat="1"/>
    <row r="7917" s="65" customFormat="1"/>
    <row r="7918" s="65" customFormat="1"/>
    <row r="7919" s="65" customFormat="1"/>
    <row r="7920" s="65" customFormat="1"/>
    <row r="7921" s="65" customFormat="1"/>
    <row r="7922" s="65" customFormat="1"/>
    <row r="7923" s="65" customFormat="1"/>
    <row r="7924" s="65" customFormat="1"/>
    <row r="7925" s="65" customFormat="1"/>
    <row r="7926" s="65" customFormat="1"/>
    <row r="7927" s="65" customFormat="1"/>
    <row r="7928" s="65" customFormat="1"/>
    <row r="7929" s="65" customFormat="1"/>
    <row r="7930" s="65" customFormat="1"/>
    <row r="7931" s="65" customFormat="1"/>
    <row r="7932" s="65" customFormat="1"/>
    <row r="7933" s="65" customFormat="1"/>
    <row r="7934" s="65" customFormat="1"/>
    <row r="7935" s="65" customFormat="1"/>
    <row r="7936" s="65" customFormat="1"/>
    <row r="7937" s="65" customFormat="1"/>
    <row r="7938" s="65" customFormat="1"/>
    <row r="7939" s="65" customFormat="1"/>
    <row r="7940" s="65" customFormat="1"/>
    <row r="7941" s="65" customFormat="1"/>
    <row r="7942" s="65" customFormat="1"/>
    <row r="7943" s="65" customFormat="1"/>
    <row r="7944" s="65" customFormat="1"/>
    <row r="7945" s="65" customFormat="1"/>
    <row r="7946" s="65" customFormat="1"/>
    <row r="7947" s="65" customFormat="1"/>
    <row r="7948" s="65" customFormat="1"/>
    <row r="7949" s="65" customFormat="1"/>
    <row r="7950" s="65" customFormat="1"/>
    <row r="7951" s="65" customFormat="1"/>
    <row r="7952" s="65" customFormat="1"/>
    <row r="7953" s="65" customFormat="1"/>
    <row r="7954" s="65" customFormat="1"/>
    <row r="7955" s="65" customFormat="1"/>
    <row r="7956" s="65" customFormat="1"/>
    <row r="7957" s="65" customFormat="1"/>
    <row r="7958" s="65" customFormat="1"/>
    <row r="7959" s="65" customFormat="1"/>
    <row r="7960" s="65" customFormat="1"/>
    <row r="7961" s="65" customFormat="1"/>
    <row r="7962" s="65" customFormat="1"/>
    <row r="7963" s="65" customFormat="1"/>
    <row r="7964" s="65" customFormat="1"/>
    <row r="7965" s="65" customFormat="1"/>
    <row r="7966" s="65" customFormat="1"/>
    <row r="7967" s="65" customFormat="1"/>
    <row r="7968" s="65" customFormat="1"/>
    <row r="7969" s="65" customFormat="1"/>
    <row r="7970" s="65" customFormat="1"/>
    <row r="7971" s="65" customFormat="1"/>
    <row r="7972" s="65" customFormat="1"/>
    <row r="7973" s="65" customFormat="1"/>
    <row r="7974" s="65" customFormat="1"/>
    <row r="7975" s="65" customFormat="1"/>
    <row r="7976" s="65" customFormat="1"/>
    <row r="7977" s="65" customFormat="1"/>
    <row r="7978" s="65" customFormat="1"/>
    <row r="7979" s="65" customFormat="1"/>
    <row r="7980" s="65" customFormat="1"/>
    <row r="7981" s="65" customFormat="1"/>
    <row r="7982" s="65" customFormat="1"/>
    <row r="7983" s="65" customFormat="1"/>
    <row r="7984" s="65" customFormat="1"/>
    <row r="7985" s="65" customFormat="1"/>
    <row r="7986" s="65" customFormat="1"/>
    <row r="7987" s="65" customFormat="1"/>
    <row r="7988" s="65" customFormat="1"/>
    <row r="7989" s="65" customFormat="1"/>
    <row r="7990" s="65" customFormat="1"/>
    <row r="7991" s="65" customFormat="1"/>
    <row r="7992" s="65" customFormat="1"/>
    <row r="7993" s="65" customFormat="1"/>
    <row r="7994" s="65" customFormat="1"/>
    <row r="7995" s="65" customFormat="1"/>
    <row r="7996" s="65" customFormat="1"/>
    <row r="7997" s="65" customFormat="1"/>
    <row r="7998" s="65" customFormat="1"/>
    <row r="7999" s="65" customFormat="1"/>
    <row r="8000" s="65" customFormat="1"/>
    <row r="8001" s="65" customFormat="1"/>
    <row r="8002" s="65" customFormat="1"/>
    <row r="8003" s="65" customFormat="1"/>
    <row r="8004" s="65" customFormat="1"/>
    <row r="8005" s="65" customFormat="1"/>
    <row r="8006" s="65" customFormat="1"/>
    <row r="8007" s="65" customFormat="1"/>
    <row r="8008" s="65" customFormat="1"/>
    <row r="8009" s="65" customFormat="1"/>
    <row r="8010" s="65" customFormat="1"/>
    <row r="8011" s="65" customFormat="1"/>
    <row r="8012" s="65" customFormat="1"/>
    <row r="8013" s="65" customFormat="1"/>
    <row r="8014" s="65" customFormat="1"/>
    <row r="8015" s="65" customFormat="1"/>
    <row r="8016" s="65" customFormat="1"/>
    <row r="8017" s="65" customFormat="1"/>
    <row r="8018" s="65" customFormat="1"/>
    <row r="8019" s="65" customFormat="1"/>
    <row r="8020" s="65" customFormat="1"/>
    <row r="8021" s="65" customFormat="1"/>
    <row r="8022" s="65" customFormat="1"/>
    <row r="8023" s="65" customFormat="1"/>
    <row r="8024" s="65" customFormat="1"/>
    <row r="8025" s="65" customFormat="1"/>
    <row r="8026" s="65" customFormat="1"/>
    <row r="8027" s="65" customFormat="1"/>
    <row r="8028" s="65" customFormat="1"/>
    <row r="8029" s="65" customFormat="1"/>
    <row r="8030" s="65" customFormat="1"/>
    <row r="8031" s="65" customFormat="1"/>
    <row r="8032" s="65" customFormat="1"/>
    <row r="8033" s="65" customFormat="1"/>
    <row r="8034" s="65" customFormat="1"/>
    <row r="8035" s="65" customFormat="1"/>
    <row r="8036" s="65" customFormat="1"/>
    <row r="8037" s="65" customFormat="1"/>
    <row r="8038" s="65" customFormat="1"/>
    <row r="8039" s="65" customFormat="1"/>
    <row r="8040" s="65" customFormat="1"/>
    <row r="8041" s="65" customFormat="1"/>
    <row r="8042" s="65" customFormat="1"/>
    <row r="8043" s="65" customFormat="1"/>
    <row r="8044" s="65" customFormat="1"/>
    <row r="8045" s="65" customFormat="1"/>
    <row r="8046" s="65" customFormat="1"/>
    <row r="8047" s="65" customFormat="1"/>
    <row r="8048" s="65" customFormat="1"/>
    <row r="8049" s="65" customFormat="1"/>
    <row r="8050" s="65" customFormat="1"/>
    <row r="8051" s="65" customFormat="1"/>
    <row r="8052" s="65" customFormat="1"/>
    <row r="8053" s="65" customFormat="1"/>
    <row r="8054" s="65" customFormat="1"/>
    <row r="8055" s="65" customFormat="1"/>
    <row r="8056" s="65" customFormat="1"/>
    <row r="8057" s="65" customFormat="1"/>
    <row r="8058" s="65" customFormat="1"/>
    <row r="8059" s="65" customFormat="1"/>
    <row r="8060" s="65" customFormat="1"/>
    <row r="8061" s="65" customFormat="1"/>
    <row r="8062" s="65" customFormat="1"/>
    <row r="8063" s="65" customFormat="1"/>
    <row r="8064" s="65" customFormat="1"/>
    <row r="8065" s="65" customFormat="1"/>
    <row r="8066" s="65" customFormat="1"/>
    <row r="8067" s="65" customFormat="1"/>
    <row r="8068" s="65" customFormat="1"/>
    <row r="8069" s="65" customFormat="1"/>
    <row r="8070" s="65" customFormat="1"/>
    <row r="8071" s="65" customFormat="1"/>
    <row r="8072" s="65" customFormat="1"/>
    <row r="8073" s="65" customFormat="1"/>
    <row r="8074" s="65" customFormat="1"/>
    <row r="8075" s="65" customFormat="1"/>
    <row r="8076" s="65" customFormat="1"/>
    <row r="8077" s="65" customFormat="1"/>
    <row r="8078" s="65" customFormat="1"/>
    <row r="8079" s="65" customFormat="1"/>
    <row r="8080" s="65" customFormat="1"/>
    <row r="8081" s="65" customFormat="1"/>
    <row r="8082" s="65" customFormat="1"/>
    <row r="8083" s="65" customFormat="1"/>
    <row r="8084" s="65" customFormat="1"/>
    <row r="8085" s="65" customFormat="1"/>
    <row r="8086" s="65" customFormat="1"/>
    <row r="8087" s="65" customFormat="1"/>
    <row r="8088" s="65" customFormat="1"/>
    <row r="8089" s="65" customFormat="1"/>
    <row r="8090" s="65" customFormat="1"/>
    <row r="8091" s="65" customFormat="1"/>
    <row r="8092" s="65" customFormat="1"/>
    <row r="8093" s="65" customFormat="1"/>
    <row r="8094" s="65" customFormat="1"/>
    <row r="8095" s="65" customFormat="1"/>
    <row r="8096" s="65" customFormat="1"/>
    <row r="8097" s="65" customFormat="1"/>
    <row r="8098" s="65" customFormat="1"/>
    <row r="8099" s="65" customFormat="1"/>
    <row r="8100" s="65" customFormat="1"/>
    <row r="8101" s="65" customFormat="1"/>
    <row r="8102" s="65" customFormat="1"/>
    <row r="8103" s="65" customFormat="1"/>
    <row r="8104" s="65" customFormat="1"/>
    <row r="8105" s="65" customFormat="1"/>
    <row r="8106" s="65" customFormat="1"/>
    <row r="8107" s="65" customFormat="1"/>
    <row r="8108" s="65" customFormat="1"/>
    <row r="8109" s="65" customFormat="1"/>
    <row r="8110" s="65" customFormat="1"/>
    <row r="8111" s="65" customFormat="1"/>
    <row r="8112" s="65" customFormat="1"/>
    <row r="8113" s="65" customFormat="1"/>
    <row r="8114" s="65" customFormat="1"/>
    <row r="8115" s="65" customFormat="1"/>
    <row r="8116" s="65" customFormat="1"/>
    <row r="8117" s="65" customFormat="1"/>
    <row r="8118" s="65" customFormat="1"/>
    <row r="8119" s="65" customFormat="1"/>
    <row r="8120" s="65" customFormat="1"/>
    <row r="8121" s="65" customFormat="1"/>
    <row r="8122" s="65" customFormat="1"/>
    <row r="8123" s="65" customFormat="1"/>
    <row r="8124" s="65" customFormat="1"/>
    <row r="8125" s="65" customFormat="1"/>
    <row r="8126" s="65" customFormat="1"/>
    <row r="8127" s="65" customFormat="1"/>
    <row r="8128" s="65" customFormat="1"/>
    <row r="8129" s="65" customFormat="1"/>
    <row r="8130" s="65" customFormat="1"/>
    <row r="8131" s="65" customFormat="1"/>
    <row r="8132" s="65" customFormat="1"/>
    <row r="8133" s="65" customFormat="1"/>
    <row r="8134" s="65" customFormat="1"/>
    <row r="8135" s="65" customFormat="1"/>
    <row r="8136" s="65" customFormat="1"/>
    <row r="8137" s="65" customFormat="1"/>
    <row r="8138" s="65" customFormat="1"/>
    <row r="8139" s="65" customFormat="1"/>
    <row r="8140" s="65" customFormat="1"/>
    <row r="8141" s="65" customFormat="1"/>
    <row r="8142" s="65" customFormat="1"/>
    <row r="8143" s="65" customFormat="1"/>
    <row r="8144" s="65" customFormat="1"/>
    <row r="8145" s="65" customFormat="1"/>
    <row r="8146" s="65" customFormat="1"/>
    <row r="8147" s="65" customFormat="1"/>
    <row r="8148" s="65" customFormat="1"/>
    <row r="8149" s="65" customFormat="1"/>
    <row r="8150" s="65" customFormat="1"/>
    <row r="8151" s="65" customFormat="1"/>
    <row r="8152" s="65" customFormat="1"/>
    <row r="8153" s="65" customFormat="1"/>
    <row r="8154" s="65" customFormat="1"/>
    <row r="8155" s="65" customFormat="1"/>
    <row r="8156" s="65" customFormat="1"/>
    <row r="8157" s="65" customFormat="1"/>
    <row r="8158" s="65" customFormat="1"/>
    <row r="8159" s="65" customFormat="1"/>
    <row r="8160" s="65" customFormat="1"/>
    <row r="8161" s="65" customFormat="1"/>
    <row r="8162" s="65" customFormat="1"/>
    <row r="8163" s="65" customFormat="1"/>
    <row r="8164" s="65" customFormat="1"/>
    <row r="8165" s="65" customFormat="1"/>
    <row r="8166" s="65" customFormat="1"/>
    <row r="8167" s="65" customFormat="1"/>
    <row r="8168" s="65" customFormat="1"/>
    <row r="8169" s="65" customFormat="1"/>
    <row r="8170" s="65" customFormat="1"/>
    <row r="8171" s="65" customFormat="1"/>
    <row r="8172" s="65" customFormat="1"/>
    <row r="8173" s="65" customFormat="1"/>
    <row r="8174" s="65" customFormat="1"/>
    <row r="8175" s="65" customFormat="1"/>
    <row r="8176" s="65" customFormat="1"/>
    <row r="8177" s="65" customFormat="1"/>
    <row r="8178" s="65" customFormat="1"/>
    <row r="8179" s="65" customFormat="1"/>
    <row r="8180" s="65" customFormat="1"/>
    <row r="8181" s="65" customFormat="1"/>
    <row r="8182" s="65" customFormat="1"/>
    <row r="8183" s="65" customFormat="1"/>
    <row r="8184" s="65" customFormat="1"/>
    <row r="8185" s="65" customFormat="1"/>
    <row r="8186" s="65" customFormat="1"/>
    <row r="8187" s="65" customFormat="1"/>
    <row r="8188" s="65" customFormat="1"/>
    <row r="8189" s="65" customFormat="1"/>
    <row r="8190" s="65" customFormat="1"/>
    <row r="8191" s="65" customFormat="1"/>
    <row r="8192" s="65" customFormat="1"/>
    <row r="8193" s="65" customFormat="1"/>
    <row r="8194" s="65" customFormat="1"/>
    <row r="8195" s="65" customFormat="1"/>
    <row r="8196" s="65" customFormat="1"/>
    <row r="8197" s="65" customFormat="1"/>
    <row r="8198" s="65" customFormat="1"/>
    <row r="8199" s="65" customFormat="1"/>
    <row r="8200" s="65" customFormat="1"/>
    <row r="8201" s="65" customFormat="1"/>
    <row r="8202" s="65" customFormat="1"/>
    <row r="8203" s="65" customFormat="1"/>
    <row r="8204" s="65" customFormat="1"/>
    <row r="8205" s="65" customFormat="1"/>
    <row r="8206" s="65" customFormat="1"/>
    <row r="8207" s="65" customFormat="1"/>
    <row r="8208" s="65" customFormat="1"/>
    <row r="8209" s="65" customFormat="1"/>
    <row r="8210" s="65" customFormat="1"/>
    <row r="8211" s="65" customFormat="1"/>
    <row r="8212" s="65" customFormat="1"/>
    <row r="8213" s="65" customFormat="1"/>
    <row r="8214" s="65" customFormat="1"/>
    <row r="8215" s="65" customFormat="1"/>
    <row r="8216" s="65" customFormat="1"/>
    <row r="8217" s="65" customFormat="1"/>
    <row r="8218" s="65" customFormat="1"/>
    <row r="8219" s="65" customFormat="1"/>
    <row r="8220" s="65" customFormat="1"/>
    <row r="8221" s="65" customFormat="1"/>
    <row r="8222" s="65" customFormat="1"/>
    <row r="8223" s="65" customFormat="1"/>
    <row r="8224" s="65" customFormat="1"/>
    <row r="8225" s="65" customFormat="1"/>
    <row r="8226" s="65" customFormat="1"/>
    <row r="8227" s="65" customFormat="1"/>
    <row r="8228" s="65" customFormat="1"/>
    <row r="8229" s="65" customFormat="1"/>
    <row r="8230" s="65" customFormat="1"/>
    <row r="8231" s="65" customFormat="1"/>
    <row r="8232" s="65" customFormat="1"/>
    <row r="8233" s="65" customFormat="1"/>
    <row r="8234" s="65" customFormat="1"/>
    <row r="8235" s="65" customFormat="1"/>
    <row r="8236" s="65" customFormat="1"/>
    <row r="8237" s="65" customFormat="1"/>
    <row r="8238" s="65" customFormat="1"/>
    <row r="8239" s="65" customFormat="1"/>
    <row r="8240" s="65" customFormat="1"/>
    <row r="8241" s="65" customFormat="1"/>
    <row r="8242" s="65" customFormat="1"/>
    <row r="8243" s="65" customFormat="1"/>
    <row r="8244" s="65" customFormat="1"/>
    <row r="8245" s="65" customFormat="1"/>
    <row r="8246" s="65" customFormat="1"/>
    <row r="8247" s="65" customFormat="1"/>
    <row r="8248" s="65" customFormat="1"/>
    <row r="8249" s="65" customFormat="1"/>
    <row r="8250" s="65" customFormat="1"/>
    <row r="8251" s="65" customFormat="1"/>
    <row r="8252" s="65" customFormat="1"/>
    <row r="8253" s="65" customFormat="1"/>
    <row r="8254" s="65" customFormat="1"/>
    <row r="8255" s="65" customFormat="1"/>
    <row r="8256" s="65" customFormat="1"/>
    <row r="8257" s="65" customFormat="1"/>
    <row r="8258" s="65" customFormat="1"/>
    <row r="8259" s="65" customFormat="1"/>
    <row r="8260" s="65" customFormat="1"/>
    <row r="8261" s="65" customFormat="1"/>
    <row r="8262" s="65" customFormat="1"/>
    <row r="8263" s="65" customFormat="1"/>
    <row r="8264" s="65" customFormat="1"/>
    <row r="8265" s="65" customFormat="1"/>
    <row r="8266" s="65" customFormat="1"/>
    <row r="8267" s="65" customFormat="1"/>
    <row r="8268" s="65" customFormat="1"/>
    <row r="8269" s="65" customFormat="1"/>
    <row r="8270" s="65" customFormat="1"/>
    <row r="8271" s="65" customFormat="1"/>
    <row r="8272" s="65" customFormat="1"/>
    <row r="8273" s="65" customFormat="1"/>
    <row r="8274" s="65" customFormat="1"/>
    <row r="8275" s="65" customFormat="1"/>
    <row r="8276" s="65" customFormat="1"/>
    <row r="8277" s="65" customFormat="1"/>
    <row r="8278" s="65" customFormat="1"/>
    <row r="8279" s="65" customFormat="1"/>
    <row r="8280" s="65" customFormat="1"/>
    <row r="8281" s="65" customFormat="1"/>
    <row r="8282" s="65" customFormat="1"/>
    <row r="8283" s="65" customFormat="1"/>
    <row r="8284" s="65" customFormat="1"/>
    <row r="8285" s="65" customFormat="1"/>
    <row r="8286" s="65" customFormat="1"/>
    <row r="8287" s="65" customFormat="1"/>
    <row r="8288" s="65" customFormat="1"/>
    <row r="8289" s="65" customFormat="1"/>
    <row r="8290" s="65" customFormat="1"/>
    <row r="8291" s="65" customFormat="1"/>
    <row r="8292" s="65" customFormat="1"/>
    <row r="8293" s="65" customFormat="1"/>
    <row r="8294" s="65" customFormat="1"/>
    <row r="8295" s="65" customFormat="1"/>
    <row r="8296" s="65" customFormat="1"/>
    <row r="8297" s="65" customFormat="1"/>
    <row r="8298" s="65" customFormat="1"/>
    <row r="8299" s="65" customFormat="1"/>
    <row r="8300" s="65" customFormat="1"/>
    <row r="8301" s="65" customFormat="1"/>
    <row r="8302" s="65" customFormat="1"/>
    <row r="8303" s="65" customFormat="1"/>
    <row r="8304" s="65" customFormat="1"/>
    <row r="8305" s="65" customFormat="1"/>
    <row r="8306" s="65" customFormat="1"/>
    <row r="8307" s="65" customFormat="1"/>
    <row r="8308" s="65" customFormat="1"/>
    <row r="8309" s="65" customFormat="1"/>
    <row r="8310" s="65" customFormat="1"/>
    <row r="8311" s="65" customFormat="1"/>
    <row r="8312" s="65" customFormat="1"/>
    <row r="8313" s="65" customFormat="1"/>
    <row r="8314" s="65" customFormat="1"/>
    <row r="8315" s="65" customFormat="1"/>
    <row r="8316" s="65" customFormat="1"/>
    <row r="8317" s="65" customFormat="1"/>
    <row r="8318" s="65" customFormat="1"/>
    <row r="8319" s="65" customFormat="1"/>
    <row r="8320" s="65" customFormat="1"/>
    <row r="8321" s="65" customFormat="1"/>
    <row r="8322" s="65" customFormat="1"/>
    <row r="8323" s="65" customFormat="1"/>
    <row r="8324" s="65" customFormat="1"/>
    <row r="8325" s="65" customFormat="1"/>
    <row r="8326" s="65" customFormat="1"/>
    <row r="8327" s="65" customFormat="1"/>
    <row r="8328" s="65" customFormat="1"/>
    <row r="8329" s="65" customFormat="1"/>
    <row r="8330" s="65" customFormat="1"/>
    <row r="8331" s="65" customFormat="1"/>
    <row r="8332" s="65" customFormat="1"/>
    <row r="8333" s="65" customFormat="1"/>
    <row r="8334" s="65" customFormat="1"/>
    <row r="8335" s="65" customFormat="1"/>
    <row r="8336" s="65" customFormat="1"/>
    <row r="8337" s="65" customFormat="1"/>
    <row r="8338" s="65" customFormat="1"/>
    <row r="8339" s="65" customFormat="1"/>
    <row r="8340" s="65" customFormat="1"/>
    <row r="8341" s="65" customFormat="1"/>
    <row r="8342" s="65" customFormat="1"/>
    <row r="8343" s="65" customFormat="1"/>
    <row r="8344" s="65" customFormat="1"/>
    <row r="8345" s="65" customFormat="1"/>
    <row r="8346" s="65" customFormat="1"/>
    <row r="8347" s="65" customFormat="1"/>
    <row r="8348" s="65" customFormat="1"/>
    <row r="8349" s="65" customFormat="1"/>
    <row r="8350" s="65" customFormat="1"/>
    <row r="8351" s="65" customFormat="1"/>
    <row r="8352" s="65" customFormat="1"/>
    <row r="8353" s="65" customFormat="1"/>
    <row r="8354" s="65" customFormat="1"/>
    <row r="8355" s="65" customFormat="1"/>
    <row r="8356" s="65" customFormat="1"/>
    <row r="8357" s="65" customFormat="1"/>
    <row r="8358" s="65" customFormat="1"/>
    <row r="8359" s="65" customFormat="1"/>
    <row r="8360" s="65" customFormat="1"/>
    <row r="8361" s="65" customFormat="1"/>
    <row r="8362" s="65" customFormat="1"/>
    <row r="8363" s="65" customFormat="1"/>
    <row r="8364" s="65" customFormat="1"/>
    <row r="8365" s="65" customFormat="1"/>
    <row r="8366" s="65" customFormat="1"/>
    <row r="8367" s="65" customFormat="1"/>
    <row r="8368" s="65" customFormat="1"/>
    <row r="8369" s="65" customFormat="1"/>
    <row r="8370" s="65" customFormat="1"/>
    <row r="8371" s="65" customFormat="1"/>
    <row r="8372" s="65" customFormat="1"/>
    <row r="8373" s="65" customFormat="1"/>
    <row r="8374" s="65" customFormat="1"/>
    <row r="8375" s="65" customFormat="1"/>
    <row r="8376" s="65" customFormat="1"/>
    <row r="8377" s="65" customFormat="1"/>
    <row r="8378" s="65" customFormat="1"/>
    <row r="8379" s="65" customFormat="1"/>
    <row r="8380" s="65" customFormat="1"/>
    <row r="8381" s="65" customFormat="1"/>
    <row r="8382" s="65" customFormat="1"/>
    <row r="8383" s="65" customFormat="1"/>
    <row r="8384" s="65" customFormat="1"/>
    <row r="8385" s="65" customFormat="1"/>
    <row r="8386" s="65" customFormat="1"/>
    <row r="8387" s="65" customFormat="1"/>
    <row r="8388" s="65" customFormat="1"/>
    <row r="8389" s="65" customFormat="1"/>
    <row r="8390" s="65" customFormat="1"/>
    <row r="8391" s="65" customFormat="1"/>
    <row r="8392" s="65" customFormat="1"/>
    <row r="8393" s="65" customFormat="1"/>
    <row r="8394" s="65" customFormat="1"/>
    <row r="8395" s="65" customFormat="1"/>
    <row r="8396" s="65" customFormat="1"/>
    <row r="8397" s="65" customFormat="1"/>
    <row r="8398" s="65" customFormat="1"/>
    <row r="8399" s="65" customFormat="1"/>
    <row r="8400" s="65" customFormat="1"/>
    <row r="8401" s="65" customFormat="1"/>
    <row r="8402" s="65" customFormat="1"/>
    <row r="8403" s="65" customFormat="1"/>
    <row r="8404" s="65" customFormat="1"/>
    <row r="8405" s="65" customFormat="1"/>
    <row r="8406" s="65" customFormat="1"/>
    <row r="8407" s="65" customFormat="1"/>
    <row r="8408" s="65" customFormat="1"/>
    <row r="8409" s="65" customFormat="1"/>
    <row r="8410" s="65" customFormat="1"/>
    <row r="8411" s="65" customFormat="1"/>
    <row r="8412" s="65" customFormat="1"/>
    <row r="8413" s="65" customFormat="1"/>
    <row r="8414" s="65" customFormat="1"/>
    <row r="8415" s="65" customFormat="1"/>
    <row r="8416" s="65" customFormat="1"/>
    <row r="8417" s="65" customFormat="1"/>
    <row r="8418" s="65" customFormat="1"/>
    <row r="8419" s="65" customFormat="1"/>
    <row r="8420" s="65" customFormat="1"/>
    <row r="8421" s="65" customFormat="1"/>
    <row r="8422" s="65" customFormat="1"/>
    <row r="8423" s="65" customFormat="1"/>
    <row r="8424" s="65" customFormat="1"/>
    <row r="8425" s="65" customFormat="1"/>
    <row r="8426" s="65" customFormat="1"/>
    <row r="8427" s="65" customFormat="1"/>
    <row r="8428" s="65" customFormat="1"/>
    <row r="8429" s="65" customFormat="1"/>
    <row r="8430" s="65" customFormat="1"/>
    <row r="8431" s="65" customFormat="1"/>
    <row r="8432" s="65" customFormat="1"/>
    <row r="8433" s="65" customFormat="1"/>
    <row r="8434" s="65" customFormat="1"/>
    <row r="8435" s="65" customFormat="1"/>
    <row r="8436" s="65" customFormat="1"/>
    <row r="8437" s="65" customFormat="1"/>
    <row r="8438" s="65" customFormat="1"/>
    <row r="8439" s="65" customFormat="1"/>
    <row r="8440" s="65" customFormat="1"/>
    <row r="8441" s="65" customFormat="1"/>
    <row r="8442" s="65" customFormat="1"/>
    <row r="8443" s="65" customFormat="1"/>
    <row r="8444" s="65" customFormat="1"/>
    <row r="8445" s="65" customFormat="1"/>
    <row r="8446" s="65" customFormat="1"/>
    <row r="8447" s="65" customFormat="1"/>
    <row r="8448" s="65" customFormat="1"/>
    <row r="8449" s="65" customFormat="1"/>
    <row r="8450" s="65" customFormat="1"/>
    <row r="8451" s="65" customFormat="1"/>
    <row r="8452" s="65" customFormat="1"/>
    <row r="8453" s="65" customFormat="1"/>
    <row r="8454" s="65" customFormat="1"/>
    <row r="8455" s="65" customFormat="1"/>
    <row r="8456" s="65" customFormat="1"/>
    <row r="8457" s="65" customFormat="1"/>
    <row r="8458" s="65" customFormat="1"/>
    <row r="8459" s="65" customFormat="1"/>
    <row r="8460" s="65" customFormat="1"/>
    <row r="8461" s="65" customFormat="1"/>
    <row r="8462" s="65" customFormat="1"/>
    <row r="8463" s="65" customFormat="1"/>
    <row r="8464" s="65" customFormat="1"/>
    <row r="8465" s="65" customFormat="1"/>
    <row r="8466" s="65" customFormat="1"/>
    <row r="8467" s="65" customFormat="1"/>
    <row r="8468" s="65" customFormat="1"/>
    <row r="8469" s="65" customFormat="1"/>
    <row r="8470" s="65" customFormat="1"/>
    <row r="8471" s="65" customFormat="1"/>
    <row r="8472" s="65" customFormat="1"/>
    <row r="8473" s="65" customFormat="1"/>
    <row r="8474" s="65" customFormat="1"/>
    <row r="8475" s="65" customFormat="1"/>
    <row r="8476" s="65" customFormat="1"/>
    <row r="8477" s="65" customFormat="1"/>
    <row r="8478" s="65" customFormat="1"/>
    <row r="8479" s="65" customFormat="1"/>
    <row r="8480" s="65" customFormat="1"/>
    <row r="8481" s="65" customFormat="1"/>
    <row r="8482" s="65" customFormat="1"/>
    <row r="8483" s="65" customFormat="1"/>
    <row r="8484" s="65" customFormat="1"/>
    <row r="8485" s="65" customFormat="1"/>
    <row r="8486" s="65" customFormat="1"/>
    <row r="8487" s="65" customFormat="1"/>
    <row r="8488" s="65" customFormat="1"/>
    <row r="8489" s="65" customFormat="1"/>
    <row r="8490" s="65" customFormat="1"/>
    <row r="8491" s="65" customFormat="1"/>
    <row r="8492" s="65" customFormat="1"/>
    <row r="8493" s="65" customFormat="1"/>
    <row r="8494" s="65" customFormat="1"/>
    <row r="8495" s="65" customFormat="1"/>
    <row r="8496" s="65" customFormat="1"/>
    <row r="8497" s="65" customFormat="1"/>
    <row r="8498" s="65" customFormat="1"/>
    <row r="8499" s="65" customFormat="1"/>
    <row r="8500" s="65" customFormat="1"/>
    <row r="8501" s="65" customFormat="1"/>
    <row r="8502" s="65" customFormat="1"/>
    <row r="8503" s="65" customFormat="1"/>
    <row r="8504" s="65" customFormat="1"/>
    <row r="8505" s="65" customFormat="1"/>
    <row r="8506" s="65" customFormat="1"/>
    <row r="8507" s="65" customFormat="1"/>
    <row r="8508" s="65" customFormat="1"/>
    <row r="8509" s="65" customFormat="1"/>
    <row r="8510" s="65" customFormat="1"/>
    <row r="8511" s="65" customFormat="1"/>
    <row r="8512" s="65" customFormat="1"/>
    <row r="8513" s="65" customFormat="1"/>
    <row r="8514" s="65" customFormat="1"/>
    <row r="8515" s="65" customFormat="1"/>
    <row r="8516" s="65" customFormat="1"/>
    <row r="8517" s="65" customFormat="1"/>
    <row r="8518" s="65" customFormat="1"/>
    <row r="8519" s="65" customFormat="1"/>
    <row r="8520" s="65" customFormat="1"/>
    <row r="8521" s="65" customFormat="1"/>
    <row r="8522" s="65" customFormat="1"/>
    <row r="8523" s="65" customFormat="1"/>
    <row r="8524" s="65" customFormat="1"/>
    <row r="8525" s="65" customFormat="1"/>
    <row r="8526" s="65" customFormat="1"/>
    <row r="8527" s="65" customFormat="1"/>
    <row r="8528" s="65" customFormat="1"/>
    <row r="8529" s="65" customFormat="1"/>
    <row r="8530" s="65" customFormat="1"/>
    <row r="8531" s="65" customFormat="1"/>
    <row r="8532" s="65" customFormat="1"/>
    <row r="8533" s="65" customFormat="1"/>
    <row r="8534" s="65" customFormat="1"/>
    <row r="8535" s="65" customFormat="1"/>
    <row r="8536" s="65" customFormat="1"/>
    <row r="8537" s="65" customFormat="1"/>
    <row r="8538" s="65" customFormat="1"/>
    <row r="8539" s="65" customFormat="1"/>
    <row r="8540" s="65" customFormat="1"/>
    <row r="8541" s="65" customFormat="1"/>
    <row r="8542" s="65" customFormat="1"/>
    <row r="8543" s="65" customFormat="1"/>
    <row r="8544" s="65" customFormat="1"/>
    <row r="8545" s="65" customFormat="1"/>
    <row r="8546" s="65" customFormat="1"/>
    <row r="8547" s="65" customFormat="1"/>
    <row r="8548" s="65" customFormat="1"/>
    <row r="8549" s="65" customFormat="1"/>
    <row r="8550" s="65" customFormat="1"/>
    <row r="8551" s="65" customFormat="1"/>
    <row r="8552" s="65" customFormat="1"/>
    <row r="8553" s="65" customFormat="1"/>
    <row r="8554" s="65" customFormat="1"/>
    <row r="8555" s="65" customFormat="1"/>
    <row r="8556" s="65" customFormat="1"/>
    <row r="8557" s="65" customFormat="1"/>
    <row r="8558" s="65" customFormat="1"/>
    <row r="8559" s="65" customFormat="1"/>
    <row r="8560" s="65" customFormat="1"/>
    <row r="8561" s="65" customFormat="1"/>
    <row r="8562" s="65" customFormat="1"/>
    <row r="8563" s="65" customFormat="1"/>
    <row r="8564" s="65" customFormat="1"/>
    <row r="8565" s="65" customFormat="1"/>
    <row r="8566" s="65" customFormat="1"/>
    <row r="8567" s="65" customFormat="1"/>
    <row r="8568" s="65" customFormat="1"/>
    <row r="8569" s="65" customFormat="1"/>
    <row r="8570" s="65" customFormat="1"/>
    <row r="8571" s="65" customFormat="1"/>
    <row r="8572" s="65" customFormat="1"/>
    <row r="8573" s="65" customFormat="1"/>
    <row r="8574" s="65" customFormat="1"/>
    <row r="8575" s="65" customFormat="1"/>
    <row r="8576" s="65" customFormat="1"/>
    <row r="8577" s="65" customFormat="1"/>
    <row r="8578" s="65" customFormat="1"/>
    <row r="8579" s="65" customFormat="1"/>
    <row r="8580" s="65" customFormat="1"/>
    <row r="8581" s="65" customFormat="1"/>
    <row r="8582" s="65" customFormat="1"/>
    <row r="8583" s="65" customFormat="1"/>
    <row r="8584" s="65" customFormat="1"/>
    <row r="8585" s="65" customFormat="1"/>
    <row r="8586" s="65" customFormat="1"/>
    <row r="8587" s="65" customFormat="1"/>
    <row r="8588" s="65" customFormat="1"/>
    <row r="8589" s="65" customFormat="1"/>
    <row r="8590" s="65" customFormat="1"/>
    <row r="8591" s="65" customFormat="1"/>
    <row r="8592" s="65" customFormat="1"/>
    <row r="8593" s="65" customFormat="1"/>
    <row r="8594" s="65" customFormat="1"/>
    <row r="8595" s="65" customFormat="1"/>
    <row r="8596" s="65" customFormat="1"/>
    <row r="8597" s="65" customFormat="1"/>
    <row r="8598" s="65" customFormat="1"/>
    <row r="8599" s="65" customFormat="1"/>
    <row r="8600" s="65" customFormat="1"/>
    <row r="8601" s="65" customFormat="1"/>
    <row r="8602" s="65" customFormat="1"/>
    <row r="8603" s="65" customFormat="1"/>
    <row r="8604" s="65" customFormat="1"/>
    <row r="8605" s="65" customFormat="1"/>
    <row r="8606" s="65" customFormat="1"/>
    <row r="8607" s="65" customFormat="1"/>
    <row r="8608" s="65" customFormat="1"/>
    <row r="8609" s="65" customFormat="1"/>
    <row r="8610" s="65" customFormat="1"/>
    <row r="8611" s="65" customFormat="1"/>
    <row r="8612" s="65" customFormat="1"/>
    <row r="8613" s="65" customFormat="1"/>
    <row r="8614" s="65" customFormat="1"/>
    <row r="8615" s="65" customFormat="1"/>
    <row r="8616" s="65" customFormat="1"/>
    <row r="8617" s="65" customFormat="1"/>
    <row r="8618" s="65" customFormat="1"/>
    <row r="8619" s="65" customFormat="1"/>
    <row r="8620" s="65" customFormat="1"/>
    <row r="8621" s="65" customFormat="1"/>
    <row r="8622" s="65" customFormat="1"/>
    <row r="8623" s="65" customFormat="1"/>
    <row r="8624" s="65" customFormat="1"/>
    <row r="8625" s="65" customFormat="1"/>
    <row r="8626" s="65" customFormat="1"/>
    <row r="8627" s="65" customFormat="1"/>
    <row r="8628" s="65" customFormat="1"/>
    <row r="8629" s="65" customFormat="1"/>
    <row r="8630" s="65" customFormat="1"/>
    <row r="8631" s="65" customFormat="1"/>
    <row r="8632" s="65" customFormat="1"/>
    <row r="8633" s="65" customFormat="1"/>
    <row r="8634" s="65" customFormat="1"/>
    <row r="8635" s="65" customFormat="1"/>
    <row r="8636" s="65" customFormat="1"/>
    <row r="8637" s="65" customFormat="1"/>
    <row r="8638" s="65" customFormat="1"/>
    <row r="8639" s="65" customFormat="1"/>
    <row r="8640" s="65" customFormat="1"/>
    <row r="8641" s="65" customFormat="1"/>
    <row r="8642" s="65" customFormat="1"/>
    <row r="8643" s="65" customFormat="1"/>
    <row r="8644" s="65" customFormat="1"/>
    <row r="8645" s="65" customFormat="1"/>
    <row r="8646" s="65" customFormat="1"/>
    <row r="8647" s="65" customFormat="1"/>
    <row r="8648" s="65" customFormat="1"/>
    <row r="8649" s="65" customFormat="1"/>
    <row r="8650" s="65" customFormat="1"/>
    <row r="8651" s="65" customFormat="1"/>
    <row r="8652" s="65" customFormat="1"/>
    <row r="8653" s="65" customFormat="1"/>
    <row r="8654" s="65" customFormat="1"/>
    <row r="8655" s="65" customFormat="1"/>
    <row r="8656" s="65" customFormat="1"/>
    <row r="8657" s="65" customFormat="1"/>
    <row r="8658" s="65" customFormat="1"/>
    <row r="8659" s="65" customFormat="1"/>
    <row r="8660" s="65" customFormat="1"/>
    <row r="8661" s="65" customFormat="1"/>
    <row r="8662" s="65" customFormat="1"/>
    <row r="8663" s="65" customFormat="1"/>
    <row r="8664" s="65" customFormat="1"/>
    <row r="8665" s="65" customFormat="1"/>
    <row r="8666" s="65" customFormat="1"/>
    <row r="8667" s="65" customFormat="1"/>
    <row r="8668" s="65" customFormat="1"/>
    <row r="8669" s="65" customFormat="1"/>
    <row r="8670" s="65" customFormat="1"/>
    <row r="8671" s="65" customFormat="1"/>
    <row r="8672" s="65" customFormat="1"/>
    <row r="8673" s="65" customFormat="1"/>
    <row r="8674" s="65" customFormat="1"/>
    <row r="8675" s="65" customFormat="1"/>
    <row r="8676" s="65" customFormat="1"/>
    <row r="8677" s="65" customFormat="1"/>
    <row r="8678" s="65" customFormat="1"/>
    <row r="8679" s="65" customFormat="1"/>
    <row r="8680" s="65" customFormat="1"/>
    <row r="8681" s="65" customFormat="1"/>
    <row r="8682" s="65" customFormat="1"/>
    <row r="8683" s="65" customFormat="1"/>
    <row r="8684" s="65" customFormat="1"/>
    <row r="8685" s="65" customFormat="1"/>
    <row r="8686" s="65" customFormat="1"/>
    <row r="8687" s="65" customFormat="1"/>
    <row r="8688" s="65" customFormat="1"/>
    <row r="8689" s="65" customFormat="1"/>
    <row r="8690" s="65" customFormat="1"/>
    <row r="8691" s="65" customFormat="1"/>
    <row r="8692" s="65" customFormat="1"/>
    <row r="8693" s="65" customFormat="1"/>
    <row r="8694" s="65" customFormat="1"/>
    <row r="8695" s="65" customFormat="1"/>
    <row r="8696" s="65" customFormat="1"/>
    <row r="8697" s="65" customFormat="1"/>
    <row r="8698" s="65" customFormat="1"/>
    <row r="8699" s="65" customFormat="1"/>
    <row r="8700" s="65" customFormat="1"/>
    <row r="8701" s="65" customFormat="1"/>
    <row r="8702" s="65" customFormat="1"/>
    <row r="8703" s="65" customFormat="1"/>
    <row r="8704" s="65" customFormat="1"/>
    <row r="8705" s="65" customFormat="1"/>
    <row r="8706" s="65" customFormat="1"/>
    <row r="8707" s="65" customFormat="1"/>
    <row r="8708" s="65" customFormat="1"/>
    <row r="8709" s="65" customFormat="1"/>
    <row r="8710" s="65" customFormat="1"/>
    <row r="8711" s="65" customFormat="1"/>
    <row r="8712" s="65" customFormat="1"/>
    <row r="8713" s="65" customFormat="1"/>
    <row r="8714" s="65" customFormat="1"/>
    <row r="8715" s="65" customFormat="1"/>
    <row r="8716" s="65" customFormat="1"/>
    <row r="8717" s="65" customFormat="1"/>
    <row r="8718" s="65" customFormat="1"/>
    <row r="8719" s="65" customFormat="1"/>
    <row r="8720" s="65" customFormat="1"/>
    <row r="8721" s="65" customFormat="1"/>
    <row r="8722" s="65" customFormat="1"/>
    <row r="8723" s="65" customFormat="1"/>
    <row r="8724" s="65" customFormat="1"/>
    <row r="8725" s="65" customFormat="1"/>
    <row r="8726" s="65" customFormat="1"/>
    <row r="8727" s="65" customFormat="1"/>
    <row r="8728" s="65" customFormat="1"/>
    <row r="8729" s="65" customFormat="1"/>
    <row r="8730" s="65" customFormat="1"/>
    <row r="8731" s="65" customFormat="1"/>
    <row r="8732" s="65" customFormat="1"/>
    <row r="8733" s="65" customFormat="1"/>
    <row r="8734" s="65" customFormat="1"/>
    <row r="8735" s="65" customFormat="1"/>
    <row r="8736" s="65" customFormat="1"/>
    <row r="8737" s="65" customFormat="1"/>
    <row r="8738" s="65" customFormat="1"/>
    <row r="8739" s="65" customFormat="1"/>
    <row r="8740" s="65" customFormat="1"/>
    <row r="8741" s="65" customFormat="1"/>
    <row r="8742" s="65" customFormat="1"/>
    <row r="8743" s="65" customFormat="1"/>
    <row r="8744" s="65" customFormat="1"/>
    <row r="8745" s="65" customFormat="1"/>
    <row r="8746" s="65" customFormat="1"/>
    <row r="8747" s="65" customFormat="1"/>
    <row r="8748" s="65" customFormat="1"/>
    <row r="8749" s="65" customFormat="1"/>
    <row r="8750" s="65" customFormat="1"/>
    <row r="8751" s="65" customFormat="1"/>
    <row r="8752" s="65" customFormat="1"/>
    <row r="8753" s="65" customFormat="1"/>
    <row r="8754" s="65" customFormat="1"/>
    <row r="8755" s="65" customFormat="1"/>
    <row r="8756" s="65" customFormat="1"/>
    <row r="8757" s="65" customFormat="1"/>
    <row r="8758" s="65" customFormat="1"/>
    <row r="8759" s="65" customFormat="1"/>
    <row r="8760" s="65" customFormat="1"/>
    <row r="8761" s="65" customFormat="1"/>
    <row r="8762" s="65" customFormat="1"/>
    <row r="8763" s="65" customFormat="1"/>
    <row r="8764" s="65" customFormat="1"/>
    <row r="8765" s="65" customFormat="1"/>
    <row r="8766" s="65" customFormat="1"/>
    <row r="8767" s="65" customFormat="1"/>
    <row r="8768" s="65" customFormat="1"/>
    <row r="8769" s="65" customFormat="1"/>
    <row r="8770" s="65" customFormat="1"/>
    <row r="8771" s="65" customFormat="1"/>
    <row r="8772" s="65" customFormat="1"/>
    <row r="8773" s="65" customFormat="1"/>
    <row r="8774" s="65" customFormat="1"/>
    <row r="8775" s="65" customFormat="1"/>
    <row r="8776" s="65" customFormat="1"/>
    <row r="8777" s="65" customFormat="1"/>
    <row r="8778" s="65" customFormat="1"/>
    <row r="8779" s="65" customFormat="1"/>
    <row r="8780" s="65" customFormat="1"/>
    <row r="8781" s="65" customFormat="1"/>
    <row r="8782" s="65" customFormat="1"/>
    <row r="8783" s="65" customFormat="1"/>
    <row r="8784" s="65" customFormat="1"/>
    <row r="8785" s="65" customFormat="1"/>
    <row r="8786" s="65" customFormat="1"/>
    <row r="8787" s="65" customFormat="1"/>
    <row r="8788" s="65" customFormat="1"/>
    <row r="8789" s="65" customFormat="1"/>
    <row r="8790" s="65" customFormat="1"/>
    <row r="8791" s="65" customFormat="1"/>
    <row r="8792" s="65" customFormat="1"/>
    <row r="8793" s="65" customFormat="1"/>
    <row r="8794" s="65" customFormat="1"/>
    <row r="8795" s="65" customFormat="1"/>
    <row r="8796" s="65" customFormat="1"/>
    <row r="8797" s="65" customFormat="1"/>
    <row r="8798" s="65" customFormat="1"/>
    <row r="8799" s="65" customFormat="1"/>
    <row r="8800" s="65" customFormat="1"/>
    <row r="8801" s="65" customFormat="1"/>
    <row r="8802" s="65" customFormat="1"/>
    <row r="8803" s="65" customFormat="1"/>
    <row r="8804" s="65" customFormat="1"/>
    <row r="8805" s="65" customFormat="1"/>
    <row r="8806" s="65" customFormat="1"/>
    <row r="8807" s="65" customFormat="1"/>
    <row r="8808" s="65" customFormat="1"/>
    <row r="8809" s="65" customFormat="1"/>
    <row r="8810" s="65" customFormat="1"/>
    <row r="8811" s="65" customFormat="1"/>
    <row r="8812" s="65" customFormat="1"/>
    <row r="8813" s="65" customFormat="1"/>
    <row r="8814" s="65" customFormat="1"/>
    <row r="8815" s="65" customFormat="1"/>
    <row r="8816" s="65" customFormat="1"/>
    <row r="8817" s="65" customFormat="1"/>
    <row r="8818" s="65" customFormat="1"/>
    <row r="8819" s="65" customFormat="1"/>
    <row r="8820" s="65" customFormat="1"/>
    <row r="8821" s="65" customFormat="1"/>
    <row r="8822" s="65" customFormat="1"/>
    <row r="8823" s="65" customFormat="1"/>
    <row r="8824" s="65" customFormat="1"/>
    <row r="8825" s="65" customFormat="1"/>
    <row r="8826" s="65" customFormat="1"/>
    <row r="8827" s="65" customFormat="1"/>
    <row r="8828" s="65" customFormat="1"/>
    <row r="8829" s="65" customFormat="1"/>
    <row r="8830" s="65" customFormat="1"/>
    <row r="8831" s="65" customFormat="1"/>
    <row r="8832" s="65" customFormat="1"/>
    <row r="8833" s="65" customFormat="1"/>
    <row r="8834" s="65" customFormat="1"/>
    <row r="8835" s="65" customFormat="1"/>
    <row r="8836" s="65" customFormat="1"/>
    <row r="8837" s="65" customFormat="1"/>
    <row r="8838" s="65" customFormat="1"/>
    <row r="8839" s="65" customFormat="1"/>
    <row r="8840" s="65" customFormat="1"/>
    <row r="8841" s="65" customFormat="1"/>
    <row r="8842" s="65" customFormat="1"/>
    <row r="8843" s="65" customFormat="1"/>
    <row r="8844" s="65" customFormat="1"/>
    <row r="8845" s="65" customFormat="1"/>
    <row r="8846" s="65" customFormat="1"/>
    <row r="8847" s="65" customFormat="1"/>
    <row r="8848" s="65" customFormat="1"/>
    <row r="8849" s="65" customFormat="1"/>
    <row r="8850" s="65" customFormat="1"/>
    <row r="8851" s="65" customFormat="1"/>
    <row r="8852" s="65" customFormat="1"/>
    <row r="8853" s="65" customFormat="1"/>
    <row r="8854" s="65" customFormat="1"/>
    <row r="8855" s="65" customFormat="1"/>
    <row r="8856" s="65" customFormat="1"/>
    <row r="8857" s="65" customFormat="1"/>
    <row r="8858" s="65" customFormat="1"/>
    <row r="8859" s="65" customFormat="1"/>
    <row r="8860" s="65" customFormat="1"/>
    <row r="8861" s="65" customFormat="1"/>
    <row r="8862" s="65" customFormat="1"/>
    <row r="8863" s="65" customFormat="1"/>
    <row r="8864" s="65" customFormat="1"/>
    <row r="8865" s="65" customFormat="1"/>
    <row r="8866" s="65" customFormat="1"/>
    <row r="8867" s="65" customFormat="1"/>
    <row r="8868" s="65" customFormat="1"/>
    <row r="8869" s="65" customFormat="1"/>
    <row r="8870" s="65" customFormat="1"/>
    <row r="8871" s="65" customFormat="1"/>
    <row r="8872" s="65" customFormat="1"/>
    <row r="8873" s="65" customFormat="1"/>
    <row r="8874" s="65" customFormat="1"/>
    <row r="8875" s="65" customFormat="1"/>
    <row r="8876" s="65" customFormat="1"/>
    <row r="8877" s="65" customFormat="1"/>
    <row r="8878" s="65" customFormat="1"/>
    <row r="8879" s="65" customFormat="1"/>
    <row r="8880" s="65" customFormat="1"/>
    <row r="8881" s="65" customFormat="1"/>
    <row r="8882" s="65" customFormat="1"/>
    <row r="8883" s="65" customFormat="1"/>
    <row r="8884" s="65" customFormat="1"/>
    <row r="8885" s="65" customFormat="1"/>
    <row r="8886" s="65" customFormat="1"/>
    <row r="8887" s="65" customFormat="1"/>
    <row r="8888" s="65" customFormat="1"/>
    <row r="8889" s="65" customFormat="1"/>
    <row r="8890" s="65" customFormat="1"/>
    <row r="8891" s="65" customFormat="1"/>
    <row r="8892" s="65" customFormat="1"/>
    <row r="8893" s="65" customFormat="1"/>
    <row r="8894" s="65" customFormat="1"/>
    <row r="8895" s="65" customFormat="1"/>
    <row r="8896" s="65" customFormat="1"/>
    <row r="8897" s="65" customFormat="1"/>
    <row r="8898" s="65" customFormat="1"/>
    <row r="8899" s="65" customFormat="1"/>
    <row r="8900" s="65" customFormat="1"/>
    <row r="8901" s="65" customFormat="1"/>
    <row r="8902" s="65" customFormat="1"/>
    <row r="8903" s="65" customFormat="1"/>
    <row r="8904" s="65" customFormat="1"/>
    <row r="8905" s="65" customFormat="1"/>
    <row r="8906" s="65" customFormat="1"/>
    <row r="8907" s="65" customFormat="1"/>
    <row r="8908" s="65" customFormat="1"/>
    <row r="8909" s="65" customFormat="1"/>
    <row r="8910" s="65" customFormat="1"/>
    <row r="8911" s="65" customFormat="1"/>
    <row r="8912" s="65" customFormat="1"/>
    <row r="8913" s="65" customFormat="1"/>
    <row r="8914" s="65" customFormat="1"/>
    <row r="8915" s="65" customFormat="1"/>
    <row r="8916" s="65" customFormat="1"/>
    <row r="8917" s="65" customFormat="1"/>
    <row r="8918" s="65" customFormat="1"/>
    <row r="8919" s="65" customFormat="1"/>
    <row r="8920" s="65" customFormat="1"/>
    <row r="8921" s="65" customFormat="1"/>
    <row r="8922" s="65" customFormat="1"/>
    <row r="8923" s="65" customFormat="1"/>
    <row r="8924" s="65" customFormat="1"/>
    <row r="8925" s="65" customFormat="1"/>
    <row r="8926" s="65" customFormat="1"/>
    <row r="8927" s="65" customFormat="1"/>
    <row r="8928" s="65" customFormat="1"/>
    <row r="8929" s="65" customFormat="1"/>
    <row r="8930" s="65" customFormat="1"/>
    <row r="8931" s="65" customFormat="1"/>
    <row r="8932" s="65" customFormat="1"/>
    <row r="8933" s="65" customFormat="1"/>
    <row r="8934" s="65" customFormat="1"/>
    <row r="8935" s="65" customFormat="1"/>
    <row r="8936" s="65" customFormat="1"/>
    <row r="8937" s="65" customFormat="1"/>
    <row r="8938" s="65" customFormat="1"/>
    <row r="8939" s="65" customFormat="1"/>
    <row r="8940" s="65" customFormat="1"/>
    <row r="8941" s="65" customFormat="1"/>
    <row r="8942" s="65" customFormat="1"/>
    <row r="8943" s="65" customFormat="1"/>
    <row r="8944" s="65" customFormat="1"/>
    <row r="8945" s="65" customFormat="1"/>
    <row r="8946" s="65" customFormat="1"/>
    <row r="8947" s="65" customFormat="1"/>
    <row r="8948" s="65" customFormat="1"/>
    <row r="8949" s="65" customFormat="1"/>
    <row r="8950" s="65" customFormat="1"/>
    <row r="8951" s="65" customFormat="1"/>
    <row r="8952" s="65" customFormat="1"/>
    <row r="8953" s="65" customFormat="1"/>
    <row r="8954" s="65" customFormat="1"/>
    <row r="8955" s="65" customFormat="1"/>
    <row r="8956" s="65" customFormat="1"/>
    <row r="8957" s="65" customFormat="1"/>
    <row r="8958" s="65" customFormat="1"/>
    <row r="8959" s="65" customFormat="1"/>
    <row r="8960" s="65" customFormat="1"/>
    <row r="8961" s="65" customFormat="1"/>
    <row r="8962" s="65" customFormat="1"/>
    <row r="8963" s="65" customFormat="1"/>
    <row r="8964" s="65" customFormat="1"/>
    <row r="8965" s="65" customFormat="1"/>
    <row r="8966" s="65" customFormat="1"/>
    <row r="8967" s="65" customFormat="1"/>
    <row r="8968" s="65" customFormat="1"/>
    <row r="8969" s="65" customFormat="1"/>
    <row r="8970" s="65" customFormat="1"/>
    <row r="8971" s="65" customFormat="1"/>
    <row r="8972" s="65" customFormat="1"/>
    <row r="8973" s="65" customFormat="1"/>
    <row r="8974" s="65" customFormat="1"/>
    <row r="8975" s="65" customFormat="1"/>
    <row r="8976" s="65" customFormat="1"/>
    <row r="8977" s="65" customFormat="1"/>
    <row r="8978" s="65" customFormat="1"/>
    <row r="8979" s="65" customFormat="1"/>
    <row r="8980" s="65" customFormat="1"/>
    <row r="8981" s="65" customFormat="1"/>
    <row r="8982" s="65" customFormat="1"/>
    <row r="8983" s="65" customFormat="1"/>
    <row r="8984" s="65" customFormat="1"/>
    <row r="8985" s="65" customFormat="1"/>
    <row r="8986" s="65" customFormat="1"/>
    <row r="8987" s="65" customFormat="1"/>
    <row r="8988" s="65" customFormat="1"/>
    <row r="8989" s="65" customFormat="1"/>
    <row r="8990" s="65" customFormat="1"/>
    <row r="8991" s="65" customFormat="1"/>
    <row r="8992" s="65" customFormat="1"/>
    <row r="8993" s="65" customFormat="1"/>
    <row r="8994" s="65" customFormat="1"/>
    <row r="8995" s="65" customFormat="1"/>
    <row r="8996" s="65" customFormat="1"/>
    <row r="8997" s="65" customFormat="1"/>
    <row r="8998" s="65" customFormat="1"/>
    <row r="8999" s="65" customFormat="1"/>
    <row r="9000" s="65" customFormat="1"/>
    <row r="9001" s="65" customFormat="1"/>
    <row r="9002" s="65" customFormat="1"/>
    <row r="9003" s="65" customFormat="1"/>
    <row r="9004" s="65" customFormat="1"/>
    <row r="9005" s="65" customFormat="1"/>
    <row r="9006" s="65" customFormat="1"/>
    <row r="9007" s="65" customFormat="1"/>
    <row r="9008" s="65" customFormat="1"/>
    <row r="9009" s="65" customFormat="1"/>
    <row r="9010" s="65" customFormat="1"/>
    <row r="9011" s="65" customFormat="1"/>
    <row r="9012" s="65" customFormat="1"/>
    <row r="9013" s="65" customFormat="1"/>
    <row r="9014" s="65" customFormat="1"/>
    <row r="9015" s="65" customFormat="1"/>
    <row r="9016" s="65" customFormat="1"/>
    <row r="9017" s="65" customFormat="1"/>
    <row r="9018" s="65" customFormat="1"/>
    <row r="9019" s="65" customFormat="1"/>
    <row r="9020" s="65" customFormat="1"/>
    <row r="9021" s="65" customFormat="1"/>
    <row r="9022" s="65" customFormat="1"/>
    <row r="9023" s="65" customFormat="1"/>
    <row r="9024" s="65" customFormat="1"/>
    <row r="9025" s="65" customFormat="1"/>
    <row r="9026" s="65" customFormat="1"/>
    <row r="9027" s="65" customFormat="1"/>
    <row r="9028" s="65" customFormat="1"/>
    <row r="9029" s="65" customFormat="1"/>
    <row r="9030" s="65" customFormat="1"/>
    <row r="9031" s="65" customFormat="1"/>
    <row r="9032" s="65" customFormat="1"/>
    <row r="9033" s="65" customFormat="1"/>
    <row r="9034" s="65" customFormat="1"/>
    <row r="9035" s="65" customFormat="1"/>
    <row r="9036" s="65" customFormat="1"/>
    <row r="9037" s="65" customFormat="1"/>
    <row r="9038" s="65" customFormat="1"/>
    <row r="9039" s="65" customFormat="1"/>
    <row r="9040" s="65" customFormat="1"/>
    <row r="9041" s="65" customFormat="1"/>
    <row r="9042" s="65" customFormat="1"/>
    <row r="9043" s="65" customFormat="1"/>
    <row r="9044" s="65" customFormat="1"/>
    <row r="9045" s="65" customFormat="1"/>
    <row r="9046" s="65" customFormat="1"/>
    <row r="9047" s="65" customFormat="1"/>
    <row r="9048" s="65" customFormat="1"/>
    <row r="9049" s="65" customFormat="1"/>
    <row r="9050" s="65" customFormat="1"/>
    <row r="9051" s="65" customFormat="1"/>
    <row r="9052" s="65" customFormat="1"/>
    <row r="9053" s="65" customFormat="1"/>
    <row r="9054" s="65" customFormat="1"/>
    <row r="9055" s="65" customFormat="1"/>
    <row r="9056" s="65" customFormat="1"/>
    <row r="9057" s="65" customFormat="1"/>
    <row r="9058" s="65" customFormat="1"/>
    <row r="9059" s="65" customFormat="1"/>
    <row r="9060" s="65" customFormat="1"/>
    <row r="9061" s="65" customFormat="1"/>
    <row r="9062" s="65" customFormat="1"/>
    <row r="9063" s="65" customFormat="1"/>
    <row r="9064" s="65" customFormat="1"/>
    <row r="9065" s="65" customFormat="1"/>
    <row r="9066" s="65" customFormat="1"/>
    <row r="9067" s="65" customFormat="1"/>
    <row r="9068" s="65" customFormat="1"/>
    <row r="9069" s="65" customFormat="1"/>
    <row r="9070" s="65" customFormat="1"/>
    <row r="9071" s="65" customFormat="1"/>
    <row r="9072" s="65" customFormat="1"/>
    <row r="9073" s="65" customFormat="1"/>
    <row r="9074" s="65" customFormat="1"/>
    <row r="9075" s="65" customFormat="1"/>
    <row r="9076" s="65" customFormat="1"/>
    <row r="9077" s="65" customFormat="1"/>
    <row r="9078" s="65" customFormat="1"/>
    <row r="9079" s="65" customFormat="1"/>
    <row r="9080" s="65" customFormat="1"/>
    <row r="9081" s="65" customFormat="1"/>
    <row r="9082" s="65" customFormat="1"/>
    <row r="9083" s="65" customFormat="1"/>
    <row r="9084" s="65" customFormat="1"/>
    <row r="9085" s="65" customFormat="1"/>
    <row r="9086" s="65" customFormat="1"/>
    <row r="9087" s="65" customFormat="1"/>
    <row r="9088" s="65" customFormat="1"/>
    <row r="9089" s="65" customFormat="1"/>
    <row r="9090" s="65" customFormat="1"/>
    <row r="9091" s="65" customFormat="1"/>
    <row r="9092" s="65" customFormat="1"/>
    <row r="9093" s="65" customFormat="1"/>
    <row r="9094" s="65" customFormat="1"/>
    <row r="9095" s="65" customFormat="1"/>
    <row r="9096" s="65" customFormat="1"/>
    <row r="9097" s="65" customFormat="1"/>
    <row r="9098" s="65" customFormat="1"/>
    <row r="9099" s="65" customFormat="1"/>
    <row r="9100" s="65" customFormat="1"/>
    <row r="9101" s="65" customFormat="1"/>
    <row r="9102" s="65" customFormat="1"/>
    <row r="9103" s="65" customFormat="1"/>
    <row r="9104" s="65" customFormat="1"/>
    <row r="9105" s="65" customFormat="1"/>
    <row r="9106" s="65" customFormat="1"/>
    <row r="9107" s="65" customFormat="1"/>
    <row r="9108" s="65" customFormat="1"/>
    <row r="9109" s="65" customFormat="1"/>
    <row r="9110" s="65" customFormat="1"/>
    <row r="9111" s="65" customFormat="1"/>
    <row r="9112" s="65" customFormat="1"/>
    <row r="9113" s="65" customFormat="1"/>
    <row r="9114" s="65" customFormat="1"/>
    <row r="9115" s="65" customFormat="1"/>
    <row r="9116" s="65" customFormat="1"/>
    <row r="9117" s="65" customFormat="1"/>
    <row r="9118" s="65" customFormat="1"/>
    <row r="9119" s="65" customFormat="1"/>
    <row r="9120" s="65" customFormat="1"/>
    <row r="9121" s="65" customFormat="1"/>
    <row r="9122" s="65" customFormat="1"/>
    <row r="9123" s="65" customFormat="1"/>
    <row r="9124" s="65" customFormat="1"/>
    <row r="9125" s="65" customFormat="1"/>
    <row r="9126" s="65" customFormat="1"/>
    <row r="9127" s="65" customFormat="1"/>
    <row r="9128" s="65" customFormat="1"/>
    <row r="9129" s="65" customFormat="1"/>
    <row r="9130" s="65" customFormat="1"/>
    <row r="9131" s="65" customFormat="1"/>
    <row r="9132" s="65" customFormat="1"/>
    <row r="9133" s="65" customFormat="1"/>
    <row r="9134" s="65" customFormat="1"/>
    <row r="9135" s="65" customFormat="1"/>
    <row r="9136" s="65" customFormat="1"/>
    <row r="9137" s="65" customFormat="1"/>
    <row r="9138" s="65" customFormat="1"/>
    <row r="9139" s="65" customFormat="1"/>
    <row r="9140" s="65" customFormat="1"/>
    <row r="9141" s="65" customFormat="1"/>
    <row r="9142" s="65" customFormat="1"/>
    <row r="9143" s="65" customFormat="1"/>
    <row r="9144" s="65" customFormat="1"/>
    <row r="9145" s="65" customFormat="1"/>
    <row r="9146" s="65" customFormat="1"/>
    <row r="9147" s="65" customFormat="1"/>
    <row r="9148" s="65" customFormat="1"/>
    <row r="9149" s="65" customFormat="1"/>
    <row r="9150" s="65" customFormat="1"/>
    <row r="9151" s="65" customFormat="1"/>
    <row r="9152" s="65" customFormat="1"/>
    <row r="9153" s="65" customFormat="1"/>
    <row r="9154" s="65" customFormat="1"/>
    <row r="9155" s="65" customFormat="1"/>
    <row r="9156" s="65" customFormat="1"/>
    <row r="9157" s="65" customFormat="1"/>
    <row r="9158" s="65" customFormat="1"/>
    <row r="9159" s="65" customFormat="1"/>
    <row r="9160" s="65" customFormat="1"/>
    <row r="9161" s="65" customFormat="1"/>
    <row r="9162" s="65" customFormat="1"/>
    <row r="9163" s="65" customFormat="1"/>
    <row r="9164" s="65" customFormat="1"/>
    <row r="9165" s="65" customFormat="1"/>
    <row r="9166" s="65" customFormat="1"/>
    <row r="9167" s="65" customFormat="1"/>
    <row r="9168" s="65" customFormat="1"/>
    <row r="9169" s="65" customFormat="1"/>
    <row r="9170" s="65" customFormat="1"/>
    <row r="9171" s="65" customFormat="1"/>
    <row r="9172" s="65" customFormat="1"/>
    <row r="9173" s="65" customFormat="1"/>
    <row r="9174" s="65" customFormat="1"/>
    <row r="9175" s="65" customFormat="1"/>
    <row r="9176" s="65" customFormat="1"/>
    <row r="9177" s="65" customFormat="1"/>
    <row r="9178" s="65" customFormat="1"/>
    <row r="9179" s="65" customFormat="1"/>
    <row r="9180" s="65" customFormat="1"/>
    <row r="9181" s="65" customFormat="1"/>
    <row r="9182" s="65" customFormat="1"/>
    <row r="9183" s="65" customFormat="1"/>
    <row r="9184" s="65" customFormat="1"/>
    <row r="9185" s="65" customFormat="1"/>
    <row r="9186" s="65" customFormat="1"/>
    <row r="9187" s="65" customFormat="1"/>
    <row r="9188" s="65" customFormat="1"/>
    <row r="9189" s="65" customFormat="1"/>
    <row r="9190" s="65" customFormat="1"/>
    <row r="9191" s="65" customFormat="1"/>
    <row r="9192" s="65" customFormat="1"/>
    <row r="9193" s="65" customFormat="1"/>
    <row r="9194" s="65" customFormat="1"/>
    <row r="9195" s="65" customFormat="1"/>
    <row r="9196" s="65" customFormat="1"/>
    <row r="9197" s="65" customFormat="1"/>
    <row r="9198" s="65" customFormat="1"/>
    <row r="9199" s="65" customFormat="1"/>
    <row r="9200" s="65" customFormat="1"/>
    <row r="9201" s="65" customFormat="1"/>
    <row r="9202" s="65" customFormat="1"/>
    <row r="9203" s="65" customFormat="1"/>
    <row r="9204" s="65" customFormat="1"/>
    <row r="9205" s="65" customFormat="1"/>
    <row r="9206" s="65" customFormat="1"/>
    <row r="9207" s="65" customFormat="1"/>
    <row r="9208" s="65" customFormat="1"/>
    <row r="9209" s="65" customFormat="1"/>
    <row r="9210" s="65" customFormat="1"/>
    <row r="9211" s="65" customFormat="1"/>
    <row r="9212" s="65" customFormat="1"/>
    <row r="9213" s="65" customFormat="1"/>
    <row r="9214" s="65" customFormat="1"/>
    <row r="9215" s="65" customFormat="1"/>
    <row r="9216" s="65" customFormat="1"/>
    <row r="9217" s="65" customFormat="1"/>
    <row r="9218" s="65" customFormat="1"/>
    <row r="9219" s="65" customFormat="1"/>
    <row r="9220" s="65" customFormat="1"/>
    <row r="9221" s="65" customFormat="1"/>
    <row r="9222" s="65" customFormat="1"/>
    <row r="9223" s="65" customFormat="1"/>
    <row r="9224" s="65" customFormat="1"/>
    <row r="9225" s="65" customFormat="1"/>
    <row r="9226" s="65" customFormat="1"/>
    <row r="9227" s="65" customFormat="1"/>
    <row r="9228" s="65" customFormat="1"/>
    <row r="9229" s="65" customFormat="1"/>
    <row r="9230" s="65" customFormat="1"/>
    <row r="9231" s="65" customFormat="1"/>
    <row r="9232" s="65" customFormat="1"/>
    <row r="9233" s="65" customFormat="1"/>
    <row r="9234" s="65" customFormat="1"/>
    <row r="9235" s="65" customFormat="1"/>
    <row r="9236" s="65" customFormat="1"/>
    <row r="9237" s="65" customFormat="1"/>
    <row r="9238" s="65" customFormat="1"/>
    <row r="9239" s="65" customFormat="1"/>
    <row r="9240" s="65" customFormat="1"/>
    <row r="9241" s="65" customFormat="1"/>
    <row r="9242" s="65" customFormat="1"/>
    <row r="9243" s="65" customFormat="1"/>
    <row r="9244" s="65" customFormat="1"/>
    <row r="9245" s="65" customFormat="1"/>
    <row r="9246" s="65" customFormat="1"/>
    <row r="9247" s="65" customFormat="1"/>
    <row r="9248" s="65" customFormat="1"/>
    <row r="9249" s="65" customFormat="1"/>
    <row r="9250" s="65" customFormat="1"/>
    <row r="9251" s="65" customFormat="1"/>
    <row r="9252" s="65" customFormat="1"/>
    <row r="9253" s="65" customFormat="1"/>
    <row r="9254" s="65" customFormat="1"/>
    <row r="9255" s="65" customFormat="1"/>
    <row r="9256" s="65" customFormat="1"/>
    <row r="9257" s="65" customFormat="1"/>
    <row r="9258" s="65" customFormat="1"/>
    <row r="9259" s="65" customFormat="1"/>
    <row r="9260" s="65" customFormat="1"/>
    <row r="9261" s="65" customFormat="1"/>
    <row r="9262" s="65" customFormat="1"/>
    <row r="9263" s="65" customFormat="1"/>
    <row r="9264" s="65" customFormat="1"/>
    <row r="9265" s="65" customFormat="1"/>
    <row r="9266" s="65" customFormat="1"/>
    <row r="9267" s="65" customFormat="1"/>
    <row r="9268" s="65" customFormat="1"/>
    <row r="9269" s="65" customFormat="1"/>
    <row r="9270" s="65" customFormat="1"/>
    <row r="9271" s="65" customFormat="1"/>
    <row r="9272" s="65" customFormat="1"/>
    <row r="9273" s="65" customFormat="1"/>
    <row r="9274" s="65" customFormat="1"/>
    <row r="9275" s="65" customFormat="1"/>
    <row r="9276" s="65" customFormat="1"/>
    <row r="9277" s="65" customFormat="1"/>
    <row r="9278" s="65" customFormat="1"/>
    <row r="9279" s="65" customFormat="1"/>
    <row r="9280" s="65" customFormat="1"/>
    <row r="9281" s="65" customFormat="1"/>
    <row r="9282" s="65" customFormat="1"/>
    <row r="9283" s="65" customFormat="1"/>
    <row r="9284" s="65" customFormat="1"/>
    <row r="9285" s="65" customFormat="1"/>
    <row r="9286" s="65" customFormat="1"/>
    <row r="9287" s="65" customFormat="1"/>
    <row r="9288" s="65" customFormat="1"/>
    <row r="9289" s="65" customFormat="1"/>
    <row r="9290" s="65" customFormat="1"/>
    <row r="9291" s="65" customFormat="1"/>
    <row r="9292" s="65" customFormat="1"/>
    <row r="9293" s="65" customFormat="1"/>
    <row r="9294" s="65" customFormat="1"/>
    <row r="9295" s="65" customFormat="1"/>
    <row r="9296" s="65" customFormat="1"/>
    <row r="9297" s="65" customFormat="1"/>
    <row r="9298" s="65" customFormat="1"/>
    <row r="9299" s="65" customFormat="1"/>
    <row r="9300" s="65" customFormat="1"/>
    <row r="9301" s="65" customFormat="1"/>
    <row r="9302" s="65" customFormat="1"/>
    <row r="9303" s="65" customFormat="1"/>
    <row r="9304" s="65" customFormat="1"/>
    <row r="9305" s="65" customFormat="1"/>
    <row r="9306" s="65" customFormat="1"/>
    <row r="9307" s="65" customFormat="1"/>
    <row r="9308" s="65" customFormat="1"/>
    <row r="9309" s="65" customFormat="1"/>
    <row r="9310" s="65" customFormat="1"/>
    <row r="9311" s="65" customFormat="1"/>
    <row r="9312" s="65" customFormat="1"/>
    <row r="9313" s="65" customFormat="1"/>
    <row r="9314" s="65" customFormat="1"/>
    <row r="9315" s="65" customFormat="1"/>
    <row r="9316" s="65" customFormat="1"/>
    <row r="9317" s="65" customFormat="1"/>
    <row r="9318" s="65" customFormat="1"/>
    <row r="9319" s="65" customFormat="1"/>
    <row r="9320" s="65" customFormat="1"/>
    <row r="9321" s="65" customFormat="1"/>
    <row r="9322" s="65" customFormat="1"/>
    <row r="9323" s="65" customFormat="1"/>
    <row r="9324" s="65" customFormat="1"/>
    <row r="9325" s="65" customFormat="1"/>
    <row r="9326" s="65" customFormat="1"/>
    <row r="9327" s="65" customFormat="1"/>
    <row r="9328" s="65" customFormat="1"/>
    <row r="9329" s="65" customFormat="1"/>
    <row r="9330" s="65" customFormat="1"/>
    <row r="9331" s="65" customFormat="1"/>
    <row r="9332" s="65" customFormat="1"/>
    <row r="9333" s="65" customFormat="1"/>
    <row r="9334" s="65" customFormat="1"/>
    <row r="9335" s="65" customFormat="1"/>
    <row r="9336" s="65" customFormat="1"/>
    <row r="9337" s="65" customFormat="1"/>
    <row r="9338" s="65" customFormat="1"/>
    <row r="9339" s="65" customFormat="1"/>
    <row r="9340" s="65" customFormat="1"/>
    <row r="9341" s="65" customFormat="1"/>
    <row r="9342" s="65" customFormat="1"/>
    <row r="9343" s="65" customFormat="1"/>
    <row r="9344" s="65" customFormat="1"/>
    <row r="9345" s="65" customFormat="1"/>
    <row r="9346" s="65" customFormat="1"/>
    <row r="9347" s="65" customFormat="1"/>
    <row r="9348" s="65" customFormat="1"/>
    <row r="9349" s="65" customFormat="1"/>
    <row r="9350" s="65" customFormat="1"/>
    <row r="9351" s="65" customFormat="1"/>
    <row r="9352" s="65" customFormat="1"/>
    <row r="9353" s="65" customFormat="1"/>
    <row r="9354" s="65" customFormat="1"/>
    <row r="9355" s="65" customFormat="1"/>
    <row r="9356" s="65" customFormat="1"/>
    <row r="9357" s="65" customFormat="1"/>
    <row r="9358" s="65" customFormat="1"/>
    <row r="9359" s="65" customFormat="1"/>
    <row r="9360" s="65" customFormat="1"/>
    <row r="9361" s="65" customFormat="1"/>
    <row r="9362" s="65" customFormat="1"/>
    <row r="9363" s="65" customFormat="1"/>
    <row r="9364" s="65" customFormat="1"/>
    <row r="9365" s="65" customFormat="1"/>
    <row r="9366" s="65" customFormat="1"/>
    <row r="9367" s="65" customFormat="1"/>
    <row r="9368" s="65" customFormat="1"/>
    <row r="9369" s="65" customFormat="1"/>
    <row r="9370" s="65" customFormat="1"/>
    <row r="9371" s="65" customFormat="1"/>
    <row r="9372" s="65" customFormat="1"/>
    <row r="9373" s="65" customFormat="1"/>
    <row r="9374" s="65" customFormat="1"/>
    <row r="9375" s="65" customFormat="1"/>
    <row r="9376" s="65" customFormat="1"/>
    <row r="9377" s="65" customFormat="1"/>
    <row r="9378" s="65" customFormat="1"/>
    <row r="9379" s="65" customFormat="1"/>
    <row r="9380" s="65" customFormat="1"/>
    <row r="9381" s="65" customFormat="1"/>
    <row r="9382" s="65" customFormat="1"/>
    <row r="9383" s="65" customFormat="1"/>
    <row r="9384" s="65" customFormat="1"/>
    <row r="9385" s="65" customFormat="1"/>
    <row r="9386" s="65" customFormat="1"/>
    <row r="9387" s="65" customFormat="1"/>
    <row r="9388" s="65" customFormat="1"/>
    <row r="9389" s="65" customFormat="1"/>
    <row r="9390" s="65" customFormat="1"/>
    <row r="9391" s="65" customFormat="1"/>
    <row r="9392" s="65" customFormat="1"/>
    <row r="9393" s="65" customFormat="1"/>
    <row r="9394" s="65" customFormat="1"/>
    <row r="9395" s="65" customFormat="1"/>
    <row r="9396" s="65" customFormat="1"/>
    <row r="9397" s="65" customFormat="1"/>
    <row r="9398" s="65" customFormat="1"/>
    <row r="9399" s="65" customFormat="1"/>
    <row r="9400" s="65" customFormat="1"/>
    <row r="9401" s="65" customFormat="1"/>
    <row r="9402" s="65" customFormat="1"/>
    <row r="9403" s="65" customFormat="1"/>
    <row r="9404" s="65" customFormat="1"/>
    <row r="9405" s="65" customFormat="1"/>
    <row r="9406" s="65" customFormat="1"/>
    <row r="9407" s="65" customFormat="1"/>
    <row r="9408" s="65" customFormat="1"/>
    <row r="9409" s="65" customFormat="1"/>
    <row r="9410" s="65" customFormat="1"/>
    <row r="9411" s="65" customFormat="1"/>
    <row r="9412" s="65" customFormat="1"/>
    <row r="9413" s="65" customFormat="1"/>
    <row r="9414" s="65" customFormat="1"/>
    <row r="9415" s="65" customFormat="1"/>
    <row r="9416" s="65" customFormat="1"/>
    <row r="9417" s="65" customFormat="1"/>
    <row r="9418" s="65" customFormat="1"/>
    <row r="9419" s="65" customFormat="1"/>
    <row r="9420" s="65" customFormat="1"/>
    <row r="9421" s="65" customFormat="1"/>
    <row r="9422" s="65" customFormat="1"/>
    <row r="9423" s="65" customFormat="1"/>
    <row r="9424" s="65" customFormat="1"/>
    <row r="9425" s="65" customFormat="1"/>
    <row r="9426" s="65" customFormat="1"/>
    <row r="9427" s="65" customFormat="1"/>
    <row r="9428" s="65" customFormat="1"/>
    <row r="9429" s="65" customFormat="1"/>
    <row r="9430" s="65" customFormat="1"/>
    <row r="9431" s="65" customFormat="1"/>
    <row r="9432" s="65" customFormat="1"/>
    <row r="9433" s="65" customFormat="1"/>
    <row r="9434" s="65" customFormat="1"/>
    <row r="9435" s="65" customFormat="1"/>
    <row r="9436" s="65" customFormat="1"/>
    <row r="9437" s="65" customFormat="1"/>
    <row r="9438" s="65" customFormat="1"/>
    <row r="9439" s="65" customFormat="1"/>
    <row r="9440" s="65" customFormat="1"/>
    <row r="9441" s="65" customFormat="1"/>
    <row r="9442" s="65" customFormat="1"/>
    <row r="9443" s="65" customFormat="1"/>
    <row r="9444" s="65" customFormat="1"/>
    <row r="9445" s="65" customFormat="1"/>
    <row r="9446" s="65" customFormat="1"/>
    <row r="9447" s="65" customFormat="1"/>
    <row r="9448" s="65" customFormat="1"/>
    <row r="9449" s="65" customFormat="1"/>
    <row r="9450" s="65" customFormat="1"/>
    <row r="9451" s="65" customFormat="1"/>
    <row r="9452" s="65" customFormat="1"/>
    <row r="9453" s="65" customFormat="1"/>
    <row r="9454" s="65" customFormat="1"/>
    <row r="9455" s="65" customFormat="1"/>
    <row r="9456" s="65" customFormat="1"/>
    <row r="9457" s="65" customFormat="1"/>
    <row r="9458" s="65" customFormat="1"/>
    <row r="9459" s="65" customFormat="1"/>
    <row r="9460" s="65" customFormat="1"/>
    <row r="9461" s="65" customFormat="1"/>
    <row r="9462" s="65" customFormat="1"/>
    <row r="9463" s="65" customFormat="1"/>
    <row r="9464" s="65" customFormat="1"/>
    <row r="9465" s="65" customFormat="1"/>
    <row r="9466" s="65" customFormat="1"/>
    <row r="9467" s="65" customFormat="1"/>
    <row r="9468" s="65" customFormat="1"/>
    <row r="9469" s="65" customFormat="1"/>
    <row r="9470" s="65" customFormat="1"/>
    <row r="9471" s="65" customFormat="1"/>
    <row r="9472" s="65" customFormat="1"/>
    <row r="9473" s="65" customFormat="1"/>
    <row r="9474" s="65" customFormat="1"/>
    <row r="9475" s="65" customFormat="1"/>
    <row r="9476" s="65" customFormat="1"/>
    <row r="9477" s="65" customFormat="1"/>
    <row r="9478" s="65" customFormat="1"/>
    <row r="9479" s="65" customFormat="1"/>
    <row r="9480" s="65" customFormat="1"/>
    <row r="9481" s="65" customFormat="1"/>
    <row r="9482" s="65" customFormat="1"/>
    <row r="9483" s="65" customFormat="1"/>
    <row r="9484" s="65" customFormat="1"/>
    <row r="9485" s="65" customFormat="1"/>
    <row r="9486" s="65" customFormat="1"/>
    <row r="9487" s="65" customFormat="1"/>
    <row r="9488" s="65" customFormat="1"/>
    <row r="9489" s="65" customFormat="1"/>
    <row r="9490" s="65" customFormat="1"/>
    <row r="9491" s="65" customFormat="1"/>
    <row r="9492" s="65" customFormat="1"/>
    <row r="9493" s="65" customFormat="1"/>
    <row r="9494" s="65" customFormat="1"/>
    <row r="9495" s="65" customFormat="1"/>
    <row r="9496" s="65" customFormat="1"/>
    <row r="9497" s="65" customFormat="1"/>
    <row r="9498" s="65" customFormat="1"/>
    <row r="9499" s="65" customFormat="1"/>
    <row r="9500" s="65" customFormat="1"/>
    <row r="9501" s="65" customFormat="1"/>
    <row r="9502" s="65" customFormat="1"/>
    <row r="9503" s="65" customFormat="1"/>
    <row r="9504" s="65" customFormat="1"/>
    <row r="9505" s="65" customFormat="1"/>
    <row r="9506" s="65" customFormat="1"/>
    <row r="9507" s="65" customFormat="1"/>
    <row r="9508" s="65" customFormat="1"/>
    <row r="9509" s="65" customFormat="1"/>
    <row r="9510" s="65" customFormat="1"/>
    <row r="9511" s="65" customFormat="1"/>
    <row r="9512" s="65" customFormat="1"/>
    <row r="9513" s="65" customFormat="1"/>
    <row r="9514" s="65" customFormat="1"/>
    <row r="9515" s="65" customFormat="1"/>
    <row r="9516" s="65" customFormat="1"/>
    <row r="9517" s="65" customFormat="1"/>
    <row r="9518" s="65" customFormat="1"/>
    <row r="9519" s="65" customFormat="1"/>
    <row r="9520" s="65" customFormat="1"/>
    <row r="9521" s="65" customFormat="1"/>
    <row r="9522" s="65" customFormat="1"/>
    <row r="9523" s="65" customFormat="1"/>
    <row r="9524" s="65" customFormat="1"/>
    <row r="9525" s="65" customFormat="1"/>
    <row r="9526" s="65" customFormat="1"/>
    <row r="9527" s="65" customFormat="1"/>
    <row r="9528" s="65" customFormat="1"/>
    <row r="9529" s="65" customFormat="1"/>
    <row r="9530" s="65" customFormat="1"/>
    <row r="9531" s="65" customFormat="1"/>
    <row r="9532" s="65" customFormat="1"/>
    <row r="9533" s="65" customFormat="1"/>
    <row r="9534" s="65" customFormat="1"/>
    <row r="9535" s="65" customFormat="1"/>
    <row r="9536" s="65" customFormat="1"/>
    <row r="9537" s="65" customFormat="1"/>
    <row r="9538" s="65" customFormat="1"/>
    <row r="9539" s="65" customFormat="1"/>
    <row r="9540" s="65" customFormat="1"/>
    <row r="9541" s="65" customFormat="1"/>
    <row r="9542" s="65" customFormat="1"/>
    <row r="9543" s="65" customFormat="1"/>
    <row r="9544" s="65" customFormat="1"/>
    <row r="9545" s="65" customFormat="1"/>
    <row r="9546" s="65" customFormat="1"/>
    <row r="9547" s="65" customFormat="1"/>
    <row r="9548" s="65" customFormat="1"/>
    <row r="9549" s="65" customFormat="1"/>
    <row r="9550" s="65" customFormat="1"/>
    <row r="9551" s="65" customFormat="1"/>
    <row r="9552" s="65" customFormat="1"/>
    <row r="9553" s="65" customFormat="1"/>
    <row r="9554" s="65" customFormat="1"/>
    <row r="9555" s="65" customFormat="1"/>
    <row r="9556" s="65" customFormat="1"/>
    <row r="9557" s="65" customFormat="1"/>
    <row r="9558" s="65" customFormat="1"/>
    <row r="9559" s="65" customFormat="1"/>
    <row r="9560" s="65" customFormat="1"/>
    <row r="9561" s="65" customFormat="1"/>
    <row r="9562" s="65" customFormat="1"/>
    <row r="9563" s="65" customFormat="1"/>
    <row r="9564" s="65" customFormat="1"/>
    <row r="9565" s="65" customFormat="1"/>
    <row r="9566" s="65" customFormat="1"/>
    <row r="9567" s="65" customFormat="1"/>
    <row r="9568" s="65" customFormat="1"/>
    <row r="9569" s="65" customFormat="1"/>
    <row r="9570" s="65" customFormat="1"/>
    <row r="9571" s="65" customFormat="1"/>
    <row r="9572" s="65" customFormat="1"/>
    <row r="9573" s="65" customFormat="1"/>
    <row r="9574" s="65" customFormat="1"/>
    <row r="9575" s="65" customFormat="1"/>
    <row r="9576" s="65" customFormat="1"/>
    <row r="9577" s="65" customFormat="1"/>
    <row r="9578" s="65" customFormat="1"/>
    <row r="9579" s="65" customFormat="1"/>
    <row r="9580" s="65" customFormat="1"/>
    <row r="9581" s="65" customFormat="1"/>
    <row r="9582" s="65" customFormat="1"/>
    <row r="9583" s="65" customFormat="1"/>
    <row r="9584" s="65" customFormat="1"/>
    <row r="9585" s="65" customFormat="1"/>
    <row r="9586" s="65" customFormat="1"/>
    <row r="9587" s="65" customFormat="1"/>
    <row r="9588" s="65" customFormat="1"/>
    <row r="9589" s="65" customFormat="1"/>
    <row r="9590" s="65" customFormat="1"/>
    <row r="9591" s="65" customFormat="1"/>
    <row r="9592" s="65" customFormat="1"/>
    <row r="9593" s="65" customFormat="1"/>
    <row r="9594" s="65" customFormat="1"/>
    <row r="9595" s="65" customFormat="1"/>
    <row r="9596" s="65" customFormat="1"/>
    <row r="9597" s="65" customFormat="1"/>
    <row r="9598" s="65" customFormat="1"/>
    <row r="9599" s="65" customFormat="1"/>
    <row r="9600" s="65" customFormat="1"/>
    <row r="9601" s="65" customFormat="1"/>
    <row r="9602" s="65" customFormat="1"/>
    <row r="9603" s="65" customFormat="1"/>
    <row r="9604" s="65" customFormat="1"/>
    <row r="9605" s="65" customFormat="1"/>
    <row r="9606" s="65" customFormat="1"/>
    <row r="9607" s="65" customFormat="1"/>
    <row r="9608" s="65" customFormat="1"/>
    <row r="9609" s="65" customFormat="1"/>
    <row r="9610" s="65" customFormat="1"/>
    <row r="9611" s="65" customFormat="1"/>
    <row r="9612" s="65" customFormat="1"/>
    <row r="9613" s="65" customFormat="1"/>
    <row r="9614" s="65" customFormat="1"/>
    <row r="9615" s="65" customFormat="1"/>
    <row r="9616" s="65" customFormat="1"/>
    <row r="9617" s="65" customFormat="1"/>
    <row r="9618" s="65" customFormat="1"/>
    <row r="9619" s="65" customFormat="1"/>
    <row r="9620" s="65" customFormat="1"/>
    <row r="9621" s="65" customFormat="1"/>
    <row r="9622" s="65" customFormat="1"/>
    <row r="9623" s="65" customFormat="1"/>
    <row r="9624" s="65" customFormat="1"/>
    <row r="9625" s="65" customFormat="1"/>
    <row r="9626" s="65" customFormat="1"/>
    <row r="9627" s="65" customFormat="1"/>
    <row r="9628" s="65" customFormat="1"/>
    <row r="9629" s="65" customFormat="1"/>
    <row r="9630" s="65" customFormat="1"/>
    <row r="9631" s="65" customFormat="1"/>
    <row r="9632" s="65" customFormat="1"/>
    <row r="9633" s="65" customFormat="1"/>
    <row r="9634" s="65" customFormat="1"/>
    <row r="9635" s="65" customFormat="1"/>
    <row r="9636" s="65" customFormat="1"/>
    <row r="9637" s="65" customFormat="1"/>
    <row r="9638" s="65" customFormat="1"/>
    <row r="9639" s="65" customFormat="1"/>
    <row r="9640" s="65" customFormat="1"/>
    <row r="9641" s="65" customFormat="1"/>
    <row r="9642" s="65" customFormat="1"/>
    <row r="9643" s="65" customFormat="1"/>
    <row r="9644" s="65" customFormat="1"/>
    <row r="9645" s="65" customFormat="1"/>
    <row r="9646" s="65" customFormat="1"/>
    <row r="9647" s="65" customFormat="1"/>
    <row r="9648" s="65" customFormat="1"/>
    <row r="9649" s="65" customFormat="1"/>
    <row r="9650" s="65" customFormat="1"/>
    <row r="9651" s="65" customFormat="1"/>
    <row r="9652" s="65" customFormat="1"/>
    <row r="9653" s="65" customFormat="1"/>
    <row r="9654" s="65" customFormat="1"/>
    <row r="9655" s="65" customFormat="1"/>
    <row r="9656" s="65" customFormat="1"/>
    <row r="9657" s="65" customFormat="1"/>
    <row r="9658" s="65" customFormat="1"/>
    <row r="9659" s="65" customFormat="1"/>
    <row r="9660" s="65" customFormat="1"/>
    <row r="9661" s="65" customFormat="1"/>
    <row r="9662" s="65" customFormat="1"/>
    <row r="9663" s="65" customFormat="1"/>
    <row r="9664" s="65" customFormat="1"/>
    <row r="9665" s="65" customFormat="1"/>
    <row r="9666" s="65" customFormat="1"/>
    <row r="9667" s="65" customFormat="1"/>
    <row r="9668" s="65" customFormat="1"/>
    <row r="9669" s="65" customFormat="1"/>
    <row r="9670" s="65" customFormat="1"/>
    <row r="9671" s="65" customFormat="1"/>
    <row r="9672" s="65" customFormat="1"/>
    <row r="9673" s="65" customFormat="1"/>
    <row r="9674" s="65" customFormat="1"/>
    <row r="9675" s="65" customFormat="1"/>
    <row r="9676" s="65" customFormat="1"/>
    <row r="9677" s="65" customFormat="1"/>
    <row r="9678" s="65" customFormat="1"/>
    <row r="9679" s="65" customFormat="1"/>
    <row r="9680" s="65" customFormat="1"/>
    <row r="9681" s="65" customFormat="1"/>
    <row r="9682" s="65" customFormat="1"/>
    <row r="9683" s="65" customFormat="1"/>
    <row r="9684" s="65" customFormat="1"/>
    <row r="9685" s="65" customFormat="1"/>
    <row r="9686" s="65" customFormat="1"/>
    <row r="9687" s="65" customFormat="1"/>
    <row r="9688" s="65" customFormat="1"/>
    <row r="9689" s="65" customFormat="1"/>
    <row r="9690" s="65" customFormat="1"/>
    <row r="9691" s="65" customFormat="1"/>
    <row r="9692" s="65" customFormat="1"/>
    <row r="9693" s="65" customFormat="1"/>
    <row r="9694" s="65" customFormat="1"/>
    <row r="9695" s="65" customFormat="1"/>
    <row r="9696" s="65" customFormat="1"/>
    <row r="9697" s="65" customFormat="1"/>
    <row r="9698" s="65" customFormat="1"/>
    <row r="9699" s="65" customFormat="1"/>
    <row r="9700" s="65" customFormat="1"/>
    <row r="9701" s="65" customFormat="1"/>
    <row r="9702" s="65" customFormat="1"/>
    <row r="9703" s="65" customFormat="1"/>
    <row r="9704" s="65" customFormat="1"/>
    <row r="9705" s="65" customFormat="1"/>
    <row r="9706" s="65" customFormat="1"/>
    <row r="9707" s="65" customFormat="1"/>
    <row r="9708" s="65" customFormat="1"/>
    <row r="9709" s="65" customFormat="1"/>
    <row r="9710" s="65" customFormat="1"/>
    <row r="9711" s="65" customFormat="1"/>
    <row r="9712" s="65" customFormat="1"/>
    <row r="9713" s="65" customFormat="1"/>
    <row r="9714" s="65" customFormat="1"/>
    <row r="9715" s="65" customFormat="1"/>
    <row r="9716" s="65" customFormat="1"/>
    <row r="9717" s="65" customFormat="1"/>
    <row r="9718" s="65" customFormat="1"/>
    <row r="9719" s="65" customFormat="1"/>
    <row r="9720" s="65" customFormat="1"/>
    <row r="9721" s="65" customFormat="1"/>
    <row r="9722" s="65" customFormat="1"/>
    <row r="9723" s="65" customFormat="1"/>
    <row r="9724" s="65" customFormat="1"/>
    <row r="9725" s="65" customFormat="1"/>
    <row r="9726" s="65" customFormat="1"/>
    <row r="9727" s="65" customFormat="1"/>
    <row r="9728" s="65" customFormat="1"/>
    <row r="9729" s="65" customFormat="1"/>
    <row r="9730" s="65" customFormat="1"/>
    <row r="9731" s="65" customFormat="1"/>
    <row r="9732" s="65" customFormat="1"/>
    <row r="9733" s="65" customFormat="1"/>
    <row r="9734" s="65" customFormat="1"/>
    <row r="9735" s="65" customFormat="1"/>
    <row r="9736" s="65" customFormat="1"/>
    <row r="9737" s="65" customFormat="1"/>
    <row r="9738" s="65" customFormat="1"/>
    <row r="9739" s="65" customFormat="1"/>
    <row r="9740" s="65" customFormat="1"/>
    <row r="9741" s="65" customFormat="1"/>
    <row r="9742" s="65" customFormat="1"/>
    <row r="9743" s="65" customFormat="1"/>
    <row r="9744" s="65" customFormat="1"/>
    <row r="9745" s="65" customFormat="1"/>
    <row r="9746" s="65" customFormat="1"/>
    <row r="9747" s="65" customFormat="1"/>
    <row r="9748" s="65" customFormat="1"/>
    <row r="9749" s="65" customFormat="1"/>
    <row r="9750" s="65" customFormat="1"/>
    <row r="9751" s="65" customFormat="1"/>
    <row r="9752" s="65" customFormat="1"/>
    <row r="9753" s="65" customFormat="1"/>
    <row r="9754" s="65" customFormat="1"/>
    <row r="9755" s="65" customFormat="1"/>
    <row r="9756" s="65" customFormat="1"/>
    <row r="9757" s="65" customFormat="1"/>
    <row r="9758" s="65" customFormat="1"/>
    <row r="9759" s="65" customFormat="1"/>
    <row r="9760" s="65" customFormat="1"/>
    <row r="9761" s="65" customFormat="1"/>
    <row r="9762" s="65" customFormat="1"/>
    <row r="9763" s="65" customFormat="1"/>
    <row r="9764" s="65" customFormat="1"/>
    <row r="9765" s="65" customFormat="1"/>
    <row r="9766" s="65" customFormat="1"/>
    <row r="9767" s="65" customFormat="1"/>
    <row r="9768" s="65" customFormat="1"/>
    <row r="9769" s="65" customFormat="1"/>
    <row r="9770" s="65" customFormat="1"/>
    <row r="9771" s="65" customFormat="1"/>
    <row r="9772" s="65" customFormat="1"/>
    <row r="9773" s="65" customFormat="1"/>
    <row r="9774" s="65" customFormat="1"/>
    <row r="9775" s="65" customFormat="1"/>
    <row r="9776" s="65" customFormat="1"/>
    <row r="9777" s="65" customFormat="1"/>
    <row r="9778" s="65" customFormat="1"/>
    <row r="9779" s="65" customFormat="1"/>
    <row r="9780" s="65" customFormat="1"/>
    <row r="9781" s="65" customFormat="1"/>
    <row r="9782" s="65" customFormat="1"/>
    <row r="9783" s="65" customFormat="1"/>
    <row r="9784" s="65" customFormat="1"/>
    <row r="9785" s="65" customFormat="1"/>
    <row r="9786" s="65" customFormat="1"/>
    <row r="9787" s="65" customFormat="1"/>
    <row r="9788" s="65" customFormat="1"/>
    <row r="9789" s="65" customFormat="1"/>
    <row r="9790" s="65" customFormat="1"/>
    <row r="9791" s="65" customFormat="1"/>
    <row r="9792" s="65" customFormat="1"/>
    <row r="9793" s="65" customFormat="1"/>
    <row r="9794" s="65" customFormat="1"/>
    <row r="9795" s="65" customFormat="1"/>
    <row r="9796" s="65" customFormat="1"/>
    <row r="9797" s="65" customFormat="1"/>
    <row r="9798" s="65" customFormat="1"/>
    <row r="9799" s="65" customFormat="1"/>
    <row r="9800" s="65" customFormat="1"/>
    <row r="9801" s="65" customFormat="1"/>
    <row r="9802" s="65" customFormat="1"/>
    <row r="9803" s="65" customFormat="1"/>
    <row r="9804" s="65" customFormat="1"/>
    <row r="9805" s="65" customFormat="1"/>
    <row r="9806" s="65" customFormat="1"/>
    <row r="9807" s="65" customFormat="1"/>
    <row r="9808" s="65" customFormat="1"/>
    <row r="9809" s="65" customFormat="1"/>
    <row r="9810" s="65" customFormat="1"/>
    <row r="9811" s="65" customFormat="1"/>
    <row r="9812" s="65" customFormat="1"/>
    <row r="9813" s="65" customFormat="1"/>
    <row r="9814" s="65" customFormat="1"/>
    <row r="9815" s="65" customFormat="1"/>
    <row r="9816" s="65" customFormat="1"/>
    <row r="9817" s="65" customFormat="1"/>
    <row r="9818" s="65" customFormat="1"/>
    <row r="9819" s="65" customFormat="1"/>
    <row r="9820" s="65" customFormat="1"/>
    <row r="9821" s="65" customFormat="1"/>
    <row r="9822" s="65" customFormat="1"/>
    <row r="9823" s="65" customFormat="1"/>
    <row r="9824" s="65" customFormat="1"/>
    <row r="9825" s="65" customFormat="1"/>
    <row r="9826" s="65" customFormat="1"/>
    <row r="9827" s="65" customFormat="1"/>
    <row r="9828" s="65" customFormat="1"/>
    <row r="9829" s="65" customFormat="1"/>
    <row r="9830" s="65" customFormat="1"/>
    <row r="9831" s="65" customFormat="1"/>
    <row r="9832" s="65" customFormat="1"/>
    <row r="9833" s="65" customFormat="1"/>
    <row r="9834" s="65" customFormat="1"/>
    <row r="9835" s="65" customFormat="1"/>
    <row r="9836" s="65" customFormat="1"/>
    <row r="9837" s="65" customFormat="1"/>
    <row r="9838" s="65" customFormat="1"/>
    <row r="9839" s="65" customFormat="1"/>
    <row r="9840" s="65" customFormat="1"/>
    <row r="9841" s="65" customFormat="1"/>
    <row r="9842" s="65" customFormat="1"/>
    <row r="9843" s="65" customFormat="1"/>
    <row r="9844" s="65" customFormat="1"/>
    <row r="9845" s="65" customFormat="1"/>
    <row r="9846" s="65" customFormat="1"/>
    <row r="9847" s="65" customFormat="1"/>
    <row r="9848" s="65" customFormat="1"/>
    <row r="9849" s="65" customFormat="1"/>
    <row r="9850" s="65" customFormat="1"/>
    <row r="9851" s="65" customFormat="1"/>
    <row r="9852" s="65" customFormat="1"/>
    <row r="9853" s="65" customFormat="1"/>
    <row r="9854" s="65" customFormat="1"/>
    <row r="9855" s="65" customFormat="1"/>
    <row r="9856" s="65" customFormat="1"/>
    <row r="9857" s="65" customFormat="1"/>
    <row r="9858" s="65" customFormat="1"/>
    <row r="9859" s="65" customFormat="1"/>
    <row r="9860" s="65" customFormat="1"/>
    <row r="9861" s="65" customFormat="1"/>
    <row r="9862" s="65" customFormat="1"/>
    <row r="9863" s="65" customFormat="1"/>
    <row r="9864" s="65" customFormat="1"/>
    <row r="9865" s="65" customFormat="1"/>
    <row r="9866" s="65" customFormat="1"/>
    <row r="9867" s="65" customFormat="1"/>
    <row r="9868" s="65" customFormat="1"/>
    <row r="9869" s="65" customFormat="1"/>
    <row r="9870" s="65" customFormat="1"/>
    <row r="9871" s="65" customFormat="1"/>
    <row r="9872" s="65" customFormat="1"/>
    <row r="9873" s="65" customFormat="1"/>
    <row r="9874" s="65" customFormat="1"/>
    <row r="9875" s="65" customFormat="1"/>
    <row r="9876" s="65" customFormat="1"/>
    <row r="9877" s="65" customFormat="1"/>
    <row r="9878" s="65" customFormat="1"/>
    <row r="9879" s="65" customFormat="1"/>
    <row r="9880" s="65" customFormat="1"/>
    <row r="9881" s="65" customFormat="1"/>
    <row r="9882" s="65" customFormat="1"/>
    <row r="9883" s="65" customFormat="1"/>
    <row r="9884" s="65" customFormat="1"/>
    <row r="9885" s="65" customFormat="1"/>
    <row r="9886" s="65" customFormat="1"/>
    <row r="9887" s="65" customFormat="1"/>
    <row r="9888" s="65" customFormat="1"/>
    <row r="9889" s="65" customFormat="1"/>
    <row r="9890" s="65" customFormat="1"/>
    <row r="9891" s="65" customFormat="1"/>
    <row r="9892" s="65" customFormat="1"/>
    <row r="9893" s="65" customFormat="1"/>
    <row r="9894" s="65" customFormat="1"/>
    <row r="9895" s="65" customFormat="1"/>
    <row r="9896" s="65" customFormat="1"/>
    <row r="9897" s="65" customFormat="1"/>
    <row r="9898" s="65" customFormat="1"/>
    <row r="9899" s="65" customFormat="1"/>
    <row r="9900" s="65" customFormat="1"/>
    <row r="9901" s="65" customFormat="1"/>
    <row r="9902" s="65" customFormat="1"/>
    <row r="9903" s="65" customFormat="1"/>
    <row r="9904" s="65" customFormat="1"/>
    <row r="9905" s="65" customFormat="1"/>
    <row r="9906" s="65" customFormat="1"/>
    <row r="9907" s="65" customFormat="1"/>
    <row r="9908" s="65" customFormat="1"/>
    <row r="9909" s="65" customFormat="1"/>
    <row r="9910" s="65" customFormat="1"/>
    <row r="9911" s="65" customFormat="1"/>
    <row r="9912" s="65" customFormat="1"/>
    <row r="9913" s="65" customFormat="1"/>
    <row r="9914" s="65" customFormat="1"/>
    <row r="9915" s="65" customFormat="1"/>
    <row r="9916" s="65" customFormat="1"/>
    <row r="9917" s="65" customFormat="1"/>
    <row r="9918" s="65" customFormat="1"/>
    <row r="9919" s="65" customFormat="1"/>
    <row r="9920" s="65" customFormat="1"/>
    <row r="9921" s="65" customFormat="1"/>
    <row r="9922" s="65" customFormat="1"/>
    <row r="9923" s="65" customFormat="1"/>
    <row r="9924" s="65" customFormat="1"/>
    <row r="9925" s="65" customFormat="1"/>
    <row r="9926" s="65" customFormat="1"/>
    <row r="9927" s="65" customFormat="1"/>
    <row r="9928" s="65" customFormat="1"/>
    <row r="9929" s="65" customFormat="1"/>
    <row r="9930" s="65" customFormat="1"/>
    <row r="9931" s="65" customFormat="1"/>
    <row r="9932" s="65" customFormat="1"/>
    <row r="9933" s="65" customFormat="1"/>
    <row r="9934" s="65" customFormat="1"/>
    <row r="9935" s="65" customFormat="1"/>
    <row r="9936" s="65" customFormat="1"/>
    <row r="9937" s="65" customFormat="1"/>
    <row r="9938" s="65" customFormat="1"/>
    <row r="9939" s="65" customFormat="1"/>
    <row r="9940" s="65" customFormat="1"/>
    <row r="9941" s="65" customFormat="1"/>
    <row r="9942" s="65" customFormat="1"/>
    <row r="9943" s="65" customFormat="1"/>
    <row r="9944" s="65" customFormat="1"/>
    <row r="9945" s="65" customFormat="1"/>
    <row r="9946" s="65" customFormat="1"/>
    <row r="9947" s="65" customFormat="1"/>
    <row r="9948" s="65" customFormat="1"/>
    <row r="9949" s="65" customFormat="1"/>
    <row r="9950" s="65" customFormat="1"/>
    <row r="9951" s="65" customFormat="1"/>
    <row r="9952" s="65" customFormat="1"/>
    <row r="9953" s="65" customFormat="1"/>
    <row r="9954" s="65" customFormat="1"/>
    <row r="9955" s="65" customFormat="1"/>
    <row r="9956" s="65" customFormat="1"/>
    <row r="9957" s="65" customFormat="1"/>
    <row r="9958" s="65" customFormat="1"/>
    <row r="9959" s="65" customFormat="1"/>
    <row r="9960" s="65" customFormat="1"/>
    <row r="9961" s="65" customFormat="1"/>
    <row r="9962" s="65" customFormat="1"/>
    <row r="9963" s="65" customFormat="1"/>
    <row r="9964" s="65" customFormat="1"/>
    <row r="9965" s="65" customFormat="1"/>
    <row r="9966" s="65" customFormat="1"/>
    <row r="9967" s="65" customFormat="1"/>
    <row r="9968" s="65" customFormat="1"/>
    <row r="9969" s="65" customFormat="1"/>
    <row r="9970" s="65" customFormat="1"/>
    <row r="9971" s="65" customFormat="1"/>
    <row r="9972" s="65" customFormat="1"/>
    <row r="9973" s="65" customFormat="1"/>
    <row r="9974" s="65" customFormat="1"/>
    <row r="9975" s="65" customFormat="1"/>
    <row r="9976" s="65" customFormat="1"/>
    <row r="9977" s="65" customFormat="1"/>
    <row r="9978" s="65" customFormat="1"/>
    <row r="9979" s="65" customFormat="1"/>
    <row r="9980" s="65" customFormat="1"/>
    <row r="9981" s="65" customFormat="1"/>
    <row r="9982" s="65" customFormat="1"/>
    <row r="9983" s="65" customFormat="1"/>
    <row r="9984" s="65" customFormat="1"/>
    <row r="9985" s="65" customFormat="1"/>
    <row r="9986" s="65" customFormat="1"/>
    <row r="9987" s="65" customFormat="1"/>
    <row r="9988" s="65" customFormat="1"/>
    <row r="9989" s="65" customFormat="1"/>
    <row r="9990" s="65" customFormat="1"/>
    <row r="9991" s="65" customFormat="1"/>
    <row r="9992" s="65" customFormat="1"/>
    <row r="9993" s="65" customFormat="1"/>
    <row r="9994" s="65" customFormat="1"/>
    <row r="9995" s="65" customFormat="1"/>
    <row r="9996" s="65" customFormat="1"/>
    <row r="9997" s="65" customFormat="1"/>
    <row r="9998" s="65" customFormat="1"/>
    <row r="9999" s="65" customFormat="1"/>
    <row r="10000" s="65" customFormat="1"/>
    <row r="10001" s="65" customFormat="1"/>
    <row r="10002" s="65" customFormat="1"/>
    <row r="10003" s="65" customFormat="1"/>
    <row r="10004" s="65" customFormat="1"/>
    <row r="10005" s="65" customFormat="1"/>
    <row r="10006" s="65" customFormat="1"/>
    <row r="10007" s="65" customFormat="1"/>
    <row r="10008" s="65" customFormat="1"/>
    <row r="10009" s="65" customFormat="1"/>
    <row r="10010" s="65" customFormat="1"/>
    <row r="10011" s="65" customFormat="1"/>
    <row r="10012" s="65" customFormat="1"/>
    <row r="10013" s="65" customFormat="1"/>
    <row r="10014" s="65" customFormat="1"/>
    <row r="10015" s="65" customFormat="1"/>
    <row r="10016" s="65" customFormat="1"/>
    <row r="10017" s="65" customFormat="1"/>
    <row r="10018" s="65" customFormat="1"/>
    <row r="10019" s="65" customFormat="1"/>
    <row r="10020" s="65" customFormat="1"/>
    <row r="10021" s="65" customFormat="1"/>
    <row r="10022" s="65" customFormat="1"/>
    <row r="10023" s="65" customFormat="1"/>
    <row r="10024" s="65" customFormat="1"/>
    <row r="10025" s="65" customFormat="1"/>
    <row r="10026" s="65" customFormat="1"/>
    <row r="10027" s="65" customFormat="1"/>
    <row r="10028" s="65" customFormat="1"/>
    <row r="10029" s="65" customFormat="1"/>
    <row r="10030" s="65" customFormat="1"/>
    <row r="10031" s="65" customFormat="1"/>
    <row r="10032" s="65" customFormat="1"/>
    <row r="10033" s="65" customFormat="1"/>
    <row r="10034" s="65" customFormat="1"/>
    <row r="10035" s="65" customFormat="1"/>
    <row r="10036" s="65" customFormat="1"/>
    <row r="10037" s="65" customFormat="1"/>
    <row r="10038" s="65" customFormat="1"/>
    <row r="10039" s="65" customFormat="1"/>
    <row r="10040" s="65" customFormat="1"/>
    <row r="10041" s="65" customFormat="1"/>
    <row r="10042" s="65" customFormat="1"/>
    <row r="10043" s="65" customFormat="1"/>
    <row r="10044" s="65" customFormat="1"/>
    <row r="10045" s="65" customFormat="1"/>
    <row r="10046" s="65" customFormat="1"/>
    <row r="10047" s="65" customFormat="1"/>
    <row r="10048" s="65" customFormat="1"/>
    <row r="10049" s="65" customFormat="1"/>
    <row r="10050" s="65" customFormat="1"/>
    <row r="10051" s="65" customFormat="1"/>
    <row r="10052" s="65" customFormat="1"/>
    <row r="10053" s="65" customFormat="1"/>
    <row r="10054" s="65" customFormat="1"/>
    <row r="10055" s="65" customFormat="1"/>
    <row r="10056" s="65" customFormat="1"/>
    <row r="10057" s="65" customFormat="1"/>
    <row r="10058" s="65" customFormat="1"/>
    <row r="10059" s="65" customFormat="1"/>
    <row r="10060" s="65" customFormat="1"/>
    <row r="10061" s="65" customFormat="1"/>
    <row r="10062" s="65" customFormat="1"/>
    <row r="10063" s="65" customFormat="1"/>
    <row r="10064" s="65" customFormat="1"/>
    <row r="10065" s="65" customFormat="1"/>
    <row r="10066" s="65" customFormat="1"/>
    <row r="10067" s="65" customFormat="1"/>
    <row r="10068" s="65" customFormat="1"/>
    <row r="10069" s="65" customFormat="1"/>
    <row r="10070" s="65" customFormat="1"/>
    <row r="10071" s="65" customFormat="1"/>
    <row r="10072" s="65" customFormat="1"/>
    <row r="10073" s="65" customFormat="1"/>
    <row r="10074" s="65" customFormat="1"/>
    <row r="10075" s="65" customFormat="1"/>
    <row r="10076" s="65" customFormat="1"/>
    <row r="10077" s="65" customFormat="1"/>
    <row r="10078" s="65" customFormat="1"/>
    <row r="10079" s="65" customFormat="1"/>
    <row r="10080" s="65" customFormat="1"/>
    <row r="10081" s="65" customFormat="1"/>
    <row r="10082" s="65" customFormat="1"/>
    <row r="10083" s="65" customFormat="1"/>
    <row r="10084" s="65" customFormat="1"/>
    <row r="10085" s="65" customFormat="1"/>
    <row r="10086" s="65" customFormat="1"/>
    <row r="10087" s="65" customFormat="1"/>
    <row r="10088" s="65" customFormat="1"/>
    <row r="10089" s="65" customFormat="1"/>
    <row r="10090" s="65" customFormat="1"/>
    <row r="10091" s="65" customFormat="1"/>
    <row r="10092" s="65" customFormat="1"/>
    <row r="10093" s="65" customFormat="1"/>
    <row r="10094" s="65" customFormat="1"/>
    <row r="10095" s="65" customFormat="1"/>
    <row r="10096" s="65" customFormat="1"/>
    <row r="10097" s="65" customFormat="1"/>
    <row r="10098" s="65" customFormat="1"/>
    <row r="10099" s="65" customFormat="1"/>
    <row r="10100" s="65" customFormat="1"/>
    <row r="10101" s="65" customFormat="1"/>
    <row r="10102" s="65" customFormat="1"/>
    <row r="10103" s="65" customFormat="1"/>
    <row r="10104" s="65" customFormat="1"/>
    <row r="10105" s="65" customFormat="1"/>
    <row r="10106" s="65" customFormat="1"/>
    <row r="10107" s="65" customFormat="1"/>
    <row r="10108" s="65" customFormat="1"/>
    <row r="10109" s="65" customFormat="1"/>
    <row r="10110" s="65" customFormat="1"/>
    <row r="10111" s="65" customFormat="1"/>
    <row r="10112" s="65" customFormat="1"/>
    <row r="10113" s="65" customFormat="1"/>
    <row r="10114" s="65" customFormat="1"/>
    <row r="10115" s="65" customFormat="1"/>
    <row r="10116" s="65" customFormat="1"/>
    <row r="10117" s="65" customFormat="1"/>
    <row r="10118" s="65" customFormat="1"/>
    <row r="10119" s="65" customFormat="1"/>
    <row r="10120" s="65" customFormat="1"/>
    <row r="10121" s="65" customFormat="1"/>
    <row r="10122" s="65" customFormat="1"/>
    <row r="10123" s="65" customFormat="1"/>
    <row r="10124" s="65" customFormat="1"/>
    <row r="10125" s="65" customFormat="1"/>
    <row r="10126" s="65" customFormat="1"/>
    <row r="10127" s="65" customFormat="1"/>
    <row r="10128" s="65" customFormat="1"/>
    <row r="10129" s="65" customFormat="1"/>
    <row r="10130" s="65" customFormat="1"/>
    <row r="10131" s="65" customFormat="1"/>
    <row r="10132" s="65" customFormat="1"/>
    <row r="10133" s="65" customFormat="1"/>
    <row r="10134" s="65" customFormat="1"/>
    <row r="10135" s="65" customFormat="1"/>
    <row r="10136" s="65" customFormat="1"/>
    <row r="10137" s="65" customFormat="1"/>
    <row r="10138" s="65" customFormat="1"/>
    <row r="10139" s="65" customFormat="1"/>
    <row r="10140" s="65" customFormat="1"/>
    <row r="10141" s="65" customFormat="1"/>
    <row r="10142" s="65" customFormat="1"/>
    <row r="10143" s="65" customFormat="1"/>
    <row r="10144" s="65" customFormat="1"/>
    <row r="10145" s="65" customFormat="1"/>
    <row r="10146" s="65" customFormat="1"/>
    <row r="10147" s="65" customFormat="1"/>
    <row r="10148" s="65" customFormat="1"/>
    <row r="10149" s="65" customFormat="1"/>
    <row r="10150" s="65" customFormat="1"/>
    <row r="10151" s="65" customFormat="1"/>
    <row r="10152" s="65" customFormat="1"/>
    <row r="10153" s="65" customFormat="1"/>
    <row r="10154" s="65" customFormat="1"/>
    <row r="10155" s="65" customFormat="1"/>
    <row r="10156" s="65" customFormat="1"/>
    <row r="10157" s="65" customFormat="1"/>
    <row r="10158" s="65" customFormat="1"/>
    <row r="10159" s="65" customFormat="1"/>
    <row r="10160" s="65" customFormat="1"/>
    <row r="10161" s="65" customFormat="1"/>
    <row r="10162" s="65" customFormat="1"/>
    <row r="10163" s="65" customFormat="1"/>
    <row r="10164" s="65" customFormat="1"/>
    <row r="10165" s="65" customFormat="1"/>
    <row r="10166" s="65" customFormat="1"/>
    <row r="10167" s="65" customFormat="1"/>
    <row r="10168" s="65" customFormat="1"/>
    <row r="10169" s="65" customFormat="1"/>
    <row r="10170" s="65" customFormat="1"/>
    <row r="10171" s="65" customFormat="1"/>
    <row r="10172" s="65" customFormat="1"/>
    <row r="10173" s="65" customFormat="1"/>
    <row r="10174" s="65" customFormat="1"/>
    <row r="10175" s="65" customFormat="1"/>
    <row r="10176" s="65" customFormat="1"/>
    <row r="10177" s="65" customFormat="1"/>
    <row r="10178" s="65" customFormat="1"/>
    <row r="10179" s="65" customFormat="1"/>
    <row r="10180" s="65" customFormat="1"/>
    <row r="10181" s="65" customFormat="1"/>
    <row r="10182" s="65" customFormat="1"/>
    <row r="10183" s="65" customFormat="1"/>
    <row r="10184" s="65" customFormat="1"/>
    <row r="10185" s="65" customFormat="1"/>
    <row r="10186" s="65" customFormat="1"/>
    <row r="10187" s="65" customFormat="1"/>
    <row r="10188" s="65" customFormat="1"/>
    <row r="10189" s="65" customFormat="1"/>
    <row r="10190" s="65" customFormat="1"/>
    <row r="10191" s="65" customFormat="1"/>
    <row r="10192" s="65" customFormat="1"/>
    <row r="10193" s="65" customFormat="1"/>
    <row r="10194" s="65" customFormat="1"/>
    <row r="10195" s="65" customFormat="1"/>
    <row r="10196" s="65" customFormat="1"/>
    <row r="10197" s="65" customFormat="1"/>
    <row r="10198" s="65" customFormat="1"/>
    <row r="10199" s="65" customFormat="1"/>
    <row r="10200" s="65" customFormat="1"/>
    <row r="10201" s="65" customFormat="1"/>
    <row r="10202" s="65" customFormat="1"/>
    <row r="10203" s="65" customFormat="1"/>
    <row r="10204" s="65" customFormat="1"/>
    <row r="10205" s="65" customFormat="1"/>
    <row r="10206" s="65" customFormat="1"/>
    <row r="10207" s="65" customFormat="1"/>
    <row r="10208" s="65" customFormat="1"/>
    <row r="10209" s="65" customFormat="1"/>
    <row r="10210" s="65" customFormat="1"/>
    <row r="10211" s="65" customFormat="1"/>
    <row r="10212" s="65" customFormat="1"/>
    <row r="10213" s="65" customFormat="1"/>
    <row r="10214" s="65" customFormat="1"/>
    <row r="10215" s="65" customFormat="1"/>
    <row r="10216" s="65" customFormat="1"/>
    <row r="10217" s="65" customFormat="1"/>
    <row r="10218" s="65" customFormat="1"/>
    <row r="10219" s="65" customFormat="1"/>
    <row r="10220" s="65" customFormat="1"/>
    <row r="10221" s="65" customFormat="1"/>
    <row r="10222" s="65" customFormat="1"/>
    <row r="10223" s="65" customFormat="1"/>
    <row r="10224" s="65" customFormat="1"/>
    <row r="10225" s="65" customFormat="1"/>
    <row r="10226" s="65" customFormat="1"/>
    <row r="10227" s="65" customFormat="1"/>
    <row r="10228" s="65" customFormat="1"/>
    <row r="10229" s="65" customFormat="1"/>
    <row r="10230" s="65" customFormat="1"/>
    <row r="10231" s="65" customFormat="1"/>
    <row r="10232" s="65" customFormat="1"/>
    <row r="10233" s="65" customFormat="1"/>
    <row r="10234" s="65" customFormat="1"/>
    <row r="10235" s="65" customFormat="1"/>
    <row r="10236" s="65" customFormat="1"/>
    <row r="10237" s="65" customFormat="1"/>
    <row r="10238" s="65" customFormat="1"/>
    <row r="10239" s="65" customFormat="1"/>
    <row r="10240" s="65" customFormat="1"/>
    <row r="10241" s="65" customFormat="1"/>
    <row r="10242" s="65" customFormat="1"/>
    <row r="10243" s="65" customFormat="1"/>
    <row r="10244" s="65" customFormat="1"/>
    <row r="10245" s="65" customFormat="1"/>
    <row r="10246" s="65" customFormat="1"/>
    <row r="10247" s="65" customFormat="1"/>
    <row r="10248" s="65" customFormat="1"/>
    <row r="10249" s="65" customFormat="1"/>
    <row r="10250" s="65" customFormat="1"/>
    <row r="10251" s="65" customFormat="1"/>
    <row r="10252" s="65" customFormat="1"/>
    <row r="10253" s="65" customFormat="1"/>
    <row r="10254" s="65" customFormat="1"/>
    <row r="10255" s="65" customFormat="1"/>
    <row r="10256" s="65" customFormat="1"/>
    <row r="10257" s="65" customFormat="1"/>
    <row r="10258" s="65" customFormat="1"/>
    <row r="10259" s="65" customFormat="1"/>
    <row r="10260" s="65" customFormat="1"/>
    <row r="10261" s="65" customFormat="1"/>
    <row r="10262" s="65" customFormat="1"/>
    <row r="10263" s="65" customFormat="1"/>
    <row r="10264" s="65" customFormat="1"/>
    <row r="10265" s="65" customFormat="1"/>
    <row r="10266" s="65" customFormat="1"/>
    <row r="10267" s="65" customFormat="1"/>
    <row r="10268" s="65" customFormat="1"/>
    <row r="10269" s="65" customFormat="1"/>
    <row r="10270" s="65" customFormat="1"/>
    <row r="10271" s="65" customFormat="1"/>
    <row r="10272" s="65" customFormat="1"/>
    <row r="10273" s="65" customFormat="1"/>
    <row r="10274" s="65" customFormat="1"/>
    <row r="10275" s="65" customFormat="1"/>
    <row r="10276" s="65" customFormat="1"/>
    <row r="10277" s="65" customFormat="1"/>
    <row r="10278" s="65" customFormat="1"/>
    <row r="10279" s="65" customFormat="1"/>
    <row r="10280" s="65" customFormat="1"/>
    <row r="10281" s="65" customFormat="1"/>
    <row r="10282" s="65" customFormat="1"/>
    <row r="10283" s="65" customFormat="1"/>
    <row r="10284" s="65" customFormat="1"/>
    <row r="10285" s="65" customFormat="1"/>
    <row r="10286" s="65" customFormat="1"/>
    <row r="10287" s="65" customFormat="1"/>
    <row r="10288" s="65" customFormat="1"/>
    <row r="10289" s="65" customFormat="1"/>
    <row r="10290" s="65" customFormat="1"/>
    <row r="10291" s="65" customFormat="1"/>
    <row r="10292" s="65" customFormat="1"/>
    <row r="10293" s="65" customFormat="1"/>
    <row r="10294" s="65" customFormat="1"/>
    <row r="10295" s="65" customFormat="1"/>
    <row r="10296" s="65" customFormat="1"/>
    <row r="10297" s="65" customFormat="1"/>
    <row r="10298" s="65" customFormat="1"/>
    <row r="10299" s="65" customFormat="1"/>
    <row r="10300" s="65" customFormat="1"/>
    <row r="10301" s="65" customFormat="1"/>
    <row r="10302" s="65" customFormat="1"/>
    <row r="10303" s="65" customFormat="1"/>
    <row r="10304" s="65" customFormat="1"/>
    <row r="10305" s="65" customFormat="1"/>
    <row r="10306" s="65" customFormat="1"/>
    <row r="10307" s="65" customFormat="1"/>
    <row r="10308" s="65" customFormat="1"/>
    <row r="10309" s="65" customFormat="1"/>
    <row r="10310" s="65" customFormat="1"/>
    <row r="10311" s="65" customFormat="1"/>
    <row r="10312" s="65" customFormat="1"/>
    <row r="10313" s="65" customFormat="1"/>
    <row r="10314" s="65" customFormat="1"/>
    <row r="10315" s="65" customFormat="1"/>
    <row r="10316" s="65" customFormat="1"/>
    <row r="10317" s="65" customFormat="1"/>
    <row r="10318" s="65" customFormat="1"/>
    <row r="10319" s="65" customFormat="1"/>
    <row r="10320" s="65" customFormat="1"/>
    <row r="10321" s="65" customFormat="1"/>
    <row r="10322" s="65" customFormat="1"/>
    <row r="10323" s="65" customFormat="1"/>
    <row r="10324" s="65" customFormat="1"/>
    <row r="10325" s="65" customFormat="1"/>
    <row r="10326" s="65" customFormat="1"/>
    <row r="10327" s="65" customFormat="1"/>
    <row r="10328" s="65" customFormat="1"/>
    <row r="10329" s="65" customFormat="1"/>
    <row r="10330" s="65" customFormat="1"/>
    <row r="10331" s="65" customFormat="1"/>
    <row r="10332" s="65" customFormat="1"/>
    <row r="10333" s="65" customFormat="1"/>
    <row r="10334" s="65" customFormat="1"/>
    <row r="10335" s="65" customFormat="1"/>
    <row r="10336" s="65" customFormat="1"/>
    <row r="10337" s="65" customFormat="1"/>
    <row r="10338" s="65" customFormat="1"/>
    <row r="10339" s="65" customFormat="1"/>
    <row r="10340" s="65" customFormat="1"/>
    <row r="10341" s="65" customFormat="1"/>
    <row r="10342" s="65" customFormat="1"/>
    <row r="10343" s="65" customFormat="1"/>
    <row r="10344" s="65" customFormat="1"/>
    <row r="10345" s="65" customFormat="1"/>
    <row r="10346" s="65" customFormat="1"/>
    <row r="10347" s="65" customFormat="1"/>
    <row r="10348" s="65" customFormat="1"/>
    <row r="10349" s="65" customFormat="1"/>
    <row r="10350" s="65" customFormat="1"/>
    <row r="10351" s="65" customFormat="1"/>
    <row r="10352" s="65" customFormat="1"/>
    <row r="10353" s="65" customFormat="1"/>
    <row r="10354" s="65" customFormat="1"/>
    <row r="10355" s="65" customFormat="1"/>
    <row r="10356" s="65" customFormat="1"/>
    <row r="10357" s="65" customFormat="1"/>
    <row r="10358" s="65" customFormat="1"/>
    <row r="10359" s="65" customFormat="1"/>
    <row r="10360" s="65" customFormat="1"/>
    <row r="10361" s="65" customFormat="1"/>
    <row r="10362" s="65" customFormat="1"/>
    <row r="10363" s="65" customFormat="1"/>
    <row r="10364" s="65" customFormat="1"/>
    <row r="10365" s="65" customFormat="1"/>
    <row r="10366" s="65" customFormat="1"/>
    <row r="10367" s="65" customFormat="1"/>
    <row r="10368" s="65" customFormat="1"/>
    <row r="10369" s="65" customFormat="1"/>
    <row r="10370" s="65" customFormat="1"/>
    <row r="10371" s="65" customFormat="1"/>
    <row r="10372" s="65" customFormat="1"/>
    <row r="10373" s="65" customFormat="1"/>
    <row r="10374" s="65" customFormat="1"/>
    <row r="10375" s="65" customFormat="1"/>
    <row r="10376" s="65" customFormat="1"/>
    <row r="10377" s="65" customFormat="1"/>
    <row r="10378" s="65" customFormat="1"/>
    <row r="10379" s="65" customFormat="1"/>
    <row r="10380" s="65" customFormat="1"/>
    <row r="10381" s="65" customFormat="1"/>
    <row r="10382" s="65" customFormat="1"/>
    <row r="10383" s="65" customFormat="1"/>
    <row r="10384" s="65" customFormat="1"/>
    <row r="10385" s="65" customFormat="1"/>
    <row r="10386" s="65" customFormat="1"/>
    <row r="10387" s="65" customFormat="1"/>
    <row r="10388" s="65" customFormat="1"/>
    <row r="10389" s="65" customFormat="1"/>
    <row r="10390" s="65" customFormat="1"/>
    <row r="10391" s="65" customFormat="1"/>
    <row r="10392" s="65" customFormat="1"/>
    <row r="10393" s="65" customFormat="1"/>
    <row r="10394" s="65" customFormat="1"/>
    <row r="10395" s="65" customFormat="1"/>
    <row r="10396" s="65" customFormat="1"/>
    <row r="10397" s="65" customFormat="1"/>
    <row r="10398" s="65" customFormat="1"/>
    <row r="10399" s="65" customFormat="1"/>
    <row r="10400" s="65" customFormat="1"/>
    <row r="10401" s="65" customFormat="1"/>
    <row r="10402" s="65" customFormat="1"/>
    <row r="10403" s="65" customFormat="1"/>
    <row r="10404" s="65" customFormat="1"/>
    <row r="10405" s="65" customFormat="1"/>
    <row r="10406" s="65" customFormat="1"/>
    <row r="10407" s="65" customFormat="1"/>
    <row r="10408" s="65" customFormat="1"/>
    <row r="10409" s="65" customFormat="1"/>
    <row r="10410" s="65" customFormat="1"/>
    <row r="10411" s="65" customFormat="1"/>
    <row r="10412" s="65" customFormat="1"/>
    <row r="10413" s="65" customFormat="1"/>
    <row r="10414" s="65" customFormat="1"/>
    <row r="10415" s="65" customFormat="1"/>
    <row r="10416" s="65" customFormat="1"/>
    <row r="10417" s="65" customFormat="1"/>
    <row r="10418" s="65" customFormat="1"/>
    <row r="10419" s="65" customFormat="1"/>
    <row r="10420" s="65" customFormat="1"/>
    <row r="10421" s="65" customFormat="1"/>
    <row r="10422" s="65" customFormat="1"/>
    <row r="10423" s="65" customFormat="1"/>
    <row r="10424" s="65" customFormat="1"/>
    <row r="10425" s="65" customFormat="1"/>
    <row r="10426" s="65" customFormat="1"/>
    <row r="10427" s="65" customFormat="1"/>
    <row r="10428" s="65" customFormat="1"/>
    <row r="10429" s="65" customFormat="1"/>
    <row r="10430" s="65" customFormat="1"/>
    <row r="10431" s="65" customFormat="1"/>
    <row r="10432" s="65" customFormat="1"/>
    <row r="10433" s="65" customFormat="1"/>
    <row r="10434" s="65" customFormat="1"/>
    <row r="10435" s="65" customFormat="1"/>
    <row r="10436" s="65" customFormat="1"/>
    <row r="10437" s="65" customFormat="1"/>
    <row r="10438" s="65" customFormat="1"/>
    <row r="10439" s="65" customFormat="1"/>
    <row r="10440" s="65" customFormat="1"/>
    <row r="10441" s="65" customFormat="1"/>
    <row r="10442" s="65" customFormat="1"/>
    <row r="10443" s="65" customFormat="1"/>
    <row r="10444" s="65" customFormat="1"/>
    <row r="10445" s="65" customFormat="1"/>
    <row r="10446" s="65" customFormat="1"/>
    <row r="10447" s="65" customFormat="1"/>
    <row r="10448" s="65" customFormat="1"/>
    <row r="10449" s="65" customFormat="1"/>
    <row r="10450" s="65" customFormat="1"/>
    <row r="10451" s="65" customFormat="1"/>
    <row r="10452" s="65" customFormat="1"/>
    <row r="10453" s="65" customFormat="1"/>
    <row r="10454" s="65" customFormat="1"/>
    <row r="10455" s="65" customFormat="1"/>
    <row r="10456" s="65" customFormat="1"/>
    <row r="10457" s="65" customFormat="1"/>
    <row r="10458" s="65" customFormat="1"/>
    <row r="10459" s="65" customFormat="1"/>
    <row r="10460" s="65" customFormat="1"/>
    <row r="10461" s="65" customFormat="1"/>
    <row r="10462" s="65" customFormat="1"/>
    <row r="10463" s="65" customFormat="1"/>
    <row r="10464" s="65" customFormat="1"/>
    <row r="10465" s="65" customFormat="1"/>
    <row r="10466" s="65" customFormat="1"/>
    <row r="10467" s="65" customFormat="1"/>
    <row r="10468" s="65" customFormat="1"/>
    <row r="10469" s="65" customFormat="1"/>
    <row r="10470" s="65" customFormat="1"/>
    <row r="10471" s="65" customFormat="1"/>
    <row r="10472" s="65" customFormat="1"/>
    <row r="10473" s="65" customFormat="1"/>
    <row r="10474" s="65" customFormat="1"/>
    <row r="10475" s="65" customFormat="1"/>
    <row r="10476" s="65" customFormat="1"/>
    <row r="10477" s="65" customFormat="1"/>
    <row r="10478" s="65" customFormat="1"/>
    <row r="10479" s="65" customFormat="1"/>
    <row r="10480" s="65" customFormat="1"/>
    <row r="10481" s="65" customFormat="1"/>
    <row r="10482" s="65" customFormat="1"/>
    <row r="10483" s="65" customFormat="1"/>
    <row r="10484" s="65" customFormat="1"/>
    <row r="10485" s="65" customFormat="1"/>
    <row r="10486" s="65" customFormat="1"/>
    <row r="10487" s="65" customFormat="1"/>
    <row r="10488" s="65" customFormat="1"/>
    <row r="10489" s="65" customFormat="1"/>
    <row r="10490" s="65" customFormat="1"/>
    <row r="10491" s="65" customFormat="1"/>
    <row r="10492" s="65" customFormat="1"/>
    <row r="10493" s="65" customFormat="1"/>
    <row r="10494" s="65" customFormat="1"/>
    <row r="10495" s="65" customFormat="1"/>
    <row r="10496" s="65" customFormat="1"/>
    <row r="10497" s="65" customFormat="1"/>
    <row r="10498" s="65" customFormat="1"/>
    <row r="10499" s="65" customFormat="1"/>
    <row r="10500" s="65" customFormat="1"/>
    <row r="10501" s="65" customFormat="1"/>
    <row r="10502" s="65" customFormat="1"/>
    <row r="10503" s="65" customFormat="1"/>
    <row r="10504" s="65" customFormat="1"/>
    <row r="10505" s="65" customFormat="1"/>
    <row r="10506" s="65" customFormat="1"/>
    <row r="10507" s="65" customFormat="1"/>
    <row r="10508" s="65" customFormat="1"/>
    <row r="10509" s="65" customFormat="1"/>
    <row r="10510" s="65" customFormat="1"/>
    <row r="10511" s="65" customFormat="1"/>
    <row r="10512" s="65" customFormat="1"/>
    <row r="10513" s="65" customFormat="1"/>
    <row r="10514" s="65" customFormat="1"/>
    <row r="10515" s="65" customFormat="1"/>
    <row r="10516" s="65" customFormat="1"/>
    <row r="10517" s="65" customFormat="1"/>
    <row r="10518" s="65" customFormat="1"/>
    <row r="10519" s="65" customFormat="1"/>
    <row r="10520" s="65" customFormat="1"/>
    <row r="10521" s="65" customFormat="1"/>
    <row r="10522" s="65" customFormat="1"/>
    <row r="10523" s="65" customFormat="1"/>
    <row r="10524" s="65" customFormat="1"/>
    <row r="10525" s="65" customFormat="1"/>
    <row r="10526" s="65" customFormat="1"/>
    <row r="10527" s="65" customFormat="1"/>
    <row r="10528" s="65" customFormat="1"/>
    <row r="10529" s="65" customFormat="1"/>
    <row r="10530" s="65" customFormat="1"/>
    <row r="10531" s="65" customFormat="1"/>
    <row r="10532" s="65" customFormat="1"/>
    <row r="10533" s="65" customFormat="1"/>
    <row r="10534" s="65" customFormat="1"/>
    <row r="10535" s="65" customFormat="1"/>
    <row r="10536" s="65" customFormat="1"/>
    <row r="10537" s="65" customFormat="1"/>
    <row r="10538" s="65" customFormat="1"/>
    <row r="10539" s="65" customFormat="1"/>
    <row r="10540" s="65" customFormat="1"/>
    <row r="10541" s="65" customFormat="1"/>
    <row r="10542" s="65" customFormat="1"/>
    <row r="10543" s="65" customFormat="1"/>
    <row r="10544" s="65" customFormat="1"/>
    <row r="10545" s="65" customFormat="1"/>
    <row r="10546" s="65" customFormat="1"/>
    <row r="10547" s="65" customFormat="1"/>
    <row r="10548" s="65" customFormat="1"/>
    <row r="10549" s="65" customFormat="1"/>
    <row r="10550" s="65" customFormat="1"/>
    <row r="10551" s="65" customFormat="1"/>
    <row r="10552" s="65" customFormat="1"/>
    <row r="10553" s="65" customFormat="1"/>
    <row r="10554" s="65" customFormat="1"/>
    <row r="10555" s="65" customFormat="1"/>
    <row r="10556" s="65" customFormat="1"/>
    <row r="10557" s="65" customFormat="1"/>
    <row r="10558" s="65" customFormat="1"/>
    <row r="10559" s="65" customFormat="1"/>
    <row r="10560" s="65" customFormat="1"/>
    <row r="10561" s="65" customFormat="1"/>
    <row r="10562" s="65" customFormat="1"/>
    <row r="10563" s="65" customFormat="1"/>
    <row r="10564" s="65" customFormat="1"/>
    <row r="10565" s="65" customFormat="1"/>
    <row r="10566" s="65" customFormat="1"/>
    <row r="10567" s="65" customFormat="1"/>
    <row r="10568" s="65" customFormat="1"/>
    <row r="10569" s="65" customFormat="1"/>
    <row r="10570" s="65" customFormat="1"/>
    <row r="10571" s="65" customFormat="1"/>
    <row r="10572" s="65" customFormat="1"/>
    <row r="10573" s="65" customFormat="1"/>
    <row r="10574" s="65" customFormat="1"/>
    <row r="10575" s="65" customFormat="1"/>
    <row r="10576" s="65" customFormat="1"/>
    <row r="10577" s="65" customFormat="1"/>
    <row r="10578" s="65" customFormat="1"/>
    <row r="10579" s="65" customFormat="1"/>
    <row r="10580" s="65" customFormat="1"/>
    <row r="10581" s="65" customFormat="1"/>
    <row r="10582" s="65" customFormat="1"/>
    <row r="10583" s="65" customFormat="1"/>
    <row r="10584" s="65" customFormat="1"/>
    <row r="10585" s="65" customFormat="1"/>
    <row r="10586" s="65" customFormat="1"/>
    <row r="10587" s="65" customFormat="1"/>
    <row r="10588" s="65" customFormat="1"/>
    <row r="10589" s="65" customFormat="1"/>
    <row r="10590" s="65" customFormat="1"/>
    <row r="10591" s="65" customFormat="1"/>
    <row r="10592" s="65" customFormat="1"/>
    <row r="10593" s="65" customFormat="1"/>
    <row r="10594" s="65" customFormat="1"/>
    <row r="10595" s="65" customFormat="1"/>
    <row r="10596" s="65" customFormat="1"/>
    <row r="10597" s="65" customFormat="1"/>
    <row r="10598" s="65" customFormat="1"/>
    <row r="10599" s="65" customFormat="1"/>
    <row r="10600" s="65" customFormat="1"/>
    <row r="10601" s="65" customFormat="1"/>
    <row r="10602" s="65" customFormat="1"/>
    <row r="10603" s="65" customFormat="1"/>
    <row r="10604" s="65" customFormat="1"/>
    <row r="10605" s="65" customFormat="1"/>
    <row r="10606" s="65" customFormat="1"/>
    <row r="10607" s="65" customFormat="1"/>
    <row r="10608" s="65" customFormat="1"/>
    <row r="10609" s="65" customFormat="1"/>
    <row r="10610" s="65" customFormat="1"/>
    <row r="10611" s="65" customFormat="1"/>
    <row r="10612" s="65" customFormat="1"/>
    <row r="10613" s="65" customFormat="1"/>
    <row r="10614" s="65" customFormat="1"/>
    <row r="10615" s="65" customFormat="1"/>
    <row r="10616" s="65" customFormat="1"/>
    <row r="10617" s="65" customFormat="1"/>
    <row r="10618" s="65" customFormat="1"/>
    <row r="10619" s="65" customFormat="1"/>
    <row r="10620" s="65" customFormat="1"/>
    <row r="10621" s="65" customFormat="1"/>
    <row r="10622" s="65" customFormat="1"/>
    <row r="10623" s="65" customFormat="1"/>
    <row r="10624" s="65" customFormat="1"/>
    <row r="10625" s="65" customFormat="1"/>
    <row r="10626" s="65" customFormat="1"/>
    <row r="10627" s="65" customFormat="1"/>
    <row r="10628" s="65" customFormat="1"/>
    <row r="10629" s="65" customFormat="1"/>
    <row r="10630" s="65" customFormat="1"/>
    <row r="10631" s="65" customFormat="1"/>
    <row r="10632" s="65" customFormat="1"/>
    <row r="10633" s="65" customFormat="1"/>
    <row r="10634" s="65" customFormat="1"/>
    <row r="10635" s="65" customFormat="1"/>
    <row r="10636" s="65" customFormat="1"/>
    <row r="10637" s="65" customFormat="1"/>
    <row r="10638" s="65" customFormat="1"/>
    <row r="10639" s="65" customFormat="1"/>
    <row r="10640" s="65" customFormat="1"/>
    <row r="10641" s="65" customFormat="1"/>
    <row r="10642" s="65" customFormat="1"/>
    <row r="10643" s="65" customFormat="1"/>
    <row r="10644" s="65" customFormat="1"/>
    <row r="10645" s="65" customFormat="1"/>
    <row r="10646" s="65" customFormat="1"/>
    <row r="10647" s="65" customFormat="1"/>
    <row r="10648" s="65" customFormat="1"/>
    <row r="10649" s="65" customFormat="1"/>
    <row r="10650" s="65" customFormat="1"/>
    <row r="10651" s="65" customFormat="1"/>
    <row r="10652" s="65" customFormat="1"/>
    <row r="10653" s="65" customFormat="1"/>
    <row r="10654" s="65" customFormat="1"/>
    <row r="10655" s="65" customFormat="1"/>
    <row r="10656" s="65" customFormat="1"/>
    <row r="10657" s="65" customFormat="1"/>
    <row r="10658" s="65" customFormat="1"/>
    <row r="10659" s="65" customFormat="1"/>
    <row r="10660" s="65" customFormat="1"/>
    <row r="10661" s="65" customFormat="1"/>
    <row r="10662" s="65" customFormat="1"/>
    <row r="10663" s="65" customFormat="1"/>
    <row r="10664" s="65" customFormat="1"/>
    <row r="10665" s="65" customFormat="1"/>
    <row r="10666" s="65" customFormat="1"/>
    <row r="10667" s="65" customFormat="1"/>
    <row r="10668" s="65" customFormat="1"/>
    <row r="10669" s="65" customFormat="1"/>
    <row r="10670" s="65" customFormat="1"/>
    <row r="10671" s="65" customFormat="1"/>
    <row r="10672" s="65" customFormat="1"/>
    <row r="10673" s="65" customFormat="1"/>
    <row r="10674" s="65" customFormat="1"/>
    <row r="10675" s="65" customFormat="1"/>
    <row r="10676" s="65" customFormat="1"/>
    <row r="10677" s="65" customFormat="1"/>
    <row r="10678" s="65" customFormat="1"/>
    <row r="10679" s="65" customFormat="1"/>
    <row r="10680" s="65" customFormat="1"/>
    <row r="10681" s="65" customFormat="1"/>
    <row r="10682" s="65" customFormat="1"/>
    <row r="10683" s="65" customFormat="1"/>
    <row r="10684" s="65" customFormat="1"/>
    <row r="10685" s="65" customFormat="1"/>
    <row r="10686" s="65" customFormat="1"/>
    <row r="10687" s="65" customFormat="1"/>
    <row r="10688" s="65" customFormat="1"/>
    <row r="10689" s="65" customFormat="1"/>
    <row r="10690" s="65" customFormat="1"/>
    <row r="10691" s="65" customFormat="1"/>
    <row r="10692" s="65" customFormat="1"/>
    <row r="10693" s="65" customFormat="1"/>
    <row r="10694" s="65" customFormat="1"/>
    <row r="10695" s="65" customFormat="1"/>
    <row r="10696" s="65" customFormat="1"/>
    <row r="10697" s="65" customFormat="1"/>
    <row r="10698" s="65" customFormat="1"/>
    <row r="10699" s="65" customFormat="1"/>
    <row r="10700" s="65" customFormat="1"/>
    <row r="10701" s="65" customFormat="1"/>
    <row r="10702" s="65" customFormat="1"/>
    <row r="10703" s="65" customFormat="1"/>
    <row r="10704" s="65" customFormat="1"/>
    <row r="10705" s="65" customFormat="1"/>
    <row r="10706" s="65" customFormat="1"/>
    <row r="10707" s="65" customFormat="1"/>
    <row r="10708" s="65" customFormat="1"/>
    <row r="10709" s="65" customFormat="1"/>
    <row r="10710" s="65" customFormat="1"/>
    <row r="10711" s="65" customFormat="1"/>
    <row r="10712" s="65" customFormat="1"/>
    <row r="10713" s="65" customFormat="1"/>
    <row r="10714" s="65" customFormat="1"/>
    <row r="10715" s="65" customFormat="1"/>
    <row r="10716" s="65" customFormat="1"/>
    <row r="10717" s="65" customFormat="1"/>
    <row r="10718" s="65" customFormat="1"/>
    <row r="10719" s="65" customFormat="1"/>
    <row r="10720" s="65" customFormat="1"/>
    <row r="10721" s="65" customFormat="1"/>
    <row r="10722" s="65" customFormat="1"/>
    <row r="10723" s="65" customFormat="1"/>
    <row r="10724" s="65" customFormat="1"/>
    <row r="10725" s="65" customFormat="1"/>
    <row r="10726" s="65" customFormat="1"/>
    <row r="10727" s="65" customFormat="1"/>
    <row r="10728" s="65" customFormat="1"/>
    <row r="10729" s="65" customFormat="1"/>
    <row r="10730" s="65" customFormat="1"/>
    <row r="10731" s="65" customFormat="1"/>
    <row r="10732" s="65" customFormat="1"/>
    <row r="10733" s="65" customFormat="1"/>
    <row r="10734" s="65" customFormat="1"/>
    <row r="10735" s="65" customFormat="1"/>
    <row r="10736" s="65" customFormat="1"/>
    <row r="10737" s="65" customFormat="1"/>
    <row r="10738" s="65" customFormat="1"/>
    <row r="10739" s="65" customFormat="1"/>
    <row r="10740" s="65" customFormat="1"/>
    <row r="10741" s="65" customFormat="1"/>
    <row r="10742" s="65" customFormat="1"/>
    <row r="10743" s="65" customFormat="1"/>
    <row r="10744" s="65" customFormat="1"/>
    <row r="10745" s="65" customFormat="1"/>
    <row r="10746" s="65" customFormat="1"/>
    <row r="10747" s="65" customFormat="1"/>
    <row r="10748" s="65" customFormat="1"/>
    <row r="10749" s="65" customFormat="1"/>
    <row r="10750" s="65" customFormat="1"/>
    <row r="10751" s="65" customFormat="1"/>
    <row r="10752" s="65" customFormat="1"/>
    <row r="10753" s="65" customFormat="1"/>
    <row r="10754" s="65" customFormat="1"/>
    <row r="10755" s="65" customFormat="1"/>
    <row r="10756" s="65" customFormat="1"/>
    <row r="10757" s="65" customFormat="1"/>
    <row r="10758" s="65" customFormat="1"/>
    <row r="10759" s="65" customFormat="1"/>
    <row r="10760" s="65" customFormat="1"/>
    <row r="10761" s="65" customFormat="1"/>
    <row r="10762" s="65" customFormat="1"/>
    <row r="10763" s="65" customFormat="1"/>
    <row r="10764" s="65" customFormat="1"/>
    <row r="10765" s="65" customFormat="1"/>
    <row r="10766" s="65" customFormat="1"/>
    <row r="10767" s="65" customFormat="1"/>
    <row r="10768" s="65" customFormat="1"/>
    <row r="10769" s="65" customFormat="1"/>
    <row r="10770" s="65" customFormat="1"/>
    <row r="10771" s="65" customFormat="1"/>
    <row r="10772" s="65" customFormat="1"/>
    <row r="10773" s="65" customFormat="1"/>
    <row r="10774" s="65" customFormat="1"/>
    <row r="10775" s="65" customFormat="1"/>
    <row r="10776" s="65" customFormat="1"/>
    <row r="10777" s="65" customFormat="1"/>
    <row r="10778" s="65" customFormat="1"/>
    <row r="10779" s="65" customFormat="1"/>
    <row r="10780" s="65" customFormat="1"/>
    <row r="10781" s="65" customFormat="1"/>
    <row r="10782" s="65" customFormat="1"/>
    <row r="10783" s="65" customFormat="1"/>
    <row r="10784" s="65" customFormat="1"/>
    <row r="10785" s="65" customFormat="1"/>
    <row r="10786" s="65" customFormat="1"/>
    <row r="10787" s="65" customFormat="1"/>
    <row r="10788" s="65" customFormat="1"/>
    <row r="10789" s="65" customFormat="1"/>
    <row r="10790" s="65" customFormat="1"/>
    <row r="10791" s="65" customFormat="1"/>
    <row r="10792" s="65" customFormat="1"/>
    <row r="10793" s="65" customFormat="1"/>
    <row r="10794" s="65" customFormat="1"/>
    <row r="10795" s="65" customFormat="1"/>
    <row r="10796" s="65" customFormat="1"/>
    <row r="10797" s="65" customFormat="1"/>
    <row r="10798" s="65" customFormat="1"/>
    <row r="10799" s="65" customFormat="1"/>
    <row r="10800" s="65" customFormat="1"/>
    <row r="10801" s="65" customFormat="1"/>
    <row r="10802" s="65" customFormat="1"/>
    <row r="10803" s="65" customFormat="1"/>
    <row r="10804" s="65" customFormat="1"/>
    <row r="10805" s="65" customFormat="1"/>
    <row r="10806" s="65" customFormat="1"/>
    <row r="10807" s="65" customFormat="1"/>
    <row r="10808" s="65" customFormat="1"/>
    <row r="10809" s="65" customFormat="1"/>
    <row r="10810" s="65" customFormat="1"/>
    <row r="10811" s="65" customFormat="1"/>
    <row r="10812" s="65" customFormat="1"/>
    <row r="10813" s="65" customFormat="1"/>
    <row r="10814" s="65" customFormat="1"/>
    <row r="10815" s="65" customFormat="1"/>
    <row r="10816" s="65" customFormat="1"/>
    <row r="10817" s="65" customFormat="1"/>
    <row r="10818" s="65" customFormat="1"/>
    <row r="10819" s="65" customFormat="1"/>
    <row r="10820" s="65" customFormat="1"/>
    <row r="10821" s="65" customFormat="1"/>
    <row r="10822" s="65" customFormat="1"/>
    <row r="10823" s="65" customFormat="1"/>
    <row r="10824" s="65" customFormat="1"/>
    <row r="10825" s="65" customFormat="1"/>
    <row r="10826" s="65" customFormat="1"/>
    <row r="10827" s="65" customFormat="1"/>
    <row r="10828" s="65" customFormat="1"/>
    <row r="10829" s="65" customFormat="1"/>
    <row r="10830" s="65" customFormat="1"/>
    <row r="10831" s="65" customFormat="1"/>
    <row r="10832" s="65" customFormat="1"/>
    <row r="10833" s="65" customFormat="1"/>
    <row r="10834" s="65" customFormat="1"/>
    <row r="10835" s="65" customFormat="1"/>
    <row r="10836" s="65" customFormat="1"/>
    <row r="10837" s="65" customFormat="1"/>
    <row r="10838" s="65" customFormat="1"/>
    <row r="10839" s="65" customFormat="1"/>
    <row r="10840" s="65" customFormat="1"/>
    <row r="10841" s="65" customFormat="1"/>
    <row r="10842" s="65" customFormat="1"/>
    <row r="10843" s="65" customFormat="1"/>
    <row r="10844" s="65" customFormat="1"/>
    <row r="10845" s="65" customFormat="1"/>
    <row r="10846" s="65" customFormat="1"/>
    <row r="10847" s="65" customFormat="1"/>
    <row r="10848" s="65" customFormat="1"/>
    <row r="10849" s="65" customFormat="1"/>
    <row r="10850" s="65" customFormat="1"/>
    <row r="10851" s="65" customFormat="1"/>
    <row r="10852" s="65" customFormat="1"/>
    <row r="10853" s="65" customFormat="1"/>
    <row r="10854" s="65" customFormat="1"/>
    <row r="10855" s="65" customFormat="1"/>
    <row r="10856" s="65" customFormat="1"/>
    <row r="10857" s="65" customFormat="1"/>
    <row r="10858" s="65" customFormat="1"/>
    <row r="10859" s="65" customFormat="1"/>
    <row r="10860" s="65" customFormat="1"/>
    <row r="10861" s="65" customFormat="1"/>
    <row r="10862" s="65" customFormat="1"/>
    <row r="10863" s="65" customFormat="1"/>
    <row r="10864" s="65" customFormat="1"/>
    <row r="10865" s="65" customFormat="1"/>
    <row r="10866" s="65" customFormat="1"/>
    <row r="10867" s="65" customFormat="1"/>
    <row r="10868" s="65" customFormat="1"/>
    <row r="10869" s="65" customFormat="1"/>
    <row r="10870" s="65" customFormat="1"/>
    <row r="10871" s="65" customFormat="1"/>
    <row r="10872" s="65" customFormat="1"/>
    <row r="10873" s="65" customFormat="1"/>
    <row r="10874" s="65" customFormat="1"/>
    <row r="10875" s="65" customFormat="1"/>
    <row r="10876" s="65" customFormat="1"/>
    <row r="10877" s="65" customFormat="1"/>
    <row r="10878" s="65" customFormat="1"/>
    <row r="10879" s="65" customFormat="1"/>
    <row r="10880" s="65" customFormat="1"/>
    <row r="10881" s="65" customFormat="1"/>
    <row r="10882" s="65" customFormat="1"/>
    <row r="10883" s="65" customFormat="1"/>
    <row r="10884" s="65" customFormat="1"/>
    <row r="10885" s="65" customFormat="1"/>
    <row r="10886" s="65" customFormat="1"/>
    <row r="10887" s="65" customFormat="1"/>
    <row r="10888" s="65" customFormat="1"/>
    <row r="10889" s="65" customFormat="1"/>
    <row r="10890" s="65" customFormat="1"/>
    <row r="10891" s="65" customFormat="1"/>
    <row r="10892" s="65" customFormat="1"/>
    <row r="10893" s="65" customFormat="1"/>
    <row r="10894" s="65" customFormat="1"/>
    <row r="10895" s="65" customFormat="1"/>
    <row r="10896" s="65" customFormat="1"/>
    <row r="10897" s="65" customFormat="1"/>
    <row r="10898" s="65" customFormat="1"/>
    <row r="10899" s="65" customFormat="1"/>
    <row r="10900" s="65" customFormat="1"/>
    <row r="10901" s="65" customFormat="1"/>
    <row r="10902" s="65" customFormat="1"/>
    <row r="10903" s="65" customFormat="1"/>
    <row r="10904" s="65" customFormat="1"/>
    <row r="10905" s="65" customFormat="1"/>
    <row r="10906" s="65" customFormat="1"/>
    <row r="10907" s="65" customFormat="1"/>
    <row r="10908" s="65" customFormat="1"/>
    <row r="10909" s="65" customFormat="1"/>
    <row r="10910" s="65" customFormat="1"/>
    <row r="10911" s="65" customFormat="1"/>
    <row r="10912" s="65" customFormat="1"/>
    <row r="10913" s="65" customFormat="1"/>
    <row r="10914" s="65" customFormat="1"/>
    <row r="10915" s="65" customFormat="1"/>
    <row r="10916" s="65" customFormat="1"/>
    <row r="10917" s="65" customFormat="1"/>
    <row r="10918" s="65" customFormat="1"/>
    <row r="10919" s="65" customFormat="1"/>
    <row r="10920" s="65" customFormat="1"/>
    <row r="10921" s="65" customFormat="1"/>
    <row r="10922" s="65" customFormat="1"/>
    <row r="10923" s="65" customFormat="1"/>
    <row r="10924" s="65" customFormat="1"/>
    <row r="10925" s="65" customFormat="1"/>
    <row r="10926" s="65" customFormat="1"/>
    <row r="10927" s="65" customFormat="1"/>
    <row r="10928" s="65" customFormat="1"/>
    <row r="10929" s="65" customFormat="1"/>
    <row r="10930" s="65" customFormat="1"/>
    <row r="10931" s="65" customFormat="1"/>
    <row r="10932" s="65" customFormat="1"/>
    <row r="10933" s="65" customFormat="1"/>
    <row r="10934" s="65" customFormat="1"/>
    <row r="10935" s="65" customFormat="1"/>
    <row r="10936" s="65" customFormat="1"/>
    <row r="10937" s="65" customFormat="1"/>
    <row r="10938" s="65" customFormat="1"/>
    <row r="10939" s="65" customFormat="1"/>
    <row r="10940" s="65" customFormat="1"/>
    <row r="10941" s="65" customFormat="1"/>
    <row r="10942" s="65" customFormat="1"/>
    <row r="10943" s="65" customFormat="1"/>
    <row r="10944" s="65" customFormat="1"/>
    <row r="10945" s="65" customFormat="1"/>
    <row r="10946" s="65" customFormat="1"/>
    <row r="10947" s="65" customFormat="1"/>
    <row r="10948" s="65" customFormat="1"/>
    <row r="10949" s="65" customFormat="1"/>
    <row r="10950" s="65" customFormat="1"/>
    <row r="10951" s="65" customFormat="1"/>
    <row r="10952" s="65" customFormat="1"/>
    <row r="10953" s="65" customFormat="1"/>
    <row r="10954" s="65" customFormat="1"/>
    <row r="10955" s="65" customFormat="1"/>
    <row r="10956" s="65" customFormat="1"/>
    <row r="10957" s="65" customFormat="1"/>
    <row r="10958" s="65" customFormat="1"/>
    <row r="10959" s="65" customFormat="1"/>
    <row r="10960" s="65" customFormat="1"/>
    <row r="10961" s="65" customFormat="1"/>
    <row r="10962" s="65" customFormat="1"/>
    <row r="10963" s="65" customFormat="1"/>
    <row r="10964" s="65" customFormat="1"/>
    <row r="10965" s="65" customFormat="1"/>
    <row r="10966" s="65" customFormat="1"/>
    <row r="10967" s="65" customFormat="1"/>
    <row r="10968" s="65" customFormat="1"/>
    <row r="10969" s="65" customFormat="1"/>
    <row r="10970" s="65" customFormat="1"/>
    <row r="10971" s="65" customFormat="1"/>
    <row r="10972" s="65" customFormat="1"/>
    <row r="10973" s="65" customFormat="1"/>
    <row r="10974" s="65" customFormat="1"/>
    <row r="10975" s="65" customFormat="1"/>
    <row r="10976" s="65" customFormat="1"/>
    <row r="10977" s="65" customFormat="1"/>
    <row r="10978" s="65" customFormat="1"/>
    <row r="10979" s="65" customFormat="1"/>
    <row r="10980" s="65" customFormat="1"/>
    <row r="10981" s="65" customFormat="1"/>
    <row r="10982" s="65" customFormat="1"/>
    <row r="10983" s="65" customFormat="1"/>
    <row r="10984" s="65" customFormat="1"/>
    <row r="10985" s="65" customFormat="1"/>
    <row r="10986" s="65" customFormat="1"/>
    <row r="10987" s="65" customFormat="1"/>
    <row r="10988" s="65" customFormat="1"/>
    <row r="10989" s="65" customFormat="1"/>
    <row r="10990" s="65" customFormat="1"/>
    <row r="10991" s="65" customFormat="1"/>
    <row r="10992" s="65" customFormat="1"/>
    <row r="10993" s="65" customFormat="1"/>
    <row r="10994" s="65" customFormat="1"/>
    <row r="10995" s="65" customFormat="1"/>
    <row r="10996" s="65" customFormat="1"/>
    <row r="10997" s="65" customFormat="1"/>
    <row r="10998" s="65" customFormat="1"/>
    <row r="10999" s="65" customFormat="1"/>
    <row r="11000" s="65" customFormat="1"/>
    <row r="11001" s="65" customFormat="1"/>
    <row r="11002" s="65" customFormat="1"/>
    <row r="11003" s="65" customFormat="1"/>
    <row r="11004" s="65" customFormat="1"/>
    <row r="11005" s="65" customFormat="1"/>
    <row r="11006" s="65" customFormat="1"/>
    <row r="11007" s="65" customFormat="1"/>
    <row r="11008" s="65" customFormat="1"/>
    <row r="11009" s="65" customFormat="1"/>
    <row r="11010" s="65" customFormat="1"/>
    <row r="11011" s="65" customFormat="1"/>
    <row r="11012" s="65" customFormat="1"/>
    <row r="11013" s="65" customFormat="1"/>
    <row r="11014" s="65" customFormat="1"/>
    <row r="11015" s="65" customFormat="1"/>
    <row r="11016" s="65" customFormat="1"/>
    <row r="11017" s="65" customFormat="1"/>
    <row r="11018" s="65" customFormat="1"/>
    <row r="11019" s="65" customFormat="1"/>
    <row r="11020" s="65" customFormat="1"/>
    <row r="11021" s="65" customFormat="1"/>
    <row r="11022" s="65" customFormat="1"/>
    <row r="11023" s="65" customFormat="1"/>
    <row r="11024" s="65" customFormat="1"/>
    <row r="11025" s="65" customFormat="1"/>
    <row r="11026" s="65" customFormat="1"/>
    <row r="11027" s="65" customFormat="1"/>
    <row r="11028" s="65" customFormat="1"/>
    <row r="11029" s="65" customFormat="1"/>
    <row r="11030" s="65" customFormat="1"/>
    <row r="11031" s="65" customFormat="1"/>
    <row r="11032" s="65" customFormat="1"/>
    <row r="11033" s="65" customFormat="1"/>
    <row r="11034" s="65" customFormat="1"/>
    <row r="11035" s="65" customFormat="1"/>
    <row r="11036" s="65" customFormat="1"/>
    <row r="11037" s="65" customFormat="1"/>
    <row r="11038" s="65" customFormat="1"/>
    <row r="11039" s="65" customFormat="1"/>
    <row r="11040" s="65" customFormat="1"/>
    <row r="11041" s="65" customFormat="1"/>
    <row r="11042" s="65" customFormat="1"/>
    <row r="11043" s="65" customFormat="1"/>
    <row r="11044" s="65" customFormat="1"/>
    <row r="11045" s="65" customFormat="1"/>
    <row r="11046" s="65" customFormat="1"/>
    <row r="11047" s="65" customFormat="1"/>
    <row r="11048" s="65" customFormat="1"/>
    <row r="11049" s="65" customFormat="1"/>
    <row r="11050" s="65" customFormat="1"/>
    <row r="11051" s="65" customFormat="1"/>
    <row r="11052" s="65" customFormat="1"/>
    <row r="11053" s="65" customFormat="1"/>
    <row r="11054" s="65" customFormat="1"/>
    <row r="11055" s="65" customFormat="1"/>
    <row r="11056" s="65" customFormat="1"/>
    <row r="11057" s="65" customFormat="1"/>
    <row r="11058" s="65" customFormat="1"/>
    <row r="11059" s="65" customFormat="1"/>
    <row r="11060" s="65" customFormat="1"/>
    <row r="11061" s="65" customFormat="1"/>
    <row r="11062" s="65" customFormat="1"/>
    <row r="11063" s="65" customFormat="1"/>
    <row r="11064" s="65" customFormat="1"/>
    <row r="11065" s="65" customFormat="1"/>
    <row r="11066" s="65" customFormat="1"/>
    <row r="11067" s="65" customFormat="1"/>
    <row r="11068" s="65" customFormat="1"/>
    <row r="11069" s="65" customFormat="1"/>
    <row r="11070" s="65" customFormat="1"/>
    <row r="11071" s="65" customFormat="1"/>
    <row r="11072" s="65" customFormat="1"/>
    <row r="11073" s="65" customFormat="1"/>
    <row r="11074" s="65" customFormat="1"/>
    <row r="11075" s="65" customFormat="1"/>
    <row r="11076" s="65" customFormat="1"/>
    <row r="11077" s="65" customFormat="1"/>
    <row r="11078" s="65" customFormat="1"/>
    <row r="11079" s="65" customFormat="1"/>
    <row r="11080" s="65" customFormat="1"/>
    <row r="11081" s="65" customFormat="1"/>
    <row r="11082" s="65" customFormat="1"/>
    <row r="11083" s="65" customFormat="1"/>
    <row r="11084" s="65" customFormat="1"/>
    <row r="11085" s="65" customFormat="1"/>
    <row r="11086" s="65" customFormat="1"/>
    <row r="11087" s="65" customFormat="1"/>
    <row r="11088" s="65" customFormat="1"/>
    <row r="11089" s="65" customFormat="1"/>
    <row r="11090" s="65" customFormat="1"/>
    <row r="11091" s="65" customFormat="1"/>
    <row r="11092" s="65" customFormat="1"/>
    <row r="11093" s="65" customFormat="1"/>
    <row r="11094" s="65" customFormat="1"/>
    <row r="11095" s="65" customFormat="1"/>
    <row r="11096" s="65" customFormat="1"/>
    <row r="11097" s="65" customFormat="1"/>
    <row r="11098" s="65" customFormat="1"/>
    <row r="11099" s="65" customFormat="1"/>
    <row r="11100" s="65" customFormat="1"/>
    <row r="11101" s="65" customFormat="1"/>
    <row r="11102" s="65" customFormat="1"/>
    <row r="11103" s="65" customFormat="1"/>
    <row r="11104" s="65" customFormat="1"/>
    <row r="11105" s="65" customFormat="1"/>
    <row r="11106" s="65" customFormat="1"/>
    <row r="11107" s="65" customFormat="1"/>
    <row r="11108" s="65" customFormat="1"/>
    <row r="11109" s="65" customFormat="1"/>
    <row r="11110" s="65" customFormat="1"/>
    <row r="11111" s="65" customFormat="1"/>
    <row r="11112" s="65" customFormat="1"/>
    <row r="11113" s="65" customFormat="1"/>
    <row r="11114" s="65" customFormat="1"/>
    <row r="11115" s="65" customFormat="1"/>
    <row r="11116" s="65" customFormat="1"/>
    <row r="11117" s="65" customFormat="1"/>
    <row r="11118" s="65" customFormat="1"/>
    <row r="11119" s="65" customFormat="1"/>
    <row r="11120" s="65" customFormat="1"/>
    <row r="11121" s="65" customFormat="1"/>
    <row r="11122" s="65" customFormat="1"/>
    <row r="11123" s="65" customFormat="1"/>
    <row r="11124" s="65" customFormat="1"/>
    <row r="11125" s="65" customFormat="1"/>
    <row r="11126" s="65" customFormat="1"/>
    <row r="11127" s="65" customFormat="1"/>
    <row r="11128" s="65" customFormat="1"/>
    <row r="11129" s="65" customFormat="1"/>
    <row r="11130" s="65" customFormat="1"/>
    <row r="11131" s="65" customFormat="1"/>
    <row r="11132" s="65" customFormat="1"/>
    <row r="11133" s="65" customFormat="1"/>
    <row r="11134" s="65" customFormat="1"/>
    <row r="11135" s="65" customFormat="1"/>
    <row r="11136" s="65" customFormat="1"/>
    <row r="11137" s="65" customFormat="1"/>
    <row r="11138" s="65" customFormat="1"/>
    <row r="11139" s="65" customFormat="1"/>
    <row r="11140" s="65" customFormat="1"/>
    <row r="11141" s="65" customFormat="1"/>
    <row r="11142" s="65" customFormat="1"/>
    <row r="11143" s="65" customFormat="1"/>
    <row r="11144" s="65" customFormat="1"/>
    <row r="11145" s="65" customFormat="1"/>
    <row r="11146" s="65" customFormat="1"/>
    <row r="11147" s="65" customFormat="1"/>
    <row r="11148" s="65" customFormat="1"/>
    <row r="11149" s="65" customFormat="1"/>
    <row r="11150" s="65" customFormat="1"/>
    <row r="11151" s="65" customFormat="1"/>
    <row r="11152" s="65" customFormat="1"/>
    <row r="11153" s="65" customFormat="1"/>
    <row r="11154" s="65" customFormat="1"/>
    <row r="11155" s="65" customFormat="1"/>
    <row r="11156" s="65" customFormat="1"/>
    <row r="11157" s="65" customFormat="1"/>
    <row r="11158" s="65" customFormat="1"/>
    <row r="11159" s="65" customFormat="1"/>
    <row r="11160" s="65" customFormat="1"/>
    <row r="11161" s="65" customFormat="1"/>
    <row r="11162" s="65" customFormat="1"/>
    <row r="11163" s="65" customFormat="1"/>
    <row r="11164" s="65" customFormat="1"/>
    <row r="11165" s="65" customFormat="1"/>
    <row r="11166" s="65" customFormat="1"/>
    <row r="11167" s="65" customFormat="1"/>
    <row r="11168" s="65" customFormat="1"/>
    <row r="11169" s="65" customFormat="1"/>
    <row r="11170" s="65" customFormat="1"/>
    <row r="11171" s="65" customFormat="1"/>
    <row r="11172" s="65" customFormat="1"/>
    <row r="11173" s="65" customFormat="1"/>
    <row r="11174" s="65" customFormat="1"/>
    <row r="11175" s="65" customFormat="1"/>
    <row r="11176" s="65" customFormat="1"/>
    <row r="11177" s="65" customFormat="1"/>
    <row r="11178" s="65" customFormat="1"/>
    <row r="11179" s="65" customFormat="1"/>
    <row r="11180" s="65" customFormat="1"/>
    <row r="11181" s="65" customFormat="1"/>
    <row r="11182" s="65" customFormat="1"/>
    <row r="11183" s="65" customFormat="1"/>
    <row r="11184" s="65" customFormat="1"/>
    <row r="11185" s="65" customFormat="1"/>
    <row r="11186" s="65" customFormat="1"/>
    <row r="11187" s="65" customFormat="1"/>
    <row r="11188" s="65" customFormat="1"/>
    <row r="11189" s="65" customFormat="1"/>
    <row r="11190" s="65" customFormat="1"/>
    <row r="11191" s="65" customFormat="1"/>
    <row r="11192" s="65" customFormat="1"/>
    <row r="11193" s="65" customFormat="1"/>
    <row r="11194" s="65" customFormat="1"/>
    <row r="11195" s="65" customFormat="1"/>
    <row r="11196" s="65" customFormat="1"/>
    <row r="11197" s="65" customFormat="1"/>
    <row r="11198" s="65" customFormat="1"/>
    <row r="11199" s="65" customFormat="1"/>
    <row r="11200" s="65" customFormat="1"/>
    <row r="11201" s="65" customFormat="1"/>
    <row r="11202" s="65" customFormat="1"/>
    <row r="11203" s="65" customFormat="1"/>
    <row r="11204" s="65" customFormat="1"/>
    <row r="11205" s="65" customFormat="1"/>
    <row r="11206" s="65" customFormat="1"/>
    <row r="11207" s="65" customFormat="1"/>
    <row r="11208" s="65" customFormat="1"/>
    <row r="11209" s="65" customFormat="1"/>
    <row r="11210" s="65" customFormat="1"/>
    <row r="11211" s="65" customFormat="1"/>
    <row r="11212" s="65" customFormat="1"/>
    <row r="11213" s="65" customFormat="1"/>
    <row r="11214" s="65" customFormat="1"/>
    <row r="11215" s="65" customFormat="1"/>
    <row r="11216" s="65" customFormat="1"/>
    <row r="11217" s="65" customFormat="1"/>
    <row r="11218" s="65" customFormat="1"/>
    <row r="11219" s="65" customFormat="1"/>
    <row r="11220" s="65" customFormat="1"/>
    <row r="11221" s="65" customFormat="1"/>
    <row r="11222" s="65" customFormat="1"/>
    <row r="11223" s="65" customFormat="1"/>
    <row r="11224" s="65" customFormat="1"/>
    <row r="11225" s="65" customFormat="1"/>
    <row r="11226" s="65" customFormat="1"/>
    <row r="11227" s="65" customFormat="1"/>
    <row r="11228" s="65" customFormat="1"/>
    <row r="11229" s="65" customFormat="1"/>
    <row r="11230" s="65" customFormat="1"/>
    <row r="11231" s="65" customFormat="1"/>
    <row r="11232" s="65" customFormat="1"/>
    <row r="11233" s="65" customFormat="1"/>
    <row r="11234" s="65" customFormat="1"/>
    <row r="11235" s="65" customFormat="1"/>
    <row r="11236" s="65" customFormat="1"/>
    <row r="11237" s="65" customFormat="1"/>
    <row r="11238" s="65" customFormat="1"/>
    <row r="11239" s="65" customFormat="1"/>
    <row r="11240" s="65" customFormat="1"/>
    <row r="11241" s="65" customFormat="1"/>
    <row r="11242" s="65" customFormat="1"/>
    <row r="11243" s="65" customFormat="1"/>
    <row r="11244" s="65" customFormat="1"/>
    <row r="11245" s="65" customFormat="1"/>
    <row r="11246" s="65" customFormat="1"/>
    <row r="11247" s="65" customFormat="1"/>
    <row r="11248" s="65" customFormat="1"/>
    <row r="11249" s="65" customFormat="1"/>
    <row r="11250" s="65" customFormat="1"/>
    <row r="11251" s="65" customFormat="1"/>
    <row r="11252" s="65" customFormat="1"/>
    <row r="11253" s="65" customFormat="1"/>
    <row r="11254" s="65" customFormat="1"/>
    <row r="11255" s="65" customFormat="1"/>
    <row r="11256" s="65" customFormat="1"/>
    <row r="11257" s="65" customFormat="1"/>
    <row r="11258" s="65" customFormat="1"/>
    <row r="11259" s="65" customFormat="1"/>
    <row r="11260" s="65" customFormat="1"/>
    <row r="11261" s="65" customFormat="1"/>
    <row r="11262" s="65" customFormat="1"/>
    <row r="11263" s="65" customFormat="1"/>
    <row r="11264" s="65" customFormat="1"/>
    <row r="11265" s="65" customFormat="1"/>
    <row r="11266" s="65" customFormat="1"/>
    <row r="11267" s="65" customFormat="1"/>
    <row r="11268" s="65" customFormat="1"/>
    <row r="11269" s="65" customFormat="1"/>
    <row r="11270" s="65" customFormat="1"/>
    <row r="11271" s="65" customFormat="1"/>
    <row r="11272" s="65" customFormat="1"/>
    <row r="11273" s="65" customFormat="1"/>
    <row r="11274" s="65" customFormat="1"/>
    <row r="11275" s="65" customFormat="1"/>
    <row r="11276" s="65" customFormat="1"/>
    <row r="11277" s="65" customFormat="1"/>
    <row r="11278" s="65" customFormat="1"/>
    <row r="11279" s="65" customFormat="1"/>
    <row r="11280" s="65" customFormat="1"/>
    <row r="11281" s="65" customFormat="1"/>
    <row r="11282" s="65" customFormat="1"/>
    <row r="11283" s="65" customFormat="1"/>
    <row r="11284" s="65" customFormat="1"/>
    <row r="11285" s="65" customFormat="1"/>
    <row r="11286" s="65" customFormat="1"/>
    <row r="11287" s="65" customFormat="1"/>
    <row r="11288" s="65" customFormat="1"/>
    <row r="11289" s="65" customFormat="1"/>
    <row r="11290" s="65" customFormat="1"/>
    <row r="11291" s="65" customFormat="1"/>
    <row r="11292" s="65" customFormat="1"/>
    <row r="11293" s="65" customFormat="1"/>
    <row r="11294" s="65" customFormat="1"/>
    <row r="11295" s="65" customFormat="1"/>
    <row r="11296" s="65" customFormat="1"/>
    <row r="11297" s="65" customFormat="1"/>
    <row r="11298" s="65" customFormat="1"/>
    <row r="11299" s="65" customFormat="1"/>
    <row r="11300" s="65" customFormat="1"/>
    <row r="11301" s="65" customFormat="1"/>
    <row r="11302" s="65" customFormat="1"/>
    <row r="11303" s="65" customFormat="1"/>
    <row r="11304" s="65" customFormat="1"/>
    <row r="11305" s="65" customFormat="1"/>
    <row r="11306" s="65" customFormat="1"/>
    <row r="11307" s="65" customFormat="1"/>
    <row r="11308" s="65" customFormat="1"/>
    <row r="11309" s="65" customFormat="1"/>
    <row r="11310" s="65" customFormat="1"/>
    <row r="11311" s="65" customFormat="1"/>
    <row r="11312" s="65" customFormat="1"/>
    <row r="11313" s="65" customFormat="1"/>
    <row r="11314" s="65" customFormat="1"/>
    <row r="11315" s="65" customFormat="1"/>
    <row r="11316" s="65" customFormat="1"/>
    <row r="11317" s="65" customFormat="1"/>
    <row r="11318" s="65" customFormat="1"/>
    <row r="11319" s="65" customFormat="1"/>
    <row r="11320" s="65" customFormat="1"/>
    <row r="11321" s="65" customFormat="1"/>
    <row r="11322" s="65" customFormat="1"/>
    <row r="11323" s="65" customFormat="1"/>
    <row r="11324" s="65" customFormat="1"/>
    <row r="11325" s="65" customFormat="1"/>
    <row r="11326" s="65" customFormat="1"/>
    <row r="11327" s="65" customFormat="1"/>
    <row r="11328" s="65" customFormat="1"/>
    <row r="11329" s="65" customFormat="1"/>
    <row r="11330" s="65" customFormat="1"/>
    <row r="11331" s="65" customFormat="1"/>
    <row r="11332" s="65" customFormat="1"/>
    <row r="11333" s="65" customFormat="1"/>
    <row r="11334" s="65" customFormat="1"/>
    <row r="11335" s="65" customFormat="1"/>
    <row r="11336" s="65" customFormat="1"/>
    <row r="11337" s="65" customFormat="1"/>
    <row r="11338" s="65" customFormat="1"/>
    <row r="11339" s="65" customFormat="1"/>
    <row r="11340" s="65" customFormat="1"/>
    <row r="11341" s="65" customFormat="1"/>
    <row r="11342" s="65" customFormat="1"/>
    <row r="11343" s="65" customFormat="1"/>
    <row r="11344" s="65" customFormat="1"/>
    <row r="11345" s="65" customFormat="1"/>
    <row r="11346" s="65" customFormat="1"/>
    <row r="11347" s="65" customFormat="1"/>
    <row r="11348" s="65" customFormat="1"/>
    <row r="11349" s="65" customFormat="1"/>
    <row r="11350" s="65" customFormat="1"/>
    <row r="11351" s="65" customFormat="1"/>
    <row r="11352" s="65" customFormat="1"/>
    <row r="11353" s="65" customFormat="1"/>
    <row r="11354" s="65" customFormat="1"/>
    <row r="11355" s="65" customFormat="1"/>
    <row r="11356" s="65" customFormat="1"/>
    <row r="11357" s="65" customFormat="1"/>
    <row r="11358" s="65" customFormat="1"/>
    <row r="11359" s="65" customFormat="1"/>
    <row r="11360" s="65" customFormat="1"/>
    <row r="11361" s="65" customFormat="1"/>
    <row r="11362" s="65" customFormat="1"/>
    <row r="11363" s="65" customFormat="1"/>
    <row r="11364" s="65" customFormat="1"/>
    <row r="11365" s="65" customFormat="1"/>
    <row r="11366" s="65" customFormat="1"/>
    <row r="11367" s="65" customFormat="1"/>
    <row r="11368" s="65" customFormat="1"/>
    <row r="11369" s="65" customFormat="1"/>
    <row r="11370" s="65" customFormat="1"/>
    <row r="11371" s="65" customFormat="1"/>
    <row r="11372" s="65" customFormat="1"/>
    <row r="11373" s="65" customFormat="1"/>
    <row r="11374" s="65" customFormat="1"/>
    <row r="11375" s="65" customFormat="1"/>
    <row r="11376" s="65" customFormat="1"/>
    <row r="11377" s="65" customFormat="1"/>
    <row r="11378" s="65" customFormat="1"/>
    <row r="11379" s="65" customFormat="1"/>
    <row r="11380" s="65" customFormat="1"/>
    <row r="11381" s="65" customFormat="1"/>
    <row r="11382" s="65" customFormat="1"/>
    <row r="11383" s="65" customFormat="1"/>
    <row r="11384" s="65" customFormat="1"/>
    <row r="11385" s="65" customFormat="1"/>
    <row r="11386" s="65" customFormat="1"/>
    <row r="11387" s="65" customFormat="1"/>
    <row r="11388" s="65" customFormat="1"/>
    <row r="11389" s="65" customFormat="1"/>
    <row r="11390" s="65" customFormat="1"/>
    <row r="11391" s="65" customFormat="1"/>
    <row r="11392" s="65" customFormat="1"/>
    <row r="11393" s="65" customFormat="1"/>
    <row r="11394" s="65" customFormat="1"/>
    <row r="11395" s="65" customFormat="1"/>
    <row r="11396" s="65" customFormat="1"/>
    <row r="11397" s="65" customFormat="1"/>
    <row r="11398" s="65" customFormat="1"/>
    <row r="11399" s="65" customFormat="1"/>
    <row r="11400" s="65" customFormat="1"/>
    <row r="11401" s="65" customFormat="1"/>
    <row r="11402" s="65" customFormat="1"/>
    <row r="11403" s="65" customFormat="1"/>
    <row r="11404" s="65" customFormat="1"/>
    <row r="11405" s="65" customFormat="1"/>
    <row r="11406" s="65" customFormat="1"/>
    <row r="11407" s="65" customFormat="1"/>
    <row r="11408" s="65" customFormat="1"/>
    <row r="11409" s="65" customFormat="1"/>
    <row r="11410" s="65" customFormat="1"/>
    <row r="11411" s="65" customFormat="1"/>
    <row r="11412" s="65" customFormat="1"/>
    <row r="11413" s="65" customFormat="1"/>
    <row r="11414" s="65" customFormat="1"/>
    <row r="11415" s="65" customFormat="1"/>
    <row r="11416" s="65" customFormat="1"/>
    <row r="11417" s="65" customFormat="1"/>
    <row r="11418" s="65" customFormat="1"/>
    <row r="11419" s="65" customFormat="1"/>
    <row r="11420" s="65" customFormat="1"/>
    <row r="11421" s="65" customFormat="1"/>
    <row r="11422" s="65" customFormat="1"/>
    <row r="11423" s="65" customFormat="1"/>
    <row r="11424" s="65" customFormat="1"/>
    <row r="11425" s="65" customFormat="1"/>
    <row r="11426" s="65" customFormat="1"/>
    <row r="11427" s="65" customFormat="1"/>
    <row r="11428" s="65" customFormat="1"/>
    <row r="11429" s="65" customFormat="1"/>
    <row r="11430" s="65" customFormat="1"/>
    <row r="11431" s="65" customFormat="1"/>
    <row r="11432" s="65" customFormat="1"/>
    <row r="11433" s="65" customFormat="1"/>
    <row r="11434" s="65" customFormat="1"/>
    <row r="11435" s="65" customFormat="1"/>
    <row r="11436" s="65" customFormat="1"/>
    <row r="11437" s="65" customFormat="1"/>
    <row r="11438" s="65" customFormat="1"/>
    <row r="11439" s="65" customFormat="1"/>
    <row r="11440" s="65" customFormat="1"/>
    <row r="11441" s="65" customFormat="1"/>
    <row r="11442" s="65" customFormat="1"/>
    <row r="11443" s="65" customFormat="1"/>
    <row r="11444" s="65" customFormat="1"/>
    <row r="11445" s="65" customFormat="1"/>
    <row r="11446" s="65" customFormat="1"/>
    <row r="11447" s="65" customFormat="1"/>
    <row r="11448" s="65" customFormat="1"/>
    <row r="11449" s="65" customFormat="1"/>
    <row r="11450" s="65" customFormat="1"/>
    <row r="11451" s="65" customFormat="1"/>
    <row r="11452" s="65" customFormat="1"/>
    <row r="11453" s="65" customFormat="1"/>
    <row r="11454" s="65" customFormat="1"/>
    <row r="11455" s="65" customFormat="1"/>
    <row r="11456" s="65" customFormat="1"/>
    <row r="11457" s="65" customFormat="1"/>
    <row r="11458" s="65" customFormat="1"/>
    <row r="11459" s="65" customFormat="1"/>
    <row r="11460" s="65" customFormat="1"/>
    <row r="11461" s="65" customFormat="1"/>
    <row r="11462" s="65" customFormat="1"/>
    <row r="11463" s="65" customFormat="1"/>
    <row r="11464" s="65" customFormat="1"/>
    <row r="11465" s="65" customFormat="1"/>
    <row r="11466" s="65" customFormat="1"/>
    <row r="11467" s="65" customFormat="1"/>
    <row r="11468" s="65" customFormat="1"/>
    <row r="11469" s="65" customFormat="1"/>
    <row r="11470" s="65" customFormat="1"/>
    <row r="11471" s="65" customFormat="1"/>
    <row r="11472" s="65" customFormat="1"/>
    <row r="11473" s="65" customFormat="1"/>
    <row r="11474" s="65" customFormat="1"/>
    <row r="11475" s="65" customFormat="1"/>
    <row r="11476" s="65" customFormat="1"/>
    <row r="11477" s="65" customFormat="1"/>
    <row r="11478" s="65" customFormat="1"/>
    <row r="11479" s="65" customFormat="1"/>
    <row r="11480" s="65" customFormat="1"/>
    <row r="11481" s="65" customFormat="1"/>
    <row r="11482" s="65" customFormat="1"/>
    <row r="11483" s="65" customFormat="1"/>
    <row r="11484" s="65" customFormat="1"/>
    <row r="11485" s="65" customFormat="1"/>
    <row r="11486" s="65" customFormat="1"/>
    <row r="11487" s="65" customFormat="1"/>
    <row r="11488" s="65" customFormat="1"/>
    <row r="11489" s="65" customFormat="1"/>
    <row r="11490" s="65" customFormat="1"/>
    <row r="11491" s="65" customFormat="1"/>
    <row r="11492" s="65" customFormat="1"/>
    <row r="11493" s="65" customFormat="1"/>
    <row r="11494" s="65" customFormat="1"/>
    <row r="11495" s="65" customFormat="1"/>
    <row r="11496" s="65" customFormat="1"/>
    <row r="11497" s="65" customFormat="1"/>
    <row r="11498" s="65" customFormat="1"/>
    <row r="11499" s="65" customFormat="1"/>
    <row r="11500" s="65" customFormat="1"/>
    <row r="11501" s="65" customFormat="1"/>
    <row r="11502" s="65" customFormat="1"/>
    <row r="11503" s="65" customFormat="1"/>
    <row r="11504" s="65" customFormat="1"/>
    <row r="11505" s="65" customFormat="1"/>
    <row r="11506" s="65" customFormat="1"/>
    <row r="11507" s="65" customFormat="1"/>
    <row r="11508" s="65" customFormat="1"/>
    <row r="11509" s="65" customFormat="1"/>
    <row r="11510" s="65" customFormat="1"/>
    <row r="11511" s="65" customFormat="1"/>
    <row r="11512" s="65" customFormat="1"/>
    <row r="11513" s="65" customFormat="1"/>
    <row r="11514" s="65" customFormat="1"/>
    <row r="11515" s="65" customFormat="1"/>
    <row r="11516" s="65" customFormat="1"/>
    <row r="11517" s="65" customFormat="1"/>
    <row r="11518" s="65" customFormat="1"/>
    <row r="11519" s="65" customFormat="1"/>
    <row r="11520" s="65" customFormat="1"/>
    <row r="11521" s="65" customFormat="1"/>
    <row r="11522" s="65" customFormat="1"/>
    <row r="11523" s="65" customFormat="1"/>
    <row r="11524" s="65" customFormat="1"/>
    <row r="11525" s="65" customFormat="1"/>
    <row r="11526" s="65" customFormat="1"/>
    <row r="11527" s="65" customFormat="1"/>
    <row r="11528" s="65" customFormat="1"/>
    <row r="11529" s="65" customFormat="1"/>
    <row r="11530" s="65" customFormat="1"/>
    <row r="11531" s="65" customFormat="1"/>
    <row r="11532" s="65" customFormat="1"/>
    <row r="11533" s="65" customFormat="1"/>
    <row r="11534" s="65" customFormat="1"/>
    <row r="11535" s="65" customFormat="1"/>
    <row r="11536" s="65" customFormat="1"/>
    <row r="11537" s="65" customFormat="1"/>
    <row r="11538" s="65" customFormat="1"/>
    <row r="11539" s="65" customFormat="1"/>
    <row r="11540" s="65" customFormat="1"/>
    <row r="11541" s="65" customFormat="1"/>
    <row r="11542" s="65" customFormat="1"/>
    <row r="11543" s="65" customFormat="1"/>
    <row r="11544" s="65" customFormat="1"/>
    <row r="11545" s="65" customFormat="1"/>
    <row r="11546" s="65" customFormat="1"/>
    <row r="11547" s="65" customFormat="1"/>
    <row r="11548" s="65" customFormat="1"/>
    <row r="11549" s="65" customFormat="1"/>
    <row r="11550" s="65" customFormat="1"/>
    <row r="11551" s="65" customFormat="1"/>
    <row r="11552" s="65" customFormat="1"/>
    <row r="11553" s="65" customFormat="1"/>
    <row r="11554" s="65" customFormat="1"/>
    <row r="11555" s="65" customFormat="1"/>
    <row r="11556" s="65" customFormat="1"/>
    <row r="11557" s="65" customFormat="1"/>
    <row r="11558" s="65" customFormat="1"/>
    <row r="11559" s="65" customFormat="1"/>
    <row r="11560" s="65" customFormat="1"/>
    <row r="11561" s="65" customFormat="1"/>
    <row r="11562" s="65" customFormat="1"/>
    <row r="11563" s="65" customFormat="1"/>
    <row r="11564" s="65" customFormat="1"/>
    <row r="11565" s="65" customFormat="1"/>
    <row r="11566" s="65" customFormat="1"/>
    <row r="11567" s="65" customFormat="1"/>
    <row r="11568" s="65" customFormat="1"/>
    <row r="11569" s="65" customFormat="1"/>
    <row r="11570" s="65" customFormat="1"/>
    <row r="11571" s="65" customFormat="1"/>
    <row r="11572" s="65" customFormat="1"/>
    <row r="11573" s="65" customFormat="1"/>
    <row r="11574" s="65" customFormat="1"/>
    <row r="11575" s="65" customFormat="1"/>
    <row r="11576" s="65" customFormat="1"/>
    <row r="11577" s="65" customFormat="1"/>
    <row r="11578" s="65" customFormat="1"/>
    <row r="11579" s="65" customFormat="1"/>
    <row r="11580" s="65" customFormat="1"/>
    <row r="11581" s="65" customFormat="1"/>
    <row r="11582" s="65" customFormat="1"/>
    <row r="11583" s="65" customFormat="1"/>
    <row r="11584" s="65" customFormat="1"/>
    <row r="11585" s="65" customFormat="1"/>
    <row r="11586" s="65" customFormat="1"/>
    <row r="11587" s="65" customFormat="1"/>
    <row r="11588" s="65" customFormat="1"/>
    <row r="11589" s="65" customFormat="1"/>
    <row r="11590" s="65" customFormat="1"/>
    <row r="11591" s="65" customFormat="1"/>
    <row r="11592" s="65" customFormat="1"/>
    <row r="11593" s="65" customFormat="1"/>
    <row r="11594" s="65" customFormat="1"/>
    <row r="11595" s="65" customFormat="1"/>
    <row r="11596" s="65" customFormat="1"/>
    <row r="11597" s="65" customFormat="1"/>
    <row r="11598" s="65" customFormat="1"/>
    <row r="11599" s="65" customFormat="1"/>
    <row r="11600" s="65" customFormat="1"/>
    <row r="11601" s="65" customFormat="1"/>
    <row r="11602" s="65" customFormat="1"/>
    <row r="11603" s="65" customFormat="1"/>
    <row r="11604" s="65" customFormat="1"/>
    <row r="11605" s="65" customFormat="1"/>
    <row r="11606" s="65" customFormat="1"/>
    <row r="11607" s="65" customFormat="1"/>
    <row r="11608" s="65" customFormat="1"/>
    <row r="11609" s="65" customFormat="1"/>
    <row r="11610" s="65" customFormat="1"/>
    <row r="11611" s="65" customFormat="1"/>
    <row r="11612" s="65" customFormat="1"/>
    <row r="11613" s="65" customFormat="1"/>
    <row r="11614" s="65" customFormat="1"/>
    <row r="11615" s="65" customFormat="1"/>
    <row r="11616" s="65" customFormat="1"/>
    <row r="11617" s="65" customFormat="1"/>
    <row r="11618" s="65" customFormat="1"/>
    <row r="11619" s="65" customFormat="1"/>
    <row r="11620" s="65" customFormat="1"/>
    <row r="11621" s="65" customFormat="1"/>
    <row r="11622" s="65" customFormat="1"/>
    <row r="11623" s="65" customFormat="1"/>
    <row r="11624" s="65" customFormat="1"/>
    <row r="11625" s="65" customFormat="1"/>
    <row r="11626" s="65" customFormat="1"/>
    <row r="11627" s="65" customFormat="1"/>
    <row r="11628" s="65" customFormat="1"/>
    <row r="11629" s="65" customFormat="1"/>
    <row r="11630" s="65" customFormat="1"/>
    <row r="11631" s="65" customFormat="1"/>
    <row r="11632" s="65" customFormat="1"/>
    <row r="11633" s="65" customFormat="1"/>
    <row r="11634" s="65" customFormat="1"/>
    <row r="11635" s="65" customFormat="1"/>
    <row r="11636" s="65" customFormat="1"/>
    <row r="11637" s="65" customFormat="1"/>
    <row r="11638" s="65" customFormat="1"/>
    <row r="11639" s="65" customFormat="1"/>
    <row r="11640" s="65" customFormat="1"/>
    <row r="11641" s="65" customFormat="1"/>
    <row r="11642" s="65" customFormat="1"/>
    <row r="11643" s="65" customFormat="1"/>
    <row r="11644" s="65" customFormat="1"/>
    <row r="11645" s="65" customFormat="1"/>
    <row r="11646" s="65" customFormat="1"/>
    <row r="11647" s="65" customFormat="1"/>
    <row r="11648" s="65" customFormat="1"/>
    <row r="11649" s="65" customFormat="1"/>
    <row r="11650" s="65" customFormat="1"/>
    <row r="11651" s="65" customFormat="1"/>
    <row r="11652" s="65" customFormat="1"/>
    <row r="11653" s="65" customFormat="1"/>
    <row r="11654" s="65" customFormat="1"/>
    <row r="11655" s="65" customFormat="1"/>
    <row r="11656" s="65" customFormat="1"/>
    <row r="11657" s="65" customFormat="1"/>
    <row r="11658" s="65" customFormat="1"/>
    <row r="11659" s="65" customFormat="1"/>
    <row r="11660" s="65" customFormat="1"/>
    <row r="11661" s="65" customFormat="1"/>
    <row r="11662" s="65" customFormat="1"/>
    <row r="11663" s="65" customFormat="1"/>
    <row r="11664" s="65" customFormat="1"/>
    <row r="11665" s="65" customFormat="1"/>
    <row r="11666" s="65" customFormat="1"/>
    <row r="11667" s="65" customFormat="1"/>
    <row r="11668" s="65" customFormat="1"/>
    <row r="11669" s="65" customFormat="1"/>
    <row r="11670" s="65" customFormat="1"/>
    <row r="11671" s="65" customFormat="1"/>
    <row r="11672" s="65" customFormat="1"/>
    <row r="11673" s="65" customFormat="1"/>
    <row r="11674" s="65" customFormat="1"/>
    <row r="11675" s="65" customFormat="1"/>
    <row r="11676" s="65" customFormat="1"/>
    <row r="11677" s="65" customFormat="1"/>
    <row r="11678" s="65" customFormat="1"/>
    <row r="11679" s="65" customFormat="1"/>
    <row r="11680" s="65" customFormat="1"/>
    <row r="11681" s="65" customFormat="1"/>
    <row r="11682" s="65" customFormat="1"/>
    <row r="11683" s="65" customFormat="1"/>
    <row r="11684" s="65" customFormat="1"/>
    <row r="11685" s="65" customFormat="1"/>
    <row r="11686" s="65" customFormat="1"/>
    <row r="11687" s="65" customFormat="1"/>
    <row r="11688" s="65" customFormat="1"/>
    <row r="11689" s="65" customFormat="1"/>
    <row r="11690" s="65" customFormat="1"/>
    <row r="11691" s="65" customFormat="1"/>
    <row r="11692" s="65" customFormat="1"/>
    <row r="11693" s="65" customFormat="1"/>
    <row r="11694" s="65" customFormat="1"/>
    <row r="11695" s="65" customFormat="1"/>
    <row r="11696" s="65" customFormat="1"/>
    <row r="11697" s="65" customFormat="1"/>
    <row r="11698" s="65" customFormat="1"/>
    <row r="11699" s="65" customFormat="1"/>
    <row r="11700" s="65" customFormat="1"/>
    <row r="11701" s="65" customFormat="1"/>
    <row r="11702" s="65" customFormat="1"/>
    <row r="11703" s="65" customFormat="1"/>
    <row r="11704" s="65" customFormat="1"/>
    <row r="11705" s="65" customFormat="1"/>
    <row r="11706" s="65" customFormat="1"/>
    <row r="11707" s="65" customFormat="1"/>
    <row r="11708" s="65" customFormat="1"/>
    <row r="11709" s="65" customFormat="1"/>
    <row r="11710" s="65" customFormat="1"/>
    <row r="11711" s="65" customFormat="1"/>
    <row r="11712" s="65" customFormat="1"/>
    <row r="11713" s="65" customFormat="1"/>
    <row r="11714" s="65" customFormat="1"/>
    <row r="11715" s="65" customFormat="1"/>
    <row r="11716" s="65" customFormat="1"/>
    <row r="11717" s="65" customFormat="1"/>
    <row r="11718" s="65" customFormat="1"/>
    <row r="11719" s="65" customFormat="1"/>
    <row r="11720" s="65" customFormat="1"/>
    <row r="11721" s="65" customFormat="1"/>
    <row r="11722" s="65" customFormat="1"/>
    <row r="11723" s="65" customFormat="1"/>
    <row r="11724" s="65" customFormat="1"/>
    <row r="11725" s="65" customFormat="1"/>
    <row r="11726" s="65" customFormat="1"/>
    <row r="11727" s="65" customFormat="1"/>
    <row r="11728" s="65" customFormat="1"/>
    <row r="11729" s="65" customFormat="1"/>
    <row r="11730" s="65" customFormat="1"/>
    <row r="11731" s="65" customFormat="1"/>
    <row r="11732" s="65" customFormat="1"/>
    <row r="11733" s="65" customFormat="1"/>
    <row r="11734" s="65" customFormat="1"/>
    <row r="11735" s="65" customFormat="1"/>
    <row r="11736" s="65" customFormat="1"/>
    <row r="11737" s="65" customFormat="1"/>
    <row r="11738" s="65" customFormat="1"/>
    <row r="11739" s="65" customFormat="1"/>
    <row r="11740" s="65" customFormat="1"/>
    <row r="11741" s="65" customFormat="1"/>
    <row r="11742" s="65" customFormat="1"/>
    <row r="11743" s="65" customFormat="1"/>
    <row r="11744" s="65" customFormat="1"/>
    <row r="11745" s="65" customFormat="1"/>
    <row r="11746" s="65" customFormat="1"/>
    <row r="11747" s="65" customFormat="1"/>
    <row r="11748" s="65" customFormat="1"/>
    <row r="11749" s="65" customFormat="1"/>
    <row r="11750" s="65" customFormat="1"/>
    <row r="11751" s="65" customFormat="1"/>
    <row r="11752" s="65" customFormat="1"/>
    <row r="11753" s="65" customFormat="1"/>
    <row r="11754" s="65" customFormat="1"/>
    <row r="11755" s="65" customFormat="1"/>
    <row r="11756" s="65" customFormat="1"/>
    <row r="11757" s="65" customFormat="1"/>
    <row r="11758" s="65" customFormat="1"/>
    <row r="11759" s="65" customFormat="1"/>
    <row r="11760" s="65" customFormat="1"/>
    <row r="11761" s="65" customFormat="1"/>
    <row r="11762" s="65" customFormat="1"/>
    <row r="11763" s="65" customFormat="1"/>
    <row r="11764" s="65" customFormat="1"/>
    <row r="11765" s="65" customFormat="1"/>
    <row r="11766" s="65" customFormat="1"/>
    <row r="11767" s="65" customFormat="1"/>
    <row r="11768" s="65" customFormat="1"/>
    <row r="11769" s="65" customFormat="1"/>
    <row r="11770" s="65" customFormat="1"/>
    <row r="11771" s="65" customFormat="1"/>
    <row r="11772" s="65" customFormat="1"/>
    <row r="11773" s="65" customFormat="1"/>
    <row r="11774" s="65" customFormat="1"/>
    <row r="11775" s="65" customFormat="1"/>
    <row r="11776" s="65" customFormat="1"/>
    <row r="11777" s="65" customFormat="1"/>
    <row r="11778" s="65" customFormat="1"/>
    <row r="11779" s="65" customFormat="1"/>
    <row r="11780" s="65" customFormat="1"/>
    <row r="11781" s="65" customFormat="1"/>
    <row r="11782" s="65" customFormat="1"/>
    <row r="11783" s="65" customFormat="1"/>
    <row r="11784" s="65" customFormat="1"/>
    <row r="11785" s="65" customFormat="1"/>
    <row r="11786" s="65" customFormat="1"/>
    <row r="11787" s="65" customFormat="1"/>
    <row r="11788" s="65" customFormat="1"/>
    <row r="11789" s="65" customFormat="1"/>
    <row r="11790" s="65" customFormat="1"/>
    <row r="11791" s="65" customFormat="1"/>
    <row r="11792" s="65" customFormat="1"/>
    <row r="11793" s="65" customFormat="1"/>
    <row r="11794" s="65" customFormat="1"/>
    <row r="11795" s="65" customFormat="1"/>
    <row r="11796" s="65" customFormat="1"/>
    <row r="11797" s="65" customFormat="1"/>
    <row r="11798" s="65" customFormat="1"/>
    <row r="11799" s="65" customFormat="1"/>
    <row r="11800" s="65" customFormat="1"/>
    <row r="11801" s="65" customFormat="1"/>
    <row r="11802" s="65" customFormat="1"/>
    <row r="11803" s="65" customFormat="1"/>
    <row r="11804" s="65" customFormat="1"/>
    <row r="11805" s="65" customFormat="1"/>
    <row r="11806" s="65" customFormat="1"/>
    <row r="11807" s="65" customFormat="1"/>
    <row r="11808" s="65" customFormat="1"/>
    <row r="11809" s="65" customFormat="1"/>
    <row r="11810" s="65" customFormat="1"/>
    <row r="11811" s="65" customFormat="1"/>
    <row r="11812" s="65" customFormat="1"/>
    <row r="11813" s="65" customFormat="1"/>
    <row r="11814" s="65" customFormat="1"/>
    <row r="11815" s="65" customFormat="1"/>
    <row r="11816" s="65" customFormat="1"/>
    <row r="11817" s="65" customFormat="1"/>
    <row r="11818" s="65" customFormat="1"/>
    <row r="11819" s="65" customFormat="1"/>
    <row r="11820" s="65" customFormat="1"/>
    <row r="11821" s="65" customFormat="1"/>
    <row r="11822" s="65" customFormat="1"/>
    <row r="11823" s="65" customFormat="1"/>
    <row r="11824" s="65" customFormat="1"/>
    <row r="11825" s="65" customFormat="1"/>
    <row r="11826" s="65" customFormat="1"/>
    <row r="11827" s="65" customFormat="1"/>
    <row r="11828" s="65" customFormat="1"/>
    <row r="11829" s="65" customFormat="1"/>
    <row r="11830" s="65" customFormat="1"/>
    <row r="11831" s="65" customFormat="1"/>
    <row r="11832" s="65" customFormat="1"/>
    <row r="11833" s="65" customFormat="1"/>
    <row r="11834" s="65" customFormat="1"/>
    <row r="11835" s="65" customFormat="1"/>
    <row r="11836" s="65" customFormat="1"/>
    <row r="11837" s="65" customFormat="1"/>
    <row r="11838" s="65" customFormat="1"/>
    <row r="11839" s="65" customFormat="1"/>
    <row r="11840" s="65" customFormat="1"/>
    <row r="11841" s="65" customFormat="1"/>
    <row r="11842" s="65" customFormat="1"/>
    <row r="11843" s="65" customFormat="1"/>
    <row r="11844" s="65" customFormat="1"/>
    <row r="11845" s="65" customFormat="1"/>
    <row r="11846" s="65" customFormat="1"/>
    <row r="11847" s="65" customFormat="1"/>
    <row r="11848" s="65" customFormat="1"/>
    <row r="11849" s="65" customFormat="1"/>
    <row r="11850" s="65" customFormat="1"/>
    <row r="11851" s="65" customFormat="1"/>
    <row r="11852" s="65" customFormat="1"/>
    <row r="11853" s="65" customFormat="1"/>
    <row r="11854" s="65" customFormat="1"/>
    <row r="11855" s="65" customFormat="1"/>
    <row r="11856" s="65" customFormat="1"/>
    <row r="11857" s="65" customFormat="1"/>
    <row r="11858" s="65" customFormat="1"/>
    <row r="11859" s="65" customFormat="1"/>
    <row r="11860" s="65" customFormat="1"/>
    <row r="11861" s="65" customFormat="1"/>
    <row r="11862" s="65" customFormat="1"/>
    <row r="11863" s="65" customFormat="1"/>
    <row r="11864" s="65" customFormat="1"/>
    <row r="11865" s="65" customFormat="1"/>
    <row r="11866" s="65" customFormat="1"/>
    <row r="11867" s="65" customFormat="1"/>
    <row r="11868" s="65" customFormat="1"/>
    <row r="11869" s="65" customFormat="1"/>
    <row r="11870" s="65" customFormat="1"/>
    <row r="11871" s="65" customFormat="1"/>
    <row r="11872" s="65" customFormat="1"/>
    <row r="11873" s="65" customFormat="1"/>
    <row r="11874" s="65" customFormat="1"/>
    <row r="11875" s="65" customFormat="1"/>
    <row r="11876" s="65" customFormat="1"/>
    <row r="11877" s="65" customFormat="1"/>
    <row r="11878" s="65" customFormat="1"/>
    <row r="11879" s="65" customFormat="1"/>
    <row r="11880" s="65" customFormat="1"/>
    <row r="11881" s="65" customFormat="1"/>
    <row r="11882" s="65" customFormat="1"/>
    <row r="11883" s="65" customFormat="1"/>
    <row r="11884" s="65" customFormat="1"/>
    <row r="11885" s="65" customFormat="1"/>
    <row r="11886" s="65" customFormat="1"/>
    <row r="11887" s="65" customFormat="1"/>
    <row r="11888" s="65" customFormat="1"/>
    <row r="11889" s="65" customFormat="1"/>
    <row r="11890" s="65" customFormat="1"/>
    <row r="11891" s="65" customFormat="1"/>
    <row r="11892" s="65" customFormat="1"/>
    <row r="11893" s="65" customFormat="1"/>
    <row r="11894" s="65" customFormat="1"/>
    <row r="11895" s="65" customFormat="1"/>
    <row r="11896" s="65" customFormat="1"/>
    <row r="11897" s="65" customFormat="1"/>
    <row r="11898" s="65" customFormat="1"/>
    <row r="11899" s="65" customFormat="1"/>
    <row r="11900" s="65" customFormat="1"/>
    <row r="11901" s="65" customFormat="1"/>
    <row r="11902" s="65" customFormat="1"/>
    <row r="11903" s="65" customFormat="1"/>
    <row r="11904" s="65" customFormat="1"/>
    <row r="11905" s="65" customFormat="1"/>
    <row r="11906" s="65" customFormat="1"/>
    <row r="11907" s="65" customFormat="1"/>
    <row r="11908" s="65" customFormat="1"/>
    <row r="11909" s="65" customFormat="1"/>
    <row r="11910" s="65" customFormat="1"/>
    <row r="11911" s="65" customFormat="1"/>
    <row r="11912" s="65" customFormat="1"/>
    <row r="11913" s="65" customFormat="1"/>
    <row r="11914" s="65" customFormat="1"/>
    <row r="11915" s="65" customFormat="1"/>
    <row r="11916" s="65" customFormat="1"/>
    <row r="11917" s="65" customFormat="1"/>
    <row r="11918" s="65" customFormat="1"/>
    <row r="11919" s="65" customFormat="1"/>
    <row r="11920" s="65" customFormat="1"/>
    <row r="11921" s="65" customFormat="1"/>
    <row r="11922" s="65" customFormat="1"/>
    <row r="11923" s="65" customFormat="1"/>
    <row r="11924" s="65" customFormat="1"/>
    <row r="11925" s="65" customFormat="1"/>
    <row r="11926" s="65" customFormat="1"/>
    <row r="11927" s="65" customFormat="1"/>
    <row r="11928" s="65" customFormat="1"/>
    <row r="11929" s="65" customFormat="1"/>
    <row r="11930" s="65" customFormat="1"/>
    <row r="11931" s="65" customFormat="1"/>
    <row r="11932" s="65" customFormat="1"/>
    <row r="11933" s="65" customFormat="1"/>
    <row r="11934" s="65" customFormat="1"/>
    <row r="11935" s="65" customFormat="1"/>
    <row r="11936" s="65" customFormat="1"/>
    <row r="11937" s="65" customFormat="1"/>
    <row r="11938" s="65" customFormat="1"/>
    <row r="11939" s="65" customFormat="1"/>
    <row r="11940" s="65" customFormat="1"/>
    <row r="11941" s="65" customFormat="1"/>
    <row r="11942" s="65" customFormat="1"/>
    <row r="11943" s="65" customFormat="1"/>
    <row r="11944" s="65" customFormat="1"/>
    <row r="11945" s="65" customFormat="1"/>
    <row r="11946" s="65" customFormat="1"/>
    <row r="11947" s="65" customFormat="1"/>
    <row r="11948" s="65" customFormat="1"/>
    <row r="11949" s="65" customFormat="1"/>
    <row r="11950" s="65" customFormat="1"/>
    <row r="11951" s="65" customFormat="1"/>
    <row r="11952" s="65" customFormat="1"/>
    <row r="11953" s="65" customFormat="1"/>
    <row r="11954" s="65" customFormat="1"/>
    <row r="11955" s="65" customFormat="1"/>
    <row r="11956" s="65" customFormat="1"/>
    <row r="11957" s="65" customFormat="1"/>
    <row r="11958" s="65" customFormat="1"/>
    <row r="11959" s="65" customFormat="1"/>
    <row r="11960" s="65" customFormat="1"/>
    <row r="11961" s="65" customFormat="1"/>
    <row r="11962" s="65" customFormat="1"/>
    <row r="11963" s="65" customFormat="1"/>
    <row r="11964" s="65" customFormat="1"/>
    <row r="11965" s="65" customFormat="1"/>
    <row r="11966" s="65" customFormat="1"/>
    <row r="11967" s="65" customFormat="1"/>
    <row r="11968" s="65" customFormat="1"/>
    <row r="11969" s="65" customFormat="1"/>
    <row r="11970" s="65" customFormat="1"/>
    <row r="11971" s="65" customFormat="1"/>
    <row r="11972" s="65" customFormat="1"/>
    <row r="11973" s="65" customFormat="1"/>
    <row r="11974" s="65" customFormat="1"/>
    <row r="11975" s="65" customFormat="1"/>
    <row r="11976" s="65" customFormat="1"/>
    <row r="11977" s="65" customFormat="1"/>
    <row r="11978" s="65" customFormat="1"/>
    <row r="11979" s="65" customFormat="1"/>
    <row r="11980" s="65" customFormat="1"/>
    <row r="11981" s="65" customFormat="1"/>
    <row r="11982" s="65" customFormat="1"/>
    <row r="11983" s="65" customFormat="1"/>
    <row r="11984" s="65" customFormat="1"/>
    <row r="11985" s="65" customFormat="1"/>
    <row r="11986" s="65" customFormat="1"/>
    <row r="11987" s="65" customFormat="1"/>
    <row r="11988" s="65" customFormat="1"/>
    <row r="11989" s="65" customFormat="1"/>
    <row r="11990" s="65" customFormat="1"/>
    <row r="11991" s="65" customFormat="1"/>
    <row r="11992" s="65" customFormat="1"/>
    <row r="11993" s="65" customFormat="1"/>
    <row r="11994" s="65" customFormat="1"/>
    <row r="11995" s="65" customFormat="1"/>
    <row r="11996" s="65" customFormat="1"/>
    <row r="11997" s="65" customFormat="1"/>
    <row r="11998" s="65" customFormat="1"/>
    <row r="11999" s="65" customFormat="1"/>
    <row r="12000" s="65" customFormat="1"/>
    <row r="12001" s="65" customFormat="1"/>
    <row r="12002" s="65" customFormat="1"/>
    <row r="12003" s="65" customFormat="1"/>
    <row r="12004" s="65" customFormat="1"/>
    <row r="12005" s="65" customFormat="1"/>
    <row r="12006" s="65" customFormat="1"/>
    <row r="12007" s="65" customFormat="1"/>
    <row r="12008" s="65" customFormat="1"/>
    <row r="12009" s="65" customFormat="1"/>
    <row r="12010" s="65" customFormat="1"/>
    <row r="12011" s="65" customFormat="1"/>
    <row r="12012" s="65" customFormat="1"/>
    <row r="12013" s="65" customFormat="1"/>
    <row r="12014" s="65" customFormat="1"/>
    <row r="12015" s="65" customFormat="1"/>
    <row r="12016" s="65" customFormat="1"/>
    <row r="12017" s="65" customFormat="1"/>
    <row r="12018" s="65" customFormat="1"/>
    <row r="12019" s="65" customFormat="1"/>
    <row r="12020" s="65" customFormat="1"/>
    <row r="12021" s="65" customFormat="1"/>
    <row r="12022" s="65" customFormat="1"/>
    <row r="12023" s="65" customFormat="1"/>
    <row r="12024" s="65" customFormat="1"/>
    <row r="12025" s="65" customFormat="1"/>
    <row r="12026" s="65" customFormat="1"/>
    <row r="12027" s="65" customFormat="1"/>
    <row r="12028" s="65" customFormat="1"/>
    <row r="12029" s="65" customFormat="1"/>
    <row r="12030" s="65" customFormat="1"/>
    <row r="12031" s="65" customFormat="1"/>
    <row r="12032" s="65" customFormat="1"/>
    <row r="12033" s="65" customFormat="1"/>
    <row r="12034" s="65" customFormat="1"/>
    <row r="12035" s="65" customFormat="1"/>
    <row r="12036" s="65" customFormat="1"/>
    <row r="12037" s="65" customFormat="1"/>
    <row r="12038" s="65" customFormat="1"/>
    <row r="12039" s="65" customFormat="1"/>
    <row r="12040" s="65" customFormat="1"/>
    <row r="12041" s="65" customFormat="1"/>
    <row r="12042" s="65" customFormat="1"/>
    <row r="12043" s="65" customFormat="1"/>
    <row r="12044" s="65" customFormat="1"/>
    <row r="12045" s="65" customFormat="1"/>
    <row r="12046" s="65" customFormat="1"/>
    <row r="12047" s="65" customFormat="1"/>
    <row r="12048" s="65" customFormat="1"/>
    <row r="12049" s="65" customFormat="1"/>
    <row r="12050" s="65" customFormat="1"/>
    <row r="12051" s="65" customFormat="1"/>
    <row r="12052" s="65" customFormat="1"/>
    <row r="12053" s="65" customFormat="1"/>
    <row r="12054" s="65" customFormat="1"/>
    <row r="12055" s="65" customFormat="1"/>
    <row r="12056" s="65" customFormat="1"/>
    <row r="12057" s="65" customFormat="1"/>
    <row r="12058" s="65" customFormat="1"/>
    <row r="12059" s="65" customFormat="1"/>
    <row r="12060" s="65" customFormat="1"/>
    <row r="12061" s="65" customFormat="1"/>
    <row r="12062" s="65" customFormat="1"/>
    <row r="12063" s="65" customFormat="1"/>
    <row r="12064" s="65" customFormat="1"/>
    <row r="12065" s="65" customFormat="1"/>
    <row r="12066" s="65" customFormat="1"/>
    <row r="12067" s="65" customFormat="1"/>
    <row r="12068" s="65" customFormat="1"/>
    <row r="12069" s="65" customFormat="1"/>
    <row r="12070" s="65" customFormat="1"/>
    <row r="12071" s="65" customFormat="1"/>
    <row r="12072" s="65" customFormat="1"/>
    <row r="12073" s="65" customFormat="1"/>
    <row r="12074" s="65" customFormat="1"/>
    <row r="12075" s="65" customFormat="1"/>
    <row r="12076" s="65" customFormat="1"/>
    <row r="12077" s="65" customFormat="1"/>
    <row r="12078" s="65" customFormat="1"/>
    <row r="12079" s="65" customFormat="1"/>
    <row r="12080" s="65" customFormat="1"/>
    <row r="12081" s="65" customFormat="1"/>
    <row r="12082" s="65" customFormat="1"/>
    <row r="12083" s="65" customFormat="1"/>
    <row r="12084" s="65" customFormat="1"/>
    <row r="12085" s="65" customFormat="1"/>
    <row r="12086" s="65" customFormat="1"/>
    <row r="12087" s="65" customFormat="1"/>
    <row r="12088" s="65" customFormat="1"/>
    <row r="12089" s="65" customFormat="1"/>
    <row r="12090" s="65" customFormat="1"/>
    <row r="12091" s="65" customFormat="1"/>
    <row r="12092" s="65" customFormat="1"/>
    <row r="12093" s="65" customFormat="1"/>
    <row r="12094" s="65" customFormat="1"/>
    <row r="12095" s="65" customFormat="1"/>
    <row r="12096" s="65" customFormat="1"/>
    <row r="12097" s="65" customFormat="1"/>
    <row r="12098" s="65" customFormat="1"/>
    <row r="12099" s="65" customFormat="1"/>
    <row r="12100" s="65" customFormat="1"/>
    <row r="12101" s="65" customFormat="1"/>
    <row r="12102" s="65" customFormat="1"/>
    <row r="12103" s="65" customFormat="1"/>
    <row r="12104" s="65" customFormat="1"/>
    <row r="12105" s="65" customFormat="1"/>
    <row r="12106" s="65" customFormat="1"/>
    <row r="12107" s="65" customFormat="1"/>
    <row r="12108" s="65" customFormat="1"/>
    <row r="12109" s="65" customFormat="1"/>
    <row r="12110" s="65" customFormat="1"/>
    <row r="12111" s="65" customFormat="1"/>
    <row r="12112" s="65" customFormat="1"/>
    <row r="12113" s="65" customFormat="1"/>
    <row r="12114" s="65" customFormat="1"/>
    <row r="12115" s="65" customFormat="1"/>
    <row r="12116" s="65" customFormat="1"/>
    <row r="12117" s="65" customFormat="1"/>
    <row r="12118" s="65" customFormat="1"/>
    <row r="12119" s="65" customFormat="1"/>
    <row r="12120" s="65" customFormat="1"/>
    <row r="12121" s="65" customFormat="1"/>
    <row r="12122" s="65" customFormat="1"/>
    <row r="12123" s="65" customFormat="1"/>
    <row r="12124" s="65" customFormat="1"/>
    <row r="12125" s="65" customFormat="1"/>
    <row r="12126" s="65" customFormat="1"/>
    <row r="12127" s="65" customFormat="1"/>
    <row r="12128" s="65" customFormat="1"/>
    <row r="12129" s="65" customFormat="1"/>
    <row r="12130" s="65" customFormat="1"/>
    <row r="12131" s="65" customFormat="1"/>
    <row r="12132" s="65" customFormat="1"/>
    <row r="12133" s="65" customFormat="1"/>
    <row r="12134" s="65" customFormat="1"/>
    <row r="12135" s="65" customFormat="1"/>
    <row r="12136" s="65" customFormat="1"/>
    <row r="12137" s="65" customFormat="1"/>
    <row r="12138" s="65" customFormat="1"/>
    <row r="12139" s="65" customFormat="1"/>
    <row r="12140" s="65" customFormat="1"/>
    <row r="12141" s="65" customFormat="1"/>
    <row r="12142" s="65" customFormat="1"/>
    <row r="12143" s="65" customFormat="1"/>
    <row r="12144" s="65" customFormat="1"/>
    <row r="12145" s="65" customFormat="1"/>
    <row r="12146" s="65" customFormat="1"/>
    <row r="12147" s="65" customFormat="1"/>
    <row r="12148" s="65" customFormat="1"/>
    <row r="12149" s="65" customFormat="1"/>
    <row r="12150" s="65" customFormat="1"/>
    <row r="12151" s="65" customFormat="1"/>
    <row r="12152" s="65" customFormat="1"/>
    <row r="12153" s="65" customFormat="1"/>
    <row r="12154" s="65" customFormat="1"/>
    <row r="12155" s="65" customFormat="1"/>
    <row r="12156" s="65" customFormat="1"/>
    <row r="12157" s="65" customFormat="1"/>
    <row r="12158" s="65" customFormat="1"/>
    <row r="12159" s="65" customFormat="1"/>
    <row r="12160" s="65" customFormat="1"/>
    <row r="12161" s="65" customFormat="1"/>
    <row r="12162" s="65" customFormat="1"/>
    <row r="12163" s="65" customFormat="1"/>
    <row r="12164" s="65" customFormat="1"/>
    <row r="12165" s="65" customFormat="1"/>
    <row r="12166" s="65" customFormat="1"/>
    <row r="12167" s="65" customFormat="1"/>
    <row r="12168" s="65" customFormat="1"/>
    <row r="12169" s="65" customFormat="1"/>
    <row r="12170" s="65" customFormat="1"/>
    <row r="12171" s="65" customFormat="1"/>
    <row r="12172" s="65" customFormat="1"/>
    <row r="12173" s="65" customFormat="1"/>
    <row r="12174" s="65" customFormat="1"/>
    <row r="12175" s="65" customFormat="1"/>
    <row r="12176" s="65" customFormat="1"/>
    <row r="12177" s="65" customFormat="1"/>
    <row r="12178" s="65" customFormat="1"/>
    <row r="12179" s="65" customFormat="1"/>
    <row r="12180" s="65" customFormat="1"/>
    <row r="12181" s="65" customFormat="1"/>
    <row r="12182" s="65" customFormat="1"/>
    <row r="12183" s="65" customFormat="1"/>
    <row r="12184" s="65" customFormat="1"/>
    <row r="12185" s="65" customFormat="1"/>
    <row r="12186" s="65" customFormat="1"/>
    <row r="12187" s="65" customFormat="1"/>
    <row r="12188" s="65" customFormat="1"/>
    <row r="12189" s="65" customFormat="1"/>
    <row r="12190" s="65" customFormat="1"/>
    <row r="12191" s="65" customFormat="1"/>
    <row r="12192" s="65" customFormat="1"/>
    <row r="12193" s="65" customFormat="1"/>
    <row r="12194" s="65" customFormat="1"/>
    <row r="12195" s="65" customFormat="1"/>
    <row r="12196" s="65" customFormat="1"/>
    <row r="12197" s="65" customFormat="1"/>
    <row r="12198" s="65" customFormat="1"/>
    <row r="12199" s="65" customFormat="1"/>
    <row r="12200" s="65" customFormat="1"/>
    <row r="12201" s="65" customFormat="1"/>
    <row r="12202" s="65" customFormat="1"/>
    <row r="12203" s="65" customFormat="1"/>
    <row r="12204" s="65" customFormat="1"/>
    <row r="12205" s="65" customFormat="1"/>
    <row r="12206" s="65" customFormat="1"/>
    <row r="12207" s="65" customFormat="1"/>
    <row r="12208" s="65" customFormat="1"/>
    <row r="12209" s="65" customFormat="1"/>
    <row r="12210" s="65" customFormat="1"/>
    <row r="12211" s="65" customFormat="1"/>
    <row r="12212" s="65" customFormat="1"/>
    <row r="12213" s="65" customFormat="1"/>
    <row r="12214" s="65" customFormat="1"/>
    <row r="12215" s="65" customFormat="1"/>
    <row r="12216" s="65" customFormat="1"/>
    <row r="12217" s="65" customFormat="1"/>
    <row r="12218" s="65" customFormat="1"/>
    <row r="12219" s="65" customFormat="1"/>
    <row r="12220" s="65" customFormat="1"/>
    <row r="12221" s="65" customFormat="1"/>
    <row r="12222" s="65" customFormat="1"/>
    <row r="12223" s="65" customFormat="1"/>
    <row r="12224" s="65" customFormat="1"/>
    <row r="12225" s="65" customFormat="1"/>
    <row r="12226" s="65" customFormat="1"/>
    <row r="12227" s="65" customFormat="1"/>
    <row r="12228" s="65" customFormat="1"/>
    <row r="12229" s="65" customFormat="1"/>
    <row r="12230" s="65" customFormat="1"/>
    <row r="12231" s="65" customFormat="1"/>
    <row r="12232" s="65" customFormat="1"/>
    <row r="12233" s="65" customFormat="1"/>
    <row r="12234" s="65" customFormat="1"/>
    <row r="12235" s="65" customFormat="1"/>
    <row r="12236" s="65" customFormat="1"/>
    <row r="12237" s="65" customFormat="1"/>
    <row r="12238" s="65" customFormat="1"/>
    <row r="12239" s="65" customFormat="1"/>
    <row r="12240" s="65" customFormat="1"/>
    <row r="12241" s="65" customFormat="1"/>
    <row r="12242" s="65" customFormat="1"/>
    <row r="12243" s="65" customFormat="1"/>
    <row r="12244" s="65" customFormat="1"/>
    <row r="12245" s="65" customFormat="1"/>
    <row r="12246" s="65" customFormat="1"/>
    <row r="12247" s="65" customFormat="1"/>
    <row r="12248" s="65" customFormat="1"/>
    <row r="12249" s="65" customFormat="1"/>
    <row r="12250" s="65" customFormat="1"/>
    <row r="12251" s="65" customFormat="1"/>
    <row r="12252" s="65" customFormat="1"/>
    <row r="12253" s="65" customFormat="1"/>
    <row r="12254" s="65" customFormat="1"/>
    <row r="12255" s="65" customFormat="1"/>
    <row r="12256" s="65" customFormat="1"/>
    <row r="12257" s="65" customFormat="1"/>
    <row r="12258" s="65" customFormat="1"/>
    <row r="12259" s="65" customFormat="1"/>
    <row r="12260" s="65" customFormat="1"/>
    <row r="12261" s="65" customFormat="1"/>
    <row r="12262" s="65" customFormat="1"/>
    <row r="12263" s="65" customFormat="1"/>
    <row r="12264" s="65" customFormat="1"/>
    <row r="12265" s="65" customFormat="1"/>
    <row r="12266" s="65" customFormat="1"/>
    <row r="12267" s="65" customFormat="1"/>
    <row r="12268" s="65" customFormat="1"/>
    <row r="12269" s="65" customFormat="1"/>
    <row r="12270" s="65" customFormat="1"/>
    <row r="12271" s="65" customFormat="1"/>
    <row r="12272" s="65" customFormat="1"/>
    <row r="12273" s="65" customFormat="1"/>
    <row r="12274" s="65" customFormat="1"/>
    <row r="12275" s="65" customFormat="1"/>
    <row r="12276" s="65" customFormat="1"/>
    <row r="12277" s="65" customFormat="1"/>
    <row r="12278" s="65" customFormat="1"/>
    <row r="12279" s="65" customFormat="1"/>
    <row r="12280" s="65" customFormat="1"/>
    <row r="12281" s="65" customFormat="1"/>
    <row r="12282" s="65" customFormat="1"/>
    <row r="12283" s="65" customFormat="1"/>
    <row r="12284" s="65" customFormat="1"/>
    <row r="12285" s="65" customFormat="1"/>
    <row r="12286" s="65" customFormat="1"/>
    <row r="12287" s="65" customFormat="1"/>
    <row r="12288" s="65" customFormat="1"/>
    <row r="12289" s="65" customFormat="1"/>
    <row r="12290" s="65" customFormat="1"/>
    <row r="12291" s="65" customFormat="1"/>
    <row r="12292" s="65" customFormat="1"/>
    <row r="12293" s="65" customFormat="1"/>
    <row r="12294" s="65" customFormat="1"/>
    <row r="12295" s="65" customFormat="1"/>
    <row r="12296" s="65" customFormat="1"/>
    <row r="12297" s="65" customFormat="1"/>
    <row r="12298" s="65" customFormat="1"/>
    <row r="12299" s="65" customFormat="1"/>
    <row r="12300" s="65" customFormat="1"/>
    <row r="12301" s="65" customFormat="1"/>
    <row r="12302" s="65" customFormat="1"/>
    <row r="12303" s="65" customFormat="1"/>
    <row r="12304" s="65" customFormat="1"/>
    <row r="12305" s="65" customFormat="1"/>
    <row r="12306" s="65" customFormat="1"/>
    <row r="12307" s="65" customFormat="1"/>
    <row r="12308" s="65" customFormat="1"/>
    <row r="12309" s="65" customFormat="1"/>
    <row r="12310" s="65" customFormat="1"/>
    <row r="12311" s="65" customFormat="1"/>
    <row r="12312" s="65" customFormat="1"/>
    <row r="12313" s="65" customFormat="1"/>
    <row r="12314" s="65" customFormat="1"/>
    <row r="12315" s="65" customFormat="1"/>
    <row r="12316" s="65" customFormat="1"/>
    <row r="12317" s="65" customFormat="1"/>
    <row r="12318" s="65" customFormat="1"/>
    <row r="12319" s="65" customFormat="1"/>
    <row r="12320" s="65" customFormat="1"/>
    <row r="12321" s="65" customFormat="1"/>
    <row r="12322" s="65" customFormat="1"/>
    <row r="12323" s="65" customFormat="1"/>
    <row r="12324" s="65" customFormat="1"/>
    <row r="12325" s="65" customFormat="1"/>
    <row r="12326" s="65" customFormat="1"/>
    <row r="12327" s="65" customFormat="1"/>
    <row r="12328" s="65" customFormat="1"/>
    <row r="12329" s="65" customFormat="1"/>
    <row r="12330" s="65" customFormat="1"/>
    <row r="12331" s="65" customFormat="1"/>
    <row r="12332" s="65" customFormat="1"/>
    <row r="12333" s="65" customFormat="1"/>
    <row r="12334" s="65" customFormat="1"/>
    <row r="12335" s="65" customFormat="1"/>
    <row r="12336" s="65" customFormat="1"/>
    <row r="12337" s="65" customFormat="1"/>
    <row r="12338" s="65" customFormat="1"/>
    <row r="12339" s="65" customFormat="1"/>
    <row r="12340" s="65" customFormat="1"/>
    <row r="12341" s="65" customFormat="1"/>
    <row r="12342" s="65" customFormat="1"/>
    <row r="12343" s="65" customFormat="1"/>
    <row r="12344" s="65" customFormat="1"/>
    <row r="12345" s="65" customFormat="1"/>
    <row r="12346" s="65" customFormat="1"/>
    <row r="12347" s="65" customFormat="1"/>
    <row r="12348" s="65" customFormat="1"/>
    <row r="12349" s="65" customFormat="1"/>
    <row r="12350" s="65" customFormat="1"/>
    <row r="12351" s="65" customFormat="1"/>
    <row r="12352" s="65" customFormat="1"/>
    <row r="12353" s="65" customFormat="1"/>
    <row r="12354" s="65" customFormat="1"/>
    <row r="12355" s="65" customFormat="1"/>
    <row r="12356" s="65" customFormat="1"/>
    <row r="12357" s="65" customFormat="1"/>
    <row r="12358" s="65" customFormat="1"/>
    <row r="12359" s="65" customFormat="1"/>
    <row r="12360" s="65" customFormat="1"/>
    <row r="12361" s="65" customFormat="1"/>
    <row r="12362" s="65" customFormat="1"/>
    <row r="12363" s="65" customFormat="1"/>
    <row r="12364" s="65" customFormat="1"/>
    <row r="12365" s="65" customFormat="1"/>
    <row r="12366" s="65" customFormat="1"/>
    <row r="12367" s="65" customFormat="1"/>
    <row r="12368" s="65" customFormat="1"/>
    <row r="12369" s="65" customFormat="1"/>
    <row r="12370" s="65" customFormat="1"/>
    <row r="12371" s="65" customFormat="1"/>
    <row r="12372" s="65" customFormat="1"/>
    <row r="12373" s="65" customFormat="1"/>
    <row r="12374" s="65" customFormat="1"/>
    <row r="12375" s="65" customFormat="1"/>
    <row r="12376" s="65" customFormat="1"/>
    <row r="12377" s="65" customFormat="1"/>
    <row r="12378" s="65" customFormat="1"/>
    <row r="12379" s="65" customFormat="1"/>
    <row r="12380" s="65" customFormat="1"/>
    <row r="12381" s="65" customFormat="1"/>
    <row r="12382" s="65" customFormat="1"/>
    <row r="12383" s="65" customFormat="1"/>
    <row r="12384" s="65" customFormat="1"/>
    <row r="12385" s="65" customFormat="1"/>
    <row r="12386" s="65" customFormat="1"/>
    <row r="12387" s="65" customFormat="1"/>
    <row r="12388" s="65" customFormat="1"/>
    <row r="12389" s="65" customFormat="1"/>
    <row r="12390" s="65" customFormat="1"/>
    <row r="12391" s="65" customFormat="1"/>
    <row r="12392" s="65" customFormat="1"/>
    <row r="12393" s="65" customFormat="1"/>
    <row r="12394" s="65" customFormat="1"/>
    <row r="12395" s="65" customFormat="1"/>
    <row r="12396" s="65" customFormat="1"/>
    <row r="12397" s="65" customFormat="1"/>
    <row r="12398" s="65" customFormat="1"/>
    <row r="12399" s="65" customFormat="1"/>
    <row r="12400" s="65" customFormat="1"/>
    <row r="12401" s="65" customFormat="1"/>
    <row r="12402" s="65" customFormat="1"/>
    <row r="12403" s="65" customFormat="1"/>
    <row r="12404" s="65" customFormat="1"/>
    <row r="12405" s="65" customFormat="1"/>
    <row r="12406" s="65" customFormat="1"/>
    <row r="12407" s="65" customFormat="1"/>
    <row r="12408" s="65" customFormat="1"/>
    <row r="12409" s="65" customFormat="1"/>
    <row r="12410" s="65" customFormat="1"/>
    <row r="12411" s="65" customFormat="1"/>
    <row r="12412" s="65" customFormat="1"/>
    <row r="12413" s="65" customFormat="1"/>
    <row r="12414" s="65" customFormat="1"/>
    <row r="12415" s="65" customFormat="1"/>
    <row r="12416" s="65" customFormat="1"/>
    <row r="12417" s="65" customFormat="1"/>
    <row r="12418" s="65" customFormat="1"/>
    <row r="12419" s="65" customFormat="1"/>
    <row r="12420" s="65" customFormat="1"/>
    <row r="12421" s="65" customFormat="1"/>
    <row r="12422" s="65" customFormat="1"/>
    <row r="12423" s="65" customFormat="1"/>
    <row r="12424" s="65" customFormat="1"/>
    <row r="12425" s="65" customFormat="1"/>
    <row r="12426" s="65" customFormat="1"/>
    <row r="12427" s="65" customFormat="1"/>
    <row r="12428" s="65" customFormat="1"/>
    <row r="12429" s="65" customFormat="1"/>
    <row r="12430" s="65" customFormat="1"/>
    <row r="12431" s="65" customFormat="1"/>
    <row r="12432" s="65" customFormat="1"/>
    <row r="12433" s="65" customFormat="1"/>
    <row r="12434" s="65" customFormat="1"/>
    <row r="12435" s="65" customFormat="1"/>
    <row r="12436" s="65" customFormat="1"/>
    <row r="12437" s="65" customFormat="1"/>
    <row r="12438" s="65" customFormat="1"/>
    <row r="12439" s="65" customFormat="1"/>
    <row r="12440" s="65" customFormat="1"/>
    <row r="12441" s="65" customFormat="1"/>
    <row r="12442" s="65" customFormat="1"/>
    <row r="12443" s="65" customFormat="1"/>
    <row r="12444" s="65" customFormat="1"/>
    <row r="12445" s="65" customFormat="1"/>
    <row r="12446" s="65" customFormat="1"/>
    <row r="12447" s="65" customFormat="1"/>
    <row r="12448" s="65" customFormat="1"/>
    <row r="12449" s="65" customFormat="1"/>
    <row r="12450" s="65" customFormat="1"/>
    <row r="12451" s="65" customFormat="1"/>
    <row r="12452" s="65" customFormat="1"/>
    <row r="12453" s="65" customFormat="1"/>
    <row r="12454" s="65" customFormat="1"/>
    <row r="12455" s="65" customFormat="1"/>
    <row r="12456" s="65" customFormat="1"/>
    <row r="12457" s="65" customFormat="1"/>
    <row r="12458" s="65" customFormat="1"/>
    <row r="12459" s="65" customFormat="1"/>
    <row r="12460" s="65" customFormat="1"/>
    <row r="12461" s="65" customFormat="1"/>
    <row r="12462" s="65" customFormat="1"/>
    <row r="12463" s="65" customFormat="1"/>
    <row r="12464" s="65" customFormat="1"/>
    <row r="12465" s="65" customFormat="1"/>
    <row r="12466" s="65" customFormat="1"/>
    <row r="12467" s="65" customFormat="1"/>
    <row r="12468" s="65" customFormat="1"/>
    <row r="12469" s="65" customFormat="1"/>
    <row r="12470" s="65" customFormat="1"/>
    <row r="12471" s="65" customFormat="1"/>
    <row r="12472" s="65" customFormat="1"/>
    <row r="12473" s="65" customFormat="1"/>
    <row r="12474" s="65" customFormat="1"/>
    <row r="12475" s="65" customFormat="1"/>
    <row r="12476" s="65" customFormat="1"/>
    <row r="12477" s="65" customFormat="1"/>
    <row r="12478" s="65" customFormat="1"/>
    <row r="12479" s="65" customFormat="1"/>
    <row r="12480" s="65" customFormat="1"/>
    <row r="12481" s="65" customFormat="1"/>
    <row r="12482" s="65" customFormat="1"/>
    <row r="12483" s="65" customFormat="1"/>
    <row r="12484" s="65" customFormat="1"/>
    <row r="12485" s="65" customFormat="1"/>
    <row r="12486" s="65" customFormat="1"/>
    <row r="12487" s="65" customFormat="1"/>
    <row r="12488" s="65" customFormat="1"/>
    <row r="12489" s="65" customFormat="1"/>
    <row r="12490" s="65" customFormat="1"/>
    <row r="12491" s="65" customFormat="1"/>
    <row r="12492" s="65" customFormat="1"/>
    <row r="12493" s="65" customFormat="1"/>
    <row r="12494" s="65" customFormat="1"/>
    <row r="12495" s="65" customFormat="1"/>
    <row r="12496" s="65" customFormat="1"/>
    <row r="12497" s="65" customFormat="1"/>
    <row r="12498" s="65" customFormat="1"/>
    <row r="12499" s="65" customFormat="1"/>
    <row r="12500" s="65" customFormat="1"/>
    <row r="12501" s="65" customFormat="1"/>
    <row r="12502" s="65" customFormat="1"/>
    <row r="12503" s="65" customFormat="1"/>
    <row r="12504" s="65" customFormat="1"/>
    <row r="12505" s="65" customFormat="1"/>
    <row r="12506" s="65" customFormat="1"/>
    <row r="12507" s="65" customFormat="1"/>
    <row r="12508" s="65" customFormat="1"/>
    <row r="12509" s="65" customFormat="1"/>
    <row r="12510" s="65" customFormat="1"/>
    <row r="12511" s="65" customFormat="1"/>
    <row r="12512" s="65" customFormat="1"/>
    <row r="12513" s="65" customFormat="1"/>
    <row r="12514" s="65" customFormat="1"/>
    <row r="12515" s="65" customFormat="1"/>
    <row r="12516" s="65" customFormat="1"/>
    <row r="12517" s="65" customFormat="1"/>
    <row r="12518" s="65" customFormat="1"/>
    <row r="12519" s="65" customFormat="1"/>
    <row r="12520" s="65" customFormat="1"/>
    <row r="12521" s="65" customFormat="1"/>
    <row r="12522" s="65" customFormat="1"/>
    <row r="12523" s="65" customFormat="1"/>
    <row r="12524" s="65" customFormat="1"/>
    <row r="12525" s="65" customFormat="1"/>
    <row r="12526" s="65" customFormat="1"/>
    <row r="12527" s="65" customFormat="1"/>
    <row r="12528" s="65" customFormat="1"/>
    <row r="12529" s="65" customFormat="1"/>
    <row r="12530" s="65" customFormat="1"/>
    <row r="12531" s="65" customFormat="1"/>
    <row r="12532" s="65" customFormat="1"/>
    <row r="12533" s="65" customFormat="1"/>
    <row r="12534" s="65" customFormat="1"/>
    <row r="12535" s="65" customFormat="1"/>
    <row r="12536" s="65" customFormat="1"/>
    <row r="12537" s="65" customFormat="1"/>
    <row r="12538" s="65" customFormat="1"/>
    <row r="12539" s="65" customFormat="1"/>
    <row r="12540" s="65" customFormat="1"/>
    <row r="12541" s="65" customFormat="1"/>
    <row r="12542" s="65" customFormat="1"/>
    <row r="12543" s="65" customFormat="1"/>
    <row r="12544" s="65" customFormat="1"/>
    <row r="12545" s="65" customFormat="1"/>
    <row r="12546" s="65" customFormat="1"/>
    <row r="12547" s="65" customFormat="1"/>
    <row r="12548" s="65" customFormat="1"/>
    <row r="12549" s="65" customFormat="1"/>
    <row r="12550" s="65" customFormat="1"/>
    <row r="12551" s="65" customFormat="1"/>
    <row r="12552" s="65" customFormat="1"/>
    <row r="12553" s="65" customFormat="1"/>
    <row r="12554" s="65" customFormat="1"/>
    <row r="12555" s="65" customFormat="1"/>
    <row r="12556" s="65" customFormat="1"/>
    <row r="12557" s="65" customFormat="1"/>
    <row r="12558" s="65" customFormat="1"/>
    <row r="12559" s="65" customFormat="1"/>
    <row r="12560" s="65" customFormat="1"/>
    <row r="12561" s="65" customFormat="1"/>
    <row r="12562" s="65" customFormat="1"/>
    <row r="12563" s="65" customFormat="1"/>
    <row r="12564" s="65" customFormat="1"/>
    <row r="12565" s="65" customFormat="1"/>
    <row r="12566" s="65" customFormat="1"/>
    <row r="12567" s="65" customFormat="1"/>
    <row r="12568" s="65" customFormat="1"/>
    <row r="12569" s="65" customFormat="1"/>
    <row r="12570" s="65" customFormat="1"/>
    <row r="12571" s="65" customFormat="1"/>
    <row r="12572" s="65" customFormat="1"/>
    <row r="12573" s="65" customFormat="1"/>
    <row r="12574" s="65" customFormat="1"/>
    <row r="12575" s="65" customFormat="1"/>
    <row r="12576" s="65" customFormat="1"/>
    <row r="12577" s="65" customFormat="1"/>
    <row r="12578" s="65" customFormat="1"/>
    <row r="12579" s="65" customFormat="1"/>
    <row r="12580" s="65" customFormat="1"/>
    <row r="12581" s="65" customFormat="1"/>
    <row r="12582" s="65" customFormat="1"/>
    <row r="12583" s="65" customFormat="1"/>
    <row r="12584" s="65" customFormat="1"/>
    <row r="12585" s="65" customFormat="1"/>
    <row r="12586" s="65" customFormat="1"/>
    <row r="12587" s="65" customFormat="1"/>
    <row r="12588" s="65" customFormat="1"/>
    <row r="12589" s="65" customFormat="1"/>
    <row r="12590" s="65" customFormat="1"/>
    <row r="12591" s="65" customFormat="1"/>
    <row r="12592" s="65" customFormat="1"/>
    <row r="12593" s="65" customFormat="1"/>
    <row r="12594" s="65" customFormat="1"/>
    <row r="12595" s="65" customFormat="1"/>
    <row r="12596" s="65" customFormat="1"/>
    <row r="12597" s="65" customFormat="1"/>
    <row r="12598" s="65" customFormat="1"/>
    <row r="12599" s="65" customFormat="1"/>
    <row r="12600" s="65" customFormat="1"/>
    <row r="12601" s="65" customFormat="1"/>
    <row r="12602" s="65" customFormat="1"/>
    <row r="12603" s="65" customFormat="1"/>
    <row r="12604" s="65" customFormat="1"/>
    <row r="12605" s="65" customFormat="1"/>
    <row r="12606" s="65" customFormat="1"/>
    <row r="12607" s="65" customFormat="1"/>
    <row r="12608" s="65" customFormat="1"/>
    <row r="12609" s="65" customFormat="1"/>
    <row r="12610" s="65" customFormat="1"/>
    <row r="12611" s="65" customFormat="1"/>
    <row r="12612" s="65" customFormat="1"/>
    <row r="12613" s="65" customFormat="1"/>
    <row r="12614" s="65" customFormat="1"/>
    <row r="12615" s="65" customFormat="1"/>
    <row r="12616" s="65" customFormat="1"/>
    <row r="12617" s="65" customFormat="1"/>
    <row r="12618" s="65" customFormat="1"/>
    <row r="12619" s="65" customFormat="1"/>
    <row r="12620" s="65" customFormat="1"/>
    <row r="12621" s="65" customFormat="1"/>
    <row r="12622" s="65" customFormat="1"/>
    <row r="12623" s="65" customFormat="1"/>
    <row r="12624" s="65" customFormat="1"/>
    <row r="12625" s="65" customFormat="1"/>
    <row r="12626" s="65" customFormat="1"/>
    <row r="12627" s="65" customFormat="1"/>
    <row r="12628" s="65" customFormat="1"/>
    <row r="12629" s="65" customFormat="1"/>
    <row r="12630" s="65" customFormat="1"/>
    <row r="12631" s="65" customFormat="1"/>
    <row r="12632" s="65" customFormat="1"/>
    <row r="12633" s="65" customFormat="1"/>
    <row r="12634" s="65" customFormat="1"/>
    <row r="12635" s="65" customFormat="1"/>
    <row r="12636" s="65" customFormat="1"/>
    <row r="12637" s="65" customFormat="1"/>
    <row r="12638" s="65" customFormat="1"/>
    <row r="12639" s="65" customFormat="1"/>
    <row r="12640" s="65" customFormat="1"/>
    <row r="12641" s="65" customFormat="1"/>
    <row r="12642" s="65" customFormat="1"/>
    <row r="12643" s="65" customFormat="1"/>
    <row r="12644" s="65" customFormat="1"/>
    <row r="12645" s="65" customFormat="1"/>
    <row r="12646" s="65" customFormat="1"/>
    <row r="12647" s="65" customFormat="1"/>
    <row r="12648" s="65" customFormat="1"/>
    <row r="12649" s="65" customFormat="1"/>
    <row r="12650" s="65" customFormat="1"/>
    <row r="12651" s="65" customFormat="1"/>
    <row r="12652" s="65" customFormat="1"/>
    <row r="12653" s="65" customFormat="1"/>
    <row r="12654" s="65" customFormat="1"/>
    <row r="12655" s="65" customFormat="1"/>
    <row r="12656" s="65" customFormat="1"/>
    <row r="12657" s="65" customFormat="1"/>
    <row r="12658" s="65" customFormat="1"/>
    <row r="12659" s="65" customFormat="1"/>
    <row r="12660" s="65" customFormat="1"/>
    <row r="12661" s="65" customFormat="1"/>
    <row r="12662" s="65" customFormat="1"/>
    <row r="12663" s="65" customFormat="1"/>
    <row r="12664" s="65" customFormat="1"/>
    <row r="12665" s="65" customFormat="1"/>
    <row r="12666" s="65" customFormat="1"/>
    <row r="12667" s="65" customFormat="1"/>
    <row r="12668" s="65" customFormat="1"/>
    <row r="12669" s="65" customFormat="1"/>
    <row r="12670" s="65" customFormat="1"/>
    <row r="12671" s="65" customFormat="1"/>
    <row r="12672" s="65" customFormat="1"/>
    <row r="12673" s="65" customFormat="1"/>
    <row r="12674" s="65" customFormat="1"/>
    <row r="12675" s="65" customFormat="1"/>
    <row r="12676" s="65" customFormat="1"/>
    <row r="12677" s="65" customFormat="1"/>
    <row r="12678" s="65" customFormat="1"/>
    <row r="12679" s="65" customFormat="1"/>
    <row r="12680" s="65" customFormat="1"/>
    <row r="12681" s="65" customFormat="1"/>
    <row r="12682" s="65" customFormat="1"/>
    <row r="12683" s="65" customFormat="1"/>
    <row r="12684" s="65" customFormat="1"/>
    <row r="12685" s="65" customFormat="1"/>
    <row r="12686" s="65" customFormat="1"/>
    <row r="12687" s="65" customFormat="1"/>
    <row r="12688" s="65" customFormat="1"/>
    <row r="12689" s="65" customFormat="1"/>
    <row r="12690" s="65" customFormat="1"/>
    <row r="12691" s="65" customFormat="1"/>
    <row r="12692" s="65" customFormat="1"/>
    <row r="12693" s="65" customFormat="1"/>
    <row r="12694" s="65" customFormat="1"/>
    <row r="12695" s="65" customFormat="1"/>
    <row r="12696" s="65" customFormat="1"/>
    <row r="12697" s="65" customFormat="1"/>
    <row r="12698" s="65" customFormat="1"/>
    <row r="12699" s="65" customFormat="1"/>
    <row r="12700" s="65" customFormat="1"/>
    <row r="12701" s="65" customFormat="1"/>
    <row r="12702" s="65" customFormat="1"/>
    <row r="12703" s="65" customFormat="1"/>
    <row r="12704" s="65" customFormat="1"/>
    <row r="12705" s="65" customFormat="1"/>
    <row r="12706" s="65" customFormat="1"/>
    <row r="12707" s="65" customFormat="1"/>
    <row r="12708" s="65" customFormat="1"/>
    <row r="12709" s="65" customFormat="1"/>
    <row r="12710" s="65" customFormat="1"/>
    <row r="12711" s="65" customFormat="1"/>
    <row r="12712" s="65" customFormat="1"/>
    <row r="12713" s="65" customFormat="1"/>
    <row r="12714" s="65" customFormat="1"/>
    <row r="12715" s="65" customFormat="1"/>
    <row r="12716" s="65" customFormat="1"/>
    <row r="12717" s="65" customFormat="1"/>
    <row r="12718" s="65" customFormat="1"/>
    <row r="12719" s="65" customFormat="1"/>
    <row r="12720" s="65" customFormat="1"/>
    <row r="12721" s="65" customFormat="1"/>
    <row r="12722" s="65" customFormat="1"/>
    <row r="12723" s="65" customFormat="1"/>
    <row r="12724" s="65" customFormat="1"/>
    <row r="12725" s="65" customFormat="1"/>
    <row r="12726" s="65" customFormat="1"/>
    <row r="12727" s="65" customFormat="1"/>
    <row r="12728" s="65" customFormat="1"/>
    <row r="12729" s="65" customFormat="1"/>
    <row r="12730" s="65" customFormat="1"/>
    <row r="12731" s="65" customFormat="1"/>
    <row r="12732" s="65" customFormat="1"/>
    <row r="12733" s="65" customFormat="1"/>
    <row r="12734" s="65" customFormat="1"/>
    <row r="12735" s="65" customFormat="1"/>
    <row r="12736" s="65" customFormat="1"/>
    <row r="12737" s="65" customFormat="1"/>
    <row r="12738" s="65" customFormat="1"/>
    <row r="12739" s="65" customFormat="1"/>
    <row r="12740" s="65" customFormat="1"/>
    <row r="12741" s="65" customFormat="1"/>
    <row r="12742" s="65" customFormat="1"/>
    <row r="12743" s="65" customFormat="1"/>
    <row r="12744" s="65" customFormat="1"/>
    <row r="12745" s="65" customFormat="1"/>
    <row r="12746" s="65" customFormat="1"/>
    <row r="12747" s="65" customFormat="1"/>
    <row r="12748" s="65" customFormat="1"/>
    <row r="12749" s="65" customFormat="1"/>
    <row r="12750" s="65" customFormat="1"/>
    <row r="12751" s="65" customFormat="1"/>
    <row r="12752" s="65" customFormat="1"/>
    <row r="12753" s="65" customFormat="1"/>
    <row r="12754" s="65" customFormat="1"/>
    <row r="12755" s="65" customFormat="1"/>
    <row r="12756" s="65" customFormat="1"/>
    <row r="12757" s="65" customFormat="1"/>
    <row r="12758" s="65" customFormat="1"/>
    <row r="12759" s="65" customFormat="1"/>
    <row r="12760" s="65" customFormat="1"/>
    <row r="12761" s="65" customFormat="1"/>
    <row r="12762" s="65" customFormat="1"/>
    <row r="12763" s="65" customFormat="1"/>
    <row r="12764" s="65" customFormat="1"/>
    <row r="12765" s="65" customFormat="1"/>
    <row r="12766" s="65" customFormat="1"/>
    <row r="12767" s="65" customFormat="1"/>
    <row r="12768" s="65" customFormat="1"/>
    <row r="12769" s="65" customFormat="1"/>
    <row r="12770" s="65" customFormat="1"/>
    <row r="12771" s="65" customFormat="1"/>
    <row r="12772" s="65" customFormat="1"/>
    <row r="12773" s="65" customFormat="1"/>
    <row r="12774" s="65" customFormat="1"/>
    <row r="12775" s="65" customFormat="1"/>
    <row r="12776" s="65" customFormat="1"/>
    <row r="12777" s="65" customFormat="1"/>
    <row r="12778" s="65" customFormat="1"/>
    <row r="12779" s="65" customFormat="1"/>
    <row r="12780" s="65" customFormat="1"/>
    <row r="12781" s="65" customFormat="1"/>
    <row r="12782" s="65" customFormat="1"/>
    <row r="12783" s="65" customFormat="1"/>
    <row r="12784" s="65" customFormat="1"/>
    <row r="12785" s="65" customFormat="1"/>
    <row r="12786" s="65" customFormat="1"/>
    <row r="12787" s="65" customFormat="1"/>
    <row r="12788" s="65" customFormat="1"/>
    <row r="12789" s="65" customFormat="1"/>
    <row r="12790" s="65" customFormat="1"/>
    <row r="12791" s="65" customFormat="1"/>
    <row r="12792" s="65" customFormat="1"/>
    <row r="12793" s="65" customFormat="1"/>
    <row r="12794" s="65" customFormat="1"/>
    <row r="12795" s="65" customFormat="1"/>
    <row r="12796" s="65" customFormat="1"/>
    <row r="12797" s="65" customFormat="1"/>
    <row r="12798" s="65" customFormat="1"/>
    <row r="12799" s="65" customFormat="1"/>
    <row r="12800" s="65" customFormat="1"/>
    <row r="12801" s="65" customFormat="1"/>
    <row r="12802" s="65" customFormat="1"/>
    <row r="12803" s="65" customFormat="1"/>
    <row r="12804" s="65" customFormat="1"/>
    <row r="12805" s="65" customFormat="1"/>
    <row r="12806" s="65" customFormat="1"/>
    <row r="12807" s="65" customFormat="1"/>
    <row r="12808" s="65" customFormat="1"/>
    <row r="12809" s="65" customFormat="1"/>
    <row r="12810" s="65" customFormat="1"/>
    <row r="12811" s="65" customFormat="1"/>
    <row r="12812" s="65" customFormat="1"/>
    <row r="12813" s="65" customFormat="1"/>
    <row r="12814" s="65" customFormat="1"/>
    <row r="12815" s="65" customFormat="1"/>
    <row r="12816" s="65" customFormat="1"/>
    <row r="12817" s="65" customFormat="1"/>
    <row r="12818" s="65" customFormat="1"/>
    <row r="12819" s="65" customFormat="1"/>
    <row r="12820" s="65" customFormat="1"/>
    <row r="12821" s="65" customFormat="1"/>
    <row r="12822" s="65" customFormat="1"/>
    <row r="12823" s="65" customFormat="1"/>
    <row r="12824" s="65" customFormat="1"/>
    <row r="12825" s="65" customFormat="1"/>
    <row r="12826" s="65" customFormat="1"/>
    <row r="12827" s="65" customFormat="1"/>
    <row r="12828" s="65" customFormat="1"/>
    <row r="12829" s="65" customFormat="1"/>
    <row r="12830" s="65" customFormat="1"/>
    <row r="12831" s="65" customFormat="1"/>
    <row r="12832" s="65" customFormat="1"/>
    <row r="12833" s="65" customFormat="1"/>
    <row r="12834" s="65" customFormat="1"/>
    <row r="12835" s="65" customFormat="1"/>
    <row r="12836" s="65" customFormat="1"/>
    <row r="12837" s="65" customFormat="1"/>
    <row r="12838" s="65" customFormat="1"/>
    <row r="12839" s="65" customFormat="1"/>
    <row r="12840" s="65" customFormat="1"/>
    <row r="12841" s="65" customFormat="1"/>
    <row r="12842" s="65" customFormat="1"/>
    <row r="12843" s="65" customFormat="1"/>
    <row r="12844" s="65" customFormat="1"/>
    <row r="12845" s="65" customFormat="1"/>
    <row r="12846" s="65" customFormat="1"/>
    <row r="12847" s="65" customFormat="1"/>
    <row r="12848" s="65" customFormat="1"/>
    <row r="12849" s="65" customFormat="1"/>
    <row r="12850" s="65" customFormat="1"/>
    <row r="12851" s="65" customFormat="1"/>
    <row r="12852" s="65" customFormat="1"/>
    <row r="12853" s="65" customFormat="1"/>
    <row r="12854" s="65" customFormat="1"/>
    <row r="12855" s="65" customFormat="1"/>
    <row r="12856" s="65" customFormat="1"/>
    <row r="12857" s="65" customFormat="1"/>
    <row r="12858" s="65" customFormat="1"/>
    <row r="12859" s="65" customFormat="1"/>
    <row r="12860" s="65" customFormat="1"/>
    <row r="12861" s="65" customFormat="1"/>
    <row r="12862" s="65" customFormat="1"/>
    <row r="12863" s="65" customFormat="1"/>
    <row r="12864" s="65" customFormat="1"/>
    <row r="12865" s="65" customFormat="1"/>
    <row r="12866" s="65" customFormat="1"/>
    <row r="12867" s="65" customFormat="1"/>
    <row r="12868" s="65" customFormat="1"/>
    <row r="12869" s="65" customFormat="1"/>
    <row r="12870" s="65" customFormat="1"/>
    <row r="12871" s="65" customFormat="1"/>
    <row r="12872" s="65" customFormat="1"/>
    <row r="12873" s="65" customFormat="1"/>
    <row r="12874" s="65" customFormat="1"/>
    <row r="12875" s="65" customFormat="1"/>
    <row r="12876" s="65" customFormat="1"/>
    <row r="12877" s="65" customFormat="1"/>
    <row r="12878" s="65" customFormat="1"/>
    <row r="12879" s="65" customFormat="1"/>
    <row r="12880" s="65" customFormat="1"/>
    <row r="12881" s="65" customFormat="1"/>
    <row r="12882" s="65" customFormat="1"/>
    <row r="12883" s="65" customFormat="1"/>
    <row r="12884" s="65" customFormat="1"/>
    <row r="12885" s="65" customFormat="1"/>
    <row r="12886" s="65" customFormat="1"/>
    <row r="12887" s="65" customFormat="1"/>
    <row r="12888" s="65" customFormat="1"/>
    <row r="12889" s="65" customFormat="1"/>
    <row r="12890" s="65" customFormat="1"/>
    <row r="12891" s="65" customFormat="1"/>
    <row r="12892" s="65" customFormat="1"/>
    <row r="12893" s="65" customFormat="1"/>
    <row r="12894" s="65" customFormat="1"/>
    <row r="12895" s="65" customFormat="1"/>
    <row r="12896" s="65" customFormat="1"/>
    <row r="12897" s="65" customFormat="1"/>
    <row r="12898" s="65" customFormat="1"/>
    <row r="12899" s="65" customFormat="1"/>
    <row r="12900" s="65" customFormat="1"/>
    <row r="12901" s="65" customFormat="1"/>
    <row r="12902" s="65" customFormat="1"/>
    <row r="12903" s="65" customFormat="1"/>
    <row r="12904" s="65" customFormat="1"/>
    <row r="12905" s="65" customFormat="1"/>
    <row r="12906" s="65" customFormat="1"/>
    <row r="12907" s="65" customFormat="1"/>
    <row r="12908" s="65" customFormat="1"/>
    <row r="12909" s="65" customFormat="1"/>
    <row r="12910" s="65" customFormat="1"/>
    <row r="12911" s="65" customFormat="1"/>
    <row r="12912" s="65" customFormat="1"/>
    <row r="12913" s="65" customFormat="1"/>
    <row r="12914" s="65" customFormat="1"/>
    <row r="12915" s="65" customFormat="1"/>
    <row r="12916" s="65" customFormat="1"/>
    <row r="12917" s="65" customFormat="1"/>
    <row r="12918" s="65" customFormat="1"/>
    <row r="12919" s="65" customFormat="1"/>
    <row r="12920" s="65" customFormat="1"/>
    <row r="12921" s="65" customFormat="1"/>
    <row r="12922" s="65" customFormat="1"/>
    <row r="12923" s="65" customFormat="1"/>
    <row r="12924" s="65" customFormat="1"/>
    <row r="12925" s="65" customFormat="1"/>
    <row r="12926" s="65" customFormat="1"/>
    <row r="12927" s="65" customFormat="1"/>
    <row r="12928" s="65" customFormat="1"/>
    <row r="12929" s="65" customFormat="1"/>
    <row r="12930" s="65" customFormat="1"/>
    <row r="12931" s="65" customFormat="1"/>
    <row r="12932" s="65" customFormat="1"/>
    <row r="12933" s="65" customFormat="1"/>
    <row r="12934" s="65" customFormat="1"/>
    <row r="12935" s="65" customFormat="1"/>
    <row r="12936" s="65" customFormat="1"/>
    <row r="12937" s="65" customFormat="1"/>
    <row r="12938" s="65" customFormat="1"/>
    <row r="12939" s="65" customFormat="1"/>
    <row r="12940" s="65" customFormat="1"/>
    <row r="12941" s="65" customFormat="1"/>
    <row r="12942" s="65" customFormat="1"/>
    <row r="12943" s="65" customFormat="1"/>
    <row r="12944" s="65" customFormat="1"/>
    <row r="12945" s="65" customFormat="1"/>
    <row r="12946" s="65" customFormat="1"/>
    <row r="12947" s="65" customFormat="1"/>
    <row r="12948" s="65" customFormat="1"/>
    <row r="12949" s="65" customFormat="1"/>
    <row r="12950" s="65" customFormat="1"/>
    <row r="12951" s="65" customFormat="1"/>
    <row r="12952" s="65" customFormat="1"/>
    <row r="12953" s="65" customFormat="1"/>
    <row r="12954" s="65" customFormat="1"/>
    <row r="12955" s="65" customFormat="1"/>
    <row r="12956" s="65" customFormat="1"/>
    <row r="12957" s="65" customFormat="1"/>
    <row r="12958" s="65" customFormat="1"/>
    <row r="12959" s="65" customFormat="1"/>
    <row r="12960" s="65" customFormat="1"/>
    <row r="12961" s="65" customFormat="1"/>
    <row r="12962" s="65" customFormat="1"/>
    <row r="12963" s="65" customFormat="1"/>
    <row r="12964" s="65" customFormat="1"/>
    <row r="12965" s="65" customFormat="1"/>
    <row r="12966" s="65" customFormat="1"/>
    <row r="12967" s="65" customFormat="1"/>
    <row r="12968" s="65" customFormat="1"/>
    <row r="12969" s="65" customFormat="1"/>
    <row r="12970" s="65" customFormat="1"/>
    <row r="12971" s="65" customFormat="1"/>
    <row r="12972" s="65" customFormat="1"/>
    <row r="12973" s="65" customFormat="1"/>
    <row r="12974" s="65" customFormat="1"/>
    <row r="12975" s="65" customFormat="1"/>
    <row r="12976" s="65" customFormat="1"/>
    <row r="12977" s="65" customFormat="1"/>
    <row r="12978" s="65" customFormat="1"/>
    <row r="12979" s="65" customFormat="1"/>
    <row r="12980" s="65" customFormat="1"/>
    <row r="12981" s="65" customFormat="1"/>
    <row r="12982" s="65" customFormat="1"/>
    <row r="12983" s="65" customFormat="1"/>
    <row r="12984" s="65" customFormat="1"/>
    <row r="12985" s="65" customFormat="1"/>
    <row r="12986" s="65" customFormat="1"/>
    <row r="12987" s="65" customFormat="1"/>
    <row r="12988" s="65" customFormat="1"/>
    <row r="12989" s="65" customFormat="1"/>
    <row r="12990" s="65" customFormat="1"/>
    <row r="12991" s="65" customFormat="1"/>
    <row r="12992" s="65" customFormat="1"/>
    <row r="12993" s="65" customFormat="1"/>
    <row r="12994" s="65" customFormat="1"/>
    <row r="12995" s="65" customFormat="1"/>
    <row r="12996" s="65" customFormat="1"/>
    <row r="12997" s="65" customFormat="1"/>
    <row r="12998" s="65" customFormat="1"/>
    <row r="12999" s="65" customFormat="1"/>
    <row r="13000" s="65" customFormat="1"/>
    <row r="13001" s="65" customFormat="1"/>
    <row r="13002" s="65" customFormat="1"/>
    <row r="13003" s="65" customFormat="1"/>
    <row r="13004" s="65" customFormat="1"/>
    <row r="13005" s="65" customFormat="1"/>
    <row r="13006" s="65" customFormat="1"/>
    <row r="13007" s="65" customFormat="1"/>
    <row r="13008" s="65" customFormat="1"/>
    <row r="13009" s="65" customFormat="1"/>
    <row r="13010" s="65" customFormat="1"/>
    <row r="13011" s="65" customFormat="1"/>
    <row r="13012" s="65" customFormat="1"/>
    <row r="13013" s="65" customFormat="1"/>
    <row r="13014" s="65" customFormat="1"/>
    <row r="13015" s="65" customFormat="1"/>
    <row r="13016" s="65" customFormat="1"/>
    <row r="13017" s="65" customFormat="1"/>
    <row r="13018" s="65" customFormat="1"/>
    <row r="13019" s="65" customFormat="1"/>
    <row r="13020" s="65" customFormat="1"/>
    <row r="13021" s="65" customFormat="1"/>
    <row r="13022" s="65" customFormat="1"/>
    <row r="13023" s="65" customFormat="1"/>
    <row r="13024" s="65" customFormat="1"/>
    <row r="13025" s="65" customFormat="1"/>
    <row r="13026" s="65" customFormat="1"/>
    <row r="13027" s="65" customFormat="1"/>
    <row r="13028" s="65" customFormat="1"/>
    <row r="13029" s="65" customFormat="1"/>
    <row r="13030" s="65" customFormat="1"/>
    <row r="13031" s="65" customFormat="1"/>
    <row r="13032" s="65" customFormat="1"/>
    <row r="13033" s="65" customFormat="1"/>
    <row r="13034" s="65" customFormat="1"/>
    <row r="13035" s="65" customFormat="1"/>
    <row r="13036" s="65" customFormat="1"/>
    <row r="13037" s="65" customFormat="1"/>
    <row r="13038" s="65" customFormat="1"/>
    <row r="13039" s="65" customFormat="1"/>
    <row r="13040" s="65" customFormat="1"/>
    <row r="13041" s="65" customFormat="1"/>
    <row r="13042" s="65" customFormat="1"/>
    <row r="13043" s="65" customFormat="1"/>
    <row r="13044" s="65" customFormat="1"/>
    <row r="13045" s="65" customFormat="1"/>
    <row r="13046" s="65" customFormat="1"/>
    <row r="13047" s="65" customFormat="1"/>
    <row r="13048" s="65" customFormat="1"/>
    <row r="13049" s="65" customFormat="1"/>
    <row r="13050" s="65" customFormat="1"/>
    <row r="13051" s="65" customFormat="1"/>
    <row r="13052" s="65" customFormat="1"/>
    <row r="13053" s="65" customFormat="1"/>
    <row r="13054" s="65" customFormat="1"/>
    <row r="13055" s="65" customFormat="1"/>
    <row r="13056" s="65" customFormat="1"/>
    <row r="13057" s="65" customFormat="1"/>
    <row r="13058" s="65" customFormat="1"/>
    <row r="13059" s="65" customFormat="1"/>
    <row r="13060" s="65" customFormat="1"/>
    <row r="13061" s="65" customFormat="1"/>
    <row r="13062" s="65" customFormat="1"/>
    <row r="13063" s="65" customFormat="1"/>
    <row r="13064" s="65" customFormat="1"/>
    <row r="13065" s="65" customFormat="1"/>
    <row r="13066" s="65" customFormat="1"/>
    <row r="13067" s="65" customFormat="1"/>
    <row r="13068" s="65" customFormat="1"/>
    <row r="13069" s="65" customFormat="1"/>
    <row r="13070" s="65" customFormat="1"/>
    <row r="13071" s="65" customFormat="1"/>
    <row r="13072" s="65" customFormat="1"/>
    <row r="13073" s="65" customFormat="1"/>
    <row r="13074" s="65" customFormat="1"/>
    <row r="13075" s="65" customFormat="1"/>
    <row r="13076" s="65" customFormat="1"/>
    <row r="13077" s="65" customFormat="1"/>
    <row r="13078" s="65" customFormat="1"/>
    <row r="13079" s="65" customFormat="1"/>
    <row r="13080" s="65" customFormat="1"/>
    <row r="13081" s="65" customFormat="1"/>
    <row r="13082" s="65" customFormat="1"/>
    <row r="13083" s="65" customFormat="1"/>
    <row r="13084" s="65" customFormat="1"/>
    <row r="13085" s="65" customFormat="1"/>
    <row r="13086" s="65" customFormat="1"/>
    <row r="13087" s="65" customFormat="1"/>
    <row r="13088" s="65" customFormat="1"/>
    <row r="13089" s="65" customFormat="1"/>
    <row r="13090" s="65" customFormat="1"/>
    <row r="13091" s="65" customFormat="1"/>
    <row r="13092" s="65" customFormat="1"/>
    <row r="13093" s="65" customFormat="1"/>
    <row r="13094" s="65" customFormat="1"/>
    <row r="13095" s="65" customFormat="1"/>
    <row r="13096" s="65" customFormat="1"/>
    <row r="13097" s="65" customFormat="1"/>
    <row r="13098" s="65" customFormat="1"/>
    <row r="13099" s="65" customFormat="1"/>
    <row r="13100" s="65" customFormat="1"/>
    <row r="13101" s="65" customFormat="1"/>
    <row r="13102" s="65" customFormat="1"/>
    <row r="13103" s="65" customFormat="1"/>
    <row r="13104" s="65" customFormat="1"/>
    <row r="13105" s="65" customFormat="1"/>
    <row r="13106" s="65" customFormat="1"/>
    <row r="13107" s="65" customFormat="1"/>
    <row r="13108" s="65" customFormat="1"/>
    <row r="13109" s="65" customFormat="1"/>
    <row r="13110" s="65" customFormat="1"/>
    <row r="13111" s="65" customFormat="1"/>
    <row r="13112" s="65" customFormat="1"/>
    <row r="13113" s="65" customFormat="1"/>
    <row r="13114" s="65" customFormat="1"/>
    <row r="13115" s="65" customFormat="1"/>
    <row r="13116" s="65" customFormat="1"/>
    <row r="13117" s="65" customFormat="1"/>
    <row r="13118" s="65" customFormat="1"/>
    <row r="13119" s="65" customFormat="1"/>
    <row r="13120" s="65" customFormat="1"/>
    <row r="13121" s="65" customFormat="1"/>
    <row r="13122" s="65" customFormat="1"/>
    <row r="13123" s="65" customFormat="1"/>
    <row r="13124" s="65" customFormat="1"/>
    <row r="13125" s="65" customFormat="1"/>
    <row r="13126" s="65" customFormat="1"/>
    <row r="13127" s="65" customFormat="1"/>
    <row r="13128" s="65" customFormat="1"/>
    <row r="13129" s="65" customFormat="1"/>
    <row r="13130" s="65" customFormat="1"/>
    <row r="13131" s="65" customFormat="1"/>
    <row r="13132" s="65" customFormat="1"/>
    <row r="13133" s="65" customFormat="1"/>
    <row r="13134" s="65" customFormat="1"/>
    <row r="13135" s="65" customFormat="1"/>
    <row r="13136" s="65" customFormat="1"/>
    <row r="13137" s="65" customFormat="1"/>
    <row r="13138" s="65" customFormat="1"/>
    <row r="13139" s="65" customFormat="1"/>
    <row r="13140" s="65" customFormat="1"/>
    <row r="13141" s="65" customFormat="1"/>
    <row r="13142" s="65" customFormat="1"/>
    <row r="13143" s="65" customFormat="1"/>
    <row r="13144" s="65" customFormat="1"/>
    <row r="13145" s="65" customFormat="1"/>
    <row r="13146" s="65" customFormat="1"/>
    <row r="13147" s="65" customFormat="1"/>
    <row r="13148" s="65" customFormat="1"/>
    <row r="13149" s="65" customFormat="1"/>
    <row r="13150" s="65" customFormat="1"/>
    <row r="13151" s="65" customFormat="1"/>
    <row r="13152" s="65" customFormat="1"/>
    <row r="13153" s="65" customFormat="1"/>
    <row r="13154" s="65" customFormat="1"/>
    <row r="13155" s="65" customFormat="1"/>
    <row r="13156" s="65" customFormat="1"/>
    <row r="13157" s="65" customFormat="1"/>
    <row r="13158" s="65" customFormat="1"/>
    <row r="13159" s="65" customFormat="1"/>
    <row r="13160" s="65" customFormat="1"/>
    <row r="13161" s="65" customFormat="1"/>
    <row r="13162" s="65" customFormat="1"/>
    <row r="13163" s="65" customFormat="1"/>
    <row r="13164" s="65" customFormat="1"/>
    <row r="13165" s="65" customFormat="1"/>
    <row r="13166" s="65" customFormat="1"/>
    <row r="13167" s="65" customFormat="1"/>
    <row r="13168" s="65" customFormat="1"/>
    <row r="13169" s="65" customFormat="1"/>
    <row r="13170" s="65" customFormat="1"/>
    <row r="13171" s="65" customFormat="1"/>
    <row r="13172" s="65" customFormat="1"/>
    <row r="13173" s="65" customFormat="1"/>
    <row r="13174" s="65" customFormat="1"/>
    <row r="13175" s="65" customFormat="1"/>
    <row r="13176" s="65" customFormat="1"/>
    <row r="13177" s="65" customFormat="1"/>
    <row r="13178" s="65" customFormat="1"/>
    <row r="13179" s="65" customFormat="1"/>
    <row r="13180" s="65" customFormat="1"/>
    <row r="13181" s="65" customFormat="1"/>
    <row r="13182" s="65" customFormat="1"/>
    <row r="13183" s="65" customFormat="1"/>
    <row r="13184" s="65" customFormat="1"/>
    <row r="13185" s="65" customFormat="1"/>
    <row r="13186" s="65" customFormat="1"/>
    <row r="13187" s="65" customFormat="1"/>
    <row r="13188" s="65" customFormat="1"/>
    <row r="13189" s="65" customFormat="1"/>
    <row r="13190" s="65" customFormat="1"/>
    <row r="13191" s="65" customFormat="1"/>
    <row r="13192" s="65" customFormat="1"/>
    <row r="13193" s="65" customFormat="1"/>
    <row r="13194" s="65" customFormat="1"/>
    <row r="13195" s="65" customFormat="1"/>
    <row r="13196" s="65" customFormat="1"/>
    <row r="13197" s="65" customFormat="1"/>
    <row r="13198" s="65" customFormat="1"/>
    <row r="13199" s="65" customFormat="1"/>
    <row r="13200" s="65" customFormat="1"/>
    <row r="13201" s="65" customFormat="1"/>
    <row r="13202" s="65" customFormat="1"/>
    <row r="13203" s="65" customFormat="1"/>
    <row r="13204" s="65" customFormat="1"/>
    <row r="13205" s="65" customFormat="1"/>
    <row r="13206" s="65" customFormat="1"/>
    <row r="13207" s="65" customFormat="1"/>
    <row r="13208" s="65" customFormat="1"/>
    <row r="13209" s="65" customFormat="1"/>
    <row r="13210" s="65" customFormat="1"/>
    <row r="13211" s="65" customFormat="1"/>
    <row r="13212" s="65" customFormat="1"/>
    <row r="13213" s="65" customFormat="1"/>
    <row r="13214" s="65" customFormat="1"/>
    <row r="13215" s="65" customFormat="1"/>
    <row r="13216" s="65" customFormat="1"/>
    <row r="13217" s="65" customFormat="1"/>
    <row r="13218" s="65" customFormat="1"/>
    <row r="13219" s="65" customFormat="1"/>
    <row r="13220" s="65" customFormat="1"/>
    <row r="13221" s="65" customFormat="1"/>
    <row r="13222" s="65" customFormat="1"/>
    <row r="13223" s="65" customFormat="1"/>
    <row r="13224" s="65" customFormat="1"/>
    <row r="13225" s="65" customFormat="1"/>
    <row r="13226" s="65" customFormat="1"/>
    <row r="13227" s="65" customFormat="1"/>
    <row r="13228" s="65" customFormat="1"/>
    <row r="13229" s="65" customFormat="1"/>
    <row r="13230" s="65" customFormat="1"/>
    <row r="13231" s="65" customFormat="1"/>
    <row r="13232" s="65" customFormat="1"/>
    <row r="13233" s="65" customFormat="1"/>
    <row r="13234" s="65" customFormat="1"/>
    <row r="13235" s="65" customFormat="1"/>
    <row r="13236" s="65" customFormat="1"/>
    <row r="13237" s="65" customFormat="1"/>
    <row r="13238" s="65" customFormat="1"/>
    <row r="13239" s="65" customFormat="1"/>
    <row r="13240" s="65" customFormat="1"/>
    <row r="13241" s="65" customFormat="1"/>
    <row r="13242" s="65" customFormat="1"/>
    <row r="13243" s="65" customFormat="1"/>
    <row r="13244" s="65" customFormat="1"/>
    <row r="13245" s="65" customFormat="1"/>
    <row r="13246" s="65" customFormat="1"/>
    <row r="13247" s="65" customFormat="1"/>
    <row r="13248" s="65" customFormat="1"/>
    <row r="13249" s="65" customFormat="1"/>
    <row r="13250" s="65" customFormat="1"/>
    <row r="13251" s="65" customFormat="1"/>
    <row r="13252" s="65" customFormat="1"/>
    <row r="13253" s="65" customFormat="1"/>
    <row r="13254" s="65" customFormat="1"/>
    <row r="13255" s="65" customFormat="1"/>
    <row r="13256" s="65" customFormat="1"/>
    <row r="13257" s="65" customFormat="1"/>
    <row r="13258" s="65" customFormat="1"/>
    <row r="13259" s="65" customFormat="1"/>
    <row r="13260" s="65" customFormat="1"/>
    <row r="13261" s="65" customFormat="1"/>
    <row r="13262" s="65" customFormat="1"/>
    <row r="13263" s="65" customFormat="1"/>
    <row r="13264" s="65" customFormat="1"/>
    <row r="13265" s="65" customFormat="1"/>
    <row r="13266" s="65" customFormat="1"/>
    <row r="13267" s="65" customFormat="1"/>
    <row r="13268" s="65" customFormat="1"/>
    <row r="13269" s="65" customFormat="1"/>
    <row r="13270" s="65" customFormat="1"/>
    <row r="13271" s="65" customFormat="1"/>
    <row r="13272" s="65" customFormat="1"/>
    <row r="13273" s="65" customFormat="1"/>
    <row r="13274" s="65" customFormat="1"/>
    <row r="13275" s="65" customFormat="1"/>
    <row r="13276" s="65" customFormat="1"/>
    <row r="13277" s="65" customFormat="1"/>
    <row r="13278" s="65" customFormat="1"/>
    <row r="13279" s="65" customFormat="1"/>
    <row r="13280" s="65" customFormat="1"/>
    <row r="13281" s="65" customFormat="1"/>
    <row r="13282" s="65" customFormat="1"/>
    <row r="13283" s="65" customFormat="1"/>
    <row r="13284" s="65" customFormat="1"/>
    <row r="13285" s="65" customFormat="1"/>
    <row r="13286" s="65" customFormat="1"/>
    <row r="13287" s="65" customFormat="1"/>
    <row r="13288" s="65" customFormat="1"/>
    <row r="13289" s="65" customFormat="1"/>
    <row r="13290" s="65" customFormat="1"/>
    <row r="13291" s="65" customFormat="1"/>
    <row r="13292" s="65" customFormat="1"/>
    <row r="13293" s="65" customFormat="1"/>
    <row r="13294" s="65" customFormat="1"/>
    <row r="13295" s="65" customFormat="1"/>
    <row r="13296" s="65" customFormat="1"/>
    <row r="13297" s="65" customFormat="1"/>
    <row r="13298" s="65" customFormat="1"/>
    <row r="13299" s="65" customFormat="1"/>
    <row r="13300" s="65" customFormat="1"/>
    <row r="13301" s="65" customFormat="1"/>
    <row r="13302" s="65" customFormat="1"/>
    <row r="13303" s="65" customFormat="1"/>
    <row r="13304" s="65" customFormat="1"/>
    <row r="13305" s="65" customFormat="1"/>
    <row r="13306" s="65" customFormat="1"/>
    <row r="13307" s="65" customFormat="1"/>
    <row r="13308" s="65" customFormat="1"/>
    <row r="13309" s="65" customFormat="1"/>
    <row r="13310" s="65" customFormat="1"/>
    <row r="13311" s="65" customFormat="1"/>
    <row r="13312" s="65" customFormat="1"/>
    <row r="13313" s="65" customFormat="1"/>
    <row r="13314" s="65" customFormat="1"/>
    <row r="13315" s="65" customFormat="1"/>
    <row r="13316" s="65" customFormat="1"/>
    <row r="13317" s="65" customFormat="1"/>
    <row r="13318" s="65" customFormat="1"/>
    <row r="13319" s="65" customFormat="1"/>
    <row r="13320" s="65" customFormat="1"/>
    <row r="13321" s="65" customFormat="1"/>
    <row r="13322" s="65" customFormat="1"/>
    <row r="13323" s="65" customFormat="1"/>
    <row r="13324" s="65" customFormat="1"/>
    <row r="13325" s="65" customFormat="1"/>
    <row r="13326" s="65" customFormat="1"/>
    <row r="13327" s="65" customFormat="1"/>
    <row r="13328" s="65" customFormat="1"/>
    <row r="13329" s="65" customFormat="1"/>
    <row r="13330" s="65" customFormat="1"/>
    <row r="13331" s="65" customFormat="1"/>
    <row r="13332" s="65" customFormat="1"/>
    <row r="13333" s="65" customFormat="1"/>
    <row r="13334" s="65" customFormat="1"/>
    <row r="13335" s="65" customFormat="1"/>
    <row r="13336" s="65" customFormat="1"/>
    <row r="13337" s="65" customFormat="1"/>
    <row r="13338" s="65" customFormat="1"/>
    <row r="13339" s="65" customFormat="1"/>
    <row r="13340" s="65" customFormat="1"/>
    <row r="13341" s="65" customFormat="1"/>
    <row r="13342" s="65" customFormat="1"/>
    <row r="13343" s="65" customFormat="1"/>
    <row r="13344" s="65" customFormat="1"/>
    <row r="13345" s="65" customFormat="1"/>
    <row r="13346" s="65" customFormat="1"/>
    <row r="13347" s="65" customFormat="1"/>
    <row r="13348" s="65" customFormat="1"/>
    <row r="13349" s="65" customFormat="1"/>
    <row r="13350" s="65" customFormat="1"/>
    <row r="13351" s="65" customFormat="1"/>
    <row r="13352" s="65" customFormat="1"/>
    <row r="13353" s="65" customFormat="1"/>
    <row r="13354" s="65" customFormat="1"/>
    <row r="13355" s="65" customFormat="1"/>
    <row r="13356" s="65" customFormat="1"/>
    <row r="13357" s="65" customFormat="1"/>
    <row r="13358" s="65" customFormat="1"/>
    <row r="13359" s="65" customFormat="1"/>
    <row r="13360" s="65" customFormat="1"/>
    <row r="13361" s="65" customFormat="1"/>
    <row r="13362" s="65" customFormat="1"/>
    <row r="13363" s="65" customFormat="1"/>
    <row r="13364" s="65" customFormat="1"/>
    <row r="13365" s="65" customFormat="1"/>
    <row r="13366" s="65" customFormat="1"/>
    <row r="13367" s="65" customFormat="1"/>
    <row r="13368" s="65" customFormat="1"/>
    <row r="13369" s="65" customFormat="1"/>
    <row r="13370" s="65" customFormat="1"/>
    <row r="13371" s="65" customFormat="1"/>
    <row r="13372" s="65" customFormat="1"/>
    <row r="13373" s="65" customFormat="1"/>
    <row r="13374" s="65" customFormat="1"/>
    <row r="13375" s="65" customFormat="1"/>
    <row r="13376" s="65" customFormat="1"/>
    <row r="13377" s="65" customFormat="1"/>
    <row r="13378" s="65" customFormat="1"/>
    <row r="13379" s="65" customFormat="1"/>
    <row r="13380" s="65" customFormat="1"/>
    <row r="13381" s="65" customFormat="1"/>
    <row r="13382" s="65" customFormat="1"/>
    <row r="13383" s="65" customFormat="1"/>
    <row r="13384" s="65" customFormat="1"/>
    <row r="13385" s="65" customFormat="1"/>
    <row r="13386" s="65" customFormat="1"/>
    <row r="13387" s="65" customFormat="1"/>
    <row r="13388" s="65" customFormat="1"/>
    <row r="13389" s="65" customFormat="1"/>
    <row r="13390" s="65" customFormat="1"/>
    <row r="13391" s="65" customFormat="1"/>
    <row r="13392" s="65" customFormat="1"/>
    <row r="13393" s="65" customFormat="1"/>
    <row r="13394" s="65" customFormat="1"/>
    <row r="13395" s="65" customFormat="1"/>
    <row r="13396" s="65" customFormat="1"/>
    <row r="13397" s="65" customFormat="1"/>
    <row r="13398" s="65" customFormat="1"/>
    <row r="13399" s="65" customFormat="1"/>
    <row r="13400" s="65" customFormat="1"/>
    <row r="13401" s="65" customFormat="1"/>
    <row r="13402" s="65" customFormat="1"/>
    <row r="13403" s="65" customFormat="1"/>
    <row r="13404" s="65" customFormat="1"/>
    <row r="13405" s="65" customFormat="1"/>
    <row r="13406" s="65" customFormat="1"/>
    <row r="13407" s="65" customFormat="1"/>
    <row r="13408" s="65" customFormat="1"/>
    <row r="13409" s="65" customFormat="1"/>
    <row r="13410" s="65" customFormat="1"/>
    <row r="13411" s="65" customFormat="1"/>
    <row r="13412" s="65" customFormat="1"/>
    <row r="13413" s="65" customFormat="1"/>
    <row r="13414" s="65" customFormat="1"/>
    <row r="13415" s="65" customFormat="1"/>
    <row r="13416" s="65" customFormat="1"/>
    <row r="13417" s="65" customFormat="1"/>
    <row r="13418" s="65" customFormat="1"/>
    <row r="13419" s="65" customFormat="1"/>
    <row r="13420" s="65" customFormat="1"/>
    <row r="13421" s="65" customFormat="1"/>
    <row r="13422" s="65" customFormat="1"/>
    <row r="13423" s="65" customFormat="1"/>
    <row r="13424" s="65" customFormat="1"/>
    <row r="13425" s="65" customFormat="1"/>
    <row r="13426" s="65" customFormat="1"/>
    <row r="13427" s="65" customFormat="1"/>
    <row r="13428" s="65" customFormat="1"/>
    <row r="13429" s="65" customFormat="1"/>
    <row r="13430" s="65" customFormat="1"/>
    <row r="13431" s="65" customFormat="1"/>
    <row r="13432" s="65" customFormat="1"/>
    <row r="13433" s="65" customFormat="1"/>
    <row r="13434" s="65" customFormat="1"/>
    <row r="13435" s="65" customFormat="1"/>
    <row r="13436" s="65" customFormat="1"/>
    <row r="13437" s="65" customFormat="1"/>
    <row r="13438" s="65" customFormat="1"/>
    <row r="13439" s="65" customFormat="1"/>
    <row r="13440" s="65" customFormat="1"/>
    <row r="13441" s="65" customFormat="1"/>
    <row r="13442" s="65" customFormat="1"/>
    <row r="13443" s="65" customFormat="1"/>
    <row r="13444" s="65" customFormat="1"/>
    <row r="13445" s="65" customFormat="1"/>
    <row r="13446" s="65" customFormat="1"/>
    <row r="13447" s="65" customFormat="1"/>
    <row r="13448" s="65" customFormat="1"/>
    <row r="13449" s="65" customFormat="1"/>
    <row r="13450" s="65" customFormat="1"/>
    <row r="13451" s="65" customFormat="1"/>
    <row r="13452" s="65" customFormat="1"/>
    <row r="13453" s="65" customFormat="1"/>
    <row r="13454" s="65" customFormat="1"/>
    <row r="13455" s="65" customFormat="1"/>
    <row r="13456" s="65" customFormat="1"/>
    <row r="13457" s="65" customFormat="1"/>
    <row r="13458" s="65" customFormat="1"/>
    <row r="13459" s="65" customFormat="1"/>
    <row r="13460" s="65" customFormat="1"/>
    <row r="13461" s="65" customFormat="1"/>
    <row r="13462" s="65" customFormat="1"/>
    <row r="13463" s="65" customFormat="1"/>
    <row r="13464" s="65" customFormat="1"/>
    <row r="13465" s="65" customFormat="1"/>
    <row r="13466" s="65" customFormat="1"/>
    <row r="13467" s="65" customFormat="1"/>
    <row r="13468" s="65" customFormat="1"/>
    <row r="13469" s="65" customFormat="1"/>
    <row r="13470" s="65" customFormat="1"/>
    <row r="13471" s="65" customFormat="1"/>
    <row r="13472" s="65" customFormat="1"/>
    <row r="13473" s="65" customFormat="1"/>
    <row r="13474" s="65" customFormat="1"/>
    <row r="13475" s="65" customFormat="1"/>
    <row r="13476" s="65" customFormat="1"/>
    <row r="13477" s="65" customFormat="1"/>
    <row r="13478" s="65" customFormat="1"/>
    <row r="13479" s="65" customFormat="1"/>
    <row r="13480" s="65" customFormat="1"/>
    <row r="13481" s="65" customFormat="1"/>
    <row r="13482" s="65" customFormat="1"/>
    <row r="13483" s="65" customFormat="1"/>
    <row r="13484" s="65" customFormat="1"/>
    <row r="13485" s="65" customFormat="1"/>
    <row r="13486" s="65" customFormat="1"/>
    <row r="13487" s="65" customFormat="1"/>
    <row r="13488" s="65" customFormat="1"/>
    <row r="13489" s="65" customFormat="1"/>
    <row r="13490" s="65" customFormat="1"/>
    <row r="13491" s="65" customFormat="1"/>
    <row r="13492" s="65" customFormat="1"/>
    <row r="13493" s="65" customFormat="1"/>
    <row r="13494" s="65" customFormat="1"/>
    <row r="13495" s="65" customFormat="1"/>
    <row r="13496" s="65" customFormat="1"/>
    <row r="13497" s="65" customFormat="1"/>
    <row r="13498" s="65" customFormat="1"/>
    <row r="13499" s="65" customFormat="1"/>
    <row r="13500" s="65" customFormat="1"/>
    <row r="13501" s="65" customFormat="1"/>
    <row r="13502" s="65" customFormat="1"/>
    <row r="13503" s="65" customFormat="1"/>
    <row r="13504" s="65" customFormat="1"/>
    <row r="13505" s="65" customFormat="1"/>
    <row r="13506" s="65" customFormat="1"/>
    <row r="13507" s="65" customFormat="1"/>
    <row r="13508" s="65" customFormat="1"/>
    <row r="13509" s="65" customFormat="1"/>
    <row r="13510" s="65" customFormat="1"/>
    <row r="13511" s="65" customFormat="1"/>
    <row r="13512" s="65" customFormat="1"/>
    <row r="13513" s="65" customFormat="1"/>
    <row r="13514" s="65" customFormat="1"/>
    <row r="13515" s="65" customFormat="1"/>
    <row r="13516" s="65" customFormat="1"/>
    <row r="13517" s="65" customFormat="1"/>
    <row r="13518" s="65" customFormat="1"/>
    <row r="13519" s="65" customFormat="1"/>
    <row r="13520" s="65" customFormat="1"/>
    <row r="13521" s="65" customFormat="1"/>
    <row r="13522" s="65" customFormat="1"/>
    <row r="13523" s="65" customFormat="1"/>
    <row r="13524" s="65" customFormat="1"/>
    <row r="13525" s="65" customFormat="1"/>
    <row r="13526" s="65" customFormat="1"/>
    <row r="13527" s="65" customFormat="1"/>
    <row r="13528" s="65" customFormat="1"/>
    <row r="13529" s="65" customFormat="1"/>
    <row r="13530" s="65" customFormat="1"/>
    <row r="13531" s="65" customFormat="1"/>
    <row r="13532" s="65" customFormat="1"/>
    <row r="13533" s="65" customFormat="1"/>
    <row r="13534" s="65" customFormat="1"/>
    <row r="13535" s="65" customFormat="1"/>
    <row r="13536" s="65" customFormat="1"/>
    <row r="13537" s="65" customFormat="1"/>
    <row r="13538" s="65" customFormat="1"/>
    <row r="13539" s="65" customFormat="1"/>
    <row r="13540" s="65" customFormat="1"/>
    <row r="13541" s="65" customFormat="1"/>
    <row r="13542" s="65" customFormat="1"/>
    <row r="13543" s="65" customFormat="1"/>
    <row r="13544" s="65" customFormat="1"/>
    <row r="13545" s="65" customFormat="1"/>
    <row r="13546" s="65" customFormat="1"/>
    <row r="13547" s="65" customFormat="1"/>
    <row r="13548" s="65" customFormat="1"/>
    <row r="13549" s="65" customFormat="1"/>
    <row r="13550" s="65" customFormat="1"/>
    <row r="13551" s="65" customFormat="1"/>
    <row r="13552" s="65" customFormat="1"/>
    <row r="13553" s="65" customFormat="1"/>
    <row r="13554" s="65" customFormat="1"/>
    <row r="13555" s="65" customFormat="1"/>
    <row r="13556" s="65" customFormat="1"/>
    <row r="13557" s="65" customFormat="1"/>
    <row r="13558" s="65" customFormat="1"/>
    <row r="13559" s="65" customFormat="1"/>
    <row r="13560" s="65" customFormat="1"/>
    <row r="13561" s="65" customFormat="1"/>
    <row r="13562" s="65" customFormat="1"/>
    <row r="13563" s="65" customFormat="1"/>
    <row r="13564" s="65" customFormat="1"/>
    <row r="13565" s="65" customFormat="1"/>
    <row r="13566" s="65" customFormat="1"/>
    <row r="13567" s="65" customFormat="1"/>
    <row r="13568" s="65" customFormat="1"/>
    <row r="13569" s="65" customFormat="1"/>
    <row r="13570" s="65" customFormat="1"/>
    <row r="13571" s="65" customFormat="1"/>
    <row r="13572" s="65" customFormat="1"/>
    <row r="13573" s="65" customFormat="1"/>
    <row r="13574" s="65" customFormat="1"/>
    <row r="13575" s="65" customFormat="1"/>
    <row r="13576" s="65" customFormat="1"/>
    <row r="13577" s="65" customFormat="1"/>
    <row r="13578" s="65" customFormat="1"/>
    <row r="13579" s="65" customFormat="1"/>
    <row r="13580" s="65" customFormat="1"/>
    <row r="13581" s="65" customFormat="1"/>
    <row r="13582" s="65" customFormat="1"/>
    <row r="13583" s="65" customFormat="1"/>
    <row r="13584" s="65" customFormat="1"/>
    <row r="13585" s="65" customFormat="1"/>
    <row r="13586" s="65" customFormat="1"/>
    <row r="13587" s="65" customFormat="1"/>
    <row r="13588" s="65" customFormat="1"/>
    <row r="13589" s="65" customFormat="1"/>
    <row r="13590" s="65" customFormat="1"/>
    <row r="13591" s="65" customFormat="1"/>
    <row r="13592" s="65" customFormat="1"/>
    <row r="13593" s="65" customFormat="1"/>
    <row r="13594" s="65" customFormat="1"/>
    <row r="13595" s="65" customFormat="1"/>
    <row r="13596" s="65" customFormat="1"/>
    <row r="13597" s="65" customFormat="1"/>
    <row r="13598" s="65" customFormat="1"/>
    <row r="13599" s="65" customFormat="1"/>
    <row r="13600" s="65" customFormat="1"/>
    <row r="13601" s="65" customFormat="1"/>
    <row r="13602" s="65" customFormat="1"/>
    <row r="13603" s="65" customFormat="1"/>
    <row r="13604" s="65" customFormat="1"/>
    <row r="13605" s="65" customFormat="1"/>
    <row r="13606" s="65" customFormat="1"/>
    <row r="13607" s="65" customFormat="1"/>
    <row r="13608" s="65" customFormat="1"/>
    <row r="13609" s="65" customFormat="1"/>
    <row r="13610" s="65" customFormat="1"/>
    <row r="13611" s="65" customFormat="1"/>
    <row r="13612" s="65" customFormat="1"/>
    <row r="13613" s="65" customFormat="1"/>
    <row r="13614" s="65" customFormat="1"/>
    <row r="13615" s="65" customFormat="1"/>
    <row r="13616" s="65" customFormat="1"/>
    <row r="13617" s="65" customFormat="1"/>
    <row r="13618" s="65" customFormat="1"/>
    <row r="13619" s="65" customFormat="1"/>
    <row r="13620" s="65" customFormat="1"/>
    <row r="13621" s="65" customFormat="1"/>
    <row r="13622" s="65" customFormat="1"/>
    <row r="13623" s="65" customFormat="1"/>
    <row r="13624" s="65" customFormat="1"/>
    <row r="13625" s="65" customFormat="1"/>
    <row r="13626" s="65" customFormat="1"/>
    <row r="13627" s="65" customFormat="1"/>
    <row r="13628" s="65" customFormat="1"/>
    <row r="13629" s="65" customFormat="1"/>
    <row r="13630" s="65" customFormat="1"/>
    <row r="13631" s="65" customFormat="1"/>
    <row r="13632" s="65" customFormat="1"/>
    <row r="13633" s="65" customFormat="1"/>
    <row r="13634" s="65" customFormat="1"/>
    <row r="13635" s="65" customFormat="1"/>
    <row r="13636" s="65" customFormat="1"/>
    <row r="13637" s="65" customFormat="1"/>
    <row r="13638" s="65" customFormat="1"/>
    <row r="13639" s="65" customFormat="1"/>
    <row r="13640" s="65" customFormat="1"/>
    <row r="13641" s="65" customFormat="1"/>
    <row r="13642" s="65" customFormat="1"/>
    <row r="13643" s="65" customFormat="1"/>
    <row r="13644" s="65" customFormat="1"/>
    <row r="13645" s="65" customFormat="1"/>
    <row r="13646" s="65" customFormat="1"/>
    <row r="13647" s="65" customFormat="1"/>
    <row r="13648" s="65" customFormat="1"/>
    <row r="13649" s="65" customFormat="1"/>
    <row r="13650" s="65" customFormat="1"/>
    <row r="13651" s="65" customFormat="1"/>
    <row r="13652" s="65" customFormat="1"/>
    <row r="13653" s="65" customFormat="1"/>
    <row r="13654" s="65" customFormat="1"/>
    <row r="13655" s="65" customFormat="1"/>
    <row r="13656" s="65" customFormat="1"/>
    <row r="13657" s="65" customFormat="1"/>
    <row r="13658" s="65" customFormat="1"/>
    <row r="13659" s="65" customFormat="1"/>
    <row r="13660" s="65" customFormat="1"/>
    <row r="13661" s="65" customFormat="1"/>
    <row r="13662" s="65" customFormat="1"/>
    <row r="13663" s="65" customFormat="1"/>
    <row r="13664" s="65" customFormat="1"/>
    <row r="13665" s="65" customFormat="1"/>
    <row r="13666" s="65" customFormat="1"/>
    <row r="13667" s="65" customFormat="1"/>
    <row r="13668" s="65" customFormat="1"/>
    <row r="13669" s="65" customFormat="1"/>
    <row r="13670" s="65" customFormat="1"/>
    <row r="13671" s="65" customFormat="1"/>
    <row r="13672" s="65" customFormat="1"/>
    <row r="13673" s="65" customFormat="1"/>
    <row r="13674" s="65" customFormat="1"/>
    <row r="13675" s="65" customFormat="1"/>
    <row r="13676" s="65" customFormat="1"/>
    <row r="13677" s="65" customFormat="1"/>
    <row r="13678" s="65" customFormat="1"/>
    <row r="13679" s="65" customFormat="1"/>
    <row r="13680" s="65" customFormat="1"/>
    <row r="13681" s="65" customFormat="1"/>
    <row r="13682" s="65" customFormat="1"/>
    <row r="13683" s="65" customFormat="1"/>
    <row r="13684" s="65" customFormat="1"/>
    <row r="13685" s="65" customFormat="1"/>
    <row r="13686" s="65" customFormat="1"/>
    <row r="13687" s="65" customFormat="1"/>
    <row r="13688" s="65" customFormat="1"/>
    <row r="13689" s="65" customFormat="1"/>
    <row r="13690" s="65" customFormat="1"/>
    <row r="13691" s="65" customFormat="1"/>
    <row r="13692" s="65" customFormat="1"/>
    <row r="13693" s="65" customFormat="1"/>
    <row r="13694" s="65" customFormat="1"/>
    <row r="13695" s="65" customFormat="1"/>
    <row r="13696" s="65" customFormat="1"/>
    <row r="13697" s="65" customFormat="1"/>
    <row r="13698" s="65" customFormat="1"/>
    <row r="13699" s="65" customFormat="1"/>
    <row r="13700" s="65" customFormat="1"/>
    <row r="13701" s="65" customFormat="1"/>
    <row r="13702" s="65" customFormat="1"/>
    <row r="13703" s="65" customFormat="1"/>
    <row r="13704" s="65" customFormat="1"/>
    <row r="13705" s="65" customFormat="1"/>
    <row r="13706" s="65" customFormat="1"/>
    <row r="13707" s="65" customFormat="1"/>
    <row r="13708" s="65" customFormat="1"/>
    <row r="13709" s="65" customFormat="1"/>
    <row r="13710" s="65" customFormat="1"/>
    <row r="13711" s="65" customFormat="1"/>
    <row r="13712" s="65" customFormat="1"/>
    <row r="13713" s="65" customFormat="1"/>
    <row r="13714" s="65" customFormat="1"/>
    <row r="13715" s="65" customFormat="1"/>
    <row r="13716" s="65" customFormat="1"/>
    <row r="13717" s="65" customFormat="1"/>
    <row r="13718" s="65" customFormat="1"/>
    <row r="13719" s="65" customFormat="1"/>
    <row r="13720" s="65" customFormat="1"/>
    <row r="13721" s="65" customFormat="1"/>
    <row r="13722" s="65" customFormat="1"/>
    <row r="13723" s="65" customFormat="1"/>
    <row r="13724" s="65" customFormat="1"/>
    <row r="13725" s="65" customFormat="1"/>
    <row r="13726" s="65" customFormat="1"/>
    <row r="13727" s="65" customFormat="1"/>
    <row r="13728" s="65" customFormat="1"/>
    <row r="13729" s="65" customFormat="1"/>
    <row r="13730" s="65" customFormat="1"/>
    <row r="13731" s="65" customFormat="1"/>
    <row r="13732" s="65" customFormat="1"/>
    <row r="13733" s="65" customFormat="1"/>
    <row r="13734" s="65" customFormat="1"/>
    <row r="13735" s="65" customFormat="1"/>
    <row r="13736" s="65" customFormat="1"/>
    <row r="13737" s="65" customFormat="1"/>
    <row r="13738" s="65" customFormat="1"/>
    <row r="13739" s="65" customFormat="1"/>
    <row r="13740" s="65" customFormat="1"/>
    <row r="13741" s="65" customFormat="1"/>
    <row r="13742" s="65" customFormat="1"/>
    <row r="13743" s="65" customFormat="1"/>
    <row r="13744" s="65" customFormat="1"/>
    <row r="13745" s="65" customFormat="1"/>
    <row r="13746" s="65" customFormat="1"/>
    <row r="13747" s="65" customFormat="1"/>
    <row r="13748" s="65" customFormat="1"/>
    <row r="13749" s="65" customFormat="1"/>
    <row r="13750" s="65" customFormat="1"/>
    <row r="13751" s="65" customFormat="1"/>
    <row r="13752" s="65" customFormat="1"/>
    <row r="13753" s="65" customFormat="1"/>
    <row r="13754" s="65" customFormat="1"/>
    <row r="13755" s="65" customFormat="1"/>
    <row r="13756" s="65" customFormat="1"/>
    <row r="13757" s="65" customFormat="1"/>
    <row r="13758" s="65" customFormat="1"/>
    <row r="13759" s="65" customFormat="1"/>
    <row r="13760" s="65" customFormat="1"/>
    <row r="13761" spans="1:4">
      <c r="A13761" s="65"/>
      <c r="D13761" s="65"/>
    </row>
    <row r="13762" spans="1:4">
      <c r="A13762" s="65"/>
      <c r="D13762" s="65"/>
    </row>
    <row r="13763" spans="1:4">
      <c r="A13763" s="65"/>
      <c r="D13763" s="65"/>
    </row>
    <row r="13764" spans="1:4">
      <c r="A13764" s="65"/>
      <c r="D13764" s="65"/>
    </row>
    <row r="13765" spans="1:4">
      <c r="A13765" s="65"/>
      <c r="D13765" s="65"/>
    </row>
    <row r="13766" spans="1:4">
      <c r="A13766" s="65"/>
      <c r="D13766" s="65"/>
    </row>
    <row r="13767" spans="1:4">
      <c r="A13767" s="65"/>
      <c r="D13767" s="65"/>
    </row>
    <row r="13768" spans="1:4">
      <c r="A13768" s="65"/>
      <c r="D13768" s="65"/>
    </row>
    <row r="13769" spans="1:4">
      <c r="A13769" s="65"/>
      <c r="D13769" s="65"/>
    </row>
    <row r="13770" spans="1:4">
      <c r="A13770" s="65"/>
      <c r="D13770" s="65"/>
    </row>
    <row r="13771" spans="1:4">
      <c r="A13771" s="65"/>
      <c r="D13771" s="65"/>
    </row>
    <row r="13772" spans="1:4">
      <c r="A13772" s="65"/>
      <c r="D13772" s="65"/>
    </row>
    <row r="13773" spans="1:4">
      <c r="A13773" s="65"/>
      <c r="D13773" s="65"/>
    </row>
    <row r="13774" spans="1:4">
      <c r="A13774" s="65"/>
      <c r="D13774" s="65"/>
    </row>
    <row r="13775" spans="1:4">
      <c r="A13775" s="65"/>
      <c r="D13775" s="65"/>
    </row>
    <row r="13776" spans="1:4">
      <c r="D13776" s="65"/>
    </row>
    <row r="13777" s="65" customFormat="1"/>
    <row r="13778" s="65" customFormat="1"/>
    <row r="13779" s="65" customFormat="1"/>
    <row r="13780" s="65" customFormat="1"/>
    <row r="13781" s="65" customFormat="1"/>
    <row r="13782" s="65" customFormat="1"/>
    <row r="13783" s="65" customFormat="1"/>
    <row r="13784" s="65" customFormat="1"/>
    <row r="13785" s="65" customFormat="1"/>
    <row r="13786" s="65" customFormat="1"/>
    <row r="13787" s="65" customFormat="1"/>
    <row r="13788" s="65" customFormat="1"/>
    <row r="13789" s="65" customFormat="1"/>
    <row r="13790" s="65" customFormat="1"/>
    <row r="13791" s="65" customFormat="1"/>
    <row r="13792" s="65" customFormat="1"/>
    <row r="13793" s="65" customFormat="1"/>
    <row r="13794" s="65" customFormat="1"/>
    <row r="13795" s="65" customFormat="1"/>
    <row r="13796" s="65" customFormat="1"/>
    <row r="13797" s="65" customFormat="1"/>
    <row r="13798" s="65" customFormat="1"/>
    <row r="13799" s="65" customFormat="1"/>
    <row r="13800" s="65" customFormat="1"/>
    <row r="13801" s="65" customFormat="1"/>
    <row r="13802" s="65" customFormat="1"/>
    <row r="13803" s="65" customFormat="1"/>
    <row r="13804" s="65" customFormat="1"/>
    <row r="13805" s="65" customFormat="1"/>
    <row r="13806" s="65" customFormat="1"/>
    <row r="13807" s="65" customFormat="1"/>
    <row r="13808" s="65" customFormat="1"/>
    <row r="13809" s="65" customFormat="1"/>
    <row r="13810" s="65" customFormat="1"/>
    <row r="13811" s="65" customFormat="1"/>
    <row r="13812" s="65" customFormat="1"/>
    <row r="13813" s="65" customFormat="1"/>
    <row r="13814" s="65" customFormat="1"/>
    <row r="13815" s="65" customFormat="1"/>
    <row r="13816" s="65" customFormat="1"/>
    <row r="13817" s="65" customFormat="1"/>
    <row r="13818" s="65" customFormat="1"/>
    <row r="13819" s="65" customFormat="1"/>
    <row r="13820" s="65" customFormat="1"/>
    <row r="13821" s="65" customFormat="1"/>
    <row r="13822" s="65" customFormat="1"/>
    <row r="13823" s="65" customFormat="1"/>
    <row r="13824" s="65" customFormat="1"/>
    <row r="13825" s="65" customFormat="1"/>
    <row r="13826" s="65" customFormat="1"/>
    <row r="13827" s="65" customFormat="1"/>
    <row r="13828" s="65" customFormat="1"/>
    <row r="13829" s="65" customFormat="1"/>
    <row r="13830" s="65" customFormat="1"/>
    <row r="13831" s="65" customFormat="1"/>
    <row r="13832" s="65" customFormat="1"/>
    <row r="13833" s="65" customFormat="1"/>
    <row r="13834" s="65" customFormat="1"/>
    <row r="13835" s="65" customFormat="1"/>
    <row r="13836" s="65" customFormat="1"/>
    <row r="13837" s="65" customFormat="1"/>
    <row r="13838" s="65" customFormat="1"/>
    <row r="13839" s="65" customFormat="1"/>
    <row r="13840" s="65" customFormat="1"/>
    <row r="13841" s="65" customFormat="1"/>
    <row r="13842" s="65" customFormat="1"/>
    <row r="13843" s="65" customFormat="1"/>
    <row r="13844" s="65" customFormat="1"/>
    <row r="13845" s="65" customFormat="1"/>
    <row r="13846" s="65" customFormat="1"/>
    <row r="13847" s="65" customFormat="1"/>
    <row r="13848" s="65" customFormat="1"/>
    <row r="13849" s="65" customFormat="1"/>
    <row r="13850" s="65" customFormat="1"/>
    <row r="13851" s="65" customFormat="1"/>
    <row r="13852" s="65" customFormat="1"/>
    <row r="13853" s="65" customFormat="1"/>
    <row r="13854" s="65" customFormat="1"/>
    <row r="13855" s="65" customFormat="1"/>
    <row r="13856" s="65" customFormat="1"/>
    <row r="13857" s="65" customFormat="1"/>
    <row r="13858" s="65" customFormat="1"/>
    <row r="13859" s="65" customFormat="1"/>
    <row r="13860" s="65" customFormat="1"/>
    <row r="13861" s="65" customFormat="1"/>
    <row r="13862" s="65" customFormat="1"/>
    <row r="13863" s="65" customFormat="1"/>
    <row r="13864" s="65" customFormat="1"/>
    <row r="13865" s="65" customFormat="1"/>
    <row r="13866" s="65" customFormat="1"/>
    <row r="13867" s="65" customFormat="1"/>
    <row r="13868" s="65" customFormat="1"/>
    <row r="13869" s="65" customFormat="1"/>
    <row r="13870" s="65" customFormat="1"/>
    <row r="13871" s="65" customFormat="1"/>
    <row r="13872" s="65" customFormat="1"/>
    <row r="13873" s="65" customFormat="1"/>
    <row r="13874" s="65" customFormat="1"/>
    <row r="13875" s="65" customFormat="1"/>
    <row r="13876" s="65" customFormat="1"/>
    <row r="13877" s="65" customFormat="1"/>
    <row r="13878" s="65" customFormat="1"/>
    <row r="13879" s="65" customFormat="1"/>
    <row r="13880" s="65" customFormat="1"/>
    <row r="13881" s="65" customFormat="1"/>
    <row r="13882" s="65" customFormat="1"/>
    <row r="13883" s="65" customFormat="1"/>
    <row r="13884" s="65" customFormat="1"/>
    <row r="13885" s="65" customFormat="1"/>
    <row r="13886" s="65" customFormat="1"/>
    <row r="13887" s="65" customFormat="1"/>
    <row r="13888" s="65" customFormat="1"/>
    <row r="13889" s="65" customFormat="1"/>
    <row r="13890" s="65" customFormat="1"/>
    <row r="13891" s="65" customFormat="1"/>
    <row r="13892" s="65" customFormat="1"/>
    <row r="13893" s="65" customFormat="1"/>
    <row r="13894" s="65" customFormat="1"/>
    <row r="13895" s="65" customFormat="1"/>
    <row r="13896" s="65" customFormat="1"/>
    <row r="13897" s="65" customFormat="1"/>
    <row r="13898" s="65" customFormat="1"/>
    <row r="13899" s="65" customFormat="1"/>
    <row r="13900" s="65" customFormat="1"/>
    <row r="13901" s="65" customFormat="1"/>
    <row r="13902" s="65" customFormat="1"/>
    <row r="13903" s="65" customFormat="1"/>
    <row r="13904" s="65" customFormat="1"/>
    <row r="13905" s="65" customFormat="1"/>
    <row r="13906" s="65" customFormat="1"/>
    <row r="13907" s="65" customFormat="1"/>
    <row r="13908" s="65" customFormat="1"/>
    <row r="13909" s="65" customFormat="1"/>
    <row r="13910" s="65" customFormat="1"/>
    <row r="13911" s="65" customFormat="1"/>
    <row r="13912" s="65" customFormat="1"/>
    <row r="13913" s="65" customFormat="1"/>
    <row r="13914" s="65" customFormat="1"/>
    <row r="13915" s="65" customFormat="1"/>
    <row r="13916" s="65" customFormat="1"/>
    <row r="13917" s="65" customFormat="1"/>
    <row r="13918" s="65" customFormat="1"/>
    <row r="13919" s="65" customFormat="1"/>
    <row r="13920" s="65" customFormat="1"/>
    <row r="13921" s="65" customFormat="1"/>
    <row r="13922" s="65" customFormat="1"/>
    <row r="13923" s="65" customFormat="1"/>
    <row r="13924" s="65" customFormat="1"/>
    <row r="13925" s="65" customFormat="1"/>
    <row r="13926" s="65" customFormat="1"/>
    <row r="13927" s="65" customFormat="1"/>
    <row r="13928" s="65" customFormat="1"/>
    <row r="13929" s="65" customFormat="1"/>
    <row r="13930" s="65" customFormat="1"/>
    <row r="13931" s="65" customFormat="1"/>
    <row r="13932" s="65" customFormat="1"/>
    <row r="13933" s="65" customFormat="1"/>
    <row r="13934" s="65" customFormat="1"/>
    <row r="13935" s="65" customFormat="1"/>
    <row r="13936" s="65" customFormat="1"/>
    <row r="13937" s="65" customFormat="1"/>
    <row r="13938" s="65" customFormat="1"/>
    <row r="13939" s="65" customFormat="1"/>
    <row r="13940" s="65" customFormat="1"/>
    <row r="13941" s="65" customFormat="1"/>
    <row r="13942" s="65" customFormat="1"/>
    <row r="13943" s="65" customFormat="1"/>
    <row r="13944" s="65" customFormat="1"/>
    <row r="13945" s="65" customFormat="1"/>
    <row r="13946" s="65" customFormat="1"/>
    <row r="13947" s="65" customFormat="1"/>
    <row r="13948" s="65" customFormat="1"/>
    <row r="13949" s="65" customFormat="1"/>
    <row r="13950" s="65" customFormat="1"/>
    <row r="13951" s="65" customFormat="1"/>
    <row r="13952" s="65" customFormat="1"/>
    <row r="13953" s="65" customFormat="1"/>
    <row r="13954" s="65" customFormat="1"/>
    <row r="13955" s="65" customFormat="1"/>
    <row r="13956" s="65" customFormat="1"/>
    <row r="13957" s="65" customFormat="1"/>
    <row r="13958" s="65" customFormat="1"/>
    <row r="13959" s="65" customFormat="1"/>
    <row r="13960" s="65" customFormat="1"/>
    <row r="13961" s="65" customFormat="1"/>
    <row r="13962" s="65" customFormat="1"/>
    <row r="13963" s="65" customFormat="1"/>
    <row r="13964" s="65" customFormat="1"/>
    <row r="13965" s="65" customFormat="1"/>
    <row r="13966" s="65" customFormat="1"/>
    <row r="13967" s="65" customFormat="1"/>
    <row r="13968" s="65" customFormat="1"/>
    <row r="13969" s="65" customFormat="1"/>
    <row r="13970" s="65" customFormat="1"/>
    <row r="13971" s="65" customFormat="1"/>
    <row r="13972" s="65" customFormat="1"/>
    <row r="13973" s="65" customFormat="1"/>
    <row r="13974" s="65" customFormat="1"/>
    <row r="13975" s="65" customFormat="1"/>
    <row r="13976" s="65" customFormat="1"/>
    <row r="13977" s="65" customFormat="1"/>
    <row r="13978" s="65" customFormat="1"/>
    <row r="13979" s="65" customFormat="1"/>
    <row r="13980" s="65" customFormat="1"/>
    <row r="13981" s="65" customFormat="1"/>
    <row r="13982" s="65" customFormat="1"/>
    <row r="13983" s="65" customFormat="1"/>
    <row r="13984" s="65" customFormat="1"/>
    <row r="13985" s="65" customFormat="1"/>
    <row r="13986" s="65" customFormat="1"/>
    <row r="13987" s="65" customFormat="1"/>
    <row r="13988" s="65" customFormat="1"/>
    <row r="13989" s="65" customFormat="1"/>
    <row r="13990" s="65" customFormat="1"/>
    <row r="13991" s="65" customFormat="1"/>
    <row r="13992" s="65" customFormat="1"/>
    <row r="13993" s="65" customFormat="1"/>
    <row r="13994" s="65" customFormat="1"/>
    <row r="13995" s="65" customFormat="1"/>
    <row r="13996" s="65" customFormat="1"/>
    <row r="13997" s="65" customFormat="1"/>
    <row r="13998" s="65" customFormat="1"/>
    <row r="13999" s="65" customFormat="1"/>
    <row r="14000" s="65" customFormat="1"/>
    <row r="14001" s="65" customFormat="1"/>
    <row r="14002" s="65" customFormat="1"/>
    <row r="14003" s="65" customFormat="1"/>
    <row r="14004" s="65" customFormat="1"/>
    <row r="14005" s="65" customFormat="1"/>
    <row r="14006" s="65" customFormat="1"/>
    <row r="14007" s="65" customFormat="1"/>
    <row r="14008" s="65" customFormat="1"/>
    <row r="14009" s="65" customFormat="1"/>
    <row r="14010" s="65" customFormat="1"/>
    <row r="14011" s="65" customFormat="1"/>
    <row r="14012" s="65" customFormat="1"/>
    <row r="14013" s="65" customFormat="1"/>
    <row r="14014" s="65" customFormat="1"/>
    <row r="14015" s="65" customFormat="1"/>
    <row r="14016" s="65" customFormat="1"/>
    <row r="14017" s="65" customFormat="1"/>
    <row r="14018" s="65" customFormat="1"/>
    <row r="14019" s="65" customFormat="1"/>
    <row r="14020" s="65" customFormat="1"/>
    <row r="14021" s="65" customFormat="1"/>
    <row r="14022" s="65" customFormat="1"/>
    <row r="14023" s="65" customFormat="1"/>
    <row r="14024" s="65" customFormat="1"/>
    <row r="14025" s="65" customFormat="1"/>
    <row r="14026" s="65" customFormat="1"/>
    <row r="14027" s="65" customFormat="1"/>
    <row r="14028" s="65" customFormat="1"/>
    <row r="14029" s="65" customFormat="1"/>
    <row r="14030" s="65" customFormat="1"/>
    <row r="14031" s="65" customFormat="1"/>
    <row r="14032" s="65" customFormat="1"/>
    <row r="14033" s="65" customFormat="1"/>
    <row r="14034" s="65" customFormat="1"/>
    <row r="14035" s="65" customFormat="1"/>
    <row r="14036" s="65" customFormat="1"/>
    <row r="14037" s="65" customFormat="1"/>
    <row r="14038" s="65" customFormat="1"/>
    <row r="14039" s="65" customFormat="1"/>
    <row r="14040" s="65" customFormat="1"/>
    <row r="14041" s="65" customFormat="1"/>
    <row r="14042" s="65" customFormat="1"/>
    <row r="14043" s="65" customFormat="1"/>
    <row r="14044" s="65" customFormat="1"/>
    <row r="14045" s="65" customFormat="1"/>
    <row r="14046" s="65" customFormat="1"/>
    <row r="14047" s="65" customFormat="1"/>
    <row r="14048" s="65" customFormat="1"/>
    <row r="14049" s="65" customFormat="1"/>
    <row r="14050" s="65" customFormat="1"/>
    <row r="14051" s="65" customFormat="1"/>
    <row r="14052" s="65" customFormat="1"/>
    <row r="14053" s="65" customFormat="1"/>
    <row r="14054" s="65" customFormat="1"/>
    <row r="14055" s="65" customFormat="1"/>
    <row r="14056" s="65" customFormat="1"/>
    <row r="14057" s="65" customFormat="1"/>
    <row r="14058" s="65" customFormat="1"/>
    <row r="14059" s="65" customFormat="1"/>
    <row r="14060" s="65" customFormat="1"/>
    <row r="14061" s="65" customFormat="1"/>
    <row r="14062" s="65" customFormat="1"/>
    <row r="14063" s="65" customFormat="1"/>
    <row r="14064" s="65" customFormat="1"/>
    <row r="14065" s="65" customFormat="1"/>
    <row r="14066" s="65" customFormat="1"/>
    <row r="14067" s="65" customFormat="1"/>
    <row r="14068" s="65" customFormat="1"/>
    <row r="14069" s="65" customFormat="1"/>
    <row r="14070" s="65" customFormat="1"/>
    <row r="14071" s="65" customFormat="1"/>
    <row r="14072" s="65" customFormat="1"/>
    <row r="14073" s="65" customFormat="1"/>
    <row r="14074" s="65" customFormat="1"/>
    <row r="14075" s="65" customFormat="1"/>
    <row r="14076" s="65" customFormat="1"/>
    <row r="14077" s="65" customFormat="1"/>
    <row r="14078" s="65" customFormat="1"/>
    <row r="14079" s="65" customFormat="1"/>
    <row r="14080" s="65" customFormat="1"/>
    <row r="14081" s="65" customFormat="1"/>
    <row r="14082" s="65" customFormat="1"/>
    <row r="14083" s="65" customFormat="1"/>
    <row r="14084" s="65" customFormat="1"/>
    <row r="14085" s="65" customFormat="1"/>
    <row r="14086" s="65" customFormat="1"/>
    <row r="14087" s="65" customFormat="1"/>
    <row r="14088" s="65" customFormat="1"/>
    <row r="14089" s="65" customFormat="1"/>
    <row r="14090" s="65" customFormat="1"/>
    <row r="14091" s="65" customFormat="1"/>
    <row r="14092" s="65" customFormat="1"/>
    <row r="14093" s="65" customFormat="1"/>
    <row r="14094" s="65" customFormat="1"/>
    <row r="14095" s="65" customFormat="1"/>
    <row r="14096" s="65" customFormat="1"/>
    <row r="14097" s="65" customFormat="1"/>
    <row r="14098" s="65" customFormat="1"/>
    <row r="14099" s="65" customFormat="1"/>
    <row r="14100" s="65" customFormat="1"/>
    <row r="14101" s="65" customFormat="1"/>
    <row r="14102" s="65" customFormat="1"/>
    <row r="14103" s="65" customFormat="1"/>
    <row r="14104" s="65" customFormat="1"/>
    <row r="14105" s="65" customFormat="1"/>
    <row r="14106" s="65" customFormat="1"/>
    <row r="14107" s="65" customFormat="1"/>
    <row r="14108" s="65" customFormat="1"/>
    <row r="14109" s="65" customFormat="1"/>
    <row r="14110" s="65" customFormat="1"/>
    <row r="14111" s="65" customFormat="1"/>
    <row r="14112" s="65" customFormat="1"/>
    <row r="14113" s="65" customFormat="1"/>
    <row r="14114" s="65" customFormat="1"/>
    <row r="14115" s="65" customFormat="1"/>
    <row r="14116" s="65" customFormat="1"/>
    <row r="14117" s="65" customFormat="1"/>
    <row r="14118" s="65" customFormat="1"/>
    <row r="14119" s="65" customFormat="1"/>
    <row r="14120" s="65" customFormat="1"/>
    <row r="14121" s="65" customFormat="1"/>
    <row r="14122" s="65" customFormat="1"/>
    <row r="14123" s="65" customFormat="1"/>
    <row r="14124" s="65" customFormat="1"/>
    <row r="14125" s="65" customFormat="1"/>
    <row r="14126" s="65" customFormat="1"/>
    <row r="14127" s="65" customFormat="1"/>
    <row r="14128" s="65" customFormat="1"/>
    <row r="14129" s="65" customFormat="1"/>
    <row r="14130" s="65" customFormat="1"/>
    <row r="14131" s="65" customFormat="1"/>
    <row r="14132" s="65" customFormat="1"/>
    <row r="14133" s="65" customFormat="1"/>
    <row r="14134" s="65" customFormat="1"/>
    <row r="14135" s="65" customFormat="1"/>
    <row r="14136" s="65" customFormat="1"/>
    <row r="14137" s="65" customFormat="1"/>
    <row r="14138" s="65" customFormat="1"/>
    <row r="14139" s="65" customFormat="1"/>
    <row r="14140" s="65" customFormat="1"/>
    <row r="14141" s="65" customFormat="1"/>
    <row r="14142" s="65" customFormat="1"/>
    <row r="14143" s="65" customFormat="1"/>
    <row r="14144" s="65" customFormat="1"/>
    <row r="14145" s="65" customFormat="1"/>
    <row r="14146" s="65" customFormat="1"/>
    <row r="14147" s="65" customFormat="1"/>
    <row r="14148" s="65" customFormat="1"/>
    <row r="14149" s="65" customFormat="1"/>
    <row r="14150" s="65" customFormat="1"/>
    <row r="14151" s="65" customFormat="1"/>
    <row r="14152" s="65" customFormat="1"/>
    <row r="14153" s="65" customFormat="1"/>
    <row r="14154" s="65" customFormat="1"/>
    <row r="14155" s="65" customFormat="1"/>
    <row r="14156" s="65" customFormat="1"/>
    <row r="14157" s="65" customFormat="1"/>
    <row r="14158" s="65" customFormat="1"/>
    <row r="14159" s="65" customFormat="1"/>
    <row r="14160" s="65" customFormat="1"/>
    <row r="14161" s="65" customFormat="1"/>
    <row r="14162" s="65" customFormat="1"/>
    <row r="14163" s="65" customFormat="1"/>
    <row r="14164" s="65" customFormat="1"/>
    <row r="14165" s="65" customFormat="1"/>
    <row r="14166" s="65" customFormat="1"/>
    <row r="14167" s="65" customFormat="1"/>
    <row r="14168" s="65" customFormat="1"/>
    <row r="14169" s="65" customFormat="1"/>
    <row r="14170" s="65" customFormat="1"/>
    <row r="14171" s="65" customFormat="1"/>
    <row r="14172" s="65" customFormat="1"/>
    <row r="14173" s="65" customFormat="1"/>
    <row r="14174" s="65" customFormat="1"/>
    <row r="14175" s="65" customFormat="1"/>
    <row r="14176" s="65" customFormat="1"/>
    <row r="14177" s="65" customFormat="1"/>
    <row r="14178" s="65" customFormat="1"/>
    <row r="14179" s="65" customFormat="1"/>
    <row r="14180" s="65" customFormat="1"/>
    <row r="14181" s="65" customFormat="1"/>
    <row r="14182" s="65" customFormat="1"/>
    <row r="14183" s="65" customFormat="1"/>
    <row r="14184" s="65" customFormat="1"/>
    <row r="14185" s="65" customFormat="1"/>
    <row r="14186" s="65" customFormat="1"/>
    <row r="14187" s="65" customFormat="1"/>
    <row r="14188" s="65" customFormat="1"/>
    <row r="14189" s="65" customFormat="1"/>
    <row r="14190" s="65" customFormat="1"/>
    <row r="14191" s="65" customFormat="1"/>
    <row r="14192" s="65" customFormat="1"/>
    <row r="14193" s="65" customFormat="1"/>
    <row r="14194" s="65" customFormat="1"/>
    <row r="14195" s="65" customFormat="1"/>
    <row r="14196" s="65" customFormat="1"/>
    <row r="14197" s="65" customFormat="1"/>
    <row r="14198" s="65" customFormat="1"/>
    <row r="14199" s="65" customFormat="1"/>
    <row r="14200" s="65" customFormat="1"/>
    <row r="14201" s="65" customFormat="1"/>
    <row r="14202" s="65" customFormat="1"/>
    <row r="14203" s="65" customFormat="1"/>
    <row r="14204" s="65" customFormat="1"/>
    <row r="14205" s="65" customFormat="1"/>
    <row r="14206" s="65" customFormat="1"/>
    <row r="14207" s="65" customFormat="1"/>
    <row r="14208" s="65" customFormat="1"/>
    <row r="14209" s="65" customFormat="1"/>
    <row r="14210" s="65" customFormat="1"/>
    <row r="14211" s="65" customFormat="1"/>
    <row r="14212" s="65" customFormat="1"/>
    <row r="14213" s="65" customFormat="1"/>
    <row r="14214" s="65" customFormat="1"/>
    <row r="14215" s="65" customFormat="1"/>
    <row r="14216" s="65" customFormat="1"/>
    <row r="14217" s="65" customFormat="1"/>
    <row r="14218" s="65" customFormat="1"/>
    <row r="14219" s="65" customFormat="1"/>
    <row r="14220" s="65" customFormat="1"/>
    <row r="14221" s="65" customFormat="1"/>
    <row r="14222" s="65" customFormat="1"/>
    <row r="14223" s="65" customFormat="1"/>
    <row r="14224" s="65" customFormat="1"/>
    <row r="14225" s="65" customFormat="1"/>
    <row r="14226" s="65" customFormat="1"/>
    <row r="14227" s="65" customFormat="1"/>
    <row r="14228" s="65" customFormat="1"/>
    <row r="14229" s="65" customFormat="1"/>
    <row r="14230" s="65" customFormat="1"/>
    <row r="14231" s="65" customFormat="1"/>
    <row r="14232" s="65" customFormat="1"/>
    <row r="14233" s="65" customFormat="1"/>
    <row r="14234" s="65" customFormat="1"/>
    <row r="14235" s="65" customFormat="1"/>
    <row r="14236" s="65" customFormat="1"/>
    <row r="14237" s="65" customFormat="1"/>
    <row r="14238" s="65" customFormat="1"/>
    <row r="14239" s="65" customFormat="1"/>
    <row r="14240" s="65" customFormat="1"/>
    <row r="14241" s="65" customFormat="1"/>
    <row r="14242" s="65" customFormat="1"/>
    <row r="14243" s="65" customFormat="1"/>
    <row r="14244" s="65" customFormat="1"/>
    <row r="14245" s="65" customFormat="1"/>
    <row r="14246" s="65" customFormat="1"/>
    <row r="14247" s="65" customFormat="1"/>
    <row r="14248" s="65" customFormat="1"/>
    <row r="14249" s="65" customFormat="1"/>
    <row r="14250" s="65" customFormat="1"/>
    <row r="14251" s="65" customFormat="1"/>
    <row r="14252" s="65" customFormat="1"/>
    <row r="14253" s="65" customFormat="1"/>
    <row r="14254" s="65" customFormat="1"/>
    <row r="14255" s="65" customFormat="1"/>
    <row r="14256" s="65" customFormat="1"/>
    <row r="14257" s="65" customFormat="1"/>
    <row r="14258" s="65" customFormat="1"/>
    <row r="14259" s="65" customFormat="1"/>
    <row r="14260" s="65" customFormat="1"/>
    <row r="14261" s="65" customFormat="1"/>
    <row r="14262" s="65" customFormat="1"/>
    <row r="14263" s="65" customFormat="1"/>
    <row r="14264" s="65" customFormat="1"/>
    <row r="14265" s="65" customFormat="1"/>
    <row r="14266" s="65" customFormat="1"/>
    <row r="14267" s="65" customFormat="1"/>
    <row r="14268" s="65" customFormat="1"/>
    <row r="14269" s="65" customFormat="1"/>
    <row r="14270" s="65" customFormat="1"/>
    <row r="14271" s="65" customFormat="1"/>
    <row r="14272" s="65" customFormat="1"/>
    <row r="14273" s="65" customFormat="1"/>
    <row r="14274" s="65" customFormat="1"/>
    <row r="14275" s="65" customFormat="1"/>
    <row r="14276" s="65" customFormat="1"/>
    <row r="14277" s="65" customFormat="1"/>
    <row r="14278" s="65" customFormat="1"/>
    <row r="14279" s="65" customFormat="1"/>
    <row r="14280" s="65" customFormat="1"/>
    <row r="14281" s="65" customFormat="1"/>
    <row r="14282" s="65" customFormat="1"/>
    <row r="14283" s="65" customFormat="1"/>
    <row r="14284" s="65" customFormat="1"/>
    <row r="14285" s="65" customFormat="1"/>
    <row r="14286" s="65" customFormat="1"/>
    <row r="14287" s="65" customFormat="1"/>
    <row r="14288" s="65" customFormat="1"/>
    <row r="14289" s="65" customFormat="1"/>
    <row r="14290" s="65" customFormat="1"/>
    <row r="14291" s="65" customFormat="1"/>
    <row r="14292" s="65" customFormat="1"/>
    <row r="14293" s="65" customFormat="1"/>
    <row r="14294" s="65" customFormat="1"/>
    <row r="14295" s="65" customFormat="1"/>
    <row r="14296" s="65" customFormat="1"/>
    <row r="14297" s="65" customFormat="1"/>
    <row r="14298" s="65" customFormat="1"/>
    <row r="14299" s="65" customFormat="1"/>
    <row r="14300" s="65" customFormat="1"/>
    <row r="14301" s="65" customFormat="1"/>
    <row r="14302" s="65" customFormat="1"/>
    <row r="14303" s="65" customFormat="1"/>
    <row r="14304" s="65" customFormat="1"/>
    <row r="14305" s="65" customFormat="1"/>
    <row r="14306" s="65" customFormat="1"/>
    <row r="14307" s="65" customFormat="1"/>
    <row r="14308" s="65" customFormat="1"/>
    <row r="14309" s="65" customFormat="1"/>
    <row r="14310" s="65" customFormat="1"/>
    <row r="14311" s="65" customFormat="1"/>
    <row r="14312" s="65" customFormat="1"/>
    <row r="14313" s="65" customFormat="1"/>
    <row r="14314" s="65" customFormat="1"/>
    <row r="14315" s="65" customFormat="1"/>
    <row r="14316" s="65" customFormat="1"/>
    <row r="14317" s="65" customFormat="1"/>
    <row r="14318" s="65" customFormat="1"/>
    <row r="14319" s="65" customFormat="1"/>
    <row r="14320" s="65" customFormat="1"/>
    <row r="14321" s="65" customFormat="1"/>
    <row r="14322" s="65" customFormat="1"/>
    <row r="14323" s="65" customFormat="1"/>
    <row r="14324" s="65" customFormat="1"/>
    <row r="14325" s="65" customFormat="1"/>
    <row r="14326" s="65" customFormat="1"/>
    <row r="14327" s="65" customFormat="1"/>
    <row r="14328" s="65" customFormat="1"/>
    <row r="14329" s="65" customFormat="1"/>
    <row r="14330" s="65" customFormat="1"/>
    <row r="14331" s="65" customFormat="1"/>
    <row r="14332" s="65" customFormat="1"/>
    <row r="14333" s="65" customFormat="1"/>
    <row r="14334" s="65" customFormat="1"/>
    <row r="14335" s="65" customFormat="1"/>
    <row r="14336" s="65" customFormat="1"/>
    <row r="14337" s="65" customFormat="1"/>
    <row r="14338" s="65" customFormat="1"/>
    <row r="14339" s="65" customFormat="1"/>
    <row r="14340" s="65" customFormat="1"/>
    <row r="14341" s="65" customFormat="1"/>
    <row r="14342" s="65" customFormat="1"/>
    <row r="14343" s="65" customFormat="1"/>
    <row r="14344" s="65" customFormat="1"/>
    <row r="14345" s="65" customFormat="1"/>
    <row r="14346" s="65" customFormat="1"/>
    <row r="14347" s="65" customFormat="1"/>
    <row r="14348" s="65" customFormat="1"/>
    <row r="14349" s="65" customFormat="1"/>
    <row r="14350" s="65" customFormat="1"/>
    <row r="14351" s="65" customFormat="1"/>
    <row r="14352" s="65" customFormat="1"/>
    <row r="14353" s="65" customFormat="1"/>
    <row r="14354" s="65" customFormat="1"/>
    <row r="14355" s="65" customFormat="1"/>
    <row r="14356" s="65" customFormat="1"/>
    <row r="14357" s="65" customFormat="1"/>
    <row r="14358" s="65" customFormat="1"/>
    <row r="14359" s="65" customFormat="1"/>
    <row r="14360" s="65" customFormat="1"/>
    <row r="14361" s="65" customFormat="1"/>
    <row r="14362" s="65" customFormat="1"/>
    <row r="14363" s="65" customFormat="1"/>
    <row r="14364" s="65" customFormat="1"/>
    <row r="14365" s="65" customFormat="1"/>
    <row r="14366" s="65" customFormat="1"/>
    <row r="14367" s="65" customFormat="1"/>
    <row r="14368" s="65" customFormat="1"/>
    <row r="14369" s="65" customFormat="1"/>
    <row r="14370" s="65" customFormat="1"/>
    <row r="14371" s="65" customFormat="1"/>
    <row r="14372" s="65" customFormat="1"/>
    <row r="14373" s="65" customFormat="1"/>
    <row r="14374" s="65" customFormat="1"/>
    <row r="14375" s="65" customFormat="1"/>
    <row r="14376" s="65" customFormat="1"/>
    <row r="14377" s="65" customFormat="1"/>
    <row r="14378" s="65" customFormat="1"/>
    <row r="14379" s="65" customFormat="1"/>
    <row r="14380" s="65" customFormat="1"/>
    <row r="14381" s="65" customFormat="1"/>
    <row r="14382" s="65" customFormat="1"/>
    <row r="14383" s="65" customFormat="1"/>
    <row r="14384" s="65" customFormat="1"/>
    <row r="14385" s="65" customFormat="1"/>
    <row r="14386" s="65" customFormat="1"/>
    <row r="14387" s="65" customFormat="1"/>
    <row r="14388" s="65" customFormat="1"/>
    <row r="14389" s="65" customFormat="1"/>
    <row r="14390" s="65" customFormat="1"/>
    <row r="14391" s="65" customFormat="1"/>
    <row r="14392" s="65" customFormat="1"/>
    <row r="14393" s="65" customFormat="1"/>
    <row r="14394" s="65" customFormat="1"/>
    <row r="14395" s="65" customFormat="1"/>
    <row r="14396" s="65" customFormat="1"/>
    <row r="14397" s="65" customFormat="1"/>
    <row r="14398" s="65" customFormat="1"/>
    <row r="14399" s="65" customFormat="1"/>
    <row r="14400" s="65" customFormat="1"/>
    <row r="14401" s="65" customFormat="1"/>
    <row r="14402" s="65" customFormat="1"/>
    <row r="14403" s="65" customFormat="1"/>
    <row r="14404" s="65" customFormat="1"/>
    <row r="14405" s="65" customFormat="1"/>
    <row r="14406" s="65" customFormat="1"/>
    <row r="14407" s="65" customFormat="1"/>
    <row r="14408" s="65" customFormat="1"/>
    <row r="14409" s="65" customFormat="1"/>
    <row r="14410" s="65" customFormat="1"/>
    <row r="14411" s="65" customFormat="1"/>
    <row r="14412" s="65" customFormat="1"/>
    <row r="14413" s="65" customFormat="1"/>
    <row r="14414" s="65" customFormat="1"/>
    <row r="14415" s="65" customFormat="1"/>
    <row r="14416" s="65" customFormat="1"/>
    <row r="14417" s="65" customFormat="1"/>
    <row r="14418" s="65" customFormat="1"/>
    <row r="14419" s="65" customFormat="1"/>
    <row r="14420" s="65" customFormat="1"/>
    <row r="14421" s="65" customFormat="1"/>
    <row r="14422" s="65" customFormat="1"/>
    <row r="14423" s="65" customFormat="1"/>
    <row r="14424" s="65" customFormat="1"/>
    <row r="14425" s="65" customFormat="1"/>
    <row r="14426" s="65" customFormat="1"/>
    <row r="14427" s="65" customFormat="1"/>
    <row r="14428" s="65" customFormat="1"/>
    <row r="14429" s="65" customFormat="1"/>
    <row r="14430" s="65" customFormat="1"/>
    <row r="14431" s="65" customFormat="1"/>
    <row r="14432" s="65" customFormat="1"/>
    <row r="14433" s="65" customFormat="1"/>
    <row r="14434" s="65" customFormat="1"/>
    <row r="14435" s="65" customFormat="1"/>
    <row r="14436" s="65" customFormat="1"/>
    <row r="14437" s="65" customFormat="1"/>
    <row r="14438" s="65" customFormat="1"/>
    <row r="14439" s="65" customFormat="1"/>
    <row r="14440" s="65" customFormat="1"/>
    <row r="14441" s="65" customFormat="1"/>
    <row r="14442" s="65" customFormat="1"/>
    <row r="14443" s="65" customFormat="1"/>
    <row r="14444" s="65" customFormat="1"/>
    <row r="14445" s="65" customFormat="1"/>
    <row r="14446" s="65" customFormat="1"/>
    <row r="14447" s="65" customFormat="1"/>
    <row r="14448" s="65" customFormat="1"/>
    <row r="14449" s="65" customFormat="1"/>
    <row r="14450" s="65" customFormat="1"/>
    <row r="14451" s="65" customFormat="1"/>
    <row r="14452" s="65" customFormat="1"/>
    <row r="14453" s="65" customFormat="1"/>
    <row r="14454" s="65" customFormat="1"/>
    <row r="14455" s="65" customFormat="1"/>
    <row r="14456" s="65" customFormat="1"/>
    <row r="14457" s="65" customFormat="1"/>
    <row r="14458" s="65" customFormat="1"/>
    <row r="14459" s="65" customFormat="1"/>
    <row r="14460" s="65" customFormat="1"/>
    <row r="14461" s="65" customFormat="1"/>
    <row r="14462" s="65" customFormat="1"/>
    <row r="14463" s="65" customFormat="1"/>
    <row r="14464" s="65" customFormat="1"/>
    <row r="14465" s="65" customFormat="1"/>
    <row r="14466" s="65" customFormat="1"/>
    <row r="14467" s="65" customFormat="1"/>
    <row r="14468" s="65" customFormat="1"/>
    <row r="14469" s="65" customFormat="1"/>
    <row r="14470" s="65" customFormat="1"/>
    <row r="14471" s="65" customFormat="1"/>
    <row r="14472" s="65" customFormat="1"/>
    <row r="14473" s="65" customFormat="1"/>
    <row r="14474" s="65" customFormat="1"/>
    <row r="14475" s="65" customFormat="1"/>
    <row r="14476" s="65" customFormat="1"/>
    <row r="14477" s="65" customFormat="1"/>
    <row r="14478" s="65" customFormat="1"/>
    <row r="14479" s="65" customFormat="1"/>
    <row r="14480" s="65" customFormat="1"/>
    <row r="14481" s="65" customFormat="1"/>
    <row r="14482" s="65" customFormat="1"/>
    <row r="14483" s="65" customFormat="1"/>
    <row r="14484" s="65" customFormat="1"/>
    <row r="14485" s="65" customFormat="1"/>
    <row r="14486" s="65" customFormat="1"/>
    <row r="14487" s="65" customFormat="1"/>
    <row r="14488" s="65" customFormat="1"/>
    <row r="14489" s="65" customFormat="1"/>
    <row r="14490" s="65" customFormat="1"/>
    <row r="14491" s="65" customFormat="1"/>
    <row r="14492" s="65" customFormat="1"/>
    <row r="14493" s="65" customFormat="1"/>
    <row r="14494" s="65" customFormat="1"/>
    <row r="14495" s="65" customFormat="1"/>
    <row r="14496" s="65" customFormat="1"/>
    <row r="14497" s="65" customFormat="1"/>
    <row r="14498" s="65" customFormat="1"/>
    <row r="14499" s="65" customFormat="1"/>
    <row r="14500" s="65" customFormat="1"/>
    <row r="14501" s="65" customFormat="1"/>
    <row r="14502" s="65" customFormat="1"/>
    <row r="14503" s="65" customFormat="1"/>
    <row r="14504" s="65" customFormat="1"/>
    <row r="14505" s="65" customFormat="1"/>
    <row r="14506" s="65" customFormat="1"/>
    <row r="14507" s="65" customFormat="1"/>
    <row r="14508" s="65" customFormat="1"/>
    <row r="14509" s="65" customFormat="1"/>
    <row r="14510" s="65" customFormat="1"/>
    <row r="14511" s="65" customFormat="1"/>
    <row r="14512" s="65" customFormat="1"/>
    <row r="14513" s="65" customFormat="1"/>
    <row r="14514" s="65" customFormat="1"/>
    <row r="14515" s="65" customFormat="1"/>
    <row r="14516" s="65" customFormat="1"/>
    <row r="14517" s="65" customFormat="1"/>
    <row r="14518" s="65" customFormat="1"/>
    <row r="14519" s="65" customFormat="1"/>
    <row r="14520" s="65" customFormat="1"/>
    <row r="14521" s="65" customFormat="1"/>
    <row r="14522" s="65" customFormat="1"/>
    <row r="14523" s="65" customFormat="1"/>
    <row r="14524" s="65" customFormat="1"/>
    <row r="14525" s="65" customFormat="1"/>
    <row r="14526" s="65" customFormat="1"/>
    <row r="14527" s="65" customFormat="1"/>
    <row r="14528" s="65" customFormat="1"/>
    <row r="14529" s="65" customFormat="1"/>
    <row r="14530" s="65" customFormat="1"/>
    <row r="14531" s="65" customFormat="1"/>
    <row r="14532" s="65" customFormat="1"/>
    <row r="14533" s="65" customFormat="1"/>
    <row r="14534" s="65" customFormat="1"/>
    <row r="14535" s="65" customFormat="1"/>
    <row r="14536" s="65" customFormat="1"/>
    <row r="14537" s="65" customFormat="1"/>
    <row r="14538" s="65" customFormat="1"/>
    <row r="14539" s="65" customFormat="1"/>
    <row r="14540" s="65" customFormat="1"/>
    <row r="14541" s="65" customFormat="1"/>
    <row r="14542" s="65" customFormat="1"/>
    <row r="14543" s="65" customFormat="1"/>
    <row r="14544" s="65" customFormat="1"/>
    <row r="14545" s="65" customFormat="1"/>
    <row r="14546" s="65" customFormat="1"/>
    <row r="14547" s="65" customFormat="1"/>
    <row r="14548" s="65" customFormat="1"/>
    <row r="14549" s="65" customFormat="1"/>
    <row r="14550" s="65" customFormat="1"/>
    <row r="14551" s="65" customFormat="1"/>
    <row r="14552" s="65" customFormat="1"/>
    <row r="14553" s="65" customFormat="1"/>
    <row r="14554" s="65" customFormat="1"/>
    <row r="14555" s="65" customFormat="1"/>
    <row r="14556" s="65" customFormat="1"/>
    <row r="14557" s="65" customFormat="1"/>
    <row r="14558" s="65" customFormat="1"/>
    <row r="14559" s="65" customFormat="1"/>
    <row r="14560" s="65" customFormat="1"/>
    <row r="14561" s="65" customFormat="1"/>
    <row r="14562" s="65" customFormat="1"/>
    <row r="14563" s="65" customFormat="1"/>
    <row r="14564" s="65" customFormat="1"/>
    <row r="14565" s="65" customFormat="1"/>
    <row r="14566" s="65" customFormat="1"/>
    <row r="14567" s="65" customFormat="1"/>
    <row r="14568" s="65" customFormat="1"/>
    <row r="14569" s="65" customFormat="1"/>
    <row r="14570" s="65" customFormat="1"/>
    <row r="14571" s="65" customFormat="1"/>
    <row r="14572" s="65" customFormat="1"/>
    <row r="14573" s="65" customFormat="1"/>
    <row r="14574" s="65" customFormat="1"/>
    <row r="14575" s="65" customFormat="1"/>
    <row r="14576" s="65" customFormat="1"/>
    <row r="14577" s="65" customFormat="1"/>
    <row r="14578" s="65" customFormat="1"/>
    <row r="14579" s="65" customFormat="1"/>
    <row r="14580" s="65" customFormat="1"/>
    <row r="14581" s="65" customFormat="1"/>
    <row r="14582" s="65" customFormat="1"/>
    <row r="14583" s="65" customFormat="1"/>
    <row r="14584" s="65" customFormat="1"/>
    <row r="14585" s="65" customFormat="1"/>
    <row r="14586" s="65" customFormat="1"/>
    <row r="14587" s="65" customFormat="1"/>
    <row r="14588" s="65" customFormat="1"/>
    <row r="14589" s="65" customFormat="1"/>
    <row r="14590" s="65" customFormat="1"/>
    <row r="14591" s="65" customFormat="1"/>
    <row r="14592" s="65" customFormat="1"/>
    <row r="14593" s="65" customFormat="1"/>
    <row r="14594" s="65" customFormat="1"/>
    <row r="14595" s="65" customFormat="1"/>
    <row r="14596" s="65" customFormat="1"/>
    <row r="14597" s="65" customFormat="1"/>
    <row r="14598" s="65" customFormat="1"/>
    <row r="14599" s="65" customFormat="1"/>
    <row r="14600" s="65" customFormat="1"/>
    <row r="14601" s="65" customFormat="1"/>
    <row r="14602" s="65" customFormat="1"/>
    <row r="14603" s="65" customFormat="1"/>
    <row r="14604" s="65" customFormat="1"/>
    <row r="14605" s="65" customFormat="1"/>
    <row r="14606" s="65" customFormat="1"/>
    <row r="14607" s="65" customFormat="1"/>
    <row r="14608" s="65" customFormat="1"/>
    <row r="14609" s="65" customFormat="1"/>
    <row r="14610" s="65" customFormat="1"/>
    <row r="14611" s="65" customFormat="1"/>
    <row r="14612" s="65" customFormat="1"/>
    <row r="14613" s="65" customFormat="1"/>
    <row r="14614" s="65" customFormat="1"/>
    <row r="14615" s="65" customFormat="1"/>
    <row r="14616" s="65" customFormat="1"/>
    <row r="14617" s="65" customFormat="1"/>
    <row r="14618" s="65" customFormat="1"/>
    <row r="14619" s="65" customFormat="1"/>
    <row r="14620" s="65" customFormat="1"/>
    <row r="14621" s="65" customFormat="1"/>
    <row r="14622" s="65" customFormat="1"/>
    <row r="14623" s="65" customFormat="1"/>
    <row r="14624" s="65" customFormat="1"/>
    <row r="14625" s="65" customFormat="1"/>
    <row r="14626" s="65" customFormat="1"/>
    <row r="14627" s="65" customFormat="1"/>
    <row r="14628" s="65" customFormat="1"/>
    <row r="14629" s="65" customFormat="1"/>
    <row r="14630" s="65" customFormat="1"/>
    <row r="14631" s="65" customFormat="1"/>
    <row r="14632" s="65" customFormat="1"/>
    <row r="14633" s="65" customFormat="1"/>
    <row r="14634" s="65" customFormat="1"/>
    <row r="14635" s="65" customFormat="1"/>
    <row r="14636" s="65" customFormat="1"/>
    <row r="14637" s="65" customFormat="1"/>
    <row r="14638" s="65" customFormat="1"/>
    <row r="14639" s="65" customFormat="1"/>
    <row r="14640" s="65" customFormat="1"/>
    <row r="14641" s="65" customFormat="1"/>
    <row r="14642" s="65" customFormat="1"/>
    <row r="14643" s="65" customFormat="1"/>
    <row r="14644" s="65" customFormat="1"/>
    <row r="14645" s="65" customFormat="1"/>
    <row r="14646" s="65" customFormat="1"/>
    <row r="14647" s="65" customFormat="1"/>
    <row r="14648" s="65" customFormat="1"/>
    <row r="14649" s="65" customFormat="1"/>
    <row r="14650" s="65" customFormat="1"/>
    <row r="14651" s="65" customFormat="1"/>
    <row r="14652" s="65" customFormat="1"/>
    <row r="14653" s="65" customFormat="1"/>
    <row r="14654" s="65" customFormat="1"/>
    <row r="14655" s="65" customFormat="1"/>
    <row r="14656" s="65" customFormat="1"/>
    <row r="14657" s="65" customFormat="1"/>
    <row r="14658" s="65" customFormat="1"/>
    <row r="14659" s="65" customFormat="1"/>
    <row r="14660" s="65" customFormat="1"/>
    <row r="14661" s="65" customFormat="1"/>
    <row r="14662" s="65" customFormat="1"/>
    <row r="14663" s="65" customFormat="1"/>
    <row r="14664" s="65" customFormat="1"/>
    <row r="14665" s="65" customFormat="1"/>
    <row r="14666" s="65" customFormat="1"/>
    <row r="14667" s="65" customFormat="1"/>
    <row r="14668" s="65" customFormat="1"/>
    <row r="14669" s="65" customFormat="1"/>
    <row r="14670" s="65" customFormat="1"/>
    <row r="14671" s="65" customFormat="1"/>
    <row r="14672" s="65" customFormat="1"/>
    <row r="14673" s="65" customFormat="1"/>
    <row r="14674" s="65" customFormat="1"/>
    <row r="14675" s="65" customFormat="1"/>
    <row r="14676" s="65" customFormat="1"/>
    <row r="14677" s="65" customFormat="1"/>
    <row r="14678" s="65" customFormat="1"/>
    <row r="14679" s="65" customFormat="1"/>
    <row r="14680" s="65" customFormat="1"/>
    <row r="14681" s="65" customFormat="1"/>
    <row r="14682" s="65" customFormat="1"/>
    <row r="14683" s="65" customFormat="1"/>
    <row r="14684" s="65" customFormat="1"/>
    <row r="14685" s="65" customFormat="1"/>
    <row r="14686" s="65" customFormat="1"/>
    <row r="14687" s="65" customFormat="1"/>
    <row r="14688" s="65" customFormat="1"/>
    <row r="14689" s="65" customFormat="1"/>
    <row r="14690" s="65" customFormat="1"/>
    <row r="14691" s="65" customFormat="1"/>
    <row r="14692" s="65" customFormat="1"/>
    <row r="14693" s="65" customFormat="1"/>
    <row r="14694" s="65" customFormat="1"/>
    <row r="14695" s="65" customFormat="1"/>
    <row r="14696" s="65" customFormat="1"/>
    <row r="14697" s="65" customFormat="1"/>
    <row r="14698" s="65" customFormat="1"/>
    <row r="14699" s="65" customFormat="1"/>
    <row r="14700" s="65" customFormat="1"/>
    <row r="14701" s="65" customFormat="1"/>
    <row r="14702" s="65" customFormat="1"/>
    <row r="14703" s="65" customFormat="1"/>
    <row r="14704" s="65" customFormat="1"/>
    <row r="14705" s="65" customFormat="1"/>
    <row r="14706" s="65" customFormat="1"/>
    <row r="14707" s="65" customFormat="1"/>
    <row r="14708" s="65" customFormat="1"/>
    <row r="14709" s="65" customFormat="1"/>
    <row r="14710" s="65" customFormat="1"/>
    <row r="14711" s="65" customFormat="1"/>
    <row r="14712" s="65" customFormat="1"/>
    <row r="14713" s="65" customFormat="1"/>
    <row r="14714" s="65" customFormat="1"/>
    <row r="14715" s="65" customFormat="1"/>
    <row r="14716" s="65" customFormat="1"/>
    <row r="14717" s="65" customFormat="1"/>
    <row r="14718" s="65" customFormat="1"/>
    <row r="14719" s="65" customFormat="1"/>
    <row r="14720" s="65" customFormat="1"/>
    <row r="14721" s="65" customFormat="1"/>
    <row r="14722" s="65" customFormat="1"/>
    <row r="14723" s="65" customFormat="1"/>
    <row r="14724" s="65" customFormat="1"/>
    <row r="14725" s="65" customFormat="1"/>
    <row r="14726" s="65" customFormat="1"/>
    <row r="14727" s="65" customFormat="1"/>
    <row r="14728" s="65" customFormat="1"/>
    <row r="14729" s="65" customFormat="1"/>
    <row r="14730" s="65" customFormat="1"/>
    <row r="14731" s="65" customFormat="1"/>
    <row r="14732" s="65" customFormat="1"/>
    <row r="14733" s="65" customFormat="1"/>
    <row r="14734" s="65" customFormat="1"/>
    <row r="14735" s="65" customFormat="1"/>
    <row r="14736" s="65" customFormat="1"/>
    <row r="14737" s="65" customFormat="1"/>
    <row r="14738" s="65" customFormat="1"/>
    <row r="14739" s="65" customFormat="1"/>
    <row r="14740" s="65" customFormat="1"/>
    <row r="14741" s="65" customFormat="1"/>
    <row r="14742" s="65" customFormat="1"/>
    <row r="14743" s="65" customFormat="1"/>
    <row r="14744" s="65" customFormat="1"/>
    <row r="14745" s="65" customFormat="1"/>
    <row r="14746" s="65" customFormat="1"/>
    <row r="14747" s="65" customFormat="1"/>
    <row r="14748" s="65" customFormat="1"/>
    <row r="14749" s="65" customFormat="1"/>
    <row r="14750" s="65" customFormat="1"/>
    <row r="14751" s="65" customFormat="1"/>
    <row r="14752" s="65" customFormat="1"/>
    <row r="14753" s="65" customFormat="1"/>
    <row r="14754" s="65" customFormat="1"/>
    <row r="14755" s="65" customFormat="1"/>
    <row r="14756" s="65" customFormat="1"/>
    <row r="14757" s="65" customFormat="1"/>
    <row r="14758" s="65" customFormat="1"/>
    <row r="14759" s="65" customFormat="1"/>
    <row r="14760" s="65" customFormat="1"/>
    <row r="14761" s="65" customFormat="1"/>
    <row r="14762" s="65" customFormat="1"/>
    <row r="14763" s="65" customFormat="1"/>
    <row r="14764" s="65" customFormat="1"/>
    <row r="14765" s="65" customFormat="1"/>
    <row r="14766" s="65" customFormat="1"/>
    <row r="14767" s="65" customFormat="1"/>
    <row r="14768" s="65" customFormat="1"/>
    <row r="14769" s="65" customFormat="1"/>
    <row r="14770" s="65" customFormat="1"/>
    <row r="14771" s="65" customFormat="1"/>
    <row r="14772" s="65" customFormat="1"/>
    <row r="14773" s="65" customFormat="1"/>
    <row r="14774" s="65" customFormat="1"/>
    <row r="14775" s="65" customFormat="1"/>
    <row r="14776" s="65" customFormat="1"/>
    <row r="14777" s="65" customFormat="1"/>
    <row r="14778" s="65" customFormat="1"/>
    <row r="14779" s="65" customFormat="1"/>
    <row r="14780" s="65" customFormat="1"/>
    <row r="14781" s="65" customFormat="1"/>
    <row r="14782" s="65" customFormat="1"/>
    <row r="14783" s="65" customFormat="1"/>
    <row r="14784" s="65" customFormat="1"/>
    <row r="14785" s="65" customFormat="1"/>
    <row r="14786" s="65" customFormat="1"/>
    <row r="14787" s="65" customFormat="1"/>
    <row r="14788" s="65" customFormat="1"/>
    <row r="14789" s="65" customFormat="1"/>
    <row r="14790" s="65" customFormat="1"/>
    <row r="14791" s="65" customFormat="1"/>
    <row r="14792" s="65" customFormat="1"/>
    <row r="14793" s="65" customFormat="1"/>
    <row r="14794" s="65" customFormat="1"/>
    <row r="14795" s="65" customFormat="1"/>
    <row r="14796" s="65" customFormat="1"/>
    <row r="14797" s="65" customFormat="1"/>
    <row r="14798" s="65" customFormat="1"/>
    <row r="14799" s="65" customFormat="1"/>
    <row r="14800" s="65" customFormat="1"/>
    <row r="14801" s="65" customFormat="1"/>
    <row r="14802" s="65" customFormat="1"/>
    <row r="14803" s="65" customFormat="1"/>
    <row r="14804" s="65" customFormat="1"/>
    <row r="14805" s="65" customFormat="1"/>
    <row r="14806" s="65" customFormat="1"/>
    <row r="14807" s="65" customFormat="1"/>
    <row r="14808" s="65" customFormat="1"/>
    <row r="14809" s="65" customFormat="1"/>
    <row r="14810" s="65" customFormat="1"/>
    <row r="14811" s="65" customFormat="1"/>
    <row r="14812" s="65" customFormat="1"/>
    <row r="14813" s="65" customFormat="1"/>
    <row r="14814" s="65" customFormat="1"/>
    <row r="14815" s="65" customFormat="1"/>
    <row r="14816" s="65" customFormat="1"/>
    <row r="14817" s="65" customFormat="1"/>
    <row r="14818" s="65" customFormat="1"/>
    <row r="14819" s="65" customFormat="1"/>
    <row r="14820" s="65" customFormat="1"/>
    <row r="14821" s="65" customFormat="1"/>
    <row r="14822" s="65" customFormat="1"/>
    <row r="14823" s="65" customFormat="1"/>
    <row r="14824" s="65" customFormat="1"/>
    <row r="14825" s="65" customFormat="1"/>
    <row r="14826" s="65" customFormat="1"/>
    <row r="14827" s="65" customFormat="1"/>
    <row r="14828" s="65" customFormat="1"/>
    <row r="14829" s="65" customFormat="1"/>
    <row r="14830" s="65" customFormat="1"/>
    <row r="14831" s="65" customFormat="1"/>
    <row r="14832" s="65" customFormat="1"/>
    <row r="14833" s="65" customFormat="1"/>
    <row r="14834" s="65" customFormat="1"/>
    <row r="14835" s="65" customFormat="1"/>
    <row r="14836" s="65" customFormat="1"/>
    <row r="14837" s="65" customFormat="1"/>
    <row r="14838" s="65" customFormat="1"/>
    <row r="14839" s="65" customFormat="1"/>
    <row r="14840" s="65" customFormat="1"/>
    <row r="14841" s="65" customFormat="1"/>
    <row r="14842" s="65" customFormat="1"/>
    <row r="14843" s="65" customFormat="1"/>
    <row r="14844" s="65" customFormat="1"/>
    <row r="14845" s="65" customFormat="1"/>
    <row r="14846" s="65" customFormat="1"/>
    <row r="14847" s="65" customFormat="1"/>
    <row r="14848" s="65" customFormat="1"/>
    <row r="14849" s="65" customFormat="1"/>
    <row r="14850" s="65" customFormat="1"/>
    <row r="14851" s="65" customFormat="1"/>
    <row r="14852" s="65" customFormat="1"/>
    <row r="14853" s="65" customFormat="1"/>
    <row r="14854" s="65" customFormat="1"/>
    <row r="14855" s="65" customFormat="1"/>
    <row r="14856" s="65" customFormat="1"/>
    <row r="14857" s="65" customFormat="1"/>
    <row r="14858" s="65" customFormat="1"/>
    <row r="14859" s="65" customFormat="1"/>
    <row r="14860" s="65" customFormat="1"/>
    <row r="14861" s="65" customFormat="1"/>
    <row r="14862" s="65" customFormat="1"/>
    <row r="14863" s="65" customFormat="1"/>
    <row r="14864" s="65" customFormat="1"/>
    <row r="14865" s="65" customFormat="1"/>
    <row r="14866" s="65" customFormat="1"/>
    <row r="14867" s="65" customFormat="1"/>
    <row r="14868" s="65" customFormat="1"/>
    <row r="14869" s="65" customFormat="1"/>
    <row r="14870" s="65" customFormat="1"/>
    <row r="14871" s="65" customFormat="1"/>
    <row r="14872" s="65" customFormat="1"/>
    <row r="14873" s="65" customFormat="1"/>
    <row r="14874" s="65" customFormat="1"/>
    <row r="14875" s="65" customFormat="1"/>
    <row r="14876" s="65" customFormat="1"/>
    <row r="14877" s="65" customFormat="1"/>
    <row r="14878" s="65" customFormat="1"/>
    <row r="14879" s="65" customFormat="1"/>
    <row r="14880" s="65" customFormat="1"/>
    <row r="14881" s="65" customFormat="1"/>
    <row r="14882" s="65" customFormat="1"/>
    <row r="14883" s="65" customFormat="1"/>
    <row r="14884" s="65" customFormat="1"/>
    <row r="14885" s="65" customFormat="1"/>
    <row r="14886" s="65" customFormat="1"/>
    <row r="14887" s="65" customFormat="1"/>
    <row r="14888" s="65" customFormat="1"/>
    <row r="14889" s="65" customFormat="1"/>
    <row r="14890" s="65" customFormat="1"/>
    <row r="14891" s="65" customFormat="1"/>
    <row r="14892" s="65" customFormat="1"/>
    <row r="14893" s="65" customFormat="1"/>
    <row r="14894" s="65" customFormat="1"/>
    <row r="14895" s="65" customFormat="1"/>
    <row r="14896" s="65" customFormat="1"/>
    <row r="14897" s="65" customFormat="1"/>
    <row r="14898" s="65" customFormat="1"/>
    <row r="14899" s="65" customFormat="1"/>
    <row r="14900" s="65" customFormat="1"/>
    <row r="14901" s="65" customFormat="1"/>
    <row r="14902" s="65" customFormat="1"/>
    <row r="14903" s="65" customFormat="1"/>
    <row r="14904" s="65" customFormat="1"/>
    <row r="14905" s="65" customFormat="1"/>
    <row r="14906" s="65" customFormat="1"/>
    <row r="14907" s="65" customFormat="1"/>
    <row r="14908" s="65" customFormat="1"/>
    <row r="14909" s="65" customFormat="1"/>
    <row r="14910" s="65" customFormat="1"/>
    <row r="14911" s="65" customFormat="1"/>
    <row r="14912" s="65" customFormat="1"/>
    <row r="14913" s="65" customFormat="1"/>
    <row r="14914" s="65" customFormat="1"/>
    <row r="14915" s="65" customFormat="1"/>
    <row r="14916" s="65" customFormat="1"/>
    <row r="14917" s="65" customFormat="1"/>
    <row r="14918" s="65" customFormat="1"/>
    <row r="14919" s="65" customFormat="1"/>
    <row r="14920" s="65" customFormat="1"/>
    <row r="14921" s="65" customFormat="1"/>
    <row r="14922" s="65" customFormat="1"/>
    <row r="14923" s="65" customFormat="1"/>
    <row r="14924" s="65" customFormat="1"/>
    <row r="14925" s="65" customFormat="1"/>
    <row r="14926" s="65" customFormat="1"/>
    <row r="14927" s="65" customFormat="1"/>
    <row r="14928" s="65" customFormat="1"/>
    <row r="14929" s="65" customFormat="1"/>
    <row r="14930" s="65" customFormat="1"/>
    <row r="14931" s="65" customFormat="1"/>
    <row r="14932" s="65" customFormat="1"/>
    <row r="14933" s="65" customFormat="1"/>
    <row r="14934" s="65" customFormat="1"/>
    <row r="14935" s="65" customFormat="1"/>
    <row r="14936" s="65" customFormat="1"/>
    <row r="14937" s="65" customFormat="1"/>
    <row r="14938" s="65" customFormat="1"/>
    <row r="14939" s="65" customFormat="1"/>
    <row r="14940" s="65" customFormat="1"/>
    <row r="14941" s="65" customFormat="1"/>
    <row r="14942" s="65" customFormat="1"/>
    <row r="14943" s="65" customFormat="1"/>
    <row r="14944" s="65" customFormat="1"/>
    <row r="14945" s="65" customFormat="1"/>
    <row r="14946" s="65" customFormat="1"/>
    <row r="14947" s="65" customFormat="1"/>
    <row r="14948" s="65" customFormat="1"/>
    <row r="14949" s="65" customFormat="1"/>
    <row r="14950" s="65" customFormat="1"/>
    <row r="14951" s="65" customFormat="1"/>
    <row r="14952" s="65" customFormat="1"/>
    <row r="14953" s="65" customFormat="1"/>
    <row r="14954" s="65" customFormat="1"/>
    <row r="14955" s="65" customFormat="1"/>
    <row r="14956" s="65" customFormat="1"/>
    <row r="14957" s="65" customFormat="1"/>
    <row r="14958" s="65" customFormat="1"/>
    <row r="14959" s="65" customFormat="1"/>
    <row r="14960" s="65" customFormat="1"/>
    <row r="14961" s="65" customFormat="1"/>
    <row r="14962" s="65" customFormat="1"/>
    <row r="14963" s="65" customFormat="1"/>
    <row r="14964" s="65" customFormat="1"/>
    <row r="14965" s="65" customFormat="1"/>
    <row r="14966" s="65" customFormat="1"/>
    <row r="14967" s="65" customFormat="1"/>
    <row r="14968" s="65" customFormat="1"/>
    <row r="14969" s="65" customFormat="1"/>
    <row r="14970" s="65" customFormat="1"/>
    <row r="14971" s="65" customFormat="1"/>
    <row r="14972" s="65" customFormat="1"/>
    <row r="14973" s="65" customFormat="1"/>
    <row r="14974" s="65" customFormat="1"/>
    <row r="14975" s="65" customFormat="1"/>
    <row r="14976" s="65" customFormat="1"/>
    <row r="14977" s="65" customFormat="1"/>
    <row r="14978" s="65" customFormat="1"/>
    <row r="14979" s="65" customFormat="1"/>
    <row r="14980" s="65" customFormat="1"/>
    <row r="14981" s="65" customFormat="1"/>
    <row r="14982" s="65" customFormat="1"/>
    <row r="14983" s="65" customFormat="1"/>
    <row r="14984" s="65" customFormat="1"/>
    <row r="14985" s="65" customFormat="1"/>
    <row r="14986" s="65" customFormat="1"/>
    <row r="14987" s="65" customFormat="1"/>
    <row r="14988" s="65" customFormat="1"/>
    <row r="14989" s="65" customFormat="1"/>
    <row r="14990" s="65" customFormat="1"/>
    <row r="14991" s="65" customFormat="1"/>
    <row r="14992" s="65" customFormat="1"/>
    <row r="14993" s="65" customFormat="1"/>
    <row r="14994" s="65" customFormat="1"/>
    <row r="14995" s="65" customFormat="1"/>
    <row r="14996" s="65" customFormat="1"/>
    <row r="14997" s="65" customFormat="1"/>
    <row r="14998" s="65" customFormat="1"/>
    <row r="14999" s="65" customFormat="1"/>
    <row r="15000" s="65" customFormat="1"/>
    <row r="15001" s="65" customFormat="1"/>
    <row r="15002" s="65" customFormat="1"/>
    <row r="15003" s="65" customFormat="1"/>
    <row r="15004" s="65" customFormat="1"/>
    <row r="15005" s="65" customFormat="1"/>
    <row r="15006" s="65" customFormat="1"/>
    <row r="15007" s="65" customFormat="1"/>
    <row r="15008" s="65" customFormat="1"/>
    <row r="15009" s="65" customFormat="1"/>
    <row r="15010" s="65" customFormat="1"/>
    <row r="15011" s="65" customFormat="1"/>
    <row r="15012" s="65" customFormat="1"/>
    <row r="15013" s="65" customFormat="1"/>
    <row r="15014" s="65" customFormat="1"/>
    <row r="15015" s="65" customFormat="1"/>
    <row r="15016" s="65" customFormat="1"/>
    <row r="15017" s="65" customFormat="1"/>
    <row r="15018" s="65" customFormat="1"/>
    <row r="15019" s="65" customFormat="1"/>
    <row r="15020" s="65" customFormat="1"/>
    <row r="15021" s="65" customFormat="1"/>
    <row r="15022" s="65" customFormat="1"/>
    <row r="15023" s="65" customFormat="1"/>
    <row r="15024" s="65" customFormat="1"/>
    <row r="15025" s="65" customFormat="1"/>
    <row r="15026" s="65" customFormat="1"/>
    <row r="15027" s="65" customFormat="1"/>
    <row r="15028" s="65" customFormat="1"/>
    <row r="15029" s="65" customFormat="1"/>
    <row r="15030" s="65" customFormat="1"/>
    <row r="15031" s="65" customFormat="1"/>
    <row r="15032" s="65" customFormat="1"/>
    <row r="15033" s="65" customFormat="1"/>
    <row r="15034" s="65" customFormat="1"/>
    <row r="15035" s="65" customFormat="1"/>
    <row r="15036" s="65" customFormat="1"/>
    <row r="15037" s="65" customFormat="1"/>
    <row r="15038" s="65" customFormat="1"/>
    <row r="15039" s="65" customFormat="1"/>
    <row r="15040" s="65" customFormat="1"/>
    <row r="15041" s="65" customFormat="1"/>
    <row r="15042" s="65" customFormat="1"/>
    <row r="15043" s="65" customFormat="1"/>
    <row r="15044" s="65" customFormat="1"/>
    <row r="15045" s="65" customFormat="1"/>
    <row r="15046" s="65" customFormat="1"/>
    <row r="15047" s="65" customFormat="1"/>
    <row r="15048" s="65" customFormat="1"/>
    <row r="15049" s="65" customFormat="1"/>
    <row r="15050" s="65" customFormat="1"/>
    <row r="15051" s="65" customFormat="1"/>
    <row r="15052" s="65" customFormat="1"/>
    <row r="15053" s="65" customFormat="1"/>
    <row r="15054" s="65" customFormat="1"/>
    <row r="15055" s="65" customFormat="1"/>
    <row r="15056" s="65" customFormat="1"/>
    <row r="15057" s="65" customFormat="1"/>
    <row r="15058" s="65" customFormat="1"/>
    <row r="15059" s="65" customFormat="1"/>
    <row r="15060" s="65" customFormat="1"/>
    <row r="15061" s="65" customFormat="1"/>
    <row r="15062" s="65" customFormat="1"/>
    <row r="15063" s="65" customFormat="1"/>
    <row r="15064" s="65" customFormat="1"/>
    <row r="15065" s="65" customFormat="1"/>
    <row r="15066" s="65" customFormat="1"/>
    <row r="15067" s="65" customFormat="1"/>
    <row r="15068" s="65" customFormat="1"/>
    <row r="15069" s="65" customFormat="1"/>
    <row r="15070" s="65" customFormat="1"/>
    <row r="15071" s="65" customFormat="1"/>
    <row r="15072" s="65" customFormat="1"/>
    <row r="15073" s="65" customFormat="1"/>
    <row r="15074" s="65" customFormat="1"/>
    <row r="15075" s="65" customFormat="1"/>
    <row r="15076" s="65" customFormat="1"/>
    <row r="15077" s="65" customFormat="1"/>
    <row r="15078" s="65" customFormat="1"/>
    <row r="15079" s="65" customFormat="1"/>
    <row r="15080" s="65" customFormat="1"/>
    <row r="15081" s="65" customFormat="1"/>
    <row r="15082" s="65" customFormat="1"/>
    <row r="15083" s="65" customFormat="1"/>
    <row r="15084" s="65" customFormat="1"/>
    <row r="15085" s="65" customFormat="1"/>
    <row r="15086" s="65" customFormat="1"/>
    <row r="15087" s="65" customFormat="1"/>
    <row r="15088" s="65" customFormat="1"/>
    <row r="15089" s="65" customFormat="1"/>
    <row r="15090" s="65" customFormat="1"/>
    <row r="15091" s="65" customFormat="1"/>
    <row r="15092" s="65" customFormat="1"/>
    <row r="15093" s="65" customFormat="1"/>
    <row r="15094" s="65" customFormat="1"/>
    <row r="15095" s="65" customFormat="1"/>
    <row r="15096" s="65" customFormat="1"/>
    <row r="15097" s="65" customFormat="1"/>
    <row r="15098" s="65" customFormat="1"/>
    <row r="15099" s="65" customFormat="1"/>
    <row r="15100" s="65" customFormat="1"/>
    <row r="15101" s="65" customFormat="1"/>
    <row r="15102" s="65" customFormat="1"/>
    <row r="15103" s="65" customFormat="1"/>
    <row r="15104" s="65" customFormat="1"/>
    <row r="15105" s="65" customFormat="1"/>
    <row r="15106" s="65" customFormat="1"/>
    <row r="15107" s="65" customFormat="1"/>
    <row r="15108" s="65" customFormat="1"/>
    <row r="15109" s="65" customFormat="1"/>
    <row r="15110" s="65" customFormat="1"/>
    <row r="15111" s="65" customFormat="1"/>
    <row r="15112" s="65" customFormat="1"/>
    <row r="15113" s="65" customFormat="1"/>
    <row r="15114" s="65" customFormat="1"/>
    <row r="15115" s="65" customFormat="1"/>
    <row r="15116" s="65" customFormat="1"/>
    <row r="15117" s="65" customFormat="1"/>
    <row r="15118" s="65" customFormat="1"/>
    <row r="15119" s="65" customFormat="1"/>
    <row r="15120" s="65" customFormat="1"/>
    <row r="15121" s="65" customFormat="1"/>
    <row r="15122" s="65" customFormat="1"/>
    <row r="15123" s="65" customFormat="1"/>
    <row r="15124" s="65" customFormat="1"/>
    <row r="15125" s="65" customFormat="1"/>
    <row r="15126" s="65" customFormat="1"/>
    <row r="15127" s="65" customFormat="1"/>
    <row r="15128" s="65" customFormat="1"/>
    <row r="15129" s="65" customFormat="1"/>
    <row r="15130" s="65" customFormat="1"/>
    <row r="15131" s="65" customFormat="1"/>
    <row r="15132" s="65" customFormat="1"/>
    <row r="15133" s="65" customFormat="1"/>
    <row r="15134" s="65" customFormat="1"/>
    <row r="15135" s="65" customFormat="1"/>
    <row r="15136" s="65" customFormat="1"/>
    <row r="15137" s="65" customFormat="1"/>
    <row r="15138" s="65" customFormat="1"/>
    <row r="15139" s="65" customFormat="1"/>
    <row r="15140" s="65" customFormat="1"/>
    <row r="15141" s="65" customFormat="1"/>
    <row r="15142" s="65" customFormat="1"/>
    <row r="15143" s="65" customFormat="1"/>
    <row r="15144" s="65" customFormat="1"/>
    <row r="15145" s="65" customFormat="1"/>
    <row r="15146" s="65" customFormat="1"/>
    <row r="15147" s="65" customFormat="1"/>
    <row r="15148" s="65" customFormat="1"/>
    <row r="15149" s="65" customFormat="1"/>
    <row r="15150" s="65" customFormat="1"/>
    <row r="15151" s="65" customFormat="1"/>
    <row r="15152" s="65" customFormat="1"/>
    <row r="15153" s="65" customFormat="1"/>
    <row r="15154" s="65" customFormat="1"/>
    <row r="15155" s="65" customFormat="1"/>
    <row r="15156" s="65" customFormat="1"/>
    <row r="15157" s="65" customFormat="1"/>
    <row r="15158" s="65" customFormat="1"/>
    <row r="15159" s="65" customFormat="1"/>
    <row r="15160" s="65" customFormat="1"/>
    <row r="15161" s="65" customFormat="1"/>
    <row r="15162" s="65" customFormat="1"/>
    <row r="15163" s="65" customFormat="1"/>
    <row r="15164" s="65" customFormat="1"/>
    <row r="15165" s="65" customFormat="1"/>
    <row r="15166" s="65" customFormat="1"/>
    <row r="15167" s="65" customFormat="1"/>
    <row r="15168" s="65" customFormat="1"/>
    <row r="15169" s="65" customFormat="1"/>
    <row r="15170" s="65" customFormat="1"/>
    <row r="15171" s="65" customFormat="1"/>
    <row r="15172" s="65" customFormat="1"/>
    <row r="15173" s="65" customFormat="1"/>
    <row r="15174" s="65" customFormat="1"/>
    <row r="15175" s="65" customFormat="1"/>
    <row r="15176" s="65" customFormat="1"/>
    <row r="15177" s="65" customFormat="1"/>
    <row r="15178" s="65" customFormat="1"/>
    <row r="15179" s="65" customFormat="1"/>
    <row r="15180" s="65" customFormat="1"/>
    <row r="15181" s="65" customFormat="1"/>
    <row r="15182" s="65" customFormat="1"/>
    <row r="15183" s="65" customFormat="1"/>
    <row r="15184" s="65" customFormat="1"/>
    <row r="15185" s="65" customFormat="1"/>
    <row r="15186" s="65" customFormat="1"/>
    <row r="15187" s="65" customFormat="1"/>
    <row r="15188" s="65" customFormat="1"/>
    <row r="15189" s="65" customFormat="1"/>
    <row r="15190" s="65" customFormat="1"/>
    <row r="15191" s="65" customFormat="1"/>
    <row r="15192" s="65" customFormat="1"/>
    <row r="15193" s="65" customFormat="1"/>
    <row r="15194" s="65" customFormat="1"/>
    <row r="15195" s="65" customFormat="1"/>
    <row r="15196" s="65" customFormat="1"/>
    <row r="15197" s="65" customFormat="1"/>
    <row r="15198" s="65" customFormat="1"/>
    <row r="15199" s="65" customFormat="1"/>
    <row r="15200" s="65" customFormat="1"/>
    <row r="15201" s="65" customFormat="1"/>
    <row r="15202" s="65" customFormat="1"/>
    <row r="15203" s="65" customFormat="1"/>
    <row r="15204" s="65" customFormat="1"/>
    <row r="15205" s="65" customFormat="1"/>
    <row r="15206" s="65" customFormat="1"/>
    <row r="15207" s="65" customFormat="1"/>
    <row r="15208" s="65" customFormat="1"/>
    <row r="15209" s="65" customFormat="1"/>
    <row r="15210" s="65" customFormat="1"/>
    <row r="15211" s="65" customFormat="1"/>
    <row r="15212" s="65" customFormat="1"/>
    <row r="15213" s="65" customFormat="1"/>
    <row r="15214" s="65" customFormat="1"/>
    <row r="15215" s="65" customFormat="1"/>
    <row r="15216" s="65" customFormat="1"/>
    <row r="15217" s="65" customFormat="1"/>
    <row r="15218" s="65" customFormat="1"/>
    <row r="15219" s="65" customFormat="1"/>
    <row r="15220" s="65" customFormat="1"/>
    <row r="15221" s="65" customFormat="1"/>
    <row r="15222" s="65" customFormat="1"/>
    <row r="15223" s="65" customFormat="1"/>
    <row r="15224" s="65" customFormat="1"/>
    <row r="15225" s="65" customFormat="1"/>
    <row r="15226" s="65" customFormat="1"/>
    <row r="15227" s="65" customFormat="1"/>
    <row r="15228" s="65" customFormat="1"/>
    <row r="15229" s="65" customFormat="1"/>
    <row r="15230" s="65" customFormat="1"/>
    <row r="15231" s="65" customFormat="1"/>
    <row r="15232" s="65" customFormat="1"/>
    <row r="15233" s="65" customFormat="1"/>
    <row r="15234" s="65" customFormat="1"/>
    <row r="15235" s="65" customFormat="1"/>
    <row r="15236" s="65" customFormat="1"/>
    <row r="15237" s="65" customFormat="1"/>
    <row r="15238" s="65" customFormat="1"/>
    <row r="15239" s="65" customFormat="1"/>
    <row r="15240" s="65" customFormat="1"/>
    <row r="15241" s="65" customFormat="1"/>
    <row r="15242" s="65" customFormat="1"/>
    <row r="15243" s="65" customFormat="1"/>
    <row r="15244" s="65" customFormat="1"/>
    <row r="15245" s="65" customFormat="1"/>
    <row r="15246" s="65" customFormat="1"/>
    <row r="15247" s="65" customFormat="1"/>
    <row r="15248" s="65" customFormat="1"/>
    <row r="15249" s="65" customFormat="1"/>
    <row r="15250" s="65" customFormat="1"/>
    <row r="15251" s="65" customFormat="1"/>
    <row r="15252" s="65" customFormat="1"/>
    <row r="15253" s="65" customFormat="1"/>
    <row r="15254" s="65" customFormat="1"/>
    <row r="15255" s="65" customFormat="1"/>
    <row r="15256" s="65" customFormat="1"/>
    <row r="15257" s="65" customFormat="1"/>
    <row r="15258" s="65" customFormat="1"/>
    <row r="15259" s="65" customFormat="1"/>
    <row r="15260" s="65" customFormat="1"/>
    <row r="15261" s="65" customFormat="1"/>
    <row r="15262" s="65" customFormat="1"/>
    <row r="15263" s="65" customFormat="1"/>
    <row r="15264" s="65" customFormat="1"/>
    <row r="15265" s="65" customFormat="1"/>
    <row r="15266" s="65" customFormat="1"/>
    <row r="15267" s="65" customFormat="1"/>
    <row r="15268" s="65" customFormat="1"/>
    <row r="15269" s="65" customFormat="1"/>
    <row r="15270" s="65" customFormat="1"/>
    <row r="15271" s="65" customFormat="1"/>
    <row r="15272" s="65" customFormat="1"/>
    <row r="15273" s="65" customFormat="1"/>
    <row r="15274" s="65" customFormat="1"/>
    <row r="15275" s="65" customFormat="1"/>
    <row r="15276" s="65" customFormat="1"/>
    <row r="15277" s="65" customFormat="1"/>
    <row r="15278" s="65" customFormat="1"/>
    <row r="15279" s="65" customFormat="1"/>
    <row r="15280" s="65" customFormat="1"/>
    <row r="15281" s="65" customFormat="1"/>
    <row r="15282" s="65" customFormat="1"/>
    <row r="15283" s="65" customFormat="1"/>
    <row r="15284" s="65" customFormat="1"/>
    <row r="15285" s="65" customFormat="1"/>
    <row r="15286" s="65" customFormat="1"/>
    <row r="15287" s="65" customFormat="1"/>
    <row r="15288" s="65" customFormat="1"/>
    <row r="15289" s="65" customFormat="1"/>
    <row r="15290" s="65" customFormat="1"/>
    <row r="15291" s="65" customFormat="1"/>
    <row r="15292" s="65" customFormat="1"/>
    <row r="15293" s="65" customFormat="1"/>
    <row r="15294" s="65" customFormat="1"/>
    <row r="15295" s="65" customFormat="1"/>
    <row r="15296" s="65" customFormat="1"/>
    <row r="15297" s="65" customFormat="1"/>
    <row r="15298" s="65" customFormat="1"/>
    <row r="15299" s="65" customFormat="1"/>
    <row r="15300" s="65" customFormat="1"/>
    <row r="15301" s="65" customFormat="1"/>
    <row r="15302" s="65" customFormat="1"/>
    <row r="15303" s="65" customFormat="1"/>
    <row r="15304" s="65" customFormat="1"/>
    <row r="15305" s="65" customFormat="1"/>
    <row r="15306" s="65" customFormat="1"/>
    <row r="15307" s="65" customFormat="1"/>
    <row r="15308" s="65" customFormat="1"/>
    <row r="15309" s="65" customFormat="1"/>
    <row r="15310" s="65" customFormat="1"/>
    <row r="15311" s="65" customFormat="1"/>
    <row r="15312" s="65" customFormat="1"/>
    <row r="15313" s="65" customFormat="1"/>
    <row r="15314" s="65" customFormat="1"/>
    <row r="15315" s="65" customFormat="1"/>
    <row r="15316" s="65" customFormat="1"/>
    <row r="15317" s="65" customFormat="1"/>
    <row r="15318" s="65" customFormat="1"/>
    <row r="15319" s="65" customFormat="1"/>
    <row r="15320" s="65" customFormat="1"/>
    <row r="15321" s="65" customFormat="1"/>
    <row r="15322" s="65" customFormat="1"/>
    <row r="15323" s="65" customFormat="1"/>
    <row r="15324" s="65" customFormat="1"/>
    <row r="15325" s="65" customFormat="1"/>
    <row r="15326" s="65" customFormat="1"/>
    <row r="15327" s="65" customFormat="1"/>
    <row r="15328" s="65" customFormat="1"/>
    <row r="15329" s="65" customFormat="1"/>
    <row r="15330" s="65" customFormat="1"/>
    <row r="15331" s="65" customFormat="1"/>
    <row r="15332" s="65" customFormat="1"/>
    <row r="15333" s="65" customFormat="1"/>
    <row r="15334" s="65" customFormat="1"/>
    <row r="15335" s="65" customFormat="1"/>
    <row r="15336" s="65" customFormat="1"/>
    <row r="15337" s="65" customFormat="1"/>
    <row r="15338" s="65" customFormat="1"/>
    <row r="15339" s="65" customFormat="1"/>
    <row r="15340" s="65" customFormat="1"/>
    <row r="15341" s="65" customFormat="1"/>
    <row r="15342" s="65" customFormat="1"/>
    <row r="15343" s="65" customFormat="1"/>
    <row r="15344" s="65" customFormat="1"/>
    <row r="15345" s="65" customFormat="1"/>
    <row r="15346" s="65" customFormat="1"/>
    <row r="15347" s="65" customFormat="1"/>
    <row r="15348" s="65" customFormat="1"/>
    <row r="15349" s="65" customFormat="1"/>
    <row r="15350" s="65" customFormat="1"/>
    <row r="15351" s="65" customFormat="1"/>
    <row r="15352" s="65" customFormat="1"/>
    <row r="15353" s="65" customFormat="1"/>
    <row r="15354" s="65" customFormat="1"/>
    <row r="15355" s="65" customFormat="1"/>
    <row r="15356" s="65" customFormat="1"/>
    <row r="15357" s="65" customFormat="1"/>
    <row r="15358" s="65" customFormat="1"/>
    <row r="15359" s="65" customFormat="1"/>
    <row r="15360" s="65" customFormat="1"/>
    <row r="15361" s="65" customFormat="1"/>
    <row r="15362" s="65" customFormat="1"/>
    <row r="15363" s="65" customFormat="1"/>
    <row r="15364" s="65" customFormat="1"/>
    <row r="15365" s="65" customFormat="1"/>
    <row r="15366" s="65" customFormat="1"/>
    <row r="15367" s="65" customFormat="1"/>
    <row r="15368" s="65" customFormat="1"/>
    <row r="15369" s="65" customFormat="1"/>
    <row r="15370" s="65" customFormat="1"/>
    <row r="15371" s="65" customFormat="1"/>
    <row r="15372" s="65" customFormat="1"/>
    <row r="15373" s="65" customFormat="1"/>
    <row r="15374" s="65" customFormat="1"/>
    <row r="15375" s="65" customFormat="1"/>
    <row r="15376" s="65" customFormat="1"/>
    <row r="15377" s="65" customFormat="1"/>
    <row r="15378" s="65" customFormat="1"/>
    <row r="15379" s="65" customFormat="1"/>
    <row r="15380" s="65" customFormat="1"/>
    <row r="15381" s="65" customFormat="1"/>
    <row r="15382" s="65" customFormat="1"/>
    <row r="15383" s="65" customFormat="1"/>
    <row r="15384" s="65" customFormat="1"/>
    <row r="15385" s="65" customFormat="1"/>
    <row r="15386" s="65" customFormat="1"/>
    <row r="15387" s="65" customFormat="1"/>
    <row r="15388" s="65" customFormat="1"/>
    <row r="15389" s="65" customFormat="1"/>
    <row r="15390" s="65" customFormat="1"/>
    <row r="15391" s="65" customFormat="1"/>
    <row r="15392" s="65" customFormat="1"/>
    <row r="15393" s="65" customFormat="1"/>
    <row r="15394" s="65" customFormat="1"/>
    <row r="15395" s="65" customFormat="1"/>
    <row r="15396" s="65" customFormat="1"/>
    <row r="15397" s="65" customFormat="1"/>
    <row r="15398" s="65" customFormat="1"/>
    <row r="15399" s="65" customFormat="1"/>
    <row r="15400" s="65" customFormat="1"/>
    <row r="15401" s="65" customFormat="1"/>
    <row r="15402" s="65" customFormat="1"/>
    <row r="15403" s="65" customFormat="1"/>
    <row r="15404" s="65" customFormat="1"/>
    <row r="15405" s="65" customFormat="1"/>
    <row r="15406" s="65" customFormat="1"/>
    <row r="15407" s="65" customFormat="1"/>
    <row r="15408" s="65" customFormat="1"/>
    <row r="15409" s="65" customFormat="1"/>
    <row r="15410" s="65" customFormat="1"/>
    <row r="15411" s="65" customFormat="1"/>
    <row r="15412" s="65" customFormat="1"/>
    <row r="15413" s="65" customFormat="1"/>
    <row r="15414" s="65" customFormat="1"/>
    <row r="15415" s="65" customFormat="1"/>
    <row r="15416" s="65" customFormat="1"/>
    <row r="15417" s="65" customFormat="1"/>
    <row r="15418" s="65" customFormat="1"/>
    <row r="15419" s="65" customFormat="1"/>
    <row r="15420" s="65" customFormat="1"/>
    <row r="15421" s="65" customFormat="1"/>
    <row r="15422" s="65" customFormat="1"/>
    <row r="15423" s="65" customFormat="1"/>
    <row r="15424" s="65" customFormat="1"/>
    <row r="15425" s="65" customFormat="1"/>
    <row r="15426" s="65" customFormat="1"/>
    <row r="15427" s="65" customFormat="1"/>
    <row r="15428" s="65" customFormat="1"/>
    <row r="15429" s="65" customFormat="1"/>
    <row r="15430" s="65" customFormat="1"/>
    <row r="15431" s="65" customFormat="1"/>
    <row r="15432" s="65" customFormat="1"/>
    <row r="15433" s="65" customFormat="1"/>
    <row r="15434" s="65" customFormat="1"/>
    <row r="15435" s="65" customFormat="1"/>
    <row r="15436" s="65" customFormat="1"/>
    <row r="15437" s="65" customFormat="1"/>
    <row r="15438" s="65" customFormat="1"/>
    <row r="15439" s="65" customFormat="1"/>
    <row r="15440" s="65" customFormat="1"/>
    <row r="15441" s="65" customFormat="1"/>
    <row r="15442" s="65" customFormat="1"/>
    <row r="15443" s="65" customFormat="1"/>
    <row r="15444" s="65" customFormat="1"/>
    <row r="15445" s="65" customFormat="1"/>
    <row r="15446" s="65" customFormat="1"/>
    <row r="15447" s="65" customFormat="1"/>
    <row r="15448" s="65" customFormat="1"/>
    <row r="15449" s="65" customFormat="1"/>
    <row r="15450" s="65" customFormat="1"/>
    <row r="15451" s="65" customFormat="1"/>
    <row r="15452" s="65" customFormat="1"/>
    <row r="15453" s="65" customFormat="1"/>
    <row r="15454" s="65" customFormat="1"/>
    <row r="15455" s="65" customFormat="1"/>
    <row r="15456" s="65" customFormat="1"/>
    <row r="15457" s="65" customFormat="1"/>
    <row r="15458" s="65" customFormat="1"/>
    <row r="15459" s="65" customFormat="1"/>
    <row r="15460" s="65" customFormat="1"/>
    <row r="15461" s="65" customFormat="1"/>
    <row r="15462" s="65" customFormat="1"/>
    <row r="15463" s="65" customFormat="1"/>
    <row r="15464" s="65" customFormat="1"/>
    <row r="15465" s="65" customFormat="1"/>
    <row r="15466" s="65" customFormat="1"/>
    <row r="15467" s="65" customFormat="1"/>
    <row r="15468" s="65" customFormat="1"/>
    <row r="15469" s="65" customFormat="1"/>
    <row r="15470" s="65" customFormat="1"/>
    <row r="15471" s="65" customFormat="1"/>
    <row r="15472" s="65" customFormat="1"/>
    <row r="15473" s="65" customFormat="1"/>
    <row r="15474" s="65" customFormat="1"/>
    <row r="15475" s="65" customFormat="1"/>
    <row r="15476" s="65" customFormat="1"/>
    <row r="15477" s="65" customFormat="1"/>
    <row r="15478" s="65" customFormat="1"/>
    <row r="15479" s="65" customFormat="1"/>
    <row r="15480" s="65" customFormat="1"/>
    <row r="15481" s="65" customFormat="1"/>
    <row r="15482" s="65" customFormat="1"/>
    <row r="15483" s="65" customFormat="1"/>
    <row r="15484" s="65" customFormat="1"/>
    <row r="15485" s="65" customFormat="1"/>
    <row r="15486" s="65" customFormat="1"/>
    <row r="15487" s="65" customFormat="1"/>
    <row r="15488" s="65" customFormat="1"/>
    <row r="15489" s="65" customFormat="1"/>
    <row r="15490" s="65" customFormat="1"/>
    <row r="15491" s="65" customFormat="1"/>
    <row r="15492" s="65" customFormat="1"/>
    <row r="15493" s="65" customFormat="1"/>
    <row r="15494" s="65" customFormat="1"/>
    <row r="15495" s="65" customFormat="1"/>
    <row r="15496" s="65" customFormat="1"/>
    <row r="15497" s="65" customFormat="1"/>
    <row r="15498" s="65" customFormat="1"/>
    <row r="15499" s="65" customFormat="1"/>
    <row r="15500" s="65" customFormat="1"/>
    <row r="15501" s="65" customFormat="1"/>
    <row r="15502" s="65" customFormat="1"/>
    <row r="15503" s="65" customFormat="1"/>
    <row r="15504" s="65" customFormat="1"/>
    <row r="15505" s="65" customFormat="1"/>
    <row r="15506" s="65" customFormat="1"/>
    <row r="15507" s="65" customFormat="1"/>
    <row r="15508" s="65" customFormat="1"/>
    <row r="15509" s="65" customFormat="1"/>
    <row r="15510" s="65" customFormat="1"/>
    <row r="15511" s="65" customFormat="1"/>
    <row r="15512" s="65" customFormat="1"/>
    <row r="15513" s="65" customFormat="1"/>
    <row r="15514" s="65" customFormat="1"/>
    <row r="15515" s="65" customFormat="1"/>
    <row r="15516" s="65" customFormat="1"/>
    <row r="15517" s="65" customFormat="1"/>
    <row r="15518" s="65" customFormat="1"/>
    <row r="15519" s="65" customFormat="1"/>
    <row r="15520" s="65" customFormat="1"/>
    <row r="15521" s="65" customFormat="1"/>
    <row r="15522" s="65" customFormat="1"/>
    <row r="15523" s="65" customFormat="1"/>
    <row r="15524" s="65" customFormat="1"/>
    <row r="15525" s="65" customFormat="1"/>
    <row r="15526" s="65" customFormat="1"/>
    <row r="15527" s="65" customFormat="1"/>
    <row r="15528" s="65" customFormat="1"/>
    <row r="15529" s="65" customFormat="1"/>
    <row r="15530" s="65" customFormat="1"/>
    <row r="15531" s="65" customFormat="1"/>
    <row r="15532" s="65" customFormat="1"/>
    <row r="15533" s="65" customFormat="1"/>
    <row r="15534" s="65" customFormat="1"/>
    <row r="15535" s="65" customFormat="1"/>
    <row r="15536" s="65" customFormat="1"/>
    <row r="15537" s="65" customFormat="1"/>
    <row r="15538" s="65" customFormat="1"/>
    <row r="15539" s="65" customFormat="1"/>
    <row r="15540" s="65" customFormat="1"/>
    <row r="15541" s="65" customFormat="1"/>
    <row r="15542" s="65" customFormat="1"/>
    <row r="15543" s="65" customFormat="1"/>
    <row r="15544" s="65" customFormat="1"/>
    <row r="15545" s="65" customFormat="1"/>
    <row r="15546" s="65" customFormat="1"/>
    <row r="15547" s="65" customFormat="1"/>
    <row r="15548" s="65" customFormat="1"/>
    <row r="15549" s="65" customFormat="1"/>
    <row r="15550" s="65" customFormat="1"/>
    <row r="15551" s="65" customFormat="1"/>
    <row r="15552" s="65" customFormat="1"/>
    <row r="15553" s="65" customFormat="1"/>
    <row r="15554" s="65" customFormat="1"/>
    <row r="15555" s="65" customFormat="1"/>
    <row r="15556" s="65" customFormat="1"/>
    <row r="15557" s="65" customFormat="1"/>
    <row r="15558" s="65" customFormat="1"/>
    <row r="15559" s="65" customFormat="1"/>
    <row r="15560" s="65" customFormat="1"/>
    <row r="15561" s="65" customFormat="1"/>
    <row r="15562" s="65" customFormat="1"/>
    <row r="15563" s="65" customFormat="1"/>
    <row r="15564" s="65" customFormat="1"/>
    <row r="15565" s="65" customFormat="1"/>
    <row r="15566" s="65" customFormat="1"/>
    <row r="15567" s="65" customFormat="1"/>
    <row r="15568" s="65" customFormat="1"/>
    <row r="15569" s="65" customFormat="1"/>
    <row r="15570" s="65" customFormat="1"/>
    <row r="15571" s="65" customFormat="1"/>
    <row r="15572" s="65" customFormat="1"/>
    <row r="15573" s="65" customFormat="1"/>
    <row r="15574" s="65" customFormat="1"/>
    <row r="15575" s="65" customFormat="1"/>
    <row r="15576" s="65" customFormat="1"/>
    <row r="15577" s="65" customFormat="1"/>
    <row r="15578" s="65" customFormat="1"/>
    <row r="15579" s="65" customFormat="1"/>
    <row r="15580" s="65" customFormat="1"/>
    <row r="15581" s="65" customFormat="1"/>
    <row r="15582" s="65" customFormat="1"/>
    <row r="15583" s="65" customFormat="1"/>
    <row r="15584" s="65" customFormat="1"/>
    <row r="15585" s="65" customFormat="1"/>
    <row r="15586" s="65" customFormat="1"/>
    <row r="15587" s="65" customFormat="1"/>
    <row r="15588" s="65" customFormat="1"/>
    <row r="15589" s="65" customFormat="1"/>
    <row r="15590" s="65" customFormat="1"/>
    <row r="15591" s="65" customFormat="1"/>
    <row r="15592" s="65" customFormat="1"/>
    <row r="15593" s="65" customFormat="1"/>
    <row r="15594" s="65" customFormat="1"/>
    <row r="15595" s="65" customFormat="1"/>
    <row r="15596" s="65" customFormat="1"/>
    <row r="15597" s="65" customFormat="1"/>
    <row r="15598" s="65" customFormat="1"/>
    <row r="15599" s="65" customFormat="1"/>
    <row r="15600" s="65" customFormat="1"/>
    <row r="15601" s="65" customFormat="1"/>
    <row r="15602" s="65" customFormat="1"/>
    <row r="15603" s="65" customFormat="1"/>
    <row r="15604" s="65" customFormat="1"/>
    <row r="15605" s="65" customFormat="1"/>
    <row r="15606" s="65" customFormat="1"/>
    <row r="15607" s="65" customFormat="1"/>
    <row r="15608" s="65" customFormat="1"/>
    <row r="15609" s="65" customFormat="1"/>
    <row r="15610" s="65" customFormat="1"/>
    <row r="15611" s="65" customFormat="1"/>
    <row r="15612" s="65" customFormat="1"/>
    <row r="15613" s="65" customFormat="1"/>
    <row r="15614" s="65" customFormat="1"/>
    <row r="15615" s="65" customFormat="1"/>
    <row r="15616" s="65" customFormat="1"/>
    <row r="15617" s="65" customFormat="1"/>
    <row r="15618" s="65" customFormat="1"/>
    <row r="15619" s="65" customFormat="1"/>
    <row r="15620" s="65" customFormat="1"/>
    <row r="15621" s="65" customFormat="1"/>
    <row r="15622" s="65" customFormat="1"/>
    <row r="15623" s="65" customFormat="1"/>
    <row r="15624" s="65" customFormat="1"/>
    <row r="15625" s="65" customFormat="1"/>
    <row r="15626" s="65" customFormat="1"/>
    <row r="15627" s="65" customFormat="1"/>
    <row r="15628" s="65" customFormat="1"/>
    <row r="15629" s="65" customFormat="1"/>
    <row r="15630" s="65" customFormat="1"/>
    <row r="15631" s="65" customFormat="1"/>
    <row r="15632" s="65" customFormat="1"/>
    <row r="15633" s="65" customFormat="1"/>
    <row r="15634" s="65" customFormat="1"/>
    <row r="15635" s="65" customFormat="1"/>
    <row r="15636" s="65" customFormat="1"/>
    <row r="15637" s="65" customFormat="1"/>
    <row r="15638" s="65" customFormat="1"/>
    <row r="15639" s="65" customFormat="1"/>
    <row r="15640" s="65" customFormat="1"/>
    <row r="15641" s="65" customFormat="1"/>
    <row r="15642" s="65" customFormat="1"/>
    <row r="15643" s="65" customFormat="1"/>
    <row r="15644" s="65" customFormat="1"/>
    <row r="15645" s="65" customFormat="1"/>
    <row r="15646" s="65" customFormat="1"/>
    <row r="15647" s="65" customFormat="1"/>
    <row r="15648" s="65" customFormat="1"/>
    <row r="15649" s="65" customFormat="1"/>
    <row r="15650" s="65" customFormat="1"/>
    <row r="15651" s="65" customFormat="1"/>
    <row r="15652" s="65" customFormat="1"/>
    <row r="15653" s="65" customFormat="1"/>
    <row r="15654" s="65" customFormat="1"/>
    <row r="15655" s="65" customFormat="1"/>
    <row r="15656" s="65" customFormat="1"/>
    <row r="15657" s="65" customFormat="1"/>
    <row r="15658" s="65" customFormat="1"/>
    <row r="15659" s="65" customFormat="1"/>
    <row r="15660" s="65" customFormat="1"/>
    <row r="15661" s="65" customFormat="1"/>
    <row r="15662" s="65" customFormat="1"/>
    <row r="15663" s="65" customFormat="1"/>
    <row r="15664" s="65" customFormat="1"/>
    <row r="15665" s="65" customFormat="1"/>
    <row r="15666" s="65" customFormat="1"/>
    <row r="15667" s="65" customFormat="1"/>
    <row r="15668" s="65" customFormat="1"/>
    <row r="15669" s="65" customFormat="1"/>
    <row r="15670" s="65" customFormat="1"/>
    <row r="15671" s="65" customFormat="1"/>
    <row r="15672" s="65" customFormat="1"/>
    <row r="15673" s="65" customFormat="1"/>
    <row r="15674" s="65" customFormat="1"/>
    <row r="15675" s="65" customFormat="1"/>
    <row r="15676" s="65" customFormat="1"/>
    <row r="15677" s="65" customFormat="1"/>
    <row r="15678" s="65" customFormat="1"/>
    <row r="15679" s="65" customFormat="1"/>
    <row r="15680" s="65" customFormat="1"/>
    <row r="15681" s="65" customFormat="1"/>
    <row r="15682" s="65" customFormat="1"/>
    <row r="15683" s="65" customFormat="1"/>
    <row r="15684" s="65" customFormat="1"/>
    <row r="15685" s="65" customFormat="1"/>
    <row r="15686" s="65" customFormat="1"/>
    <row r="15687" s="65" customFormat="1"/>
    <row r="15688" s="65" customFormat="1"/>
    <row r="15689" s="65" customFormat="1"/>
    <row r="15690" s="65" customFormat="1"/>
    <row r="15691" s="65" customFormat="1"/>
    <row r="15692" s="65" customFormat="1"/>
    <row r="15693" s="65" customFormat="1"/>
    <row r="15694" s="65" customFormat="1"/>
    <row r="15695" s="65" customFormat="1"/>
    <row r="15696" s="65" customFormat="1"/>
    <row r="15697" s="65" customFormat="1"/>
    <row r="15698" s="65" customFormat="1"/>
    <row r="15699" s="65" customFormat="1"/>
    <row r="15700" s="65" customFormat="1"/>
    <row r="15701" s="65" customFormat="1"/>
    <row r="15702" s="65" customFormat="1"/>
    <row r="15703" s="65" customFormat="1"/>
    <row r="15704" s="65" customFormat="1"/>
    <row r="15705" s="65" customFormat="1"/>
    <row r="15706" s="65" customFormat="1"/>
    <row r="15707" s="65" customFormat="1"/>
    <row r="15708" s="65" customFormat="1"/>
    <row r="15709" s="65" customFormat="1"/>
    <row r="15710" s="65" customFormat="1"/>
    <row r="15711" s="65" customFormat="1"/>
    <row r="15712" s="65" customFormat="1"/>
    <row r="15713" s="65" customFormat="1"/>
    <row r="15714" s="65" customFormat="1"/>
    <row r="15715" s="65" customFormat="1"/>
    <row r="15716" s="65" customFormat="1"/>
    <row r="15717" s="65" customFormat="1"/>
    <row r="15718" s="65" customFormat="1"/>
    <row r="15719" s="65" customFormat="1"/>
    <row r="15720" s="65" customFormat="1"/>
    <row r="15721" s="65" customFormat="1"/>
    <row r="15722" s="65" customFormat="1"/>
    <row r="15723" s="65" customFormat="1"/>
    <row r="15724" s="65" customFormat="1"/>
    <row r="15725" s="65" customFormat="1"/>
    <row r="15726" s="65" customFormat="1"/>
    <row r="15727" s="65" customFormat="1"/>
    <row r="15728" s="65" customFormat="1"/>
    <row r="15729" s="65" customFormat="1"/>
    <row r="15730" s="65" customFormat="1"/>
    <row r="15731" s="65" customFormat="1"/>
    <row r="15732" s="65" customFormat="1"/>
    <row r="15733" s="65" customFormat="1"/>
    <row r="15734" s="65" customFormat="1"/>
    <row r="15735" s="65" customFormat="1"/>
    <row r="15736" s="65" customFormat="1"/>
    <row r="15737" s="65" customFormat="1"/>
    <row r="15738" s="65" customFormat="1"/>
    <row r="15739" s="65" customFormat="1"/>
    <row r="15740" s="65" customFormat="1"/>
    <row r="15741" s="65" customFormat="1"/>
    <row r="15742" s="65" customFormat="1"/>
    <row r="15743" s="65" customFormat="1"/>
    <row r="15744" s="65" customFormat="1"/>
    <row r="15745" s="65" customFormat="1"/>
    <row r="15746" s="65" customFormat="1"/>
    <row r="15747" s="65" customFormat="1"/>
    <row r="15748" s="65" customFormat="1"/>
    <row r="15749" s="65" customFormat="1"/>
    <row r="15750" s="65" customFormat="1"/>
    <row r="15751" s="65" customFormat="1"/>
    <row r="15752" s="65" customFormat="1"/>
    <row r="15753" s="65" customFormat="1"/>
    <row r="15754" s="65" customFormat="1"/>
    <row r="15755" s="65" customFormat="1"/>
    <row r="15756" s="65" customFormat="1"/>
    <row r="15757" s="65" customFormat="1"/>
    <row r="15758" s="65" customFormat="1"/>
    <row r="15759" s="65" customFormat="1"/>
    <row r="15760" s="65" customFormat="1"/>
    <row r="15761" s="65" customFormat="1"/>
    <row r="15762" s="65" customFormat="1"/>
    <row r="15763" s="65" customFormat="1"/>
    <row r="15764" s="65" customFormat="1"/>
    <row r="15765" s="65" customFormat="1"/>
    <row r="15766" s="65" customFormat="1"/>
    <row r="15767" s="65" customFormat="1"/>
    <row r="15768" s="65" customFormat="1"/>
    <row r="15769" s="65" customFormat="1"/>
    <row r="15770" s="65" customFormat="1"/>
    <row r="15771" s="65" customFormat="1"/>
    <row r="15772" s="65" customFormat="1"/>
    <row r="15773" s="65" customFormat="1"/>
    <row r="15774" s="65" customFormat="1"/>
    <row r="15775" s="65" customFormat="1"/>
    <row r="15776" s="65" customFormat="1"/>
    <row r="15777" s="65" customFormat="1"/>
    <row r="15778" s="65" customFormat="1"/>
    <row r="15779" s="65" customFormat="1"/>
    <row r="15780" s="65" customFormat="1"/>
    <row r="15781" s="65" customFormat="1"/>
    <row r="15782" s="65" customFormat="1"/>
    <row r="15783" s="65" customFormat="1"/>
    <row r="15784" s="65" customFormat="1"/>
    <row r="15785" s="65" customFormat="1"/>
    <row r="15786" s="65" customFormat="1"/>
    <row r="15787" s="65" customFormat="1"/>
    <row r="15788" s="65" customFormat="1"/>
    <row r="15789" s="65" customFormat="1"/>
    <row r="15790" s="65" customFormat="1"/>
    <row r="15791" s="65" customFormat="1"/>
    <row r="15792" s="65" customFormat="1"/>
    <row r="15793" s="65" customFormat="1"/>
    <row r="15794" s="65" customFormat="1"/>
    <row r="15795" s="65" customFormat="1"/>
    <row r="15796" s="65" customFormat="1"/>
    <row r="15797" s="65" customFormat="1"/>
    <row r="15798" s="65" customFormat="1"/>
    <row r="15799" s="65" customFormat="1"/>
    <row r="15800" s="65" customFormat="1"/>
    <row r="15801" s="65" customFormat="1"/>
    <row r="15802" s="65" customFormat="1"/>
    <row r="15803" s="65" customFormat="1"/>
    <row r="15804" s="65" customFormat="1"/>
    <row r="15805" s="65" customFormat="1"/>
    <row r="15806" s="65" customFormat="1"/>
    <row r="15807" s="65" customFormat="1"/>
    <row r="15808" s="65" customFormat="1"/>
    <row r="15809" s="65" customFormat="1"/>
    <row r="15810" s="65" customFormat="1"/>
    <row r="15811" s="65" customFormat="1"/>
    <row r="15812" s="65" customFormat="1"/>
    <row r="15813" s="65" customFormat="1"/>
    <row r="15814" s="65" customFormat="1"/>
    <row r="15815" s="65" customFormat="1"/>
    <row r="15816" s="65" customFormat="1"/>
    <row r="15817" s="65" customFormat="1"/>
    <row r="15818" s="65" customFormat="1"/>
    <row r="15819" s="65" customFormat="1"/>
    <row r="15820" s="65" customFormat="1"/>
    <row r="15821" s="65" customFormat="1"/>
    <row r="15822" s="65" customFormat="1"/>
    <row r="15823" s="65" customFormat="1"/>
    <row r="15824" s="65" customFormat="1"/>
    <row r="15825" s="65" customFormat="1"/>
    <row r="15826" s="65" customFormat="1"/>
    <row r="15827" s="65" customFormat="1"/>
    <row r="15828" s="65" customFormat="1"/>
    <row r="15829" s="65" customFormat="1"/>
    <row r="15830" s="65" customFormat="1"/>
    <row r="15831" s="65" customFormat="1"/>
    <row r="15832" s="65" customFormat="1"/>
    <row r="15833" s="65" customFormat="1"/>
    <row r="15834" s="65" customFormat="1"/>
    <row r="15835" s="65" customFormat="1"/>
    <row r="15836" s="65" customFormat="1"/>
    <row r="15837" s="65" customFormat="1"/>
    <row r="15838" s="65" customFormat="1"/>
    <row r="15839" s="65" customFormat="1"/>
    <row r="15840" s="65" customFormat="1"/>
    <row r="15841" s="65" customFormat="1"/>
    <row r="15842" s="65" customFormat="1"/>
    <row r="15843" s="65" customFormat="1"/>
    <row r="15844" s="65" customFormat="1"/>
    <row r="15845" s="65" customFormat="1"/>
    <row r="15846" s="65" customFormat="1"/>
    <row r="15847" s="65" customFormat="1"/>
    <row r="15848" s="65" customFormat="1"/>
    <row r="15849" s="65" customFormat="1"/>
    <row r="15850" s="65" customFormat="1"/>
    <row r="15851" s="65" customFormat="1"/>
    <row r="15852" s="65" customFormat="1"/>
    <row r="15853" s="65" customFormat="1"/>
    <row r="15854" s="65" customFormat="1"/>
    <row r="15855" s="65" customFormat="1"/>
    <row r="15856" s="65" customFormat="1"/>
    <row r="15857" s="65" customFormat="1"/>
    <row r="15858" s="65" customFormat="1"/>
    <row r="15859" s="65" customFormat="1"/>
    <row r="15860" s="65" customFormat="1"/>
    <row r="15861" s="65" customFormat="1"/>
    <row r="15862" s="65" customFormat="1"/>
    <row r="15863" s="65" customFormat="1"/>
    <row r="15864" s="65" customFormat="1"/>
    <row r="15865" s="65" customFormat="1"/>
    <row r="15866" s="65" customFormat="1"/>
    <row r="15867" s="65" customFormat="1"/>
    <row r="15868" s="65" customFormat="1"/>
    <row r="15869" s="65" customFormat="1"/>
    <row r="15870" s="65" customFormat="1"/>
    <row r="15871" s="65" customFormat="1"/>
    <row r="15872" s="65" customFormat="1"/>
    <row r="15873" s="65" customFormat="1"/>
    <row r="15874" s="65" customFormat="1"/>
    <row r="15875" s="65" customFormat="1"/>
    <row r="15876" s="65" customFormat="1"/>
    <row r="15877" s="65" customFormat="1"/>
    <row r="15878" s="65" customFormat="1"/>
    <row r="15879" s="65" customFormat="1"/>
    <row r="15880" s="65" customFormat="1"/>
    <row r="15881" s="65" customFormat="1"/>
    <row r="15882" s="65" customFormat="1"/>
    <row r="15883" s="65" customFormat="1"/>
    <row r="15884" s="65" customFormat="1"/>
    <row r="15885" s="65" customFormat="1"/>
    <row r="15886" s="65" customFormat="1"/>
    <row r="15887" s="65" customFormat="1"/>
    <row r="15888" s="65" customFormat="1"/>
    <row r="15889" s="65" customFormat="1"/>
    <row r="15890" s="65" customFormat="1"/>
    <row r="15891" s="65" customFormat="1"/>
    <row r="15892" s="65" customFormat="1"/>
    <row r="15893" s="65" customFormat="1"/>
    <row r="15894" s="65" customFormat="1"/>
    <row r="15895" s="65" customFormat="1"/>
    <row r="15896" s="65" customFormat="1"/>
    <row r="15897" s="65" customFormat="1"/>
    <row r="15898" s="65" customFormat="1"/>
    <row r="15899" s="65" customFormat="1"/>
    <row r="15900" s="65" customFormat="1"/>
    <row r="15901" s="65" customFormat="1"/>
    <row r="15902" s="65" customFormat="1"/>
    <row r="15903" s="65" customFormat="1"/>
    <row r="15904" s="65" customFormat="1"/>
    <row r="15905" s="65" customFormat="1"/>
    <row r="15906" s="65" customFormat="1"/>
    <row r="15907" s="65" customFormat="1"/>
    <row r="15908" s="65" customFormat="1"/>
    <row r="15909" s="65" customFormat="1"/>
    <row r="15910" s="65" customFormat="1"/>
    <row r="15911" s="65" customFormat="1"/>
    <row r="15912" s="65" customFormat="1"/>
    <row r="15913" s="65" customFormat="1"/>
    <row r="15914" s="65" customFormat="1"/>
    <row r="15915" s="65" customFormat="1"/>
    <row r="15916" s="65" customFormat="1"/>
    <row r="15917" s="65" customFormat="1"/>
    <row r="15918" s="65" customFormat="1"/>
    <row r="15919" s="65" customFormat="1"/>
    <row r="15920" s="65" customFormat="1"/>
    <row r="15921" s="65" customFormat="1"/>
    <row r="15922" s="65" customFormat="1"/>
    <row r="15923" s="65" customFormat="1"/>
    <row r="15924" s="65" customFormat="1"/>
    <row r="15925" s="65" customFormat="1"/>
    <row r="15926" s="65" customFormat="1"/>
    <row r="15927" s="65" customFormat="1"/>
    <row r="15928" s="65" customFormat="1"/>
    <row r="15929" s="65" customFormat="1"/>
    <row r="15930" s="65" customFormat="1"/>
    <row r="15931" s="65" customFormat="1"/>
    <row r="15932" s="65" customFormat="1"/>
    <row r="15933" s="65" customFormat="1"/>
    <row r="15934" s="65" customFormat="1"/>
    <row r="15935" s="65" customFormat="1"/>
    <row r="15936" s="65" customFormat="1"/>
    <row r="15937" s="65" customFormat="1"/>
    <row r="15938" s="65" customFormat="1"/>
    <row r="15939" s="65" customFormat="1"/>
    <row r="15940" s="65" customFormat="1"/>
    <row r="15941" s="65" customFormat="1"/>
    <row r="15942" s="65" customFormat="1"/>
    <row r="15943" s="65" customFormat="1"/>
    <row r="15944" s="65" customFormat="1"/>
    <row r="15945" s="65" customFormat="1"/>
    <row r="15946" s="65" customFormat="1"/>
    <row r="15947" s="65" customFormat="1"/>
    <row r="15948" s="65" customFormat="1"/>
    <row r="15949" s="65" customFormat="1"/>
    <row r="15950" s="65" customFormat="1"/>
    <row r="15951" s="65" customFormat="1"/>
    <row r="15952" s="65" customFormat="1"/>
    <row r="15953" s="65" customFormat="1"/>
    <row r="15954" s="65" customFormat="1"/>
    <row r="15955" s="65" customFormat="1"/>
    <row r="15956" s="65" customFormat="1"/>
    <row r="15957" s="65" customFormat="1"/>
    <row r="15958" s="65" customFormat="1"/>
    <row r="15959" s="65" customFormat="1"/>
    <row r="15960" s="65" customFormat="1"/>
    <row r="15961" s="65" customFormat="1"/>
    <row r="15962" s="65" customFormat="1"/>
    <row r="15963" s="65" customFormat="1"/>
    <row r="15964" s="65" customFormat="1"/>
    <row r="15965" s="65" customFormat="1"/>
    <row r="15966" s="65" customFormat="1"/>
    <row r="15967" s="65" customFormat="1"/>
    <row r="15968" s="65" customFormat="1"/>
    <row r="15969" s="65" customFormat="1"/>
    <row r="15970" s="65" customFormat="1"/>
    <row r="15971" s="65" customFormat="1"/>
    <row r="15972" s="65" customFormat="1"/>
    <row r="15973" s="65" customFormat="1"/>
    <row r="15974" s="65" customFormat="1"/>
    <row r="15975" s="65" customFormat="1"/>
    <row r="15976" s="65" customFormat="1"/>
    <row r="15977" s="65" customFormat="1"/>
    <row r="15978" s="65" customFormat="1"/>
    <row r="15979" s="65" customFormat="1"/>
    <row r="15980" s="65" customFormat="1"/>
    <row r="15981" s="65" customFormat="1"/>
    <row r="15982" s="65" customFormat="1"/>
    <row r="15983" s="65" customFormat="1"/>
    <row r="15984" s="65" customFormat="1"/>
    <row r="15985" s="65" customFormat="1"/>
    <row r="15986" s="65" customFormat="1"/>
    <row r="15987" s="65" customFormat="1"/>
    <row r="15988" s="65" customFormat="1"/>
    <row r="15989" s="65" customFormat="1"/>
    <row r="15990" s="65" customFormat="1"/>
    <row r="15991" s="65" customFormat="1"/>
    <row r="15992" s="65" customFormat="1"/>
    <row r="15993" s="65" customFormat="1"/>
    <row r="15994" s="65" customFormat="1"/>
    <row r="15995" s="65" customFormat="1"/>
    <row r="15996" s="65" customFormat="1"/>
    <row r="15997" s="65" customFormat="1"/>
    <row r="15998" s="65" customFormat="1"/>
    <row r="15999" s="65" customFormat="1"/>
    <row r="16000" s="65" customFormat="1"/>
    <row r="16001" s="65" customFormat="1"/>
    <row r="16002" s="65" customFormat="1"/>
    <row r="16003" s="65" customFormat="1"/>
    <row r="16004" s="65" customFormat="1"/>
    <row r="16005" s="65" customFormat="1"/>
    <row r="16006" s="65" customFormat="1"/>
    <row r="16007" s="65" customFormat="1"/>
    <row r="16008" s="65" customFormat="1"/>
    <row r="16009" s="65" customFormat="1"/>
    <row r="16010" s="65" customFormat="1"/>
    <row r="16011" s="65" customFormat="1"/>
    <row r="16012" s="65" customFormat="1"/>
    <row r="16013" s="65" customFormat="1"/>
    <row r="16014" s="65" customFormat="1"/>
    <row r="16015" s="65" customFormat="1"/>
    <row r="16016" s="65" customFormat="1"/>
    <row r="16017" s="65" customFormat="1"/>
    <row r="16018" s="65" customFormat="1"/>
    <row r="16019" s="65" customFormat="1"/>
    <row r="16020" s="65" customFormat="1"/>
    <row r="16021" s="65" customFormat="1"/>
    <row r="16022" s="65" customFormat="1"/>
    <row r="16023" s="65" customFormat="1"/>
    <row r="16024" s="65" customFormat="1"/>
    <row r="16025" s="65" customFormat="1"/>
    <row r="16026" s="65" customFormat="1"/>
    <row r="16027" s="65" customFormat="1"/>
    <row r="16028" s="65" customFormat="1"/>
    <row r="16029" s="65" customFormat="1"/>
    <row r="16030" s="65" customFormat="1"/>
    <row r="16031" s="65" customFormat="1"/>
    <row r="16032" s="65" customFormat="1"/>
    <row r="16033" s="65" customFormat="1"/>
    <row r="16034" s="65" customFormat="1"/>
    <row r="16035" s="65" customFormat="1"/>
    <row r="16036" s="65" customFormat="1"/>
    <row r="16037" s="65" customFormat="1"/>
    <row r="16038" s="65" customFormat="1"/>
    <row r="16039" s="65" customFormat="1"/>
    <row r="16040" s="65" customFormat="1"/>
    <row r="16041" s="65" customFormat="1"/>
    <row r="16042" s="65" customFormat="1"/>
    <row r="16043" s="65" customFormat="1"/>
    <row r="16044" s="65" customFormat="1"/>
    <row r="16045" s="65" customFormat="1"/>
    <row r="16046" s="65" customFormat="1"/>
    <row r="16047" s="65" customFormat="1"/>
    <row r="16048" s="65" customFormat="1"/>
    <row r="16049" s="65" customFormat="1"/>
    <row r="16050" s="65" customFormat="1"/>
    <row r="16051" s="65" customFormat="1"/>
    <row r="16052" s="65" customFormat="1"/>
    <row r="16053" s="65" customFormat="1"/>
    <row r="16054" s="65" customFormat="1"/>
    <row r="16055" s="65" customFormat="1"/>
    <row r="16056" s="65" customFormat="1"/>
    <row r="16057" s="65" customFormat="1"/>
    <row r="16058" s="65" customFormat="1"/>
    <row r="16059" s="65" customFormat="1"/>
    <row r="16060" s="65" customFormat="1"/>
    <row r="16061" s="65" customFormat="1"/>
    <row r="16062" s="65" customFormat="1"/>
    <row r="16063" s="65" customFormat="1"/>
    <row r="16064" s="65" customFormat="1"/>
    <row r="16065" s="65" customFormat="1"/>
    <row r="16066" s="65" customFormat="1"/>
    <row r="16067" s="65" customFormat="1"/>
    <row r="16068" s="65" customFormat="1"/>
    <row r="16069" s="65" customFormat="1"/>
    <row r="16070" s="65" customFormat="1"/>
    <row r="16071" s="65" customFormat="1"/>
    <row r="16072" s="65" customFormat="1"/>
    <row r="16073" s="65" customFormat="1"/>
    <row r="16074" s="65" customFormat="1"/>
    <row r="16075" s="65" customFormat="1"/>
    <row r="16076" s="65" customFormat="1"/>
    <row r="16077" s="65" customFormat="1"/>
    <row r="16078" s="65" customFormat="1"/>
    <row r="16079" s="65" customFormat="1"/>
    <row r="16080" s="65" customFormat="1"/>
    <row r="16081" s="65" customFormat="1"/>
    <row r="16082" s="65" customFormat="1"/>
    <row r="16083" s="65" customFormat="1"/>
    <row r="16084" s="65" customFormat="1"/>
    <row r="16085" s="65" customFormat="1"/>
    <row r="16086" s="65" customFormat="1"/>
    <row r="16087" s="65" customFormat="1"/>
    <row r="16088" s="65" customFormat="1"/>
    <row r="16089" s="65" customFormat="1"/>
    <row r="16090" s="65" customFormat="1"/>
    <row r="16091" s="65" customFormat="1"/>
    <row r="16092" s="65" customFormat="1"/>
    <row r="16093" s="65" customFormat="1"/>
    <row r="16094" s="65" customFormat="1"/>
    <row r="16095" s="65" customFormat="1"/>
    <row r="16096" s="65" customFormat="1"/>
    <row r="16097" s="65" customFormat="1"/>
    <row r="16098" s="65" customFormat="1"/>
    <row r="16099" s="65" customFormat="1"/>
    <row r="16100" s="65" customFormat="1"/>
    <row r="16101" s="65" customFormat="1"/>
    <row r="16102" s="65" customFormat="1"/>
    <row r="16103" s="65" customFormat="1"/>
    <row r="16104" s="65" customFormat="1"/>
    <row r="16105" s="65" customFormat="1"/>
    <row r="16106" s="65" customFormat="1"/>
    <row r="16107" s="65" customFormat="1"/>
    <row r="16108" s="65" customFormat="1"/>
    <row r="16109" s="65" customFormat="1"/>
    <row r="16110" s="65" customFormat="1"/>
    <row r="16111" s="65" customFormat="1"/>
    <row r="16112" s="65" customFormat="1"/>
    <row r="16113" s="65" customFormat="1"/>
    <row r="16114" s="65" customFormat="1"/>
    <row r="16115" s="65" customFormat="1"/>
    <row r="16116" s="65" customFormat="1"/>
    <row r="16117" s="65" customFormat="1"/>
    <row r="16118" s="65" customFormat="1"/>
    <row r="16119" s="65" customFormat="1"/>
    <row r="16120" s="65" customFormat="1"/>
    <row r="16121" s="65" customFormat="1"/>
    <row r="16122" s="65" customFormat="1"/>
    <row r="16123" s="65" customFormat="1"/>
    <row r="16124" s="65" customFormat="1"/>
    <row r="16125" s="65" customFormat="1"/>
    <row r="16126" s="65" customFormat="1"/>
    <row r="16127" s="65" customFormat="1"/>
    <row r="16128" s="65" customFormat="1"/>
    <row r="16129" s="65" customFormat="1"/>
    <row r="16130" s="65" customFormat="1"/>
    <row r="16131" s="65" customFormat="1"/>
    <row r="16132" s="65" customFormat="1"/>
    <row r="16133" s="65" customFormat="1"/>
    <row r="16134" s="65" customFormat="1"/>
    <row r="16135" s="65" customFormat="1"/>
    <row r="16136" s="65" customFormat="1"/>
    <row r="16137" s="65" customFormat="1"/>
    <row r="16138" s="65" customFormat="1"/>
    <row r="16139" s="65" customFormat="1"/>
    <row r="16140" s="65" customFormat="1"/>
    <row r="16141" s="65" customFormat="1"/>
    <row r="16142" s="65" customFormat="1"/>
    <row r="16143" s="65" customFormat="1"/>
    <row r="16144" s="65" customFormat="1"/>
    <row r="16145" s="65" customFormat="1"/>
    <row r="16146" s="65" customFormat="1"/>
    <row r="16147" s="65" customFormat="1"/>
    <row r="16148" s="65" customFormat="1"/>
    <row r="16149" s="65" customFormat="1"/>
    <row r="16150" s="65" customFormat="1"/>
    <row r="16151" s="65" customFormat="1"/>
    <row r="16152" s="65" customFormat="1"/>
    <row r="16153" s="65" customFormat="1"/>
    <row r="16154" s="65" customFormat="1"/>
    <row r="16155" s="65" customFormat="1"/>
    <row r="16156" s="65" customFormat="1"/>
    <row r="16157" s="65" customFormat="1"/>
    <row r="16158" s="65" customFormat="1"/>
    <row r="16159" s="65" customFormat="1"/>
    <row r="16160" s="65" customFormat="1"/>
    <row r="16161" s="65" customFormat="1"/>
    <row r="16162" s="65" customFormat="1"/>
    <row r="16163" s="65" customFormat="1"/>
    <row r="16164" s="65" customFormat="1"/>
    <row r="16165" s="65" customFormat="1"/>
    <row r="16166" s="65" customFormat="1"/>
    <row r="16167" s="65" customFormat="1"/>
    <row r="16168" s="65" customFormat="1"/>
    <row r="16169" s="65" customFormat="1"/>
    <row r="16170" s="65" customFormat="1"/>
    <row r="16171" s="65" customFormat="1"/>
    <row r="16172" s="65" customFormat="1"/>
    <row r="16173" s="65" customFormat="1"/>
    <row r="16174" s="65" customFormat="1"/>
    <row r="16175" s="65" customFormat="1"/>
    <row r="16176" s="65" customFormat="1"/>
    <row r="16177" s="65" customFormat="1"/>
    <row r="16178" s="65" customFormat="1"/>
    <row r="16179" s="65" customFormat="1"/>
    <row r="16180" s="65" customFormat="1"/>
    <row r="16181" s="65" customFormat="1"/>
    <row r="16182" s="65" customFormat="1"/>
    <row r="16183" s="65" customFormat="1"/>
    <row r="16184" s="65" customFormat="1"/>
    <row r="16185" s="65" customFormat="1"/>
    <row r="16186" s="65" customFormat="1"/>
    <row r="16187" s="65" customFormat="1"/>
    <row r="16188" s="65" customFormat="1"/>
    <row r="16189" s="65" customFormat="1"/>
    <row r="16190" s="65" customFormat="1"/>
    <row r="16191" s="65" customFormat="1"/>
    <row r="16192" s="65" customFormat="1"/>
    <row r="16193" s="65" customFormat="1"/>
    <row r="16194" s="65" customFormat="1"/>
    <row r="16195" s="65" customFormat="1"/>
    <row r="16196" s="65" customFormat="1"/>
    <row r="16197" s="65" customFormat="1"/>
    <row r="16198" s="65" customFormat="1"/>
    <row r="16199" s="65" customFormat="1"/>
    <row r="16200" s="65" customFormat="1"/>
    <row r="16201" s="65" customFormat="1"/>
    <row r="16202" s="65" customFormat="1"/>
    <row r="16203" s="65" customFormat="1"/>
    <row r="16204" s="65" customFormat="1"/>
    <row r="16205" s="65" customFormat="1"/>
    <row r="16206" s="65" customFormat="1"/>
    <row r="16207" s="65" customFormat="1"/>
    <row r="16208" s="65" customFormat="1"/>
    <row r="16209" s="65" customFormat="1"/>
    <row r="16210" s="65" customFormat="1"/>
    <row r="16211" s="65" customFormat="1"/>
    <row r="16212" s="65" customFormat="1"/>
    <row r="16213" s="65" customFormat="1"/>
    <row r="16214" s="65" customFormat="1"/>
    <row r="16215" s="65" customFormat="1"/>
    <row r="16216" s="65" customFormat="1"/>
    <row r="16217" s="65" customFormat="1"/>
    <row r="16218" s="65" customFormat="1"/>
    <row r="16219" s="65" customFormat="1"/>
    <row r="16220" s="65" customFormat="1"/>
    <row r="16221" s="65" customFormat="1"/>
    <row r="16222" s="65" customFormat="1"/>
    <row r="16223" s="65" customFormat="1"/>
    <row r="16224" s="65" customFormat="1"/>
    <row r="16225" s="65" customFormat="1"/>
    <row r="16226" s="65" customFormat="1"/>
    <row r="16227" s="65" customFormat="1"/>
    <row r="16228" s="65" customFormat="1"/>
    <row r="16229" s="65" customFormat="1"/>
    <row r="16230" s="65" customFormat="1"/>
    <row r="16231" s="65" customFormat="1"/>
    <row r="16232" s="65" customFormat="1"/>
    <row r="16233" s="65" customFormat="1"/>
    <row r="16234" s="65" customFormat="1"/>
    <row r="16235" s="65" customFormat="1"/>
    <row r="16236" s="65" customFormat="1"/>
    <row r="16237" s="65" customFormat="1"/>
    <row r="16238" s="65" customFormat="1"/>
    <row r="16239" s="65" customFormat="1"/>
    <row r="16240" s="65" customFormat="1"/>
    <row r="16241" s="65" customFormat="1"/>
    <row r="16242" s="65" customFormat="1"/>
    <row r="16243" s="65" customFormat="1"/>
    <row r="16244" s="65" customFormat="1"/>
    <row r="16245" s="65" customFormat="1"/>
    <row r="16246" s="65" customFormat="1"/>
    <row r="16247" s="65" customFormat="1"/>
    <row r="16248" s="65" customFormat="1"/>
    <row r="16249" s="65" customFormat="1"/>
    <row r="16250" s="65" customFormat="1"/>
    <row r="16251" s="65" customFormat="1"/>
    <row r="16252" s="65" customFormat="1"/>
    <row r="16253" s="65" customFormat="1"/>
    <row r="16254" s="65" customFormat="1"/>
    <row r="16255" s="65" customFormat="1"/>
    <row r="16256" s="65" customFormat="1"/>
    <row r="16257" s="65" customFormat="1"/>
    <row r="16258" s="65" customFormat="1"/>
    <row r="16259" s="65" customFormat="1"/>
    <row r="16260" s="65" customFormat="1"/>
    <row r="16261" s="65" customFormat="1"/>
    <row r="16262" s="65" customFormat="1"/>
    <row r="16263" s="65" customFormat="1"/>
    <row r="16264" s="65" customFormat="1"/>
    <row r="16265" s="65" customFormat="1"/>
    <row r="16266" s="65" customFormat="1"/>
    <row r="16267" s="65" customFormat="1"/>
    <row r="16268" s="65" customFormat="1"/>
    <row r="16269" s="65" customFormat="1"/>
    <row r="16270" s="65" customFormat="1"/>
    <row r="16271" s="65" customFormat="1"/>
    <row r="16272" s="65" customFormat="1"/>
    <row r="16273" s="65" customFormat="1"/>
    <row r="16274" s="65" customFormat="1"/>
    <row r="16275" s="65" customFormat="1"/>
    <row r="16276" s="65" customFormat="1"/>
    <row r="16277" s="65" customFormat="1"/>
    <row r="16278" s="65" customFormat="1"/>
    <row r="16279" s="65" customFormat="1"/>
    <row r="16280" s="65" customFormat="1"/>
    <row r="16281" s="65" customFormat="1"/>
    <row r="16282" s="65" customFormat="1"/>
    <row r="16283" s="65" customFormat="1"/>
    <row r="16284" s="65" customFormat="1"/>
    <row r="16285" s="65" customFormat="1"/>
    <row r="16286" s="65" customFormat="1"/>
    <row r="16287" s="65" customFormat="1"/>
    <row r="16288" s="65" customFormat="1"/>
    <row r="16289" s="65" customFormat="1"/>
    <row r="16290" s="65" customFormat="1"/>
    <row r="16291" s="65" customFormat="1"/>
    <row r="16292" s="65" customFormat="1"/>
    <row r="16293" s="65" customFormat="1"/>
    <row r="16294" s="65" customFormat="1"/>
    <row r="16295" s="65" customFormat="1"/>
    <row r="16296" s="65" customFormat="1"/>
    <row r="16297" s="65" customFormat="1"/>
    <row r="16298" s="65" customFormat="1"/>
    <row r="16299" s="65" customFormat="1"/>
    <row r="16300" s="65" customFormat="1"/>
    <row r="16301" s="65" customFormat="1"/>
    <row r="16302" s="65" customFormat="1"/>
    <row r="16303" s="65" customFormat="1"/>
    <row r="16304" s="65" customFormat="1"/>
    <row r="16305" s="65" customFormat="1"/>
    <row r="16306" s="65" customFormat="1"/>
    <row r="16307" s="65" customFormat="1"/>
    <row r="16308" s="65" customFormat="1"/>
    <row r="16309" s="65" customFormat="1"/>
    <row r="16310" s="65" customFormat="1"/>
    <row r="16311" s="65" customFormat="1"/>
    <row r="16312" s="65" customFormat="1"/>
    <row r="16313" s="65" customFormat="1"/>
    <row r="16314" s="65" customFormat="1"/>
    <row r="16315" s="65" customFormat="1"/>
    <row r="16316" s="65" customFormat="1"/>
    <row r="16317" s="65" customFormat="1"/>
    <row r="16318" s="65" customFormat="1"/>
    <row r="16319" s="65" customFormat="1"/>
    <row r="16320" s="65" customFormat="1"/>
    <row r="16321" s="65" customFormat="1"/>
    <row r="16322" s="65" customFormat="1"/>
    <row r="16323" s="65" customFormat="1"/>
    <row r="16324" s="65" customFormat="1"/>
    <row r="16325" s="65" customFormat="1"/>
    <row r="16326" s="65" customFormat="1"/>
    <row r="16327" s="65" customFormat="1"/>
    <row r="16328" s="65" customFormat="1"/>
    <row r="16329" s="65" customFormat="1"/>
    <row r="16330" s="65" customFormat="1"/>
    <row r="16331" s="65" customFormat="1"/>
    <row r="16332" s="65" customFormat="1"/>
    <row r="16333" s="65" customFormat="1"/>
    <row r="16334" s="65" customFormat="1"/>
    <row r="16335" s="65" customFormat="1"/>
    <row r="16336" s="65" customFormat="1"/>
    <row r="16337" s="65" customFormat="1"/>
    <row r="16338" s="65" customFormat="1"/>
    <row r="16339" s="65" customFormat="1"/>
    <row r="16340" s="65" customFormat="1"/>
    <row r="16341" s="65" customFormat="1"/>
    <row r="16342" s="65" customFormat="1"/>
    <row r="16343" s="65" customFormat="1"/>
    <row r="16344" s="65" customFormat="1"/>
    <row r="16345" s="65" customFormat="1"/>
    <row r="16346" s="65" customFormat="1"/>
    <row r="16347" s="65" customFormat="1"/>
    <row r="16348" s="65" customFormat="1"/>
    <row r="16349" s="65" customFormat="1"/>
    <row r="16350" s="65" customFormat="1"/>
    <row r="16351" s="65" customFormat="1"/>
    <row r="16352" s="65" customFormat="1"/>
    <row r="16353" s="65" customFormat="1"/>
    <row r="16354" s="65" customFormat="1"/>
    <row r="16355" s="65" customFormat="1"/>
    <row r="16356" s="65" customFormat="1"/>
    <row r="16357" s="65" customFormat="1"/>
    <row r="16358" s="65" customFormat="1"/>
    <row r="16359" s="65" customFormat="1"/>
    <row r="16360" s="65" customFormat="1"/>
    <row r="16361" s="65" customFormat="1"/>
    <row r="16362" s="65" customFormat="1"/>
    <row r="16363" s="65" customFormat="1"/>
    <row r="16364" s="65" customFormat="1"/>
    <row r="16365" s="65" customFormat="1"/>
    <row r="16366" s="65" customFormat="1"/>
    <row r="16367" s="65" customFormat="1"/>
    <row r="16368" s="65" customFormat="1"/>
    <row r="16369" s="65" customFormat="1"/>
    <row r="16370" s="65" customFormat="1"/>
    <row r="16371" s="65" customFormat="1"/>
    <row r="16372" s="65" customFormat="1"/>
    <row r="16373" s="65" customFormat="1"/>
    <row r="16374" s="65" customFormat="1"/>
    <row r="16375" s="65" customFormat="1"/>
    <row r="16376" s="65" customFormat="1"/>
    <row r="16377" s="65" customFormat="1"/>
    <row r="16378" s="65" customFormat="1"/>
    <row r="16379" s="65" customFormat="1"/>
    <row r="16380" s="65" customFormat="1"/>
    <row r="16381" s="65" customFormat="1"/>
    <row r="16382" s="65" customFormat="1"/>
    <row r="16383" s="65" customFormat="1"/>
    <row r="16384" s="65" customFormat="1"/>
    <row r="16385" s="65" customFormat="1"/>
    <row r="16386" s="65" customFormat="1"/>
    <row r="16387" s="65" customFormat="1"/>
    <row r="16388" s="65" customFormat="1"/>
    <row r="16389" s="65" customFormat="1"/>
    <row r="16390" s="65" customFormat="1"/>
    <row r="16391" s="65" customFormat="1"/>
    <row r="16392" s="65" customFormat="1"/>
    <row r="16393" s="65" customFormat="1"/>
    <row r="16394" s="65" customFormat="1"/>
    <row r="16395" s="65" customFormat="1"/>
    <row r="16396" s="65" customFormat="1"/>
    <row r="16397" s="65" customFormat="1"/>
    <row r="16398" s="65" customFormat="1"/>
    <row r="16399" s="65" customFormat="1"/>
    <row r="16400" s="65" customFormat="1"/>
    <row r="16401" s="65" customFormat="1"/>
    <row r="16402" s="65" customFormat="1"/>
    <row r="16403" s="65" customFormat="1"/>
    <row r="16404" s="65" customFormat="1"/>
    <row r="16405" s="65" customFormat="1"/>
    <row r="16406" s="65" customFormat="1"/>
    <row r="16407" s="65" customFormat="1"/>
    <row r="16408" s="65" customFormat="1"/>
    <row r="16409" s="65" customFormat="1"/>
    <row r="16410" s="65" customFormat="1"/>
    <row r="16411" s="65" customFormat="1"/>
    <row r="16412" s="65" customFormat="1"/>
    <row r="16413" s="65" customFormat="1"/>
    <row r="16414" s="65" customFormat="1"/>
    <row r="16415" s="65" customFormat="1"/>
    <row r="16416" s="65" customFormat="1"/>
    <row r="16417" s="65" customFormat="1"/>
    <row r="16418" s="65" customFormat="1"/>
    <row r="16419" s="65" customFormat="1"/>
    <row r="16420" s="65" customFormat="1"/>
    <row r="16421" s="65" customFormat="1"/>
    <row r="16422" s="65" customFormat="1"/>
    <row r="16423" s="65" customFormat="1"/>
    <row r="16424" s="65" customFormat="1"/>
    <row r="16425" s="65" customFormat="1"/>
    <row r="16426" s="65" customFormat="1"/>
    <row r="16427" s="65" customFormat="1"/>
    <row r="16428" s="65" customFormat="1"/>
    <row r="16429" s="65" customFormat="1"/>
    <row r="16430" s="65" customFormat="1"/>
    <row r="16431" s="65" customFormat="1"/>
    <row r="16432" s="65" customFormat="1"/>
    <row r="16433" s="65" customFormat="1"/>
    <row r="16434" s="65" customFormat="1"/>
    <row r="16435" s="65" customFormat="1"/>
    <row r="16436" s="65" customFormat="1"/>
    <row r="16437" s="65" customFormat="1"/>
    <row r="16438" s="65" customFormat="1"/>
    <row r="16439" s="65" customFormat="1"/>
    <row r="16440" s="65" customFormat="1"/>
    <row r="16441" s="65" customFormat="1"/>
    <row r="16442" s="65" customFormat="1"/>
    <row r="16443" s="65" customFormat="1"/>
    <row r="16444" s="65" customFormat="1"/>
    <row r="16445" s="65" customFormat="1"/>
    <row r="16446" s="65" customFormat="1"/>
    <row r="16447" s="65" customFormat="1"/>
    <row r="16448" s="65" customFormat="1"/>
    <row r="16449" s="65" customFormat="1"/>
    <row r="16450" s="65" customFormat="1"/>
    <row r="16451" s="65" customFormat="1"/>
    <row r="16452" s="65" customFormat="1"/>
    <row r="16453" s="65" customFormat="1"/>
    <row r="16454" s="65" customFormat="1"/>
    <row r="16455" s="65" customFormat="1"/>
    <row r="16456" s="65" customFormat="1"/>
    <row r="16457" s="65" customFormat="1"/>
    <row r="16458" s="65" customFormat="1"/>
    <row r="16459" s="65" customFormat="1"/>
    <row r="16460" s="65" customFormat="1"/>
    <row r="16461" s="65" customFormat="1"/>
    <row r="16462" s="65" customFormat="1"/>
    <row r="16463" s="65" customFormat="1"/>
    <row r="16464" s="65" customFormat="1"/>
    <row r="16465" s="65" customFormat="1"/>
    <row r="16466" s="65" customFormat="1"/>
    <row r="16467" s="65" customFormat="1"/>
    <row r="16468" s="65" customFormat="1"/>
    <row r="16469" s="65" customFormat="1"/>
    <row r="16470" s="65" customFormat="1"/>
    <row r="16471" s="65" customFormat="1"/>
    <row r="16472" s="65" customFormat="1"/>
    <row r="16473" s="65" customFormat="1"/>
    <row r="16474" s="65" customFormat="1"/>
    <row r="16475" s="65" customFormat="1"/>
    <row r="16476" s="65" customFormat="1"/>
    <row r="16477" s="65" customFormat="1"/>
    <row r="16478" s="65" customFormat="1"/>
    <row r="16479" s="65" customFormat="1"/>
    <row r="16480" s="65" customFormat="1"/>
    <row r="16481" s="65" customFormat="1"/>
    <row r="16482" s="65" customFormat="1"/>
    <row r="16483" s="65" customFormat="1"/>
    <row r="16484" s="65" customFormat="1"/>
    <row r="16485" s="65" customFormat="1"/>
    <row r="16486" s="65" customFormat="1"/>
    <row r="16487" s="65" customFormat="1"/>
    <row r="16488" s="65" customFormat="1"/>
    <row r="16489" s="65" customFormat="1"/>
    <row r="16490" s="65" customFormat="1"/>
    <row r="16491" s="65" customFormat="1"/>
    <row r="16492" s="65" customFormat="1"/>
    <row r="16493" s="65" customFormat="1"/>
    <row r="16494" s="65" customFormat="1"/>
    <row r="16495" s="65" customFormat="1"/>
    <row r="16496" s="65" customFormat="1"/>
    <row r="16497" s="65" customFormat="1"/>
    <row r="16498" s="65" customFormat="1"/>
    <row r="16499" s="65" customFormat="1"/>
    <row r="16500" s="65" customFormat="1"/>
    <row r="16501" s="65" customFormat="1"/>
    <row r="16502" s="65" customFormat="1"/>
    <row r="16503" s="65" customFormat="1"/>
    <row r="16504" s="65" customFormat="1"/>
    <row r="16505" s="65" customFormat="1"/>
    <row r="16506" s="65" customFormat="1"/>
    <row r="16507" s="65" customFormat="1"/>
    <row r="16508" s="65" customFormat="1"/>
    <row r="16509" s="65" customFormat="1"/>
    <row r="16510" s="65" customFormat="1"/>
    <row r="16511" s="65" customFormat="1"/>
    <row r="16512" s="65" customFormat="1"/>
    <row r="16513" s="65" customFormat="1"/>
    <row r="16514" s="65" customFormat="1"/>
    <row r="16515" s="65" customFormat="1"/>
    <row r="16516" s="65" customFormat="1"/>
    <row r="16517" s="65" customFormat="1"/>
    <row r="16518" s="65" customFormat="1"/>
    <row r="16519" s="65" customFormat="1"/>
    <row r="16520" s="65" customFormat="1"/>
    <row r="16521" s="65" customFormat="1"/>
    <row r="16522" s="65" customFormat="1"/>
    <row r="16523" s="65" customFormat="1"/>
    <row r="16524" s="65" customFormat="1"/>
    <row r="16525" s="65" customFormat="1"/>
    <row r="16526" s="65" customFormat="1"/>
    <row r="16527" s="65" customFormat="1"/>
    <row r="16528" s="65" customFormat="1"/>
    <row r="16529" s="65" customFormat="1"/>
    <row r="16530" s="65" customFormat="1"/>
    <row r="16531" s="65" customFormat="1"/>
    <row r="16532" s="65" customFormat="1"/>
    <row r="16533" s="65" customFormat="1"/>
    <row r="16534" s="65" customFormat="1"/>
    <row r="16535" s="65" customFormat="1"/>
    <row r="16536" s="65" customFormat="1"/>
    <row r="16537" s="65" customFormat="1"/>
    <row r="16538" s="65" customFormat="1"/>
    <row r="16539" s="65" customFormat="1"/>
    <row r="16540" s="65" customFormat="1"/>
    <row r="16541" s="65" customFormat="1"/>
    <row r="16542" s="65" customFormat="1"/>
    <row r="16543" s="65" customFormat="1"/>
    <row r="16544" s="65" customFormat="1"/>
    <row r="16545" s="65" customFormat="1"/>
    <row r="16546" s="65" customFormat="1"/>
    <row r="16547" s="65" customFormat="1"/>
    <row r="16548" s="65" customFormat="1"/>
    <row r="16549" s="65" customFormat="1"/>
    <row r="16550" s="65" customFormat="1"/>
    <row r="16551" s="65" customFormat="1"/>
    <row r="16552" s="65" customFormat="1"/>
    <row r="16553" s="65" customFormat="1"/>
    <row r="16554" s="65" customFormat="1"/>
    <row r="16555" s="65" customFormat="1"/>
    <row r="16556" s="65" customFormat="1"/>
    <row r="16557" s="65" customFormat="1"/>
    <row r="16558" s="65" customFormat="1"/>
    <row r="16559" s="65" customFormat="1"/>
    <row r="16560" s="65" customFormat="1"/>
    <row r="16561" s="65" customFormat="1"/>
    <row r="16562" s="65" customFormat="1"/>
    <row r="16563" s="65" customFormat="1"/>
    <row r="16564" s="65" customFormat="1"/>
    <row r="16565" s="65" customFormat="1"/>
    <row r="16566" s="65" customFormat="1"/>
    <row r="16567" s="65" customFormat="1"/>
    <row r="16568" s="65" customFormat="1"/>
    <row r="16569" s="65" customFormat="1"/>
    <row r="16570" s="65" customFormat="1"/>
    <row r="16571" s="65" customFormat="1"/>
    <row r="16572" s="65" customFormat="1"/>
    <row r="16573" s="65" customFormat="1"/>
    <row r="16574" s="65" customFormat="1"/>
    <row r="16575" s="65" customFormat="1"/>
    <row r="16576" s="65" customFormat="1"/>
    <row r="16577" s="65" customFormat="1"/>
    <row r="16578" s="65" customFormat="1"/>
    <row r="16579" s="65" customFormat="1"/>
    <row r="16580" s="65" customFormat="1"/>
    <row r="16581" s="65" customFormat="1"/>
    <row r="16582" s="65" customFormat="1"/>
    <row r="16583" s="65" customFormat="1"/>
    <row r="16584" s="65" customFormat="1"/>
    <row r="16585" s="65" customFormat="1"/>
    <row r="16586" s="65" customFormat="1"/>
    <row r="16587" s="65" customFormat="1"/>
    <row r="16588" s="65" customFormat="1"/>
    <row r="16589" s="65" customFormat="1"/>
    <row r="16590" s="65" customFormat="1"/>
    <row r="16591" s="65" customFormat="1"/>
    <row r="16592" s="65" customFormat="1"/>
    <row r="16593" s="65" customFormat="1"/>
    <row r="16594" s="65" customFormat="1"/>
    <row r="16595" s="65" customFormat="1"/>
    <row r="16596" s="65" customFormat="1"/>
    <row r="16597" s="65" customFormat="1"/>
    <row r="16598" s="65" customFormat="1"/>
    <row r="16599" s="65" customFormat="1"/>
    <row r="16600" s="65" customFormat="1"/>
    <row r="16601" s="65" customFormat="1"/>
    <row r="16602" s="65" customFormat="1"/>
    <row r="16603" s="65" customFormat="1"/>
    <row r="16604" s="65" customFormat="1"/>
    <row r="16605" s="65" customFormat="1"/>
    <row r="16606" s="65" customFormat="1"/>
    <row r="16607" s="65" customFormat="1"/>
    <row r="16608" s="65" customFormat="1"/>
    <row r="16609" s="65" customFormat="1"/>
    <row r="16610" s="65" customFormat="1"/>
    <row r="16611" s="65" customFormat="1"/>
    <row r="16612" s="65" customFormat="1"/>
    <row r="16613" s="65" customFormat="1"/>
    <row r="16614" s="65" customFormat="1"/>
    <row r="16615" s="65" customFormat="1"/>
    <row r="16616" s="65" customFormat="1"/>
    <row r="16617" s="65" customFormat="1"/>
    <row r="16618" s="65" customFormat="1"/>
    <row r="16619" s="65" customFormat="1"/>
    <row r="16620" s="65" customFormat="1"/>
    <row r="16621" s="65" customFormat="1"/>
    <row r="16622" s="65" customFormat="1"/>
    <row r="16623" s="65" customFormat="1"/>
    <row r="16624" s="65" customFormat="1"/>
    <row r="16625" s="65" customFormat="1"/>
    <row r="16626" s="65" customFormat="1"/>
    <row r="16627" s="65" customFormat="1"/>
    <row r="16628" s="65" customFormat="1"/>
    <row r="16629" s="65" customFormat="1"/>
    <row r="16630" s="65" customFormat="1"/>
    <row r="16631" s="65" customFormat="1"/>
    <row r="16632" s="65" customFormat="1"/>
    <row r="16633" s="65" customFormat="1"/>
    <row r="16634" s="65" customFormat="1"/>
    <row r="16635" s="65" customFormat="1"/>
    <row r="16636" s="65" customFormat="1"/>
    <row r="16637" s="65" customFormat="1"/>
    <row r="16638" s="65" customFormat="1"/>
    <row r="16639" s="65" customFormat="1"/>
    <row r="16640" s="65" customFormat="1"/>
    <row r="16641" s="65" customFormat="1"/>
    <row r="16642" s="65" customFormat="1"/>
    <row r="16643" s="65" customFormat="1"/>
    <row r="16644" s="65" customFormat="1"/>
    <row r="16645" s="65" customFormat="1"/>
    <row r="16646" s="65" customFormat="1"/>
    <row r="16647" s="65" customFormat="1"/>
    <row r="16648" s="65" customFormat="1"/>
    <row r="16649" s="65" customFormat="1"/>
    <row r="16650" s="65" customFormat="1"/>
    <row r="16651" s="65" customFormat="1"/>
    <row r="16652" s="65" customFormat="1"/>
    <row r="16653" s="65" customFormat="1"/>
    <row r="16654" s="65" customFormat="1"/>
    <row r="16655" s="65" customFormat="1"/>
    <row r="16656" s="65" customFormat="1"/>
    <row r="16657" s="65" customFormat="1"/>
    <row r="16658" s="65" customFormat="1"/>
    <row r="16659" s="65" customFormat="1"/>
    <row r="16660" s="65" customFormat="1"/>
    <row r="16661" s="65" customFormat="1"/>
    <row r="16662" s="65" customFormat="1"/>
    <row r="16663" s="65" customFormat="1"/>
    <row r="16664" s="65" customFormat="1"/>
    <row r="16665" s="65" customFormat="1"/>
    <row r="16666" s="65" customFormat="1"/>
    <row r="16667" s="65" customFormat="1"/>
    <row r="16668" s="65" customFormat="1"/>
    <row r="16669" s="65" customFormat="1"/>
    <row r="16670" s="65" customFormat="1"/>
    <row r="16671" s="65" customFormat="1"/>
    <row r="16672" s="65" customFormat="1"/>
    <row r="16673" s="65" customFormat="1"/>
    <row r="16674" s="65" customFormat="1"/>
    <row r="16675" s="65" customFormat="1"/>
    <row r="16676" s="65" customFormat="1"/>
    <row r="16677" s="65" customFormat="1"/>
    <row r="16678" s="65" customFormat="1"/>
    <row r="16679" s="65" customFormat="1"/>
    <row r="16680" s="65" customFormat="1"/>
    <row r="16681" s="65" customFormat="1"/>
    <row r="16682" s="65" customFormat="1"/>
    <row r="16683" s="65" customFormat="1"/>
    <row r="16684" s="65" customFormat="1"/>
    <row r="16685" s="65" customFormat="1"/>
    <row r="16686" s="65" customFormat="1"/>
    <row r="16687" s="65" customFormat="1"/>
    <row r="16688" s="65" customFormat="1"/>
    <row r="16689" s="65" customFormat="1"/>
    <row r="16690" s="65" customFormat="1"/>
    <row r="16691" s="65" customFormat="1"/>
    <row r="16692" s="65" customFormat="1"/>
    <row r="16693" s="65" customFormat="1"/>
    <row r="16694" s="65" customFormat="1"/>
    <row r="16695" s="65" customFormat="1"/>
    <row r="16696" s="65" customFormat="1"/>
    <row r="16697" s="65" customFormat="1"/>
    <row r="16698" s="65" customFormat="1"/>
    <row r="16699" s="65" customFormat="1"/>
    <row r="16700" s="65" customFormat="1"/>
    <row r="16701" s="65" customFormat="1"/>
    <row r="16702" s="65" customFormat="1"/>
    <row r="16703" s="65" customFormat="1"/>
    <row r="16704" s="65" customFormat="1"/>
    <row r="16705" s="65" customFormat="1"/>
    <row r="16706" s="65" customFormat="1"/>
    <row r="16707" s="65" customFormat="1"/>
    <row r="16708" s="65" customFormat="1"/>
    <row r="16709" s="65" customFormat="1"/>
    <row r="16710" s="65" customFormat="1"/>
    <row r="16711" s="65" customFormat="1"/>
    <row r="16712" s="65" customFormat="1"/>
    <row r="16713" s="65" customFormat="1"/>
    <row r="16714" s="65" customFormat="1"/>
    <row r="16715" s="65" customFormat="1"/>
    <row r="16716" s="65" customFormat="1"/>
    <row r="16717" s="65" customFormat="1"/>
    <row r="16718" s="65" customFormat="1"/>
    <row r="16719" s="65" customFormat="1"/>
    <row r="16720" s="65" customFormat="1"/>
    <row r="16721" s="65" customFormat="1"/>
    <row r="16722" s="65" customFormat="1"/>
    <row r="16723" s="65" customFormat="1"/>
    <row r="16724" s="65" customFormat="1"/>
    <row r="16725" s="65" customFormat="1"/>
    <row r="16726" s="65" customFormat="1"/>
    <row r="16727" s="65" customFormat="1"/>
    <row r="16728" s="65" customFormat="1"/>
    <row r="16729" s="65" customFormat="1"/>
    <row r="16730" s="65" customFormat="1"/>
    <row r="16731" s="65" customFormat="1"/>
    <row r="16732" s="65" customFormat="1"/>
    <row r="16733" s="65" customFormat="1"/>
    <row r="16734" s="65" customFormat="1"/>
    <row r="16735" s="65" customFormat="1"/>
    <row r="16736" s="65" customFormat="1"/>
    <row r="16737" s="65" customFormat="1"/>
    <row r="16738" s="65" customFormat="1"/>
    <row r="16739" s="65" customFormat="1"/>
    <row r="16740" s="65" customFormat="1"/>
    <row r="16741" s="65" customFormat="1"/>
    <row r="16742" s="65" customFormat="1"/>
    <row r="16743" s="65" customFormat="1"/>
    <row r="16744" s="65" customFormat="1"/>
    <row r="16745" s="65" customFormat="1"/>
    <row r="16746" s="65" customFormat="1"/>
    <row r="16747" s="65" customFormat="1"/>
    <row r="16748" s="65" customFormat="1"/>
    <row r="16749" s="65" customFormat="1"/>
    <row r="16750" s="65" customFormat="1"/>
    <row r="16751" s="65" customFormat="1"/>
    <row r="16752" s="65" customFormat="1"/>
    <row r="16753" s="65" customFormat="1"/>
    <row r="16754" s="65" customFormat="1"/>
    <row r="16755" s="65" customFormat="1"/>
    <row r="16756" s="65" customFormat="1"/>
    <row r="16757" s="65" customFormat="1"/>
    <row r="16758" s="65" customFormat="1"/>
    <row r="16759" s="65" customFormat="1"/>
    <row r="16760" s="65" customFormat="1"/>
    <row r="16761" s="65" customFormat="1"/>
    <row r="16762" s="65" customFormat="1"/>
    <row r="16763" s="65" customFormat="1"/>
    <row r="16764" s="65" customFormat="1"/>
    <row r="16765" s="65" customFormat="1"/>
    <row r="16766" s="65" customFormat="1"/>
    <row r="16767" s="65" customFormat="1"/>
    <row r="16768" s="65" customFormat="1"/>
    <row r="16769" s="65" customFormat="1"/>
    <row r="16770" s="65" customFormat="1"/>
    <row r="16771" s="65" customFormat="1"/>
    <row r="16772" s="65" customFormat="1"/>
    <row r="16773" s="65" customFormat="1"/>
    <row r="16774" s="65" customFormat="1"/>
    <row r="16775" s="65" customFormat="1"/>
    <row r="16776" s="65" customFormat="1"/>
    <row r="16777" s="65" customFormat="1"/>
    <row r="16778" s="65" customFormat="1"/>
    <row r="16779" s="65" customFormat="1"/>
    <row r="16780" s="65" customFormat="1"/>
    <row r="16781" s="65" customFormat="1"/>
    <row r="16782" s="65" customFormat="1"/>
    <row r="16783" s="65" customFormat="1"/>
    <row r="16784" s="65" customFormat="1"/>
    <row r="16785" s="65" customFormat="1"/>
    <row r="16786" s="65" customFormat="1"/>
    <row r="16787" s="65" customFormat="1"/>
    <row r="16788" s="65" customFormat="1"/>
    <row r="16789" s="65" customFormat="1"/>
    <row r="16790" s="65" customFormat="1"/>
    <row r="16791" s="65" customFormat="1"/>
    <row r="16792" s="65" customFormat="1"/>
    <row r="16793" s="65" customFormat="1"/>
    <row r="16794" s="65" customFormat="1"/>
    <row r="16795" s="65" customFormat="1"/>
    <row r="16796" s="65" customFormat="1"/>
    <row r="16797" s="65" customFormat="1"/>
    <row r="16798" s="65" customFormat="1"/>
    <row r="16799" s="65" customFormat="1"/>
    <row r="16800" s="65" customFormat="1"/>
    <row r="16801" s="65" customFormat="1"/>
    <row r="16802" s="65" customFormat="1"/>
    <row r="16803" s="65" customFormat="1"/>
    <row r="16804" s="65" customFormat="1"/>
    <row r="16805" s="65" customFormat="1"/>
    <row r="16806" s="65" customFormat="1"/>
    <row r="16807" s="65" customFormat="1"/>
    <row r="16808" s="65" customFormat="1"/>
    <row r="16809" s="65" customFormat="1"/>
    <row r="16810" s="65" customFormat="1"/>
    <row r="16811" s="65" customFormat="1"/>
    <row r="16812" s="65" customFormat="1"/>
    <row r="16813" s="65" customFormat="1"/>
    <row r="16814" s="65" customFormat="1"/>
    <row r="16815" s="65" customFormat="1"/>
    <row r="16816" s="65" customFormat="1"/>
    <row r="16817" s="65" customFormat="1"/>
    <row r="16818" s="65" customFormat="1"/>
    <row r="16819" s="65" customFormat="1"/>
    <row r="16820" s="65" customFormat="1"/>
    <row r="16821" s="65" customFormat="1"/>
    <row r="16822" s="65" customFormat="1"/>
    <row r="16823" s="65" customFormat="1"/>
    <row r="16824" s="65" customFormat="1"/>
    <row r="16825" s="65" customFormat="1"/>
    <row r="16826" s="65" customFormat="1"/>
    <row r="16827" s="65" customFormat="1"/>
    <row r="16828" s="65" customFormat="1"/>
    <row r="16829" s="65" customFormat="1"/>
    <row r="16830" s="65" customFormat="1"/>
    <row r="16831" s="65" customFormat="1"/>
    <row r="16832" s="65" customFormat="1"/>
    <row r="16833" s="65" customFormat="1"/>
    <row r="16834" s="65" customFormat="1"/>
    <row r="16835" s="65" customFormat="1"/>
    <row r="16836" s="65" customFormat="1"/>
    <row r="16837" s="65" customFormat="1"/>
    <row r="16838" s="65" customFormat="1"/>
    <row r="16839" s="65" customFormat="1"/>
    <row r="16840" s="65" customFormat="1"/>
    <row r="16841" s="65" customFormat="1"/>
    <row r="16842" s="65" customFormat="1"/>
    <row r="16843" s="65" customFormat="1"/>
    <row r="16844" s="65" customFormat="1"/>
    <row r="16845" s="65" customFormat="1"/>
    <row r="16846" s="65" customFormat="1"/>
    <row r="16847" s="65" customFormat="1"/>
    <row r="16848" s="65" customFormat="1"/>
    <row r="16849" s="65" customFormat="1"/>
    <row r="16850" s="65" customFormat="1"/>
    <row r="16851" s="65" customFormat="1"/>
    <row r="16852" s="65" customFormat="1"/>
    <row r="16853" s="65" customFormat="1"/>
    <row r="16854" s="65" customFormat="1"/>
    <row r="16855" s="65" customFormat="1"/>
    <row r="16856" s="65" customFormat="1"/>
    <row r="16857" s="65" customFormat="1"/>
    <row r="16858" s="65" customFormat="1"/>
    <row r="16859" s="65" customFormat="1"/>
    <row r="16860" s="65" customFormat="1"/>
    <row r="16861" s="65" customFormat="1"/>
    <row r="16862" s="65" customFormat="1"/>
    <row r="16863" s="65" customFormat="1"/>
    <row r="16864" s="65" customFormat="1"/>
    <row r="16865" s="65" customFormat="1"/>
    <row r="16866" s="65" customFormat="1"/>
    <row r="16867" s="65" customFormat="1"/>
    <row r="16868" s="65" customFormat="1"/>
    <row r="16869" s="65" customFormat="1"/>
    <row r="16870" s="65" customFormat="1"/>
    <row r="16871" s="65" customFormat="1"/>
    <row r="16872" s="65" customFormat="1"/>
    <row r="16873" s="65" customFormat="1"/>
    <row r="16874" s="65" customFormat="1"/>
    <row r="16875" s="65" customFormat="1"/>
    <row r="16876" s="65" customFormat="1"/>
    <row r="16877" s="65" customFormat="1"/>
    <row r="16878" s="65" customFormat="1"/>
    <row r="16879" s="65" customFormat="1"/>
    <row r="16880" s="65" customFormat="1"/>
    <row r="16881" s="65" customFormat="1"/>
    <row r="16882" s="65" customFormat="1"/>
    <row r="16883" s="65" customFormat="1"/>
    <row r="16884" s="65" customFormat="1"/>
    <row r="16885" s="65" customFormat="1"/>
    <row r="16886" s="65" customFormat="1"/>
    <row r="16887" s="65" customFormat="1"/>
    <row r="16888" s="65" customFormat="1"/>
    <row r="16889" s="65" customFormat="1"/>
    <row r="16890" s="65" customFormat="1"/>
    <row r="16891" s="65" customFormat="1"/>
    <row r="16892" s="65" customFormat="1"/>
    <row r="16893" s="65" customFormat="1"/>
    <row r="16894" s="65" customFormat="1"/>
    <row r="16895" s="65" customFormat="1"/>
    <row r="16896" s="65" customFormat="1"/>
    <row r="16897" s="65" customFormat="1"/>
    <row r="16898" s="65" customFormat="1"/>
    <row r="16899" s="65" customFormat="1"/>
    <row r="16900" s="65" customFormat="1"/>
    <row r="16901" s="65" customFormat="1"/>
    <row r="16902" s="65" customFormat="1"/>
    <row r="16903" s="65" customFormat="1"/>
    <row r="16904" s="65" customFormat="1"/>
    <row r="16905" s="65" customFormat="1"/>
    <row r="16906" s="65" customFormat="1"/>
    <row r="16907" s="65" customFormat="1"/>
    <row r="16908" s="65" customFormat="1"/>
    <row r="16909" s="65" customFormat="1"/>
    <row r="16910" s="65" customFormat="1"/>
    <row r="16911" s="65" customFormat="1"/>
    <row r="16912" s="65" customFormat="1"/>
    <row r="16913" s="65" customFormat="1"/>
    <row r="16914" s="65" customFormat="1"/>
    <row r="16915" s="65" customFormat="1"/>
    <row r="16916" s="65" customFormat="1"/>
    <row r="16917" s="65" customFormat="1"/>
    <row r="16918" s="65" customFormat="1"/>
    <row r="16919" s="65" customFormat="1"/>
    <row r="16920" s="65" customFormat="1"/>
    <row r="16921" s="65" customFormat="1"/>
    <row r="16922" s="65" customFormat="1"/>
    <row r="16923" s="65" customFormat="1"/>
    <row r="16924" s="65" customFormat="1"/>
    <row r="16925" s="65" customFormat="1"/>
    <row r="16926" s="65" customFormat="1"/>
    <row r="16927" s="65" customFormat="1"/>
    <row r="16928" s="65" customFormat="1"/>
    <row r="16929" s="65" customFormat="1"/>
    <row r="16930" s="65" customFormat="1"/>
    <row r="16931" s="65" customFormat="1"/>
    <row r="16932" s="65" customFormat="1"/>
    <row r="16933" s="65" customFormat="1"/>
    <row r="16934" s="65" customFormat="1"/>
    <row r="16935" s="65" customFormat="1"/>
    <row r="16936" s="65" customFormat="1"/>
    <row r="16937" s="65" customFormat="1"/>
    <row r="16938" s="65" customFormat="1"/>
    <row r="16939" s="65" customFormat="1"/>
    <row r="16940" s="65" customFormat="1"/>
    <row r="16941" s="65" customFormat="1"/>
    <row r="16942" s="65" customFormat="1"/>
    <row r="16943" s="65" customFormat="1"/>
    <row r="16944" s="65" customFormat="1"/>
    <row r="16945" s="65" customFormat="1"/>
    <row r="16946" s="65" customFormat="1"/>
    <row r="16947" s="65" customFormat="1"/>
    <row r="16948" s="65" customFormat="1"/>
    <row r="16949" s="65" customFormat="1"/>
    <row r="16950" s="65" customFormat="1"/>
    <row r="16951" s="65" customFormat="1"/>
    <row r="16952" s="65" customFormat="1"/>
    <row r="16953" s="65" customFormat="1"/>
    <row r="16954" s="65" customFormat="1"/>
    <row r="16955" s="65" customFormat="1"/>
    <row r="16956" s="65" customFormat="1"/>
    <row r="16957" s="65" customFormat="1"/>
    <row r="16958" s="65" customFormat="1"/>
    <row r="16959" s="65" customFormat="1"/>
    <row r="16960" s="65" customFormat="1"/>
    <row r="16961" s="65" customFormat="1"/>
    <row r="16962" s="65" customFormat="1"/>
    <row r="16963" s="65" customFormat="1"/>
    <row r="16964" s="65" customFormat="1"/>
    <row r="16965" s="65" customFormat="1"/>
    <row r="16966" s="65" customFormat="1"/>
    <row r="16967" s="65" customFormat="1"/>
    <row r="16968" s="65" customFormat="1"/>
    <row r="16969" s="65" customFormat="1"/>
    <row r="16970" s="65" customFormat="1"/>
    <row r="16971" s="65" customFormat="1"/>
    <row r="16972" s="65" customFormat="1"/>
    <row r="16973" s="65" customFormat="1"/>
    <row r="16974" s="65" customFormat="1"/>
    <row r="16975" s="65" customFormat="1"/>
    <row r="16976" s="65" customFormat="1"/>
    <row r="16977" s="65" customFormat="1"/>
    <row r="16978" s="65" customFormat="1"/>
    <row r="16979" s="65" customFormat="1"/>
    <row r="16980" s="65" customFormat="1"/>
    <row r="16981" s="65" customFormat="1"/>
    <row r="16982" s="65" customFormat="1"/>
    <row r="16983" s="65" customFormat="1"/>
    <row r="16984" s="65" customFormat="1"/>
    <row r="16985" s="65" customFormat="1"/>
    <row r="16986" s="65" customFormat="1"/>
    <row r="16987" s="65" customFormat="1"/>
    <row r="16988" s="65" customFormat="1"/>
    <row r="16989" s="65" customFormat="1"/>
    <row r="16990" s="65" customFormat="1"/>
    <row r="16991" s="65" customFormat="1"/>
    <row r="16992" s="65" customFormat="1"/>
    <row r="16993" s="65" customFormat="1"/>
    <row r="16994" s="65" customFormat="1"/>
    <row r="16995" s="65" customFormat="1"/>
    <row r="16996" s="65" customFormat="1"/>
    <row r="16997" s="65" customFormat="1"/>
    <row r="16998" s="65" customFormat="1"/>
    <row r="16999" s="65" customFormat="1"/>
    <row r="17000" s="65" customFormat="1"/>
    <row r="17001" s="65" customFormat="1"/>
    <row r="17002" s="65" customFormat="1"/>
    <row r="17003" s="65" customFormat="1"/>
    <row r="17004" s="65" customFormat="1"/>
    <row r="17005" s="65" customFormat="1"/>
    <row r="17006" s="65" customFormat="1"/>
    <row r="17007" s="65" customFormat="1"/>
    <row r="17008" s="65" customFormat="1"/>
    <row r="17009" s="65" customFormat="1"/>
    <row r="17010" s="65" customFormat="1"/>
    <row r="17011" s="65" customFormat="1"/>
  </sheetData>
  <pageMargins left="0.7" right="0.7" top="0.75" bottom="0.75" header="0.3" footer="0.3"/>
  <pageSetup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21F51C-4858-438E-8E7A-5B42D0B5DCF4}">
  <sheetPr codeName="Sheet6">
    <tabColor rgb="FF000080"/>
    <pageSetUpPr fitToPage="1"/>
  </sheetPr>
  <dimension ref="A1:FS636"/>
  <sheetViews>
    <sheetView zoomScale="85" zoomScaleNormal="85" zoomScalePageLayoutView="90" workbookViewId="0">
      <pane xSplit="5" ySplit="9" topLeftCell="F534" activePane="bottomRight" state="frozenSplit"/>
      <selection pane="topRight"/>
      <selection pane="bottomLeft"/>
      <selection pane="bottomRight" activeCell="D569" sqref="D569"/>
    </sheetView>
  </sheetViews>
  <sheetFormatPr defaultColWidth="9" defaultRowHeight="13"/>
  <cols>
    <col min="1" max="1" width="4" style="107" customWidth="1"/>
    <col min="2" max="2" width="30" style="108" customWidth="1"/>
    <col min="3" max="3" width="15.4609375" style="108" customWidth="1"/>
    <col min="4" max="4" width="7.23046875" style="107" customWidth="1"/>
    <col min="5" max="5" width="8.23046875" style="107" customWidth="1"/>
    <col min="6" max="6" width="8" style="65" customWidth="1"/>
    <col min="7" max="7" width="8.4609375" style="109" customWidth="1"/>
    <col min="8" max="8" width="8.07421875" style="65" customWidth="1"/>
    <col min="9" max="9" width="8.4609375" style="109" customWidth="1"/>
    <col min="10" max="10" width="7" style="65" customWidth="1"/>
    <col min="11" max="11" width="8.4609375" style="109" customWidth="1"/>
    <col min="12" max="12" width="7.4609375" style="110" customWidth="1"/>
    <col min="13" max="13" width="8" style="110" customWidth="1"/>
    <col min="14" max="14" width="8.921875" style="65" bestFit="1" customWidth="1"/>
    <col min="15" max="15" width="6.4609375" style="65" customWidth="1"/>
    <col min="16" max="17" width="5.4609375" style="65" customWidth="1"/>
    <col min="18" max="18" width="6.765625" style="110" customWidth="1"/>
    <col min="19" max="19" width="9.4609375" style="110" customWidth="1"/>
    <col min="20" max="20" width="6.4609375" style="110" customWidth="1"/>
    <col min="21" max="22" width="5.4609375" style="110" customWidth="1"/>
    <col min="23" max="23" width="5.765625" style="110" customWidth="1"/>
    <col min="24" max="24" width="4" style="107" customWidth="1"/>
    <col min="25" max="25" width="6.4609375" style="65" customWidth="1"/>
    <col min="26" max="26" width="3.4609375" style="111" customWidth="1"/>
    <col min="27" max="27" width="6.4609375" style="110" customWidth="1"/>
    <col min="28" max="28" width="3.4609375" style="107" customWidth="1"/>
    <col min="29" max="29" width="6.4609375" style="65" customWidth="1"/>
    <col min="30" max="30" width="3.4609375" style="111" customWidth="1"/>
    <col min="31" max="31" width="6.4609375" style="110" customWidth="1"/>
    <col min="32" max="32" width="3.4609375" style="107" customWidth="1"/>
    <col min="33" max="33" width="6.4609375" style="65" customWidth="1"/>
    <col min="34" max="34" width="3.4609375" style="111" customWidth="1"/>
    <col min="35" max="35" width="6.4609375" style="110" customWidth="1"/>
    <col min="36" max="36" width="3.4609375" style="107" customWidth="1"/>
    <col min="37" max="37" width="6.4609375" style="65" customWidth="1"/>
    <col min="38" max="38" width="3.4609375" style="111" customWidth="1"/>
    <col min="39" max="39" width="6.4609375" style="110" customWidth="1"/>
    <col min="40" max="40" width="3.4609375" style="107" customWidth="1"/>
    <col min="41" max="41" width="6.4609375" style="65" customWidth="1"/>
    <col min="42" max="42" width="3.4609375" style="111" customWidth="1"/>
    <col min="43" max="43" width="6.4609375" style="110" customWidth="1"/>
    <col min="44" max="44" width="10" style="65" customWidth="1"/>
    <col min="45" max="45" width="8.4609375" style="65" customWidth="1"/>
    <col min="46" max="46" width="10" style="65" customWidth="1"/>
    <col min="47" max="47" width="9.4609375" style="110" customWidth="1"/>
    <col min="48" max="48" width="8.84375" style="65" customWidth="1"/>
    <col min="49" max="49" width="8.84375" style="110" customWidth="1"/>
    <col min="50" max="50" width="4.69140625" style="107" customWidth="1"/>
    <col min="51" max="51" width="6.4609375" style="65" customWidth="1"/>
    <col min="52" max="52" width="5.765625" style="111" customWidth="1"/>
    <col min="53" max="53" width="6.4609375" style="110" customWidth="1"/>
    <col min="54" max="54" width="6" style="107" bestFit="1" customWidth="1"/>
    <col min="55" max="55" width="8.23046875" style="65" bestFit="1" customWidth="1"/>
    <col min="56" max="56" width="5.69140625" style="111" customWidth="1"/>
    <col min="57" max="57" width="8.61328125" style="110" bestFit="1" customWidth="1"/>
    <col min="58" max="58" width="6" style="107" bestFit="1" customWidth="1"/>
    <col min="59" max="59" width="8.23046875" style="65" bestFit="1" customWidth="1"/>
    <col min="60" max="60" width="7.61328125" style="111" bestFit="1" customWidth="1"/>
    <col min="61" max="61" width="8.61328125" style="110" bestFit="1" customWidth="1"/>
    <col min="62" max="62" width="6" style="107" bestFit="1" customWidth="1"/>
    <col min="63" max="63" width="8.23046875" style="65" bestFit="1" customWidth="1"/>
    <col min="64" max="64" width="7.61328125" style="111" bestFit="1" customWidth="1"/>
    <col min="65" max="65" width="8.61328125" style="110" bestFit="1" customWidth="1"/>
    <col min="66" max="66" width="6" style="107" bestFit="1" customWidth="1"/>
    <col min="67" max="67" width="8.23046875" style="65" bestFit="1" customWidth="1"/>
    <col min="68" max="68" width="7.61328125" style="111" bestFit="1" customWidth="1"/>
    <col min="69" max="69" width="8.61328125" style="110" bestFit="1" customWidth="1"/>
    <col min="70" max="70" width="6" style="107" bestFit="1" customWidth="1"/>
    <col min="71" max="71" width="8.23046875" style="65" bestFit="1" customWidth="1"/>
    <col min="72" max="72" width="7.61328125" style="111" bestFit="1" customWidth="1"/>
    <col min="73" max="73" width="8.61328125" style="110" bestFit="1" customWidth="1"/>
    <col min="74" max="74" width="6" style="107" bestFit="1" customWidth="1"/>
    <col min="75" max="75" width="8.23046875" style="65" bestFit="1" customWidth="1"/>
    <col min="76" max="76" width="7.61328125" style="111" bestFit="1" customWidth="1"/>
    <col min="77" max="77" width="8.61328125" style="110" bestFit="1" customWidth="1"/>
    <col min="78" max="78" width="6" style="107" bestFit="1" customWidth="1"/>
    <col min="79" max="79" width="8.23046875" style="65" bestFit="1" customWidth="1"/>
    <col min="80" max="80" width="7.61328125" style="111" bestFit="1" customWidth="1"/>
    <col min="81" max="81" width="8.61328125" style="110" bestFit="1" customWidth="1"/>
    <col min="82" max="82" width="6" style="107" bestFit="1" customWidth="1"/>
    <col min="83" max="83" width="8.23046875" style="65" bestFit="1" customWidth="1"/>
    <col min="84" max="84" width="7.61328125" style="111" bestFit="1" customWidth="1"/>
    <col min="85" max="85" width="8.3046875" style="110" bestFit="1" customWidth="1"/>
    <col min="86" max="86" width="6" style="107" bestFit="1" customWidth="1"/>
    <col min="87" max="87" width="8.23046875" style="65" bestFit="1" customWidth="1"/>
    <col min="88" max="88" width="7.61328125" style="111" bestFit="1" customWidth="1"/>
    <col min="89" max="89" width="8.3046875" style="110" bestFit="1" customWidth="1"/>
    <col min="90" max="90" width="11.4609375" style="65" customWidth="1"/>
    <col min="91" max="91" width="13" style="65" customWidth="1"/>
    <col min="92" max="93" width="9" style="110" customWidth="1"/>
    <col min="94" max="94" width="10.69140625" style="107" customWidth="1"/>
    <col min="95" max="95" width="6.4609375" style="65" customWidth="1"/>
    <col min="96" max="96" width="5.84375" style="111" customWidth="1"/>
    <col min="97" max="97" width="6.4609375" style="110" customWidth="1"/>
    <col min="98" max="98" width="5.4609375" style="107" customWidth="1"/>
    <col min="99" max="99" width="6.4609375" style="65" customWidth="1"/>
    <col min="100" max="100" width="5.765625" style="111" customWidth="1"/>
    <col min="101" max="101" width="5.765625" style="110" customWidth="1"/>
    <col min="102" max="102" width="5.765625" style="107" customWidth="1"/>
    <col min="103" max="103" width="6.4609375" style="65" customWidth="1"/>
    <col min="104" max="104" width="5.765625" style="111" customWidth="1"/>
    <col min="105" max="105" width="5.765625" style="110" customWidth="1"/>
    <col min="106" max="106" width="5.765625" style="107" customWidth="1"/>
    <col min="107" max="107" width="6.765625" style="65" customWidth="1"/>
    <col min="108" max="108" width="5.765625" style="111" customWidth="1"/>
    <col min="109" max="109" width="5.765625" style="110" customWidth="1"/>
    <col min="110" max="110" width="5.765625" style="107" customWidth="1"/>
    <col min="111" max="111" width="6.765625" style="65" customWidth="1"/>
    <col min="112" max="112" width="5.765625" style="111" customWidth="1"/>
    <col min="113" max="113" width="5.765625" style="110" customWidth="1"/>
    <col min="114" max="114" width="5.765625" style="107" customWidth="1"/>
    <col min="115" max="115" width="7" style="65" customWidth="1"/>
    <col min="116" max="116" width="5.765625" style="111" customWidth="1"/>
    <col min="117" max="117" width="5.765625" style="110" customWidth="1"/>
    <col min="118" max="118" width="5.765625" style="107" customWidth="1"/>
    <col min="119" max="119" width="7.07421875" style="65" customWidth="1"/>
    <col min="120" max="120" width="5.765625" style="111" customWidth="1"/>
    <col min="121" max="121" width="5.765625" style="110" customWidth="1"/>
    <col min="122" max="122" width="5.765625" style="107" customWidth="1"/>
    <col min="123" max="123" width="6.765625" style="65" customWidth="1"/>
    <col min="124" max="124" width="5.765625" style="111" customWidth="1"/>
    <col min="125" max="125" width="5.765625" style="110" customWidth="1"/>
    <col min="126" max="126" width="5.765625" style="107" customWidth="1"/>
    <col min="127" max="127" width="7.23046875" style="65" customWidth="1"/>
    <col min="128" max="128" width="5.765625" style="111" customWidth="1"/>
    <col min="129" max="129" width="5.765625" style="110" customWidth="1"/>
    <col min="130" max="130" width="5.765625" style="107" customWidth="1"/>
    <col min="131" max="131" width="6.4609375" style="65" customWidth="1"/>
    <col min="132" max="132" width="5.765625" style="111" customWidth="1"/>
    <col min="133" max="133" width="5.765625" style="110" customWidth="1"/>
    <col min="134" max="134" width="5.765625" style="65" customWidth="1"/>
    <col min="135" max="135" width="6.4609375" style="110" customWidth="1"/>
    <col min="136" max="136" width="5.765625" style="65" customWidth="1"/>
    <col min="137" max="137" width="8.84375" style="65" customWidth="1"/>
    <col min="138" max="138" width="10.69140625" style="106" customWidth="1"/>
    <col min="139" max="139" width="9" style="110" customWidth="1"/>
    <col min="140" max="140" width="9" style="109" customWidth="1"/>
    <col min="141" max="141" width="11.4609375" style="109" customWidth="1"/>
    <col min="142" max="142" width="11.07421875" style="65" customWidth="1"/>
    <col min="143" max="143" width="13.69140625" style="110" customWidth="1"/>
    <col min="144" max="144" width="14.07421875" style="106" customWidth="1"/>
    <col min="145" max="145" width="14.69140625" style="109" customWidth="1"/>
    <col min="146" max="146" width="8.84375" style="106" customWidth="1"/>
    <col min="147" max="147" width="9" style="109" customWidth="1"/>
    <col min="148" max="148" width="8.84375" style="106" customWidth="1"/>
    <col min="149" max="149" width="9" style="109" customWidth="1"/>
    <col min="150" max="150" width="8.84375" style="106" customWidth="1"/>
    <col min="151" max="151" width="9" style="109" customWidth="1"/>
    <col min="152" max="152" width="8.84375" style="106" customWidth="1"/>
    <col min="153" max="153" width="9" style="109" customWidth="1"/>
    <col min="154" max="154" width="8.84375" style="106" customWidth="1"/>
    <col min="155" max="155" width="9" style="109" customWidth="1"/>
    <col min="156" max="156" width="8.84375" style="106" customWidth="1"/>
    <col min="157" max="157" width="9" style="109" customWidth="1"/>
    <col min="158" max="158" width="8.84375" style="106" customWidth="1"/>
    <col min="159" max="159" width="9" style="109" customWidth="1"/>
    <col min="160" max="160" width="8.84375" style="106" customWidth="1"/>
    <col min="161" max="161" width="9" style="109" customWidth="1"/>
    <col min="162" max="162" width="8.84375" style="106" customWidth="1"/>
    <col min="163" max="163" width="9" style="109" customWidth="1"/>
    <col min="164" max="164" width="11.69140625" style="65" customWidth="1"/>
    <col min="165" max="165" width="12.07421875" style="65" customWidth="1"/>
    <col min="166" max="166" width="12" style="65" customWidth="1"/>
    <col min="167" max="167" width="13.3046875" style="65" customWidth="1"/>
    <col min="168" max="168" width="9" style="65" customWidth="1"/>
    <col min="169" max="169" width="11" style="65" customWidth="1"/>
    <col min="170" max="170" width="9" style="65" customWidth="1"/>
    <col min="171" max="171" width="9.23046875" style="65" bestFit="1" customWidth="1"/>
    <col min="172" max="16384" width="9" style="65"/>
  </cols>
  <sheetData>
    <row r="1" spans="1:175" s="272" customFormat="1" ht="15.75" hidden="1" customHeight="1">
      <c r="A1" s="67"/>
      <c r="B1" s="68" t="s">
        <v>252</v>
      </c>
      <c r="C1" s="69"/>
      <c r="D1" s="70"/>
      <c r="E1" s="70"/>
      <c r="F1" s="71"/>
      <c r="G1" s="72"/>
      <c r="H1" s="336"/>
      <c r="I1" s="72"/>
      <c r="J1" s="336"/>
      <c r="K1" s="73"/>
      <c r="L1" s="337">
        <f>IF(N1&gt;0,J1/N1, )</f>
        <v>0</v>
      </c>
      <c r="M1" s="338">
        <f>IF(S1&gt;0,K1/S1, )</f>
        <v>0</v>
      </c>
      <c r="N1" s="339"/>
      <c r="O1" s="339"/>
      <c r="P1" s="339"/>
      <c r="Q1" s="339"/>
      <c r="R1" s="336">
        <f>SUM(O1:Q1)</f>
        <v>0</v>
      </c>
      <c r="S1" s="340"/>
      <c r="T1" s="341"/>
      <c r="U1" s="341"/>
      <c r="V1" s="341"/>
      <c r="W1" s="74">
        <f>SUM(T1:V1)</f>
        <v>0</v>
      </c>
      <c r="X1" s="342"/>
      <c r="Y1" s="336"/>
      <c r="Z1" s="343"/>
      <c r="AA1" s="343"/>
      <c r="AB1" s="344"/>
      <c r="AC1" s="336"/>
      <c r="AD1" s="343"/>
      <c r="AE1" s="345"/>
      <c r="AF1" s="344"/>
      <c r="AG1" s="336"/>
      <c r="AH1" s="343"/>
      <c r="AI1" s="345"/>
      <c r="AJ1" s="344"/>
      <c r="AK1" s="336"/>
      <c r="AL1" s="343"/>
      <c r="AM1" s="345"/>
      <c r="AN1" s="344"/>
      <c r="AO1" s="336"/>
      <c r="AP1" s="343"/>
      <c r="AQ1" s="343"/>
      <c r="AR1" s="336">
        <f>COUNTA(X1,AB1,AF1,AJ1,AN1)</f>
        <v>0</v>
      </c>
      <c r="AS1" s="346">
        <f>IF(FN1&gt;0,N1/FN1,)</f>
        <v>0</v>
      </c>
      <c r="AT1" s="345">
        <f>COUNTA(Z1,AD1,AH1,AL1,AP1)</f>
        <v>0</v>
      </c>
      <c r="AU1" s="347">
        <f>IF(FO1&gt;0,S1/FO1,)</f>
        <v>0</v>
      </c>
      <c r="AV1" s="336"/>
      <c r="AW1" s="75"/>
      <c r="AX1" s="342"/>
      <c r="AY1" s="336"/>
      <c r="AZ1" s="343"/>
      <c r="BA1" s="343"/>
      <c r="BB1" s="344"/>
      <c r="BC1" s="336"/>
      <c r="BD1" s="343"/>
      <c r="BE1" s="345"/>
      <c r="BF1" s="344"/>
      <c r="BG1" s="336"/>
      <c r="BH1" s="343"/>
      <c r="BI1" s="345"/>
      <c r="BJ1" s="344"/>
      <c r="BK1" s="336"/>
      <c r="BL1" s="343"/>
      <c r="BM1" s="345"/>
      <c r="BN1" s="344"/>
      <c r="BO1" s="336"/>
      <c r="BP1" s="343"/>
      <c r="BQ1" s="345"/>
      <c r="BR1" s="344"/>
      <c r="BS1" s="336"/>
      <c r="BT1" s="76"/>
      <c r="BU1" s="74"/>
      <c r="BV1" s="344"/>
      <c r="BW1" s="336"/>
      <c r="BX1" s="343"/>
      <c r="BY1" s="345"/>
      <c r="BZ1" s="344"/>
      <c r="CA1" s="336"/>
      <c r="CB1" s="343"/>
      <c r="CC1" s="345"/>
      <c r="CD1" s="344"/>
      <c r="CE1" s="336"/>
      <c r="CF1" s="343"/>
      <c r="CG1" s="345"/>
      <c r="CH1" s="344"/>
      <c r="CI1" s="336"/>
      <c r="CJ1" s="343"/>
      <c r="CK1" s="345"/>
      <c r="CL1" s="339"/>
      <c r="CM1" s="348"/>
      <c r="CN1" s="339">
        <f>AY1+BC1+BG1+BK1+BO1+BS1+BW1+CA1+CE1+CI1+CL1</f>
        <v>0</v>
      </c>
      <c r="CO1" s="339">
        <f>COUNTA(AX1,BB1,BF1,BJ1,BN1,BR1,BV1,BZ1,CD1,CH1)</f>
        <v>0</v>
      </c>
      <c r="CP1" s="349">
        <f>BA1+BE1+BI1+BM1+BQ1+BU1+BY1+CC1+CG1+CK1+CM1</f>
        <v>0</v>
      </c>
      <c r="CQ1" s="349">
        <f>COUNTA(AZ1,BD1,BH1,BL1,BP1,BT1,BX1,CB1,CF1,CJ1)</f>
        <v>0</v>
      </c>
      <c r="CR1" s="342"/>
      <c r="CS1" s="336"/>
      <c r="CT1" s="343"/>
      <c r="CU1" s="343"/>
      <c r="CV1" s="344"/>
      <c r="CW1" s="336"/>
      <c r="CX1" s="343"/>
      <c r="CY1" s="345"/>
      <c r="CZ1" s="344"/>
      <c r="DA1" s="336"/>
      <c r="DB1" s="343"/>
      <c r="DC1" s="345"/>
      <c r="DD1" s="344"/>
      <c r="DE1" s="336"/>
      <c r="DF1" s="343"/>
      <c r="DG1" s="345"/>
      <c r="DH1" s="344"/>
      <c r="DI1" s="336"/>
      <c r="DJ1" s="343"/>
      <c r="DK1" s="345"/>
      <c r="DL1" s="344"/>
      <c r="DM1" s="336"/>
      <c r="DN1" s="343"/>
      <c r="DO1" s="345"/>
      <c r="DP1" s="344"/>
      <c r="DQ1" s="336"/>
      <c r="DR1" s="343"/>
      <c r="DS1" s="345"/>
      <c r="DT1" s="344"/>
      <c r="DU1" s="336"/>
      <c r="DV1" s="343"/>
      <c r="DW1" s="345"/>
      <c r="DX1" s="344"/>
      <c r="DY1" s="336"/>
      <c r="DZ1" s="343"/>
      <c r="EA1" s="345"/>
      <c r="EB1" s="344"/>
      <c r="EC1" s="336"/>
      <c r="ED1" s="343"/>
      <c r="EE1" s="345"/>
      <c r="EF1" s="339"/>
      <c r="EG1" s="77"/>
      <c r="EH1" s="336">
        <f>CS1+CW1+DA1+DE1+DI1+DM1+DQ1+DU1+DY1+EC1+EF1</f>
        <v>0</v>
      </c>
      <c r="EI1" s="336">
        <f>COUNTA(CR1,CV1,CZ1,DD1,DH1,DL1,DP1,DT1,DX1,EB1)</f>
        <v>0</v>
      </c>
      <c r="EJ1" s="337">
        <f>IF(EH1&gt;0,CS1/EH1,)</f>
        <v>0</v>
      </c>
      <c r="EK1" s="341">
        <f>CU1+CY1+DC1+DG1+DK1+DO1+DS1+DW1+EA1+EE1+EG1</f>
        <v>0</v>
      </c>
      <c r="EL1" s="341">
        <f>COUNTA(CT1,CX1,DB1,DF1,DJ1,DN1,DR1,DV1,DZ1,ED1)</f>
        <v>0</v>
      </c>
      <c r="EM1" s="338">
        <f>IF(EK1&gt;0,CU1/EK1,)</f>
        <v>0</v>
      </c>
      <c r="EN1" s="336">
        <f>CN1+EH1</f>
        <v>0</v>
      </c>
      <c r="EO1" s="349">
        <f>CP1+EK1</f>
        <v>0</v>
      </c>
      <c r="EP1" s="350"/>
      <c r="EQ1" s="351"/>
      <c r="ER1" s="350"/>
      <c r="ES1" s="351"/>
      <c r="ET1" s="350"/>
      <c r="EU1" s="351"/>
      <c r="EV1" s="350"/>
      <c r="EW1" s="351"/>
      <c r="EX1" s="350"/>
      <c r="EY1" s="351"/>
      <c r="EZ1" s="350"/>
      <c r="FA1" s="351"/>
      <c r="FB1" s="350"/>
      <c r="FC1" s="352"/>
      <c r="FD1" s="350"/>
      <c r="FE1" s="351"/>
      <c r="FF1" s="350"/>
      <c r="FG1" s="352"/>
      <c r="FH1" s="353"/>
      <c r="FI1" s="351"/>
      <c r="FJ1" s="339">
        <f>EP1+ER1+ET1+EV1+EX1+EZ1+FB1+FD1+FF1+FH1</f>
        <v>0</v>
      </c>
      <c r="FK1" s="349">
        <f>EQ1+ES1+EU1+EW1+EY1+FA1+FC1+FE1+FG1+FI1</f>
        <v>0</v>
      </c>
      <c r="FL1" s="353"/>
      <c r="FM1" s="352"/>
      <c r="FN1" s="336">
        <f>F1+H1+J1+N1+AV1+EN1+FJ1+FL1</f>
        <v>0</v>
      </c>
      <c r="FO1" s="349">
        <f>G1+I1+K1+S1+AW1+EO1+FK1+FM1</f>
        <v>0</v>
      </c>
    </row>
    <row r="2" spans="1:175" s="112" customFormat="1" ht="18" customHeight="1">
      <c r="A2" s="582" t="s">
        <v>253</v>
      </c>
      <c r="B2" s="583"/>
      <c r="C2" s="583"/>
      <c r="D2" s="583"/>
      <c r="E2" s="583"/>
      <c r="F2" s="549" t="s">
        <v>254</v>
      </c>
      <c r="G2" s="550"/>
      <c r="H2" s="549" t="s">
        <v>255</v>
      </c>
      <c r="I2" s="550"/>
      <c r="J2" s="549" t="s">
        <v>256</v>
      </c>
      <c r="K2" s="550"/>
      <c r="L2" s="553" t="s">
        <v>257</v>
      </c>
      <c r="M2" s="554"/>
      <c r="N2" s="557" t="s">
        <v>258</v>
      </c>
      <c r="O2" s="558"/>
      <c r="P2" s="558"/>
      <c r="Q2" s="558"/>
      <c r="R2" s="559"/>
      <c r="S2" s="571" t="s">
        <v>259</v>
      </c>
      <c r="T2" s="572"/>
      <c r="U2" s="572"/>
      <c r="V2" s="572"/>
      <c r="W2" s="572"/>
      <c r="X2" s="566" t="s">
        <v>260</v>
      </c>
      <c r="Y2" s="567"/>
      <c r="Z2" s="567"/>
      <c r="AA2" s="567"/>
      <c r="AB2" s="567"/>
      <c r="AC2" s="567"/>
      <c r="AD2" s="567"/>
      <c r="AE2" s="567"/>
      <c r="AF2" s="567"/>
      <c r="AG2" s="567"/>
      <c r="AH2" s="567"/>
      <c r="AI2" s="567"/>
      <c r="AJ2" s="567"/>
      <c r="AK2" s="567"/>
      <c r="AL2" s="567"/>
      <c r="AM2" s="567"/>
      <c r="AN2" s="567"/>
      <c r="AO2" s="567"/>
      <c r="AP2" s="567"/>
      <c r="AQ2" s="567"/>
      <c r="AR2" s="354"/>
      <c r="AS2" s="355"/>
      <c r="AT2" s="356"/>
      <c r="AU2" s="357"/>
      <c r="AV2" s="561" t="s">
        <v>261</v>
      </c>
      <c r="AW2" s="573"/>
      <c r="AX2" s="574" t="s">
        <v>262</v>
      </c>
      <c r="AY2" s="575"/>
      <c r="AZ2" s="575"/>
      <c r="BA2" s="575"/>
      <c r="BB2" s="575"/>
      <c r="BC2" s="575"/>
      <c r="BD2" s="575"/>
      <c r="BE2" s="575"/>
      <c r="BF2" s="575"/>
      <c r="BG2" s="575"/>
      <c r="BH2" s="575"/>
      <c r="BI2" s="575"/>
      <c r="BJ2" s="575"/>
      <c r="BK2" s="575"/>
      <c r="BL2" s="575"/>
      <c r="BM2" s="575"/>
      <c r="BN2" s="575"/>
      <c r="BO2" s="575"/>
      <c r="BP2" s="575"/>
      <c r="BQ2" s="575"/>
      <c r="BR2" s="575"/>
      <c r="BS2" s="575"/>
      <c r="BT2" s="575"/>
      <c r="BU2" s="575"/>
      <c r="BV2" s="575"/>
      <c r="BW2" s="575"/>
      <c r="BX2" s="575"/>
      <c r="BY2" s="575"/>
      <c r="BZ2" s="575"/>
      <c r="CA2" s="575"/>
      <c r="CB2" s="575"/>
      <c r="CC2" s="575"/>
      <c r="CD2" s="575"/>
      <c r="CE2" s="575"/>
      <c r="CF2" s="575"/>
      <c r="CG2" s="575"/>
      <c r="CH2" s="575"/>
      <c r="CI2" s="575"/>
      <c r="CJ2" s="575"/>
      <c r="CK2" s="576"/>
      <c r="CL2" s="561" t="s">
        <v>263</v>
      </c>
      <c r="CM2" s="577"/>
      <c r="CN2" s="358"/>
      <c r="CO2" s="358"/>
      <c r="CP2" s="359"/>
      <c r="CQ2" s="359"/>
      <c r="CR2" s="574" t="s">
        <v>264</v>
      </c>
      <c r="CS2" s="575"/>
      <c r="CT2" s="575"/>
      <c r="CU2" s="575"/>
      <c r="CV2" s="575"/>
      <c r="CW2" s="575"/>
      <c r="CX2" s="575"/>
      <c r="CY2" s="575"/>
      <c r="CZ2" s="575"/>
      <c r="DA2" s="575"/>
      <c r="DB2" s="575"/>
      <c r="DC2" s="575"/>
      <c r="DD2" s="575"/>
      <c r="DE2" s="575"/>
      <c r="DF2" s="575"/>
      <c r="DG2" s="575"/>
      <c r="DH2" s="575"/>
      <c r="DI2" s="575"/>
      <c r="DJ2" s="575"/>
      <c r="DK2" s="575"/>
      <c r="DL2" s="575"/>
      <c r="DM2" s="575"/>
      <c r="DN2" s="575"/>
      <c r="DO2" s="575"/>
      <c r="DP2" s="575"/>
      <c r="DQ2" s="575"/>
      <c r="DR2" s="575"/>
      <c r="DS2" s="575"/>
      <c r="DT2" s="575"/>
      <c r="DU2" s="575"/>
      <c r="DV2" s="575"/>
      <c r="DW2" s="575"/>
      <c r="DX2" s="575"/>
      <c r="DY2" s="575"/>
      <c r="DZ2" s="575"/>
      <c r="EA2" s="575"/>
      <c r="EB2" s="575"/>
      <c r="EC2" s="575"/>
      <c r="ED2" s="575"/>
      <c r="EE2" s="576"/>
      <c r="EF2" s="561" t="s">
        <v>265</v>
      </c>
      <c r="EG2" s="577"/>
      <c r="EH2" s="360"/>
      <c r="EI2" s="361"/>
      <c r="EJ2" s="362"/>
      <c r="EK2" s="363"/>
      <c r="EL2" s="363"/>
      <c r="EM2" s="364"/>
      <c r="EN2" s="365" t="s">
        <v>19</v>
      </c>
      <c r="EO2" s="366" t="s">
        <v>19</v>
      </c>
      <c r="EP2" s="589" t="s">
        <v>266</v>
      </c>
      <c r="EQ2" s="590"/>
      <c r="ER2" s="591"/>
      <c r="ES2" s="591"/>
      <c r="ET2" s="591"/>
      <c r="EU2" s="591"/>
      <c r="EV2" s="591"/>
      <c r="EW2" s="591"/>
      <c r="EX2" s="591"/>
      <c r="EY2" s="591"/>
      <c r="EZ2" s="591"/>
      <c r="FA2" s="591"/>
      <c r="FB2" s="591"/>
      <c r="FC2" s="591"/>
      <c r="FD2" s="591"/>
      <c r="FE2" s="591"/>
      <c r="FF2" s="591"/>
      <c r="FG2" s="591"/>
      <c r="FH2" s="62"/>
      <c r="FI2" s="63"/>
      <c r="FJ2" s="63"/>
      <c r="FK2" s="63"/>
      <c r="FL2" s="561" t="s">
        <v>267</v>
      </c>
      <c r="FM2" s="562"/>
      <c r="FN2" s="360"/>
      <c r="FO2" s="367"/>
      <c r="FP2" s="66"/>
      <c r="FQ2" s="66"/>
      <c r="FR2" s="66"/>
      <c r="FS2" s="66"/>
    </row>
    <row r="3" spans="1:175" s="112" customFormat="1" ht="15" customHeight="1">
      <c r="A3" s="368" t="s">
        <v>268</v>
      </c>
      <c r="B3" s="265"/>
      <c r="C3" s="265"/>
      <c r="D3" s="265"/>
      <c r="E3" s="265"/>
      <c r="F3" s="549"/>
      <c r="G3" s="550"/>
      <c r="H3" s="549"/>
      <c r="I3" s="550"/>
      <c r="J3" s="549"/>
      <c r="K3" s="550"/>
      <c r="L3" s="553"/>
      <c r="M3" s="554"/>
      <c r="N3" s="369"/>
      <c r="O3" s="370" t="s">
        <v>269</v>
      </c>
      <c r="P3" s="78"/>
      <c r="Q3" s="78"/>
      <c r="R3" s="79"/>
      <c r="S3" s="371"/>
      <c r="T3" s="372" t="s">
        <v>270</v>
      </c>
      <c r="U3" s="80"/>
      <c r="V3" s="80"/>
      <c r="W3" s="80"/>
      <c r="X3" s="373"/>
      <c r="Y3" s="269"/>
      <c r="Z3" s="269"/>
      <c r="AA3" s="269"/>
      <c r="AB3" s="81"/>
      <c r="AC3" s="269"/>
      <c r="AD3" s="269"/>
      <c r="AE3" s="269"/>
      <c r="AF3" s="81"/>
      <c r="AG3" s="269"/>
      <c r="AH3" s="269"/>
      <c r="AI3" s="269"/>
      <c r="AJ3" s="81"/>
      <c r="AK3" s="269"/>
      <c r="AL3" s="269"/>
      <c r="AM3" s="269"/>
      <c r="AN3" s="81"/>
      <c r="AO3" s="269"/>
      <c r="AP3" s="269"/>
      <c r="AQ3" s="269"/>
      <c r="AR3" s="374"/>
      <c r="AS3" s="375"/>
      <c r="AT3" s="376"/>
      <c r="AU3" s="377"/>
      <c r="AV3" s="561"/>
      <c r="AW3" s="573"/>
      <c r="AX3" s="373"/>
      <c r="AY3" s="269"/>
      <c r="AZ3" s="269"/>
      <c r="BA3" s="269"/>
      <c r="BB3" s="269"/>
      <c r="BC3" s="82"/>
      <c r="BD3" s="269"/>
      <c r="BE3" s="269"/>
      <c r="BF3" s="269"/>
      <c r="BG3" s="82"/>
      <c r="BH3" s="269"/>
      <c r="BI3" s="269"/>
      <c r="BJ3" s="269"/>
      <c r="BK3" s="82"/>
      <c r="BL3" s="269"/>
      <c r="BM3" s="269"/>
      <c r="BN3" s="269"/>
      <c r="BO3" s="82"/>
      <c r="BP3" s="269"/>
      <c r="BQ3" s="269"/>
      <c r="BR3" s="269"/>
      <c r="BS3" s="82"/>
      <c r="BT3" s="269"/>
      <c r="BU3" s="269"/>
      <c r="BV3" s="269"/>
      <c r="BW3" s="82"/>
      <c r="BX3" s="269"/>
      <c r="BY3" s="269"/>
      <c r="BZ3" s="269"/>
      <c r="CA3" s="82"/>
      <c r="CB3" s="269"/>
      <c r="CC3" s="269"/>
      <c r="CD3" s="269"/>
      <c r="CE3" s="82"/>
      <c r="CF3" s="269"/>
      <c r="CG3" s="269"/>
      <c r="CH3" s="269"/>
      <c r="CI3" s="82"/>
      <c r="CJ3" s="269"/>
      <c r="CK3" s="270"/>
      <c r="CL3" s="561"/>
      <c r="CM3" s="577"/>
      <c r="CN3" s="358"/>
      <c r="CO3" s="358"/>
      <c r="CP3" s="359"/>
      <c r="CQ3" s="359"/>
      <c r="CR3" s="373"/>
      <c r="CS3" s="269"/>
      <c r="CT3" s="269"/>
      <c r="CU3" s="269"/>
      <c r="CV3" s="269"/>
      <c r="CW3" s="82"/>
      <c r="CX3" s="269"/>
      <c r="CY3" s="269"/>
      <c r="CZ3" s="269"/>
      <c r="DA3" s="82"/>
      <c r="DB3" s="269"/>
      <c r="DC3" s="269"/>
      <c r="DD3" s="269"/>
      <c r="DE3" s="82"/>
      <c r="DF3" s="269"/>
      <c r="DG3" s="269"/>
      <c r="DH3" s="269"/>
      <c r="DI3" s="82"/>
      <c r="DJ3" s="269"/>
      <c r="DK3" s="269"/>
      <c r="DL3" s="269"/>
      <c r="DM3" s="82"/>
      <c r="DN3" s="269"/>
      <c r="DO3" s="269"/>
      <c r="DP3" s="269"/>
      <c r="DQ3" s="82"/>
      <c r="DR3" s="269"/>
      <c r="DS3" s="269"/>
      <c r="DT3" s="269"/>
      <c r="DU3" s="82"/>
      <c r="DV3" s="269"/>
      <c r="DW3" s="269"/>
      <c r="DX3" s="269"/>
      <c r="DY3" s="82"/>
      <c r="DZ3" s="269"/>
      <c r="EA3" s="269"/>
      <c r="EB3" s="269"/>
      <c r="EC3" s="82"/>
      <c r="ED3" s="269"/>
      <c r="EE3" s="270"/>
      <c r="EF3" s="561"/>
      <c r="EG3" s="577"/>
      <c r="EH3" s="378" t="s">
        <v>19</v>
      </c>
      <c r="EI3" s="379"/>
      <c r="EJ3" s="380"/>
      <c r="EK3" s="381" t="s">
        <v>19</v>
      </c>
      <c r="EL3" s="381"/>
      <c r="EM3" s="382"/>
      <c r="EN3" s="378" t="s">
        <v>9</v>
      </c>
      <c r="EO3" s="383" t="s">
        <v>9</v>
      </c>
      <c r="EP3" s="384"/>
      <c r="EQ3" s="385"/>
      <c r="ER3" s="384"/>
      <c r="ES3" s="385"/>
      <c r="ET3" s="384"/>
      <c r="EU3" s="385"/>
      <c r="EV3" s="384"/>
      <c r="EW3" s="385"/>
      <c r="EX3" s="384"/>
      <c r="EY3" s="385"/>
      <c r="EZ3" s="384"/>
      <c r="FA3" s="385"/>
      <c r="FB3" s="384"/>
      <c r="FC3" s="385"/>
      <c r="FD3" s="384"/>
      <c r="FE3" s="385"/>
      <c r="FF3" s="384"/>
      <c r="FG3" s="61"/>
      <c r="FH3" s="386"/>
      <c r="FI3" s="271"/>
      <c r="FJ3" s="358"/>
      <c r="FK3" s="359"/>
      <c r="FL3" s="563"/>
      <c r="FM3" s="562"/>
      <c r="FN3" s="374"/>
      <c r="FO3" s="359"/>
      <c r="FP3" s="66"/>
      <c r="FQ3" s="66"/>
      <c r="FR3" s="66"/>
      <c r="FS3" s="66"/>
    </row>
    <row r="4" spans="1:175" s="112" customFormat="1" ht="15" customHeight="1">
      <c r="A4" s="564" t="s">
        <v>271</v>
      </c>
      <c r="B4" s="565"/>
      <c r="C4" s="565"/>
      <c r="D4" s="565"/>
      <c r="E4" s="565"/>
      <c r="F4" s="549"/>
      <c r="G4" s="550"/>
      <c r="H4" s="549"/>
      <c r="I4" s="550"/>
      <c r="J4" s="549"/>
      <c r="K4" s="550"/>
      <c r="L4" s="553"/>
      <c r="M4" s="554"/>
      <c r="N4" s="387"/>
      <c r="O4" s="370" t="s">
        <v>272</v>
      </c>
      <c r="P4" s="78"/>
      <c r="Q4" s="78"/>
      <c r="R4" s="79"/>
      <c r="S4" s="388" t="s">
        <v>1</v>
      </c>
      <c r="T4" s="389" t="s">
        <v>272</v>
      </c>
      <c r="U4" s="82"/>
      <c r="V4" s="82"/>
      <c r="W4" s="82"/>
      <c r="X4" s="390"/>
      <c r="Y4" s="269"/>
      <c r="Z4" s="269"/>
      <c r="AA4" s="269"/>
      <c r="AB4" s="81"/>
      <c r="AC4" s="269"/>
      <c r="AD4" s="269"/>
      <c r="AE4" s="269"/>
      <c r="AF4" s="81"/>
      <c r="AG4" s="269"/>
      <c r="AH4" s="269"/>
      <c r="AI4" s="269"/>
      <c r="AJ4" s="81"/>
      <c r="AK4" s="269"/>
      <c r="AL4" s="269"/>
      <c r="AM4" s="269"/>
      <c r="AN4" s="81"/>
      <c r="AO4" s="269"/>
      <c r="AP4" s="269"/>
      <c r="AQ4" s="269"/>
      <c r="AR4" s="374"/>
      <c r="AS4" s="391" t="s">
        <v>273</v>
      </c>
      <c r="AT4" s="376"/>
      <c r="AU4" s="377" t="s">
        <v>273</v>
      </c>
      <c r="AV4" s="561"/>
      <c r="AW4" s="573"/>
      <c r="AX4" s="373"/>
      <c r="CK4" s="64"/>
      <c r="CL4" s="561"/>
      <c r="CM4" s="577"/>
      <c r="CN4" s="358"/>
      <c r="CO4" s="358"/>
      <c r="CP4" s="359"/>
      <c r="CQ4" s="359"/>
      <c r="CR4" s="390"/>
      <c r="CS4" s="269"/>
      <c r="CT4" s="269"/>
      <c r="CU4" s="269"/>
      <c r="CV4" s="83"/>
      <c r="CW4" s="82"/>
      <c r="CX4" s="269"/>
      <c r="CY4" s="269"/>
      <c r="CZ4" s="83"/>
      <c r="DA4" s="82"/>
      <c r="DB4" s="269"/>
      <c r="DC4" s="269"/>
      <c r="DD4" s="83"/>
      <c r="DE4" s="82"/>
      <c r="DF4" s="269"/>
      <c r="DG4" s="269"/>
      <c r="DH4" s="83"/>
      <c r="DI4" s="82"/>
      <c r="DJ4" s="269"/>
      <c r="DK4" s="269"/>
      <c r="DL4" s="83"/>
      <c r="DM4" s="82"/>
      <c r="DN4" s="269"/>
      <c r="DO4" s="269"/>
      <c r="DP4" s="83"/>
      <c r="DQ4" s="82"/>
      <c r="DR4" s="269"/>
      <c r="DS4" s="269"/>
      <c r="DT4" s="83"/>
      <c r="DU4" s="82"/>
      <c r="DV4" s="269"/>
      <c r="DW4" s="269"/>
      <c r="DX4" s="83"/>
      <c r="DY4" s="82"/>
      <c r="DZ4" s="269"/>
      <c r="EA4" s="269"/>
      <c r="EB4" s="83"/>
      <c r="EC4" s="82"/>
      <c r="ED4" s="269"/>
      <c r="EE4" s="270"/>
      <c r="EF4" s="561"/>
      <c r="EG4" s="577"/>
      <c r="EH4" s="378" t="s">
        <v>274</v>
      </c>
      <c r="EI4" s="379"/>
      <c r="EJ4" s="380"/>
      <c r="EK4" s="381" t="s">
        <v>274</v>
      </c>
      <c r="EL4" s="381"/>
      <c r="EM4" s="392"/>
      <c r="EN4" s="378" t="s">
        <v>275</v>
      </c>
      <c r="EO4" s="383" t="s">
        <v>275</v>
      </c>
      <c r="EP4" s="393"/>
      <c r="EQ4" s="60"/>
      <c r="ER4" s="393"/>
      <c r="ES4" s="60"/>
      <c r="ET4" s="393"/>
      <c r="EU4" s="60"/>
      <c r="EV4" s="393"/>
      <c r="EW4" s="60"/>
      <c r="EX4" s="393"/>
      <c r="EY4" s="60"/>
      <c r="EZ4" s="393"/>
      <c r="FA4" s="60"/>
      <c r="FB4" s="393"/>
      <c r="FC4" s="60"/>
      <c r="FD4" s="393"/>
      <c r="FE4" s="60"/>
      <c r="FF4" s="393"/>
      <c r="FG4" s="84"/>
      <c r="FH4" s="386"/>
      <c r="FI4" s="271"/>
      <c r="FJ4" s="358"/>
      <c r="FK4" s="359"/>
      <c r="FL4" s="563"/>
      <c r="FM4" s="562"/>
      <c r="FN4" s="374"/>
      <c r="FO4" s="359"/>
      <c r="FP4" s="66"/>
      <c r="FQ4" s="66"/>
      <c r="FR4" s="66"/>
      <c r="FS4" s="66"/>
    </row>
    <row r="5" spans="1:175" s="112" customFormat="1" ht="15" customHeight="1">
      <c r="A5" s="564"/>
      <c r="B5" s="565"/>
      <c r="C5" s="565"/>
      <c r="D5" s="565"/>
      <c r="E5" s="565"/>
      <c r="F5" s="549"/>
      <c r="G5" s="550"/>
      <c r="H5" s="549"/>
      <c r="I5" s="550"/>
      <c r="J5" s="549"/>
      <c r="K5" s="550"/>
      <c r="L5" s="553"/>
      <c r="M5" s="554"/>
      <c r="N5" s="394"/>
      <c r="O5" s="273" t="s">
        <v>276</v>
      </c>
      <c r="P5" s="85"/>
      <c r="Q5" s="85"/>
      <c r="R5" s="274"/>
      <c r="S5" s="388" t="s">
        <v>1</v>
      </c>
      <c r="T5" s="275" t="s">
        <v>276</v>
      </c>
      <c r="U5" s="86"/>
      <c r="V5" s="86"/>
      <c r="W5" s="86"/>
      <c r="X5" s="566" t="s">
        <v>277</v>
      </c>
      <c r="Y5" s="567"/>
      <c r="Z5" s="567"/>
      <c r="AA5" s="567"/>
      <c r="AB5" s="567"/>
      <c r="AC5" s="567"/>
      <c r="AD5" s="567"/>
      <c r="AE5" s="567"/>
      <c r="AF5" s="567"/>
      <c r="AG5" s="567"/>
      <c r="AH5" s="567"/>
      <c r="AI5" s="567"/>
      <c r="AJ5" s="567"/>
      <c r="AK5" s="567"/>
      <c r="AL5" s="567"/>
      <c r="AM5" s="567"/>
      <c r="AN5" s="567"/>
      <c r="AO5" s="567"/>
      <c r="AP5" s="567"/>
      <c r="AQ5" s="567"/>
      <c r="AR5" s="378" t="s">
        <v>278</v>
      </c>
      <c r="AS5" s="391" t="s">
        <v>279</v>
      </c>
      <c r="AT5" s="381" t="s">
        <v>278</v>
      </c>
      <c r="AU5" s="392" t="s">
        <v>279</v>
      </c>
      <c r="AV5" s="561"/>
      <c r="AW5" s="573"/>
      <c r="AX5" s="390" t="s">
        <v>280</v>
      </c>
      <c r="AY5" s="267"/>
      <c r="AZ5" s="87"/>
      <c r="BA5" s="267"/>
      <c r="BB5" s="266"/>
      <c r="BC5" s="88"/>
      <c r="BD5" s="267"/>
      <c r="BE5" s="267"/>
      <c r="BF5" s="266"/>
      <c r="BG5" s="88"/>
      <c r="BH5" s="267"/>
      <c r="BI5" s="267"/>
      <c r="BJ5" s="266"/>
      <c r="BK5" s="88"/>
      <c r="BL5" s="267"/>
      <c r="BM5" s="267"/>
      <c r="BN5" s="266"/>
      <c r="BO5" s="88"/>
      <c r="BP5" s="267"/>
      <c r="BQ5" s="267"/>
      <c r="BR5" s="266"/>
      <c r="BS5" s="88"/>
      <c r="BT5" s="267"/>
      <c r="BU5" s="267"/>
      <c r="BV5" s="266"/>
      <c r="BW5" s="88"/>
      <c r="BX5" s="267"/>
      <c r="BY5" s="267"/>
      <c r="BZ5" s="266"/>
      <c r="CA5" s="88"/>
      <c r="CB5" s="267"/>
      <c r="CC5" s="267"/>
      <c r="CD5" s="266"/>
      <c r="CE5" s="88"/>
      <c r="CF5" s="267"/>
      <c r="CG5" s="267"/>
      <c r="CH5" s="266"/>
      <c r="CI5" s="88"/>
      <c r="CJ5" s="267"/>
      <c r="CK5" s="276"/>
      <c r="CL5" s="561"/>
      <c r="CM5" s="577"/>
      <c r="CN5" s="395" t="s">
        <v>281</v>
      </c>
      <c r="CO5" s="395" t="s">
        <v>282</v>
      </c>
      <c r="CP5" s="383" t="s">
        <v>19</v>
      </c>
      <c r="CQ5" s="383" t="s">
        <v>278</v>
      </c>
      <c r="CR5" s="390" t="s">
        <v>280</v>
      </c>
      <c r="CS5" s="267"/>
      <c r="CT5" s="87"/>
      <c r="CU5" s="267"/>
      <c r="CV5" s="266"/>
      <c r="CW5" s="88"/>
      <c r="CX5" s="267"/>
      <c r="CY5" s="267"/>
      <c r="CZ5" s="266"/>
      <c r="DA5" s="88"/>
      <c r="DB5" s="267"/>
      <c r="DC5" s="267"/>
      <c r="DD5" s="266"/>
      <c r="DE5" s="88"/>
      <c r="DF5" s="267"/>
      <c r="DG5" s="267"/>
      <c r="DH5" s="266"/>
      <c r="DI5" s="88"/>
      <c r="DJ5" s="267"/>
      <c r="DK5" s="267"/>
      <c r="DL5" s="266"/>
      <c r="DM5" s="88"/>
      <c r="DN5" s="267"/>
      <c r="DO5" s="267"/>
      <c r="DP5" s="266"/>
      <c r="DQ5" s="88"/>
      <c r="DR5" s="267"/>
      <c r="DS5" s="267"/>
      <c r="DT5" s="266"/>
      <c r="DU5" s="88"/>
      <c r="DV5" s="267"/>
      <c r="DW5" s="267"/>
      <c r="DX5" s="266"/>
      <c r="DY5" s="88"/>
      <c r="DZ5" s="267"/>
      <c r="EA5" s="267"/>
      <c r="EB5" s="266"/>
      <c r="EC5" s="88"/>
      <c r="ED5" s="267"/>
      <c r="EE5" s="276"/>
      <c r="EF5" s="561"/>
      <c r="EG5" s="577"/>
      <c r="EH5" s="378" t="s">
        <v>283</v>
      </c>
      <c r="EI5" s="378" t="s">
        <v>278</v>
      </c>
      <c r="EJ5" s="391" t="s">
        <v>284</v>
      </c>
      <c r="EK5" s="381" t="s">
        <v>283</v>
      </c>
      <c r="EL5" s="381" t="s">
        <v>278</v>
      </c>
      <c r="EM5" s="392" t="s">
        <v>284</v>
      </c>
      <c r="EN5" s="378" t="s">
        <v>285</v>
      </c>
      <c r="EO5" s="383" t="s">
        <v>285</v>
      </c>
      <c r="EP5" s="396"/>
      <c r="EQ5" s="60"/>
      <c r="ER5" s="396"/>
      <c r="ES5" s="268"/>
      <c r="ET5" s="396"/>
      <c r="EU5" s="268"/>
      <c r="EV5" s="396"/>
      <c r="EW5" s="268"/>
      <c r="EX5" s="568" t="s">
        <v>286</v>
      </c>
      <c r="EY5" s="569"/>
      <c r="EZ5" s="396"/>
      <c r="FA5" s="268"/>
      <c r="FB5" s="568" t="s">
        <v>287</v>
      </c>
      <c r="FC5" s="569"/>
      <c r="FD5" s="568" t="s">
        <v>288</v>
      </c>
      <c r="FE5" s="569"/>
      <c r="FF5" s="568"/>
      <c r="FG5" s="570"/>
      <c r="FH5" s="386"/>
      <c r="FI5" s="271"/>
      <c r="FJ5" s="395" t="s">
        <v>19</v>
      </c>
      <c r="FK5" s="383" t="s">
        <v>19</v>
      </c>
      <c r="FL5" s="563"/>
      <c r="FM5" s="562"/>
      <c r="FN5" s="378"/>
      <c r="FO5" s="383"/>
      <c r="FP5" s="89"/>
      <c r="FQ5" s="89"/>
      <c r="FR5" s="89"/>
      <c r="FS5" s="89"/>
    </row>
    <row r="6" spans="1:175" s="112" customFormat="1" ht="15" customHeight="1">
      <c r="F6" s="551"/>
      <c r="G6" s="552"/>
      <c r="H6" s="551"/>
      <c r="I6" s="552"/>
      <c r="J6" s="551"/>
      <c r="K6" s="552"/>
      <c r="L6" s="553"/>
      <c r="M6" s="554"/>
      <c r="N6" s="394"/>
      <c r="O6" s="370" t="s">
        <v>289</v>
      </c>
      <c r="P6" s="397" t="s">
        <v>290</v>
      </c>
      <c r="Q6" s="397" t="s">
        <v>1</v>
      </c>
      <c r="R6" s="398" t="s">
        <v>291</v>
      </c>
      <c r="S6" s="82" t="s">
        <v>1</v>
      </c>
      <c r="T6" s="372" t="s">
        <v>289</v>
      </c>
      <c r="U6" s="399" t="s">
        <v>290</v>
      </c>
      <c r="V6" s="372"/>
      <c r="W6" s="400" t="s">
        <v>291</v>
      </c>
      <c r="X6" s="401">
        <v>1</v>
      </c>
      <c r="Y6" s="402"/>
      <c r="Z6" s="403">
        <v>1</v>
      </c>
      <c r="AA6" s="404"/>
      <c r="AB6" s="397">
        <v>2</v>
      </c>
      <c r="AC6" s="402"/>
      <c r="AD6" s="372">
        <v>2</v>
      </c>
      <c r="AE6" s="404"/>
      <c r="AF6" s="397">
        <v>3</v>
      </c>
      <c r="AG6" s="402"/>
      <c r="AH6" s="372">
        <v>3</v>
      </c>
      <c r="AI6" s="404"/>
      <c r="AJ6" s="397">
        <v>4</v>
      </c>
      <c r="AK6" s="402"/>
      <c r="AL6" s="372">
        <v>4</v>
      </c>
      <c r="AM6" s="404"/>
      <c r="AN6" s="397">
        <v>5</v>
      </c>
      <c r="AO6" s="90"/>
      <c r="AP6" s="372">
        <v>5</v>
      </c>
      <c r="AQ6" s="80"/>
      <c r="AR6" s="378" t="s">
        <v>273</v>
      </c>
      <c r="AS6" s="391" t="s">
        <v>292</v>
      </c>
      <c r="AT6" s="381" t="s">
        <v>273</v>
      </c>
      <c r="AU6" s="392" t="s">
        <v>292</v>
      </c>
      <c r="AV6" s="561"/>
      <c r="AW6" s="573"/>
      <c r="AX6" s="401">
        <v>1</v>
      </c>
      <c r="AY6" s="402"/>
      <c r="AZ6" s="403">
        <v>1</v>
      </c>
      <c r="BA6" s="404"/>
      <c r="BB6" s="397">
        <v>2</v>
      </c>
      <c r="BC6" s="402"/>
      <c r="BD6" s="372">
        <v>2</v>
      </c>
      <c r="BE6" s="404"/>
      <c r="BF6" s="397">
        <v>3</v>
      </c>
      <c r="BG6" s="402"/>
      <c r="BH6" s="372">
        <v>3</v>
      </c>
      <c r="BI6" s="404"/>
      <c r="BJ6" s="397">
        <v>4</v>
      </c>
      <c r="BK6" s="402"/>
      <c r="BL6" s="372">
        <v>4</v>
      </c>
      <c r="BM6" s="404"/>
      <c r="BN6" s="397">
        <v>5</v>
      </c>
      <c r="BO6" s="90"/>
      <c r="BP6" s="372">
        <v>5</v>
      </c>
      <c r="BQ6" s="404"/>
      <c r="BR6" s="397">
        <v>6</v>
      </c>
      <c r="BS6" s="90"/>
      <c r="BT6" s="372">
        <v>6</v>
      </c>
      <c r="BU6" s="404"/>
      <c r="BV6" s="397">
        <v>7</v>
      </c>
      <c r="BW6" s="90"/>
      <c r="BX6" s="372">
        <v>7</v>
      </c>
      <c r="BY6" s="404"/>
      <c r="BZ6" s="397">
        <v>8</v>
      </c>
      <c r="CA6" s="90"/>
      <c r="CB6" s="372">
        <v>8</v>
      </c>
      <c r="CC6" s="404"/>
      <c r="CD6" s="397">
        <v>9</v>
      </c>
      <c r="CE6" s="90"/>
      <c r="CF6" s="372">
        <v>9</v>
      </c>
      <c r="CG6" s="404"/>
      <c r="CH6" s="397">
        <v>10</v>
      </c>
      <c r="CI6" s="90"/>
      <c r="CJ6" s="372">
        <v>10</v>
      </c>
      <c r="CK6" s="404"/>
      <c r="CL6" s="578" t="s">
        <v>293</v>
      </c>
      <c r="CM6" s="579"/>
      <c r="CN6" s="395" t="s">
        <v>274</v>
      </c>
      <c r="CO6" s="395" t="s">
        <v>294</v>
      </c>
      <c r="CP6" s="383" t="s">
        <v>274</v>
      </c>
      <c r="CQ6" s="383" t="s">
        <v>294</v>
      </c>
      <c r="CR6" s="401">
        <v>1</v>
      </c>
      <c r="CS6" s="402"/>
      <c r="CT6" s="403">
        <v>1</v>
      </c>
      <c r="CU6" s="404"/>
      <c r="CV6" s="397">
        <v>2</v>
      </c>
      <c r="CW6" s="402"/>
      <c r="CX6" s="372">
        <v>2</v>
      </c>
      <c r="CY6" s="404"/>
      <c r="CZ6" s="397">
        <v>3</v>
      </c>
      <c r="DA6" s="402"/>
      <c r="DB6" s="372">
        <v>3</v>
      </c>
      <c r="DC6" s="404"/>
      <c r="DD6" s="397">
        <v>4</v>
      </c>
      <c r="DE6" s="402"/>
      <c r="DF6" s="372">
        <v>4</v>
      </c>
      <c r="DG6" s="404"/>
      <c r="DH6" s="397">
        <v>5</v>
      </c>
      <c r="DI6" s="90"/>
      <c r="DJ6" s="372">
        <v>5</v>
      </c>
      <c r="DK6" s="404"/>
      <c r="DL6" s="397">
        <v>6</v>
      </c>
      <c r="DM6" s="90"/>
      <c r="DN6" s="372">
        <v>6</v>
      </c>
      <c r="DO6" s="404"/>
      <c r="DP6" s="397">
        <v>7</v>
      </c>
      <c r="DQ6" s="90"/>
      <c r="DR6" s="372">
        <v>7</v>
      </c>
      <c r="DS6" s="404"/>
      <c r="DT6" s="397">
        <v>8</v>
      </c>
      <c r="DU6" s="90"/>
      <c r="DV6" s="372">
        <v>8</v>
      </c>
      <c r="DW6" s="404"/>
      <c r="DX6" s="397">
        <v>9</v>
      </c>
      <c r="DY6" s="90"/>
      <c r="DZ6" s="372">
        <v>9</v>
      </c>
      <c r="EA6" s="404"/>
      <c r="EB6" s="397">
        <v>10</v>
      </c>
      <c r="EC6" s="90"/>
      <c r="ED6" s="372">
        <v>10</v>
      </c>
      <c r="EE6" s="404"/>
      <c r="EF6" s="561"/>
      <c r="EG6" s="577"/>
      <c r="EH6" s="378" t="s">
        <v>295</v>
      </c>
      <c r="EI6" s="378" t="s">
        <v>10</v>
      </c>
      <c r="EJ6" s="391" t="s">
        <v>10</v>
      </c>
      <c r="EK6" s="381" t="s">
        <v>295</v>
      </c>
      <c r="EL6" s="381" t="s">
        <v>10</v>
      </c>
      <c r="EM6" s="392" t="s">
        <v>10</v>
      </c>
      <c r="EN6" s="378" t="s">
        <v>296</v>
      </c>
      <c r="EO6" s="383" t="s">
        <v>296</v>
      </c>
      <c r="EP6" s="568" t="s">
        <v>297</v>
      </c>
      <c r="EQ6" s="569"/>
      <c r="ER6" s="587" t="s">
        <v>298</v>
      </c>
      <c r="ES6" s="588"/>
      <c r="ET6" s="587" t="s">
        <v>299</v>
      </c>
      <c r="EU6" s="588"/>
      <c r="EV6" s="587" t="s">
        <v>300</v>
      </c>
      <c r="EW6" s="588"/>
      <c r="EX6" s="587" t="s">
        <v>301</v>
      </c>
      <c r="EY6" s="588"/>
      <c r="EZ6" s="587" t="s">
        <v>302</v>
      </c>
      <c r="FA6" s="588"/>
      <c r="FB6" s="568" t="s">
        <v>303</v>
      </c>
      <c r="FC6" s="569"/>
      <c r="FD6" s="568" t="s">
        <v>304</v>
      </c>
      <c r="FE6" s="569"/>
      <c r="FF6" s="568" t="s">
        <v>305</v>
      </c>
      <c r="FG6" s="570"/>
      <c r="FH6" s="561" t="s">
        <v>306</v>
      </c>
      <c r="FI6" s="584"/>
      <c r="FJ6" s="395" t="s">
        <v>307</v>
      </c>
      <c r="FK6" s="383" t="s">
        <v>307</v>
      </c>
      <c r="FL6" s="592" t="s">
        <v>308</v>
      </c>
      <c r="FM6" s="593"/>
      <c r="FN6" s="378" t="s">
        <v>309</v>
      </c>
      <c r="FO6" s="383" t="s">
        <v>309</v>
      </c>
      <c r="FP6" s="89"/>
      <c r="FQ6" s="89"/>
      <c r="FR6" s="89"/>
      <c r="FS6" s="89"/>
    </row>
    <row r="7" spans="1:175" s="112" customFormat="1" ht="15" customHeight="1">
      <c r="F7" s="548" t="s">
        <v>310</v>
      </c>
      <c r="G7" s="548"/>
      <c r="H7" s="547" t="s">
        <v>311</v>
      </c>
      <c r="I7" s="560"/>
      <c r="J7" s="547" t="s">
        <v>312</v>
      </c>
      <c r="K7" s="560"/>
      <c r="L7" s="555"/>
      <c r="M7" s="556"/>
      <c r="N7" s="277" t="s">
        <v>19</v>
      </c>
      <c r="O7" s="278" t="s">
        <v>313</v>
      </c>
      <c r="P7" s="278" t="s">
        <v>314</v>
      </c>
      <c r="Q7" s="278" t="s">
        <v>315</v>
      </c>
      <c r="R7" s="279" t="s">
        <v>19</v>
      </c>
      <c r="S7" s="266" t="s">
        <v>19</v>
      </c>
      <c r="T7" s="280" t="s">
        <v>313</v>
      </c>
      <c r="U7" s="280" t="s">
        <v>314</v>
      </c>
      <c r="V7" s="280" t="s">
        <v>315</v>
      </c>
      <c r="W7" s="281" t="s">
        <v>19</v>
      </c>
      <c r="X7" s="282" t="s">
        <v>317</v>
      </c>
      <c r="Y7" s="91"/>
      <c r="Z7" s="283" t="s">
        <v>1192</v>
      </c>
      <c r="AA7" s="284"/>
      <c r="AB7" s="282" t="s">
        <v>317</v>
      </c>
      <c r="AC7" s="91"/>
      <c r="AD7" s="283" t="s">
        <v>1192</v>
      </c>
      <c r="AE7" s="284"/>
      <c r="AF7" s="282" t="s">
        <v>317</v>
      </c>
      <c r="AG7" s="91"/>
      <c r="AH7" s="283" t="s">
        <v>1192</v>
      </c>
      <c r="AI7" s="284"/>
      <c r="AJ7" s="282" t="s">
        <v>317</v>
      </c>
      <c r="AK7" s="91"/>
      <c r="AL7" s="283" t="s">
        <v>1192</v>
      </c>
      <c r="AM7" s="284"/>
      <c r="AN7" s="282" t="s">
        <v>317</v>
      </c>
      <c r="AO7" s="91"/>
      <c r="AP7" s="283" t="s">
        <v>1192</v>
      </c>
      <c r="AQ7" s="284"/>
      <c r="AR7" s="378" t="s">
        <v>318</v>
      </c>
      <c r="AS7" s="391" t="s">
        <v>319</v>
      </c>
      <c r="AT7" s="381" t="s">
        <v>318</v>
      </c>
      <c r="AU7" s="392" t="s">
        <v>319</v>
      </c>
      <c r="AV7" s="547" t="s">
        <v>320</v>
      </c>
      <c r="AW7" s="548"/>
      <c r="AX7" s="282" t="s">
        <v>317</v>
      </c>
      <c r="AY7" s="91"/>
      <c r="AZ7" s="283" t="s">
        <v>1192</v>
      </c>
      <c r="BA7" s="284"/>
      <c r="BB7" s="282" t="s">
        <v>317</v>
      </c>
      <c r="BC7" s="91"/>
      <c r="BD7" s="283" t="s">
        <v>1192</v>
      </c>
      <c r="BE7" s="284"/>
      <c r="BF7" s="282" t="s">
        <v>317</v>
      </c>
      <c r="BG7" s="91"/>
      <c r="BH7" s="283" t="s">
        <v>1192</v>
      </c>
      <c r="BI7" s="284"/>
      <c r="BJ7" s="282" t="s">
        <v>317</v>
      </c>
      <c r="BK7" s="91"/>
      <c r="BL7" s="283" t="s">
        <v>1192</v>
      </c>
      <c r="BM7" s="284"/>
      <c r="BN7" s="282" t="s">
        <v>317</v>
      </c>
      <c r="BO7" s="91"/>
      <c r="BP7" s="283" t="s">
        <v>1192</v>
      </c>
      <c r="BQ7" s="284"/>
      <c r="BR7" s="282" t="s">
        <v>317</v>
      </c>
      <c r="BS7" s="91"/>
      <c r="BT7" s="283" t="s">
        <v>1192</v>
      </c>
      <c r="BU7" s="284"/>
      <c r="BV7" s="282" t="s">
        <v>317</v>
      </c>
      <c r="BW7" s="91"/>
      <c r="BX7" s="283" t="s">
        <v>1192</v>
      </c>
      <c r="BY7" s="284"/>
      <c r="BZ7" s="282" t="s">
        <v>317</v>
      </c>
      <c r="CA7" s="91"/>
      <c r="CB7" s="283" t="s">
        <v>1192</v>
      </c>
      <c r="CC7" s="284"/>
      <c r="CD7" s="282" t="s">
        <v>317</v>
      </c>
      <c r="CE7" s="91"/>
      <c r="CF7" s="283" t="s">
        <v>1192</v>
      </c>
      <c r="CG7" s="284"/>
      <c r="CH7" s="282" t="s">
        <v>317</v>
      </c>
      <c r="CI7" s="91"/>
      <c r="CJ7" s="283" t="s">
        <v>1192</v>
      </c>
      <c r="CK7" s="284"/>
      <c r="CL7" s="580"/>
      <c r="CM7" s="581"/>
      <c r="CN7" s="395" t="s">
        <v>294</v>
      </c>
      <c r="CO7" s="395" t="s">
        <v>318</v>
      </c>
      <c r="CP7" s="383" t="s">
        <v>294</v>
      </c>
      <c r="CQ7" s="383" t="s">
        <v>318</v>
      </c>
      <c r="CR7" s="282" t="s">
        <v>317</v>
      </c>
      <c r="CS7" s="91"/>
      <c r="CT7" s="283" t="s">
        <v>1192</v>
      </c>
      <c r="CU7" s="284"/>
      <c r="CV7" s="282" t="s">
        <v>317</v>
      </c>
      <c r="CW7" s="91"/>
      <c r="CX7" s="283" t="s">
        <v>1192</v>
      </c>
      <c r="CY7" s="284"/>
      <c r="CZ7" s="282" t="s">
        <v>317</v>
      </c>
      <c r="DA7" s="91"/>
      <c r="DB7" s="283" t="s">
        <v>1192</v>
      </c>
      <c r="DC7" s="284"/>
      <c r="DD7" s="282" t="s">
        <v>317</v>
      </c>
      <c r="DE7" s="91"/>
      <c r="DF7" s="283" t="s">
        <v>1192</v>
      </c>
      <c r="DG7" s="284"/>
      <c r="DH7" s="282" t="s">
        <v>317</v>
      </c>
      <c r="DI7" s="91"/>
      <c r="DJ7" s="283" t="s">
        <v>1192</v>
      </c>
      <c r="DK7" s="284"/>
      <c r="DL7" s="282" t="s">
        <v>317</v>
      </c>
      <c r="DM7" s="91"/>
      <c r="DN7" s="283" t="s">
        <v>1192</v>
      </c>
      <c r="DO7" s="284"/>
      <c r="DP7" s="282" t="s">
        <v>317</v>
      </c>
      <c r="DQ7" s="91"/>
      <c r="DR7" s="283" t="s">
        <v>1192</v>
      </c>
      <c r="DS7" s="284"/>
      <c r="DT7" s="282" t="s">
        <v>316</v>
      </c>
      <c r="DU7" s="91"/>
      <c r="DV7" s="283" t="s">
        <v>317</v>
      </c>
      <c r="DW7" s="284"/>
      <c r="DX7" s="282" t="s">
        <v>317</v>
      </c>
      <c r="DY7" s="91"/>
      <c r="DZ7" s="283" t="s">
        <v>1192</v>
      </c>
      <c r="EA7" s="284"/>
      <c r="EB7" s="282" t="s">
        <v>317</v>
      </c>
      <c r="EC7" s="91"/>
      <c r="ED7" s="283" t="s">
        <v>1192</v>
      </c>
      <c r="EE7" s="284"/>
      <c r="EF7" s="547" t="s">
        <v>321</v>
      </c>
      <c r="EG7" s="560"/>
      <c r="EH7" s="378" t="s">
        <v>322</v>
      </c>
      <c r="EI7" s="378" t="s">
        <v>318</v>
      </c>
      <c r="EJ7" s="391" t="s">
        <v>323</v>
      </c>
      <c r="EK7" s="381" t="s">
        <v>322</v>
      </c>
      <c r="EL7" s="381" t="s">
        <v>318</v>
      </c>
      <c r="EM7" s="392" t="s">
        <v>323</v>
      </c>
      <c r="EN7" s="378" t="s">
        <v>274</v>
      </c>
      <c r="EO7" s="383" t="s">
        <v>274</v>
      </c>
      <c r="EP7" s="596" t="s">
        <v>11</v>
      </c>
      <c r="EQ7" s="597"/>
      <c r="ER7" s="596" t="s">
        <v>12</v>
      </c>
      <c r="ES7" s="597"/>
      <c r="ET7" s="596" t="s">
        <v>324</v>
      </c>
      <c r="EU7" s="597"/>
      <c r="EV7" s="596" t="s">
        <v>325</v>
      </c>
      <c r="EW7" s="597"/>
      <c r="EX7" s="596" t="s">
        <v>12</v>
      </c>
      <c r="EY7" s="597"/>
      <c r="EZ7" s="596" t="s">
        <v>326</v>
      </c>
      <c r="FA7" s="597"/>
      <c r="FB7" s="596" t="s">
        <v>12</v>
      </c>
      <c r="FC7" s="597"/>
      <c r="FD7" s="596" t="s">
        <v>12</v>
      </c>
      <c r="FE7" s="597"/>
      <c r="FF7" s="596" t="s">
        <v>327</v>
      </c>
      <c r="FG7" s="598"/>
      <c r="FH7" s="585"/>
      <c r="FI7" s="586"/>
      <c r="FJ7" s="395" t="s">
        <v>328</v>
      </c>
      <c r="FK7" s="383" t="s">
        <v>328</v>
      </c>
      <c r="FL7" s="594"/>
      <c r="FM7" s="595"/>
      <c r="FN7" s="378" t="s">
        <v>19</v>
      </c>
      <c r="FO7" s="383" t="s">
        <v>19</v>
      </c>
      <c r="FP7" s="89"/>
      <c r="FQ7" s="89"/>
      <c r="FR7" s="89"/>
      <c r="FS7" s="89"/>
    </row>
    <row r="8" spans="1:175" s="58" customFormat="1" ht="30" customHeight="1">
      <c r="A8" s="285" t="s">
        <v>98</v>
      </c>
      <c r="B8" s="92" t="s">
        <v>329</v>
      </c>
      <c r="C8" s="92" t="s">
        <v>330</v>
      </c>
      <c r="D8" s="93" t="s">
        <v>331</v>
      </c>
      <c r="E8" s="94" t="s">
        <v>332</v>
      </c>
      <c r="F8" s="286" t="s">
        <v>317</v>
      </c>
      <c r="G8" s="95" t="s">
        <v>1192</v>
      </c>
      <c r="H8" s="286" t="s">
        <v>317</v>
      </c>
      <c r="I8" s="95" t="s">
        <v>1192</v>
      </c>
      <c r="J8" s="286" t="s">
        <v>317</v>
      </c>
      <c r="K8" s="95" t="s">
        <v>1192</v>
      </c>
      <c r="L8" s="287" t="s">
        <v>317</v>
      </c>
      <c r="M8" s="288" t="s">
        <v>1192</v>
      </c>
      <c r="N8" s="405" t="s">
        <v>317</v>
      </c>
      <c r="O8" s="289"/>
      <c r="P8" s="406"/>
      <c r="Q8" s="406"/>
      <c r="R8" s="407" t="s">
        <v>1</v>
      </c>
      <c r="S8" s="408" t="s">
        <v>1192</v>
      </c>
      <c r="T8" s="409"/>
      <c r="U8" s="409"/>
      <c r="V8" s="409"/>
      <c r="W8" s="410" t="s">
        <v>1</v>
      </c>
      <c r="X8" s="273" t="s">
        <v>323</v>
      </c>
      <c r="Y8" s="411" t="s">
        <v>274</v>
      </c>
      <c r="Z8" s="275" t="s">
        <v>323</v>
      </c>
      <c r="AA8" s="412" t="s">
        <v>274</v>
      </c>
      <c r="AB8" s="273" t="s">
        <v>323</v>
      </c>
      <c r="AC8" s="411" t="s">
        <v>274</v>
      </c>
      <c r="AD8" s="275" t="s">
        <v>323</v>
      </c>
      <c r="AE8" s="412" t="s">
        <v>274</v>
      </c>
      <c r="AF8" s="273" t="s">
        <v>323</v>
      </c>
      <c r="AG8" s="411" t="s">
        <v>274</v>
      </c>
      <c r="AH8" s="275" t="s">
        <v>323</v>
      </c>
      <c r="AI8" s="412" t="s">
        <v>274</v>
      </c>
      <c r="AJ8" s="273" t="s">
        <v>323</v>
      </c>
      <c r="AK8" s="411" t="s">
        <v>274</v>
      </c>
      <c r="AL8" s="275" t="s">
        <v>323</v>
      </c>
      <c r="AM8" s="412" t="s">
        <v>274</v>
      </c>
      <c r="AN8" s="273" t="s">
        <v>323</v>
      </c>
      <c r="AO8" s="411" t="s">
        <v>274</v>
      </c>
      <c r="AP8" s="275" t="s">
        <v>323</v>
      </c>
      <c r="AQ8" s="413" t="s">
        <v>274</v>
      </c>
      <c r="AR8" s="290" t="s">
        <v>316</v>
      </c>
      <c r="AS8" s="290" t="s">
        <v>316</v>
      </c>
      <c r="AT8" s="291" t="s">
        <v>317</v>
      </c>
      <c r="AU8" s="291" t="s">
        <v>317</v>
      </c>
      <c r="AV8" s="289" t="s">
        <v>317</v>
      </c>
      <c r="AW8" s="95" t="s">
        <v>1192</v>
      </c>
      <c r="AX8" s="273" t="s">
        <v>323</v>
      </c>
      <c r="AY8" s="411" t="s">
        <v>274</v>
      </c>
      <c r="AZ8" s="275" t="s">
        <v>323</v>
      </c>
      <c r="BA8" s="412" t="s">
        <v>274</v>
      </c>
      <c r="BB8" s="273" t="s">
        <v>323</v>
      </c>
      <c r="BC8" s="411" t="s">
        <v>274</v>
      </c>
      <c r="BD8" s="275" t="s">
        <v>323</v>
      </c>
      <c r="BE8" s="412" t="s">
        <v>274</v>
      </c>
      <c r="BF8" s="273" t="s">
        <v>323</v>
      </c>
      <c r="BG8" s="411" t="s">
        <v>274</v>
      </c>
      <c r="BH8" s="275" t="s">
        <v>323</v>
      </c>
      <c r="BI8" s="412" t="s">
        <v>274</v>
      </c>
      <c r="BJ8" s="273" t="s">
        <v>323</v>
      </c>
      <c r="BK8" s="411" t="s">
        <v>274</v>
      </c>
      <c r="BL8" s="275" t="s">
        <v>323</v>
      </c>
      <c r="BM8" s="412" t="s">
        <v>274</v>
      </c>
      <c r="BN8" s="273" t="s">
        <v>323</v>
      </c>
      <c r="BO8" s="411" t="s">
        <v>274</v>
      </c>
      <c r="BP8" s="275" t="s">
        <v>323</v>
      </c>
      <c r="BQ8" s="412" t="s">
        <v>274</v>
      </c>
      <c r="BR8" s="273" t="s">
        <v>323</v>
      </c>
      <c r="BS8" s="411" t="s">
        <v>274</v>
      </c>
      <c r="BT8" s="275" t="s">
        <v>323</v>
      </c>
      <c r="BU8" s="412" t="s">
        <v>274</v>
      </c>
      <c r="BV8" s="273" t="s">
        <v>323</v>
      </c>
      <c r="BW8" s="411" t="s">
        <v>274</v>
      </c>
      <c r="BX8" s="275" t="s">
        <v>323</v>
      </c>
      <c r="BY8" s="412" t="s">
        <v>274</v>
      </c>
      <c r="BZ8" s="273" t="s">
        <v>323</v>
      </c>
      <c r="CA8" s="411" t="s">
        <v>274</v>
      </c>
      <c r="CB8" s="275" t="s">
        <v>323</v>
      </c>
      <c r="CC8" s="412" t="s">
        <v>274</v>
      </c>
      <c r="CD8" s="273" t="s">
        <v>323</v>
      </c>
      <c r="CE8" s="411" t="s">
        <v>274</v>
      </c>
      <c r="CF8" s="275" t="s">
        <v>323</v>
      </c>
      <c r="CG8" s="412" t="s">
        <v>274</v>
      </c>
      <c r="CH8" s="273" t="s">
        <v>323</v>
      </c>
      <c r="CI8" s="411" t="s">
        <v>274</v>
      </c>
      <c r="CJ8" s="275" t="s">
        <v>323</v>
      </c>
      <c r="CK8" s="412" t="s">
        <v>274</v>
      </c>
      <c r="CL8" s="292" t="s">
        <v>317</v>
      </c>
      <c r="CM8" s="293" t="s">
        <v>1192</v>
      </c>
      <c r="CN8" s="294" t="s">
        <v>317</v>
      </c>
      <c r="CO8" s="294" t="s">
        <v>1192</v>
      </c>
      <c r="CP8" s="295" t="s">
        <v>317</v>
      </c>
      <c r="CQ8" s="295" t="s">
        <v>317</v>
      </c>
      <c r="CR8" s="273" t="s">
        <v>323</v>
      </c>
      <c r="CS8" s="411" t="s">
        <v>274</v>
      </c>
      <c r="CT8" s="275" t="s">
        <v>323</v>
      </c>
      <c r="CU8" s="412" t="s">
        <v>274</v>
      </c>
      <c r="CV8" s="273" t="s">
        <v>323</v>
      </c>
      <c r="CW8" s="411" t="s">
        <v>274</v>
      </c>
      <c r="CX8" s="275" t="s">
        <v>323</v>
      </c>
      <c r="CY8" s="412" t="s">
        <v>274</v>
      </c>
      <c r="CZ8" s="273" t="s">
        <v>323</v>
      </c>
      <c r="DA8" s="411" t="s">
        <v>274</v>
      </c>
      <c r="DB8" s="275" t="s">
        <v>323</v>
      </c>
      <c r="DC8" s="412" t="s">
        <v>274</v>
      </c>
      <c r="DD8" s="273" t="s">
        <v>323</v>
      </c>
      <c r="DE8" s="411" t="s">
        <v>274</v>
      </c>
      <c r="DF8" s="275" t="s">
        <v>323</v>
      </c>
      <c r="DG8" s="412" t="s">
        <v>274</v>
      </c>
      <c r="DH8" s="273" t="s">
        <v>323</v>
      </c>
      <c r="DI8" s="411" t="s">
        <v>274</v>
      </c>
      <c r="DJ8" s="275" t="s">
        <v>323</v>
      </c>
      <c r="DK8" s="412" t="s">
        <v>274</v>
      </c>
      <c r="DL8" s="273" t="s">
        <v>323</v>
      </c>
      <c r="DM8" s="411" t="s">
        <v>274</v>
      </c>
      <c r="DN8" s="275" t="s">
        <v>323</v>
      </c>
      <c r="DO8" s="412" t="s">
        <v>274</v>
      </c>
      <c r="DP8" s="273" t="s">
        <v>323</v>
      </c>
      <c r="DQ8" s="411" t="s">
        <v>274</v>
      </c>
      <c r="DR8" s="275" t="s">
        <v>323</v>
      </c>
      <c r="DS8" s="412" t="s">
        <v>274</v>
      </c>
      <c r="DT8" s="273" t="s">
        <v>323</v>
      </c>
      <c r="DU8" s="411" t="s">
        <v>274</v>
      </c>
      <c r="DV8" s="275" t="s">
        <v>323</v>
      </c>
      <c r="DW8" s="412" t="s">
        <v>274</v>
      </c>
      <c r="DX8" s="273" t="s">
        <v>323</v>
      </c>
      <c r="DY8" s="411" t="s">
        <v>274</v>
      </c>
      <c r="DZ8" s="275" t="s">
        <v>323</v>
      </c>
      <c r="EA8" s="412" t="s">
        <v>274</v>
      </c>
      <c r="EB8" s="273" t="s">
        <v>323</v>
      </c>
      <c r="EC8" s="411" t="s">
        <v>274</v>
      </c>
      <c r="ED8" s="275" t="s">
        <v>323</v>
      </c>
      <c r="EE8" s="412" t="s">
        <v>274</v>
      </c>
      <c r="EF8" s="292" t="s">
        <v>317</v>
      </c>
      <c r="EG8" s="293" t="s">
        <v>1192</v>
      </c>
      <c r="EH8" s="290" t="s">
        <v>317</v>
      </c>
      <c r="EI8" s="290" t="s">
        <v>317</v>
      </c>
      <c r="EJ8" s="290" t="s">
        <v>317</v>
      </c>
      <c r="EK8" s="291" t="s">
        <v>1192</v>
      </c>
      <c r="EL8" s="291" t="s">
        <v>1192</v>
      </c>
      <c r="EM8" s="291" t="s">
        <v>1192</v>
      </c>
      <c r="EN8" s="290" t="s">
        <v>317</v>
      </c>
      <c r="EO8" s="291" t="s">
        <v>1192</v>
      </c>
      <c r="EP8" s="296" t="s">
        <v>317</v>
      </c>
      <c r="EQ8" s="297" t="s">
        <v>1192</v>
      </c>
      <c r="ER8" s="296" t="s">
        <v>317</v>
      </c>
      <c r="ES8" s="297" t="s">
        <v>1192</v>
      </c>
      <c r="ET8" s="296" t="s">
        <v>317</v>
      </c>
      <c r="EU8" s="297" t="s">
        <v>1192</v>
      </c>
      <c r="EV8" s="414" t="s">
        <v>316</v>
      </c>
      <c r="EW8" s="298" t="s">
        <v>317</v>
      </c>
      <c r="EX8" s="296" t="s">
        <v>317</v>
      </c>
      <c r="EY8" s="297" t="s">
        <v>1192</v>
      </c>
      <c r="EZ8" s="296" t="s">
        <v>317</v>
      </c>
      <c r="FA8" s="297" t="s">
        <v>1192</v>
      </c>
      <c r="FB8" s="296" t="s">
        <v>317</v>
      </c>
      <c r="FC8" s="297" t="s">
        <v>1192</v>
      </c>
      <c r="FD8" s="296" t="s">
        <v>317</v>
      </c>
      <c r="FE8" s="297" t="s">
        <v>1192</v>
      </c>
      <c r="FF8" s="296" t="s">
        <v>317</v>
      </c>
      <c r="FG8" s="297" t="s">
        <v>1192</v>
      </c>
      <c r="FH8" s="296" t="s">
        <v>317</v>
      </c>
      <c r="FI8" s="297" t="s">
        <v>1192</v>
      </c>
      <c r="FJ8" s="294" t="s">
        <v>317</v>
      </c>
      <c r="FK8" s="295" t="s">
        <v>1192</v>
      </c>
      <c r="FL8" s="292" t="s">
        <v>317</v>
      </c>
      <c r="FM8" s="297" t="s">
        <v>1192</v>
      </c>
      <c r="FN8" s="290" t="s">
        <v>317</v>
      </c>
      <c r="FO8" s="295" t="s">
        <v>1192</v>
      </c>
      <c r="FP8" s="59"/>
      <c r="FQ8" s="59"/>
      <c r="FR8" s="59"/>
      <c r="FS8" s="59"/>
    </row>
    <row r="9" spans="1:175" s="272" customFormat="1" ht="76.5" hidden="1" customHeight="1">
      <c r="A9" s="96" t="s">
        <v>98</v>
      </c>
      <c r="B9" s="97" t="s">
        <v>329</v>
      </c>
      <c r="C9" s="97" t="s">
        <v>333</v>
      </c>
      <c r="D9" s="96" t="s">
        <v>334</v>
      </c>
      <c r="E9" s="96" t="s">
        <v>86</v>
      </c>
      <c r="F9" s="415" t="s">
        <v>335</v>
      </c>
      <c r="G9" s="415" t="s">
        <v>336</v>
      </c>
      <c r="H9" s="415" t="s">
        <v>337</v>
      </c>
      <c r="I9" s="415" t="s">
        <v>338</v>
      </c>
      <c r="J9" s="415" t="s">
        <v>339</v>
      </c>
      <c r="K9" s="415" t="s">
        <v>340</v>
      </c>
      <c r="L9" s="415" t="s">
        <v>341</v>
      </c>
      <c r="M9" s="415" t="s">
        <v>342</v>
      </c>
      <c r="N9" s="415" t="s">
        <v>343</v>
      </c>
      <c r="O9" s="415" t="s">
        <v>344</v>
      </c>
      <c r="P9" s="415" t="s">
        <v>345</v>
      </c>
      <c r="Q9" s="415" t="s">
        <v>346</v>
      </c>
      <c r="R9" s="415" t="s">
        <v>347</v>
      </c>
      <c r="S9" s="415" t="s">
        <v>348</v>
      </c>
      <c r="T9" s="415" t="s">
        <v>349</v>
      </c>
      <c r="U9" s="415" t="s">
        <v>350</v>
      </c>
      <c r="V9" s="415" t="s">
        <v>351</v>
      </c>
      <c r="W9" s="415" t="s">
        <v>352</v>
      </c>
      <c r="X9" s="416" t="s">
        <v>353</v>
      </c>
      <c r="Y9" s="415" t="s">
        <v>354</v>
      </c>
      <c r="Z9" s="416" t="s">
        <v>355</v>
      </c>
      <c r="AA9" s="415" t="s">
        <v>356</v>
      </c>
      <c r="AB9" s="416" t="s">
        <v>357</v>
      </c>
      <c r="AC9" s="415" t="s">
        <v>358</v>
      </c>
      <c r="AD9" s="416" t="s">
        <v>359</v>
      </c>
      <c r="AE9" s="415" t="s">
        <v>360</v>
      </c>
      <c r="AF9" s="416" t="s">
        <v>361</v>
      </c>
      <c r="AG9" s="415" t="s">
        <v>362</v>
      </c>
      <c r="AH9" s="416" t="s">
        <v>363</v>
      </c>
      <c r="AI9" s="415" t="s">
        <v>364</v>
      </c>
      <c r="AJ9" s="416" t="s">
        <v>365</v>
      </c>
      <c r="AK9" s="415" t="s">
        <v>366</v>
      </c>
      <c r="AL9" s="416" t="s">
        <v>367</v>
      </c>
      <c r="AM9" s="415" t="s">
        <v>368</v>
      </c>
      <c r="AN9" s="416" t="s">
        <v>369</v>
      </c>
      <c r="AO9" s="415" t="s">
        <v>370</v>
      </c>
      <c r="AP9" s="416" t="s">
        <v>371</v>
      </c>
      <c r="AQ9" s="415" t="s">
        <v>372</v>
      </c>
      <c r="AR9" s="415" t="s">
        <v>373</v>
      </c>
      <c r="AS9" s="415" t="s">
        <v>374</v>
      </c>
      <c r="AT9" s="415" t="s">
        <v>375</v>
      </c>
      <c r="AU9" s="415" t="s">
        <v>376</v>
      </c>
      <c r="AV9" s="415" t="s">
        <v>377</v>
      </c>
      <c r="AW9" s="415" t="s">
        <v>378</v>
      </c>
      <c r="AX9" s="416" t="s">
        <v>379</v>
      </c>
      <c r="AY9" s="415" t="s">
        <v>380</v>
      </c>
      <c r="AZ9" s="416" t="s">
        <v>381</v>
      </c>
      <c r="BA9" s="415" t="s">
        <v>382</v>
      </c>
      <c r="BB9" s="416" t="s">
        <v>383</v>
      </c>
      <c r="BC9" s="415" t="s">
        <v>384</v>
      </c>
      <c r="BD9" s="416" t="s">
        <v>385</v>
      </c>
      <c r="BE9" s="415" t="s">
        <v>386</v>
      </c>
      <c r="BF9" s="416" t="s">
        <v>387</v>
      </c>
      <c r="BG9" s="415" t="s">
        <v>388</v>
      </c>
      <c r="BH9" s="416" t="s">
        <v>389</v>
      </c>
      <c r="BI9" s="415" t="s">
        <v>390</v>
      </c>
      <c r="BJ9" s="416" t="s">
        <v>391</v>
      </c>
      <c r="BK9" s="415" t="s">
        <v>392</v>
      </c>
      <c r="BL9" s="416" t="s">
        <v>393</v>
      </c>
      <c r="BM9" s="415" t="s">
        <v>394</v>
      </c>
      <c r="BN9" s="416" t="s">
        <v>395</v>
      </c>
      <c r="BO9" s="415" t="s">
        <v>396</v>
      </c>
      <c r="BP9" s="416" t="s">
        <v>397</v>
      </c>
      <c r="BQ9" s="415" t="s">
        <v>398</v>
      </c>
      <c r="BR9" s="416" t="s">
        <v>399</v>
      </c>
      <c r="BS9" s="415" t="s">
        <v>400</v>
      </c>
      <c r="BT9" s="416" t="s">
        <v>401</v>
      </c>
      <c r="BU9" s="415" t="s">
        <v>402</v>
      </c>
      <c r="BV9" s="416" t="s">
        <v>403</v>
      </c>
      <c r="BW9" s="415" t="s">
        <v>404</v>
      </c>
      <c r="BX9" s="416" t="s">
        <v>405</v>
      </c>
      <c r="BY9" s="415" t="s">
        <v>406</v>
      </c>
      <c r="BZ9" s="416" t="s">
        <v>407</v>
      </c>
      <c r="CA9" s="415" t="s">
        <v>408</v>
      </c>
      <c r="CB9" s="416" t="s">
        <v>409</v>
      </c>
      <c r="CC9" s="415" t="s">
        <v>410</v>
      </c>
      <c r="CD9" s="416" t="s">
        <v>411</v>
      </c>
      <c r="CE9" s="415" t="s">
        <v>412</v>
      </c>
      <c r="CF9" s="416" t="s">
        <v>413</v>
      </c>
      <c r="CG9" s="415" t="s">
        <v>414</v>
      </c>
      <c r="CH9" s="416" t="s">
        <v>415</v>
      </c>
      <c r="CI9" s="415" t="s">
        <v>416</v>
      </c>
      <c r="CJ9" s="416" t="s">
        <v>417</v>
      </c>
      <c r="CK9" s="415" t="s">
        <v>418</v>
      </c>
      <c r="CL9" s="415" t="s">
        <v>419</v>
      </c>
      <c r="CM9" s="415" t="s">
        <v>420</v>
      </c>
      <c r="CN9" s="415" t="s">
        <v>421</v>
      </c>
      <c r="CO9" s="415" t="s">
        <v>422</v>
      </c>
      <c r="CP9" s="415" t="s">
        <v>423</v>
      </c>
      <c r="CQ9" s="415" t="s">
        <v>424</v>
      </c>
      <c r="CR9" s="416" t="s">
        <v>425</v>
      </c>
      <c r="CS9" s="415" t="s">
        <v>426</v>
      </c>
      <c r="CT9" s="416" t="s">
        <v>427</v>
      </c>
      <c r="CU9" s="415" t="s">
        <v>428</v>
      </c>
      <c r="CV9" s="416" t="s">
        <v>429</v>
      </c>
      <c r="CW9" s="415" t="s">
        <v>430</v>
      </c>
      <c r="CX9" s="416" t="s">
        <v>431</v>
      </c>
      <c r="CY9" s="415" t="s">
        <v>432</v>
      </c>
      <c r="CZ9" s="416" t="s">
        <v>433</v>
      </c>
      <c r="DA9" s="415" t="s">
        <v>434</v>
      </c>
      <c r="DB9" s="416" t="s">
        <v>435</v>
      </c>
      <c r="DC9" s="415" t="s">
        <v>436</v>
      </c>
      <c r="DD9" s="416" t="s">
        <v>437</v>
      </c>
      <c r="DE9" s="415" t="s">
        <v>438</v>
      </c>
      <c r="DF9" s="416" t="s">
        <v>439</v>
      </c>
      <c r="DG9" s="415" t="s">
        <v>440</v>
      </c>
      <c r="DH9" s="417" t="s">
        <v>441</v>
      </c>
      <c r="DI9" s="415" t="s">
        <v>442</v>
      </c>
      <c r="DJ9" s="416" t="s">
        <v>443</v>
      </c>
      <c r="DK9" s="415" t="s">
        <v>444</v>
      </c>
      <c r="DL9" s="416" t="s">
        <v>445</v>
      </c>
      <c r="DM9" s="415" t="s">
        <v>446</v>
      </c>
      <c r="DN9" s="416" t="s">
        <v>447</v>
      </c>
      <c r="DO9" s="415" t="s">
        <v>448</v>
      </c>
      <c r="DP9" s="416" t="s">
        <v>449</v>
      </c>
      <c r="DQ9" s="415" t="s">
        <v>450</v>
      </c>
      <c r="DR9" s="416" t="s">
        <v>451</v>
      </c>
      <c r="DS9" s="415" t="s">
        <v>452</v>
      </c>
      <c r="DT9" s="416" t="s">
        <v>453</v>
      </c>
      <c r="DU9" s="415" t="s">
        <v>454</v>
      </c>
      <c r="DV9" s="416" t="s">
        <v>455</v>
      </c>
      <c r="DW9" s="415" t="s">
        <v>456</v>
      </c>
      <c r="DX9" s="416" t="s">
        <v>457</v>
      </c>
      <c r="DY9" s="415" t="s">
        <v>458</v>
      </c>
      <c r="DZ9" s="416" t="s">
        <v>459</v>
      </c>
      <c r="EA9" s="415" t="s">
        <v>460</v>
      </c>
      <c r="EB9" s="416" t="s">
        <v>461</v>
      </c>
      <c r="EC9" s="415" t="s">
        <v>462</v>
      </c>
      <c r="ED9" s="416" t="s">
        <v>463</v>
      </c>
      <c r="EE9" s="415" t="s">
        <v>464</v>
      </c>
      <c r="EF9" s="415" t="s">
        <v>465</v>
      </c>
      <c r="EG9" s="415" t="s">
        <v>466</v>
      </c>
      <c r="EH9" s="415" t="s">
        <v>467</v>
      </c>
      <c r="EI9" s="415" t="s">
        <v>468</v>
      </c>
      <c r="EJ9" s="415" t="s">
        <v>469</v>
      </c>
      <c r="EK9" s="415" t="s">
        <v>470</v>
      </c>
      <c r="EL9" s="415" t="s">
        <v>471</v>
      </c>
      <c r="EM9" s="415" t="s">
        <v>472</v>
      </c>
      <c r="EN9" s="415" t="s">
        <v>473</v>
      </c>
      <c r="EO9" s="415" t="s">
        <v>474</v>
      </c>
      <c r="EP9" s="415" t="s">
        <v>475</v>
      </c>
      <c r="EQ9" s="415" t="s">
        <v>476</v>
      </c>
      <c r="ER9" s="415" t="s">
        <v>477</v>
      </c>
      <c r="ES9" s="415" t="s">
        <v>478</v>
      </c>
      <c r="ET9" s="415" t="s">
        <v>479</v>
      </c>
      <c r="EU9" s="415" t="s">
        <v>480</v>
      </c>
      <c r="EV9" s="415" t="s">
        <v>481</v>
      </c>
      <c r="EW9" s="415" t="s">
        <v>482</v>
      </c>
      <c r="EX9" s="415" t="s">
        <v>483</v>
      </c>
      <c r="EY9" s="415" t="s">
        <v>484</v>
      </c>
      <c r="EZ9" s="415" t="s">
        <v>485</v>
      </c>
      <c r="FA9" s="415" t="s">
        <v>486</v>
      </c>
      <c r="FB9" s="415" t="s">
        <v>487</v>
      </c>
      <c r="FC9" s="415" t="s">
        <v>488</v>
      </c>
      <c r="FD9" s="415" t="s">
        <v>489</v>
      </c>
      <c r="FE9" s="415" t="s">
        <v>490</v>
      </c>
      <c r="FF9" s="415" t="s">
        <v>491</v>
      </c>
      <c r="FG9" s="415" t="s">
        <v>492</v>
      </c>
      <c r="FH9" s="415" t="s">
        <v>493</v>
      </c>
      <c r="FI9" s="415" t="s">
        <v>494</v>
      </c>
      <c r="FJ9" s="415" t="s">
        <v>495</v>
      </c>
      <c r="FK9" s="415" t="s">
        <v>496</v>
      </c>
      <c r="FL9" s="415" t="s">
        <v>497</v>
      </c>
      <c r="FM9" s="415" t="s">
        <v>498</v>
      </c>
      <c r="FN9" s="415" t="s">
        <v>499</v>
      </c>
      <c r="FO9" s="415" t="s">
        <v>500</v>
      </c>
    </row>
    <row r="10" spans="1:175">
      <c r="A10" s="98" t="s">
        <v>100</v>
      </c>
      <c r="B10" s="99" t="s">
        <v>501</v>
      </c>
      <c r="C10" s="100"/>
      <c r="D10" s="101">
        <v>100858</v>
      </c>
      <c r="E10" s="101">
        <v>1</v>
      </c>
      <c r="F10" s="419">
        <v>2</v>
      </c>
      <c r="G10" s="420">
        <v>3</v>
      </c>
      <c r="H10" s="419"/>
      <c r="I10" s="421"/>
      <c r="J10" s="419"/>
      <c r="K10" s="421"/>
      <c r="L10" s="422">
        <f t="shared" ref="L10" si="0">IF(N10&gt;0,J10/N10, )</f>
        <v>0</v>
      </c>
      <c r="M10" s="423">
        <f t="shared" ref="M10" si="1">IF(S10&gt;0,K10/S10, )</f>
        <v>0</v>
      </c>
      <c r="N10" s="419">
        <v>5246</v>
      </c>
      <c r="O10" s="309">
        <f>0</f>
        <v>0</v>
      </c>
      <c r="P10" s="309">
        <f>0</f>
        <v>0</v>
      </c>
      <c r="Q10" s="309">
        <f>0</f>
        <v>0</v>
      </c>
      <c r="R10" s="424">
        <f t="shared" ref="R10:R73" si="2">SUM(O10:Q10)</f>
        <v>0</v>
      </c>
      <c r="S10" s="421">
        <v>5549</v>
      </c>
      <c r="T10" s="301">
        <f>0</f>
        <v>0</v>
      </c>
      <c r="U10" s="301">
        <f>0</f>
        <v>0</v>
      </c>
      <c r="V10" s="301">
        <f>0</f>
        <v>0</v>
      </c>
      <c r="W10" s="425">
        <f t="shared" ref="W10:W73" si="3">SUM(T10:V10)</f>
        <v>0</v>
      </c>
      <c r="X10" s="419"/>
      <c r="Y10" s="419"/>
      <c r="Z10" s="421"/>
      <c r="AA10" s="421"/>
      <c r="AB10" s="419"/>
      <c r="AC10" s="419"/>
      <c r="AD10" s="421"/>
      <c r="AE10" s="421"/>
      <c r="AF10" s="419"/>
      <c r="AG10" s="419"/>
      <c r="AH10" s="421"/>
      <c r="AI10" s="421"/>
      <c r="AJ10" s="419"/>
      <c r="AK10" s="419"/>
      <c r="AL10" s="421"/>
      <c r="AM10" s="421"/>
      <c r="AN10" s="419"/>
      <c r="AO10" s="419"/>
      <c r="AP10" s="421"/>
      <c r="AQ10" s="421"/>
      <c r="AR10" s="424">
        <f t="shared" ref="AR10" si="4">COUNTA(X10,AB10,AF10,AJ10,AN10)</f>
        <v>0</v>
      </c>
      <c r="AS10" s="422">
        <f t="shared" ref="AS10" si="5">IF(FN10&gt;0,N10/FN10,)</f>
        <v>0.70920643504123293</v>
      </c>
      <c r="AT10" s="425">
        <f t="shared" ref="AT10" si="6">COUNTA(Z10,AD10,AH10,AL10,AP10)</f>
        <v>0</v>
      </c>
      <c r="AU10" s="423">
        <f t="shared" ref="AU10" si="7">IF(FO10&gt;0,S10/FO10,)</f>
        <v>0.72412893122797861</v>
      </c>
      <c r="AV10" s="419">
        <v>218</v>
      </c>
      <c r="AW10" s="421">
        <v>220</v>
      </c>
      <c r="AX10" s="419">
        <v>52</v>
      </c>
      <c r="AY10" s="419">
        <v>335</v>
      </c>
      <c r="AZ10" s="421">
        <v>52</v>
      </c>
      <c r="BA10" s="421">
        <v>309</v>
      </c>
      <c r="BB10" s="419">
        <v>13</v>
      </c>
      <c r="BC10" s="419">
        <v>272</v>
      </c>
      <c r="BD10" s="421">
        <v>13</v>
      </c>
      <c r="BE10" s="421">
        <v>262</v>
      </c>
      <c r="BF10" s="419">
        <v>14</v>
      </c>
      <c r="BG10" s="419">
        <v>255</v>
      </c>
      <c r="BH10" s="421">
        <v>14</v>
      </c>
      <c r="BI10" s="421">
        <v>260</v>
      </c>
      <c r="BJ10" s="419">
        <v>51</v>
      </c>
      <c r="BK10" s="419">
        <v>107</v>
      </c>
      <c r="BL10" s="421">
        <v>51</v>
      </c>
      <c r="BM10" s="420">
        <v>78</v>
      </c>
      <c r="BN10" s="419">
        <v>26</v>
      </c>
      <c r="BO10" s="419">
        <v>95</v>
      </c>
      <c r="BP10" s="421">
        <v>1</v>
      </c>
      <c r="BQ10" s="420">
        <v>73</v>
      </c>
      <c r="BR10" s="419">
        <v>44</v>
      </c>
      <c r="BS10" s="419">
        <v>70</v>
      </c>
      <c r="BT10" s="421">
        <v>26</v>
      </c>
      <c r="BU10" s="421">
        <v>66</v>
      </c>
      <c r="BV10" s="419">
        <v>1</v>
      </c>
      <c r="BW10" s="419">
        <v>69</v>
      </c>
      <c r="BX10" s="421">
        <v>4</v>
      </c>
      <c r="BY10" s="420">
        <v>48</v>
      </c>
      <c r="BZ10" s="419">
        <v>4</v>
      </c>
      <c r="CA10" s="419">
        <v>42</v>
      </c>
      <c r="CB10" s="421">
        <v>44</v>
      </c>
      <c r="CC10" s="421">
        <v>43</v>
      </c>
      <c r="CD10" s="419">
        <v>27</v>
      </c>
      <c r="CE10" s="419">
        <v>23</v>
      </c>
      <c r="CF10" s="421">
        <v>42</v>
      </c>
      <c r="CG10" s="420">
        <v>28</v>
      </c>
      <c r="CH10" s="419">
        <v>40</v>
      </c>
      <c r="CI10" s="419">
        <v>22</v>
      </c>
      <c r="CJ10" s="421">
        <v>40</v>
      </c>
      <c r="CK10" s="421">
        <v>26</v>
      </c>
      <c r="CL10" s="419">
        <v>120</v>
      </c>
      <c r="CM10" s="420">
        <v>160</v>
      </c>
      <c r="CN10" s="424">
        <f t="shared" ref="CN10" si="8">AY10+BC10+BG10+BK10+BO10+BS10+BW10+CA10+CE10+CI10+CL10</f>
        <v>1410</v>
      </c>
      <c r="CO10" s="424">
        <f t="shared" ref="CO10" si="9">COUNTA(AX10,BB10,BF10,BJ10,BN10,BR10,BV10,BZ10,CD10,CH10)</f>
        <v>10</v>
      </c>
      <c r="CP10" s="425">
        <f t="shared" ref="CP10" si="10">BA10+BE10+BI10+BM10+BQ10+BU10+BY10+CC10+CG10+CK10+CM10</f>
        <v>1353</v>
      </c>
      <c r="CQ10" s="425">
        <f t="shared" ref="CQ10" si="11">COUNTA(AZ10,BD10,BH10,BL10,BP10,BT10,BX10,CB10,CF10,CJ10)</f>
        <v>10</v>
      </c>
      <c r="CR10" s="419">
        <v>14</v>
      </c>
      <c r="CS10" s="419">
        <v>70</v>
      </c>
      <c r="CT10" s="421">
        <v>14</v>
      </c>
      <c r="CU10" s="421">
        <v>71</v>
      </c>
      <c r="CV10" s="419">
        <v>13</v>
      </c>
      <c r="CW10" s="419">
        <v>40</v>
      </c>
      <c r="CX10" s="421">
        <v>13</v>
      </c>
      <c r="CY10" s="421">
        <v>46</v>
      </c>
      <c r="CZ10" s="419">
        <v>1</v>
      </c>
      <c r="DA10" s="419">
        <v>23</v>
      </c>
      <c r="DB10" s="421">
        <v>26</v>
      </c>
      <c r="DC10" s="420">
        <v>33</v>
      </c>
      <c r="DD10" s="419">
        <v>42</v>
      </c>
      <c r="DE10" s="419">
        <v>21</v>
      </c>
      <c r="DF10" s="421">
        <v>40</v>
      </c>
      <c r="DG10" s="421">
        <v>18</v>
      </c>
      <c r="DH10" s="419">
        <v>26</v>
      </c>
      <c r="DI10" s="419">
        <v>20</v>
      </c>
      <c r="DJ10" s="421">
        <v>42</v>
      </c>
      <c r="DK10" s="421">
        <v>18</v>
      </c>
      <c r="DL10" s="419">
        <v>40</v>
      </c>
      <c r="DM10" s="419">
        <v>18</v>
      </c>
      <c r="DN10" s="421">
        <v>1</v>
      </c>
      <c r="DO10" s="421">
        <v>18</v>
      </c>
      <c r="DP10" s="419">
        <v>52</v>
      </c>
      <c r="DQ10" s="419">
        <v>12</v>
      </c>
      <c r="DR10" s="421">
        <v>27</v>
      </c>
      <c r="DS10" s="421">
        <v>14</v>
      </c>
      <c r="DT10" s="419">
        <v>27</v>
      </c>
      <c r="DU10" s="419">
        <v>10</v>
      </c>
      <c r="DV10" s="421">
        <v>51</v>
      </c>
      <c r="DW10" s="420">
        <v>13</v>
      </c>
      <c r="DX10" s="419">
        <v>51</v>
      </c>
      <c r="DY10" s="419">
        <v>9</v>
      </c>
      <c r="DZ10" s="421">
        <v>52</v>
      </c>
      <c r="EA10" s="420">
        <v>13</v>
      </c>
      <c r="EB10" s="419">
        <v>54</v>
      </c>
      <c r="EC10" s="419">
        <v>7</v>
      </c>
      <c r="ED10" s="421">
        <v>44</v>
      </c>
      <c r="EE10" s="421">
        <v>8</v>
      </c>
      <c r="EF10" s="419">
        <v>14</v>
      </c>
      <c r="EG10" s="420">
        <v>17</v>
      </c>
      <c r="EH10" s="424">
        <f t="shared" ref="EH10" si="12">CS10+CW10+DA10+DE10+DI10+DM10+DQ10+DU10+DY10+EC10+EF10</f>
        <v>244</v>
      </c>
      <c r="EI10" s="424">
        <f t="shared" ref="EI10" si="13">COUNTA(CR10,CV10,CZ10,DD10,DH10,DL10,DP10,DT10,DX10,EB10)</f>
        <v>10</v>
      </c>
      <c r="EJ10" s="422">
        <f t="shared" ref="EJ10" si="14">IF(EH10&gt;0,CS10/EH10,)</f>
        <v>0.28688524590163933</v>
      </c>
      <c r="EK10" s="425">
        <f t="shared" ref="EK10" si="15">CU10+CY10+DC10+DG10+DK10+DO10+DS10+DW10+EA10+EE10+EG10</f>
        <v>269</v>
      </c>
      <c r="EL10" s="425">
        <f t="shared" ref="EL10" si="16">COUNTA(CT10,CX10,DB10,DF10,DJ10,DN10,DR10,DV10,DZ10,ED10)</f>
        <v>10</v>
      </c>
      <c r="EM10" s="423">
        <f t="shared" ref="EM10" si="17">IF(EK10&gt;0,CU10/EK10,)</f>
        <v>0.26394052044609667</v>
      </c>
      <c r="EN10" s="424">
        <f t="shared" ref="EN10" si="18">CN10+EH10</f>
        <v>1654</v>
      </c>
      <c r="EO10" s="425">
        <f t="shared" ref="EO10" si="19">CP10+EK10</f>
        <v>1622</v>
      </c>
      <c r="EP10" s="419"/>
      <c r="EQ10" s="421"/>
      <c r="ER10" s="419"/>
      <c r="ES10" s="421"/>
      <c r="ET10" s="419"/>
      <c r="EU10" s="421"/>
      <c r="EV10" s="419">
        <v>145</v>
      </c>
      <c r="EW10" s="421">
        <v>138</v>
      </c>
      <c r="EX10" s="419"/>
      <c r="EY10" s="421"/>
      <c r="EZ10" s="419"/>
      <c r="FA10" s="421"/>
      <c r="FB10" s="419"/>
      <c r="FC10" s="421"/>
      <c r="FD10" s="419">
        <v>123</v>
      </c>
      <c r="FE10" s="421">
        <v>116</v>
      </c>
      <c r="FF10" s="419"/>
      <c r="FG10" s="421"/>
      <c r="FH10" s="419">
        <v>9</v>
      </c>
      <c r="FI10" s="420">
        <v>15</v>
      </c>
      <c r="FJ10" s="424">
        <f t="shared" ref="FJ10:FK10" si="20">EP10+ER10+ET10+EV10+EX10+EZ10+FB10+FD10+FF10+FH10</f>
        <v>277</v>
      </c>
      <c r="FK10" s="425">
        <f t="shared" si="20"/>
        <v>269</v>
      </c>
      <c r="FL10" s="419"/>
      <c r="FM10" s="421">
        <v>0</v>
      </c>
      <c r="FN10" s="424">
        <f t="shared" ref="FN10" si="21">F10+H10+J10+N10+AV10+EN10+FJ10+FL10</f>
        <v>7397</v>
      </c>
      <c r="FO10" s="425">
        <f t="shared" ref="FO10" si="22">G10+I10+K10+S10+AW10+EO10+FK10+FM10</f>
        <v>7663</v>
      </c>
    </row>
    <row r="11" spans="1:175">
      <c r="A11" s="98" t="s">
        <v>100</v>
      </c>
      <c r="B11" s="99" t="s">
        <v>502</v>
      </c>
      <c r="C11" s="100"/>
      <c r="D11" s="101">
        <v>100751</v>
      </c>
      <c r="E11" s="101">
        <v>1</v>
      </c>
      <c r="F11" s="419"/>
      <c r="G11" s="421"/>
      <c r="H11" s="419"/>
      <c r="I11" s="421"/>
      <c r="J11" s="419"/>
      <c r="K11" s="421"/>
      <c r="L11" s="422">
        <f t="shared" ref="L11:L74" si="23">IF(N11&gt;0,J11/N11, )</f>
        <v>0</v>
      </c>
      <c r="M11" s="423">
        <f t="shared" ref="M11:M74" si="24">IF(S11&gt;0,K11/S11, )</f>
        <v>0</v>
      </c>
      <c r="N11" s="419">
        <v>6912</v>
      </c>
      <c r="O11" s="309">
        <f>0</f>
        <v>0</v>
      </c>
      <c r="P11" s="309">
        <f>0</f>
        <v>0</v>
      </c>
      <c r="Q11" s="309">
        <f>0</f>
        <v>0</v>
      </c>
      <c r="R11" s="424">
        <f t="shared" si="2"/>
        <v>0</v>
      </c>
      <c r="S11" s="421">
        <v>7429</v>
      </c>
      <c r="T11" s="301">
        <f>0</f>
        <v>0</v>
      </c>
      <c r="U11" s="301">
        <f>0</f>
        <v>0</v>
      </c>
      <c r="V11" s="301">
        <f>0</f>
        <v>0</v>
      </c>
      <c r="W11" s="425">
        <f t="shared" si="3"/>
        <v>0</v>
      </c>
      <c r="X11" s="419"/>
      <c r="Y11" s="419"/>
      <c r="Z11" s="421"/>
      <c r="AA11" s="421"/>
      <c r="AB11" s="419"/>
      <c r="AC11" s="419"/>
      <c r="AD11" s="421"/>
      <c r="AE11" s="421"/>
      <c r="AF11" s="419"/>
      <c r="AG11" s="419"/>
      <c r="AH11" s="421"/>
      <c r="AI11" s="421"/>
      <c r="AJ11" s="419"/>
      <c r="AK11" s="419"/>
      <c r="AL11" s="421"/>
      <c r="AM11" s="421"/>
      <c r="AN11" s="419"/>
      <c r="AO11" s="419"/>
      <c r="AP11" s="421"/>
      <c r="AQ11" s="421"/>
      <c r="AR11" s="424">
        <f t="shared" ref="AR11:AR74" si="25">COUNTA(X11,AB11,AF11,AJ11,AN11)</f>
        <v>0</v>
      </c>
      <c r="AS11" s="422">
        <f t="shared" ref="AS11:AS74" si="26">IF(FN11&gt;0,N11/FN11,)</f>
        <v>0.75972741261815779</v>
      </c>
      <c r="AT11" s="425">
        <f t="shared" ref="AT11:AT74" si="27">COUNTA(Z11,AD11,AH11,AL11,AP11)</f>
        <v>0</v>
      </c>
      <c r="AU11" s="423">
        <f t="shared" ref="AU11:AU74" si="28">IF(FO11&gt;0,S11/FO11,)</f>
        <v>0.76841125362019036</v>
      </c>
      <c r="AV11" s="419"/>
      <c r="AW11" s="421"/>
      <c r="AX11" s="419">
        <v>52</v>
      </c>
      <c r="AY11" s="419">
        <v>428</v>
      </c>
      <c r="AZ11" s="421">
        <v>52</v>
      </c>
      <c r="BA11" s="421">
        <v>433</v>
      </c>
      <c r="BB11" s="419">
        <v>44</v>
      </c>
      <c r="BC11" s="419">
        <v>260</v>
      </c>
      <c r="BD11" s="421">
        <v>44</v>
      </c>
      <c r="BE11" s="421">
        <v>260</v>
      </c>
      <c r="BF11" s="419">
        <v>19</v>
      </c>
      <c r="BG11" s="419">
        <v>228</v>
      </c>
      <c r="BH11" s="421">
        <v>19</v>
      </c>
      <c r="BI11" s="421">
        <v>212</v>
      </c>
      <c r="BJ11" s="419">
        <v>51</v>
      </c>
      <c r="BK11" s="419">
        <v>191</v>
      </c>
      <c r="BL11" s="421">
        <v>13</v>
      </c>
      <c r="BM11" s="421">
        <v>182</v>
      </c>
      <c r="BN11" s="419">
        <v>13</v>
      </c>
      <c r="BO11" s="419">
        <v>136</v>
      </c>
      <c r="BP11" s="421">
        <v>51</v>
      </c>
      <c r="BQ11" s="420">
        <v>172</v>
      </c>
      <c r="BR11" s="419">
        <v>25</v>
      </c>
      <c r="BS11" s="419">
        <v>107</v>
      </c>
      <c r="BT11" s="421">
        <v>14</v>
      </c>
      <c r="BU11" s="421">
        <v>109</v>
      </c>
      <c r="BV11" s="419">
        <v>14</v>
      </c>
      <c r="BW11" s="419">
        <v>72</v>
      </c>
      <c r="BX11" s="421">
        <v>25</v>
      </c>
      <c r="BY11" s="420">
        <v>92</v>
      </c>
      <c r="BZ11" s="419">
        <v>9</v>
      </c>
      <c r="CA11" s="419">
        <v>48</v>
      </c>
      <c r="CB11" s="421">
        <v>9</v>
      </c>
      <c r="CC11" s="420">
        <v>84</v>
      </c>
      <c r="CD11" s="419">
        <v>22</v>
      </c>
      <c r="CE11" s="419">
        <v>46</v>
      </c>
      <c r="CF11" s="421">
        <v>42</v>
      </c>
      <c r="CG11" s="421">
        <v>51</v>
      </c>
      <c r="CH11" s="419">
        <v>42</v>
      </c>
      <c r="CI11" s="419">
        <v>40</v>
      </c>
      <c r="CJ11" s="421">
        <v>22</v>
      </c>
      <c r="CK11" s="421">
        <v>43</v>
      </c>
      <c r="CL11" s="419">
        <v>214</v>
      </c>
      <c r="CM11" s="421">
        <v>218</v>
      </c>
      <c r="CN11" s="424">
        <f t="shared" ref="CN11:CN74" si="29">AY11+BC11+BG11+BK11+BO11+BS11+BW11+CA11+CE11+CI11+CL11</f>
        <v>1770</v>
      </c>
      <c r="CO11" s="424">
        <f t="shared" ref="CO11:CO74" si="30">COUNTA(AX11,BB11,BF11,BJ11,BN11,BR11,BV11,BZ11,CD11,CH11)</f>
        <v>10</v>
      </c>
      <c r="CP11" s="425">
        <f t="shared" ref="CP11:CP74" si="31">BA11+BE11+BI11+BM11+BQ11+BU11+BY11+CC11+CG11+CK11+CM11</f>
        <v>1856</v>
      </c>
      <c r="CQ11" s="425">
        <f t="shared" ref="CQ11:CQ74" si="32">COUNTA(AZ11,BD11,BH11,BL11,BP11,BT11,BX11,CB11,CF11,CJ11)</f>
        <v>10</v>
      </c>
      <c r="CR11" s="419">
        <v>13</v>
      </c>
      <c r="CS11" s="419">
        <v>74</v>
      </c>
      <c r="CT11" s="421">
        <v>13</v>
      </c>
      <c r="CU11" s="420">
        <v>40</v>
      </c>
      <c r="CV11" s="419">
        <v>14</v>
      </c>
      <c r="CW11" s="419">
        <v>31</v>
      </c>
      <c r="CX11" s="421">
        <v>40</v>
      </c>
      <c r="CY11" s="421">
        <v>28</v>
      </c>
      <c r="CZ11" s="419">
        <v>42</v>
      </c>
      <c r="DA11" s="419">
        <v>26</v>
      </c>
      <c r="DB11" s="421">
        <v>14</v>
      </c>
      <c r="DC11" s="421">
        <v>23</v>
      </c>
      <c r="DD11" s="419">
        <v>50</v>
      </c>
      <c r="DE11" s="419">
        <v>18</v>
      </c>
      <c r="DF11" s="421">
        <v>52</v>
      </c>
      <c r="DG11" s="421">
        <v>18</v>
      </c>
      <c r="DH11" s="419">
        <v>40</v>
      </c>
      <c r="DI11" s="419">
        <v>17</v>
      </c>
      <c r="DJ11" s="421">
        <v>42</v>
      </c>
      <c r="DK11" s="421">
        <v>17</v>
      </c>
      <c r="DL11" s="419">
        <v>52</v>
      </c>
      <c r="DM11" s="419">
        <v>13</v>
      </c>
      <c r="DN11" s="421">
        <v>23</v>
      </c>
      <c r="DO11" s="421">
        <v>11</v>
      </c>
      <c r="DP11" s="419">
        <v>9</v>
      </c>
      <c r="DQ11" s="419">
        <v>8</v>
      </c>
      <c r="DR11" s="421">
        <v>50</v>
      </c>
      <c r="DS11" s="421">
        <v>9</v>
      </c>
      <c r="DT11" s="419">
        <v>27</v>
      </c>
      <c r="DU11" s="419">
        <v>8</v>
      </c>
      <c r="DV11" s="421">
        <v>9</v>
      </c>
      <c r="DW11" s="421">
        <v>8</v>
      </c>
      <c r="DX11" s="419">
        <v>31</v>
      </c>
      <c r="DY11" s="419">
        <v>8</v>
      </c>
      <c r="DZ11" s="421">
        <v>31</v>
      </c>
      <c r="EA11" s="421">
        <v>7</v>
      </c>
      <c r="EB11" s="419">
        <v>26</v>
      </c>
      <c r="EC11" s="419">
        <v>6</v>
      </c>
      <c r="ED11" s="421">
        <v>16</v>
      </c>
      <c r="EE11" s="421">
        <v>6</v>
      </c>
      <c r="EF11" s="419">
        <v>20</v>
      </c>
      <c r="EG11" s="420">
        <v>26</v>
      </c>
      <c r="EH11" s="424">
        <f t="shared" ref="EH11:EH74" si="33">CS11+CW11+DA11+DE11+DI11+DM11+DQ11+DU11+DY11+EC11+EF11</f>
        <v>229</v>
      </c>
      <c r="EI11" s="424">
        <f t="shared" ref="EI11:EI74" si="34">COUNTA(CR11,CV11,CZ11,DD11,DH11,DL11,DP11,DT11,DX11,EB11)</f>
        <v>10</v>
      </c>
      <c r="EJ11" s="422">
        <f t="shared" ref="EJ11:EJ74" si="35">IF(EH11&gt;0,CS11/EH11,)</f>
        <v>0.32314410480349343</v>
      </c>
      <c r="EK11" s="425">
        <f t="shared" ref="EK11:EK74" si="36">CU11+CY11+DC11+DG11+DK11+DO11+DS11+DW11+EA11+EE11+EG11</f>
        <v>193</v>
      </c>
      <c r="EL11" s="425">
        <f t="shared" ref="EL11:EL74" si="37">COUNTA(CT11,CX11,DB11,DF11,DJ11,DN11,DR11,DV11,DZ11,ED11)</f>
        <v>10</v>
      </c>
      <c r="EM11" s="423">
        <f t="shared" ref="EM11:EM74" si="38">IF(EK11&gt;0,CU11/EK11,)</f>
        <v>0.20725388601036268</v>
      </c>
      <c r="EN11" s="424">
        <f t="shared" ref="EN11:EN74" si="39">CN11+EH11</f>
        <v>1999</v>
      </c>
      <c r="EO11" s="425">
        <f t="shared" ref="EO11:EO74" si="40">CP11+EK11</f>
        <v>2049</v>
      </c>
      <c r="EP11" s="419">
        <v>134</v>
      </c>
      <c r="EQ11" s="421">
        <v>126</v>
      </c>
      <c r="ER11" s="419"/>
      <c r="ES11" s="421"/>
      <c r="ET11" s="419"/>
      <c r="EU11" s="421"/>
      <c r="EV11" s="419"/>
      <c r="EW11" s="421"/>
      <c r="EX11" s="419"/>
      <c r="EY11" s="421"/>
      <c r="EZ11" s="419"/>
      <c r="FA11" s="421"/>
      <c r="FB11" s="419"/>
      <c r="FC11" s="421"/>
      <c r="FD11" s="419"/>
      <c r="FE11" s="421"/>
      <c r="FF11" s="419"/>
      <c r="FG11" s="421"/>
      <c r="FH11" s="419">
        <v>53</v>
      </c>
      <c r="FI11" s="420">
        <v>64</v>
      </c>
      <c r="FJ11" s="424">
        <f t="shared" ref="FJ11:FJ74" si="41">EP11+ER11+ET11+EV11+EX11+EZ11+FB11+FD11+FF11+FH11</f>
        <v>187</v>
      </c>
      <c r="FK11" s="425">
        <f t="shared" ref="FK11:FK74" si="42">EQ11+ES11+EU11+EW11+EY11+FA11+FC11+FE11+FG11+FI11</f>
        <v>190</v>
      </c>
      <c r="FL11" s="419"/>
      <c r="FM11" s="421"/>
      <c r="FN11" s="424">
        <f t="shared" ref="FN11:FN74" si="43">F11+H11+J11+N11+AV11+EN11+FJ11+FL11</f>
        <v>9098</v>
      </c>
      <c r="FO11" s="425">
        <f t="shared" ref="FO11:FO74" si="44">G11+I11+K11+S11+AW11+EO11+FK11+FM11</f>
        <v>9668</v>
      </c>
    </row>
    <row r="12" spans="1:175">
      <c r="A12" s="98" t="s">
        <v>100</v>
      </c>
      <c r="B12" s="99" t="s">
        <v>503</v>
      </c>
      <c r="C12" s="103"/>
      <c r="D12" s="101">
        <v>100663</v>
      </c>
      <c r="E12" s="101">
        <v>1</v>
      </c>
      <c r="F12" s="419">
        <v>76</v>
      </c>
      <c r="G12" s="421">
        <v>74</v>
      </c>
      <c r="H12" s="419"/>
      <c r="I12" s="421"/>
      <c r="J12" s="419"/>
      <c r="K12" s="421"/>
      <c r="L12" s="422">
        <f t="shared" si="23"/>
        <v>0</v>
      </c>
      <c r="M12" s="423">
        <f t="shared" si="24"/>
        <v>0</v>
      </c>
      <c r="N12" s="419">
        <v>2553</v>
      </c>
      <c r="O12" s="309">
        <f>0</f>
        <v>0</v>
      </c>
      <c r="P12" s="309">
        <f>0</f>
        <v>0</v>
      </c>
      <c r="Q12" s="309">
        <f>0</f>
        <v>0</v>
      </c>
      <c r="R12" s="424">
        <f t="shared" si="2"/>
        <v>0</v>
      </c>
      <c r="S12" s="421">
        <v>2680</v>
      </c>
      <c r="T12" s="301">
        <f>0</f>
        <v>0</v>
      </c>
      <c r="U12" s="301">
        <f>0</f>
        <v>0</v>
      </c>
      <c r="V12" s="301">
        <f>0</f>
        <v>0</v>
      </c>
      <c r="W12" s="425">
        <f t="shared" si="3"/>
        <v>0</v>
      </c>
      <c r="X12" s="419"/>
      <c r="Y12" s="419"/>
      <c r="Z12" s="421"/>
      <c r="AA12" s="421"/>
      <c r="AB12" s="419"/>
      <c r="AC12" s="419"/>
      <c r="AD12" s="421"/>
      <c r="AE12" s="421"/>
      <c r="AF12" s="419"/>
      <c r="AG12" s="419"/>
      <c r="AH12" s="421"/>
      <c r="AI12" s="421"/>
      <c r="AJ12" s="419"/>
      <c r="AK12" s="419"/>
      <c r="AL12" s="421"/>
      <c r="AM12" s="421"/>
      <c r="AN12" s="419"/>
      <c r="AO12" s="419"/>
      <c r="AP12" s="421"/>
      <c r="AQ12" s="421"/>
      <c r="AR12" s="424">
        <f t="shared" si="25"/>
        <v>0</v>
      </c>
      <c r="AS12" s="422">
        <f t="shared" si="26"/>
        <v>0.45621872766261617</v>
      </c>
      <c r="AT12" s="425">
        <f t="shared" si="27"/>
        <v>0</v>
      </c>
      <c r="AU12" s="423">
        <f t="shared" si="28"/>
        <v>0.45339198105227541</v>
      </c>
      <c r="AV12" s="419">
        <v>165</v>
      </c>
      <c r="AW12" s="421">
        <v>178</v>
      </c>
      <c r="AX12" s="419">
        <v>51</v>
      </c>
      <c r="AY12" s="419">
        <v>1133</v>
      </c>
      <c r="AZ12" s="421">
        <v>51</v>
      </c>
      <c r="BA12" s="421">
        <v>1193</v>
      </c>
      <c r="BB12" s="419">
        <v>52</v>
      </c>
      <c r="BC12" s="419">
        <v>332</v>
      </c>
      <c r="BD12" s="421">
        <v>52</v>
      </c>
      <c r="BE12" s="420">
        <v>402</v>
      </c>
      <c r="BF12" s="419">
        <v>13</v>
      </c>
      <c r="BG12" s="419">
        <v>245</v>
      </c>
      <c r="BH12" s="421">
        <v>13</v>
      </c>
      <c r="BI12" s="421">
        <v>253</v>
      </c>
      <c r="BJ12" s="419">
        <v>14</v>
      </c>
      <c r="BK12" s="419">
        <v>204</v>
      </c>
      <c r="BL12" s="421">
        <v>14</v>
      </c>
      <c r="BM12" s="421">
        <v>202</v>
      </c>
      <c r="BN12" s="419">
        <v>26</v>
      </c>
      <c r="BO12" s="419">
        <v>103</v>
      </c>
      <c r="BP12" s="421">
        <v>26</v>
      </c>
      <c r="BQ12" s="421">
        <v>106</v>
      </c>
      <c r="BR12" s="419">
        <v>11</v>
      </c>
      <c r="BS12" s="419">
        <v>60</v>
      </c>
      <c r="BT12" s="421">
        <v>11</v>
      </c>
      <c r="BU12" s="420">
        <v>40</v>
      </c>
      <c r="BV12" s="419">
        <v>44</v>
      </c>
      <c r="BW12" s="419">
        <v>45</v>
      </c>
      <c r="BX12" s="421">
        <v>44</v>
      </c>
      <c r="BY12" s="421">
        <v>36</v>
      </c>
      <c r="BZ12" s="419">
        <v>45</v>
      </c>
      <c r="CA12" s="419">
        <v>26</v>
      </c>
      <c r="CB12" s="421">
        <v>45</v>
      </c>
      <c r="CC12" s="421">
        <v>28</v>
      </c>
      <c r="CD12" s="419">
        <v>9</v>
      </c>
      <c r="CE12" s="419">
        <v>22</v>
      </c>
      <c r="CF12" s="421">
        <v>9</v>
      </c>
      <c r="CG12" s="421">
        <v>22</v>
      </c>
      <c r="CH12" s="419">
        <v>30</v>
      </c>
      <c r="CI12" s="419">
        <v>21</v>
      </c>
      <c r="CJ12" s="421">
        <v>43</v>
      </c>
      <c r="CK12" s="421">
        <v>20</v>
      </c>
      <c r="CL12" s="419">
        <v>46</v>
      </c>
      <c r="CM12" s="420">
        <v>59</v>
      </c>
      <c r="CN12" s="424">
        <f t="shared" si="29"/>
        <v>2237</v>
      </c>
      <c r="CO12" s="424">
        <f t="shared" si="30"/>
        <v>10</v>
      </c>
      <c r="CP12" s="425">
        <f t="shared" si="31"/>
        <v>2361</v>
      </c>
      <c r="CQ12" s="425">
        <f t="shared" si="32"/>
        <v>10</v>
      </c>
      <c r="CR12" s="419">
        <v>26</v>
      </c>
      <c r="CS12" s="419">
        <v>70</v>
      </c>
      <c r="CT12" s="421">
        <v>26</v>
      </c>
      <c r="CU12" s="421">
        <v>58</v>
      </c>
      <c r="CV12" s="419">
        <v>14</v>
      </c>
      <c r="CW12" s="419">
        <v>19</v>
      </c>
      <c r="CX12" s="421">
        <v>14</v>
      </c>
      <c r="CY12" s="421">
        <v>22</v>
      </c>
      <c r="CZ12" s="419">
        <v>42</v>
      </c>
      <c r="DA12" s="419">
        <v>15</v>
      </c>
      <c r="DB12" s="421">
        <v>51</v>
      </c>
      <c r="DC12" s="420">
        <v>19</v>
      </c>
      <c r="DD12" s="419">
        <v>51</v>
      </c>
      <c r="DE12" s="419">
        <v>12</v>
      </c>
      <c r="DF12" s="421">
        <v>42</v>
      </c>
      <c r="DG12" s="421">
        <v>12</v>
      </c>
      <c r="DH12" s="419">
        <v>31</v>
      </c>
      <c r="DI12" s="419">
        <v>8</v>
      </c>
      <c r="DJ12" s="421">
        <v>40</v>
      </c>
      <c r="DK12" s="420">
        <v>11</v>
      </c>
      <c r="DL12" s="419">
        <v>40</v>
      </c>
      <c r="DM12" s="419">
        <v>8</v>
      </c>
      <c r="DN12" s="421">
        <v>31</v>
      </c>
      <c r="DO12" s="420">
        <v>11</v>
      </c>
      <c r="DP12" s="419">
        <v>30</v>
      </c>
      <c r="DQ12" s="419">
        <v>4</v>
      </c>
      <c r="DR12" s="421">
        <v>30</v>
      </c>
      <c r="DS12" s="420">
        <v>6</v>
      </c>
      <c r="DT12" s="419">
        <v>45</v>
      </c>
      <c r="DU12" s="419">
        <v>4</v>
      </c>
      <c r="DV12" s="421">
        <v>13</v>
      </c>
      <c r="DW12" s="420">
        <v>5</v>
      </c>
      <c r="DX12" s="419">
        <v>11</v>
      </c>
      <c r="DY12" s="419">
        <v>2</v>
      </c>
      <c r="DZ12" s="421">
        <v>11</v>
      </c>
      <c r="EA12" s="420">
        <v>3</v>
      </c>
      <c r="EB12" s="419">
        <v>13</v>
      </c>
      <c r="EC12" s="419">
        <v>2</v>
      </c>
      <c r="ED12" s="421">
        <v>27</v>
      </c>
      <c r="EE12" s="421">
        <v>2</v>
      </c>
      <c r="EF12" s="419">
        <v>2</v>
      </c>
      <c r="EG12" s="421">
        <v>2</v>
      </c>
      <c r="EH12" s="424">
        <f t="shared" si="33"/>
        <v>146</v>
      </c>
      <c r="EI12" s="424">
        <f t="shared" si="34"/>
        <v>10</v>
      </c>
      <c r="EJ12" s="422">
        <f t="shared" si="35"/>
        <v>0.47945205479452052</v>
      </c>
      <c r="EK12" s="425">
        <f t="shared" si="36"/>
        <v>151</v>
      </c>
      <c r="EL12" s="425">
        <f t="shared" si="37"/>
        <v>10</v>
      </c>
      <c r="EM12" s="423">
        <f t="shared" si="38"/>
        <v>0.38410596026490068</v>
      </c>
      <c r="EN12" s="424">
        <f t="shared" si="39"/>
        <v>2383</v>
      </c>
      <c r="EO12" s="425">
        <f t="shared" si="40"/>
        <v>2512</v>
      </c>
      <c r="EP12" s="419"/>
      <c r="EQ12" s="421"/>
      <c r="ER12" s="419">
        <v>182</v>
      </c>
      <c r="ES12" s="421">
        <v>186</v>
      </c>
      <c r="ET12" s="419">
        <v>64</v>
      </c>
      <c r="EU12" s="421">
        <v>75</v>
      </c>
      <c r="EV12" s="419"/>
      <c r="EW12" s="421"/>
      <c r="EX12" s="419"/>
      <c r="EY12" s="421"/>
      <c r="EZ12" s="419">
        <v>47</v>
      </c>
      <c r="FA12" s="421">
        <v>41</v>
      </c>
      <c r="FB12" s="419"/>
      <c r="FC12" s="421"/>
      <c r="FD12" s="419"/>
      <c r="FE12" s="421"/>
      <c r="FF12" s="419"/>
      <c r="FG12" s="421"/>
      <c r="FH12" s="419">
        <v>119</v>
      </c>
      <c r="FI12" s="420">
        <v>159</v>
      </c>
      <c r="FJ12" s="424">
        <f t="shared" si="41"/>
        <v>412</v>
      </c>
      <c r="FK12" s="425">
        <f t="shared" si="42"/>
        <v>461</v>
      </c>
      <c r="FL12" s="419">
        <v>7</v>
      </c>
      <c r="FM12" s="421">
        <v>6</v>
      </c>
      <c r="FN12" s="424">
        <f t="shared" si="43"/>
        <v>5596</v>
      </c>
      <c r="FO12" s="425">
        <f t="shared" si="44"/>
        <v>5911</v>
      </c>
    </row>
    <row r="13" spans="1:175">
      <c r="A13" s="98" t="s">
        <v>100</v>
      </c>
      <c r="B13" s="99" t="s">
        <v>504</v>
      </c>
      <c r="C13" s="102" t="s">
        <v>505</v>
      </c>
      <c r="D13" s="101">
        <v>100706</v>
      </c>
      <c r="E13" s="101">
        <v>2</v>
      </c>
      <c r="F13" s="419">
        <v>12</v>
      </c>
      <c r="G13" s="420">
        <v>15</v>
      </c>
      <c r="H13" s="419"/>
      <c r="I13" s="421"/>
      <c r="J13" s="419"/>
      <c r="K13" s="421"/>
      <c r="L13" s="422">
        <f t="shared" si="23"/>
        <v>0</v>
      </c>
      <c r="M13" s="423">
        <f t="shared" si="24"/>
        <v>0</v>
      </c>
      <c r="N13" s="419">
        <v>1320</v>
      </c>
      <c r="O13" s="309">
        <f>0</f>
        <v>0</v>
      </c>
      <c r="P13" s="309">
        <f>0</f>
        <v>0</v>
      </c>
      <c r="Q13" s="309">
        <f>0</f>
        <v>0</v>
      </c>
      <c r="R13" s="424">
        <f t="shared" si="2"/>
        <v>0</v>
      </c>
      <c r="S13" s="421">
        <v>1470</v>
      </c>
      <c r="T13" s="301">
        <f>0</f>
        <v>0</v>
      </c>
      <c r="U13" s="301">
        <f>0</f>
        <v>0</v>
      </c>
      <c r="V13" s="301">
        <f>0</f>
        <v>0</v>
      </c>
      <c r="W13" s="425">
        <f t="shared" si="3"/>
        <v>0</v>
      </c>
      <c r="X13" s="419"/>
      <c r="Y13" s="419"/>
      <c r="Z13" s="421"/>
      <c r="AA13" s="421"/>
      <c r="AB13" s="419"/>
      <c r="AC13" s="419"/>
      <c r="AD13" s="421"/>
      <c r="AE13" s="421"/>
      <c r="AF13" s="419"/>
      <c r="AG13" s="419"/>
      <c r="AH13" s="421"/>
      <c r="AI13" s="421"/>
      <c r="AJ13" s="419"/>
      <c r="AK13" s="419"/>
      <c r="AL13" s="421"/>
      <c r="AM13" s="421"/>
      <c r="AN13" s="419"/>
      <c r="AO13" s="419"/>
      <c r="AP13" s="421"/>
      <c r="AQ13" s="421"/>
      <c r="AR13" s="424">
        <f t="shared" si="25"/>
        <v>0</v>
      </c>
      <c r="AS13" s="422">
        <f t="shared" si="26"/>
        <v>0.66937119675456391</v>
      </c>
      <c r="AT13" s="425">
        <f t="shared" si="27"/>
        <v>0</v>
      </c>
      <c r="AU13" s="423">
        <f t="shared" si="28"/>
        <v>0.64757709251101325</v>
      </c>
      <c r="AV13" s="419">
        <v>26</v>
      </c>
      <c r="AW13" s="420">
        <v>33</v>
      </c>
      <c r="AX13" s="419">
        <v>51</v>
      </c>
      <c r="AY13" s="419">
        <v>131</v>
      </c>
      <c r="AZ13" s="421">
        <v>51</v>
      </c>
      <c r="BA13" s="420">
        <v>176</v>
      </c>
      <c r="BB13" s="419">
        <v>52</v>
      </c>
      <c r="BC13" s="419">
        <v>127</v>
      </c>
      <c r="BD13" s="421">
        <v>52</v>
      </c>
      <c r="BE13" s="420">
        <v>163</v>
      </c>
      <c r="BF13" s="419">
        <v>14</v>
      </c>
      <c r="BG13" s="419">
        <v>115</v>
      </c>
      <c r="BH13" s="421">
        <v>14</v>
      </c>
      <c r="BI13" s="421">
        <v>129</v>
      </c>
      <c r="BJ13" s="419">
        <v>11</v>
      </c>
      <c r="BK13" s="419">
        <v>66</v>
      </c>
      <c r="BL13" s="421">
        <v>11</v>
      </c>
      <c r="BM13" s="421">
        <v>69</v>
      </c>
      <c r="BN13" s="419">
        <v>13</v>
      </c>
      <c r="BO13" s="419">
        <v>31</v>
      </c>
      <c r="BP13" s="421">
        <v>40</v>
      </c>
      <c r="BQ13" s="421">
        <v>30</v>
      </c>
      <c r="BR13" s="419">
        <v>40</v>
      </c>
      <c r="BS13" s="419">
        <v>22</v>
      </c>
      <c r="BT13" s="421">
        <v>13</v>
      </c>
      <c r="BU13" s="420">
        <v>28</v>
      </c>
      <c r="BV13" s="419">
        <v>23</v>
      </c>
      <c r="BW13" s="419">
        <v>11</v>
      </c>
      <c r="BX13" s="421">
        <v>9</v>
      </c>
      <c r="BY13" s="420">
        <v>14</v>
      </c>
      <c r="BZ13" s="419">
        <v>9</v>
      </c>
      <c r="CA13" s="419">
        <v>10</v>
      </c>
      <c r="CB13" s="421">
        <v>42</v>
      </c>
      <c r="CC13" s="421">
        <v>11</v>
      </c>
      <c r="CD13" s="419">
        <v>42</v>
      </c>
      <c r="CE13" s="419">
        <v>7</v>
      </c>
      <c r="CF13" s="421">
        <v>26</v>
      </c>
      <c r="CG13" s="420">
        <v>10</v>
      </c>
      <c r="CH13" s="419">
        <v>27</v>
      </c>
      <c r="CI13" s="419">
        <v>6</v>
      </c>
      <c r="CJ13" s="421">
        <v>54</v>
      </c>
      <c r="CK13" s="420">
        <v>8</v>
      </c>
      <c r="CL13" s="419">
        <v>16</v>
      </c>
      <c r="CM13" s="420">
        <v>23</v>
      </c>
      <c r="CN13" s="424">
        <f t="shared" si="29"/>
        <v>542</v>
      </c>
      <c r="CO13" s="424">
        <f t="shared" si="30"/>
        <v>10</v>
      </c>
      <c r="CP13" s="425">
        <f t="shared" si="31"/>
        <v>661</v>
      </c>
      <c r="CQ13" s="425">
        <f t="shared" si="32"/>
        <v>10</v>
      </c>
      <c r="CR13" s="419">
        <v>14</v>
      </c>
      <c r="CS13" s="419">
        <v>22</v>
      </c>
      <c r="CT13" s="421">
        <v>14</v>
      </c>
      <c r="CU13" s="420">
        <v>30</v>
      </c>
      <c r="CV13" s="419">
        <v>40</v>
      </c>
      <c r="CW13" s="419">
        <v>8</v>
      </c>
      <c r="CX13" s="421">
        <v>11</v>
      </c>
      <c r="CY13" s="421">
        <v>8</v>
      </c>
      <c r="CZ13" s="419">
        <v>26</v>
      </c>
      <c r="DA13" s="419">
        <v>5</v>
      </c>
      <c r="DB13" s="421">
        <v>40</v>
      </c>
      <c r="DC13" s="420">
        <v>8</v>
      </c>
      <c r="DD13" s="419">
        <v>27</v>
      </c>
      <c r="DE13" s="419">
        <v>3</v>
      </c>
      <c r="DF13" s="421">
        <v>26</v>
      </c>
      <c r="DG13" s="420">
        <v>4</v>
      </c>
      <c r="DH13" s="419"/>
      <c r="DI13" s="419"/>
      <c r="DJ13" s="421">
        <v>27</v>
      </c>
      <c r="DK13" s="421">
        <v>0</v>
      </c>
      <c r="DL13" s="419"/>
      <c r="DM13" s="419"/>
      <c r="DN13" s="421"/>
      <c r="DO13" s="421"/>
      <c r="DP13" s="419"/>
      <c r="DQ13" s="419"/>
      <c r="DR13" s="421"/>
      <c r="DS13" s="421"/>
      <c r="DT13" s="419"/>
      <c r="DU13" s="419"/>
      <c r="DV13" s="421"/>
      <c r="DW13" s="421"/>
      <c r="DX13" s="419"/>
      <c r="DY13" s="419"/>
      <c r="DZ13" s="421"/>
      <c r="EA13" s="421"/>
      <c r="EB13" s="419"/>
      <c r="EC13" s="419"/>
      <c r="ED13" s="421"/>
      <c r="EE13" s="421"/>
      <c r="EF13" s="419"/>
      <c r="EG13" s="421"/>
      <c r="EH13" s="424">
        <f t="shared" si="33"/>
        <v>38</v>
      </c>
      <c r="EI13" s="424">
        <f t="shared" si="34"/>
        <v>4</v>
      </c>
      <c r="EJ13" s="422">
        <f t="shared" si="35"/>
        <v>0.57894736842105265</v>
      </c>
      <c r="EK13" s="425">
        <f t="shared" si="36"/>
        <v>50</v>
      </c>
      <c r="EL13" s="425">
        <f t="shared" si="37"/>
        <v>5</v>
      </c>
      <c r="EM13" s="423">
        <f t="shared" si="38"/>
        <v>0.6</v>
      </c>
      <c r="EN13" s="424">
        <f t="shared" si="39"/>
        <v>580</v>
      </c>
      <c r="EO13" s="425">
        <f t="shared" si="40"/>
        <v>711</v>
      </c>
      <c r="EP13" s="419"/>
      <c r="EQ13" s="421"/>
      <c r="ER13" s="419"/>
      <c r="ES13" s="421"/>
      <c r="ET13" s="419"/>
      <c r="EU13" s="421"/>
      <c r="EV13" s="419"/>
      <c r="EW13" s="421"/>
      <c r="EX13" s="419"/>
      <c r="EY13" s="421"/>
      <c r="EZ13" s="419"/>
      <c r="FA13" s="421"/>
      <c r="FB13" s="419"/>
      <c r="FC13" s="421"/>
      <c r="FD13" s="419"/>
      <c r="FE13" s="421"/>
      <c r="FF13" s="419"/>
      <c r="FG13" s="421"/>
      <c r="FH13" s="419">
        <v>34</v>
      </c>
      <c r="FI13" s="420">
        <v>41</v>
      </c>
      <c r="FJ13" s="424">
        <f t="shared" si="41"/>
        <v>34</v>
      </c>
      <c r="FK13" s="425">
        <f t="shared" si="42"/>
        <v>41</v>
      </c>
      <c r="FL13" s="419"/>
      <c r="FM13" s="421"/>
      <c r="FN13" s="424">
        <f t="shared" si="43"/>
        <v>1972</v>
      </c>
      <c r="FO13" s="425">
        <f t="shared" si="44"/>
        <v>2270</v>
      </c>
    </row>
    <row r="14" spans="1:175">
      <c r="A14" s="98" t="s">
        <v>100</v>
      </c>
      <c r="B14" s="99" t="s">
        <v>506</v>
      </c>
      <c r="C14" s="10"/>
      <c r="D14" s="101">
        <v>102094</v>
      </c>
      <c r="E14" s="101">
        <v>2</v>
      </c>
      <c r="F14" s="419">
        <v>112</v>
      </c>
      <c r="G14" s="420">
        <v>89</v>
      </c>
      <c r="H14" s="419"/>
      <c r="I14" s="421"/>
      <c r="J14" s="419"/>
      <c r="K14" s="421"/>
      <c r="L14" s="422">
        <f t="shared" si="23"/>
        <v>0</v>
      </c>
      <c r="M14" s="423">
        <f t="shared" si="24"/>
        <v>0</v>
      </c>
      <c r="N14" s="419">
        <v>1902</v>
      </c>
      <c r="O14" s="309">
        <f>0</f>
        <v>0</v>
      </c>
      <c r="P14" s="309">
        <f>0</f>
        <v>0</v>
      </c>
      <c r="Q14" s="309">
        <f>0</f>
        <v>0</v>
      </c>
      <c r="R14" s="424">
        <f t="shared" si="2"/>
        <v>0</v>
      </c>
      <c r="S14" s="421">
        <v>2109</v>
      </c>
      <c r="T14" s="301">
        <f>0</f>
        <v>0</v>
      </c>
      <c r="U14" s="301">
        <f>0</f>
        <v>0</v>
      </c>
      <c r="V14" s="301">
        <f>0</f>
        <v>0</v>
      </c>
      <c r="W14" s="425">
        <f t="shared" si="3"/>
        <v>0</v>
      </c>
      <c r="X14" s="419"/>
      <c r="Y14" s="419"/>
      <c r="Z14" s="421"/>
      <c r="AA14" s="421"/>
      <c r="AB14" s="419"/>
      <c r="AC14" s="419"/>
      <c r="AD14" s="421"/>
      <c r="AE14" s="421"/>
      <c r="AF14" s="419"/>
      <c r="AG14" s="419"/>
      <c r="AH14" s="421"/>
      <c r="AI14" s="421"/>
      <c r="AJ14" s="419"/>
      <c r="AK14" s="419"/>
      <c r="AL14" s="421"/>
      <c r="AM14" s="421"/>
      <c r="AN14" s="419"/>
      <c r="AO14" s="419"/>
      <c r="AP14" s="421"/>
      <c r="AQ14" s="421"/>
      <c r="AR14" s="424">
        <f t="shared" si="25"/>
        <v>0</v>
      </c>
      <c r="AS14" s="422">
        <f t="shared" si="26"/>
        <v>0.53232577665827041</v>
      </c>
      <c r="AT14" s="425">
        <f t="shared" si="27"/>
        <v>0</v>
      </c>
      <c r="AU14" s="423">
        <f t="shared" si="28"/>
        <v>0.56785137318255252</v>
      </c>
      <c r="AV14" s="419"/>
      <c r="AW14" s="421">
        <v>0</v>
      </c>
      <c r="AX14" s="419">
        <v>51</v>
      </c>
      <c r="AY14" s="419">
        <v>930</v>
      </c>
      <c r="AZ14" s="421">
        <v>51</v>
      </c>
      <c r="BA14" s="421">
        <v>903</v>
      </c>
      <c r="BB14" s="419">
        <v>13</v>
      </c>
      <c r="BC14" s="419">
        <v>131</v>
      </c>
      <c r="BD14" s="421">
        <v>13</v>
      </c>
      <c r="BE14" s="421">
        <v>146</v>
      </c>
      <c r="BF14" s="419">
        <v>52</v>
      </c>
      <c r="BG14" s="419">
        <v>33</v>
      </c>
      <c r="BH14" s="421">
        <v>11</v>
      </c>
      <c r="BI14" s="421">
        <v>27</v>
      </c>
      <c r="BJ14" s="419">
        <v>11</v>
      </c>
      <c r="BK14" s="419">
        <v>29</v>
      </c>
      <c r="BL14" s="421">
        <v>52</v>
      </c>
      <c r="BM14" s="421">
        <v>26</v>
      </c>
      <c r="BN14" s="419">
        <v>14</v>
      </c>
      <c r="BO14" s="419">
        <v>24</v>
      </c>
      <c r="BP14" s="421">
        <v>31</v>
      </c>
      <c r="BQ14" s="421">
        <v>20</v>
      </c>
      <c r="BR14" s="419">
        <v>44</v>
      </c>
      <c r="BS14" s="419">
        <v>12</v>
      </c>
      <c r="BT14" s="421">
        <v>14</v>
      </c>
      <c r="BU14" s="421">
        <v>12</v>
      </c>
      <c r="BV14" s="419">
        <v>31</v>
      </c>
      <c r="BW14" s="419">
        <v>10</v>
      </c>
      <c r="BX14" s="421">
        <v>26</v>
      </c>
      <c r="BY14" s="421">
        <v>12</v>
      </c>
      <c r="BZ14" s="419">
        <v>9</v>
      </c>
      <c r="CA14" s="419">
        <v>9</v>
      </c>
      <c r="CB14" s="421">
        <v>44</v>
      </c>
      <c r="CC14" s="421">
        <v>10</v>
      </c>
      <c r="CD14" s="419">
        <v>23</v>
      </c>
      <c r="CE14" s="419">
        <v>7</v>
      </c>
      <c r="CF14" s="421">
        <v>42</v>
      </c>
      <c r="CG14" s="421">
        <v>8</v>
      </c>
      <c r="CH14" s="419">
        <v>26</v>
      </c>
      <c r="CI14" s="419">
        <v>7</v>
      </c>
      <c r="CJ14" s="421">
        <v>50</v>
      </c>
      <c r="CK14" s="421">
        <v>6</v>
      </c>
      <c r="CL14" s="419">
        <v>29</v>
      </c>
      <c r="CM14" s="421">
        <v>24</v>
      </c>
      <c r="CN14" s="424">
        <f t="shared" si="29"/>
        <v>1221</v>
      </c>
      <c r="CO14" s="424">
        <f t="shared" si="30"/>
        <v>10</v>
      </c>
      <c r="CP14" s="425">
        <f t="shared" si="31"/>
        <v>1194</v>
      </c>
      <c r="CQ14" s="425">
        <f t="shared" si="32"/>
        <v>10</v>
      </c>
      <c r="CR14" s="419">
        <v>13</v>
      </c>
      <c r="CS14" s="419">
        <v>18</v>
      </c>
      <c r="CT14" s="421">
        <v>52</v>
      </c>
      <c r="CU14" s="420">
        <v>12</v>
      </c>
      <c r="CV14" s="419">
        <v>26</v>
      </c>
      <c r="CW14" s="419">
        <v>9</v>
      </c>
      <c r="CX14" s="421">
        <v>13</v>
      </c>
      <c r="CY14" s="421">
        <v>9</v>
      </c>
      <c r="CZ14" s="419">
        <v>42</v>
      </c>
      <c r="DA14" s="419">
        <v>7</v>
      </c>
      <c r="DB14" s="421">
        <v>42</v>
      </c>
      <c r="DC14" s="421">
        <v>7</v>
      </c>
      <c r="DD14" s="419">
        <v>14</v>
      </c>
      <c r="DE14" s="419">
        <v>4</v>
      </c>
      <c r="DF14" s="421">
        <v>11</v>
      </c>
      <c r="DG14" s="420">
        <v>7</v>
      </c>
      <c r="DH14" s="419">
        <v>52</v>
      </c>
      <c r="DI14" s="419">
        <v>4</v>
      </c>
      <c r="DJ14" s="421">
        <v>26</v>
      </c>
      <c r="DK14" s="420">
        <v>5</v>
      </c>
      <c r="DL14" s="419">
        <v>30</v>
      </c>
      <c r="DM14" s="419">
        <v>3</v>
      </c>
      <c r="DN14" s="421">
        <v>30</v>
      </c>
      <c r="DO14" s="420">
        <v>2</v>
      </c>
      <c r="DP14" s="419">
        <v>11</v>
      </c>
      <c r="DQ14" s="419">
        <v>2</v>
      </c>
      <c r="DR14" s="421">
        <v>14</v>
      </c>
      <c r="DS14" s="420">
        <v>1</v>
      </c>
      <c r="DT14" s="419">
        <v>51</v>
      </c>
      <c r="DU14" s="419">
        <v>2</v>
      </c>
      <c r="DV14" s="421">
        <v>51</v>
      </c>
      <c r="DW14" s="420">
        <v>0</v>
      </c>
      <c r="DX14" s="419"/>
      <c r="DY14" s="419"/>
      <c r="DZ14" s="421"/>
      <c r="EA14" s="421"/>
      <c r="EB14" s="419"/>
      <c r="EC14" s="419"/>
      <c r="ED14" s="421"/>
      <c r="EE14" s="421"/>
      <c r="EF14" s="419"/>
      <c r="EG14" s="421"/>
      <c r="EH14" s="424">
        <f t="shared" si="33"/>
        <v>49</v>
      </c>
      <c r="EI14" s="424">
        <f t="shared" si="34"/>
        <v>8</v>
      </c>
      <c r="EJ14" s="422">
        <f t="shared" si="35"/>
        <v>0.36734693877551022</v>
      </c>
      <c r="EK14" s="425">
        <f t="shared" si="36"/>
        <v>43</v>
      </c>
      <c r="EL14" s="425">
        <f t="shared" si="37"/>
        <v>8</v>
      </c>
      <c r="EM14" s="423">
        <f t="shared" si="38"/>
        <v>0.27906976744186046</v>
      </c>
      <c r="EN14" s="424">
        <f t="shared" si="39"/>
        <v>1270</v>
      </c>
      <c r="EO14" s="425">
        <f t="shared" si="40"/>
        <v>1237</v>
      </c>
      <c r="EP14" s="419"/>
      <c r="EQ14" s="421"/>
      <c r="ER14" s="419">
        <v>80</v>
      </c>
      <c r="ES14" s="421">
        <v>66</v>
      </c>
      <c r="ET14" s="419"/>
      <c r="EU14" s="421"/>
      <c r="EV14" s="419"/>
      <c r="EW14" s="421"/>
      <c r="EX14" s="419"/>
      <c r="EY14" s="421"/>
      <c r="EZ14" s="419"/>
      <c r="FA14" s="421"/>
      <c r="FB14" s="419"/>
      <c r="FC14" s="421"/>
      <c r="FD14" s="419"/>
      <c r="FE14" s="421"/>
      <c r="FF14" s="419"/>
      <c r="FG14" s="421"/>
      <c r="FH14" s="419">
        <v>209</v>
      </c>
      <c r="FI14" s="421">
        <v>213</v>
      </c>
      <c r="FJ14" s="424">
        <f t="shared" si="41"/>
        <v>289</v>
      </c>
      <c r="FK14" s="425">
        <f t="shared" si="42"/>
        <v>279</v>
      </c>
      <c r="FL14" s="419"/>
      <c r="FM14" s="421"/>
      <c r="FN14" s="424">
        <f t="shared" si="43"/>
        <v>3573</v>
      </c>
      <c r="FO14" s="425">
        <f t="shared" si="44"/>
        <v>3714</v>
      </c>
    </row>
    <row r="15" spans="1:175">
      <c r="A15" s="98" t="s">
        <v>100</v>
      </c>
      <c r="B15" s="99" t="s">
        <v>507</v>
      </c>
      <c r="C15" s="100"/>
      <c r="D15" s="101">
        <v>100654</v>
      </c>
      <c r="E15" s="101">
        <v>3</v>
      </c>
      <c r="F15" s="419"/>
      <c r="G15" s="421"/>
      <c r="H15" s="419"/>
      <c r="I15" s="421"/>
      <c r="J15" s="419"/>
      <c r="K15" s="421"/>
      <c r="L15" s="422">
        <f t="shared" si="23"/>
        <v>0</v>
      </c>
      <c r="M15" s="423">
        <f t="shared" si="24"/>
        <v>0</v>
      </c>
      <c r="N15" s="419">
        <v>560</v>
      </c>
      <c r="O15" s="309">
        <f>0</f>
        <v>0</v>
      </c>
      <c r="P15" s="309">
        <f>0</f>
        <v>0</v>
      </c>
      <c r="Q15" s="309">
        <f>0</f>
        <v>0</v>
      </c>
      <c r="R15" s="424">
        <f t="shared" si="2"/>
        <v>0</v>
      </c>
      <c r="S15" s="421">
        <v>585</v>
      </c>
      <c r="T15" s="301">
        <f>0</f>
        <v>0</v>
      </c>
      <c r="U15" s="301">
        <f>0</f>
        <v>0</v>
      </c>
      <c r="V15" s="301">
        <f>0</f>
        <v>0</v>
      </c>
      <c r="W15" s="425">
        <f t="shared" si="3"/>
        <v>0</v>
      </c>
      <c r="X15" s="419"/>
      <c r="Y15" s="419"/>
      <c r="Z15" s="421"/>
      <c r="AA15" s="421"/>
      <c r="AB15" s="419"/>
      <c r="AC15" s="419"/>
      <c r="AD15" s="421"/>
      <c r="AE15" s="421"/>
      <c r="AF15" s="419"/>
      <c r="AG15" s="419"/>
      <c r="AH15" s="421"/>
      <c r="AI15" s="421"/>
      <c r="AJ15" s="419"/>
      <c r="AK15" s="419"/>
      <c r="AL15" s="421"/>
      <c r="AM15" s="421"/>
      <c r="AN15" s="419"/>
      <c r="AO15" s="419"/>
      <c r="AP15" s="421"/>
      <c r="AQ15" s="421"/>
      <c r="AR15" s="424">
        <f t="shared" si="25"/>
        <v>0</v>
      </c>
      <c r="AS15" s="422">
        <f t="shared" si="26"/>
        <v>0.69135802469135799</v>
      </c>
      <c r="AT15" s="425">
        <f t="shared" si="27"/>
        <v>0</v>
      </c>
      <c r="AU15" s="423">
        <f t="shared" si="28"/>
        <v>0.6529017857142857</v>
      </c>
      <c r="AV15" s="419"/>
      <c r="AW15" s="421"/>
      <c r="AX15" s="419">
        <v>44</v>
      </c>
      <c r="AY15" s="419">
        <v>60</v>
      </c>
      <c r="AZ15" s="421">
        <v>44</v>
      </c>
      <c r="BA15" s="420">
        <v>80</v>
      </c>
      <c r="BB15" s="419">
        <v>42</v>
      </c>
      <c r="BC15" s="419">
        <v>35</v>
      </c>
      <c r="BD15" s="421">
        <v>52</v>
      </c>
      <c r="BE15" s="420">
        <v>47</v>
      </c>
      <c r="BF15" s="419">
        <v>13</v>
      </c>
      <c r="BG15" s="419">
        <v>32</v>
      </c>
      <c r="BH15" s="421">
        <v>14</v>
      </c>
      <c r="BI15" s="421">
        <v>30</v>
      </c>
      <c r="BJ15" s="419">
        <v>52</v>
      </c>
      <c r="BK15" s="419">
        <v>24</v>
      </c>
      <c r="BL15" s="421">
        <v>42</v>
      </c>
      <c r="BM15" s="421">
        <v>27</v>
      </c>
      <c r="BN15" s="419">
        <v>26</v>
      </c>
      <c r="BO15" s="419">
        <v>18</v>
      </c>
      <c r="BP15" s="421">
        <v>51</v>
      </c>
      <c r="BQ15" s="421">
        <v>21</v>
      </c>
      <c r="BR15" s="419">
        <v>51</v>
      </c>
      <c r="BS15" s="419">
        <v>17</v>
      </c>
      <c r="BT15" s="421">
        <v>31</v>
      </c>
      <c r="BU15" s="421">
        <v>20</v>
      </c>
      <c r="BV15" s="419">
        <v>31</v>
      </c>
      <c r="BW15" s="419">
        <v>16</v>
      </c>
      <c r="BX15" s="421">
        <v>26</v>
      </c>
      <c r="BY15" s="421">
        <v>17</v>
      </c>
      <c r="BZ15" s="419">
        <v>1</v>
      </c>
      <c r="CA15" s="419">
        <v>10</v>
      </c>
      <c r="CB15" s="421">
        <v>13</v>
      </c>
      <c r="CC15" s="420">
        <v>15</v>
      </c>
      <c r="CD15" s="419">
        <v>14</v>
      </c>
      <c r="CE15" s="419">
        <v>9</v>
      </c>
      <c r="CF15" s="421">
        <v>9</v>
      </c>
      <c r="CG15" s="420">
        <v>11</v>
      </c>
      <c r="CH15" s="419">
        <v>11</v>
      </c>
      <c r="CI15" s="419">
        <v>8</v>
      </c>
      <c r="CJ15" s="421">
        <v>11</v>
      </c>
      <c r="CK15" s="421">
        <v>9</v>
      </c>
      <c r="CL15" s="419">
        <v>15</v>
      </c>
      <c r="CM15" s="420">
        <v>23</v>
      </c>
      <c r="CN15" s="424">
        <f t="shared" si="29"/>
        <v>244</v>
      </c>
      <c r="CO15" s="424">
        <f t="shared" si="30"/>
        <v>10</v>
      </c>
      <c r="CP15" s="425">
        <f t="shared" si="31"/>
        <v>300</v>
      </c>
      <c r="CQ15" s="425">
        <f t="shared" si="32"/>
        <v>10</v>
      </c>
      <c r="CR15" s="419">
        <v>1</v>
      </c>
      <c r="CS15" s="419">
        <v>4</v>
      </c>
      <c r="CT15" s="421">
        <v>1</v>
      </c>
      <c r="CU15" s="420">
        <v>5</v>
      </c>
      <c r="CV15" s="419">
        <v>13</v>
      </c>
      <c r="CW15" s="419">
        <v>2</v>
      </c>
      <c r="CX15" s="421">
        <v>40</v>
      </c>
      <c r="CY15" s="420">
        <v>3</v>
      </c>
      <c r="CZ15" s="419"/>
      <c r="DA15" s="419"/>
      <c r="DB15" s="421">
        <v>13</v>
      </c>
      <c r="DC15" s="420">
        <v>3</v>
      </c>
      <c r="DD15" s="419"/>
      <c r="DE15" s="419"/>
      <c r="DF15" s="421"/>
      <c r="DG15" s="421"/>
      <c r="DH15" s="419"/>
      <c r="DI15" s="419"/>
      <c r="DJ15" s="421"/>
      <c r="DK15" s="421"/>
      <c r="DL15" s="419"/>
      <c r="DM15" s="419"/>
      <c r="DN15" s="421"/>
      <c r="DO15" s="421"/>
      <c r="DP15" s="419"/>
      <c r="DQ15" s="419"/>
      <c r="DR15" s="421"/>
      <c r="DS15" s="421"/>
      <c r="DT15" s="419"/>
      <c r="DU15" s="419"/>
      <c r="DV15" s="421"/>
      <c r="DW15" s="421"/>
      <c r="DX15" s="419"/>
      <c r="DY15" s="419"/>
      <c r="DZ15" s="421"/>
      <c r="EA15" s="421"/>
      <c r="EB15" s="419"/>
      <c r="EC15" s="419"/>
      <c r="ED15" s="421"/>
      <c r="EE15" s="421"/>
      <c r="EF15" s="419"/>
      <c r="EG15" s="421"/>
      <c r="EH15" s="424">
        <f t="shared" si="33"/>
        <v>6</v>
      </c>
      <c r="EI15" s="424">
        <f t="shared" si="34"/>
        <v>2</v>
      </c>
      <c r="EJ15" s="422">
        <f t="shared" si="35"/>
        <v>0.66666666666666663</v>
      </c>
      <c r="EK15" s="425">
        <f t="shared" si="36"/>
        <v>11</v>
      </c>
      <c r="EL15" s="425">
        <f t="shared" si="37"/>
        <v>3</v>
      </c>
      <c r="EM15" s="423">
        <f t="shared" si="38"/>
        <v>0.45454545454545453</v>
      </c>
      <c r="EN15" s="424">
        <f t="shared" si="39"/>
        <v>250</v>
      </c>
      <c r="EO15" s="425">
        <f t="shared" si="40"/>
        <v>311</v>
      </c>
      <c r="EP15" s="419"/>
      <c r="EQ15" s="421"/>
      <c r="ER15" s="419"/>
      <c r="ES15" s="421"/>
      <c r="ET15" s="419"/>
      <c r="EU15" s="421"/>
      <c r="EV15" s="419"/>
      <c r="EW15" s="421"/>
      <c r="EX15" s="419"/>
      <c r="EY15" s="421"/>
      <c r="EZ15" s="419"/>
      <c r="FA15" s="421"/>
      <c r="FB15" s="419"/>
      <c r="FC15" s="421"/>
      <c r="FD15" s="419"/>
      <c r="FE15" s="421"/>
      <c r="FF15" s="419"/>
      <c r="FG15" s="421"/>
      <c r="FH15" s="419"/>
      <c r="FI15" s="421"/>
      <c r="FJ15" s="424">
        <f t="shared" si="41"/>
        <v>0</v>
      </c>
      <c r="FK15" s="425">
        <f t="shared" si="42"/>
        <v>0</v>
      </c>
      <c r="FL15" s="419"/>
      <c r="FM15" s="421"/>
      <c r="FN15" s="424">
        <f t="shared" si="43"/>
        <v>810</v>
      </c>
      <c r="FO15" s="425">
        <f t="shared" si="44"/>
        <v>896</v>
      </c>
    </row>
    <row r="16" spans="1:175">
      <c r="A16" s="98" t="s">
        <v>100</v>
      </c>
      <c r="B16" s="99" t="s">
        <v>508</v>
      </c>
      <c r="C16" s="100"/>
      <c r="D16" s="101">
        <v>101480</v>
      </c>
      <c r="E16" s="101">
        <v>3</v>
      </c>
      <c r="F16" s="419"/>
      <c r="G16" s="421"/>
      <c r="H16" s="419"/>
      <c r="I16" s="421"/>
      <c r="J16" s="419"/>
      <c r="K16" s="421"/>
      <c r="L16" s="422">
        <f t="shared" si="23"/>
        <v>0</v>
      </c>
      <c r="M16" s="423">
        <f t="shared" si="24"/>
        <v>0</v>
      </c>
      <c r="N16" s="419">
        <v>1308</v>
      </c>
      <c r="O16" s="309">
        <f>0</f>
        <v>0</v>
      </c>
      <c r="P16" s="309">
        <f>0</f>
        <v>0</v>
      </c>
      <c r="Q16" s="309">
        <f>0</f>
        <v>0</v>
      </c>
      <c r="R16" s="424">
        <f t="shared" si="2"/>
        <v>0</v>
      </c>
      <c r="S16" s="421">
        <v>1454</v>
      </c>
      <c r="T16" s="301">
        <f>0</f>
        <v>0</v>
      </c>
      <c r="U16" s="301">
        <f>0</f>
        <v>0</v>
      </c>
      <c r="V16" s="301">
        <f>0</f>
        <v>0</v>
      </c>
      <c r="W16" s="425">
        <f t="shared" si="3"/>
        <v>0</v>
      </c>
      <c r="X16" s="419"/>
      <c r="Y16" s="419"/>
      <c r="Z16" s="421"/>
      <c r="AA16" s="421"/>
      <c r="AB16" s="419"/>
      <c r="AC16" s="419"/>
      <c r="AD16" s="421"/>
      <c r="AE16" s="421"/>
      <c r="AF16" s="419"/>
      <c r="AG16" s="419"/>
      <c r="AH16" s="421"/>
      <c r="AI16" s="421"/>
      <c r="AJ16" s="419"/>
      <c r="AK16" s="419"/>
      <c r="AL16" s="421"/>
      <c r="AM16" s="421"/>
      <c r="AN16" s="419"/>
      <c r="AO16" s="419"/>
      <c r="AP16" s="421"/>
      <c r="AQ16" s="421"/>
      <c r="AR16" s="424">
        <f t="shared" si="25"/>
        <v>0</v>
      </c>
      <c r="AS16" s="422">
        <f t="shared" si="26"/>
        <v>0.76357267950963226</v>
      </c>
      <c r="AT16" s="425">
        <f t="shared" si="27"/>
        <v>0</v>
      </c>
      <c r="AU16" s="423">
        <f t="shared" si="28"/>
        <v>0.76205450733752622</v>
      </c>
      <c r="AV16" s="419">
        <v>13</v>
      </c>
      <c r="AW16" s="420">
        <v>4</v>
      </c>
      <c r="AX16" s="419">
        <v>13</v>
      </c>
      <c r="AY16" s="419">
        <v>196</v>
      </c>
      <c r="AZ16" s="421">
        <v>13</v>
      </c>
      <c r="BA16" s="421">
        <v>200</v>
      </c>
      <c r="BB16" s="419">
        <v>44</v>
      </c>
      <c r="BC16" s="419">
        <v>64</v>
      </c>
      <c r="BD16" s="421">
        <v>51</v>
      </c>
      <c r="BE16" s="421">
        <v>56</v>
      </c>
      <c r="BF16" s="419">
        <v>31</v>
      </c>
      <c r="BG16" s="419">
        <v>25</v>
      </c>
      <c r="BH16" s="421">
        <v>43</v>
      </c>
      <c r="BI16" s="420">
        <v>48</v>
      </c>
      <c r="BJ16" s="419">
        <v>51</v>
      </c>
      <c r="BK16" s="419">
        <v>23</v>
      </c>
      <c r="BL16" s="421">
        <v>44</v>
      </c>
      <c r="BM16" s="420">
        <v>37</v>
      </c>
      <c r="BN16" s="419">
        <v>52</v>
      </c>
      <c r="BO16" s="419">
        <v>23</v>
      </c>
      <c r="BP16" s="421">
        <v>52</v>
      </c>
      <c r="BQ16" s="421">
        <v>27</v>
      </c>
      <c r="BR16" s="419">
        <v>26</v>
      </c>
      <c r="BS16" s="419">
        <v>16</v>
      </c>
      <c r="BT16" s="421">
        <v>31</v>
      </c>
      <c r="BU16" s="421">
        <v>15</v>
      </c>
      <c r="BV16" s="419">
        <v>23</v>
      </c>
      <c r="BW16" s="419">
        <v>10</v>
      </c>
      <c r="BX16" s="421">
        <v>26</v>
      </c>
      <c r="BY16" s="421">
        <v>12</v>
      </c>
      <c r="BZ16" s="419">
        <v>11</v>
      </c>
      <c r="CA16" s="419">
        <v>6</v>
      </c>
      <c r="CB16" s="421">
        <v>23</v>
      </c>
      <c r="CC16" s="421">
        <v>7</v>
      </c>
      <c r="CD16" s="419">
        <v>42</v>
      </c>
      <c r="CE16" s="419">
        <v>6</v>
      </c>
      <c r="CF16" s="421">
        <v>54</v>
      </c>
      <c r="CG16" s="421">
        <v>7</v>
      </c>
      <c r="CH16" s="419">
        <v>43</v>
      </c>
      <c r="CI16" s="419">
        <v>5</v>
      </c>
      <c r="CJ16" s="421">
        <v>24</v>
      </c>
      <c r="CK16" s="420">
        <v>7</v>
      </c>
      <c r="CL16" s="419">
        <v>15</v>
      </c>
      <c r="CM16" s="421">
        <v>18</v>
      </c>
      <c r="CN16" s="424">
        <f t="shared" si="29"/>
        <v>389</v>
      </c>
      <c r="CO16" s="424">
        <f t="shared" si="30"/>
        <v>10</v>
      </c>
      <c r="CP16" s="425">
        <f t="shared" si="31"/>
        <v>434</v>
      </c>
      <c r="CQ16" s="425">
        <f t="shared" si="32"/>
        <v>10</v>
      </c>
      <c r="CR16" s="419"/>
      <c r="CS16" s="419"/>
      <c r="CT16" s="421"/>
      <c r="CU16" s="421"/>
      <c r="CV16" s="419"/>
      <c r="CW16" s="419"/>
      <c r="CX16" s="421"/>
      <c r="CY16" s="421"/>
      <c r="CZ16" s="419"/>
      <c r="DA16" s="419"/>
      <c r="DB16" s="421"/>
      <c r="DC16" s="421"/>
      <c r="DD16" s="419"/>
      <c r="DE16" s="419"/>
      <c r="DF16" s="421"/>
      <c r="DG16" s="421"/>
      <c r="DH16" s="419"/>
      <c r="DI16" s="419"/>
      <c r="DJ16" s="421"/>
      <c r="DK16" s="421"/>
      <c r="DL16" s="419"/>
      <c r="DM16" s="419"/>
      <c r="DN16" s="421"/>
      <c r="DO16" s="421"/>
      <c r="DP16" s="419"/>
      <c r="DQ16" s="419"/>
      <c r="DR16" s="421"/>
      <c r="DS16" s="421"/>
      <c r="DT16" s="419"/>
      <c r="DU16" s="419"/>
      <c r="DV16" s="421"/>
      <c r="DW16" s="421"/>
      <c r="DX16" s="419"/>
      <c r="DY16" s="419"/>
      <c r="DZ16" s="421"/>
      <c r="EA16" s="421"/>
      <c r="EB16" s="419"/>
      <c r="EC16" s="419"/>
      <c r="ED16" s="421"/>
      <c r="EE16" s="421"/>
      <c r="EF16" s="419"/>
      <c r="EG16" s="421"/>
      <c r="EH16" s="424">
        <f t="shared" si="33"/>
        <v>0</v>
      </c>
      <c r="EI16" s="424">
        <f t="shared" si="34"/>
        <v>0</v>
      </c>
      <c r="EJ16" s="422">
        <f t="shared" si="35"/>
        <v>0</v>
      </c>
      <c r="EK16" s="425">
        <f t="shared" si="36"/>
        <v>0</v>
      </c>
      <c r="EL16" s="425">
        <f t="shared" si="37"/>
        <v>0</v>
      </c>
      <c r="EM16" s="423">
        <f t="shared" si="38"/>
        <v>0</v>
      </c>
      <c r="EN16" s="424">
        <f t="shared" si="39"/>
        <v>389</v>
      </c>
      <c r="EO16" s="425">
        <f t="shared" si="40"/>
        <v>434</v>
      </c>
      <c r="EP16" s="419"/>
      <c r="EQ16" s="421"/>
      <c r="ER16" s="419"/>
      <c r="ES16" s="421"/>
      <c r="ET16" s="419"/>
      <c r="EU16" s="421"/>
      <c r="EV16" s="419"/>
      <c r="EW16" s="421"/>
      <c r="EX16" s="419"/>
      <c r="EY16" s="421"/>
      <c r="EZ16" s="419"/>
      <c r="FA16" s="421"/>
      <c r="FB16" s="419"/>
      <c r="FC16" s="421"/>
      <c r="FD16" s="419"/>
      <c r="FE16" s="421"/>
      <c r="FF16" s="419"/>
      <c r="FG16" s="421"/>
      <c r="FH16" s="419"/>
      <c r="FI16" s="420">
        <v>16</v>
      </c>
      <c r="FJ16" s="424">
        <f t="shared" si="41"/>
        <v>0</v>
      </c>
      <c r="FK16" s="425">
        <f t="shared" si="42"/>
        <v>16</v>
      </c>
      <c r="FL16" s="419">
        <v>3</v>
      </c>
      <c r="FM16" s="420">
        <v>0</v>
      </c>
      <c r="FN16" s="424">
        <f t="shared" si="43"/>
        <v>1713</v>
      </c>
      <c r="FO16" s="425">
        <f t="shared" si="44"/>
        <v>1908</v>
      </c>
    </row>
    <row r="17" spans="1:171">
      <c r="A17" s="98" t="s">
        <v>100</v>
      </c>
      <c r="B17" s="99" t="s">
        <v>509</v>
      </c>
      <c r="C17" s="100"/>
      <c r="D17" s="101">
        <v>102368</v>
      </c>
      <c r="E17" s="101">
        <v>3</v>
      </c>
      <c r="F17" s="419">
        <v>2</v>
      </c>
      <c r="G17" s="420">
        <v>1</v>
      </c>
      <c r="H17" s="419"/>
      <c r="I17" s="421"/>
      <c r="J17" s="419">
        <v>295</v>
      </c>
      <c r="K17" s="421">
        <v>319</v>
      </c>
      <c r="L17" s="422">
        <f t="shared" si="23"/>
        <v>0.12526539278131635</v>
      </c>
      <c r="M17" s="423">
        <f t="shared" si="24"/>
        <v>0.14127546501328608</v>
      </c>
      <c r="N17" s="419">
        <v>2355</v>
      </c>
      <c r="O17" s="309">
        <f>0</f>
        <v>0</v>
      </c>
      <c r="P17" s="309">
        <f>0</f>
        <v>0</v>
      </c>
      <c r="Q17" s="309">
        <f>0</f>
        <v>0</v>
      </c>
      <c r="R17" s="424">
        <f t="shared" si="2"/>
        <v>0</v>
      </c>
      <c r="S17" s="421">
        <v>2258</v>
      </c>
      <c r="T17" s="301">
        <f>0</f>
        <v>0</v>
      </c>
      <c r="U17" s="301">
        <f>0</f>
        <v>0</v>
      </c>
      <c r="V17" s="301">
        <f>0</f>
        <v>0</v>
      </c>
      <c r="W17" s="425">
        <f t="shared" si="3"/>
        <v>0</v>
      </c>
      <c r="X17" s="419"/>
      <c r="Y17" s="419"/>
      <c r="Z17" s="421"/>
      <c r="AA17" s="421"/>
      <c r="AB17" s="419"/>
      <c r="AC17" s="419"/>
      <c r="AD17" s="421"/>
      <c r="AE17" s="421"/>
      <c r="AF17" s="419"/>
      <c r="AG17" s="419"/>
      <c r="AH17" s="421"/>
      <c r="AI17" s="421"/>
      <c r="AJ17" s="419"/>
      <c r="AK17" s="419"/>
      <c r="AL17" s="421"/>
      <c r="AM17" s="421"/>
      <c r="AN17" s="419"/>
      <c r="AO17" s="419"/>
      <c r="AP17" s="421"/>
      <c r="AQ17" s="421"/>
      <c r="AR17" s="424">
        <f t="shared" si="25"/>
        <v>0</v>
      </c>
      <c r="AS17" s="422">
        <f t="shared" si="26"/>
        <v>0.63734776725304465</v>
      </c>
      <c r="AT17" s="425">
        <f t="shared" si="27"/>
        <v>0</v>
      </c>
      <c r="AU17" s="423">
        <f t="shared" si="28"/>
        <v>0.62410171365395251</v>
      </c>
      <c r="AV17" s="419">
        <v>5</v>
      </c>
      <c r="AW17" s="420">
        <v>14</v>
      </c>
      <c r="AX17" s="419">
        <v>52</v>
      </c>
      <c r="AY17" s="419">
        <v>281</v>
      </c>
      <c r="AZ17" s="421">
        <v>52</v>
      </c>
      <c r="BA17" s="421">
        <v>291</v>
      </c>
      <c r="BB17" s="419">
        <v>44</v>
      </c>
      <c r="BC17" s="419">
        <v>175</v>
      </c>
      <c r="BD17" s="421">
        <v>44</v>
      </c>
      <c r="BE17" s="421">
        <v>188</v>
      </c>
      <c r="BF17" s="419">
        <v>13</v>
      </c>
      <c r="BG17" s="419">
        <v>126</v>
      </c>
      <c r="BH17" s="421">
        <v>13</v>
      </c>
      <c r="BI17" s="421">
        <v>138</v>
      </c>
      <c r="BJ17" s="419">
        <v>42</v>
      </c>
      <c r="BK17" s="419">
        <v>86</v>
      </c>
      <c r="BL17" s="421">
        <v>45</v>
      </c>
      <c r="BM17" s="421">
        <v>85</v>
      </c>
      <c r="BN17" s="419">
        <v>51</v>
      </c>
      <c r="BO17" s="419">
        <v>84</v>
      </c>
      <c r="BP17" s="421">
        <v>43</v>
      </c>
      <c r="BQ17" s="421">
        <v>75</v>
      </c>
      <c r="BR17" s="419">
        <v>45</v>
      </c>
      <c r="BS17" s="419">
        <v>83</v>
      </c>
      <c r="BT17" s="421">
        <v>51</v>
      </c>
      <c r="BU17" s="421">
        <v>67</v>
      </c>
      <c r="BV17" s="419">
        <v>9</v>
      </c>
      <c r="BW17" s="419">
        <v>61</v>
      </c>
      <c r="BX17" s="421">
        <v>42</v>
      </c>
      <c r="BY17" s="421">
        <v>63</v>
      </c>
      <c r="BZ17" s="419">
        <v>43</v>
      </c>
      <c r="CA17" s="419">
        <v>46</v>
      </c>
      <c r="CB17" s="421">
        <v>9</v>
      </c>
      <c r="CC17" s="421">
        <v>38</v>
      </c>
      <c r="CD17" s="419">
        <v>31</v>
      </c>
      <c r="CE17" s="419">
        <v>33</v>
      </c>
      <c r="CF17" s="421">
        <v>31</v>
      </c>
      <c r="CG17" s="421">
        <v>36</v>
      </c>
      <c r="CH17" s="419">
        <v>11</v>
      </c>
      <c r="CI17" s="419">
        <v>21</v>
      </c>
      <c r="CJ17" s="421">
        <v>11</v>
      </c>
      <c r="CK17" s="420">
        <v>15</v>
      </c>
      <c r="CL17" s="419">
        <v>17</v>
      </c>
      <c r="CM17" s="421">
        <v>14</v>
      </c>
      <c r="CN17" s="424">
        <f t="shared" si="29"/>
        <v>1013</v>
      </c>
      <c r="CO17" s="424">
        <f t="shared" si="30"/>
        <v>10</v>
      </c>
      <c r="CP17" s="425">
        <f t="shared" si="31"/>
        <v>1010</v>
      </c>
      <c r="CQ17" s="425">
        <f t="shared" si="32"/>
        <v>10</v>
      </c>
      <c r="CR17" s="419">
        <v>31</v>
      </c>
      <c r="CS17" s="419">
        <v>5</v>
      </c>
      <c r="CT17" s="421">
        <v>31</v>
      </c>
      <c r="CU17" s="420">
        <v>1</v>
      </c>
      <c r="CV17" s="419"/>
      <c r="CW17" s="419"/>
      <c r="CX17" s="421"/>
      <c r="CY17" s="421"/>
      <c r="CZ17" s="419"/>
      <c r="DA17" s="419"/>
      <c r="DB17" s="421"/>
      <c r="DC17" s="421"/>
      <c r="DD17" s="419"/>
      <c r="DE17" s="419"/>
      <c r="DF17" s="421"/>
      <c r="DG17" s="421"/>
      <c r="DH17" s="419"/>
      <c r="DI17" s="419"/>
      <c r="DJ17" s="421"/>
      <c r="DK17" s="421"/>
      <c r="DL17" s="419"/>
      <c r="DM17" s="419"/>
      <c r="DN17" s="421"/>
      <c r="DO17" s="421"/>
      <c r="DP17" s="419"/>
      <c r="DQ17" s="419"/>
      <c r="DR17" s="421"/>
      <c r="DS17" s="421"/>
      <c r="DT17" s="419"/>
      <c r="DU17" s="419"/>
      <c r="DV17" s="421"/>
      <c r="DW17" s="421"/>
      <c r="DX17" s="419"/>
      <c r="DY17" s="419"/>
      <c r="DZ17" s="421"/>
      <c r="EA17" s="421"/>
      <c r="EB17" s="419"/>
      <c r="EC17" s="419"/>
      <c r="ED17" s="421"/>
      <c r="EE17" s="421"/>
      <c r="EF17" s="419"/>
      <c r="EG17" s="421"/>
      <c r="EH17" s="424">
        <f t="shared" si="33"/>
        <v>5</v>
      </c>
      <c r="EI17" s="424">
        <f t="shared" si="34"/>
        <v>1</v>
      </c>
      <c r="EJ17" s="422">
        <f t="shared" si="35"/>
        <v>1</v>
      </c>
      <c r="EK17" s="425">
        <f t="shared" si="36"/>
        <v>1</v>
      </c>
      <c r="EL17" s="425">
        <f t="shared" si="37"/>
        <v>1</v>
      </c>
      <c r="EM17" s="423">
        <f t="shared" si="38"/>
        <v>1</v>
      </c>
      <c r="EN17" s="424">
        <f t="shared" si="39"/>
        <v>1018</v>
      </c>
      <c r="EO17" s="425">
        <f t="shared" si="40"/>
        <v>1011</v>
      </c>
      <c r="EP17" s="419"/>
      <c r="EQ17" s="421"/>
      <c r="ER17" s="419"/>
      <c r="ES17" s="421"/>
      <c r="ET17" s="419"/>
      <c r="EU17" s="421"/>
      <c r="EV17" s="419"/>
      <c r="EW17" s="421"/>
      <c r="EX17" s="419"/>
      <c r="EY17" s="421"/>
      <c r="EZ17" s="419"/>
      <c r="FA17" s="421"/>
      <c r="FB17" s="419"/>
      <c r="FC17" s="421"/>
      <c r="FD17" s="419"/>
      <c r="FE17" s="421"/>
      <c r="FF17" s="419"/>
      <c r="FG17" s="421"/>
      <c r="FH17" s="419">
        <v>20</v>
      </c>
      <c r="FI17" s="420">
        <v>15</v>
      </c>
      <c r="FJ17" s="424">
        <f t="shared" si="41"/>
        <v>20</v>
      </c>
      <c r="FK17" s="425">
        <f t="shared" si="42"/>
        <v>15</v>
      </c>
      <c r="FL17" s="419"/>
      <c r="FM17" s="421"/>
      <c r="FN17" s="424">
        <f t="shared" si="43"/>
        <v>3695</v>
      </c>
      <c r="FO17" s="425">
        <f t="shared" si="44"/>
        <v>3618</v>
      </c>
    </row>
    <row r="18" spans="1:171">
      <c r="A18" s="98" t="s">
        <v>100</v>
      </c>
      <c r="B18" s="99" t="s">
        <v>510</v>
      </c>
      <c r="C18" s="103"/>
      <c r="D18" s="101">
        <v>101879</v>
      </c>
      <c r="E18" s="101">
        <v>3</v>
      </c>
      <c r="F18" s="419"/>
      <c r="G18" s="421"/>
      <c r="H18" s="419"/>
      <c r="I18" s="421"/>
      <c r="J18" s="419"/>
      <c r="K18" s="421"/>
      <c r="L18" s="422">
        <f t="shared" si="23"/>
        <v>0</v>
      </c>
      <c r="M18" s="423">
        <f t="shared" si="24"/>
        <v>0</v>
      </c>
      <c r="N18" s="419">
        <v>1134</v>
      </c>
      <c r="O18" s="309">
        <f>0</f>
        <v>0</v>
      </c>
      <c r="P18" s="309">
        <f>0</f>
        <v>0</v>
      </c>
      <c r="Q18" s="309">
        <f>0</f>
        <v>0</v>
      </c>
      <c r="R18" s="424">
        <f t="shared" si="2"/>
        <v>0</v>
      </c>
      <c r="S18" s="421">
        <v>1164</v>
      </c>
      <c r="T18" s="301">
        <f>0</f>
        <v>0</v>
      </c>
      <c r="U18" s="301">
        <f>0</f>
        <v>0</v>
      </c>
      <c r="V18" s="301">
        <f>0</f>
        <v>0</v>
      </c>
      <c r="W18" s="425">
        <f t="shared" si="3"/>
        <v>0</v>
      </c>
      <c r="X18" s="419"/>
      <c r="Y18" s="419"/>
      <c r="Z18" s="421"/>
      <c r="AA18" s="421"/>
      <c r="AB18" s="419"/>
      <c r="AC18" s="419"/>
      <c r="AD18" s="421"/>
      <c r="AE18" s="421"/>
      <c r="AF18" s="419"/>
      <c r="AG18" s="419"/>
      <c r="AH18" s="421"/>
      <c r="AI18" s="421"/>
      <c r="AJ18" s="419"/>
      <c r="AK18" s="419"/>
      <c r="AL18" s="421"/>
      <c r="AM18" s="421"/>
      <c r="AN18" s="419"/>
      <c r="AO18" s="419"/>
      <c r="AP18" s="421"/>
      <c r="AQ18" s="421"/>
      <c r="AR18" s="424">
        <f t="shared" si="25"/>
        <v>0</v>
      </c>
      <c r="AS18" s="422">
        <f t="shared" si="26"/>
        <v>0.6969883220651506</v>
      </c>
      <c r="AT18" s="425">
        <f t="shared" si="27"/>
        <v>0</v>
      </c>
      <c r="AU18" s="423">
        <f t="shared" si="28"/>
        <v>0.70460048426150124</v>
      </c>
      <c r="AV18" s="419">
        <v>35</v>
      </c>
      <c r="AW18" s="420">
        <v>27</v>
      </c>
      <c r="AX18" s="419">
        <v>52</v>
      </c>
      <c r="AY18" s="419">
        <v>222</v>
      </c>
      <c r="AZ18" s="421">
        <v>52</v>
      </c>
      <c r="BA18" s="421">
        <v>216</v>
      </c>
      <c r="BB18" s="419">
        <v>13</v>
      </c>
      <c r="BC18" s="419">
        <v>107</v>
      </c>
      <c r="BD18" s="421">
        <v>13</v>
      </c>
      <c r="BE18" s="420">
        <v>129</v>
      </c>
      <c r="BF18" s="419">
        <v>51</v>
      </c>
      <c r="BG18" s="419">
        <v>48</v>
      </c>
      <c r="BH18" s="421">
        <v>51</v>
      </c>
      <c r="BI18" s="420">
        <v>37</v>
      </c>
      <c r="BJ18" s="419">
        <v>30</v>
      </c>
      <c r="BK18" s="419">
        <v>23</v>
      </c>
      <c r="BL18" s="421">
        <v>31</v>
      </c>
      <c r="BM18" s="421">
        <v>20</v>
      </c>
      <c r="BN18" s="419">
        <v>31</v>
      </c>
      <c r="BO18" s="419">
        <v>16</v>
      </c>
      <c r="BP18" s="421">
        <v>30</v>
      </c>
      <c r="BQ18" s="421">
        <v>17</v>
      </c>
      <c r="BR18" s="419">
        <v>42</v>
      </c>
      <c r="BS18" s="419">
        <v>9</v>
      </c>
      <c r="BT18" s="421">
        <v>42</v>
      </c>
      <c r="BU18" s="420">
        <v>11</v>
      </c>
      <c r="BV18" s="419">
        <v>43</v>
      </c>
      <c r="BW18" s="419">
        <v>8</v>
      </c>
      <c r="BX18" s="421">
        <v>43</v>
      </c>
      <c r="BY18" s="420">
        <v>11</v>
      </c>
      <c r="BZ18" s="419">
        <v>45</v>
      </c>
      <c r="CA18" s="419">
        <v>8</v>
      </c>
      <c r="CB18" s="421">
        <v>23</v>
      </c>
      <c r="CC18" s="420">
        <v>10</v>
      </c>
      <c r="CD18" s="419">
        <v>19</v>
      </c>
      <c r="CE18" s="419">
        <v>7</v>
      </c>
      <c r="CF18" s="421">
        <v>19</v>
      </c>
      <c r="CG18" s="420">
        <v>5</v>
      </c>
      <c r="CH18" s="419">
        <v>54</v>
      </c>
      <c r="CI18" s="419">
        <v>6</v>
      </c>
      <c r="CJ18" s="421">
        <v>54</v>
      </c>
      <c r="CK18" s="420">
        <v>3</v>
      </c>
      <c r="CL18" s="419">
        <v>4</v>
      </c>
      <c r="CM18" s="420">
        <v>2</v>
      </c>
      <c r="CN18" s="424">
        <f t="shared" si="29"/>
        <v>458</v>
      </c>
      <c r="CO18" s="424">
        <f t="shared" si="30"/>
        <v>10</v>
      </c>
      <c r="CP18" s="425">
        <f t="shared" si="31"/>
        <v>461</v>
      </c>
      <c r="CQ18" s="425">
        <f t="shared" si="32"/>
        <v>10</v>
      </c>
      <c r="CR18" s="419"/>
      <c r="CS18" s="419"/>
      <c r="CT18" s="421"/>
      <c r="CU18" s="421"/>
      <c r="CV18" s="419"/>
      <c r="CW18" s="419"/>
      <c r="CX18" s="421"/>
      <c r="CY18" s="421"/>
      <c r="CZ18" s="419"/>
      <c r="DA18" s="419"/>
      <c r="DB18" s="421"/>
      <c r="DC18" s="421"/>
      <c r="DD18" s="419"/>
      <c r="DE18" s="419"/>
      <c r="DF18" s="421"/>
      <c r="DG18" s="421"/>
      <c r="DH18" s="419"/>
      <c r="DI18" s="419"/>
      <c r="DJ18" s="421"/>
      <c r="DK18" s="421"/>
      <c r="DL18" s="419"/>
      <c r="DM18" s="419"/>
      <c r="DN18" s="421"/>
      <c r="DO18" s="421"/>
      <c r="DP18" s="419"/>
      <c r="DQ18" s="419"/>
      <c r="DR18" s="421"/>
      <c r="DS18" s="421"/>
      <c r="DT18" s="419"/>
      <c r="DU18" s="419"/>
      <c r="DV18" s="421"/>
      <c r="DW18" s="421"/>
      <c r="DX18" s="419"/>
      <c r="DY18" s="419"/>
      <c r="DZ18" s="421"/>
      <c r="EA18" s="421"/>
      <c r="EB18" s="419"/>
      <c r="EC18" s="419"/>
      <c r="ED18" s="421"/>
      <c r="EE18" s="421"/>
      <c r="EF18" s="419"/>
      <c r="EG18" s="421"/>
      <c r="EH18" s="424">
        <f t="shared" si="33"/>
        <v>0</v>
      </c>
      <c r="EI18" s="424">
        <f t="shared" si="34"/>
        <v>0</v>
      </c>
      <c r="EJ18" s="422">
        <f t="shared" si="35"/>
        <v>0</v>
      </c>
      <c r="EK18" s="425">
        <f t="shared" si="36"/>
        <v>0</v>
      </c>
      <c r="EL18" s="425">
        <f t="shared" si="37"/>
        <v>0</v>
      </c>
      <c r="EM18" s="423">
        <f t="shared" si="38"/>
        <v>0</v>
      </c>
      <c r="EN18" s="424">
        <f t="shared" si="39"/>
        <v>458</v>
      </c>
      <c r="EO18" s="425">
        <f t="shared" si="40"/>
        <v>461</v>
      </c>
      <c r="EP18" s="419"/>
      <c r="EQ18" s="421"/>
      <c r="ER18" s="419"/>
      <c r="ES18" s="421"/>
      <c r="ET18" s="419"/>
      <c r="EU18" s="421"/>
      <c r="EV18" s="419"/>
      <c r="EW18" s="421"/>
      <c r="EX18" s="419"/>
      <c r="EY18" s="421"/>
      <c r="EZ18" s="419"/>
      <c r="FA18" s="421"/>
      <c r="FB18" s="419"/>
      <c r="FC18" s="421"/>
      <c r="FD18" s="419"/>
      <c r="FE18" s="421"/>
      <c r="FF18" s="419"/>
      <c r="FG18" s="421"/>
      <c r="FH18" s="419"/>
      <c r="FI18" s="421"/>
      <c r="FJ18" s="424">
        <f t="shared" si="41"/>
        <v>0</v>
      </c>
      <c r="FK18" s="425">
        <f t="shared" si="42"/>
        <v>0</v>
      </c>
      <c r="FL18" s="419"/>
      <c r="FM18" s="421"/>
      <c r="FN18" s="424">
        <f t="shared" si="43"/>
        <v>1627</v>
      </c>
      <c r="FO18" s="425">
        <f t="shared" si="44"/>
        <v>1652</v>
      </c>
    </row>
    <row r="19" spans="1:171">
      <c r="A19" s="98" t="s">
        <v>100</v>
      </c>
      <c r="B19" s="99" t="s">
        <v>511</v>
      </c>
      <c r="C19" s="100"/>
      <c r="D19" s="101">
        <v>100724</v>
      </c>
      <c r="E19" s="101">
        <v>4</v>
      </c>
      <c r="F19" s="419"/>
      <c r="G19" s="421"/>
      <c r="H19" s="419"/>
      <c r="I19" s="421"/>
      <c r="J19" s="419"/>
      <c r="K19" s="421"/>
      <c r="L19" s="422">
        <f t="shared" si="23"/>
        <v>0</v>
      </c>
      <c r="M19" s="423">
        <f t="shared" si="24"/>
        <v>0</v>
      </c>
      <c r="N19" s="419">
        <v>510</v>
      </c>
      <c r="O19" s="309">
        <f>0</f>
        <v>0</v>
      </c>
      <c r="P19" s="309">
        <f>0</f>
        <v>0</v>
      </c>
      <c r="Q19" s="309">
        <f>0</f>
        <v>0</v>
      </c>
      <c r="R19" s="424">
        <f t="shared" si="2"/>
        <v>0</v>
      </c>
      <c r="S19" s="421">
        <v>561</v>
      </c>
      <c r="T19" s="301">
        <f>0</f>
        <v>0</v>
      </c>
      <c r="U19" s="301">
        <f>0</f>
        <v>0</v>
      </c>
      <c r="V19" s="301">
        <f>0</f>
        <v>0</v>
      </c>
      <c r="W19" s="425">
        <f t="shared" si="3"/>
        <v>0</v>
      </c>
      <c r="X19" s="419"/>
      <c r="Y19" s="419"/>
      <c r="Z19" s="421"/>
      <c r="AA19" s="421"/>
      <c r="AB19" s="419"/>
      <c r="AC19" s="419"/>
      <c r="AD19" s="421"/>
      <c r="AE19" s="421"/>
      <c r="AF19" s="419"/>
      <c r="AG19" s="419"/>
      <c r="AH19" s="421"/>
      <c r="AI19" s="421"/>
      <c r="AJ19" s="419"/>
      <c r="AK19" s="419"/>
      <c r="AL19" s="421"/>
      <c r="AM19" s="421"/>
      <c r="AN19" s="419"/>
      <c r="AO19" s="419"/>
      <c r="AP19" s="421"/>
      <c r="AQ19" s="421"/>
      <c r="AR19" s="424">
        <f t="shared" si="25"/>
        <v>0</v>
      </c>
      <c r="AS19" s="422">
        <f t="shared" si="26"/>
        <v>0.76923076923076927</v>
      </c>
      <c r="AT19" s="425">
        <f t="shared" si="27"/>
        <v>0</v>
      </c>
      <c r="AU19" s="423">
        <f t="shared" si="28"/>
        <v>0.7879213483146067</v>
      </c>
      <c r="AV19" s="419"/>
      <c r="AW19" s="421">
        <v>0</v>
      </c>
      <c r="AX19" s="419">
        <v>13</v>
      </c>
      <c r="AY19" s="419">
        <v>47</v>
      </c>
      <c r="AZ19" s="421">
        <v>51</v>
      </c>
      <c r="BA19" s="421">
        <v>40</v>
      </c>
      <c r="BB19" s="419">
        <v>51</v>
      </c>
      <c r="BC19" s="419">
        <v>33</v>
      </c>
      <c r="BD19" s="421">
        <v>13</v>
      </c>
      <c r="BE19" s="421">
        <v>28</v>
      </c>
      <c r="BF19" s="419">
        <v>44</v>
      </c>
      <c r="BG19" s="419">
        <v>17</v>
      </c>
      <c r="BH19" s="421">
        <v>52</v>
      </c>
      <c r="BI19" s="420">
        <v>13</v>
      </c>
      <c r="BJ19" s="419">
        <v>52</v>
      </c>
      <c r="BK19" s="419">
        <v>15</v>
      </c>
      <c r="BL19" s="421">
        <v>44</v>
      </c>
      <c r="BM19" s="420">
        <v>11</v>
      </c>
      <c r="BN19" s="419">
        <v>11</v>
      </c>
      <c r="BO19" s="419">
        <v>6</v>
      </c>
      <c r="BP19" s="421">
        <v>11</v>
      </c>
      <c r="BQ19" s="420">
        <v>11</v>
      </c>
      <c r="BR19" s="419">
        <v>43</v>
      </c>
      <c r="BS19" s="419">
        <v>4</v>
      </c>
      <c r="BT19" s="421">
        <v>43</v>
      </c>
      <c r="BU19" s="420">
        <v>5</v>
      </c>
      <c r="BV19" s="419">
        <v>26</v>
      </c>
      <c r="BW19" s="419">
        <v>3</v>
      </c>
      <c r="BX19" s="421">
        <v>26</v>
      </c>
      <c r="BY19" s="420">
        <v>2</v>
      </c>
      <c r="BZ19" s="419">
        <v>27</v>
      </c>
      <c r="CA19" s="419">
        <v>1</v>
      </c>
      <c r="CB19" s="421">
        <v>27</v>
      </c>
      <c r="CC19" s="421">
        <v>1</v>
      </c>
      <c r="CD19" s="419"/>
      <c r="CE19" s="419"/>
      <c r="CF19" s="421">
        <v>54</v>
      </c>
      <c r="CG19" s="421">
        <v>0</v>
      </c>
      <c r="CH19" s="419"/>
      <c r="CI19" s="419"/>
      <c r="CJ19" s="421"/>
      <c r="CK19" s="421"/>
      <c r="CL19" s="419"/>
      <c r="CM19" s="421"/>
      <c r="CN19" s="424">
        <f t="shared" si="29"/>
        <v>126</v>
      </c>
      <c r="CO19" s="424">
        <f t="shared" si="30"/>
        <v>8</v>
      </c>
      <c r="CP19" s="425">
        <f t="shared" si="31"/>
        <v>111</v>
      </c>
      <c r="CQ19" s="425">
        <f t="shared" si="32"/>
        <v>9</v>
      </c>
      <c r="CR19" s="419">
        <v>13</v>
      </c>
      <c r="CS19" s="419">
        <v>3</v>
      </c>
      <c r="CT19" s="421">
        <v>13</v>
      </c>
      <c r="CU19" s="420">
        <v>7</v>
      </c>
      <c r="CV19" s="419">
        <v>26</v>
      </c>
      <c r="CW19" s="419">
        <v>1</v>
      </c>
      <c r="CX19" s="421">
        <v>26</v>
      </c>
      <c r="CY19" s="420">
        <v>2</v>
      </c>
      <c r="CZ19" s="419"/>
      <c r="DA19" s="419"/>
      <c r="DB19" s="421"/>
      <c r="DC19" s="421"/>
      <c r="DD19" s="419"/>
      <c r="DE19" s="419"/>
      <c r="DF19" s="421"/>
      <c r="DG19" s="421"/>
      <c r="DH19" s="419"/>
      <c r="DI19" s="419"/>
      <c r="DJ19" s="421"/>
      <c r="DK19" s="421"/>
      <c r="DL19" s="419"/>
      <c r="DM19" s="419"/>
      <c r="DN19" s="421"/>
      <c r="DO19" s="421"/>
      <c r="DP19" s="419"/>
      <c r="DQ19" s="419"/>
      <c r="DR19" s="421"/>
      <c r="DS19" s="421"/>
      <c r="DT19" s="419"/>
      <c r="DU19" s="419"/>
      <c r="DV19" s="421"/>
      <c r="DW19" s="421"/>
      <c r="DX19" s="419"/>
      <c r="DY19" s="419"/>
      <c r="DZ19" s="421"/>
      <c r="EA19" s="421"/>
      <c r="EB19" s="419"/>
      <c r="EC19" s="419"/>
      <c r="ED19" s="421"/>
      <c r="EE19" s="421"/>
      <c r="EF19" s="419"/>
      <c r="EG19" s="421"/>
      <c r="EH19" s="424">
        <f t="shared" si="33"/>
        <v>4</v>
      </c>
      <c r="EI19" s="424">
        <f t="shared" si="34"/>
        <v>2</v>
      </c>
      <c r="EJ19" s="422">
        <f t="shared" si="35"/>
        <v>0.75</v>
      </c>
      <c r="EK19" s="425">
        <f t="shared" si="36"/>
        <v>9</v>
      </c>
      <c r="EL19" s="425">
        <f t="shared" si="37"/>
        <v>2</v>
      </c>
      <c r="EM19" s="423">
        <f t="shared" si="38"/>
        <v>0.77777777777777779</v>
      </c>
      <c r="EN19" s="424">
        <f t="shared" si="39"/>
        <v>130</v>
      </c>
      <c r="EO19" s="425">
        <f t="shared" si="40"/>
        <v>120</v>
      </c>
      <c r="EP19" s="419"/>
      <c r="EQ19" s="421"/>
      <c r="ER19" s="419"/>
      <c r="ES19" s="421"/>
      <c r="ET19" s="419"/>
      <c r="EU19" s="421"/>
      <c r="EV19" s="419"/>
      <c r="EW19" s="421"/>
      <c r="EX19" s="419"/>
      <c r="EY19" s="421"/>
      <c r="EZ19" s="419"/>
      <c r="FA19" s="421"/>
      <c r="FB19" s="419"/>
      <c r="FC19" s="421"/>
      <c r="FD19" s="419"/>
      <c r="FE19" s="421"/>
      <c r="FF19" s="419"/>
      <c r="FG19" s="421"/>
      <c r="FH19" s="419">
        <v>23</v>
      </c>
      <c r="FI19" s="420">
        <v>31</v>
      </c>
      <c r="FJ19" s="424">
        <f t="shared" si="41"/>
        <v>23</v>
      </c>
      <c r="FK19" s="425">
        <f t="shared" si="42"/>
        <v>31</v>
      </c>
      <c r="FL19" s="419"/>
      <c r="FM19" s="421"/>
      <c r="FN19" s="424">
        <f t="shared" si="43"/>
        <v>663</v>
      </c>
      <c r="FO19" s="425">
        <f t="shared" si="44"/>
        <v>712</v>
      </c>
    </row>
    <row r="20" spans="1:171">
      <c r="A20" s="98" t="s">
        <v>100</v>
      </c>
      <c r="B20" s="99" t="s">
        <v>512</v>
      </c>
      <c r="C20" s="482" t="s">
        <v>1193</v>
      </c>
      <c r="D20" s="101">
        <v>100830</v>
      </c>
      <c r="E20" s="483">
        <v>3</v>
      </c>
      <c r="F20" s="419">
        <v>5</v>
      </c>
      <c r="G20" s="420">
        <v>1</v>
      </c>
      <c r="H20" s="419"/>
      <c r="I20" s="421"/>
      <c r="J20" s="419"/>
      <c r="K20" s="421"/>
      <c r="L20" s="422">
        <f t="shared" si="23"/>
        <v>0</v>
      </c>
      <c r="M20" s="423">
        <f t="shared" si="24"/>
        <v>0</v>
      </c>
      <c r="N20" s="419">
        <v>662</v>
      </c>
      <c r="O20" s="309">
        <f>0</f>
        <v>0</v>
      </c>
      <c r="P20" s="309">
        <f>0</f>
        <v>0</v>
      </c>
      <c r="Q20" s="309">
        <f>0</f>
        <v>0</v>
      </c>
      <c r="R20" s="424">
        <f t="shared" si="2"/>
        <v>0</v>
      </c>
      <c r="S20" s="421">
        <v>724</v>
      </c>
      <c r="T20" s="301">
        <f>0</f>
        <v>0</v>
      </c>
      <c r="U20" s="301">
        <f>0</f>
        <v>0</v>
      </c>
      <c r="V20" s="301">
        <f>0</f>
        <v>0</v>
      </c>
      <c r="W20" s="425">
        <f t="shared" si="3"/>
        <v>0</v>
      </c>
      <c r="X20" s="419"/>
      <c r="Y20" s="419"/>
      <c r="Z20" s="421"/>
      <c r="AA20" s="421"/>
      <c r="AB20" s="419"/>
      <c r="AC20" s="419"/>
      <c r="AD20" s="421"/>
      <c r="AE20" s="421"/>
      <c r="AF20" s="419"/>
      <c r="AG20" s="419"/>
      <c r="AH20" s="421"/>
      <c r="AI20" s="421"/>
      <c r="AJ20" s="419"/>
      <c r="AK20" s="419"/>
      <c r="AL20" s="421"/>
      <c r="AM20" s="421"/>
      <c r="AN20" s="419"/>
      <c r="AO20" s="419"/>
      <c r="AP20" s="421"/>
      <c r="AQ20" s="421"/>
      <c r="AR20" s="424">
        <f t="shared" si="25"/>
        <v>0</v>
      </c>
      <c r="AS20" s="422">
        <f t="shared" si="26"/>
        <v>0.75398633257403191</v>
      </c>
      <c r="AT20" s="425">
        <f t="shared" si="27"/>
        <v>0</v>
      </c>
      <c r="AU20" s="423">
        <f t="shared" si="28"/>
        <v>0.75338189386056187</v>
      </c>
      <c r="AV20" s="419">
        <v>6</v>
      </c>
      <c r="AW20" s="421">
        <v>7</v>
      </c>
      <c r="AX20" s="419">
        <v>13</v>
      </c>
      <c r="AY20" s="419">
        <v>69</v>
      </c>
      <c r="AZ20" s="421">
        <v>13</v>
      </c>
      <c r="BA20" s="420">
        <v>84</v>
      </c>
      <c r="BB20" s="419">
        <v>52</v>
      </c>
      <c r="BC20" s="419">
        <v>35</v>
      </c>
      <c r="BD20" s="421">
        <v>52</v>
      </c>
      <c r="BE20" s="420">
        <v>49</v>
      </c>
      <c r="BF20" s="419">
        <v>24</v>
      </c>
      <c r="BG20" s="419">
        <v>26</v>
      </c>
      <c r="BH20" s="421">
        <v>11</v>
      </c>
      <c r="BI20" s="421">
        <v>29</v>
      </c>
      <c r="BJ20" s="419">
        <v>43</v>
      </c>
      <c r="BK20" s="419">
        <v>17</v>
      </c>
      <c r="BL20" s="421">
        <v>24</v>
      </c>
      <c r="BM20" s="421">
        <v>18</v>
      </c>
      <c r="BN20" s="419">
        <v>45</v>
      </c>
      <c r="BO20" s="419">
        <v>17</v>
      </c>
      <c r="BP20" s="421">
        <v>44</v>
      </c>
      <c r="BQ20" s="420">
        <v>13</v>
      </c>
      <c r="BR20" s="419">
        <v>44</v>
      </c>
      <c r="BS20" s="419">
        <v>13</v>
      </c>
      <c r="BT20" s="421">
        <v>31</v>
      </c>
      <c r="BU20" s="420">
        <v>10</v>
      </c>
      <c r="BV20" s="419">
        <v>11</v>
      </c>
      <c r="BW20" s="419">
        <v>12</v>
      </c>
      <c r="BX20" s="421">
        <v>43</v>
      </c>
      <c r="BY20" s="420">
        <v>9</v>
      </c>
      <c r="BZ20" s="419">
        <v>31</v>
      </c>
      <c r="CA20" s="419">
        <v>11</v>
      </c>
      <c r="CB20" s="421">
        <v>45</v>
      </c>
      <c r="CC20" s="420">
        <v>8</v>
      </c>
      <c r="CD20" s="419">
        <v>42</v>
      </c>
      <c r="CE20" s="419">
        <v>3</v>
      </c>
      <c r="CF20" s="421">
        <v>42</v>
      </c>
      <c r="CG20" s="420">
        <v>8</v>
      </c>
      <c r="CH20" s="419">
        <v>23</v>
      </c>
      <c r="CI20" s="419">
        <v>2</v>
      </c>
      <c r="CJ20" s="421">
        <v>23</v>
      </c>
      <c r="CK20" s="420">
        <v>1</v>
      </c>
      <c r="CL20" s="419"/>
      <c r="CM20" s="421">
        <v>0</v>
      </c>
      <c r="CN20" s="424">
        <f t="shared" si="29"/>
        <v>205</v>
      </c>
      <c r="CO20" s="424">
        <f t="shared" si="30"/>
        <v>10</v>
      </c>
      <c r="CP20" s="425">
        <f t="shared" si="31"/>
        <v>229</v>
      </c>
      <c r="CQ20" s="425">
        <f t="shared" si="32"/>
        <v>10</v>
      </c>
      <c r="CR20" s="419"/>
      <c r="CS20" s="419"/>
      <c r="CT20" s="421">
        <v>45</v>
      </c>
      <c r="CU20" s="421">
        <v>0</v>
      </c>
      <c r="CV20" s="419"/>
      <c r="CW20" s="419"/>
      <c r="CX20" s="421"/>
      <c r="CY20" s="421"/>
      <c r="CZ20" s="419"/>
      <c r="DA20" s="419"/>
      <c r="DB20" s="421"/>
      <c r="DC20" s="421"/>
      <c r="DD20" s="419"/>
      <c r="DE20" s="419"/>
      <c r="DF20" s="421"/>
      <c r="DG20" s="421"/>
      <c r="DH20" s="419"/>
      <c r="DI20" s="419"/>
      <c r="DJ20" s="421"/>
      <c r="DK20" s="421"/>
      <c r="DL20" s="419"/>
      <c r="DM20" s="419"/>
      <c r="DN20" s="421"/>
      <c r="DO20" s="421"/>
      <c r="DP20" s="419"/>
      <c r="DQ20" s="419"/>
      <c r="DR20" s="421"/>
      <c r="DS20" s="421"/>
      <c r="DT20" s="419"/>
      <c r="DU20" s="419"/>
      <c r="DV20" s="421"/>
      <c r="DW20" s="421"/>
      <c r="DX20" s="419"/>
      <c r="DY20" s="419"/>
      <c r="DZ20" s="421"/>
      <c r="EA20" s="421"/>
      <c r="EB20" s="419"/>
      <c r="EC20" s="419"/>
      <c r="ED20" s="421"/>
      <c r="EE20" s="421"/>
      <c r="EF20" s="419"/>
      <c r="EG20" s="421"/>
      <c r="EH20" s="424">
        <f t="shared" si="33"/>
        <v>0</v>
      </c>
      <c r="EI20" s="424">
        <f t="shared" si="34"/>
        <v>0</v>
      </c>
      <c r="EJ20" s="422">
        <f t="shared" si="35"/>
        <v>0</v>
      </c>
      <c r="EK20" s="425">
        <f t="shared" si="36"/>
        <v>0</v>
      </c>
      <c r="EL20" s="425">
        <f t="shared" si="37"/>
        <v>1</v>
      </c>
      <c r="EM20" s="423">
        <f t="shared" si="38"/>
        <v>0</v>
      </c>
      <c r="EN20" s="424">
        <f t="shared" si="39"/>
        <v>205</v>
      </c>
      <c r="EO20" s="425">
        <f t="shared" si="40"/>
        <v>229</v>
      </c>
      <c r="EP20" s="419"/>
      <c r="EQ20" s="421"/>
      <c r="ER20" s="419"/>
      <c r="ES20" s="421"/>
      <c r="ET20" s="419"/>
      <c r="EU20" s="421"/>
      <c r="EV20" s="419"/>
      <c r="EW20" s="421"/>
      <c r="EX20" s="419"/>
      <c r="EY20" s="421"/>
      <c r="EZ20" s="419"/>
      <c r="FA20" s="421"/>
      <c r="FB20" s="419"/>
      <c r="FC20" s="421"/>
      <c r="FD20" s="419"/>
      <c r="FE20" s="421"/>
      <c r="FF20" s="419"/>
      <c r="FG20" s="421"/>
      <c r="FH20" s="419"/>
      <c r="FI20" s="421"/>
      <c r="FJ20" s="424">
        <f t="shared" si="41"/>
        <v>0</v>
      </c>
      <c r="FK20" s="425">
        <f t="shared" si="42"/>
        <v>0</v>
      </c>
      <c r="FL20" s="419"/>
      <c r="FM20" s="421"/>
      <c r="FN20" s="424">
        <f t="shared" si="43"/>
        <v>878</v>
      </c>
      <c r="FO20" s="425">
        <f t="shared" si="44"/>
        <v>961</v>
      </c>
    </row>
    <row r="21" spans="1:171">
      <c r="A21" s="98" t="s">
        <v>100</v>
      </c>
      <c r="B21" s="99" t="s">
        <v>513</v>
      </c>
      <c r="C21" s="100"/>
      <c r="D21" s="101">
        <v>101709</v>
      </c>
      <c r="E21" s="101">
        <v>5</v>
      </c>
      <c r="F21" s="419"/>
      <c r="G21" s="421"/>
      <c r="H21" s="419"/>
      <c r="I21" s="421"/>
      <c r="J21" s="419"/>
      <c r="K21" s="421"/>
      <c r="L21" s="422">
        <f t="shared" si="23"/>
        <v>0</v>
      </c>
      <c r="M21" s="423">
        <f t="shared" si="24"/>
        <v>0</v>
      </c>
      <c r="N21" s="419">
        <v>452</v>
      </c>
      <c r="O21" s="309">
        <f>0</f>
        <v>0</v>
      </c>
      <c r="P21" s="309">
        <f>0</f>
        <v>0</v>
      </c>
      <c r="Q21" s="309">
        <f>0</f>
        <v>0</v>
      </c>
      <c r="R21" s="424">
        <f t="shared" si="2"/>
        <v>0</v>
      </c>
      <c r="S21" s="421">
        <v>451</v>
      </c>
      <c r="T21" s="301">
        <f>0</f>
        <v>0</v>
      </c>
      <c r="U21" s="301">
        <f>0</f>
        <v>0</v>
      </c>
      <c r="V21" s="301">
        <f>0</f>
        <v>0</v>
      </c>
      <c r="W21" s="425">
        <f t="shared" si="3"/>
        <v>0</v>
      </c>
      <c r="X21" s="419"/>
      <c r="Y21" s="419"/>
      <c r="Z21" s="421"/>
      <c r="AA21" s="421"/>
      <c r="AB21" s="419"/>
      <c r="AC21" s="419"/>
      <c r="AD21" s="421"/>
      <c r="AE21" s="421"/>
      <c r="AF21" s="419"/>
      <c r="AG21" s="419"/>
      <c r="AH21" s="421"/>
      <c r="AI21" s="421"/>
      <c r="AJ21" s="419"/>
      <c r="AK21" s="419"/>
      <c r="AL21" s="421"/>
      <c r="AM21" s="421"/>
      <c r="AN21" s="419"/>
      <c r="AO21" s="419"/>
      <c r="AP21" s="421"/>
      <c r="AQ21" s="421"/>
      <c r="AR21" s="424">
        <f t="shared" si="25"/>
        <v>0</v>
      </c>
      <c r="AS21" s="422">
        <f t="shared" si="26"/>
        <v>0.77397260273972601</v>
      </c>
      <c r="AT21" s="425">
        <f t="shared" si="27"/>
        <v>0</v>
      </c>
      <c r="AU21" s="423">
        <f t="shared" si="28"/>
        <v>0.77892918825561308</v>
      </c>
      <c r="AV21" s="419"/>
      <c r="AW21" s="421"/>
      <c r="AX21" s="419">
        <v>13</v>
      </c>
      <c r="AY21" s="419">
        <v>83</v>
      </c>
      <c r="AZ21" s="421">
        <v>13</v>
      </c>
      <c r="BA21" s="421">
        <v>83</v>
      </c>
      <c r="BB21" s="419">
        <v>51</v>
      </c>
      <c r="BC21" s="419">
        <v>23</v>
      </c>
      <c r="BD21" s="421">
        <v>51</v>
      </c>
      <c r="BE21" s="421">
        <v>26</v>
      </c>
      <c r="BF21" s="419">
        <v>52</v>
      </c>
      <c r="BG21" s="419">
        <v>23</v>
      </c>
      <c r="BH21" s="421">
        <v>52</v>
      </c>
      <c r="BI21" s="420">
        <v>17</v>
      </c>
      <c r="BJ21" s="419">
        <v>23</v>
      </c>
      <c r="BK21" s="419">
        <v>3</v>
      </c>
      <c r="BL21" s="421">
        <v>23</v>
      </c>
      <c r="BM21" s="420">
        <v>2</v>
      </c>
      <c r="BN21" s="419"/>
      <c r="BO21" s="419"/>
      <c r="BP21" s="421"/>
      <c r="BQ21" s="421"/>
      <c r="BR21" s="419"/>
      <c r="BS21" s="419"/>
      <c r="BT21" s="421"/>
      <c r="BU21" s="421"/>
      <c r="BV21" s="419"/>
      <c r="BW21" s="419"/>
      <c r="BX21" s="421"/>
      <c r="BY21" s="421"/>
      <c r="BZ21" s="419"/>
      <c r="CA21" s="419"/>
      <c r="CB21" s="421"/>
      <c r="CC21" s="421"/>
      <c r="CD21" s="419"/>
      <c r="CE21" s="419"/>
      <c r="CF21" s="421"/>
      <c r="CG21" s="421"/>
      <c r="CH21" s="419"/>
      <c r="CI21" s="419"/>
      <c r="CJ21" s="421"/>
      <c r="CK21" s="421"/>
      <c r="CL21" s="419"/>
      <c r="CM21" s="421"/>
      <c r="CN21" s="424">
        <f t="shared" si="29"/>
        <v>132</v>
      </c>
      <c r="CO21" s="424">
        <f t="shared" si="30"/>
        <v>4</v>
      </c>
      <c r="CP21" s="425">
        <f t="shared" si="31"/>
        <v>128</v>
      </c>
      <c r="CQ21" s="425">
        <f t="shared" si="32"/>
        <v>4</v>
      </c>
      <c r="CR21" s="419"/>
      <c r="CS21" s="419"/>
      <c r="CT21" s="421"/>
      <c r="CU21" s="421"/>
      <c r="CV21" s="419"/>
      <c r="CW21" s="419"/>
      <c r="CX21" s="421"/>
      <c r="CY21" s="421"/>
      <c r="CZ21" s="419"/>
      <c r="DA21" s="419"/>
      <c r="DB21" s="421"/>
      <c r="DC21" s="421"/>
      <c r="DD21" s="419"/>
      <c r="DE21" s="419"/>
      <c r="DF21" s="421"/>
      <c r="DG21" s="421"/>
      <c r="DH21" s="419"/>
      <c r="DI21" s="419"/>
      <c r="DJ21" s="421"/>
      <c r="DK21" s="421"/>
      <c r="DL21" s="419"/>
      <c r="DM21" s="419"/>
      <c r="DN21" s="421"/>
      <c r="DO21" s="421"/>
      <c r="DP21" s="419"/>
      <c r="DQ21" s="419"/>
      <c r="DR21" s="421"/>
      <c r="DS21" s="421"/>
      <c r="DT21" s="419"/>
      <c r="DU21" s="419"/>
      <c r="DV21" s="421"/>
      <c r="DW21" s="421"/>
      <c r="DX21" s="419"/>
      <c r="DY21" s="419"/>
      <c r="DZ21" s="421"/>
      <c r="EA21" s="421"/>
      <c r="EB21" s="419"/>
      <c r="EC21" s="419"/>
      <c r="ED21" s="421"/>
      <c r="EE21" s="421"/>
      <c r="EF21" s="419"/>
      <c r="EG21" s="421"/>
      <c r="EH21" s="424">
        <f t="shared" si="33"/>
        <v>0</v>
      </c>
      <c r="EI21" s="424">
        <f t="shared" si="34"/>
        <v>0</v>
      </c>
      <c r="EJ21" s="422">
        <f t="shared" si="35"/>
        <v>0</v>
      </c>
      <c r="EK21" s="425">
        <f t="shared" si="36"/>
        <v>0</v>
      </c>
      <c r="EL21" s="425">
        <f t="shared" si="37"/>
        <v>0</v>
      </c>
      <c r="EM21" s="423">
        <f t="shared" si="38"/>
        <v>0</v>
      </c>
      <c r="EN21" s="424">
        <f t="shared" si="39"/>
        <v>132</v>
      </c>
      <c r="EO21" s="425">
        <f t="shared" si="40"/>
        <v>128</v>
      </c>
      <c r="EP21" s="419"/>
      <c r="EQ21" s="421"/>
      <c r="ER21" s="419"/>
      <c r="ES21" s="421"/>
      <c r="ET21" s="419"/>
      <c r="EU21" s="421"/>
      <c r="EV21" s="419"/>
      <c r="EW21" s="421"/>
      <c r="EX21" s="419"/>
      <c r="EY21" s="421"/>
      <c r="EZ21" s="419"/>
      <c r="FA21" s="421"/>
      <c r="FB21" s="419"/>
      <c r="FC21" s="421"/>
      <c r="FD21" s="419"/>
      <c r="FE21" s="421"/>
      <c r="FF21" s="419"/>
      <c r="FG21" s="421"/>
      <c r="FH21" s="419"/>
      <c r="FI21" s="421"/>
      <c r="FJ21" s="424">
        <f t="shared" si="41"/>
        <v>0</v>
      </c>
      <c r="FK21" s="425">
        <f t="shared" si="42"/>
        <v>0</v>
      </c>
      <c r="FL21" s="419"/>
      <c r="FM21" s="421"/>
      <c r="FN21" s="424">
        <f t="shared" si="43"/>
        <v>584</v>
      </c>
      <c r="FO21" s="425">
        <f t="shared" si="44"/>
        <v>579</v>
      </c>
    </row>
    <row r="22" spans="1:171">
      <c r="A22" s="98" t="s">
        <v>100</v>
      </c>
      <c r="B22" s="99" t="s">
        <v>514</v>
      </c>
      <c r="C22" s="482" t="s">
        <v>1194</v>
      </c>
      <c r="D22" s="101">
        <v>101587</v>
      </c>
      <c r="E22" s="483">
        <v>4</v>
      </c>
      <c r="F22" s="419"/>
      <c r="G22" s="421"/>
      <c r="H22" s="419"/>
      <c r="I22" s="421"/>
      <c r="J22" s="419">
        <v>57</v>
      </c>
      <c r="K22" s="420">
        <v>29</v>
      </c>
      <c r="L22" s="422">
        <f t="shared" si="23"/>
        <v>0.17868338557993729</v>
      </c>
      <c r="M22" s="423">
        <f t="shared" si="24"/>
        <v>9.2948717948717952E-2</v>
      </c>
      <c r="N22" s="419">
        <v>319</v>
      </c>
      <c r="O22" s="309">
        <f>0</f>
        <v>0</v>
      </c>
      <c r="P22" s="309">
        <f>0</f>
        <v>0</v>
      </c>
      <c r="Q22" s="309">
        <f>0</f>
        <v>0</v>
      </c>
      <c r="R22" s="424">
        <f t="shared" si="2"/>
        <v>0</v>
      </c>
      <c r="S22" s="421">
        <v>312</v>
      </c>
      <c r="T22" s="301">
        <f>0</f>
        <v>0</v>
      </c>
      <c r="U22" s="301">
        <f>0</f>
        <v>0</v>
      </c>
      <c r="V22" s="301">
        <f>0</f>
        <v>0</v>
      </c>
      <c r="W22" s="425">
        <f t="shared" si="3"/>
        <v>0</v>
      </c>
      <c r="X22" s="419"/>
      <c r="Y22" s="419"/>
      <c r="Z22" s="421"/>
      <c r="AA22" s="421"/>
      <c r="AB22" s="419"/>
      <c r="AC22" s="419"/>
      <c r="AD22" s="421"/>
      <c r="AE22" s="421"/>
      <c r="AF22" s="419"/>
      <c r="AG22" s="419"/>
      <c r="AH22" s="421"/>
      <c r="AI22" s="421"/>
      <c r="AJ22" s="419"/>
      <c r="AK22" s="419"/>
      <c r="AL22" s="421"/>
      <c r="AM22" s="421"/>
      <c r="AN22" s="419"/>
      <c r="AO22" s="419"/>
      <c r="AP22" s="421"/>
      <c r="AQ22" s="421"/>
      <c r="AR22" s="424">
        <f t="shared" si="25"/>
        <v>0</v>
      </c>
      <c r="AS22" s="422">
        <f t="shared" si="26"/>
        <v>0.23387096774193547</v>
      </c>
      <c r="AT22" s="425">
        <f t="shared" si="27"/>
        <v>0</v>
      </c>
      <c r="AU22" s="423">
        <f t="shared" si="28"/>
        <v>0.22397702799712849</v>
      </c>
      <c r="AV22" s="419"/>
      <c r="AW22" s="421"/>
      <c r="AX22" s="419">
        <v>13</v>
      </c>
      <c r="AY22" s="419">
        <v>942</v>
      </c>
      <c r="AZ22" s="421">
        <v>13</v>
      </c>
      <c r="BA22" s="421">
        <v>987</v>
      </c>
      <c r="BB22" s="419">
        <v>52</v>
      </c>
      <c r="BC22" s="419">
        <v>24</v>
      </c>
      <c r="BD22" s="421">
        <v>52</v>
      </c>
      <c r="BE22" s="420">
        <v>35</v>
      </c>
      <c r="BF22" s="419">
        <v>26</v>
      </c>
      <c r="BG22" s="419">
        <v>13</v>
      </c>
      <c r="BH22" s="421">
        <v>51</v>
      </c>
      <c r="BI22" s="421">
        <v>15</v>
      </c>
      <c r="BJ22" s="419">
        <v>51</v>
      </c>
      <c r="BK22" s="419">
        <v>7</v>
      </c>
      <c r="BL22" s="421">
        <v>26</v>
      </c>
      <c r="BM22" s="421">
        <v>6</v>
      </c>
      <c r="BN22" s="419">
        <v>42</v>
      </c>
      <c r="BO22" s="419">
        <v>2</v>
      </c>
      <c r="BP22" s="421">
        <v>9</v>
      </c>
      <c r="BQ22" s="420">
        <v>5</v>
      </c>
      <c r="BR22" s="419"/>
      <c r="BS22" s="419"/>
      <c r="BT22" s="421">
        <v>42</v>
      </c>
      <c r="BU22" s="420">
        <v>4</v>
      </c>
      <c r="BV22" s="419"/>
      <c r="BW22" s="419"/>
      <c r="BX22" s="421"/>
      <c r="BY22" s="421"/>
      <c r="BZ22" s="419"/>
      <c r="CA22" s="419"/>
      <c r="CB22" s="421"/>
      <c r="CC22" s="421"/>
      <c r="CD22" s="419"/>
      <c r="CE22" s="419"/>
      <c r="CF22" s="421"/>
      <c r="CG22" s="421"/>
      <c r="CH22" s="419"/>
      <c r="CI22" s="419"/>
      <c r="CJ22" s="421"/>
      <c r="CK22" s="421"/>
      <c r="CL22" s="419"/>
      <c r="CM22" s="421"/>
      <c r="CN22" s="424">
        <f t="shared" si="29"/>
        <v>988</v>
      </c>
      <c r="CO22" s="424">
        <f t="shared" si="30"/>
        <v>5</v>
      </c>
      <c r="CP22" s="425">
        <f t="shared" si="31"/>
        <v>1052</v>
      </c>
      <c r="CQ22" s="425">
        <f t="shared" si="32"/>
        <v>6</v>
      </c>
      <c r="CR22" s="419"/>
      <c r="CS22" s="419"/>
      <c r="CT22" s="421">
        <v>13</v>
      </c>
      <c r="CU22" s="421">
        <v>0</v>
      </c>
      <c r="CV22" s="419"/>
      <c r="CW22" s="419"/>
      <c r="CX22" s="421"/>
      <c r="CY22" s="421"/>
      <c r="CZ22" s="419"/>
      <c r="DA22" s="419"/>
      <c r="DB22" s="421"/>
      <c r="DC22" s="421"/>
      <c r="DD22" s="419"/>
      <c r="DE22" s="419"/>
      <c r="DF22" s="421"/>
      <c r="DG22" s="421"/>
      <c r="DH22" s="419"/>
      <c r="DI22" s="419"/>
      <c r="DJ22" s="421"/>
      <c r="DK22" s="421"/>
      <c r="DL22" s="419"/>
      <c r="DM22" s="419"/>
      <c r="DN22" s="421"/>
      <c r="DO22" s="421"/>
      <c r="DP22" s="419"/>
      <c r="DQ22" s="419"/>
      <c r="DR22" s="421"/>
      <c r="DS22" s="421"/>
      <c r="DT22" s="419"/>
      <c r="DU22" s="419"/>
      <c r="DV22" s="421"/>
      <c r="DW22" s="421"/>
      <c r="DX22" s="419"/>
      <c r="DY22" s="419"/>
      <c r="DZ22" s="421"/>
      <c r="EA22" s="421"/>
      <c r="EB22" s="419"/>
      <c r="EC22" s="419"/>
      <c r="ED22" s="421"/>
      <c r="EE22" s="421"/>
      <c r="EF22" s="419"/>
      <c r="EG22" s="421"/>
      <c r="EH22" s="424">
        <f t="shared" si="33"/>
        <v>0</v>
      </c>
      <c r="EI22" s="424">
        <f t="shared" si="34"/>
        <v>0</v>
      </c>
      <c r="EJ22" s="422">
        <f t="shared" si="35"/>
        <v>0</v>
      </c>
      <c r="EK22" s="425">
        <f t="shared" si="36"/>
        <v>0</v>
      </c>
      <c r="EL22" s="425">
        <f t="shared" si="37"/>
        <v>1</v>
      </c>
      <c r="EM22" s="423">
        <f t="shared" si="38"/>
        <v>0</v>
      </c>
      <c r="EN22" s="424">
        <f t="shared" si="39"/>
        <v>988</v>
      </c>
      <c r="EO22" s="425">
        <f t="shared" si="40"/>
        <v>1052</v>
      </c>
      <c r="EP22" s="419"/>
      <c r="EQ22" s="421"/>
      <c r="ER22" s="419"/>
      <c r="ES22" s="421"/>
      <c r="ET22" s="419"/>
      <c r="EU22" s="421"/>
      <c r="EV22" s="419"/>
      <c r="EW22" s="421"/>
      <c r="EX22" s="419"/>
      <c r="EY22" s="421"/>
      <c r="EZ22" s="419"/>
      <c r="FA22" s="421"/>
      <c r="FB22" s="419"/>
      <c r="FC22" s="421"/>
      <c r="FD22" s="419"/>
      <c r="FE22" s="421"/>
      <c r="FF22" s="419"/>
      <c r="FG22" s="421"/>
      <c r="FH22" s="419"/>
      <c r="FI22" s="421"/>
      <c r="FJ22" s="424">
        <f t="shared" si="41"/>
        <v>0</v>
      </c>
      <c r="FK22" s="425">
        <f t="shared" si="42"/>
        <v>0</v>
      </c>
      <c r="FL22" s="419"/>
      <c r="FM22" s="421"/>
      <c r="FN22" s="424">
        <f t="shared" si="43"/>
        <v>1364</v>
      </c>
      <c r="FO22" s="425">
        <f t="shared" si="44"/>
        <v>1393</v>
      </c>
    </row>
    <row r="23" spans="1:171">
      <c r="A23" s="98" t="s">
        <v>100</v>
      </c>
      <c r="B23" s="99" t="s">
        <v>515</v>
      </c>
      <c r="C23" s="102" t="s">
        <v>1204</v>
      </c>
      <c r="D23" s="426">
        <v>100812</v>
      </c>
      <c r="E23" s="101">
        <v>6</v>
      </c>
      <c r="F23" s="419"/>
      <c r="G23" s="420">
        <v>30</v>
      </c>
      <c r="H23" s="419"/>
      <c r="I23" s="421"/>
      <c r="J23" s="419"/>
      <c r="K23" s="421"/>
      <c r="L23" s="422">
        <f t="shared" si="23"/>
        <v>0</v>
      </c>
      <c r="M23" s="423">
        <f t="shared" si="24"/>
        <v>0</v>
      </c>
      <c r="N23" s="419">
        <v>678</v>
      </c>
      <c r="O23" s="309">
        <f>0</f>
        <v>0</v>
      </c>
      <c r="P23" s="309">
        <f>0</f>
        <v>0</v>
      </c>
      <c r="Q23" s="309">
        <f>0</f>
        <v>0</v>
      </c>
      <c r="R23" s="424">
        <f t="shared" si="2"/>
        <v>0</v>
      </c>
      <c r="S23" s="421">
        <v>684</v>
      </c>
      <c r="T23" s="301">
        <f>0</f>
        <v>0</v>
      </c>
      <c r="U23" s="301">
        <f>0</f>
        <v>0</v>
      </c>
      <c r="V23" s="301">
        <f>0</f>
        <v>0</v>
      </c>
      <c r="W23" s="425">
        <f t="shared" si="3"/>
        <v>0</v>
      </c>
      <c r="X23" s="419"/>
      <c r="Y23" s="419"/>
      <c r="Z23" s="421"/>
      <c r="AA23" s="421"/>
      <c r="AB23" s="419"/>
      <c r="AC23" s="419"/>
      <c r="AD23" s="421"/>
      <c r="AE23" s="421"/>
      <c r="AF23" s="419"/>
      <c r="AG23" s="419"/>
      <c r="AH23" s="421"/>
      <c r="AI23" s="421"/>
      <c r="AJ23" s="419"/>
      <c r="AK23" s="419"/>
      <c r="AL23" s="421"/>
      <c r="AM23" s="421"/>
      <c r="AN23" s="419"/>
      <c r="AO23" s="419"/>
      <c r="AP23" s="421"/>
      <c r="AQ23" s="421"/>
      <c r="AR23" s="424">
        <f t="shared" si="25"/>
        <v>0</v>
      </c>
      <c r="AS23" s="422">
        <f t="shared" si="26"/>
        <v>0.91497975708502022</v>
      </c>
      <c r="AT23" s="425">
        <f t="shared" si="27"/>
        <v>0</v>
      </c>
      <c r="AU23" s="423">
        <f t="shared" si="28"/>
        <v>0.89763779527559051</v>
      </c>
      <c r="AV23" s="419"/>
      <c r="AW23" s="421"/>
      <c r="AX23" s="419">
        <v>13</v>
      </c>
      <c r="AY23" s="419">
        <v>35</v>
      </c>
      <c r="AZ23" s="421">
        <v>13</v>
      </c>
      <c r="BA23" s="421">
        <v>30</v>
      </c>
      <c r="BB23" s="419">
        <v>52</v>
      </c>
      <c r="BC23" s="419">
        <v>24</v>
      </c>
      <c r="BD23" s="421">
        <v>52</v>
      </c>
      <c r="BE23" s="420">
        <v>12</v>
      </c>
      <c r="BF23" s="419">
        <v>38</v>
      </c>
      <c r="BG23" s="419">
        <v>4</v>
      </c>
      <c r="BH23" s="421">
        <v>38</v>
      </c>
      <c r="BI23" s="420">
        <v>6</v>
      </c>
      <c r="BJ23" s="419"/>
      <c r="BK23" s="419"/>
      <c r="BL23" s="421"/>
      <c r="BM23" s="421"/>
      <c r="BN23" s="419"/>
      <c r="BO23" s="419"/>
      <c r="BP23" s="421"/>
      <c r="BQ23" s="421"/>
      <c r="BR23" s="419"/>
      <c r="BS23" s="419"/>
      <c r="BT23" s="421"/>
      <c r="BU23" s="421"/>
      <c r="BV23" s="419"/>
      <c r="BW23" s="419"/>
      <c r="BX23" s="421"/>
      <c r="BY23" s="421"/>
      <c r="BZ23" s="419"/>
      <c r="CA23" s="419"/>
      <c r="CB23" s="421"/>
      <c r="CC23" s="421"/>
      <c r="CD23" s="419"/>
      <c r="CE23" s="419"/>
      <c r="CF23" s="421"/>
      <c r="CG23" s="421"/>
      <c r="CH23" s="419"/>
      <c r="CI23" s="419"/>
      <c r="CJ23" s="421"/>
      <c r="CK23" s="421"/>
      <c r="CL23" s="419"/>
      <c r="CM23" s="421"/>
      <c r="CN23" s="424">
        <f t="shared" si="29"/>
        <v>63</v>
      </c>
      <c r="CO23" s="424">
        <f t="shared" si="30"/>
        <v>3</v>
      </c>
      <c r="CP23" s="425">
        <f t="shared" si="31"/>
        <v>48</v>
      </c>
      <c r="CQ23" s="425">
        <f t="shared" si="32"/>
        <v>3</v>
      </c>
      <c r="CR23" s="419"/>
      <c r="CS23" s="419"/>
      <c r="CT23" s="421"/>
      <c r="CU23" s="421"/>
      <c r="CV23" s="419"/>
      <c r="CW23" s="419"/>
      <c r="CX23" s="421"/>
      <c r="CY23" s="421"/>
      <c r="CZ23" s="419"/>
      <c r="DA23" s="419"/>
      <c r="DB23" s="421"/>
      <c r="DC23" s="421"/>
      <c r="DD23" s="419"/>
      <c r="DE23" s="419"/>
      <c r="DF23" s="421"/>
      <c r="DG23" s="421"/>
      <c r="DH23" s="419"/>
      <c r="DI23" s="419"/>
      <c r="DJ23" s="421"/>
      <c r="DK23" s="421"/>
      <c r="DL23" s="419"/>
      <c r="DM23" s="419"/>
      <c r="DN23" s="421"/>
      <c r="DO23" s="421"/>
      <c r="DP23" s="419"/>
      <c r="DQ23" s="419"/>
      <c r="DR23" s="421"/>
      <c r="DS23" s="421"/>
      <c r="DT23" s="419"/>
      <c r="DU23" s="419"/>
      <c r="DV23" s="421"/>
      <c r="DW23" s="421"/>
      <c r="DX23" s="419"/>
      <c r="DY23" s="419"/>
      <c r="DZ23" s="421"/>
      <c r="EA23" s="421"/>
      <c r="EB23" s="419"/>
      <c r="EC23" s="419"/>
      <c r="ED23" s="421"/>
      <c r="EE23" s="421"/>
      <c r="EF23" s="419"/>
      <c r="EG23" s="421"/>
      <c r="EH23" s="424">
        <f t="shared" si="33"/>
        <v>0</v>
      </c>
      <c r="EI23" s="424">
        <f t="shared" si="34"/>
        <v>0</v>
      </c>
      <c r="EJ23" s="422">
        <f t="shared" si="35"/>
        <v>0</v>
      </c>
      <c r="EK23" s="425">
        <f t="shared" si="36"/>
        <v>0</v>
      </c>
      <c r="EL23" s="425">
        <f t="shared" si="37"/>
        <v>0</v>
      </c>
      <c r="EM23" s="423">
        <f t="shared" si="38"/>
        <v>0</v>
      </c>
      <c r="EN23" s="424">
        <f t="shared" si="39"/>
        <v>63</v>
      </c>
      <c r="EO23" s="425">
        <f t="shared" si="40"/>
        <v>48</v>
      </c>
      <c r="EP23" s="419"/>
      <c r="EQ23" s="421"/>
      <c r="ER23" s="419"/>
      <c r="ES23" s="421"/>
      <c r="ET23" s="419"/>
      <c r="EU23" s="421"/>
      <c r="EV23" s="419"/>
      <c r="EW23" s="421"/>
      <c r="EX23" s="419"/>
      <c r="EY23" s="421"/>
      <c r="EZ23" s="419"/>
      <c r="FA23" s="421"/>
      <c r="FB23" s="419"/>
      <c r="FC23" s="421"/>
      <c r="FD23" s="419"/>
      <c r="FE23" s="421"/>
      <c r="FF23" s="419"/>
      <c r="FG23" s="421"/>
      <c r="FH23" s="419"/>
      <c r="FI23" s="421"/>
      <c r="FJ23" s="424">
        <f t="shared" si="41"/>
        <v>0</v>
      </c>
      <c r="FK23" s="425">
        <f t="shared" si="42"/>
        <v>0</v>
      </c>
      <c r="FL23" s="419"/>
      <c r="FM23" s="421"/>
      <c r="FN23" s="424">
        <f t="shared" si="43"/>
        <v>741</v>
      </c>
      <c r="FO23" s="425">
        <f t="shared" si="44"/>
        <v>762</v>
      </c>
    </row>
    <row r="24" spans="1:171">
      <c r="A24" s="98" t="s">
        <v>100</v>
      </c>
      <c r="B24" s="30" t="s">
        <v>517</v>
      </c>
      <c r="C24" s="100"/>
      <c r="D24" s="101">
        <v>101505</v>
      </c>
      <c r="E24" s="101">
        <v>8</v>
      </c>
      <c r="F24" s="419">
        <v>472</v>
      </c>
      <c r="G24" s="421">
        <v>449</v>
      </c>
      <c r="H24" s="419"/>
      <c r="I24" s="421"/>
      <c r="J24" s="419">
        <v>870</v>
      </c>
      <c r="K24" s="421">
        <v>835</v>
      </c>
      <c r="L24" s="422">
        <f t="shared" si="23"/>
        <v>0</v>
      </c>
      <c r="M24" s="423">
        <f t="shared" si="24"/>
        <v>0</v>
      </c>
      <c r="N24" s="419"/>
      <c r="O24" s="309">
        <f>0</f>
        <v>0</v>
      </c>
      <c r="P24" s="309">
        <f>0</f>
        <v>0</v>
      </c>
      <c r="Q24" s="309">
        <f>0</f>
        <v>0</v>
      </c>
      <c r="R24" s="424">
        <f t="shared" si="2"/>
        <v>0</v>
      </c>
      <c r="S24" s="421"/>
      <c r="T24" s="301">
        <f>0</f>
        <v>0</v>
      </c>
      <c r="U24" s="301">
        <f>0</f>
        <v>0</v>
      </c>
      <c r="V24" s="301">
        <f>0</f>
        <v>0</v>
      </c>
      <c r="W24" s="425">
        <f t="shared" si="3"/>
        <v>0</v>
      </c>
      <c r="X24" s="419"/>
      <c r="Y24" s="419"/>
      <c r="Z24" s="421"/>
      <c r="AA24" s="421"/>
      <c r="AB24" s="419"/>
      <c r="AC24" s="419"/>
      <c r="AD24" s="421"/>
      <c r="AE24" s="421"/>
      <c r="AF24" s="419"/>
      <c r="AG24" s="419"/>
      <c r="AH24" s="421"/>
      <c r="AI24" s="421"/>
      <c r="AJ24" s="419"/>
      <c r="AK24" s="419"/>
      <c r="AL24" s="421"/>
      <c r="AM24" s="421"/>
      <c r="AN24" s="419"/>
      <c r="AO24" s="419"/>
      <c r="AP24" s="421"/>
      <c r="AQ24" s="421"/>
      <c r="AR24" s="424">
        <f t="shared" si="25"/>
        <v>0</v>
      </c>
      <c r="AS24" s="422">
        <f t="shared" si="26"/>
        <v>0</v>
      </c>
      <c r="AT24" s="425">
        <f t="shared" si="27"/>
        <v>0</v>
      </c>
      <c r="AU24" s="423">
        <f t="shared" si="28"/>
        <v>0</v>
      </c>
      <c r="AV24" s="419"/>
      <c r="AW24" s="421"/>
      <c r="AX24" s="419"/>
      <c r="AY24" s="419"/>
      <c r="AZ24" s="421"/>
      <c r="BA24" s="421"/>
      <c r="BB24" s="419"/>
      <c r="BC24" s="419"/>
      <c r="BD24" s="421"/>
      <c r="BE24" s="421"/>
      <c r="BF24" s="419"/>
      <c r="BG24" s="419"/>
      <c r="BH24" s="421"/>
      <c r="BI24" s="421"/>
      <c r="BJ24" s="419"/>
      <c r="BK24" s="419"/>
      <c r="BL24" s="421"/>
      <c r="BM24" s="421"/>
      <c r="BN24" s="419"/>
      <c r="BO24" s="419"/>
      <c r="BP24" s="421"/>
      <c r="BQ24" s="421"/>
      <c r="BR24" s="419"/>
      <c r="BS24" s="419"/>
      <c r="BT24" s="421"/>
      <c r="BU24" s="421"/>
      <c r="BV24" s="419"/>
      <c r="BW24" s="419"/>
      <c r="BX24" s="421"/>
      <c r="BY24" s="421"/>
      <c r="BZ24" s="419"/>
      <c r="CA24" s="419"/>
      <c r="CB24" s="421"/>
      <c r="CC24" s="421"/>
      <c r="CD24" s="419"/>
      <c r="CE24" s="419"/>
      <c r="CF24" s="421"/>
      <c r="CG24" s="421"/>
      <c r="CH24" s="419"/>
      <c r="CI24" s="419"/>
      <c r="CJ24" s="421"/>
      <c r="CK24" s="421"/>
      <c r="CL24" s="419"/>
      <c r="CM24" s="421"/>
      <c r="CN24" s="424">
        <f t="shared" si="29"/>
        <v>0</v>
      </c>
      <c r="CO24" s="424">
        <f t="shared" si="30"/>
        <v>0</v>
      </c>
      <c r="CP24" s="425">
        <f t="shared" si="31"/>
        <v>0</v>
      </c>
      <c r="CQ24" s="425">
        <f t="shared" si="32"/>
        <v>0</v>
      </c>
      <c r="CR24" s="419"/>
      <c r="CS24" s="419"/>
      <c r="CT24" s="421"/>
      <c r="CU24" s="421"/>
      <c r="CV24" s="419"/>
      <c r="CW24" s="419"/>
      <c r="CX24" s="421"/>
      <c r="CY24" s="421"/>
      <c r="CZ24" s="419"/>
      <c r="DA24" s="419"/>
      <c r="DB24" s="421"/>
      <c r="DC24" s="421"/>
      <c r="DD24" s="419"/>
      <c r="DE24" s="419"/>
      <c r="DF24" s="421"/>
      <c r="DG24" s="421"/>
      <c r="DH24" s="419"/>
      <c r="DI24" s="419"/>
      <c r="DJ24" s="421"/>
      <c r="DK24" s="421"/>
      <c r="DL24" s="419"/>
      <c r="DM24" s="419"/>
      <c r="DN24" s="421"/>
      <c r="DO24" s="421"/>
      <c r="DP24" s="419"/>
      <c r="DQ24" s="419"/>
      <c r="DR24" s="421"/>
      <c r="DS24" s="421"/>
      <c r="DT24" s="419"/>
      <c r="DU24" s="419"/>
      <c r="DV24" s="421"/>
      <c r="DW24" s="421"/>
      <c r="DX24" s="419"/>
      <c r="DY24" s="419"/>
      <c r="DZ24" s="421"/>
      <c r="EA24" s="421"/>
      <c r="EB24" s="419"/>
      <c r="EC24" s="419"/>
      <c r="ED24" s="421"/>
      <c r="EE24" s="421"/>
      <c r="EF24" s="419"/>
      <c r="EG24" s="421"/>
      <c r="EH24" s="424">
        <f t="shared" si="33"/>
        <v>0</v>
      </c>
      <c r="EI24" s="424">
        <f t="shared" si="34"/>
        <v>0</v>
      </c>
      <c r="EJ24" s="422">
        <f t="shared" si="35"/>
        <v>0</v>
      </c>
      <c r="EK24" s="425">
        <f t="shared" si="36"/>
        <v>0</v>
      </c>
      <c r="EL24" s="425">
        <f t="shared" si="37"/>
        <v>0</v>
      </c>
      <c r="EM24" s="423">
        <f t="shared" si="38"/>
        <v>0</v>
      </c>
      <c r="EN24" s="424">
        <f t="shared" si="39"/>
        <v>0</v>
      </c>
      <c r="EO24" s="425">
        <f t="shared" si="40"/>
        <v>0</v>
      </c>
      <c r="EP24" s="419"/>
      <c r="EQ24" s="421"/>
      <c r="ER24" s="419"/>
      <c r="ES24" s="421"/>
      <c r="ET24" s="419"/>
      <c r="EU24" s="421"/>
      <c r="EV24" s="419"/>
      <c r="EW24" s="421"/>
      <c r="EX24" s="419"/>
      <c r="EY24" s="421"/>
      <c r="EZ24" s="419"/>
      <c r="FA24" s="421"/>
      <c r="FB24" s="419"/>
      <c r="FC24" s="421"/>
      <c r="FD24" s="419"/>
      <c r="FE24" s="421"/>
      <c r="FF24" s="419"/>
      <c r="FG24" s="421"/>
      <c r="FH24" s="419"/>
      <c r="FI24" s="421"/>
      <c r="FJ24" s="424">
        <f t="shared" si="41"/>
        <v>0</v>
      </c>
      <c r="FK24" s="425">
        <f t="shared" si="42"/>
        <v>0</v>
      </c>
      <c r="FL24" s="419"/>
      <c r="FM24" s="421"/>
      <c r="FN24" s="424">
        <f t="shared" si="43"/>
        <v>1342</v>
      </c>
      <c r="FO24" s="425">
        <f t="shared" si="44"/>
        <v>1284</v>
      </c>
    </row>
    <row r="25" spans="1:171">
      <c r="A25" s="98" t="s">
        <v>100</v>
      </c>
      <c r="B25" s="30" t="s">
        <v>518</v>
      </c>
      <c r="C25" s="100"/>
      <c r="D25" s="101">
        <v>101514</v>
      </c>
      <c r="E25" s="101">
        <v>8</v>
      </c>
      <c r="F25" s="419">
        <v>1118</v>
      </c>
      <c r="G25" s="420">
        <v>1442</v>
      </c>
      <c r="H25" s="419"/>
      <c r="I25" s="421"/>
      <c r="J25" s="419">
        <v>1081</v>
      </c>
      <c r="K25" s="421">
        <v>1202</v>
      </c>
      <c r="L25" s="422">
        <f t="shared" si="23"/>
        <v>0</v>
      </c>
      <c r="M25" s="423">
        <f t="shared" si="24"/>
        <v>0</v>
      </c>
      <c r="N25" s="419"/>
      <c r="O25" s="309">
        <f>0</f>
        <v>0</v>
      </c>
      <c r="P25" s="309">
        <f>0</f>
        <v>0</v>
      </c>
      <c r="Q25" s="309">
        <f>0</f>
        <v>0</v>
      </c>
      <c r="R25" s="424">
        <f t="shared" si="2"/>
        <v>0</v>
      </c>
      <c r="S25" s="421"/>
      <c r="T25" s="301">
        <f>0</f>
        <v>0</v>
      </c>
      <c r="U25" s="301">
        <f>0</f>
        <v>0</v>
      </c>
      <c r="V25" s="301">
        <f>0</f>
        <v>0</v>
      </c>
      <c r="W25" s="425">
        <f t="shared" si="3"/>
        <v>0</v>
      </c>
      <c r="X25" s="419"/>
      <c r="Y25" s="419"/>
      <c r="Z25" s="421"/>
      <c r="AA25" s="421"/>
      <c r="AB25" s="419"/>
      <c r="AC25" s="419"/>
      <c r="AD25" s="421"/>
      <c r="AE25" s="421"/>
      <c r="AF25" s="419"/>
      <c r="AG25" s="419"/>
      <c r="AH25" s="421"/>
      <c r="AI25" s="421"/>
      <c r="AJ25" s="419"/>
      <c r="AK25" s="419"/>
      <c r="AL25" s="421"/>
      <c r="AM25" s="421"/>
      <c r="AN25" s="419"/>
      <c r="AO25" s="419"/>
      <c r="AP25" s="421"/>
      <c r="AQ25" s="421"/>
      <c r="AR25" s="424">
        <f t="shared" si="25"/>
        <v>0</v>
      </c>
      <c r="AS25" s="422">
        <f t="shared" si="26"/>
        <v>0</v>
      </c>
      <c r="AT25" s="425">
        <f t="shared" si="27"/>
        <v>0</v>
      </c>
      <c r="AU25" s="423">
        <f t="shared" si="28"/>
        <v>0</v>
      </c>
      <c r="AV25" s="419"/>
      <c r="AW25" s="421"/>
      <c r="AX25" s="419"/>
      <c r="AY25" s="419"/>
      <c r="AZ25" s="421"/>
      <c r="BA25" s="421"/>
      <c r="BB25" s="419"/>
      <c r="BC25" s="419"/>
      <c r="BD25" s="421"/>
      <c r="BE25" s="421"/>
      <c r="BF25" s="419"/>
      <c r="BG25" s="419"/>
      <c r="BH25" s="421"/>
      <c r="BI25" s="421"/>
      <c r="BJ25" s="419"/>
      <c r="BK25" s="419"/>
      <c r="BL25" s="421"/>
      <c r="BM25" s="421"/>
      <c r="BN25" s="419"/>
      <c r="BO25" s="419"/>
      <c r="BP25" s="421"/>
      <c r="BQ25" s="421"/>
      <c r="BR25" s="419"/>
      <c r="BS25" s="419"/>
      <c r="BT25" s="421"/>
      <c r="BU25" s="421"/>
      <c r="BV25" s="419"/>
      <c r="BW25" s="419"/>
      <c r="BX25" s="421"/>
      <c r="BY25" s="421"/>
      <c r="BZ25" s="419"/>
      <c r="CA25" s="419"/>
      <c r="CB25" s="421"/>
      <c r="CC25" s="421"/>
      <c r="CD25" s="419"/>
      <c r="CE25" s="419"/>
      <c r="CF25" s="421"/>
      <c r="CG25" s="421"/>
      <c r="CH25" s="419"/>
      <c r="CI25" s="419"/>
      <c r="CJ25" s="421"/>
      <c r="CK25" s="421"/>
      <c r="CL25" s="419"/>
      <c r="CM25" s="421"/>
      <c r="CN25" s="424">
        <f t="shared" si="29"/>
        <v>0</v>
      </c>
      <c r="CO25" s="424">
        <f t="shared" si="30"/>
        <v>0</v>
      </c>
      <c r="CP25" s="425">
        <f t="shared" si="31"/>
        <v>0</v>
      </c>
      <c r="CQ25" s="425">
        <f t="shared" si="32"/>
        <v>0</v>
      </c>
      <c r="CR25" s="419"/>
      <c r="CS25" s="419"/>
      <c r="CT25" s="421"/>
      <c r="CU25" s="421"/>
      <c r="CV25" s="419"/>
      <c r="CW25" s="419"/>
      <c r="CX25" s="421"/>
      <c r="CY25" s="421"/>
      <c r="CZ25" s="419"/>
      <c r="DA25" s="419"/>
      <c r="DB25" s="421"/>
      <c r="DC25" s="421"/>
      <c r="DD25" s="419"/>
      <c r="DE25" s="419"/>
      <c r="DF25" s="421"/>
      <c r="DG25" s="421"/>
      <c r="DH25" s="419"/>
      <c r="DI25" s="419"/>
      <c r="DJ25" s="421"/>
      <c r="DK25" s="421"/>
      <c r="DL25" s="419"/>
      <c r="DM25" s="419"/>
      <c r="DN25" s="421"/>
      <c r="DO25" s="421"/>
      <c r="DP25" s="419"/>
      <c r="DQ25" s="419"/>
      <c r="DR25" s="421"/>
      <c r="DS25" s="421"/>
      <c r="DT25" s="419"/>
      <c r="DU25" s="419"/>
      <c r="DV25" s="421"/>
      <c r="DW25" s="421"/>
      <c r="DX25" s="419"/>
      <c r="DY25" s="419"/>
      <c r="DZ25" s="421"/>
      <c r="EA25" s="421"/>
      <c r="EB25" s="419"/>
      <c r="EC25" s="419"/>
      <c r="ED25" s="421"/>
      <c r="EE25" s="421"/>
      <c r="EF25" s="419"/>
      <c r="EG25" s="421"/>
      <c r="EH25" s="424">
        <f t="shared" si="33"/>
        <v>0</v>
      </c>
      <c r="EI25" s="424">
        <f t="shared" si="34"/>
        <v>0</v>
      </c>
      <c r="EJ25" s="422">
        <f t="shared" si="35"/>
        <v>0</v>
      </c>
      <c r="EK25" s="425">
        <f t="shared" si="36"/>
        <v>0</v>
      </c>
      <c r="EL25" s="425">
        <f t="shared" si="37"/>
        <v>0</v>
      </c>
      <c r="EM25" s="423">
        <f t="shared" si="38"/>
        <v>0</v>
      </c>
      <c r="EN25" s="424">
        <f t="shared" si="39"/>
        <v>0</v>
      </c>
      <c r="EO25" s="425">
        <f t="shared" si="40"/>
        <v>0</v>
      </c>
      <c r="EP25" s="419"/>
      <c r="EQ25" s="421"/>
      <c r="ER25" s="419"/>
      <c r="ES25" s="421"/>
      <c r="ET25" s="419"/>
      <c r="EU25" s="421"/>
      <c r="EV25" s="419"/>
      <c r="EW25" s="421"/>
      <c r="EX25" s="419"/>
      <c r="EY25" s="421"/>
      <c r="EZ25" s="419"/>
      <c r="FA25" s="421"/>
      <c r="FB25" s="419"/>
      <c r="FC25" s="421"/>
      <c r="FD25" s="419"/>
      <c r="FE25" s="421"/>
      <c r="FF25" s="419"/>
      <c r="FG25" s="421"/>
      <c r="FH25" s="419"/>
      <c r="FI25" s="421"/>
      <c r="FJ25" s="424">
        <f t="shared" si="41"/>
        <v>0</v>
      </c>
      <c r="FK25" s="425">
        <f t="shared" si="42"/>
        <v>0</v>
      </c>
      <c r="FL25" s="419"/>
      <c r="FM25" s="421"/>
      <c r="FN25" s="424">
        <f t="shared" si="43"/>
        <v>2199</v>
      </c>
      <c r="FO25" s="425">
        <f t="shared" si="44"/>
        <v>2644</v>
      </c>
    </row>
    <row r="26" spans="1:171">
      <c r="A26" s="98" t="s">
        <v>100</v>
      </c>
      <c r="B26" s="99" t="s">
        <v>519</v>
      </c>
      <c r="C26" s="102" t="s">
        <v>1205</v>
      </c>
      <c r="D26" s="101">
        <v>102429</v>
      </c>
      <c r="E26" s="101">
        <v>9</v>
      </c>
      <c r="F26" s="419">
        <v>651</v>
      </c>
      <c r="G26" s="421">
        <v>660</v>
      </c>
      <c r="H26" s="419"/>
      <c r="I26" s="421"/>
      <c r="J26" s="419">
        <v>474</v>
      </c>
      <c r="K26" s="420">
        <v>584</v>
      </c>
      <c r="L26" s="422">
        <f t="shared" si="23"/>
        <v>0</v>
      </c>
      <c r="M26" s="423">
        <f t="shared" si="24"/>
        <v>0</v>
      </c>
      <c r="N26" s="419"/>
      <c r="O26" s="309">
        <f>0</f>
        <v>0</v>
      </c>
      <c r="P26" s="309">
        <f>0</f>
        <v>0</v>
      </c>
      <c r="Q26" s="309">
        <f>0</f>
        <v>0</v>
      </c>
      <c r="R26" s="424">
        <f t="shared" si="2"/>
        <v>0</v>
      </c>
      <c r="S26" s="421"/>
      <c r="T26" s="301">
        <f>0</f>
        <v>0</v>
      </c>
      <c r="U26" s="301">
        <f>0</f>
        <v>0</v>
      </c>
      <c r="V26" s="301">
        <f>0</f>
        <v>0</v>
      </c>
      <c r="W26" s="425">
        <f t="shared" si="3"/>
        <v>0</v>
      </c>
      <c r="X26" s="419"/>
      <c r="Y26" s="419"/>
      <c r="Z26" s="421"/>
      <c r="AA26" s="421"/>
      <c r="AB26" s="419"/>
      <c r="AC26" s="419"/>
      <c r="AD26" s="421"/>
      <c r="AE26" s="421"/>
      <c r="AF26" s="419"/>
      <c r="AG26" s="419"/>
      <c r="AH26" s="421"/>
      <c r="AI26" s="421"/>
      <c r="AJ26" s="419"/>
      <c r="AK26" s="419"/>
      <c r="AL26" s="421"/>
      <c r="AM26" s="421"/>
      <c r="AN26" s="419"/>
      <c r="AO26" s="419"/>
      <c r="AP26" s="421"/>
      <c r="AQ26" s="421"/>
      <c r="AR26" s="424">
        <f t="shared" si="25"/>
        <v>0</v>
      </c>
      <c r="AS26" s="422">
        <f t="shared" si="26"/>
        <v>0</v>
      </c>
      <c r="AT26" s="425">
        <f t="shared" si="27"/>
        <v>0</v>
      </c>
      <c r="AU26" s="423">
        <f t="shared" si="28"/>
        <v>0</v>
      </c>
      <c r="AV26" s="419"/>
      <c r="AW26" s="421"/>
      <c r="AX26" s="419"/>
      <c r="AY26" s="419"/>
      <c r="AZ26" s="421"/>
      <c r="BA26" s="421"/>
      <c r="BB26" s="419"/>
      <c r="BC26" s="419"/>
      <c r="BD26" s="421"/>
      <c r="BE26" s="421"/>
      <c r="BF26" s="419"/>
      <c r="BG26" s="419"/>
      <c r="BH26" s="421"/>
      <c r="BI26" s="421"/>
      <c r="BJ26" s="419"/>
      <c r="BK26" s="419"/>
      <c r="BL26" s="421"/>
      <c r="BM26" s="421"/>
      <c r="BN26" s="419"/>
      <c r="BO26" s="419"/>
      <c r="BP26" s="421"/>
      <c r="BQ26" s="421"/>
      <c r="BR26" s="419"/>
      <c r="BS26" s="419"/>
      <c r="BT26" s="421"/>
      <c r="BU26" s="421"/>
      <c r="BV26" s="419"/>
      <c r="BW26" s="419"/>
      <c r="BX26" s="421"/>
      <c r="BY26" s="421"/>
      <c r="BZ26" s="419"/>
      <c r="CA26" s="419"/>
      <c r="CB26" s="421"/>
      <c r="CC26" s="421"/>
      <c r="CD26" s="419"/>
      <c r="CE26" s="419"/>
      <c r="CF26" s="421"/>
      <c r="CG26" s="421"/>
      <c r="CH26" s="419"/>
      <c r="CI26" s="419"/>
      <c r="CJ26" s="421"/>
      <c r="CK26" s="421"/>
      <c r="CL26" s="419"/>
      <c r="CM26" s="421"/>
      <c r="CN26" s="424">
        <f t="shared" si="29"/>
        <v>0</v>
      </c>
      <c r="CO26" s="424">
        <f t="shared" si="30"/>
        <v>0</v>
      </c>
      <c r="CP26" s="425">
        <f t="shared" si="31"/>
        <v>0</v>
      </c>
      <c r="CQ26" s="425">
        <f t="shared" si="32"/>
        <v>0</v>
      </c>
      <c r="CR26" s="419"/>
      <c r="CS26" s="419"/>
      <c r="CT26" s="421"/>
      <c r="CU26" s="421"/>
      <c r="CV26" s="419"/>
      <c r="CW26" s="419"/>
      <c r="CX26" s="421"/>
      <c r="CY26" s="421"/>
      <c r="CZ26" s="419"/>
      <c r="DA26" s="419"/>
      <c r="DB26" s="421"/>
      <c r="DC26" s="421"/>
      <c r="DD26" s="419"/>
      <c r="DE26" s="419"/>
      <c r="DF26" s="421"/>
      <c r="DG26" s="421"/>
      <c r="DH26" s="419"/>
      <c r="DI26" s="419"/>
      <c r="DJ26" s="421"/>
      <c r="DK26" s="421"/>
      <c r="DL26" s="419"/>
      <c r="DM26" s="419"/>
      <c r="DN26" s="421"/>
      <c r="DO26" s="421"/>
      <c r="DP26" s="419"/>
      <c r="DQ26" s="419"/>
      <c r="DR26" s="421"/>
      <c r="DS26" s="421"/>
      <c r="DT26" s="419"/>
      <c r="DU26" s="419"/>
      <c r="DV26" s="421"/>
      <c r="DW26" s="421"/>
      <c r="DX26" s="419"/>
      <c r="DY26" s="419"/>
      <c r="DZ26" s="421"/>
      <c r="EA26" s="421"/>
      <c r="EB26" s="419"/>
      <c r="EC26" s="419"/>
      <c r="ED26" s="421"/>
      <c r="EE26" s="421"/>
      <c r="EF26" s="419"/>
      <c r="EG26" s="421"/>
      <c r="EH26" s="424">
        <f t="shared" si="33"/>
        <v>0</v>
      </c>
      <c r="EI26" s="424">
        <f t="shared" si="34"/>
        <v>0</v>
      </c>
      <c r="EJ26" s="422">
        <f t="shared" si="35"/>
        <v>0</v>
      </c>
      <c r="EK26" s="425">
        <f t="shared" si="36"/>
        <v>0</v>
      </c>
      <c r="EL26" s="425">
        <f t="shared" si="37"/>
        <v>0</v>
      </c>
      <c r="EM26" s="423">
        <f t="shared" si="38"/>
        <v>0</v>
      </c>
      <c r="EN26" s="424">
        <f t="shared" si="39"/>
        <v>0</v>
      </c>
      <c r="EO26" s="425">
        <f t="shared" si="40"/>
        <v>0</v>
      </c>
      <c r="EP26" s="419"/>
      <c r="EQ26" s="421"/>
      <c r="ER26" s="419"/>
      <c r="ES26" s="421"/>
      <c r="ET26" s="419"/>
      <c r="EU26" s="421"/>
      <c r="EV26" s="419"/>
      <c r="EW26" s="421"/>
      <c r="EX26" s="419"/>
      <c r="EY26" s="421"/>
      <c r="EZ26" s="419"/>
      <c r="FA26" s="421"/>
      <c r="FB26" s="419"/>
      <c r="FC26" s="421"/>
      <c r="FD26" s="419"/>
      <c r="FE26" s="421"/>
      <c r="FF26" s="419"/>
      <c r="FG26" s="421"/>
      <c r="FH26" s="419"/>
      <c r="FI26" s="421"/>
      <c r="FJ26" s="424">
        <f t="shared" si="41"/>
        <v>0</v>
      </c>
      <c r="FK26" s="425">
        <f t="shared" si="42"/>
        <v>0</v>
      </c>
      <c r="FL26" s="419"/>
      <c r="FM26" s="421"/>
      <c r="FN26" s="424">
        <f t="shared" si="43"/>
        <v>1125</v>
      </c>
      <c r="FO26" s="425">
        <f t="shared" si="44"/>
        <v>1244</v>
      </c>
    </row>
    <row r="27" spans="1:171">
      <c r="A27" s="98" t="s">
        <v>100</v>
      </c>
      <c r="B27" s="104" t="s">
        <v>520</v>
      </c>
      <c r="C27" s="105"/>
      <c r="D27" s="101">
        <v>102030</v>
      </c>
      <c r="E27" s="101">
        <v>9</v>
      </c>
      <c r="F27" s="419">
        <v>438</v>
      </c>
      <c r="G27" s="421">
        <v>376</v>
      </c>
      <c r="H27" s="419"/>
      <c r="I27" s="421"/>
      <c r="J27" s="419">
        <v>378</v>
      </c>
      <c r="K27" s="421">
        <v>342</v>
      </c>
      <c r="L27" s="422">
        <f t="shared" si="23"/>
        <v>0</v>
      </c>
      <c r="M27" s="423">
        <f t="shared" si="24"/>
        <v>0</v>
      </c>
      <c r="N27" s="419"/>
      <c r="O27" s="309">
        <f>0</f>
        <v>0</v>
      </c>
      <c r="P27" s="309">
        <f>0</f>
        <v>0</v>
      </c>
      <c r="Q27" s="309">
        <f>0</f>
        <v>0</v>
      </c>
      <c r="R27" s="424">
        <f t="shared" si="2"/>
        <v>0</v>
      </c>
      <c r="S27" s="421"/>
      <c r="T27" s="301">
        <f>0</f>
        <v>0</v>
      </c>
      <c r="U27" s="301">
        <f>0</f>
        <v>0</v>
      </c>
      <c r="V27" s="301">
        <f>0</f>
        <v>0</v>
      </c>
      <c r="W27" s="425">
        <f t="shared" si="3"/>
        <v>0</v>
      </c>
      <c r="X27" s="419"/>
      <c r="Y27" s="419"/>
      <c r="Z27" s="421"/>
      <c r="AA27" s="421"/>
      <c r="AB27" s="419"/>
      <c r="AC27" s="419"/>
      <c r="AD27" s="421"/>
      <c r="AE27" s="421"/>
      <c r="AF27" s="419"/>
      <c r="AG27" s="419"/>
      <c r="AH27" s="421"/>
      <c r="AI27" s="421"/>
      <c r="AJ27" s="419"/>
      <c r="AK27" s="419"/>
      <c r="AL27" s="421"/>
      <c r="AM27" s="421"/>
      <c r="AN27" s="419"/>
      <c r="AO27" s="419"/>
      <c r="AP27" s="421"/>
      <c r="AQ27" s="421"/>
      <c r="AR27" s="424">
        <f t="shared" si="25"/>
        <v>0</v>
      </c>
      <c r="AS27" s="422">
        <f t="shared" si="26"/>
        <v>0</v>
      </c>
      <c r="AT27" s="425">
        <f t="shared" si="27"/>
        <v>0</v>
      </c>
      <c r="AU27" s="423">
        <f t="shared" si="28"/>
        <v>0</v>
      </c>
      <c r="AV27" s="419"/>
      <c r="AW27" s="421"/>
      <c r="AX27" s="419"/>
      <c r="AY27" s="419"/>
      <c r="AZ27" s="421"/>
      <c r="BA27" s="421"/>
      <c r="BB27" s="419"/>
      <c r="BC27" s="419"/>
      <c r="BD27" s="421"/>
      <c r="BE27" s="421"/>
      <c r="BF27" s="419"/>
      <c r="BG27" s="419"/>
      <c r="BH27" s="421"/>
      <c r="BI27" s="421"/>
      <c r="BJ27" s="419"/>
      <c r="BK27" s="419"/>
      <c r="BL27" s="421"/>
      <c r="BM27" s="421"/>
      <c r="BN27" s="419"/>
      <c r="BO27" s="419"/>
      <c r="BP27" s="421"/>
      <c r="BQ27" s="421"/>
      <c r="BR27" s="419"/>
      <c r="BS27" s="419"/>
      <c r="BT27" s="421"/>
      <c r="BU27" s="421"/>
      <c r="BV27" s="419"/>
      <c r="BW27" s="419"/>
      <c r="BX27" s="421"/>
      <c r="BY27" s="421"/>
      <c r="BZ27" s="419"/>
      <c r="CA27" s="419"/>
      <c r="CB27" s="421"/>
      <c r="CC27" s="421"/>
      <c r="CD27" s="419"/>
      <c r="CE27" s="419"/>
      <c r="CF27" s="421"/>
      <c r="CG27" s="421"/>
      <c r="CH27" s="419"/>
      <c r="CI27" s="419"/>
      <c r="CJ27" s="421"/>
      <c r="CK27" s="421"/>
      <c r="CL27" s="419"/>
      <c r="CM27" s="421"/>
      <c r="CN27" s="424">
        <f t="shared" si="29"/>
        <v>0</v>
      </c>
      <c r="CO27" s="424">
        <f t="shared" si="30"/>
        <v>0</v>
      </c>
      <c r="CP27" s="425">
        <f t="shared" si="31"/>
        <v>0</v>
      </c>
      <c r="CQ27" s="425">
        <f t="shared" si="32"/>
        <v>0</v>
      </c>
      <c r="CR27" s="419"/>
      <c r="CS27" s="419"/>
      <c r="CT27" s="421"/>
      <c r="CU27" s="421"/>
      <c r="CV27" s="419"/>
      <c r="CW27" s="419"/>
      <c r="CX27" s="421"/>
      <c r="CY27" s="421"/>
      <c r="CZ27" s="419"/>
      <c r="DA27" s="419"/>
      <c r="DB27" s="421"/>
      <c r="DC27" s="421"/>
      <c r="DD27" s="419"/>
      <c r="DE27" s="419"/>
      <c r="DF27" s="421"/>
      <c r="DG27" s="421"/>
      <c r="DH27" s="419"/>
      <c r="DI27" s="419"/>
      <c r="DJ27" s="421"/>
      <c r="DK27" s="421"/>
      <c r="DL27" s="419"/>
      <c r="DM27" s="419"/>
      <c r="DN27" s="421"/>
      <c r="DO27" s="421"/>
      <c r="DP27" s="419"/>
      <c r="DQ27" s="419"/>
      <c r="DR27" s="421"/>
      <c r="DS27" s="421"/>
      <c r="DT27" s="419"/>
      <c r="DU27" s="419"/>
      <c r="DV27" s="421"/>
      <c r="DW27" s="421"/>
      <c r="DX27" s="419"/>
      <c r="DY27" s="419"/>
      <c r="DZ27" s="421"/>
      <c r="EA27" s="421"/>
      <c r="EB27" s="419"/>
      <c r="EC27" s="419"/>
      <c r="ED27" s="421"/>
      <c r="EE27" s="421"/>
      <c r="EF27" s="419"/>
      <c r="EG27" s="421"/>
      <c r="EH27" s="424">
        <f t="shared" si="33"/>
        <v>0</v>
      </c>
      <c r="EI27" s="424">
        <f t="shared" si="34"/>
        <v>0</v>
      </c>
      <c r="EJ27" s="422">
        <f t="shared" si="35"/>
        <v>0</v>
      </c>
      <c r="EK27" s="425">
        <f t="shared" si="36"/>
        <v>0</v>
      </c>
      <c r="EL27" s="425">
        <f t="shared" si="37"/>
        <v>0</v>
      </c>
      <c r="EM27" s="423">
        <f t="shared" si="38"/>
        <v>0</v>
      </c>
      <c r="EN27" s="424">
        <f t="shared" si="39"/>
        <v>0</v>
      </c>
      <c r="EO27" s="425">
        <f t="shared" si="40"/>
        <v>0</v>
      </c>
      <c r="EP27" s="419"/>
      <c r="EQ27" s="421"/>
      <c r="ER27" s="419"/>
      <c r="ES27" s="421"/>
      <c r="ET27" s="419"/>
      <c r="EU27" s="421"/>
      <c r="EV27" s="419"/>
      <c r="EW27" s="421"/>
      <c r="EX27" s="419"/>
      <c r="EY27" s="421"/>
      <c r="EZ27" s="419"/>
      <c r="FA27" s="421"/>
      <c r="FB27" s="419"/>
      <c r="FC27" s="421"/>
      <c r="FD27" s="419"/>
      <c r="FE27" s="421"/>
      <c r="FF27" s="419"/>
      <c r="FG27" s="421"/>
      <c r="FH27" s="419"/>
      <c r="FI27" s="421"/>
      <c r="FJ27" s="424">
        <f t="shared" si="41"/>
        <v>0</v>
      </c>
      <c r="FK27" s="425">
        <f t="shared" si="42"/>
        <v>0</v>
      </c>
      <c r="FL27" s="419"/>
      <c r="FM27" s="421"/>
      <c r="FN27" s="424">
        <f t="shared" si="43"/>
        <v>816</v>
      </c>
      <c r="FO27" s="425">
        <f t="shared" si="44"/>
        <v>718</v>
      </c>
    </row>
    <row r="28" spans="1:171">
      <c r="A28" s="98" t="s">
        <v>100</v>
      </c>
      <c r="B28" s="104" t="s">
        <v>521</v>
      </c>
      <c r="C28" s="482" t="s">
        <v>1207</v>
      </c>
      <c r="D28" s="101">
        <v>101161</v>
      </c>
      <c r="E28" s="499">
        <v>8</v>
      </c>
      <c r="F28" s="419">
        <v>469</v>
      </c>
      <c r="G28" s="420">
        <v>301</v>
      </c>
      <c r="H28" s="419"/>
      <c r="I28" s="421"/>
      <c r="J28" s="419">
        <v>754</v>
      </c>
      <c r="K28" s="421">
        <v>798</v>
      </c>
      <c r="L28" s="422">
        <f t="shared" si="23"/>
        <v>0</v>
      </c>
      <c r="M28" s="423">
        <f t="shared" si="24"/>
        <v>0</v>
      </c>
      <c r="N28" s="419"/>
      <c r="O28" s="309">
        <f>0</f>
        <v>0</v>
      </c>
      <c r="P28" s="309">
        <f>0</f>
        <v>0</v>
      </c>
      <c r="Q28" s="309">
        <f>0</f>
        <v>0</v>
      </c>
      <c r="R28" s="424">
        <f t="shared" si="2"/>
        <v>0</v>
      </c>
      <c r="S28" s="421"/>
      <c r="T28" s="301">
        <f>0</f>
        <v>0</v>
      </c>
      <c r="U28" s="301">
        <f>0</f>
        <v>0</v>
      </c>
      <c r="V28" s="301">
        <f>0</f>
        <v>0</v>
      </c>
      <c r="W28" s="425">
        <f t="shared" si="3"/>
        <v>0</v>
      </c>
      <c r="X28" s="419"/>
      <c r="Y28" s="419"/>
      <c r="Z28" s="421"/>
      <c r="AA28" s="421"/>
      <c r="AB28" s="419"/>
      <c r="AC28" s="419"/>
      <c r="AD28" s="421"/>
      <c r="AE28" s="421"/>
      <c r="AF28" s="419"/>
      <c r="AG28" s="419"/>
      <c r="AH28" s="421"/>
      <c r="AI28" s="421"/>
      <c r="AJ28" s="419"/>
      <c r="AK28" s="419"/>
      <c r="AL28" s="421"/>
      <c r="AM28" s="421"/>
      <c r="AN28" s="419"/>
      <c r="AO28" s="419"/>
      <c r="AP28" s="421"/>
      <c r="AQ28" s="421"/>
      <c r="AR28" s="424">
        <f t="shared" si="25"/>
        <v>0</v>
      </c>
      <c r="AS28" s="422">
        <f t="shared" si="26"/>
        <v>0</v>
      </c>
      <c r="AT28" s="425">
        <f t="shared" si="27"/>
        <v>0</v>
      </c>
      <c r="AU28" s="423">
        <f t="shared" si="28"/>
        <v>0</v>
      </c>
      <c r="AV28" s="419"/>
      <c r="AW28" s="421"/>
      <c r="AX28" s="419"/>
      <c r="AY28" s="419"/>
      <c r="AZ28" s="421"/>
      <c r="BA28" s="421"/>
      <c r="BB28" s="419"/>
      <c r="BC28" s="419"/>
      <c r="BD28" s="421"/>
      <c r="BE28" s="421"/>
      <c r="BF28" s="419"/>
      <c r="BG28" s="419"/>
      <c r="BH28" s="421"/>
      <c r="BI28" s="421"/>
      <c r="BJ28" s="419"/>
      <c r="BK28" s="419"/>
      <c r="BL28" s="421"/>
      <c r="BM28" s="421"/>
      <c r="BN28" s="419"/>
      <c r="BO28" s="419"/>
      <c r="BP28" s="421"/>
      <c r="BQ28" s="421"/>
      <c r="BR28" s="419"/>
      <c r="BS28" s="419"/>
      <c r="BT28" s="421"/>
      <c r="BU28" s="421"/>
      <c r="BV28" s="419"/>
      <c r="BW28" s="419"/>
      <c r="BX28" s="421"/>
      <c r="BY28" s="421"/>
      <c r="BZ28" s="419"/>
      <c r="CA28" s="419"/>
      <c r="CB28" s="421"/>
      <c r="CC28" s="421"/>
      <c r="CD28" s="419"/>
      <c r="CE28" s="419"/>
      <c r="CF28" s="421"/>
      <c r="CG28" s="421"/>
      <c r="CH28" s="419"/>
      <c r="CI28" s="419"/>
      <c r="CJ28" s="421"/>
      <c r="CK28" s="421"/>
      <c r="CL28" s="419"/>
      <c r="CM28" s="421"/>
      <c r="CN28" s="424">
        <f t="shared" si="29"/>
        <v>0</v>
      </c>
      <c r="CO28" s="424">
        <f t="shared" si="30"/>
        <v>0</v>
      </c>
      <c r="CP28" s="425">
        <f t="shared" si="31"/>
        <v>0</v>
      </c>
      <c r="CQ28" s="425">
        <f t="shared" si="32"/>
        <v>0</v>
      </c>
      <c r="CR28" s="419"/>
      <c r="CS28" s="419"/>
      <c r="CT28" s="421"/>
      <c r="CU28" s="421"/>
      <c r="CV28" s="419"/>
      <c r="CW28" s="419"/>
      <c r="CX28" s="421"/>
      <c r="CY28" s="421"/>
      <c r="CZ28" s="419"/>
      <c r="DA28" s="419"/>
      <c r="DB28" s="421"/>
      <c r="DC28" s="421"/>
      <c r="DD28" s="419"/>
      <c r="DE28" s="419"/>
      <c r="DF28" s="421"/>
      <c r="DG28" s="421"/>
      <c r="DH28" s="419"/>
      <c r="DI28" s="419"/>
      <c r="DJ28" s="421"/>
      <c r="DK28" s="421"/>
      <c r="DL28" s="419"/>
      <c r="DM28" s="419"/>
      <c r="DN28" s="421"/>
      <c r="DO28" s="421"/>
      <c r="DP28" s="419"/>
      <c r="DQ28" s="419"/>
      <c r="DR28" s="421"/>
      <c r="DS28" s="421"/>
      <c r="DT28" s="419"/>
      <c r="DU28" s="419"/>
      <c r="DV28" s="421"/>
      <c r="DW28" s="421"/>
      <c r="DX28" s="419"/>
      <c r="DY28" s="419"/>
      <c r="DZ28" s="421"/>
      <c r="EA28" s="421"/>
      <c r="EB28" s="419"/>
      <c r="EC28" s="419"/>
      <c r="ED28" s="421"/>
      <c r="EE28" s="421"/>
      <c r="EF28" s="419"/>
      <c r="EG28" s="421"/>
      <c r="EH28" s="424">
        <f t="shared" si="33"/>
        <v>0</v>
      </c>
      <c r="EI28" s="424">
        <f t="shared" si="34"/>
        <v>0</v>
      </c>
      <c r="EJ28" s="422">
        <f t="shared" si="35"/>
        <v>0</v>
      </c>
      <c r="EK28" s="425">
        <f t="shared" si="36"/>
        <v>0</v>
      </c>
      <c r="EL28" s="425">
        <f t="shared" si="37"/>
        <v>0</v>
      </c>
      <c r="EM28" s="423">
        <f t="shared" si="38"/>
        <v>0</v>
      </c>
      <c r="EN28" s="424">
        <f t="shared" si="39"/>
        <v>0</v>
      </c>
      <c r="EO28" s="425">
        <f t="shared" si="40"/>
        <v>0</v>
      </c>
      <c r="EP28" s="419"/>
      <c r="EQ28" s="421"/>
      <c r="ER28" s="419"/>
      <c r="ES28" s="421"/>
      <c r="ET28" s="419"/>
      <c r="EU28" s="421"/>
      <c r="EV28" s="419"/>
      <c r="EW28" s="421"/>
      <c r="EX28" s="419"/>
      <c r="EY28" s="421"/>
      <c r="EZ28" s="419"/>
      <c r="FA28" s="421"/>
      <c r="FB28" s="419"/>
      <c r="FC28" s="421"/>
      <c r="FD28" s="419"/>
      <c r="FE28" s="421"/>
      <c r="FF28" s="419"/>
      <c r="FG28" s="421"/>
      <c r="FH28" s="419"/>
      <c r="FI28" s="421"/>
      <c r="FJ28" s="424">
        <f t="shared" si="41"/>
        <v>0</v>
      </c>
      <c r="FK28" s="425">
        <f t="shared" si="42"/>
        <v>0</v>
      </c>
      <c r="FL28" s="419"/>
      <c r="FM28" s="421"/>
      <c r="FN28" s="424">
        <f t="shared" si="43"/>
        <v>1223</v>
      </c>
      <c r="FO28" s="425">
        <f t="shared" si="44"/>
        <v>1099</v>
      </c>
    </row>
    <row r="29" spans="1:171">
      <c r="A29" s="98" t="s">
        <v>100</v>
      </c>
      <c r="B29" s="99" t="s">
        <v>522</v>
      </c>
      <c r="C29" s="105"/>
      <c r="D29" s="101">
        <v>101240</v>
      </c>
      <c r="E29" s="101">
        <v>9</v>
      </c>
      <c r="F29" s="419">
        <v>476</v>
      </c>
      <c r="G29" s="421">
        <v>470</v>
      </c>
      <c r="H29" s="419"/>
      <c r="I29" s="421"/>
      <c r="J29" s="419">
        <v>740</v>
      </c>
      <c r="K29" s="421">
        <v>702</v>
      </c>
      <c r="L29" s="422">
        <f t="shared" si="23"/>
        <v>0</v>
      </c>
      <c r="M29" s="423">
        <f t="shared" si="24"/>
        <v>0</v>
      </c>
      <c r="N29" s="419"/>
      <c r="O29" s="309">
        <f>0</f>
        <v>0</v>
      </c>
      <c r="P29" s="309">
        <f>0</f>
        <v>0</v>
      </c>
      <c r="Q29" s="309">
        <f>0</f>
        <v>0</v>
      </c>
      <c r="R29" s="424">
        <f t="shared" si="2"/>
        <v>0</v>
      </c>
      <c r="S29" s="421"/>
      <c r="T29" s="301">
        <f>0</f>
        <v>0</v>
      </c>
      <c r="U29" s="301">
        <f>0</f>
        <v>0</v>
      </c>
      <c r="V29" s="301">
        <f>0</f>
        <v>0</v>
      </c>
      <c r="W29" s="425">
        <f t="shared" si="3"/>
        <v>0</v>
      </c>
      <c r="X29" s="419"/>
      <c r="Y29" s="419"/>
      <c r="Z29" s="421"/>
      <c r="AA29" s="421"/>
      <c r="AB29" s="419"/>
      <c r="AC29" s="419"/>
      <c r="AD29" s="421"/>
      <c r="AE29" s="421"/>
      <c r="AF29" s="419"/>
      <c r="AG29" s="419"/>
      <c r="AH29" s="421"/>
      <c r="AI29" s="421"/>
      <c r="AJ29" s="419"/>
      <c r="AK29" s="419"/>
      <c r="AL29" s="421"/>
      <c r="AM29" s="421"/>
      <c r="AN29" s="419"/>
      <c r="AO29" s="419"/>
      <c r="AP29" s="421"/>
      <c r="AQ29" s="421"/>
      <c r="AR29" s="424">
        <f t="shared" si="25"/>
        <v>0</v>
      </c>
      <c r="AS29" s="422">
        <f t="shared" si="26"/>
        <v>0</v>
      </c>
      <c r="AT29" s="425">
        <f t="shared" si="27"/>
        <v>0</v>
      </c>
      <c r="AU29" s="423">
        <f t="shared" si="28"/>
        <v>0</v>
      </c>
      <c r="AV29" s="419"/>
      <c r="AW29" s="421"/>
      <c r="AX29" s="419"/>
      <c r="AY29" s="419"/>
      <c r="AZ29" s="421"/>
      <c r="BA29" s="421"/>
      <c r="BB29" s="419"/>
      <c r="BC29" s="419"/>
      <c r="BD29" s="421"/>
      <c r="BE29" s="421"/>
      <c r="BF29" s="419"/>
      <c r="BG29" s="419"/>
      <c r="BH29" s="421"/>
      <c r="BI29" s="421"/>
      <c r="BJ29" s="419"/>
      <c r="BK29" s="419"/>
      <c r="BL29" s="421"/>
      <c r="BM29" s="421"/>
      <c r="BN29" s="419"/>
      <c r="BO29" s="419"/>
      <c r="BP29" s="421"/>
      <c r="BQ29" s="421"/>
      <c r="BR29" s="419"/>
      <c r="BS29" s="419"/>
      <c r="BT29" s="421"/>
      <c r="BU29" s="421"/>
      <c r="BV29" s="419"/>
      <c r="BW29" s="419"/>
      <c r="BX29" s="421"/>
      <c r="BY29" s="421"/>
      <c r="BZ29" s="419"/>
      <c r="CA29" s="419"/>
      <c r="CB29" s="421"/>
      <c r="CC29" s="421"/>
      <c r="CD29" s="419"/>
      <c r="CE29" s="419"/>
      <c r="CF29" s="421"/>
      <c r="CG29" s="421"/>
      <c r="CH29" s="419"/>
      <c r="CI29" s="419"/>
      <c r="CJ29" s="421"/>
      <c r="CK29" s="421"/>
      <c r="CL29" s="419"/>
      <c r="CM29" s="421"/>
      <c r="CN29" s="424">
        <f t="shared" si="29"/>
        <v>0</v>
      </c>
      <c r="CO29" s="424">
        <f t="shared" si="30"/>
        <v>0</v>
      </c>
      <c r="CP29" s="425">
        <f t="shared" si="31"/>
        <v>0</v>
      </c>
      <c r="CQ29" s="425">
        <f t="shared" si="32"/>
        <v>0</v>
      </c>
      <c r="CR29" s="419"/>
      <c r="CS29" s="419"/>
      <c r="CT29" s="421"/>
      <c r="CU29" s="421"/>
      <c r="CV29" s="419"/>
      <c r="CW29" s="419"/>
      <c r="CX29" s="421"/>
      <c r="CY29" s="421"/>
      <c r="CZ29" s="419"/>
      <c r="DA29" s="419"/>
      <c r="DB29" s="421"/>
      <c r="DC29" s="421"/>
      <c r="DD29" s="419"/>
      <c r="DE29" s="419"/>
      <c r="DF29" s="421"/>
      <c r="DG29" s="421"/>
      <c r="DH29" s="419"/>
      <c r="DI29" s="419"/>
      <c r="DJ29" s="421"/>
      <c r="DK29" s="421"/>
      <c r="DL29" s="419"/>
      <c r="DM29" s="419"/>
      <c r="DN29" s="421"/>
      <c r="DO29" s="421"/>
      <c r="DP29" s="419"/>
      <c r="DQ29" s="419"/>
      <c r="DR29" s="421"/>
      <c r="DS29" s="421"/>
      <c r="DT29" s="419"/>
      <c r="DU29" s="419"/>
      <c r="DV29" s="421"/>
      <c r="DW29" s="421"/>
      <c r="DX29" s="419"/>
      <c r="DY29" s="419"/>
      <c r="DZ29" s="421"/>
      <c r="EA29" s="421"/>
      <c r="EB29" s="419"/>
      <c r="EC29" s="419"/>
      <c r="ED29" s="421"/>
      <c r="EE29" s="421"/>
      <c r="EF29" s="419"/>
      <c r="EG29" s="421"/>
      <c r="EH29" s="424">
        <f t="shared" si="33"/>
        <v>0</v>
      </c>
      <c r="EI29" s="424">
        <f t="shared" si="34"/>
        <v>0</v>
      </c>
      <c r="EJ29" s="422">
        <f t="shared" si="35"/>
        <v>0</v>
      </c>
      <c r="EK29" s="425">
        <f t="shared" si="36"/>
        <v>0</v>
      </c>
      <c r="EL29" s="425">
        <f t="shared" si="37"/>
        <v>0</v>
      </c>
      <c r="EM29" s="423">
        <f t="shared" si="38"/>
        <v>0</v>
      </c>
      <c r="EN29" s="424">
        <f t="shared" si="39"/>
        <v>0</v>
      </c>
      <c r="EO29" s="425">
        <f t="shared" si="40"/>
        <v>0</v>
      </c>
      <c r="EP29" s="419"/>
      <c r="EQ29" s="421"/>
      <c r="ER29" s="419"/>
      <c r="ES29" s="421"/>
      <c r="ET29" s="419"/>
      <c r="EU29" s="421"/>
      <c r="EV29" s="419"/>
      <c r="EW29" s="421"/>
      <c r="EX29" s="419"/>
      <c r="EY29" s="421"/>
      <c r="EZ29" s="419"/>
      <c r="FA29" s="421"/>
      <c r="FB29" s="419"/>
      <c r="FC29" s="421"/>
      <c r="FD29" s="419"/>
      <c r="FE29" s="421"/>
      <c r="FF29" s="419"/>
      <c r="FG29" s="421"/>
      <c r="FH29" s="419"/>
      <c r="FI29" s="421"/>
      <c r="FJ29" s="424">
        <f t="shared" si="41"/>
        <v>0</v>
      </c>
      <c r="FK29" s="425">
        <f t="shared" si="42"/>
        <v>0</v>
      </c>
      <c r="FL29" s="419"/>
      <c r="FM29" s="421"/>
      <c r="FN29" s="424">
        <f t="shared" si="43"/>
        <v>1216</v>
      </c>
      <c r="FO29" s="425">
        <f t="shared" si="44"/>
        <v>1172</v>
      </c>
    </row>
    <row r="30" spans="1:171">
      <c r="A30" s="98" t="s">
        <v>100</v>
      </c>
      <c r="B30" s="30" t="s">
        <v>523</v>
      </c>
      <c r="C30" s="100"/>
      <c r="D30" s="101">
        <v>101286</v>
      </c>
      <c r="E30" s="101">
        <v>9</v>
      </c>
      <c r="F30" s="419">
        <v>766</v>
      </c>
      <c r="G30" s="421">
        <v>765</v>
      </c>
      <c r="H30" s="419"/>
      <c r="I30" s="421"/>
      <c r="J30" s="419">
        <v>610</v>
      </c>
      <c r="K30" s="421">
        <v>554</v>
      </c>
      <c r="L30" s="422">
        <f t="shared" si="23"/>
        <v>0</v>
      </c>
      <c r="M30" s="423">
        <f t="shared" si="24"/>
        <v>0</v>
      </c>
      <c r="N30" s="419"/>
      <c r="O30" s="309">
        <f>0</f>
        <v>0</v>
      </c>
      <c r="P30" s="309">
        <f>0</f>
        <v>0</v>
      </c>
      <c r="Q30" s="309">
        <f>0</f>
        <v>0</v>
      </c>
      <c r="R30" s="424">
        <f t="shared" si="2"/>
        <v>0</v>
      </c>
      <c r="S30" s="421"/>
      <c r="T30" s="301">
        <f>0</f>
        <v>0</v>
      </c>
      <c r="U30" s="301">
        <f>0</f>
        <v>0</v>
      </c>
      <c r="V30" s="301">
        <f>0</f>
        <v>0</v>
      </c>
      <c r="W30" s="425">
        <f t="shared" si="3"/>
        <v>0</v>
      </c>
      <c r="X30" s="419"/>
      <c r="Y30" s="419"/>
      <c r="Z30" s="421"/>
      <c r="AA30" s="421"/>
      <c r="AB30" s="419"/>
      <c r="AC30" s="419"/>
      <c r="AD30" s="421"/>
      <c r="AE30" s="421"/>
      <c r="AF30" s="419"/>
      <c r="AG30" s="419"/>
      <c r="AH30" s="421"/>
      <c r="AI30" s="421"/>
      <c r="AJ30" s="419"/>
      <c r="AK30" s="419"/>
      <c r="AL30" s="421"/>
      <c r="AM30" s="421"/>
      <c r="AN30" s="419"/>
      <c r="AO30" s="419"/>
      <c r="AP30" s="421"/>
      <c r="AQ30" s="421"/>
      <c r="AR30" s="424">
        <f t="shared" si="25"/>
        <v>0</v>
      </c>
      <c r="AS30" s="422">
        <f t="shared" si="26"/>
        <v>0</v>
      </c>
      <c r="AT30" s="425">
        <f t="shared" si="27"/>
        <v>0</v>
      </c>
      <c r="AU30" s="423">
        <f t="shared" si="28"/>
        <v>0</v>
      </c>
      <c r="AV30" s="419"/>
      <c r="AW30" s="421"/>
      <c r="AX30" s="419"/>
      <c r="AY30" s="419"/>
      <c r="AZ30" s="421"/>
      <c r="BA30" s="421"/>
      <c r="BB30" s="419"/>
      <c r="BC30" s="419"/>
      <c r="BD30" s="421"/>
      <c r="BE30" s="421"/>
      <c r="BF30" s="419"/>
      <c r="BG30" s="419"/>
      <c r="BH30" s="421"/>
      <c r="BI30" s="421"/>
      <c r="BJ30" s="419"/>
      <c r="BK30" s="419"/>
      <c r="BL30" s="421"/>
      <c r="BM30" s="421"/>
      <c r="BN30" s="419"/>
      <c r="BO30" s="419"/>
      <c r="BP30" s="421"/>
      <c r="BQ30" s="421"/>
      <c r="BR30" s="419"/>
      <c r="BS30" s="419"/>
      <c r="BT30" s="421"/>
      <c r="BU30" s="421"/>
      <c r="BV30" s="419"/>
      <c r="BW30" s="419"/>
      <c r="BX30" s="421"/>
      <c r="BY30" s="421"/>
      <c r="BZ30" s="419"/>
      <c r="CA30" s="419"/>
      <c r="CB30" s="421"/>
      <c r="CC30" s="421"/>
      <c r="CD30" s="419"/>
      <c r="CE30" s="419"/>
      <c r="CF30" s="421"/>
      <c r="CG30" s="421"/>
      <c r="CH30" s="419"/>
      <c r="CI30" s="419"/>
      <c r="CJ30" s="421"/>
      <c r="CK30" s="421"/>
      <c r="CL30" s="419"/>
      <c r="CM30" s="421"/>
      <c r="CN30" s="424">
        <f t="shared" si="29"/>
        <v>0</v>
      </c>
      <c r="CO30" s="424">
        <f t="shared" si="30"/>
        <v>0</v>
      </c>
      <c r="CP30" s="425">
        <f t="shared" si="31"/>
        <v>0</v>
      </c>
      <c r="CQ30" s="425">
        <f t="shared" si="32"/>
        <v>0</v>
      </c>
      <c r="CR30" s="419"/>
      <c r="CS30" s="419"/>
      <c r="CT30" s="421"/>
      <c r="CU30" s="421"/>
      <c r="CV30" s="419"/>
      <c r="CW30" s="419"/>
      <c r="CX30" s="421"/>
      <c r="CY30" s="421"/>
      <c r="CZ30" s="419"/>
      <c r="DA30" s="419"/>
      <c r="DB30" s="421"/>
      <c r="DC30" s="421"/>
      <c r="DD30" s="419"/>
      <c r="DE30" s="419"/>
      <c r="DF30" s="421"/>
      <c r="DG30" s="421"/>
      <c r="DH30" s="419"/>
      <c r="DI30" s="419"/>
      <c r="DJ30" s="421"/>
      <c r="DK30" s="421"/>
      <c r="DL30" s="419"/>
      <c r="DM30" s="419"/>
      <c r="DN30" s="421"/>
      <c r="DO30" s="421"/>
      <c r="DP30" s="419"/>
      <c r="DQ30" s="419"/>
      <c r="DR30" s="421"/>
      <c r="DS30" s="421"/>
      <c r="DT30" s="419"/>
      <c r="DU30" s="419"/>
      <c r="DV30" s="421"/>
      <c r="DW30" s="421"/>
      <c r="DX30" s="419"/>
      <c r="DY30" s="419"/>
      <c r="DZ30" s="421"/>
      <c r="EA30" s="421"/>
      <c r="EB30" s="419"/>
      <c r="EC30" s="419"/>
      <c r="ED30" s="421"/>
      <c r="EE30" s="421"/>
      <c r="EF30" s="419"/>
      <c r="EG30" s="421"/>
      <c r="EH30" s="424">
        <f t="shared" si="33"/>
        <v>0</v>
      </c>
      <c r="EI30" s="424">
        <f t="shared" si="34"/>
        <v>0</v>
      </c>
      <c r="EJ30" s="422">
        <f t="shared" si="35"/>
        <v>0</v>
      </c>
      <c r="EK30" s="425">
        <f t="shared" si="36"/>
        <v>0</v>
      </c>
      <c r="EL30" s="425">
        <f t="shared" si="37"/>
        <v>0</v>
      </c>
      <c r="EM30" s="423">
        <f t="shared" si="38"/>
        <v>0</v>
      </c>
      <c r="EN30" s="424">
        <f t="shared" si="39"/>
        <v>0</v>
      </c>
      <c r="EO30" s="425">
        <f t="shared" si="40"/>
        <v>0</v>
      </c>
      <c r="EP30" s="419"/>
      <c r="EQ30" s="421"/>
      <c r="ER30" s="419"/>
      <c r="ES30" s="421"/>
      <c r="ET30" s="419"/>
      <c r="EU30" s="421"/>
      <c r="EV30" s="419"/>
      <c r="EW30" s="421"/>
      <c r="EX30" s="419"/>
      <c r="EY30" s="421"/>
      <c r="EZ30" s="419"/>
      <c r="FA30" s="421"/>
      <c r="FB30" s="419"/>
      <c r="FC30" s="421"/>
      <c r="FD30" s="419"/>
      <c r="FE30" s="421"/>
      <c r="FF30" s="419"/>
      <c r="FG30" s="421"/>
      <c r="FH30" s="419"/>
      <c r="FI30" s="421"/>
      <c r="FJ30" s="424">
        <f t="shared" si="41"/>
        <v>0</v>
      </c>
      <c r="FK30" s="425">
        <f t="shared" si="42"/>
        <v>0</v>
      </c>
      <c r="FL30" s="419"/>
      <c r="FM30" s="421"/>
      <c r="FN30" s="424">
        <f t="shared" si="43"/>
        <v>1376</v>
      </c>
      <c r="FO30" s="425">
        <f t="shared" si="44"/>
        <v>1319</v>
      </c>
    </row>
    <row r="31" spans="1:171">
      <c r="A31" s="98" t="s">
        <v>100</v>
      </c>
      <c r="B31" s="30" t="s">
        <v>524</v>
      </c>
      <c r="C31" s="103"/>
      <c r="D31" s="101">
        <v>101295</v>
      </c>
      <c r="E31" s="101">
        <v>9</v>
      </c>
      <c r="F31" s="419">
        <v>1554</v>
      </c>
      <c r="G31" s="421">
        <v>1343</v>
      </c>
      <c r="H31" s="419"/>
      <c r="I31" s="421"/>
      <c r="J31" s="419">
        <v>985</v>
      </c>
      <c r="K31" s="421">
        <v>979</v>
      </c>
      <c r="L31" s="422">
        <f t="shared" si="23"/>
        <v>0</v>
      </c>
      <c r="M31" s="423">
        <f t="shared" si="24"/>
        <v>0</v>
      </c>
      <c r="N31" s="419"/>
      <c r="O31" s="309">
        <f>0</f>
        <v>0</v>
      </c>
      <c r="P31" s="309">
        <f>0</f>
        <v>0</v>
      </c>
      <c r="Q31" s="309">
        <f>0</f>
        <v>0</v>
      </c>
      <c r="R31" s="424">
        <f t="shared" si="2"/>
        <v>0</v>
      </c>
      <c r="S31" s="421"/>
      <c r="T31" s="301">
        <f>0</f>
        <v>0</v>
      </c>
      <c r="U31" s="301">
        <f>0</f>
        <v>0</v>
      </c>
      <c r="V31" s="301">
        <f>0</f>
        <v>0</v>
      </c>
      <c r="W31" s="425">
        <f t="shared" si="3"/>
        <v>0</v>
      </c>
      <c r="X31" s="419"/>
      <c r="Y31" s="419"/>
      <c r="Z31" s="421"/>
      <c r="AA31" s="421"/>
      <c r="AB31" s="419"/>
      <c r="AC31" s="419"/>
      <c r="AD31" s="421"/>
      <c r="AE31" s="421"/>
      <c r="AF31" s="419"/>
      <c r="AG31" s="419"/>
      <c r="AH31" s="421"/>
      <c r="AI31" s="421"/>
      <c r="AJ31" s="419"/>
      <c r="AK31" s="419"/>
      <c r="AL31" s="421"/>
      <c r="AM31" s="421"/>
      <c r="AN31" s="419"/>
      <c r="AO31" s="419"/>
      <c r="AP31" s="421"/>
      <c r="AQ31" s="421"/>
      <c r="AR31" s="424">
        <f t="shared" si="25"/>
        <v>0</v>
      </c>
      <c r="AS31" s="422">
        <f t="shared" si="26"/>
        <v>0</v>
      </c>
      <c r="AT31" s="425">
        <f t="shared" si="27"/>
        <v>0</v>
      </c>
      <c r="AU31" s="423">
        <f t="shared" si="28"/>
        <v>0</v>
      </c>
      <c r="AV31" s="419"/>
      <c r="AW31" s="421"/>
      <c r="AX31" s="419"/>
      <c r="AY31" s="419"/>
      <c r="AZ31" s="421"/>
      <c r="BA31" s="421"/>
      <c r="BB31" s="419"/>
      <c r="BC31" s="419"/>
      <c r="BD31" s="421"/>
      <c r="BE31" s="421"/>
      <c r="BF31" s="419"/>
      <c r="BG31" s="419"/>
      <c r="BH31" s="421"/>
      <c r="BI31" s="421"/>
      <c r="BJ31" s="419"/>
      <c r="BK31" s="419"/>
      <c r="BL31" s="421"/>
      <c r="BM31" s="421"/>
      <c r="BN31" s="419"/>
      <c r="BO31" s="419"/>
      <c r="BP31" s="421"/>
      <c r="BQ31" s="421"/>
      <c r="BR31" s="419"/>
      <c r="BS31" s="419"/>
      <c r="BT31" s="421"/>
      <c r="BU31" s="421"/>
      <c r="BV31" s="419"/>
      <c r="BW31" s="419"/>
      <c r="BX31" s="421"/>
      <c r="BY31" s="421"/>
      <c r="BZ31" s="419"/>
      <c r="CA31" s="419"/>
      <c r="CB31" s="421"/>
      <c r="CC31" s="421"/>
      <c r="CD31" s="419"/>
      <c r="CE31" s="419"/>
      <c r="CF31" s="421"/>
      <c r="CG31" s="421"/>
      <c r="CH31" s="419"/>
      <c r="CI31" s="419"/>
      <c r="CJ31" s="421"/>
      <c r="CK31" s="421"/>
      <c r="CL31" s="419"/>
      <c r="CM31" s="421"/>
      <c r="CN31" s="424">
        <f t="shared" si="29"/>
        <v>0</v>
      </c>
      <c r="CO31" s="424">
        <f t="shared" si="30"/>
        <v>0</v>
      </c>
      <c r="CP31" s="425">
        <f t="shared" si="31"/>
        <v>0</v>
      </c>
      <c r="CQ31" s="425">
        <f t="shared" si="32"/>
        <v>0</v>
      </c>
      <c r="CR31" s="419"/>
      <c r="CS31" s="419"/>
      <c r="CT31" s="421"/>
      <c r="CU31" s="421"/>
      <c r="CV31" s="419"/>
      <c r="CW31" s="419"/>
      <c r="CX31" s="421"/>
      <c r="CY31" s="421"/>
      <c r="CZ31" s="419"/>
      <c r="DA31" s="419"/>
      <c r="DB31" s="421"/>
      <c r="DC31" s="421"/>
      <c r="DD31" s="419"/>
      <c r="DE31" s="419"/>
      <c r="DF31" s="421"/>
      <c r="DG31" s="421"/>
      <c r="DH31" s="419"/>
      <c r="DI31" s="419"/>
      <c r="DJ31" s="421"/>
      <c r="DK31" s="421"/>
      <c r="DL31" s="419"/>
      <c r="DM31" s="419"/>
      <c r="DN31" s="421"/>
      <c r="DO31" s="421"/>
      <c r="DP31" s="419"/>
      <c r="DQ31" s="419"/>
      <c r="DR31" s="421"/>
      <c r="DS31" s="421"/>
      <c r="DT31" s="419"/>
      <c r="DU31" s="419"/>
      <c r="DV31" s="421"/>
      <c r="DW31" s="421"/>
      <c r="DX31" s="419"/>
      <c r="DY31" s="419"/>
      <c r="DZ31" s="421"/>
      <c r="EA31" s="421"/>
      <c r="EB31" s="419"/>
      <c r="EC31" s="419"/>
      <c r="ED31" s="421"/>
      <c r="EE31" s="421"/>
      <c r="EF31" s="419"/>
      <c r="EG31" s="421"/>
      <c r="EH31" s="424">
        <f t="shared" si="33"/>
        <v>0</v>
      </c>
      <c r="EI31" s="424">
        <f t="shared" si="34"/>
        <v>0</v>
      </c>
      <c r="EJ31" s="422">
        <f t="shared" si="35"/>
        <v>0</v>
      </c>
      <c r="EK31" s="425">
        <f t="shared" si="36"/>
        <v>0</v>
      </c>
      <c r="EL31" s="425">
        <f t="shared" si="37"/>
        <v>0</v>
      </c>
      <c r="EM31" s="423">
        <f t="shared" si="38"/>
        <v>0</v>
      </c>
      <c r="EN31" s="424">
        <f t="shared" si="39"/>
        <v>0</v>
      </c>
      <c r="EO31" s="425">
        <f t="shared" si="40"/>
        <v>0</v>
      </c>
      <c r="EP31" s="419"/>
      <c r="EQ31" s="421"/>
      <c r="ER31" s="419"/>
      <c r="ES31" s="421"/>
      <c r="ET31" s="419"/>
      <c r="EU31" s="421"/>
      <c r="EV31" s="419"/>
      <c r="EW31" s="421"/>
      <c r="EX31" s="419"/>
      <c r="EY31" s="421"/>
      <c r="EZ31" s="419"/>
      <c r="FA31" s="421"/>
      <c r="FB31" s="419"/>
      <c r="FC31" s="421"/>
      <c r="FD31" s="419"/>
      <c r="FE31" s="421"/>
      <c r="FF31" s="419"/>
      <c r="FG31" s="421"/>
      <c r="FH31" s="419"/>
      <c r="FI31" s="421"/>
      <c r="FJ31" s="424">
        <f t="shared" si="41"/>
        <v>0</v>
      </c>
      <c r="FK31" s="425">
        <f t="shared" si="42"/>
        <v>0</v>
      </c>
      <c r="FL31" s="419"/>
      <c r="FM31" s="421"/>
      <c r="FN31" s="424">
        <f t="shared" si="43"/>
        <v>2539</v>
      </c>
      <c r="FO31" s="425">
        <f t="shared" si="44"/>
        <v>2322</v>
      </c>
    </row>
    <row r="32" spans="1:171">
      <c r="A32" s="98" t="s">
        <v>100</v>
      </c>
      <c r="B32" s="99" t="s">
        <v>525</v>
      </c>
      <c r="C32" s="100"/>
      <c r="D32" s="101">
        <v>101569</v>
      </c>
      <c r="E32" s="101">
        <v>9</v>
      </c>
      <c r="F32" s="419">
        <v>368</v>
      </c>
      <c r="G32" s="421">
        <v>341</v>
      </c>
      <c r="H32" s="419"/>
      <c r="I32" s="421"/>
      <c r="J32" s="419">
        <v>338</v>
      </c>
      <c r="K32" s="420">
        <v>418</v>
      </c>
      <c r="L32" s="422">
        <f t="shared" si="23"/>
        <v>0</v>
      </c>
      <c r="M32" s="423">
        <f t="shared" si="24"/>
        <v>0</v>
      </c>
      <c r="N32" s="419"/>
      <c r="O32" s="309">
        <f>0</f>
        <v>0</v>
      </c>
      <c r="P32" s="309">
        <f>0</f>
        <v>0</v>
      </c>
      <c r="Q32" s="309">
        <f>0</f>
        <v>0</v>
      </c>
      <c r="R32" s="424">
        <f t="shared" si="2"/>
        <v>0</v>
      </c>
      <c r="S32" s="421"/>
      <c r="T32" s="301">
        <f>0</f>
        <v>0</v>
      </c>
      <c r="U32" s="301">
        <f>0</f>
        <v>0</v>
      </c>
      <c r="V32" s="301">
        <f>0</f>
        <v>0</v>
      </c>
      <c r="W32" s="425">
        <f t="shared" si="3"/>
        <v>0</v>
      </c>
      <c r="X32" s="419"/>
      <c r="Y32" s="419"/>
      <c r="Z32" s="421"/>
      <c r="AA32" s="421"/>
      <c r="AB32" s="419"/>
      <c r="AC32" s="419"/>
      <c r="AD32" s="421"/>
      <c r="AE32" s="421"/>
      <c r="AF32" s="419"/>
      <c r="AG32" s="419"/>
      <c r="AH32" s="421"/>
      <c r="AI32" s="421"/>
      <c r="AJ32" s="419"/>
      <c r="AK32" s="419"/>
      <c r="AL32" s="421"/>
      <c r="AM32" s="421"/>
      <c r="AN32" s="419"/>
      <c r="AO32" s="419"/>
      <c r="AP32" s="421"/>
      <c r="AQ32" s="421"/>
      <c r="AR32" s="424">
        <f t="shared" si="25"/>
        <v>0</v>
      </c>
      <c r="AS32" s="422">
        <f t="shared" si="26"/>
        <v>0</v>
      </c>
      <c r="AT32" s="425">
        <f t="shared" si="27"/>
        <v>0</v>
      </c>
      <c r="AU32" s="423">
        <f t="shared" si="28"/>
        <v>0</v>
      </c>
      <c r="AV32" s="419"/>
      <c r="AW32" s="421"/>
      <c r="AX32" s="419"/>
      <c r="AY32" s="419"/>
      <c r="AZ32" s="421"/>
      <c r="BA32" s="421"/>
      <c r="BB32" s="419"/>
      <c r="BC32" s="419"/>
      <c r="BD32" s="421"/>
      <c r="BE32" s="421"/>
      <c r="BF32" s="419"/>
      <c r="BG32" s="419"/>
      <c r="BH32" s="421"/>
      <c r="BI32" s="421"/>
      <c r="BJ32" s="419"/>
      <c r="BK32" s="419"/>
      <c r="BL32" s="421"/>
      <c r="BM32" s="421"/>
      <c r="BN32" s="419"/>
      <c r="BO32" s="419"/>
      <c r="BP32" s="421"/>
      <c r="BQ32" s="421"/>
      <c r="BR32" s="419"/>
      <c r="BS32" s="419"/>
      <c r="BT32" s="421"/>
      <c r="BU32" s="421"/>
      <c r="BV32" s="419"/>
      <c r="BW32" s="419"/>
      <c r="BX32" s="421"/>
      <c r="BY32" s="421"/>
      <c r="BZ32" s="419"/>
      <c r="CA32" s="419"/>
      <c r="CB32" s="421"/>
      <c r="CC32" s="421"/>
      <c r="CD32" s="419"/>
      <c r="CE32" s="419"/>
      <c r="CF32" s="421"/>
      <c r="CG32" s="421"/>
      <c r="CH32" s="419"/>
      <c r="CI32" s="419"/>
      <c r="CJ32" s="421"/>
      <c r="CK32" s="421"/>
      <c r="CL32" s="419"/>
      <c r="CM32" s="421"/>
      <c r="CN32" s="424">
        <f t="shared" si="29"/>
        <v>0</v>
      </c>
      <c r="CO32" s="424">
        <f t="shared" si="30"/>
        <v>0</v>
      </c>
      <c r="CP32" s="425">
        <f t="shared" si="31"/>
        <v>0</v>
      </c>
      <c r="CQ32" s="425">
        <f t="shared" si="32"/>
        <v>0</v>
      </c>
      <c r="CR32" s="419"/>
      <c r="CS32" s="419"/>
      <c r="CT32" s="421"/>
      <c r="CU32" s="421"/>
      <c r="CV32" s="419"/>
      <c r="CW32" s="419"/>
      <c r="CX32" s="421"/>
      <c r="CY32" s="421"/>
      <c r="CZ32" s="419"/>
      <c r="DA32" s="419"/>
      <c r="DB32" s="421"/>
      <c r="DC32" s="421"/>
      <c r="DD32" s="419"/>
      <c r="DE32" s="419"/>
      <c r="DF32" s="421"/>
      <c r="DG32" s="421"/>
      <c r="DH32" s="419"/>
      <c r="DI32" s="419"/>
      <c r="DJ32" s="421"/>
      <c r="DK32" s="421"/>
      <c r="DL32" s="419"/>
      <c r="DM32" s="419"/>
      <c r="DN32" s="421"/>
      <c r="DO32" s="421"/>
      <c r="DP32" s="419"/>
      <c r="DQ32" s="419"/>
      <c r="DR32" s="421"/>
      <c r="DS32" s="421"/>
      <c r="DT32" s="419"/>
      <c r="DU32" s="419"/>
      <c r="DV32" s="421"/>
      <c r="DW32" s="421"/>
      <c r="DX32" s="419"/>
      <c r="DY32" s="419"/>
      <c r="DZ32" s="421"/>
      <c r="EA32" s="421"/>
      <c r="EB32" s="419"/>
      <c r="EC32" s="419"/>
      <c r="ED32" s="421"/>
      <c r="EE32" s="421"/>
      <c r="EF32" s="419"/>
      <c r="EG32" s="421"/>
      <c r="EH32" s="424">
        <f t="shared" si="33"/>
        <v>0</v>
      </c>
      <c r="EI32" s="424">
        <f t="shared" si="34"/>
        <v>0</v>
      </c>
      <c r="EJ32" s="422">
        <f t="shared" si="35"/>
        <v>0</v>
      </c>
      <c r="EK32" s="425">
        <f t="shared" si="36"/>
        <v>0</v>
      </c>
      <c r="EL32" s="425">
        <f t="shared" si="37"/>
        <v>0</v>
      </c>
      <c r="EM32" s="423">
        <f t="shared" si="38"/>
        <v>0</v>
      </c>
      <c r="EN32" s="424">
        <f t="shared" si="39"/>
        <v>0</v>
      </c>
      <c r="EO32" s="425">
        <f t="shared" si="40"/>
        <v>0</v>
      </c>
      <c r="EP32" s="419"/>
      <c r="EQ32" s="421"/>
      <c r="ER32" s="419"/>
      <c r="ES32" s="421"/>
      <c r="ET32" s="419"/>
      <c r="EU32" s="421"/>
      <c r="EV32" s="419"/>
      <c r="EW32" s="421"/>
      <c r="EX32" s="419"/>
      <c r="EY32" s="421"/>
      <c r="EZ32" s="419"/>
      <c r="FA32" s="421"/>
      <c r="FB32" s="419"/>
      <c r="FC32" s="421"/>
      <c r="FD32" s="419"/>
      <c r="FE32" s="421"/>
      <c r="FF32" s="419"/>
      <c r="FG32" s="421"/>
      <c r="FH32" s="419"/>
      <c r="FI32" s="421"/>
      <c r="FJ32" s="424">
        <f t="shared" si="41"/>
        <v>0</v>
      </c>
      <c r="FK32" s="425">
        <f t="shared" si="42"/>
        <v>0</v>
      </c>
      <c r="FL32" s="419"/>
      <c r="FM32" s="421"/>
      <c r="FN32" s="424">
        <f t="shared" si="43"/>
        <v>706</v>
      </c>
      <c r="FO32" s="425">
        <f t="shared" si="44"/>
        <v>759</v>
      </c>
    </row>
    <row r="33" spans="1:171">
      <c r="A33" s="98" t="s">
        <v>100</v>
      </c>
      <c r="B33" s="99" t="s">
        <v>526</v>
      </c>
      <c r="C33" s="100"/>
      <c r="D33" s="101">
        <v>101736</v>
      </c>
      <c r="E33" s="101">
        <v>9</v>
      </c>
      <c r="F33" s="419">
        <v>519</v>
      </c>
      <c r="G33" s="421">
        <v>496</v>
      </c>
      <c r="H33" s="419"/>
      <c r="I33" s="421"/>
      <c r="J33" s="419">
        <v>425</v>
      </c>
      <c r="K33" s="421">
        <v>387</v>
      </c>
      <c r="L33" s="422">
        <f t="shared" si="23"/>
        <v>0</v>
      </c>
      <c r="M33" s="423">
        <f t="shared" si="24"/>
        <v>0</v>
      </c>
      <c r="N33" s="419"/>
      <c r="O33" s="309">
        <f>0</f>
        <v>0</v>
      </c>
      <c r="P33" s="309">
        <f>0</f>
        <v>0</v>
      </c>
      <c r="Q33" s="309">
        <f>0</f>
        <v>0</v>
      </c>
      <c r="R33" s="424">
        <f t="shared" si="2"/>
        <v>0</v>
      </c>
      <c r="S33" s="421"/>
      <c r="T33" s="301">
        <f>0</f>
        <v>0</v>
      </c>
      <c r="U33" s="301">
        <f>0</f>
        <v>0</v>
      </c>
      <c r="V33" s="301">
        <f>0</f>
        <v>0</v>
      </c>
      <c r="W33" s="425">
        <f t="shared" si="3"/>
        <v>0</v>
      </c>
      <c r="X33" s="419"/>
      <c r="Y33" s="419"/>
      <c r="Z33" s="421"/>
      <c r="AA33" s="421"/>
      <c r="AB33" s="419"/>
      <c r="AC33" s="419"/>
      <c r="AD33" s="421"/>
      <c r="AE33" s="421"/>
      <c r="AF33" s="419"/>
      <c r="AG33" s="419"/>
      <c r="AH33" s="421"/>
      <c r="AI33" s="421"/>
      <c r="AJ33" s="419"/>
      <c r="AK33" s="419"/>
      <c r="AL33" s="421"/>
      <c r="AM33" s="421"/>
      <c r="AN33" s="419"/>
      <c r="AO33" s="419"/>
      <c r="AP33" s="421"/>
      <c r="AQ33" s="421"/>
      <c r="AR33" s="424">
        <f t="shared" si="25"/>
        <v>0</v>
      </c>
      <c r="AS33" s="422">
        <f t="shared" si="26"/>
        <v>0</v>
      </c>
      <c r="AT33" s="425">
        <f t="shared" si="27"/>
        <v>0</v>
      </c>
      <c r="AU33" s="423">
        <f t="shared" si="28"/>
        <v>0</v>
      </c>
      <c r="AV33" s="419"/>
      <c r="AW33" s="421"/>
      <c r="AX33" s="419"/>
      <c r="AY33" s="419"/>
      <c r="AZ33" s="421"/>
      <c r="BA33" s="421"/>
      <c r="BB33" s="419"/>
      <c r="BC33" s="419"/>
      <c r="BD33" s="421"/>
      <c r="BE33" s="421"/>
      <c r="BF33" s="419"/>
      <c r="BG33" s="419"/>
      <c r="BH33" s="421"/>
      <c r="BI33" s="421"/>
      <c r="BJ33" s="419"/>
      <c r="BK33" s="419"/>
      <c r="BL33" s="421"/>
      <c r="BM33" s="421"/>
      <c r="BN33" s="419"/>
      <c r="BO33" s="419"/>
      <c r="BP33" s="421"/>
      <c r="BQ33" s="421"/>
      <c r="BR33" s="419"/>
      <c r="BS33" s="419"/>
      <c r="BT33" s="421"/>
      <c r="BU33" s="421"/>
      <c r="BV33" s="419"/>
      <c r="BW33" s="419"/>
      <c r="BX33" s="421"/>
      <c r="BY33" s="421"/>
      <c r="BZ33" s="419"/>
      <c r="CA33" s="419"/>
      <c r="CB33" s="421"/>
      <c r="CC33" s="421"/>
      <c r="CD33" s="419"/>
      <c r="CE33" s="419"/>
      <c r="CF33" s="421"/>
      <c r="CG33" s="421"/>
      <c r="CH33" s="419"/>
      <c r="CI33" s="419"/>
      <c r="CJ33" s="421"/>
      <c r="CK33" s="421"/>
      <c r="CL33" s="419"/>
      <c r="CM33" s="421"/>
      <c r="CN33" s="424">
        <f t="shared" si="29"/>
        <v>0</v>
      </c>
      <c r="CO33" s="424">
        <f t="shared" si="30"/>
        <v>0</v>
      </c>
      <c r="CP33" s="425">
        <f t="shared" si="31"/>
        <v>0</v>
      </c>
      <c r="CQ33" s="425">
        <f t="shared" si="32"/>
        <v>0</v>
      </c>
      <c r="CR33" s="419"/>
      <c r="CS33" s="419"/>
      <c r="CT33" s="421"/>
      <c r="CU33" s="421"/>
      <c r="CV33" s="419"/>
      <c r="CW33" s="419"/>
      <c r="CX33" s="421"/>
      <c r="CY33" s="421"/>
      <c r="CZ33" s="419"/>
      <c r="DA33" s="419"/>
      <c r="DB33" s="421"/>
      <c r="DC33" s="421"/>
      <c r="DD33" s="419"/>
      <c r="DE33" s="419"/>
      <c r="DF33" s="421"/>
      <c r="DG33" s="421"/>
      <c r="DH33" s="419"/>
      <c r="DI33" s="419"/>
      <c r="DJ33" s="421"/>
      <c r="DK33" s="421"/>
      <c r="DL33" s="419"/>
      <c r="DM33" s="419"/>
      <c r="DN33" s="421"/>
      <c r="DO33" s="421"/>
      <c r="DP33" s="419"/>
      <c r="DQ33" s="419"/>
      <c r="DR33" s="421"/>
      <c r="DS33" s="421"/>
      <c r="DT33" s="419"/>
      <c r="DU33" s="419"/>
      <c r="DV33" s="421"/>
      <c r="DW33" s="421"/>
      <c r="DX33" s="419"/>
      <c r="DY33" s="419"/>
      <c r="DZ33" s="421"/>
      <c r="EA33" s="421"/>
      <c r="EB33" s="419"/>
      <c r="EC33" s="419"/>
      <c r="ED33" s="421"/>
      <c r="EE33" s="421"/>
      <c r="EF33" s="419"/>
      <c r="EG33" s="421"/>
      <c r="EH33" s="424">
        <f t="shared" si="33"/>
        <v>0</v>
      </c>
      <c r="EI33" s="424">
        <f t="shared" si="34"/>
        <v>0</v>
      </c>
      <c r="EJ33" s="422">
        <f t="shared" si="35"/>
        <v>0</v>
      </c>
      <c r="EK33" s="425">
        <f t="shared" si="36"/>
        <v>0</v>
      </c>
      <c r="EL33" s="425">
        <f t="shared" si="37"/>
        <v>0</v>
      </c>
      <c r="EM33" s="423">
        <f t="shared" si="38"/>
        <v>0</v>
      </c>
      <c r="EN33" s="424">
        <f t="shared" si="39"/>
        <v>0</v>
      </c>
      <c r="EO33" s="425">
        <f t="shared" si="40"/>
        <v>0</v>
      </c>
      <c r="EP33" s="419"/>
      <c r="EQ33" s="421"/>
      <c r="ER33" s="419"/>
      <c r="ES33" s="421"/>
      <c r="ET33" s="419"/>
      <c r="EU33" s="421"/>
      <c r="EV33" s="419"/>
      <c r="EW33" s="421"/>
      <c r="EX33" s="419"/>
      <c r="EY33" s="421"/>
      <c r="EZ33" s="419"/>
      <c r="FA33" s="421"/>
      <c r="FB33" s="419"/>
      <c r="FC33" s="421"/>
      <c r="FD33" s="419"/>
      <c r="FE33" s="421"/>
      <c r="FF33" s="419"/>
      <c r="FG33" s="421"/>
      <c r="FH33" s="419"/>
      <c r="FI33" s="421"/>
      <c r="FJ33" s="424">
        <f t="shared" si="41"/>
        <v>0</v>
      </c>
      <c r="FK33" s="425">
        <f t="shared" si="42"/>
        <v>0</v>
      </c>
      <c r="FL33" s="419"/>
      <c r="FM33" s="421"/>
      <c r="FN33" s="424">
        <f t="shared" si="43"/>
        <v>944</v>
      </c>
      <c r="FO33" s="425">
        <f t="shared" si="44"/>
        <v>883</v>
      </c>
    </row>
    <row r="34" spans="1:171">
      <c r="A34" s="98" t="s">
        <v>100</v>
      </c>
      <c r="B34" s="99" t="s">
        <v>527</v>
      </c>
      <c r="C34" s="100"/>
      <c r="D34" s="101">
        <v>102067</v>
      </c>
      <c r="E34" s="101">
        <v>9</v>
      </c>
      <c r="F34" s="419">
        <v>267</v>
      </c>
      <c r="G34" s="421">
        <v>253</v>
      </c>
      <c r="H34" s="419"/>
      <c r="I34" s="421"/>
      <c r="J34" s="419">
        <v>585</v>
      </c>
      <c r="K34" s="421">
        <v>494</v>
      </c>
      <c r="L34" s="422">
        <f t="shared" si="23"/>
        <v>0</v>
      </c>
      <c r="M34" s="423">
        <f t="shared" si="24"/>
        <v>0</v>
      </c>
      <c r="N34" s="419"/>
      <c r="O34" s="309">
        <f>0</f>
        <v>0</v>
      </c>
      <c r="P34" s="309">
        <f>0</f>
        <v>0</v>
      </c>
      <c r="Q34" s="309">
        <f>0</f>
        <v>0</v>
      </c>
      <c r="R34" s="424">
        <f t="shared" si="2"/>
        <v>0</v>
      </c>
      <c r="S34" s="421"/>
      <c r="T34" s="301">
        <f>0</f>
        <v>0</v>
      </c>
      <c r="U34" s="301">
        <f>0</f>
        <v>0</v>
      </c>
      <c r="V34" s="301">
        <f>0</f>
        <v>0</v>
      </c>
      <c r="W34" s="425">
        <f t="shared" si="3"/>
        <v>0</v>
      </c>
      <c r="X34" s="419"/>
      <c r="Y34" s="419"/>
      <c r="Z34" s="421"/>
      <c r="AA34" s="421"/>
      <c r="AB34" s="419"/>
      <c r="AC34" s="419"/>
      <c r="AD34" s="421"/>
      <c r="AE34" s="421"/>
      <c r="AF34" s="419"/>
      <c r="AG34" s="419"/>
      <c r="AH34" s="421"/>
      <c r="AI34" s="421"/>
      <c r="AJ34" s="419"/>
      <c r="AK34" s="419"/>
      <c r="AL34" s="421"/>
      <c r="AM34" s="421"/>
      <c r="AN34" s="419"/>
      <c r="AO34" s="419"/>
      <c r="AP34" s="421"/>
      <c r="AQ34" s="421"/>
      <c r="AR34" s="424">
        <f t="shared" si="25"/>
        <v>0</v>
      </c>
      <c r="AS34" s="422">
        <f t="shared" si="26"/>
        <v>0</v>
      </c>
      <c r="AT34" s="425">
        <f t="shared" si="27"/>
        <v>0</v>
      </c>
      <c r="AU34" s="423">
        <f t="shared" si="28"/>
        <v>0</v>
      </c>
      <c r="AV34" s="419"/>
      <c r="AW34" s="421"/>
      <c r="AX34" s="419"/>
      <c r="AY34" s="419"/>
      <c r="AZ34" s="421"/>
      <c r="BA34" s="421"/>
      <c r="BB34" s="419"/>
      <c r="BC34" s="419"/>
      <c r="BD34" s="421"/>
      <c r="BE34" s="421"/>
      <c r="BF34" s="419"/>
      <c r="BG34" s="419"/>
      <c r="BH34" s="421"/>
      <c r="BI34" s="421"/>
      <c r="BJ34" s="419"/>
      <c r="BK34" s="419"/>
      <c r="BL34" s="421"/>
      <c r="BM34" s="421"/>
      <c r="BN34" s="419"/>
      <c r="BO34" s="419"/>
      <c r="BP34" s="421"/>
      <c r="BQ34" s="421"/>
      <c r="BR34" s="419"/>
      <c r="BS34" s="419"/>
      <c r="BT34" s="421"/>
      <c r="BU34" s="421"/>
      <c r="BV34" s="419"/>
      <c r="BW34" s="419"/>
      <c r="BX34" s="421"/>
      <c r="BY34" s="421"/>
      <c r="BZ34" s="419"/>
      <c r="CA34" s="419"/>
      <c r="CB34" s="421"/>
      <c r="CC34" s="421"/>
      <c r="CD34" s="419"/>
      <c r="CE34" s="419"/>
      <c r="CF34" s="421"/>
      <c r="CG34" s="421"/>
      <c r="CH34" s="419"/>
      <c r="CI34" s="419"/>
      <c r="CJ34" s="421"/>
      <c r="CK34" s="421"/>
      <c r="CL34" s="419"/>
      <c r="CM34" s="421"/>
      <c r="CN34" s="424">
        <f t="shared" si="29"/>
        <v>0</v>
      </c>
      <c r="CO34" s="424">
        <f t="shared" si="30"/>
        <v>0</v>
      </c>
      <c r="CP34" s="425">
        <f t="shared" si="31"/>
        <v>0</v>
      </c>
      <c r="CQ34" s="425">
        <f t="shared" si="32"/>
        <v>0</v>
      </c>
      <c r="CR34" s="419"/>
      <c r="CS34" s="419"/>
      <c r="CT34" s="421"/>
      <c r="CU34" s="421"/>
      <c r="CV34" s="419"/>
      <c r="CW34" s="419"/>
      <c r="CX34" s="421"/>
      <c r="CY34" s="421"/>
      <c r="CZ34" s="419"/>
      <c r="DA34" s="419"/>
      <c r="DB34" s="421"/>
      <c r="DC34" s="421"/>
      <c r="DD34" s="419"/>
      <c r="DE34" s="419"/>
      <c r="DF34" s="421"/>
      <c r="DG34" s="421"/>
      <c r="DH34" s="419"/>
      <c r="DI34" s="419"/>
      <c r="DJ34" s="421"/>
      <c r="DK34" s="421"/>
      <c r="DL34" s="419"/>
      <c r="DM34" s="419"/>
      <c r="DN34" s="421"/>
      <c r="DO34" s="421"/>
      <c r="DP34" s="419"/>
      <c r="DQ34" s="419"/>
      <c r="DR34" s="421"/>
      <c r="DS34" s="421"/>
      <c r="DT34" s="419"/>
      <c r="DU34" s="419"/>
      <c r="DV34" s="421"/>
      <c r="DW34" s="421"/>
      <c r="DX34" s="419"/>
      <c r="DY34" s="419"/>
      <c r="DZ34" s="421"/>
      <c r="EA34" s="421"/>
      <c r="EB34" s="419"/>
      <c r="EC34" s="419"/>
      <c r="ED34" s="421"/>
      <c r="EE34" s="421"/>
      <c r="EF34" s="419"/>
      <c r="EG34" s="421"/>
      <c r="EH34" s="424">
        <f t="shared" si="33"/>
        <v>0</v>
      </c>
      <c r="EI34" s="424">
        <f t="shared" si="34"/>
        <v>0</v>
      </c>
      <c r="EJ34" s="422">
        <f t="shared" si="35"/>
        <v>0</v>
      </c>
      <c r="EK34" s="425">
        <f t="shared" si="36"/>
        <v>0</v>
      </c>
      <c r="EL34" s="425">
        <f t="shared" si="37"/>
        <v>0</v>
      </c>
      <c r="EM34" s="423">
        <f t="shared" si="38"/>
        <v>0</v>
      </c>
      <c r="EN34" s="424">
        <f t="shared" si="39"/>
        <v>0</v>
      </c>
      <c r="EO34" s="425">
        <f t="shared" si="40"/>
        <v>0</v>
      </c>
      <c r="EP34" s="419"/>
      <c r="EQ34" s="421"/>
      <c r="ER34" s="419"/>
      <c r="ES34" s="421"/>
      <c r="ET34" s="419"/>
      <c r="EU34" s="421"/>
      <c r="EV34" s="419"/>
      <c r="EW34" s="421"/>
      <c r="EX34" s="419"/>
      <c r="EY34" s="421"/>
      <c r="EZ34" s="419"/>
      <c r="FA34" s="421"/>
      <c r="FB34" s="419"/>
      <c r="FC34" s="421"/>
      <c r="FD34" s="419"/>
      <c r="FE34" s="421"/>
      <c r="FF34" s="419"/>
      <c r="FG34" s="421"/>
      <c r="FH34" s="419"/>
      <c r="FI34" s="421"/>
      <c r="FJ34" s="424">
        <f t="shared" si="41"/>
        <v>0</v>
      </c>
      <c r="FK34" s="425">
        <f t="shared" si="42"/>
        <v>0</v>
      </c>
      <c r="FL34" s="419"/>
      <c r="FM34" s="421"/>
      <c r="FN34" s="424">
        <f t="shared" si="43"/>
        <v>852</v>
      </c>
      <c r="FO34" s="425">
        <f t="shared" si="44"/>
        <v>747</v>
      </c>
    </row>
    <row r="35" spans="1:171">
      <c r="A35" s="98" t="s">
        <v>100</v>
      </c>
      <c r="B35" s="99" t="s">
        <v>528</v>
      </c>
      <c r="C35" s="100"/>
      <c r="D35" s="101">
        <v>251260</v>
      </c>
      <c r="E35" s="101">
        <v>9</v>
      </c>
      <c r="F35" s="419">
        <v>1395</v>
      </c>
      <c r="G35" s="420">
        <v>958</v>
      </c>
      <c r="H35" s="419"/>
      <c r="I35" s="421"/>
      <c r="J35" s="419">
        <v>575</v>
      </c>
      <c r="K35" s="421">
        <v>649</v>
      </c>
      <c r="L35" s="422">
        <f t="shared" si="23"/>
        <v>0</v>
      </c>
      <c r="M35" s="423">
        <f t="shared" si="24"/>
        <v>0</v>
      </c>
      <c r="N35" s="419"/>
      <c r="O35" s="309">
        <f>0</f>
        <v>0</v>
      </c>
      <c r="P35" s="309">
        <f>0</f>
        <v>0</v>
      </c>
      <c r="Q35" s="309">
        <f>0</f>
        <v>0</v>
      </c>
      <c r="R35" s="424">
        <f t="shared" si="2"/>
        <v>0</v>
      </c>
      <c r="S35" s="421"/>
      <c r="T35" s="301">
        <f>0</f>
        <v>0</v>
      </c>
      <c r="U35" s="301">
        <f>0</f>
        <v>0</v>
      </c>
      <c r="V35" s="301">
        <f>0</f>
        <v>0</v>
      </c>
      <c r="W35" s="425">
        <f t="shared" si="3"/>
        <v>0</v>
      </c>
      <c r="X35" s="419"/>
      <c r="Y35" s="419"/>
      <c r="Z35" s="421"/>
      <c r="AA35" s="421"/>
      <c r="AB35" s="419"/>
      <c r="AC35" s="419"/>
      <c r="AD35" s="421"/>
      <c r="AE35" s="421"/>
      <c r="AF35" s="419"/>
      <c r="AG35" s="419"/>
      <c r="AH35" s="421"/>
      <c r="AI35" s="421"/>
      <c r="AJ35" s="419"/>
      <c r="AK35" s="419"/>
      <c r="AL35" s="421"/>
      <c r="AM35" s="421"/>
      <c r="AN35" s="419"/>
      <c r="AO35" s="419"/>
      <c r="AP35" s="421"/>
      <c r="AQ35" s="421"/>
      <c r="AR35" s="424">
        <f t="shared" si="25"/>
        <v>0</v>
      </c>
      <c r="AS35" s="422">
        <f t="shared" si="26"/>
        <v>0</v>
      </c>
      <c r="AT35" s="425">
        <f t="shared" si="27"/>
        <v>0</v>
      </c>
      <c r="AU35" s="423">
        <f t="shared" si="28"/>
        <v>0</v>
      </c>
      <c r="AV35" s="419"/>
      <c r="AW35" s="421"/>
      <c r="AX35" s="419"/>
      <c r="AY35" s="419"/>
      <c r="AZ35" s="421"/>
      <c r="BA35" s="421"/>
      <c r="BB35" s="419"/>
      <c r="BC35" s="419"/>
      <c r="BD35" s="421"/>
      <c r="BE35" s="421"/>
      <c r="BF35" s="419"/>
      <c r="BG35" s="419"/>
      <c r="BH35" s="421"/>
      <c r="BI35" s="421"/>
      <c r="BJ35" s="419"/>
      <c r="BK35" s="419"/>
      <c r="BL35" s="421"/>
      <c r="BM35" s="421"/>
      <c r="BN35" s="419"/>
      <c r="BO35" s="419"/>
      <c r="BP35" s="421"/>
      <c r="BQ35" s="421"/>
      <c r="BR35" s="419"/>
      <c r="BS35" s="419"/>
      <c r="BT35" s="421"/>
      <c r="BU35" s="421"/>
      <c r="BV35" s="419"/>
      <c r="BW35" s="419"/>
      <c r="BX35" s="421"/>
      <c r="BY35" s="421"/>
      <c r="BZ35" s="419"/>
      <c r="CA35" s="419"/>
      <c r="CB35" s="421"/>
      <c r="CC35" s="421"/>
      <c r="CD35" s="419"/>
      <c r="CE35" s="419"/>
      <c r="CF35" s="421"/>
      <c r="CG35" s="421"/>
      <c r="CH35" s="419"/>
      <c r="CI35" s="419"/>
      <c r="CJ35" s="421"/>
      <c r="CK35" s="421"/>
      <c r="CL35" s="419"/>
      <c r="CM35" s="421"/>
      <c r="CN35" s="424">
        <f t="shared" si="29"/>
        <v>0</v>
      </c>
      <c r="CO35" s="424">
        <f t="shared" si="30"/>
        <v>0</v>
      </c>
      <c r="CP35" s="425">
        <f t="shared" si="31"/>
        <v>0</v>
      </c>
      <c r="CQ35" s="425">
        <f t="shared" si="32"/>
        <v>0</v>
      </c>
      <c r="CR35" s="419"/>
      <c r="CS35" s="419"/>
      <c r="CT35" s="421"/>
      <c r="CU35" s="421"/>
      <c r="CV35" s="419"/>
      <c r="CW35" s="419"/>
      <c r="CX35" s="421"/>
      <c r="CY35" s="421"/>
      <c r="CZ35" s="419"/>
      <c r="DA35" s="419"/>
      <c r="DB35" s="421"/>
      <c r="DC35" s="421"/>
      <c r="DD35" s="419"/>
      <c r="DE35" s="419"/>
      <c r="DF35" s="421"/>
      <c r="DG35" s="421"/>
      <c r="DH35" s="419"/>
      <c r="DI35" s="419"/>
      <c r="DJ35" s="421"/>
      <c r="DK35" s="421"/>
      <c r="DL35" s="419"/>
      <c r="DM35" s="419"/>
      <c r="DN35" s="421"/>
      <c r="DO35" s="421"/>
      <c r="DP35" s="419"/>
      <c r="DQ35" s="419"/>
      <c r="DR35" s="421"/>
      <c r="DS35" s="421"/>
      <c r="DT35" s="419"/>
      <c r="DU35" s="419"/>
      <c r="DV35" s="421"/>
      <c r="DW35" s="421"/>
      <c r="DX35" s="419"/>
      <c r="DY35" s="419"/>
      <c r="DZ35" s="421"/>
      <c r="EA35" s="421"/>
      <c r="EB35" s="419"/>
      <c r="EC35" s="419"/>
      <c r="ED35" s="421"/>
      <c r="EE35" s="421"/>
      <c r="EF35" s="419"/>
      <c r="EG35" s="421"/>
      <c r="EH35" s="424">
        <f t="shared" si="33"/>
        <v>0</v>
      </c>
      <c r="EI35" s="424">
        <f t="shared" si="34"/>
        <v>0</v>
      </c>
      <c r="EJ35" s="422">
        <f t="shared" si="35"/>
        <v>0</v>
      </c>
      <c r="EK35" s="425">
        <f t="shared" si="36"/>
        <v>0</v>
      </c>
      <c r="EL35" s="425">
        <f t="shared" si="37"/>
        <v>0</v>
      </c>
      <c r="EM35" s="423">
        <f t="shared" si="38"/>
        <v>0</v>
      </c>
      <c r="EN35" s="424">
        <f t="shared" si="39"/>
        <v>0</v>
      </c>
      <c r="EO35" s="425">
        <f t="shared" si="40"/>
        <v>0</v>
      </c>
      <c r="EP35" s="419"/>
      <c r="EQ35" s="421"/>
      <c r="ER35" s="419"/>
      <c r="ES35" s="421"/>
      <c r="ET35" s="419"/>
      <c r="EU35" s="421"/>
      <c r="EV35" s="419"/>
      <c r="EW35" s="421"/>
      <c r="EX35" s="419"/>
      <c r="EY35" s="421"/>
      <c r="EZ35" s="419"/>
      <c r="FA35" s="421"/>
      <c r="FB35" s="419"/>
      <c r="FC35" s="421"/>
      <c r="FD35" s="419"/>
      <c r="FE35" s="421"/>
      <c r="FF35" s="419"/>
      <c r="FG35" s="421"/>
      <c r="FH35" s="419"/>
      <c r="FI35" s="421"/>
      <c r="FJ35" s="424">
        <f t="shared" si="41"/>
        <v>0</v>
      </c>
      <c r="FK35" s="425">
        <f t="shared" si="42"/>
        <v>0</v>
      </c>
      <c r="FL35" s="419"/>
      <c r="FM35" s="421"/>
      <c r="FN35" s="424">
        <f t="shared" si="43"/>
        <v>1970</v>
      </c>
      <c r="FO35" s="425">
        <f t="shared" si="44"/>
        <v>1607</v>
      </c>
    </row>
    <row r="36" spans="1:171">
      <c r="A36" s="98" t="s">
        <v>100</v>
      </c>
      <c r="B36" s="99" t="s">
        <v>529</v>
      </c>
      <c r="C36" s="105"/>
      <c r="D36" s="101">
        <v>100760</v>
      </c>
      <c r="E36" s="101">
        <v>10</v>
      </c>
      <c r="F36" s="419">
        <v>189</v>
      </c>
      <c r="G36" s="420">
        <v>586</v>
      </c>
      <c r="H36" s="419"/>
      <c r="I36" s="421"/>
      <c r="J36" s="419">
        <v>215</v>
      </c>
      <c r="K36" s="421">
        <v>195</v>
      </c>
      <c r="L36" s="422">
        <f t="shared" si="23"/>
        <v>0</v>
      </c>
      <c r="M36" s="423">
        <f t="shared" si="24"/>
        <v>0</v>
      </c>
      <c r="N36" s="419"/>
      <c r="O36" s="309">
        <f>0</f>
        <v>0</v>
      </c>
      <c r="P36" s="309">
        <f>0</f>
        <v>0</v>
      </c>
      <c r="Q36" s="309">
        <f>0</f>
        <v>0</v>
      </c>
      <c r="R36" s="424">
        <f t="shared" si="2"/>
        <v>0</v>
      </c>
      <c r="S36" s="421"/>
      <c r="T36" s="301">
        <f>0</f>
        <v>0</v>
      </c>
      <c r="U36" s="301">
        <f>0</f>
        <v>0</v>
      </c>
      <c r="V36" s="301">
        <f>0</f>
        <v>0</v>
      </c>
      <c r="W36" s="425">
        <f t="shared" si="3"/>
        <v>0</v>
      </c>
      <c r="X36" s="419"/>
      <c r="Y36" s="419"/>
      <c r="Z36" s="421"/>
      <c r="AA36" s="421"/>
      <c r="AB36" s="419"/>
      <c r="AC36" s="419"/>
      <c r="AD36" s="421"/>
      <c r="AE36" s="421"/>
      <c r="AF36" s="419"/>
      <c r="AG36" s="419"/>
      <c r="AH36" s="421"/>
      <c r="AI36" s="421"/>
      <c r="AJ36" s="419"/>
      <c r="AK36" s="419"/>
      <c r="AL36" s="421"/>
      <c r="AM36" s="421"/>
      <c r="AN36" s="419"/>
      <c r="AO36" s="419"/>
      <c r="AP36" s="421"/>
      <c r="AQ36" s="421"/>
      <c r="AR36" s="424">
        <f t="shared" si="25"/>
        <v>0</v>
      </c>
      <c r="AS36" s="422">
        <f t="shared" si="26"/>
        <v>0</v>
      </c>
      <c r="AT36" s="425">
        <f t="shared" si="27"/>
        <v>0</v>
      </c>
      <c r="AU36" s="423">
        <f t="shared" si="28"/>
        <v>0</v>
      </c>
      <c r="AV36" s="419"/>
      <c r="AW36" s="421"/>
      <c r="AX36" s="419"/>
      <c r="AY36" s="419"/>
      <c r="AZ36" s="421"/>
      <c r="BA36" s="421"/>
      <c r="BB36" s="419"/>
      <c r="BC36" s="419"/>
      <c r="BD36" s="421"/>
      <c r="BE36" s="421"/>
      <c r="BF36" s="419"/>
      <c r="BG36" s="419"/>
      <c r="BH36" s="421"/>
      <c r="BI36" s="421"/>
      <c r="BJ36" s="419"/>
      <c r="BK36" s="419"/>
      <c r="BL36" s="421"/>
      <c r="BM36" s="421"/>
      <c r="BN36" s="419"/>
      <c r="BO36" s="419"/>
      <c r="BP36" s="421"/>
      <c r="BQ36" s="421"/>
      <c r="BR36" s="419"/>
      <c r="BS36" s="419"/>
      <c r="BT36" s="421"/>
      <c r="BU36" s="421"/>
      <c r="BV36" s="419"/>
      <c r="BW36" s="419"/>
      <c r="BX36" s="421"/>
      <c r="BY36" s="421"/>
      <c r="BZ36" s="419"/>
      <c r="CA36" s="419"/>
      <c r="CB36" s="421"/>
      <c r="CC36" s="421"/>
      <c r="CD36" s="419"/>
      <c r="CE36" s="419"/>
      <c r="CF36" s="421"/>
      <c r="CG36" s="421"/>
      <c r="CH36" s="419"/>
      <c r="CI36" s="419"/>
      <c r="CJ36" s="421"/>
      <c r="CK36" s="421"/>
      <c r="CL36" s="419"/>
      <c r="CM36" s="421"/>
      <c r="CN36" s="424">
        <f t="shared" si="29"/>
        <v>0</v>
      </c>
      <c r="CO36" s="424">
        <f t="shared" si="30"/>
        <v>0</v>
      </c>
      <c r="CP36" s="425">
        <f t="shared" si="31"/>
        <v>0</v>
      </c>
      <c r="CQ36" s="425">
        <f t="shared" si="32"/>
        <v>0</v>
      </c>
      <c r="CR36" s="419"/>
      <c r="CS36" s="419"/>
      <c r="CT36" s="421"/>
      <c r="CU36" s="421"/>
      <c r="CV36" s="419"/>
      <c r="CW36" s="419"/>
      <c r="CX36" s="421"/>
      <c r="CY36" s="421"/>
      <c r="CZ36" s="419"/>
      <c r="DA36" s="419"/>
      <c r="DB36" s="421"/>
      <c r="DC36" s="421"/>
      <c r="DD36" s="419"/>
      <c r="DE36" s="419"/>
      <c r="DF36" s="421"/>
      <c r="DG36" s="421"/>
      <c r="DH36" s="419"/>
      <c r="DI36" s="419"/>
      <c r="DJ36" s="421"/>
      <c r="DK36" s="421"/>
      <c r="DL36" s="419"/>
      <c r="DM36" s="419"/>
      <c r="DN36" s="421"/>
      <c r="DO36" s="421"/>
      <c r="DP36" s="419"/>
      <c r="DQ36" s="419"/>
      <c r="DR36" s="421"/>
      <c r="DS36" s="421"/>
      <c r="DT36" s="419"/>
      <c r="DU36" s="419"/>
      <c r="DV36" s="421"/>
      <c r="DW36" s="421"/>
      <c r="DX36" s="419"/>
      <c r="DY36" s="419"/>
      <c r="DZ36" s="421"/>
      <c r="EA36" s="421"/>
      <c r="EB36" s="419"/>
      <c r="EC36" s="419"/>
      <c r="ED36" s="421"/>
      <c r="EE36" s="421"/>
      <c r="EF36" s="419"/>
      <c r="EG36" s="421"/>
      <c r="EH36" s="424">
        <f t="shared" si="33"/>
        <v>0</v>
      </c>
      <c r="EI36" s="424">
        <f t="shared" si="34"/>
        <v>0</v>
      </c>
      <c r="EJ36" s="422">
        <f t="shared" si="35"/>
        <v>0</v>
      </c>
      <c r="EK36" s="425">
        <f t="shared" si="36"/>
        <v>0</v>
      </c>
      <c r="EL36" s="425">
        <f t="shared" si="37"/>
        <v>0</v>
      </c>
      <c r="EM36" s="423">
        <f t="shared" si="38"/>
        <v>0</v>
      </c>
      <c r="EN36" s="424">
        <f t="shared" si="39"/>
        <v>0</v>
      </c>
      <c r="EO36" s="425">
        <f t="shared" si="40"/>
        <v>0</v>
      </c>
      <c r="EP36" s="419"/>
      <c r="EQ36" s="421"/>
      <c r="ER36" s="419"/>
      <c r="ES36" s="421"/>
      <c r="ET36" s="419"/>
      <c r="EU36" s="421"/>
      <c r="EV36" s="419"/>
      <c r="EW36" s="421"/>
      <c r="EX36" s="419"/>
      <c r="EY36" s="421"/>
      <c r="EZ36" s="419"/>
      <c r="FA36" s="421"/>
      <c r="FB36" s="419"/>
      <c r="FC36" s="421"/>
      <c r="FD36" s="419"/>
      <c r="FE36" s="421"/>
      <c r="FF36" s="419"/>
      <c r="FG36" s="421"/>
      <c r="FH36" s="419"/>
      <c r="FI36" s="421"/>
      <c r="FJ36" s="424">
        <f t="shared" si="41"/>
        <v>0</v>
      </c>
      <c r="FK36" s="425">
        <f t="shared" si="42"/>
        <v>0</v>
      </c>
      <c r="FL36" s="419"/>
      <c r="FM36" s="421"/>
      <c r="FN36" s="424">
        <f t="shared" si="43"/>
        <v>404</v>
      </c>
      <c r="FO36" s="425">
        <f t="shared" si="44"/>
        <v>781</v>
      </c>
    </row>
    <row r="37" spans="1:171">
      <c r="A37" s="98" t="s">
        <v>100</v>
      </c>
      <c r="B37" s="30" t="s">
        <v>530</v>
      </c>
      <c r="C37" s="100"/>
      <c r="D37" s="101">
        <v>101028</v>
      </c>
      <c r="E37" s="101">
        <v>10</v>
      </c>
      <c r="F37" s="419">
        <v>243</v>
      </c>
      <c r="G37" s="420">
        <v>149</v>
      </c>
      <c r="H37" s="419"/>
      <c r="I37" s="421"/>
      <c r="J37" s="419">
        <v>265</v>
      </c>
      <c r="K37" s="421">
        <v>242</v>
      </c>
      <c r="L37" s="422">
        <f t="shared" si="23"/>
        <v>0</v>
      </c>
      <c r="M37" s="423">
        <f t="shared" si="24"/>
        <v>0</v>
      </c>
      <c r="N37" s="419"/>
      <c r="O37" s="309">
        <f>0</f>
        <v>0</v>
      </c>
      <c r="P37" s="309">
        <f>0</f>
        <v>0</v>
      </c>
      <c r="Q37" s="309">
        <f>0</f>
        <v>0</v>
      </c>
      <c r="R37" s="424">
        <f t="shared" si="2"/>
        <v>0</v>
      </c>
      <c r="S37" s="421"/>
      <c r="T37" s="301">
        <f>0</f>
        <v>0</v>
      </c>
      <c r="U37" s="301">
        <f>0</f>
        <v>0</v>
      </c>
      <c r="V37" s="301">
        <f>0</f>
        <v>0</v>
      </c>
      <c r="W37" s="425">
        <f t="shared" si="3"/>
        <v>0</v>
      </c>
      <c r="X37" s="419"/>
      <c r="Y37" s="419"/>
      <c r="Z37" s="421"/>
      <c r="AA37" s="421"/>
      <c r="AB37" s="419"/>
      <c r="AC37" s="419"/>
      <c r="AD37" s="421"/>
      <c r="AE37" s="421"/>
      <c r="AF37" s="419"/>
      <c r="AG37" s="419"/>
      <c r="AH37" s="421"/>
      <c r="AI37" s="421"/>
      <c r="AJ37" s="419"/>
      <c r="AK37" s="419"/>
      <c r="AL37" s="421"/>
      <c r="AM37" s="421"/>
      <c r="AN37" s="419"/>
      <c r="AO37" s="419"/>
      <c r="AP37" s="421"/>
      <c r="AQ37" s="421"/>
      <c r="AR37" s="424">
        <f t="shared" si="25"/>
        <v>0</v>
      </c>
      <c r="AS37" s="422">
        <f t="shared" si="26"/>
        <v>0</v>
      </c>
      <c r="AT37" s="425">
        <f t="shared" si="27"/>
        <v>0</v>
      </c>
      <c r="AU37" s="423">
        <f t="shared" si="28"/>
        <v>0</v>
      </c>
      <c r="AV37" s="419"/>
      <c r="AW37" s="421"/>
      <c r="AX37" s="419"/>
      <c r="AY37" s="419"/>
      <c r="AZ37" s="421"/>
      <c r="BA37" s="421"/>
      <c r="BB37" s="419"/>
      <c r="BC37" s="419"/>
      <c r="BD37" s="421"/>
      <c r="BE37" s="421"/>
      <c r="BF37" s="419"/>
      <c r="BG37" s="419"/>
      <c r="BH37" s="421"/>
      <c r="BI37" s="421"/>
      <c r="BJ37" s="419"/>
      <c r="BK37" s="419"/>
      <c r="BL37" s="421"/>
      <c r="BM37" s="421"/>
      <c r="BN37" s="419"/>
      <c r="BO37" s="419"/>
      <c r="BP37" s="421"/>
      <c r="BQ37" s="421"/>
      <c r="BR37" s="419"/>
      <c r="BS37" s="419"/>
      <c r="BT37" s="421"/>
      <c r="BU37" s="421"/>
      <c r="BV37" s="419"/>
      <c r="BW37" s="419"/>
      <c r="BX37" s="421"/>
      <c r="BY37" s="421"/>
      <c r="BZ37" s="419"/>
      <c r="CA37" s="419"/>
      <c r="CB37" s="421"/>
      <c r="CC37" s="421"/>
      <c r="CD37" s="419"/>
      <c r="CE37" s="419"/>
      <c r="CF37" s="421"/>
      <c r="CG37" s="421"/>
      <c r="CH37" s="419"/>
      <c r="CI37" s="419"/>
      <c r="CJ37" s="421"/>
      <c r="CK37" s="421"/>
      <c r="CL37" s="419"/>
      <c r="CM37" s="421"/>
      <c r="CN37" s="424">
        <f t="shared" si="29"/>
        <v>0</v>
      </c>
      <c r="CO37" s="424">
        <f t="shared" si="30"/>
        <v>0</v>
      </c>
      <c r="CP37" s="425">
        <f t="shared" si="31"/>
        <v>0</v>
      </c>
      <c r="CQ37" s="425">
        <f t="shared" si="32"/>
        <v>0</v>
      </c>
      <c r="CR37" s="419"/>
      <c r="CS37" s="419"/>
      <c r="CT37" s="421"/>
      <c r="CU37" s="421"/>
      <c r="CV37" s="419"/>
      <c r="CW37" s="419"/>
      <c r="CX37" s="421"/>
      <c r="CY37" s="421"/>
      <c r="CZ37" s="419"/>
      <c r="DA37" s="419"/>
      <c r="DB37" s="421"/>
      <c r="DC37" s="421"/>
      <c r="DD37" s="419"/>
      <c r="DE37" s="419"/>
      <c r="DF37" s="421"/>
      <c r="DG37" s="421"/>
      <c r="DH37" s="419"/>
      <c r="DI37" s="419"/>
      <c r="DJ37" s="421"/>
      <c r="DK37" s="421"/>
      <c r="DL37" s="419"/>
      <c r="DM37" s="419"/>
      <c r="DN37" s="421"/>
      <c r="DO37" s="421"/>
      <c r="DP37" s="419"/>
      <c r="DQ37" s="419"/>
      <c r="DR37" s="421"/>
      <c r="DS37" s="421"/>
      <c r="DT37" s="419"/>
      <c r="DU37" s="419"/>
      <c r="DV37" s="421"/>
      <c r="DW37" s="421"/>
      <c r="DX37" s="419"/>
      <c r="DY37" s="419"/>
      <c r="DZ37" s="421"/>
      <c r="EA37" s="421"/>
      <c r="EB37" s="419"/>
      <c r="EC37" s="419"/>
      <c r="ED37" s="421"/>
      <c r="EE37" s="421"/>
      <c r="EF37" s="419"/>
      <c r="EG37" s="421"/>
      <c r="EH37" s="424">
        <f t="shared" si="33"/>
        <v>0</v>
      </c>
      <c r="EI37" s="424">
        <f t="shared" si="34"/>
        <v>0</v>
      </c>
      <c r="EJ37" s="422">
        <f t="shared" si="35"/>
        <v>0</v>
      </c>
      <c r="EK37" s="425">
        <f t="shared" si="36"/>
        <v>0</v>
      </c>
      <c r="EL37" s="425">
        <f t="shared" si="37"/>
        <v>0</v>
      </c>
      <c r="EM37" s="423">
        <f t="shared" si="38"/>
        <v>0</v>
      </c>
      <c r="EN37" s="424">
        <f t="shared" si="39"/>
        <v>0</v>
      </c>
      <c r="EO37" s="425">
        <f t="shared" si="40"/>
        <v>0</v>
      </c>
      <c r="EP37" s="419"/>
      <c r="EQ37" s="421"/>
      <c r="ER37" s="419"/>
      <c r="ES37" s="421"/>
      <c r="ET37" s="419"/>
      <c r="EU37" s="421"/>
      <c r="EV37" s="419"/>
      <c r="EW37" s="421"/>
      <c r="EX37" s="419"/>
      <c r="EY37" s="421"/>
      <c r="EZ37" s="419"/>
      <c r="FA37" s="421"/>
      <c r="FB37" s="419"/>
      <c r="FC37" s="421"/>
      <c r="FD37" s="419"/>
      <c r="FE37" s="421"/>
      <c r="FF37" s="419"/>
      <c r="FG37" s="421"/>
      <c r="FH37" s="419"/>
      <c r="FI37" s="421"/>
      <c r="FJ37" s="424">
        <f t="shared" si="41"/>
        <v>0</v>
      </c>
      <c r="FK37" s="425">
        <f t="shared" si="42"/>
        <v>0</v>
      </c>
      <c r="FL37" s="419"/>
      <c r="FM37" s="421"/>
      <c r="FN37" s="424">
        <f t="shared" si="43"/>
        <v>508</v>
      </c>
      <c r="FO37" s="425">
        <f t="shared" si="44"/>
        <v>391</v>
      </c>
    </row>
    <row r="38" spans="1:171">
      <c r="A38" s="98" t="s">
        <v>100</v>
      </c>
      <c r="B38" s="257" t="s">
        <v>531</v>
      </c>
      <c r="C38" s="103"/>
      <c r="D38" s="101">
        <v>101143</v>
      </c>
      <c r="E38" s="101">
        <v>10</v>
      </c>
      <c r="F38" s="419">
        <v>335</v>
      </c>
      <c r="G38" s="420">
        <v>167</v>
      </c>
      <c r="H38" s="419"/>
      <c r="I38" s="421"/>
      <c r="J38" s="419">
        <v>194</v>
      </c>
      <c r="K38" s="421">
        <v>181</v>
      </c>
      <c r="L38" s="422">
        <f t="shared" si="23"/>
        <v>0</v>
      </c>
      <c r="M38" s="423">
        <f t="shared" si="24"/>
        <v>0</v>
      </c>
      <c r="N38" s="419"/>
      <c r="O38" s="309">
        <f>0</f>
        <v>0</v>
      </c>
      <c r="P38" s="309">
        <f>0</f>
        <v>0</v>
      </c>
      <c r="Q38" s="309">
        <f>0</f>
        <v>0</v>
      </c>
      <c r="R38" s="424">
        <f t="shared" si="2"/>
        <v>0</v>
      </c>
      <c r="S38" s="421"/>
      <c r="T38" s="301">
        <f>0</f>
        <v>0</v>
      </c>
      <c r="U38" s="301">
        <f>0</f>
        <v>0</v>
      </c>
      <c r="V38" s="301">
        <f>0</f>
        <v>0</v>
      </c>
      <c r="W38" s="425">
        <f t="shared" si="3"/>
        <v>0</v>
      </c>
      <c r="X38" s="419"/>
      <c r="Y38" s="419"/>
      <c r="Z38" s="421"/>
      <c r="AA38" s="421"/>
      <c r="AB38" s="419"/>
      <c r="AC38" s="419"/>
      <c r="AD38" s="421"/>
      <c r="AE38" s="421"/>
      <c r="AF38" s="419"/>
      <c r="AG38" s="419"/>
      <c r="AH38" s="421"/>
      <c r="AI38" s="421"/>
      <c r="AJ38" s="419"/>
      <c r="AK38" s="419"/>
      <c r="AL38" s="421"/>
      <c r="AM38" s="421"/>
      <c r="AN38" s="419"/>
      <c r="AO38" s="419"/>
      <c r="AP38" s="421"/>
      <c r="AQ38" s="421"/>
      <c r="AR38" s="424">
        <f t="shared" si="25"/>
        <v>0</v>
      </c>
      <c r="AS38" s="422">
        <f t="shared" si="26"/>
        <v>0</v>
      </c>
      <c r="AT38" s="425">
        <f t="shared" si="27"/>
        <v>0</v>
      </c>
      <c r="AU38" s="423">
        <f t="shared" si="28"/>
        <v>0</v>
      </c>
      <c r="AV38" s="419"/>
      <c r="AW38" s="421"/>
      <c r="AX38" s="419"/>
      <c r="AY38" s="419"/>
      <c r="AZ38" s="421"/>
      <c r="BA38" s="421"/>
      <c r="BB38" s="419"/>
      <c r="BC38" s="419"/>
      <c r="BD38" s="421"/>
      <c r="BE38" s="421"/>
      <c r="BF38" s="419"/>
      <c r="BG38" s="419"/>
      <c r="BH38" s="421"/>
      <c r="BI38" s="421"/>
      <c r="BJ38" s="419"/>
      <c r="BK38" s="419"/>
      <c r="BL38" s="421"/>
      <c r="BM38" s="421"/>
      <c r="BN38" s="419"/>
      <c r="BO38" s="419"/>
      <c r="BP38" s="421"/>
      <c r="BQ38" s="421"/>
      <c r="BR38" s="419"/>
      <c r="BS38" s="419"/>
      <c r="BT38" s="421"/>
      <c r="BU38" s="421"/>
      <c r="BV38" s="419"/>
      <c r="BW38" s="419"/>
      <c r="BX38" s="421"/>
      <c r="BY38" s="421"/>
      <c r="BZ38" s="419"/>
      <c r="CA38" s="419"/>
      <c r="CB38" s="421"/>
      <c r="CC38" s="421"/>
      <c r="CD38" s="419"/>
      <c r="CE38" s="419"/>
      <c r="CF38" s="421"/>
      <c r="CG38" s="421"/>
      <c r="CH38" s="419"/>
      <c r="CI38" s="419"/>
      <c r="CJ38" s="421"/>
      <c r="CK38" s="421"/>
      <c r="CL38" s="419"/>
      <c r="CM38" s="421"/>
      <c r="CN38" s="424">
        <f t="shared" si="29"/>
        <v>0</v>
      </c>
      <c r="CO38" s="424">
        <f t="shared" si="30"/>
        <v>0</v>
      </c>
      <c r="CP38" s="425">
        <f t="shared" si="31"/>
        <v>0</v>
      </c>
      <c r="CQ38" s="425">
        <f t="shared" si="32"/>
        <v>0</v>
      </c>
      <c r="CR38" s="419"/>
      <c r="CS38" s="419"/>
      <c r="CT38" s="421"/>
      <c r="CU38" s="421"/>
      <c r="CV38" s="419"/>
      <c r="CW38" s="419"/>
      <c r="CX38" s="421"/>
      <c r="CY38" s="421"/>
      <c r="CZ38" s="419"/>
      <c r="DA38" s="419"/>
      <c r="DB38" s="421"/>
      <c r="DC38" s="421"/>
      <c r="DD38" s="419"/>
      <c r="DE38" s="419"/>
      <c r="DF38" s="421"/>
      <c r="DG38" s="421"/>
      <c r="DH38" s="419"/>
      <c r="DI38" s="419"/>
      <c r="DJ38" s="421"/>
      <c r="DK38" s="421"/>
      <c r="DL38" s="419"/>
      <c r="DM38" s="419"/>
      <c r="DN38" s="421"/>
      <c r="DO38" s="421"/>
      <c r="DP38" s="419"/>
      <c r="DQ38" s="419"/>
      <c r="DR38" s="421"/>
      <c r="DS38" s="421"/>
      <c r="DT38" s="419"/>
      <c r="DU38" s="419"/>
      <c r="DV38" s="421"/>
      <c r="DW38" s="421"/>
      <c r="DX38" s="419"/>
      <c r="DY38" s="419"/>
      <c r="DZ38" s="421"/>
      <c r="EA38" s="421"/>
      <c r="EB38" s="419"/>
      <c r="EC38" s="419"/>
      <c r="ED38" s="421"/>
      <c r="EE38" s="421"/>
      <c r="EF38" s="419"/>
      <c r="EG38" s="421"/>
      <c r="EH38" s="424">
        <f t="shared" si="33"/>
        <v>0</v>
      </c>
      <c r="EI38" s="424">
        <f t="shared" si="34"/>
        <v>0</v>
      </c>
      <c r="EJ38" s="422">
        <f t="shared" si="35"/>
        <v>0</v>
      </c>
      <c r="EK38" s="425">
        <f t="shared" si="36"/>
        <v>0</v>
      </c>
      <c r="EL38" s="425">
        <f t="shared" si="37"/>
        <v>0</v>
      </c>
      <c r="EM38" s="423">
        <f t="shared" si="38"/>
        <v>0</v>
      </c>
      <c r="EN38" s="424">
        <f t="shared" si="39"/>
        <v>0</v>
      </c>
      <c r="EO38" s="425">
        <f t="shared" si="40"/>
        <v>0</v>
      </c>
      <c r="EP38" s="419"/>
      <c r="EQ38" s="421"/>
      <c r="ER38" s="419"/>
      <c r="ES38" s="421"/>
      <c r="ET38" s="419"/>
      <c r="EU38" s="421"/>
      <c r="EV38" s="419"/>
      <c r="EW38" s="421"/>
      <c r="EX38" s="419"/>
      <c r="EY38" s="421"/>
      <c r="EZ38" s="419"/>
      <c r="FA38" s="421"/>
      <c r="FB38" s="419"/>
      <c r="FC38" s="421"/>
      <c r="FD38" s="419"/>
      <c r="FE38" s="421"/>
      <c r="FF38" s="419"/>
      <c r="FG38" s="421"/>
      <c r="FH38" s="419"/>
      <c r="FI38" s="421"/>
      <c r="FJ38" s="424">
        <f t="shared" si="41"/>
        <v>0</v>
      </c>
      <c r="FK38" s="425">
        <f t="shared" si="42"/>
        <v>0</v>
      </c>
      <c r="FL38" s="419"/>
      <c r="FM38" s="421"/>
      <c r="FN38" s="424">
        <f t="shared" si="43"/>
        <v>529</v>
      </c>
      <c r="FO38" s="425">
        <f t="shared" si="44"/>
        <v>348</v>
      </c>
    </row>
    <row r="39" spans="1:171">
      <c r="A39" s="98" t="s">
        <v>100</v>
      </c>
      <c r="B39" s="99" t="s">
        <v>532</v>
      </c>
      <c r="C39" s="100"/>
      <c r="D39" s="101">
        <v>101301</v>
      </c>
      <c r="E39" s="101">
        <v>10</v>
      </c>
      <c r="F39" s="419">
        <v>168</v>
      </c>
      <c r="G39" s="420">
        <v>117</v>
      </c>
      <c r="H39" s="419"/>
      <c r="I39" s="421"/>
      <c r="J39" s="419">
        <v>293</v>
      </c>
      <c r="K39" s="421">
        <v>274</v>
      </c>
      <c r="L39" s="422">
        <f t="shared" si="23"/>
        <v>0</v>
      </c>
      <c r="M39" s="423">
        <f t="shared" si="24"/>
        <v>0</v>
      </c>
      <c r="N39" s="419"/>
      <c r="O39" s="309">
        <f>0</f>
        <v>0</v>
      </c>
      <c r="P39" s="309">
        <f>0</f>
        <v>0</v>
      </c>
      <c r="Q39" s="309">
        <f>0</f>
        <v>0</v>
      </c>
      <c r="R39" s="424">
        <f t="shared" si="2"/>
        <v>0</v>
      </c>
      <c r="S39" s="421"/>
      <c r="T39" s="301">
        <f>0</f>
        <v>0</v>
      </c>
      <c r="U39" s="301">
        <f>0</f>
        <v>0</v>
      </c>
      <c r="V39" s="301">
        <f>0</f>
        <v>0</v>
      </c>
      <c r="W39" s="425">
        <f t="shared" si="3"/>
        <v>0</v>
      </c>
      <c r="X39" s="419"/>
      <c r="Y39" s="419"/>
      <c r="Z39" s="421"/>
      <c r="AA39" s="421"/>
      <c r="AB39" s="419"/>
      <c r="AC39" s="419"/>
      <c r="AD39" s="421"/>
      <c r="AE39" s="421"/>
      <c r="AF39" s="419"/>
      <c r="AG39" s="419"/>
      <c r="AH39" s="421"/>
      <c r="AI39" s="421"/>
      <c r="AJ39" s="419"/>
      <c r="AK39" s="419"/>
      <c r="AL39" s="421"/>
      <c r="AM39" s="421"/>
      <c r="AN39" s="419"/>
      <c r="AO39" s="419"/>
      <c r="AP39" s="421"/>
      <c r="AQ39" s="421"/>
      <c r="AR39" s="424">
        <f t="shared" si="25"/>
        <v>0</v>
      </c>
      <c r="AS39" s="422">
        <f t="shared" si="26"/>
        <v>0</v>
      </c>
      <c r="AT39" s="425">
        <f t="shared" si="27"/>
        <v>0</v>
      </c>
      <c r="AU39" s="423">
        <f t="shared" si="28"/>
        <v>0</v>
      </c>
      <c r="AV39" s="419"/>
      <c r="AW39" s="421"/>
      <c r="AX39" s="419"/>
      <c r="AY39" s="419"/>
      <c r="AZ39" s="421"/>
      <c r="BA39" s="421"/>
      <c r="BB39" s="419"/>
      <c r="BC39" s="419"/>
      <c r="BD39" s="421"/>
      <c r="BE39" s="421"/>
      <c r="BF39" s="419"/>
      <c r="BG39" s="419"/>
      <c r="BH39" s="421"/>
      <c r="BI39" s="421"/>
      <c r="BJ39" s="419"/>
      <c r="BK39" s="419"/>
      <c r="BL39" s="421"/>
      <c r="BM39" s="421"/>
      <c r="BN39" s="419"/>
      <c r="BO39" s="419"/>
      <c r="BP39" s="421"/>
      <c r="BQ39" s="421"/>
      <c r="BR39" s="419"/>
      <c r="BS39" s="419"/>
      <c r="BT39" s="421"/>
      <c r="BU39" s="421"/>
      <c r="BV39" s="419"/>
      <c r="BW39" s="419"/>
      <c r="BX39" s="421"/>
      <c r="BY39" s="421"/>
      <c r="BZ39" s="419"/>
      <c r="CA39" s="419"/>
      <c r="CB39" s="421"/>
      <c r="CC39" s="421"/>
      <c r="CD39" s="419"/>
      <c r="CE39" s="419"/>
      <c r="CF39" s="421"/>
      <c r="CG39" s="421"/>
      <c r="CH39" s="419"/>
      <c r="CI39" s="419"/>
      <c r="CJ39" s="421"/>
      <c r="CK39" s="421"/>
      <c r="CL39" s="419"/>
      <c r="CM39" s="421"/>
      <c r="CN39" s="424">
        <f t="shared" si="29"/>
        <v>0</v>
      </c>
      <c r="CO39" s="424">
        <f t="shared" si="30"/>
        <v>0</v>
      </c>
      <c r="CP39" s="425">
        <f t="shared" si="31"/>
        <v>0</v>
      </c>
      <c r="CQ39" s="425">
        <f t="shared" si="32"/>
        <v>0</v>
      </c>
      <c r="CR39" s="419"/>
      <c r="CS39" s="419"/>
      <c r="CT39" s="421"/>
      <c r="CU39" s="421"/>
      <c r="CV39" s="419"/>
      <c r="CW39" s="419"/>
      <c r="CX39" s="421"/>
      <c r="CY39" s="421"/>
      <c r="CZ39" s="419"/>
      <c r="DA39" s="419"/>
      <c r="DB39" s="421"/>
      <c r="DC39" s="421"/>
      <c r="DD39" s="419"/>
      <c r="DE39" s="419"/>
      <c r="DF39" s="421"/>
      <c r="DG39" s="421"/>
      <c r="DH39" s="419"/>
      <c r="DI39" s="419"/>
      <c r="DJ39" s="421"/>
      <c r="DK39" s="421"/>
      <c r="DL39" s="419"/>
      <c r="DM39" s="419"/>
      <c r="DN39" s="421"/>
      <c r="DO39" s="421"/>
      <c r="DP39" s="419"/>
      <c r="DQ39" s="419"/>
      <c r="DR39" s="421"/>
      <c r="DS39" s="421"/>
      <c r="DT39" s="419"/>
      <c r="DU39" s="419"/>
      <c r="DV39" s="421"/>
      <c r="DW39" s="421"/>
      <c r="DX39" s="419"/>
      <c r="DY39" s="419"/>
      <c r="DZ39" s="421"/>
      <c r="EA39" s="421"/>
      <c r="EB39" s="419"/>
      <c r="EC39" s="419"/>
      <c r="ED39" s="421"/>
      <c r="EE39" s="421"/>
      <c r="EF39" s="419"/>
      <c r="EG39" s="421"/>
      <c r="EH39" s="424">
        <f t="shared" si="33"/>
        <v>0</v>
      </c>
      <c r="EI39" s="424">
        <f t="shared" si="34"/>
        <v>0</v>
      </c>
      <c r="EJ39" s="422">
        <f t="shared" si="35"/>
        <v>0</v>
      </c>
      <c r="EK39" s="425">
        <f t="shared" si="36"/>
        <v>0</v>
      </c>
      <c r="EL39" s="425">
        <f t="shared" si="37"/>
        <v>0</v>
      </c>
      <c r="EM39" s="423">
        <f t="shared" si="38"/>
        <v>0</v>
      </c>
      <c r="EN39" s="424">
        <f t="shared" si="39"/>
        <v>0</v>
      </c>
      <c r="EO39" s="425">
        <f t="shared" si="40"/>
        <v>0</v>
      </c>
      <c r="EP39" s="419"/>
      <c r="EQ39" s="421"/>
      <c r="ER39" s="419"/>
      <c r="ES39" s="421"/>
      <c r="ET39" s="419"/>
      <c r="EU39" s="421"/>
      <c r="EV39" s="419"/>
      <c r="EW39" s="421"/>
      <c r="EX39" s="419"/>
      <c r="EY39" s="421"/>
      <c r="EZ39" s="419"/>
      <c r="FA39" s="421"/>
      <c r="FB39" s="419"/>
      <c r="FC39" s="421"/>
      <c r="FD39" s="419"/>
      <c r="FE39" s="421"/>
      <c r="FF39" s="419"/>
      <c r="FG39" s="421"/>
      <c r="FH39" s="419"/>
      <c r="FI39" s="421"/>
      <c r="FJ39" s="424">
        <f t="shared" si="41"/>
        <v>0</v>
      </c>
      <c r="FK39" s="425">
        <f t="shared" si="42"/>
        <v>0</v>
      </c>
      <c r="FL39" s="419"/>
      <c r="FM39" s="421"/>
      <c r="FN39" s="424">
        <f t="shared" si="43"/>
        <v>461</v>
      </c>
      <c r="FO39" s="425">
        <f t="shared" si="44"/>
        <v>391</v>
      </c>
    </row>
    <row r="40" spans="1:171">
      <c r="A40" s="98" t="s">
        <v>100</v>
      </c>
      <c r="B40" s="99" t="s">
        <v>533</v>
      </c>
      <c r="C40" s="100"/>
      <c r="D40" s="101">
        <v>101602</v>
      </c>
      <c r="E40" s="101">
        <v>10</v>
      </c>
      <c r="F40" s="419">
        <v>263</v>
      </c>
      <c r="G40" s="421">
        <v>235</v>
      </c>
      <c r="H40" s="419"/>
      <c r="I40" s="421"/>
      <c r="J40" s="419">
        <v>300</v>
      </c>
      <c r="K40" s="421">
        <v>291</v>
      </c>
      <c r="L40" s="422">
        <f t="shared" si="23"/>
        <v>0</v>
      </c>
      <c r="M40" s="423">
        <f t="shared" si="24"/>
        <v>0</v>
      </c>
      <c r="N40" s="419"/>
      <c r="O40" s="309">
        <f>0</f>
        <v>0</v>
      </c>
      <c r="P40" s="309">
        <f>0</f>
        <v>0</v>
      </c>
      <c r="Q40" s="309">
        <f>0</f>
        <v>0</v>
      </c>
      <c r="R40" s="424">
        <f t="shared" si="2"/>
        <v>0</v>
      </c>
      <c r="S40" s="421"/>
      <c r="T40" s="301">
        <f>0</f>
        <v>0</v>
      </c>
      <c r="U40" s="301">
        <f>0</f>
        <v>0</v>
      </c>
      <c r="V40" s="301">
        <f>0</f>
        <v>0</v>
      </c>
      <c r="W40" s="425">
        <f t="shared" si="3"/>
        <v>0</v>
      </c>
      <c r="X40" s="419"/>
      <c r="Y40" s="419"/>
      <c r="Z40" s="421"/>
      <c r="AA40" s="421"/>
      <c r="AB40" s="419"/>
      <c r="AC40" s="419"/>
      <c r="AD40" s="421"/>
      <c r="AE40" s="421"/>
      <c r="AF40" s="419"/>
      <c r="AG40" s="419"/>
      <c r="AH40" s="421"/>
      <c r="AI40" s="421"/>
      <c r="AJ40" s="419"/>
      <c r="AK40" s="419"/>
      <c r="AL40" s="421"/>
      <c r="AM40" s="421"/>
      <c r="AN40" s="419"/>
      <c r="AO40" s="419"/>
      <c r="AP40" s="421"/>
      <c r="AQ40" s="421"/>
      <c r="AR40" s="424">
        <f t="shared" si="25"/>
        <v>0</v>
      </c>
      <c r="AS40" s="422">
        <f t="shared" si="26"/>
        <v>0</v>
      </c>
      <c r="AT40" s="425">
        <f t="shared" si="27"/>
        <v>0</v>
      </c>
      <c r="AU40" s="423">
        <f t="shared" si="28"/>
        <v>0</v>
      </c>
      <c r="AV40" s="419"/>
      <c r="AW40" s="421"/>
      <c r="AX40" s="419"/>
      <c r="AY40" s="419"/>
      <c r="AZ40" s="421"/>
      <c r="BA40" s="421"/>
      <c r="BB40" s="419"/>
      <c r="BC40" s="419"/>
      <c r="BD40" s="421"/>
      <c r="BE40" s="421"/>
      <c r="BF40" s="419"/>
      <c r="BG40" s="419"/>
      <c r="BH40" s="421"/>
      <c r="BI40" s="421"/>
      <c r="BJ40" s="419"/>
      <c r="BK40" s="419"/>
      <c r="BL40" s="421"/>
      <c r="BM40" s="421"/>
      <c r="BN40" s="419"/>
      <c r="BO40" s="419"/>
      <c r="BP40" s="421"/>
      <c r="BQ40" s="421"/>
      <c r="BR40" s="419"/>
      <c r="BS40" s="419"/>
      <c r="BT40" s="421"/>
      <c r="BU40" s="421"/>
      <c r="BV40" s="419"/>
      <c r="BW40" s="419"/>
      <c r="BX40" s="421"/>
      <c r="BY40" s="421"/>
      <c r="BZ40" s="419"/>
      <c r="CA40" s="419"/>
      <c r="CB40" s="421"/>
      <c r="CC40" s="421"/>
      <c r="CD40" s="419"/>
      <c r="CE40" s="419"/>
      <c r="CF40" s="421"/>
      <c r="CG40" s="421"/>
      <c r="CH40" s="419"/>
      <c r="CI40" s="419"/>
      <c r="CJ40" s="421"/>
      <c r="CK40" s="421"/>
      <c r="CL40" s="419"/>
      <c r="CM40" s="421"/>
      <c r="CN40" s="424">
        <f t="shared" si="29"/>
        <v>0</v>
      </c>
      <c r="CO40" s="424">
        <f t="shared" si="30"/>
        <v>0</v>
      </c>
      <c r="CP40" s="425">
        <f t="shared" si="31"/>
        <v>0</v>
      </c>
      <c r="CQ40" s="425">
        <f t="shared" si="32"/>
        <v>0</v>
      </c>
      <c r="CR40" s="419"/>
      <c r="CS40" s="419"/>
      <c r="CT40" s="421"/>
      <c r="CU40" s="421"/>
      <c r="CV40" s="419"/>
      <c r="CW40" s="419"/>
      <c r="CX40" s="421"/>
      <c r="CY40" s="421"/>
      <c r="CZ40" s="419"/>
      <c r="DA40" s="419"/>
      <c r="DB40" s="421"/>
      <c r="DC40" s="421"/>
      <c r="DD40" s="419"/>
      <c r="DE40" s="419"/>
      <c r="DF40" s="421"/>
      <c r="DG40" s="421"/>
      <c r="DH40" s="419"/>
      <c r="DI40" s="419"/>
      <c r="DJ40" s="421"/>
      <c r="DK40" s="421"/>
      <c r="DL40" s="419"/>
      <c r="DM40" s="419"/>
      <c r="DN40" s="421"/>
      <c r="DO40" s="421"/>
      <c r="DP40" s="419"/>
      <c r="DQ40" s="419"/>
      <c r="DR40" s="421"/>
      <c r="DS40" s="421"/>
      <c r="DT40" s="419"/>
      <c r="DU40" s="419"/>
      <c r="DV40" s="421"/>
      <c r="DW40" s="421"/>
      <c r="DX40" s="419"/>
      <c r="DY40" s="419"/>
      <c r="DZ40" s="421"/>
      <c r="EA40" s="421"/>
      <c r="EB40" s="419"/>
      <c r="EC40" s="419"/>
      <c r="ED40" s="421"/>
      <c r="EE40" s="421"/>
      <c r="EF40" s="419"/>
      <c r="EG40" s="421"/>
      <c r="EH40" s="424">
        <f t="shared" si="33"/>
        <v>0</v>
      </c>
      <c r="EI40" s="424">
        <f t="shared" si="34"/>
        <v>0</v>
      </c>
      <c r="EJ40" s="422">
        <f t="shared" si="35"/>
        <v>0</v>
      </c>
      <c r="EK40" s="425">
        <f t="shared" si="36"/>
        <v>0</v>
      </c>
      <c r="EL40" s="425">
        <f t="shared" si="37"/>
        <v>0</v>
      </c>
      <c r="EM40" s="423">
        <f t="shared" si="38"/>
        <v>0</v>
      </c>
      <c r="EN40" s="424">
        <f t="shared" si="39"/>
        <v>0</v>
      </c>
      <c r="EO40" s="425">
        <f t="shared" si="40"/>
        <v>0</v>
      </c>
      <c r="EP40" s="419"/>
      <c r="EQ40" s="421"/>
      <c r="ER40" s="419"/>
      <c r="ES40" s="421"/>
      <c r="ET40" s="419"/>
      <c r="EU40" s="421"/>
      <c r="EV40" s="419"/>
      <c r="EW40" s="421"/>
      <c r="EX40" s="419"/>
      <c r="EY40" s="421"/>
      <c r="EZ40" s="419"/>
      <c r="FA40" s="421"/>
      <c r="FB40" s="419"/>
      <c r="FC40" s="421"/>
      <c r="FD40" s="419"/>
      <c r="FE40" s="421"/>
      <c r="FF40" s="419"/>
      <c r="FG40" s="421"/>
      <c r="FH40" s="419"/>
      <c r="FI40" s="421"/>
      <c r="FJ40" s="424">
        <f t="shared" si="41"/>
        <v>0</v>
      </c>
      <c r="FK40" s="425">
        <f t="shared" si="42"/>
        <v>0</v>
      </c>
      <c r="FL40" s="419"/>
      <c r="FM40" s="421"/>
      <c r="FN40" s="424">
        <f t="shared" si="43"/>
        <v>563</v>
      </c>
      <c r="FO40" s="425">
        <f t="shared" si="44"/>
        <v>526</v>
      </c>
    </row>
    <row r="41" spans="1:171">
      <c r="A41" s="98" t="s">
        <v>100</v>
      </c>
      <c r="B41" s="258" t="s">
        <v>534</v>
      </c>
      <c r="C41" s="303" t="s">
        <v>535</v>
      </c>
      <c r="D41" s="101">
        <v>101897</v>
      </c>
      <c r="E41" s="101">
        <v>10</v>
      </c>
      <c r="F41" s="419">
        <v>986</v>
      </c>
      <c r="G41" s="420">
        <v>741</v>
      </c>
      <c r="H41" s="419"/>
      <c r="I41" s="421"/>
      <c r="J41" s="419">
        <v>483</v>
      </c>
      <c r="K41" s="420">
        <v>594</v>
      </c>
      <c r="L41" s="422">
        <f t="shared" si="23"/>
        <v>0</v>
      </c>
      <c r="M41" s="423">
        <f t="shared" si="24"/>
        <v>0</v>
      </c>
      <c r="N41" s="419"/>
      <c r="O41" s="309">
        <f>0</f>
        <v>0</v>
      </c>
      <c r="P41" s="309">
        <f>0</f>
        <v>0</v>
      </c>
      <c r="Q41" s="309">
        <f>0</f>
        <v>0</v>
      </c>
      <c r="R41" s="424">
        <f t="shared" si="2"/>
        <v>0</v>
      </c>
      <c r="S41" s="421"/>
      <c r="T41" s="301">
        <f>0</f>
        <v>0</v>
      </c>
      <c r="U41" s="301">
        <f>0</f>
        <v>0</v>
      </c>
      <c r="V41" s="301">
        <f>0</f>
        <v>0</v>
      </c>
      <c r="W41" s="425">
        <f t="shared" si="3"/>
        <v>0</v>
      </c>
      <c r="X41" s="419"/>
      <c r="Y41" s="419"/>
      <c r="Z41" s="421"/>
      <c r="AA41" s="421"/>
      <c r="AB41" s="419"/>
      <c r="AC41" s="419"/>
      <c r="AD41" s="421"/>
      <c r="AE41" s="421"/>
      <c r="AF41" s="419"/>
      <c r="AG41" s="419"/>
      <c r="AH41" s="421"/>
      <c r="AI41" s="421"/>
      <c r="AJ41" s="419"/>
      <c r="AK41" s="419"/>
      <c r="AL41" s="421"/>
      <c r="AM41" s="421"/>
      <c r="AN41" s="419"/>
      <c r="AO41" s="419"/>
      <c r="AP41" s="421"/>
      <c r="AQ41" s="421"/>
      <c r="AR41" s="424">
        <f t="shared" si="25"/>
        <v>0</v>
      </c>
      <c r="AS41" s="422">
        <f t="shared" si="26"/>
        <v>0</v>
      </c>
      <c r="AT41" s="425">
        <f t="shared" si="27"/>
        <v>0</v>
      </c>
      <c r="AU41" s="423">
        <f t="shared" si="28"/>
        <v>0</v>
      </c>
      <c r="AV41" s="419"/>
      <c r="AW41" s="421"/>
      <c r="AX41" s="419"/>
      <c r="AY41" s="419"/>
      <c r="AZ41" s="421"/>
      <c r="BA41" s="421"/>
      <c r="BB41" s="419"/>
      <c r="BC41" s="419"/>
      <c r="BD41" s="421"/>
      <c r="BE41" s="421"/>
      <c r="BF41" s="419"/>
      <c r="BG41" s="419"/>
      <c r="BH41" s="421"/>
      <c r="BI41" s="421"/>
      <c r="BJ41" s="419"/>
      <c r="BK41" s="419"/>
      <c r="BL41" s="421"/>
      <c r="BM41" s="421"/>
      <c r="BN41" s="419"/>
      <c r="BO41" s="419"/>
      <c r="BP41" s="421"/>
      <c r="BQ41" s="421"/>
      <c r="BR41" s="419"/>
      <c r="BS41" s="419"/>
      <c r="BT41" s="421"/>
      <c r="BU41" s="421"/>
      <c r="BV41" s="419"/>
      <c r="BW41" s="419"/>
      <c r="BX41" s="421"/>
      <c r="BY41" s="421"/>
      <c r="BZ41" s="419"/>
      <c r="CA41" s="419"/>
      <c r="CB41" s="421"/>
      <c r="CC41" s="421"/>
      <c r="CD41" s="419"/>
      <c r="CE41" s="419"/>
      <c r="CF41" s="421"/>
      <c r="CG41" s="421"/>
      <c r="CH41" s="419"/>
      <c r="CI41" s="419"/>
      <c r="CJ41" s="421"/>
      <c r="CK41" s="421"/>
      <c r="CL41" s="419"/>
      <c r="CM41" s="421"/>
      <c r="CN41" s="424">
        <f t="shared" si="29"/>
        <v>0</v>
      </c>
      <c r="CO41" s="424">
        <f t="shared" si="30"/>
        <v>0</v>
      </c>
      <c r="CP41" s="425">
        <f t="shared" si="31"/>
        <v>0</v>
      </c>
      <c r="CQ41" s="425">
        <f t="shared" si="32"/>
        <v>0</v>
      </c>
      <c r="CR41" s="419"/>
      <c r="CS41" s="419"/>
      <c r="CT41" s="421"/>
      <c r="CU41" s="421"/>
      <c r="CV41" s="419"/>
      <c r="CW41" s="419"/>
      <c r="CX41" s="421"/>
      <c r="CY41" s="421"/>
      <c r="CZ41" s="419"/>
      <c r="DA41" s="419"/>
      <c r="DB41" s="421"/>
      <c r="DC41" s="421"/>
      <c r="DD41" s="419"/>
      <c r="DE41" s="419"/>
      <c r="DF41" s="421"/>
      <c r="DG41" s="421"/>
      <c r="DH41" s="419"/>
      <c r="DI41" s="419"/>
      <c r="DJ41" s="421"/>
      <c r="DK41" s="421"/>
      <c r="DL41" s="419"/>
      <c r="DM41" s="419"/>
      <c r="DN41" s="421"/>
      <c r="DO41" s="421"/>
      <c r="DP41" s="419"/>
      <c r="DQ41" s="419"/>
      <c r="DR41" s="421"/>
      <c r="DS41" s="421"/>
      <c r="DT41" s="419"/>
      <c r="DU41" s="419"/>
      <c r="DV41" s="421"/>
      <c r="DW41" s="421"/>
      <c r="DX41" s="419"/>
      <c r="DY41" s="419"/>
      <c r="DZ41" s="421"/>
      <c r="EA41" s="421"/>
      <c r="EB41" s="419"/>
      <c r="EC41" s="419"/>
      <c r="ED41" s="421"/>
      <c r="EE41" s="421"/>
      <c r="EF41" s="419"/>
      <c r="EG41" s="421"/>
      <c r="EH41" s="424">
        <f t="shared" si="33"/>
        <v>0</v>
      </c>
      <c r="EI41" s="424">
        <f t="shared" si="34"/>
        <v>0</v>
      </c>
      <c r="EJ41" s="422">
        <f t="shared" si="35"/>
        <v>0</v>
      </c>
      <c r="EK41" s="425">
        <f t="shared" si="36"/>
        <v>0</v>
      </c>
      <c r="EL41" s="425">
        <f t="shared" si="37"/>
        <v>0</v>
      </c>
      <c r="EM41" s="423">
        <f t="shared" si="38"/>
        <v>0</v>
      </c>
      <c r="EN41" s="424">
        <f t="shared" si="39"/>
        <v>0</v>
      </c>
      <c r="EO41" s="425">
        <f t="shared" si="40"/>
        <v>0</v>
      </c>
      <c r="EP41" s="419"/>
      <c r="EQ41" s="421"/>
      <c r="ER41" s="419"/>
      <c r="ES41" s="421"/>
      <c r="ET41" s="419"/>
      <c r="EU41" s="421"/>
      <c r="EV41" s="419"/>
      <c r="EW41" s="421"/>
      <c r="EX41" s="419"/>
      <c r="EY41" s="421"/>
      <c r="EZ41" s="419"/>
      <c r="FA41" s="421"/>
      <c r="FB41" s="419"/>
      <c r="FC41" s="421"/>
      <c r="FD41" s="419"/>
      <c r="FE41" s="421"/>
      <c r="FF41" s="419"/>
      <c r="FG41" s="421"/>
      <c r="FH41" s="419"/>
      <c r="FI41" s="421"/>
      <c r="FJ41" s="424">
        <f t="shared" si="41"/>
        <v>0</v>
      </c>
      <c r="FK41" s="425">
        <f t="shared" si="42"/>
        <v>0</v>
      </c>
      <c r="FL41" s="419"/>
      <c r="FM41" s="421"/>
      <c r="FN41" s="424">
        <f t="shared" si="43"/>
        <v>1469</v>
      </c>
      <c r="FO41" s="425">
        <f t="shared" si="44"/>
        <v>1335</v>
      </c>
    </row>
    <row r="42" spans="1:171">
      <c r="A42" s="98" t="s">
        <v>100</v>
      </c>
      <c r="B42" s="99" t="s">
        <v>536</v>
      </c>
      <c r="C42" s="303" t="s">
        <v>535</v>
      </c>
      <c r="D42" s="101">
        <v>102076</v>
      </c>
      <c r="E42" s="101">
        <v>10</v>
      </c>
      <c r="F42" s="419">
        <v>125</v>
      </c>
      <c r="G42" s="421">
        <v>147</v>
      </c>
      <c r="H42" s="419"/>
      <c r="I42" s="421"/>
      <c r="J42" s="419">
        <v>423</v>
      </c>
      <c r="K42" s="421">
        <v>414</v>
      </c>
      <c r="L42" s="422">
        <f t="shared" si="23"/>
        <v>0</v>
      </c>
      <c r="M42" s="423">
        <f t="shared" si="24"/>
        <v>0</v>
      </c>
      <c r="N42" s="419"/>
      <c r="O42" s="309">
        <f>0</f>
        <v>0</v>
      </c>
      <c r="P42" s="309">
        <f>0</f>
        <v>0</v>
      </c>
      <c r="Q42" s="309">
        <f>0</f>
        <v>0</v>
      </c>
      <c r="R42" s="424">
        <f t="shared" si="2"/>
        <v>0</v>
      </c>
      <c r="S42" s="421"/>
      <c r="T42" s="301">
        <f>0</f>
        <v>0</v>
      </c>
      <c r="U42" s="301">
        <f>0</f>
        <v>0</v>
      </c>
      <c r="V42" s="301">
        <f>0</f>
        <v>0</v>
      </c>
      <c r="W42" s="425">
        <f t="shared" si="3"/>
        <v>0</v>
      </c>
      <c r="X42" s="419"/>
      <c r="Y42" s="419"/>
      <c r="Z42" s="421"/>
      <c r="AA42" s="421"/>
      <c r="AB42" s="419"/>
      <c r="AC42" s="419"/>
      <c r="AD42" s="421"/>
      <c r="AE42" s="421"/>
      <c r="AF42" s="419"/>
      <c r="AG42" s="419"/>
      <c r="AH42" s="421"/>
      <c r="AI42" s="421"/>
      <c r="AJ42" s="419"/>
      <c r="AK42" s="419"/>
      <c r="AL42" s="421"/>
      <c r="AM42" s="421"/>
      <c r="AN42" s="419"/>
      <c r="AO42" s="419"/>
      <c r="AP42" s="421"/>
      <c r="AQ42" s="421"/>
      <c r="AR42" s="424">
        <f t="shared" si="25"/>
        <v>0</v>
      </c>
      <c r="AS42" s="422">
        <f t="shared" si="26"/>
        <v>0</v>
      </c>
      <c r="AT42" s="425">
        <f t="shared" si="27"/>
        <v>0</v>
      </c>
      <c r="AU42" s="423">
        <f t="shared" si="28"/>
        <v>0</v>
      </c>
      <c r="AV42" s="419"/>
      <c r="AW42" s="421"/>
      <c r="AX42" s="419"/>
      <c r="AY42" s="419"/>
      <c r="AZ42" s="421"/>
      <c r="BA42" s="421"/>
      <c r="BB42" s="419"/>
      <c r="BC42" s="419"/>
      <c r="BD42" s="421"/>
      <c r="BE42" s="421"/>
      <c r="BF42" s="419"/>
      <c r="BG42" s="419"/>
      <c r="BH42" s="421"/>
      <c r="BI42" s="421"/>
      <c r="BJ42" s="419"/>
      <c r="BK42" s="419"/>
      <c r="BL42" s="421"/>
      <c r="BM42" s="421"/>
      <c r="BN42" s="419"/>
      <c r="BO42" s="419"/>
      <c r="BP42" s="421"/>
      <c r="BQ42" s="421"/>
      <c r="BR42" s="419"/>
      <c r="BS42" s="419"/>
      <c r="BT42" s="421"/>
      <c r="BU42" s="421"/>
      <c r="BV42" s="419"/>
      <c r="BW42" s="419"/>
      <c r="BX42" s="421"/>
      <c r="BY42" s="421"/>
      <c r="BZ42" s="419"/>
      <c r="CA42" s="419"/>
      <c r="CB42" s="421"/>
      <c r="CC42" s="421"/>
      <c r="CD42" s="419"/>
      <c r="CE42" s="419"/>
      <c r="CF42" s="421"/>
      <c r="CG42" s="421"/>
      <c r="CH42" s="419"/>
      <c r="CI42" s="419"/>
      <c r="CJ42" s="421"/>
      <c r="CK42" s="421"/>
      <c r="CL42" s="419"/>
      <c r="CM42" s="421"/>
      <c r="CN42" s="424">
        <f t="shared" si="29"/>
        <v>0</v>
      </c>
      <c r="CO42" s="424">
        <f t="shared" si="30"/>
        <v>0</v>
      </c>
      <c r="CP42" s="425">
        <f t="shared" si="31"/>
        <v>0</v>
      </c>
      <c r="CQ42" s="425">
        <f t="shared" si="32"/>
        <v>0</v>
      </c>
      <c r="CR42" s="419"/>
      <c r="CS42" s="419"/>
      <c r="CT42" s="421"/>
      <c r="CU42" s="421"/>
      <c r="CV42" s="419"/>
      <c r="CW42" s="419"/>
      <c r="CX42" s="421"/>
      <c r="CY42" s="421"/>
      <c r="CZ42" s="419"/>
      <c r="DA42" s="419"/>
      <c r="DB42" s="421"/>
      <c r="DC42" s="421"/>
      <c r="DD42" s="419"/>
      <c r="DE42" s="419"/>
      <c r="DF42" s="421"/>
      <c r="DG42" s="421"/>
      <c r="DH42" s="419"/>
      <c r="DI42" s="419"/>
      <c r="DJ42" s="421"/>
      <c r="DK42" s="421"/>
      <c r="DL42" s="419"/>
      <c r="DM42" s="419"/>
      <c r="DN42" s="421"/>
      <c r="DO42" s="421"/>
      <c r="DP42" s="419"/>
      <c r="DQ42" s="419"/>
      <c r="DR42" s="421"/>
      <c r="DS42" s="421"/>
      <c r="DT42" s="419"/>
      <c r="DU42" s="419"/>
      <c r="DV42" s="421"/>
      <c r="DW42" s="421"/>
      <c r="DX42" s="419"/>
      <c r="DY42" s="419"/>
      <c r="DZ42" s="421"/>
      <c r="EA42" s="421"/>
      <c r="EB42" s="419"/>
      <c r="EC42" s="419"/>
      <c r="ED42" s="421"/>
      <c r="EE42" s="421"/>
      <c r="EF42" s="419"/>
      <c r="EG42" s="421"/>
      <c r="EH42" s="424">
        <f t="shared" si="33"/>
        <v>0</v>
      </c>
      <c r="EI42" s="424">
        <f t="shared" si="34"/>
        <v>0</v>
      </c>
      <c r="EJ42" s="422">
        <f t="shared" si="35"/>
        <v>0</v>
      </c>
      <c r="EK42" s="425">
        <f t="shared" si="36"/>
        <v>0</v>
      </c>
      <c r="EL42" s="425">
        <f t="shared" si="37"/>
        <v>0</v>
      </c>
      <c r="EM42" s="423">
        <f t="shared" si="38"/>
        <v>0</v>
      </c>
      <c r="EN42" s="424">
        <f t="shared" si="39"/>
        <v>0</v>
      </c>
      <c r="EO42" s="425">
        <f t="shared" si="40"/>
        <v>0</v>
      </c>
      <c r="EP42" s="419"/>
      <c r="EQ42" s="421"/>
      <c r="ER42" s="419"/>
      <c r="ES42" s="421"/>
      <c r="ET42" s="419"/>
      <c r="EU42" s="421"/>
      <c r="EV42" s="419"/>
      <c r="EW42" s="421"/>
      <c r="EX42" s="419"/>
      <c r="EY42" s="421"/>
      <c r="EZ42" s="419"/>
      <c r="FA42" s="421"/>
      <c r="FB42" s="419"/>
      <c r="FC42" s="421"/>
      <c r="FD42" s="419"/>
      <c r="FE42" s="421"/>
      <c r="FF42" s="419"/>
      <c r="FG42" s="421"/>
      <c r="FH42" s="419"/>
      <c r="FI42" s="421"/>
      <c r="FJ42" s="424">
        <f t="shared" si="41"/>
        <v>0</v>
      </c>
      <c r="FK42" s="425">
        <f t="shared" si="42"/>
        <v>0</v>
      </c>
      <c r="FL42" s="419"/>
      <c r="FM42" s="421"/>
      <c r="FN42" s="424">
        <f t="shared" si="43"/>
        <v>548</v>
      </c>
      <c r="FO42" s="425">
        <f t="shared" si="44"/>
        <v>561</v>
      </c>
    </row>
    <row r="43" spans="1:171">
      <c r="A43" s="98" t="s">
        <v>100</v>
      </c>
      <c r="B43" s="30" t="s">
        <v>537</v>
      </c>
      <c r="C43" s="105"/>
      <c r="D43" s="101">
        <v>102313</v>
      </c>
      <c r="E43" s="101">
        <v>12</v>
      </c>
      <c r="F43" s="419">
        <v>206</v>
      </c>
      <c r="G43" s="421">
        <v>170</v>
      </c>
      <c r="H43" s="419"/>
      <c r="I43" s="421"/>
      <c r="J43" s="419">
        <v>183</v>
      </c>
      <c r="K43" s="421">
        <v>203</v>
      </c>
      <c r="L43" s="422">
        <f t="shared" si="23"/>
        <v>0</v>
      </c>
      <c r="M43" s="423">
        <f t="shared" si="24"/>
        <v>0</v>
      </c>
      <c r="N43" s="419"/>
      <c r="O43" s="309">
        <f>0</f>
        <v>0</v>
      </c>
      <c r="P43" s="309">
        <f>0</f>
        <v>0</v>
      </c>
      <c r="Q43" s="309">
        <f>0</f>
        <v>0</v>
      </c>
      <c r="R43" s="424">
        <f t="shared" si="2"/>
        <v>0</v>
      </c>
      <c r="S43" s="421"/>
      <c r="T43" s="301">
        <f>0</f>
        <v>0</v>
      </c>
      <c r="U43" s="301">
        <f>0</f>
        <v>0</v>
      </c>
      <c r="V43" s="301">
        <f>0</f>
        <v>0</v>
      </c>
      <c r="W43" s="425">
        <f t="shared" si="3"/>
        <v>0</v>
      </c>
      <c r="X43" s="419"/>
      <c r="Y43" s="419"/>
      <c r="Z43" s="421"/>
      <c r="AA43" s="421"/>
      <c r="AB43" s="419"/>
      <c r="AC43" s="419"/>
      <c r="AD43" s="421"/>
      <c r="AE43" s="421"/>
      <c r="AF43" s="419"/>
      <c r="AG43" s="419"/>
      <c r="AH43" s="421"/>
      <c r="AI43" s="421"/>
      <c r="AJ43" s="419"/>
      <c r="AK43" s="419"/>
      <c r="AL43" s="421"/>
      <c r="AM43" s="421"/>
      <c r="AN43" s="419"/>
      <c r="AO43" s="419"/>
      <c r="AP43" s="421"/>
      <c r="AQ43" s="421"/>
      <c r="AR43" s="424">
        <f t="shared" si="25"/>
        <v>0</v>
      </c>
      <c r="AS43" s="422">
        <f t="shared" si="26"/>
        <v>0</v>
      </c>
      <c r="AT43" s="425">
        <f t="shared" si="27"/>
        <v>0</v>
      </c>
      <c r="AU43" s="423">
        <f t="shared" si="28"/>
        <v>0</v>
      </c>
      <c r="AV43" s="419"/>
      <c r="AW43" s="421"/>
      <c r="AX43" s="419"/>
      <c r="AY43" s="419"/>
      <c r="AZ43" s="421"/>
      <c r="BA43" s="421"/>
      <c r="BB43" s="419"/>
      <c r="BC43" s="419"/>
      <c r="BD43" s="421"/>
      <c r="BE43" s="421"/>
      <c r="BF43" s="419"/>
      <c r="BG43" s="419"/>
      <c r="BH43" s="421"/>
      <c r="BI43" s="421"/>
      <c r="BJ43" s="419"/>
      <c r="BK43" s="419"/>
      <c r="BL43" s="421"/>
      <c r="BM43" s="421"/>
      <c r="BN43" s="419"/>
      <c r="BO43" s="419"/>
      <c r="BP43" s="421"/>
      <c r="BQ43" s="421"/>
      <c r="BR43" s="419"/>
      <c r="BS43" s="419"/>
      <c r="BT43" s="421"/>
      <c r="BU43" s="421"/>
      <c r="BV43" s="419"/>
      <c r="BW43" s="419"/>
      <c r="BX43" s="421"/>
      <c r="BY43" s="421"/>
      <c r="BZ43" s="419"/>
      <c r="CA43" s="419"/>
      <c r="CB43" s="421"/>
      <c r="CC43" s="421"/>
      <c r="CD43" s="419"/>
      <c r="CE43" s="419"/>
      <c r="CF43" s="421"/>
      <c r="CG43" s="421"/>
      <c r="CH43" s="419"/>
      <c r="CI43" s="419"/>
      <c r="CJ43" s="421"/>
      <c r="CK43" s="421"/>
      <c r="CL43" s="419"/>
      <c r="CM43" s="421"/>
      <c r="CN43" s="424">
        <f t="shared" si="29"/>
        <v>0</v>
      </c>
      <c r="CO43" s="424">
        <f t="shared" si="30"/>
        <v>0</v>
      </c>
      <c r="CP43" s="425">
        <f t="shared" si="31"/>
        <v>0</v>
      </c>
      <c r="CQ43" s="425">
        <f t="shared" si="32"/>
        <v>0</v>
      </c>
      <c r="CR43" s="419"/>
      <c r="CS43" s="419"/>
      <c r="CT43" s="421"/>
      <c r="CU43" s="421"/>
      <c r="CV43" s="419"/>
      <c r="CW43" s="419"/>
      <c r="CX43" s="421"/>
      <c r="CY43" s="421"/>
      <c r="CZ43" s="419"/>
      <c r="DA43" s="419"/>
      <c r="DB43" s="421"/>
      <c r="DC43" s="421"/>
      <c r="DD43" s="419"/>
      <c r="DE43" s="419"/>
      <c r="DF43" s="421"/>
      <c r="DG43" s="421"/>
      <c r="DH43" s="419"/>
      <c r="DI43" s="419"/>
      <c r="DJ43" s="421"/>
      <c r="DK43" s="421"/>
      <c r="DL43" s="419"/>
      <c r="DM43" s="419"/>
      <c r="DN43" s="421"/>
      <c r="DO43" s="421"/>
      <c r="DP43" s="419"/>
      <c r="DQ43" s="419"/>
      <c r="DR43" s="421"/>
      <c r="DS43" s="421"/>
      <c r="DT43" s="419"/>
      <c r="DU43" s="419"/>
      <c r="DV43" s="421"/>
      <c r="DW43" s="421"/>
      <c r="DX43" s="419"/>
      <c r="DY43" s="419"/>
      <c r="DZ43" s="421"/>
      <c r="EA43" s="421"/>
      <c r="EB43" s="419"/>
      <c r="EC43" s="419"/>
      <c r="ED43" s="421"/>
      <c r="EE43" s="421"/>
      <c r="EF43" s="419"/>
      <c r="EG43" s="421"/>
      <c r="EH43" s="424">
        <f t="shared" si="33"/>
        <v>0</v>
      </c>
      <c r="EI43" s="424">
        <f t="shared" si="34"/>
        <v>0</v>
      </c>
      <c r="EJ43" s="422">
        <f t="shared" si="35"/>
        <v>0</v>
      </c>
      <c r="EK43" s="425">
        <f t="shared" si="36"/>
        <v>0</v>
      </c>
      <c r="EL43" s="425">
        <f t="shared" si="37"/>
        <v>0</v>
      </c>
      <c r="EM43" s="423">
        <f t="shared" si="38"/>
        <v>0</v>
      </c>
      <c r="EN43" s="424">
        <f t="shared" si="39"/>
        <v>0</v>
      </c>
      <c r="EO43" s="425">
        <f t="shared" si="40"/>
        <v>0</v>
      </c>
      <c r="EP43" s="419"/>
      <c r="EQ43" s="421"/>
      <c r="ER43" s="419"/>
      <c r="ES43" s="421"/>
      <c r="ET43" s="419"/>
      <c r="EU43" s="421"/>
      <c r="EV43" s="419"/>
      <c r="EW43" s="421"/>
      <c r="EX43" s="419"/>
      <c r="EY43" s="421"/>
      <c r="EZ43" s="419"/>
      <c r="FA43" s="421"/>
      <c r="FB43" s="419"/>
      <c r="FC43" s="421"/>
      <c r="FD43" s="419"/>
      <c r="FE43" s="421"/>
      <c r="FF43" s="419"/>
      <c r="FG43" s="421"/>
      <c r="FH43" s="419"/>
      <c r="FI43" s="421"/>
      <c r="FJ43" s="424">
        <f t="shared" si="41"/>
        <v>0</v>
      </c>
      <c r="FK43" s="425">
        <f t="shared" si="42"/>
        <v>0</v>
      </c>
      <c r="FL43" s="419"/>
      <c r="FM43" s="421"/>
      <c r="FN43" s="424">
        <f t="shared" si="43"/>
        <v>389</v>
      </c>
      <c r="FO43" s="425">
        <f t="shared" si="44"/>
        <v>373</v>
      </c>
    </row>
    <row r="44" spans="1:171">
      <c r="A44" s="98" t="s">
        <v>100</v>
      </c>
      <c r="B44" s="30" t="s">
        <v>538</v>
      </c>
      <c r="C44" s="100"/>
      <c r="D44" s="101">
        <v>101462</v>
      </c>
      <c r="E44" s="101">
        <v>13</v>
      </c>
      <c r="F44" s="419">
        <v>100</v>
      </c>
      <c r="G44" s="420">
        <v>78</v>
      </c>
      <c r="H44" s="419"/>
      <c r="I44" s="421"/>
      <c r="J44" s="419">
        <v>84</v>
      </c>
      <c r="K44" s="420">
        <v>65</v>
      </c>
      <c r="L44" s="422">
        <f t="shared" si="23"/>
        <v>0</v>
      </c>
      <c r="M44" s="423">
        <f t="shared" si="24"/>
        <v>0</v>
      </c>
      <c r="N44" s="419"/>
      <c r="O44" s="309">
        <f>0</f>
        <v>0</v>
      </c>
      <c r="P44" s="309">
        <f>0</f>
        <v>0</v>
      </c>
      <c r="Q44" s="309">
        <f>0</f>
        <v>0</v>
      </c>
      <c r="R44" s="424">
        <f t="shared" si="2"/>
        <v>0</v>
      </c>
      <c r="S44" s="421"/>
      <c r="T44" s="301">
        <f>0</f>
        <v>0</v>
      </c>
      <c r="U44" s="301">
        <f>0</f>
        <v>0</v>
      </c>
      <c r="V44" s="301">
        <f>0</f>
        <v>0</v>
      </c>
      <c r="W44" s="425">
        <f t="shared" si="3"/>
        <v>0</v>
      </c>
      <c r="X44" s="419"/>
      <c r="Y44" s="419"/>
      <c r="Z44" s="421"/>
      <c r="AA44" s="421"/>
      <c r="AB44" s="419"/>
      <c r="AC44" s="419"/>
      <c r="AD44" s="421"/>
      <c r="AE44" s="421"/>
      <c r="AF44" s="419"/>
      <c r="AG44" s="419"/>
      <c r="AH44" s="421"/>
      <c r="AI44" s="421"/>
      <c r="AJ44" s="419"/>
      <c r="AK44" s="419"/>
      <c r="AL44" s="421"/>
      <c r="AM44" s="421"/>
      <c r="AN44" s="419"/>
      <c r="AO44" s="419"/>
      <c r="AP44" s="421"/>
      <c r="AQ44" s="421"/>
      <c r="AR44" s="424">
        <f t="shared" si="25"/>
        <v>0</v>
      </c>
      <c r="AS44" s="422">
        <f t="shared" si="26"/>
        <v>0</v>
      </c>
      <c r="AT44" s="425">
        <f t="shared" si="27"/>
        <v>0</v>
      </c>
      <c r="AU44" s="423">
        <f t="shared" si="28"/>
        <v>0</v>
      </c>
      <c r="AV44" s="419"/>
      <c r="AW44" s="421"/>
      <c r="AX44" s="419"/>
      <c r="AY44" s="419"/>
      <c r="AZ44" s="421"/>
      <c r="BA44" s="421"/>
      <c r="BB44" s="419"/>
      <c r="BC44" s="419"/>
      <c r="BD44" s="421"/>
      <c r="BE44" s="421"/>
      <c r="BF44" s="419"/>
      <c r="BG44" s="419"/>
      <c r="BH44" s="421"/>
      <c r="BI44" s="421"/>
      <c r="BJ44" s="419"/>
      <c r="BK44" s="419"/>
      <c r="BL44" s="421"/>
      <c r="BM44" s="421"/>
      <c r="BN44" s="419"/>
      <c r="BO44" s="419"/>
      <c r="BP44" s="421"/>
      <c r="BQ44" s="421"/>
      <c r="BR44" s="419"/>
      <c r="BS44" s="419"/>
      <c r="BT44" s="421"/>
      <c r="BU44" s="421"/>
      <c r="BV44" s="419"/>
      <c r="BW44" s="419"/>
      <c r="BX44" s="421"/>
      <c r="BY44" s="421"/>
      <c r="BZ44" s="419"/>
      <c r="CA44" s="419"/>
      <c r="CB44" s="421"/>
      <c r="CC44" s="421"/>
      <c r="CD44" s="419"/>
      <c r="CE44" s="419"/>
      <c r="CF44" s="421"/>
      <c r="CG44" s="421"/>
      <c r="CH44" s="419"/>
      <c r="CI44" s="419"/>
      <c r="CJ44" s="421"/>
      <c r="CK44" s="421"/>
      <c r="CL44" s="419"/>
      <c r="CM44" s="421"/>
      <c r="CN44" s="424">
        <f t="shared" si="29"/>
        <v>0</v>
      </c>
      <c r="CO44" s="424">
        <f t="shared" si="30"/>
        <v>0</v>
      </c>
      <c r="CP44" s="425">
        <f t="shared" si="31"/>
        <v>0</v>
      </c>
      <c r="CQ44" s="425">
        <f t="shared" si="32"/>
        <v>0</v>
      </c>
      <c r="CR44" s="419"/>
      <c r="CS44" s="419"/>
      <c r="CT44" s="421"/>
      <c r="CU44" s="421"/>
      <c r="CV44" s="419"/>
      <c r="CW44" s="419"/>
      <c r="CX44" s="421"/>
      <c r="CY44" s="421"/>
      <c r="CZ44" s="419"/>
      <c r="DA44" s="419"/>
      <c r="DB44" s="421"/>
      <c r="DC44" s="421"/>
      <c r="DD44" s="419"/>
      <c r="DE44" s="419"/>
      <c r="DF44" s="421"/>
      <c r="DG44" s="421"/>
      <c r="DH44" s="419"/>
      <c r="DI44" s="419"/>
      <c r="DJ44" s="421"/>
      <c r="DK44" s="421"/>
      <c r="DL44" s="419"/>
      <c r="DM44" s="419"/>
      <c r="DN44" s="421"/>
      <c r="DO44" s="421"/>
      <c r="DP44" s="419"/>
      <c r="DQ44" s="419"/>
      <c r="DR44" s="421"/>
      <c r="DS44" s="421"/>
      <c r="DT44" s="419"/>
      <c r="DU44" s="419"/>
      <c r="DV44" s="421"/>
      <c r="DW44" s="421"/>
      <c r="DX44" s="419"/>
      <c r="DY44" s="419"/>
      <c r="DZ44" s="421"/>
      <c r="EA44" s="421"/>
      <c r="EB44" s="419"/>
      <c r="EC44" s="419"/>
      <c r="ED44" s="421"/>
      <c r="EE44" s="421"/>
      <c r="EF44" s="419"/>
      <c r="EG44" s="421"/>
      <c r="EH44" s="424">
        <f t="shared" si="33"/>
        <v>0</v>
      </c>
      <c r="EI44" s="424">
        <f t="shared" si="34"/>
        <v>0</v>
      </c>
      <c r="EJ44" s="422">
        <f t="shared" si="35"/>
        <v>0</v>
      </c>
      <c r="EK44" s="425">
        <f t="shared" si="36"/>
        <v>0</v>
      </c>
      <c r="EL44" s="425">
        <f t="shared" si="37"/>
        <v>0</v>
      </c>
      <c r="EM44" s="423">
        <f t="shared" si="38"/>
        <v>0</v>
      </c>
      <c r="EN44" s="424">
        <f t="shared" si="39"/>
        <v>0</v>
      </c>
      <c r="EO44" s="425">
        <f t="shared" si="40"/>
        <v>0</v>
      </c>
      <c r="EP44" s="419"/>
      <c r="EQ44" s="421"/>
      <c r="ER44" s="419"/>
      <c r="ES44" s="421"/>
      <c r="ET44" s="419"/>
      <c r="EU44" s="421"/>
      <c r="EV44" s="419"/>
      <c r="EW44" s="421"/>
      <c r="EX44" s="419"/>
      <c r="EY44" s="421"/>
      <c r="EZ44" s="419"/>
      <c r="FA44" s="421"/>
      <c r="FB44" s="419"/>
      <c r="FC44" s="421"/>
      <c r="FD44" s="419"/>
      <c r="FE44" s="421"/>
      <c r="FF44" s="419"/>
      <c r="FG44" s="421"/>
      <c r="FH44" s="419"/>
      <c r="FI44" s="421"/>
      <c r="FJ44" s="424">
        <f t="shared" si="41"/>
        <v>0</v>
      </c>
      <c r="FK44" s="425">
        <f t="shared" si="42"/>
        <v>0</v>
      </c>
      <c r="FL44" s="419"/>
      <c r="FM44" s="421"/>
      <c r="FN44" s="424">
        <f t="shared" si="43"/>
        <v>184</v>
      </c>
      <c r="FO44" s="425">
        <f t="shared" si="44"/>
        <v>143</v>
      </c>
    </row>
    <row r="45" spans="1:171">
      <c r="A45" s="98" t="s">
        <v>100</v>
      </c>
      <c r="B45" s="99" t="s">
        <v>539</v>
      </c>
      <c r="C45" s="100"/>
      <c r="D45" s="101">
        <v>101471</v>
      </c>
      <c r="E45" s="101">
        <v>13</v>
      </c>
      <c r="F45" s="419">
        <v>797</v>
      </c>
      <c r="G45" s="421">
        <v>681</v>
      </c>
      <c r="H45" s="419"/>
      <c r="I45" s="421"/>
      <c r="J45" s="419"/>
      <c r="K45" s="421">
        <v>0</v>
      </c>
      <c r="L45" s="422">
        <f t="shared" si="23"/>
        <v>0</v>
      </c>
      <c r="M45" s="423">
        <f t="shared" si="24"/>
        <v>0</v>
      </c>
      <c r="N45" s="419"/>
      <c r="O45" s="309">
        <f>0</f>
        <v>0</v>
      </c>
      <c r="P45" s="309">
        <f>0</f>
        <v>0</v>
      </c>
      <c r="Q45" s="309">
        <f>0</f>
        <v>0</v>
      </c>
      <c r="R45" s="424">
        <f t="shared" si="2"/>
        <v>0</v>
      </c>
      <c r="S45" s="421"/>
      <c r="T45" s="301">
        <f>0</f>
        <v>0</v>
      </c>
      <c r="U45" s="301">
        <f>0</f>
        <v>0</v>
      </c>
      <c r="V45" s="301">
        <f>0</f>
        <v>0</v>
      </c>
      <c r="W45" s="425">
        <f t="shared" si="3"/>
        <v>0</v>
      </c>
      <c r="X45" s="419"/>
      <c r="Y45" s="419"/>
      <c r="Z45" s="421"/>
      <c r="AA45" s="421"/>
      <c r="AB45" s="419"/>
      <c r="AC45" s="419"/>
      <c r="AD45" s="421"/>
      <c r="AE45" s="421"/>
      <c r="AF45" s="419"/>
      <c r="AG45" s="419"/>
      <c r="AH45" s="421"/>
      <c r="AI45" s="421"/>
      <c r="AJ45" s="419"/>
      <c r="AK45" s="419"/>
      <c r="AL45" s="421"/>
      <c r="AM45" s="421"/>
      <c r="AN45" s="419"/>
      <c r="AO45" s="419"/>
      <c r="AP45" s="421"/>
      <c r="AQ45" s="421"/>
      <c r="AR45" s="424">
        <f t="shared" si="25"/>
        <v>0</v>
      </c>
      <c r="AS45" s="422">
        <f t="shared" si="26"/>
        <v>0</v>
      </c>
      <c r="AT45" s="425">
        <f t="shared" si="27"/>
        <v>0</v>
      </c>
      <c r="AU45" s="423">
        <f t="shared" si="28"/>
        <v>0</v>
      </c>
      <c r="AV45" s="419"/>
      <c r="AW45" s="421"/>
      <c r="AX45" s="419"/>
      <c r="AY45" s="419"/>
      <c r="AZ45" s="421"/>
      <c r="BA45" s="421"/>
      <c r="BB45" s="419"/>
      <c r="BC45" s="419"/>
      <c r="BD45" s="421"/>
      <c r="BE45" s="421"/>
      <c r="BF45" s="419"/>
      <c r="BG45" s="419"/>
      <c r="BH45" s="421"/>
      <c r="BI45" s="421"/>
      <c r="BJ45" s="419"/>
      <c r="BK45" s="419"/>
      <c r="BL45" s="421"/>
      <c r="BM45" s="421"/>
      <c r="BN45" s="419"/>
      <c r="BO45" s="419"/>
      <c r="BP45" s="421"/>
      <c r="BQ45" s="421"/>
      <c r="BR45" s="419"/>
      <c r="BS45" s="419"/>
      <c r="BT45" s="421"/>
      <c r="BU45" s="421"/>
      <c r="BV45" s="419"/>
      <c r="BW45" s="419"/>
      <c r="BX45" s="421"/>
      <c r="BY45" s="421"/>
      <c r="BZ45" s="419"/>
      <c r="CA45" s="419"/>
      <c r="CB45" s="421"/>
      <c r="CC45" s="421"/>
      <c r="CD45" s="419"/>
      <c r="CE45" s="419"/>
      <c r="CF45" s="421"/>
      <c r="CG45" s="421"/>
      <c r="CH45" s="419"/>
      <c r="CI45" s="419"/>
      <c r="CJ45" s="421"/>
      <c r="CK45" s="421"/>
      <c r="CL45" s="419"/>
      <c r="CM45" s="421"/>
      <c r="CN45" s="424">
        <f t="shared" si="29"/>
        <v>0</v>
      </c>
      <c r="CO45" s="424">
        <f t="shared" si="30"/>
        <v>0</v>
      </c>
      <c r="CP45" s="425">
        <f t="shared" si="31"/>
        <v>0</v>
      </c>
      <c r="CQ45" s="425">
        <f t="shared" si="32"/>
        <v>0</v>
      </c>
      <c r="CR45" s="419"/>
      <c r="CS45" s="419"/>
      <c r="CT45" s="421"/>
      <c r="CU45" s="421"/>
      <c r="CV45" s="419"/>
      <c r="CW45" s="419"/>
      <c r="CX45" s="421"/>
      <c r="CY45" s="421"/>
      <c r="CZ45" s="419"/>
      <c r="DA45" s="419"/>
      <c r="DB45" s="421"/>
      <c r="DC45" s="421"/>
      <c r="DD45" s="419"/>
      <c r="DE45" s="419"/>
      <c r="DF45" s="421"/>
      <c r="DG45" s="421"/>
      <c r="DH45" s="419"/>
      <c r="DI45" s="419"/>
      <c r="DJ45" s="421"/>
      <c r="DK45" s="421"/>
      <c r="DL45" s="419"/>
      <c r="DM45" s="419"/>
      <c r="DN45" s="421"/>
      <c r="DO45" s="421"/>
      <c r="DP45" s="419"/>
      <c r="DQ45" s="419"/>
      <c r="DR45" s="421"/>
      <c r="DS45" s="421"/>
      <c r="DT45" s="419"/>
      <c r="DU45" s="419"/>
      <c r="DV45" s="421"/>
      <c r="DW45" s="421"/>
      <c r="DX45" s="419"/>
      <c r="DY45" s="419"/>
      <c r="DZ45" s="421"/>
      <c r="EA45" s="421"/>
      <c r="EB45" s="419"/>
      <c r="EC45" s="419"/>
      <c r="ED45" s="421"/>
      <c r="EE45" s="421"/>
      <c r="EF45" s="419"/>
      <c r="EG45" s="421"/>
      <c r="EH45" s="424">
        <f t="shared" si="33"/>
        <v>0</v>
      </c>
      <c r="EI45" s="424">
        <f t="shared" si="34"/>
        <v>0</v>
      </c>
      <c r="EJ45" s="422">
        <f t="shared" si="35"/>
        <v>0</v>
      </c>
      <c r="EK45" s="425">
        <f t="shared" si="36"/>
        <v>0</v>
      </c>
      <c r="EL45" s="425">
        <f t="shared" si="37"/>
        <v>0</v>
      </c>
      <c r="EM45" s="423">
        <f t="shared" si="38"/>
        <v>0</v>
      </c>
      <c r="EN45" s="424">
        <f t="shared" si="39"/>
        <v>0</v>
      </c>
      <c r="EO45" s="425">
        <f t="shared" si="40"/>
        <v>0</v>
      </c>
      <c r="EP45" s="419"/>
      <c r="EQ45" s="421"/>
      <c r="ER45" s="419"/>
      <c r="ES45" s="421"/>
      <c r="ET45" s="419"/>
      <c r="EU45" s="421"/>
      <c r="EV45" s="419"/>
      <c r="EW45" s="421"/>
      <c r="EX45" s="419"/>
      <c r="EY45" s="421"/>
      <c r="EZ45" s="419"/>
      <c r="FA45" s="421"/>
      <c r="FB45" s="419"/>
      <c r="FC45" s="421"/>
      <c r="FD45" s="419"/>
      <c r="FE45" s="421"/>
      <c r="FF45" s="419"/>
      <c r="FG45" s="421"/>
      <c r="FH45" s="419"/>
      <c r="FI45" s="421"/>
      <c r="FJ45" s="424">
        <f t="shared" si="41"/>
        <v>0</v>
      </c>
      <c r="FK45" s="425">
        <f t="shared" si="42"/>
        <v>0</v>
      </c>
      <c r="FL45" s="419"/>
      <c r="FM45" s="421"/>
      <c r="FN45" s="424">
        <f t="shared" si="43"/>
        <v>797</v>
      </c>
      <c r="FO45" s="425">
        <f t="shared" si="44"/>
        <v>681</v>
      </c>
    </row>
    <row r="46" spans="1:171">
      <c r="A46" s="98" t="s">
        <v>100</v>
      </c>
      <c r="B46" s="99" t="s">
        <v>540</v>
      </c>
      <c r="C46" s="100"/>
      <c r="D46" s="101">
        <v>101994</v>
      </c>
      <c r="E46" s="101">
        <v>13</v>
      </c>
      <c r="F46" s="419">
        <v>74</v>
      </c>
      <c r="G46" s="420">
        <v>109</v>
      </c>
      <c r="H46" s="419"/>
      <c r="I46" s="421"/>
      <c r="J46" s="419">
        <v>28</v>
      </c>
      <c r="K46" s="420">
        <v>36</v>
      </c>
      <c r="L46" s="422">
        <f t="shared" si="23"/>
        <v>0</v>
      </c>
      <c r="M46" s="423">
        <f t="shared" si="24"/>
        <v>0</v>
      </c>
      <c r="N46" s="419"/>
      <c r="O46" s="309">
        <f>0</f>
        <v>0</v>
      </c>
      <c r="P46" s="309">
        <f>0</f>
        <v>0</v>
      </c>
      <c r="Q46" s="309">
        <f>0</f>
        <v>0</v>
      </c>
      <c r="R46" s="424">
        <f t="shared" si="2"/>
        <v>0</v>
      </c>
      <c r="S46" s="421"/>
      <c r="T46" s="301">
        <f>0</f>
        <v>0</v>
      </c>
      <c r="U46" s="301">
        <f>0</f>
        <v>0</v>
      </c>
      <c r="V46" s="301">
        <f>0</f>
        <v>0</v>
      </c>
      <c r="W46" s="425">
        <f t="shared" si="3"/>
        <v>0</v>
      </c>
      <c r="X46" s="419"/>
      <c r="Y46" s="419"/>
      <c r="Z46" s="421"/>
      <c r="AA46" s="421"/>
      <c r="AB46" s="419"/>
      <c r="AC46" s="419"/>
      <c r="AD46" s="421"/>
      <c r="AE46" s="421"/>
      <c r="AF46" s="419"/>
      <c r="AG46" s="419"/>
      <c r="AH46" s="421"/>
      <c r="AI46" s="421"/>
      <c r="AJ46" s="419"/>
      <c r="AK46" s="419"/>
      <c r="AL46" s="421"/>
      <c r="AM46" s="421"/>
      <c r="AN46" s="419"/>
      <c r="AO46" s="419"/>
      <c r="AP46" s="421"/>
      <c r="AQ46" s="421"/>
      <c r="AR46" s="424">
        <f t="shared" si="25"/>
        <v>0</v>
      </c>
      <c r="AS46" s="422">
        <f t="shared" si="26"/>
        <v>0</v>
      </c>
      <c r="AT46" s="425">
        <f t="shared" si="27"/>
        <v>0</v>
      </c>
      <c r="AU46" s="423">
        <f t="shared" si="28"/>
        <v>0</v>
      </c>
      <c r="AV46" s="419"/>
      <c r="AW46" s="421"/>
      <c r="AX46" s="419"/>
      <c r="AY46" s="419"/>
      <c r="AZ46" s="421"/>
      <c r="BA46" s="421"/>
      <c r="BB46" s="419"/>
      <c r="BC46" s="419"/>
      <c r="BD46" s="421"/>
      <c r="BE46" s="421"/>
      <c r="BF46" s="419"/>
      <c r="BG46" s="419"/>
      <c r="BH46" s="421"/>
      <c r="BI46" s="421"/>
      <c r="BJ46" s="419"/>
      <c r="BK46" s="419"/>
      <c r="BL46" s="421"/>
      <c r="BM46" s="421"/>
      <c r="BN46" s="419"/>
      <c r="BO46" s="419"/>
      <c r="BP46" s="421"/>
      <c r="BQ46" s="421"/>
      <c r="BR46" s="419"/>
      <c r="BS46" s="419"/>
      <c r="BT46" s="421"/>
      <c r="BU46" s="421"/>
      <c r="BV46" s="419"/>
      <c r="BW46" s="419"/>
      <c r="BX46" s="421"/>
      <c r="BY46" s="421"/>
      <c r="BZ46" s="419"/>
      <c r="CA46" s="419"/>
      <c r="CB46" s="421"/>
      <c r="CC46" s="421"/>
      <c r="CD46" s="419"/>
      <c r="CE46" s="419"/>
      <c r="CF46" s="421"/>
      <c r="CG46" s="421"/>
      <c r="CH46" s="419"/>
      <c r="CI46" s="419"/>
      <c r="CJ46" s="421"/>
      <c r="CK46" s="421"/>
      <c r="CL46" s="419"/>
      <c r="CM46" s="421"/>
      <c r="CN46" s="424">
        <f t="shared" si="29"/>
        <v>0</v>
      </c>
      <c r="CO46" s="424">
        <f t="shared" si="30"/>
        <v>0</v>
      </c>
      <c r="CP46" s="425">
        <f t="shared" si="31"/>
        <v>0</v>
      </c>
      <c r="CQ46" s="425">
        <f t="shared" si="32"/>
        <v>0</v>
      </c>
      <c r="CR46" s="419"/>
      <c r="CS46" s="419"/>
      <c r="CT46" s="421"/>
      <c r="CU46" s="421"/>
      <c r="CV46" s="419"/>
      <c r="CW46" s="419"/>
      <c r="CX46" s="421"/>
      <c r="CY46" s="421"/>
      <c r="CZ46" s="419"/>
      <c r="DA46" s="419"/>
      <c r="DB46" s="421"/>
      <c r="DC46" s="421"/>
      <c r="DD46" s="419"/>
      <c r="DE46" s="419"/>
      <c r="DF46" s="421"/>
      <c r="DG46" s="421"/>
      <c r="DH46" s="419"/>
      <c r="DI46" s="419"/>
      <c r="DJ46" s="421"/>
      <c r="DK46" s="421"/>
      <c r="DL46" s="419"/>
      <c r="DM46" s="419"/>
      <c r="DN46" s="421"/>
      <c r="DO46" s="421"/>
      <c r="DP46" s="419"/>
      <c r="DQ46" s="419"/>
      <c r="DR46" s="421"/>
      <c r="DS46" s="421"/>
      <c r="DT46" s="419"/>
      <c r="DU46" s="419"/>
      <c r="DV46" s="421"/>
      <c r="DW46" s="421"/>
      <c r="DX46" s="419"/>
      <c r="DY46" s="419"/>
      <c r="DZ46" s="421"/>
      <c r="EA46" s="421"/>
      <c r="EB46" s="419"/>
      <c r="EC46" s="419"/>
      <c r="ED46" s="421"/>
      <c r="EE46" s="421"/>
      <c r="EF46" s="419"/>
      <c r="EG46" s="421"/>
      <c r="EH46" s="424">
        <f t="shared" si="33"/>
        <v>0</v>
      </c>
      <c r="EI46" s="424">
        <f t="shared" si="34"/>
        <v>0</v>
      </c>
      <c r="EJ46" s="422">
        <f t="shared" si="35"/>
        <v>0</v>
      </c>
      <c r="EK46" s="425">
        <f t="shared" si="36"/>
        <v>0</v>
      </c>
      <c r="EL46" s="425">
        <f t="shared" si="37"/>
        <v>0</v>
      </c>
      <c r="EM46" s="423">
        <f t="shared" si="38"/>
        <v>0</v>
      </c>
      <c r="EN46" s="424">
        <f t="shared" si="39"/>
        <v>0</v>
      </c>
      <c r="EO46" s="425">
        <f t="shared" si="40"/>
        <v>0</v>
      </c>
      <c r="EP46" s="419"/>
      <c r="EQ46" s="421"/>
      <c r="ER46" s="419"/>
      <c r="ES46" s="421"/>
      <c r="ET46" s="419"/>
      <c r="EU46" s="421"/>
      <c r="EV46" s="419"/>
      <c r="EW46" s="421"/>
      <c r="EX46" s="419"/>
      <c r="EY46" s="421"/>
      <c r="EZ46" s="419"/>
      <c r="FA46" s="421"/>
      <c r="FB46" s="419"/>
      <c r="FC46" s="421"/>
      <c r="FD46" s="419"/>
      <c r="FE46" s="421"/>
      <c r="FF46" s="419"/>
      <c r="FG46" s="421"/>
      <c r="FH46" s="419"/>
      <c r="FI46" s="421"/>
      <c r="FJ46" s="424">
        <f t="shared" si="41"/>
        <v>0</v>
      </c>
      <c r="FK46" s="425">
        <f t="shared" si="42"/>
        <v>0</v>
      </c>
      <c r="FL46" s="419"/>
      <c r="FM46" s="421"/>
      <c r="FN46" s="424">
        <f t="shared" si="43"/>
        <v>102</v>
      </c>
      <c r="FO46" s="425">
        <f t="shared" si="44"/>
        <v>145</v>
      </c>
    </row>
    <row r="47" spans="1:171">
      <c r="A47" s="98" t="s">
        <v>100</v>
      </c>
      <c r="B47" s="99" t="s">
        <v>541</v>
      </c>
      <c r="C47" s="100"/>
      <c r="D47" s="101">
        <v>101648</v>
      </c>
      <c r="E47" s="101">
        <v>15</v>
      </c>
      <c r="F47" s="419"/>
      <c r="G47" s="421"/>
      <c r="H47" s="419"/>
      <c r="I47" s="421"/>
      <c r="J47" s="419">
        <v>124</v>
      </c>
      <c r="K47" s="420">
        <v>92</v>
      </c>
      <c r="L47" s="422">
        <f t="shared" si="23"/>
        <v>0</v>
      </c>
      <c r="M47" s="423">
        <f t="shared" si="24"/>
        <v>0</v>
      </c>
      <c r="N47" s="419"/>
      <c r="O47" s="309">
        <f>0</f>
        <v>0</v>
      </c>
      <c r="P47" s="309">
        <f>0</f>
        <v>0</v>
      </c>
      <c r="Q47" s="309">
        <f>0</f>
        <v>0</v>
      </c>
      <c r="R47" s="424">
        <f t="shared" si="2"/>
        <v>0</v>
      </c>
      <c r="S47" s="421"/>
      <c r="T47" s="301">
        <f>0</f>
        <v>0</v>
      </c>
      <c r="U47" s="301">
        <f>0</f>
        <v>0</v>
      </c>
      <c r="V47" s="301">
        <f>0</f>
        <v>0</v>
      </c>
      <c r="W47" s="425">
        <f t="shared" si="3"/>
        <v>0</v>
      </c>
      <c r="X47" s="419"/>
      <c r="Y47" s="419"/>
      <c r="Z47" s="421"/>
      <c r="AA47" s="421"/>
      <c r="AB47" s="419"/>
      <c r="AC47" s="419"/>
      <c r="AD47" s="421"/>
      <c r="AE47" s="421"/>
      <c r="AF47" s="419"/>
      <c r="AG47" s="419"/>
      <c r="AH47" s="421"/>
      <c r="AI47" s="421"/>
      <c r="AJ47" s="419"/>
      <c r="AK47" s="419"/>
      <c r="AL47" s="421"/>
      <c r="AM47" s="421"/>
      <c r="AN47" s="419"/>
      <c r="AO47" s="419"/>
      <c r="AP47" s="421"/>
      <c r="AQ47" s="421"/>
      <c r="AR47" s="424">
        <f t="shared" si="25"/>
        <v>0</v>
      </c>
      <c r="AS47" s="422">
        <f t="shared" si="26"/>
        <v>0</v>
      </c>
      <c r="AT47" s="425">
        <f t="shared" si="27"/>
        <v>0</v>
      </c>
      <c r="AU47" s="423">
        <f t="shared" si="28"/>
        <v>0</v>
      </c>
      <c r="AV47" s="419"/>
      <c r="AW47" s="421"/>
      <c r="AX47" s="419"/>
      <c r="AY47" s="419"/>
      <c r="AZ47" s="421"/>
      <c r="BA47" s="421"/>
      <c r="BB47" s="419"/>
      <c r="BC47" s="419"/>
      <c r="BD47" s="421"/>
      <c r="BE47" s="421"/>
      <c r="BF47" s="419"/>
      <c r="BG47" s="419"/>
      <c r="BH47" s="421"/>
      <c r="BI47" s="421"/>
      <c r="BJ47" s="419"/>
      <c r="BK47" s="419"/>
      <c r="BL47" s="421"/>
      <c r="BM47" s="421"/>
      <c r="BN47" s="419"/>
      <c r="BO47" s="419"/>
      <c r="BP47" s="421"/>
      <c r="BQ47" s="421"/>
      <c r="BR47" s="419"/>
      <c r="BS47" s="419"/>
      <c r="BT47" s="421"/>
      <c r="BU47" s="421"/>
      <c r="BV47" s="419"/>
      <c r="BW47" s="419"/>
      <c r="BX47" s="421"/>
      <c r="BY47" s="421"/>
      <c r="BZ47" s="419"/>
      <c r="CA47" s="419"/>
      <c r="CB47" s="421"/>
      <c r="CC47" s="421"/>
      <c r="CD47" s="419"/>
      <c r="CE47" s="419"/>
      <c r="CF47" s="421"/>
      <c r="CG47" s="421"/>
      <c r="CH47" s="419"/>
      <c r="CI47" s="419"/>
      <c r="CJ47" s="421"/>
      <c r="CK47" s="421"/>
      <c r="CL47" s="419"/>
      <c r="CM47" s="421"/>
      <c r="CN47" s="424">
        <f t="shared" si="29"/>
        <v>0</v>
      </c>
      <c r="CO47" s="424">
        <f t="shared" si="30"/>
        <v>0</v>
      </c>
      <c r="CP47" s="425">
        <f t="shared" si="31"/>
        <v>0</v>
      </c>
      <c r="CQ47" s="425">
        <f t="shared" si="32"/>
        <v>0</v>
      </c>
      <c r="CR47" s="419"/>
      <c r="CS47" s="419"/>
      <c r="CT47" s="421"/>
      <c r="CU47" s="421"/>
      <c r="CV47" s="419"/>
      <c r="CW47" s="419"/>
      <c r="CX47" s="421"/>
      <c r="CY47" s="421"/>
      <c r="CZ47" s="419"/>
      <c r="DA47" s="419"/>
      <c r="DB47" s="421"/>
      <c r="DC47" s="421"/>
      <c r="DD47" s="419"/>
      <c r="DE47" s="419"/>
      <c r="DF47" s="421"/>
      <c r="DG47" s="421"/>
      <c r="DH47" s="419"/>
      <c r="DI47" s="419"/>
      <c r="DJ47" s="421"/>
      <c r="DK47" s="421"/>
      <c r="DL47" s="419"/>
      <c r="DM47" s="419"/>
      <c r="DN47" s="421"/>
      <c r="DO47" s="421"/>
      <c r="DP47" s="419"/>
      <c r="DQ47" s="419"/>
      <c r="DR47" s="421"/>
      <c r="DS47" s="421"/>
      <c r="DT47" s="419"/>
      <c r="DU47" s="419"/>
      <c r="DV47" s="421"/>
      <c r="DW47" s="421"/>
      <c r="DX47" s="419"/>
      <c r="DY47" s="419"/>
      <c r="DZ47" s="421"/>
      <c r="EA47" s="421"/>
      <c r="EB47" s="419"/>
      <c r="EC47" s="419"/>
      <c r="ED47" s="421"/>
      <c r="EE47" s="421"/>
      <c r="EF47" s="419"/>
      <c r="EG47" s="421"/>
      <c r="EH47" s="424">
        <f t="shared" si="33"/>
        <v>0</v>
      </c>
      <c r="EI47" s="424">
        <f t="shared" si="34"/>
        <v>0</v>
      </c>
      <c r="EJ47" s="422">
        <f t="shared" si="35"/>
        <v>0</v>
      </c>
      <c r="EK47" s="425">
        <f t="shared" si="36"/>
        <v>0</v>
      </c>
      <c r="EL47" s="425">
        <f t="shared" si="37"/>
        <v>0</v>
      </c>
      <c r="EM47" s="423">
        <f t="shared" si="38"/>
        <v>0</v>
      </c>
      <c r="EN47" s="424">
        <f t="shared" si="39"/>
        <v>0</v>
      </c>
      <c r="EO47" s="425">
        <f t="shared" si="40"/>
        <v>0</v>
      </c>
      <c r="EP47" s="419"/>
      <c r="EQ47" s="421"/>
      <c r="ER47" s="419"/>
      <c r="ES47" s="421"/>
      <c r="ET47" s="419"/>
      <c r="EU47" s="421"/>
      <c r="EV47" s="419"/>
      <c r="EW47" s="421"/>
      <c r="EX47" s="419"/>
      <c r="EY47" s="421"/>
      <c r="EZ47" s="419"/>
      <c r="FA47" s="421"/>
      <c r="FB47" s="419"/>
      <c r="FC47" s="421"/>
      <c r="FD47" s="419"/>
      <c r="FE47" s="421"/>
      <c r="FF47" s="419"/>
      <c r="FG47" s="421"/>
      <c r="FH47" s="419"/>
      <c r="FI47" s="421"/>
      <c r="FJ47" s="424">
        <f t="shared" si="41"/>
        <v>0</v>
      </c>
      <c r="FK47" s="425">
        <f t="shared" si="42"/>
        <v>0</v>
      </c>
      <c r="FL47" s="419"/>
      <c r="FM47" s="421"/>
      <c r="FN47" s="424">
        <f t="shared" si="43"/>
        <v>124</v>
      </c>
      <c r="FO47" s="425">
        <f t="shared" si="44"/>
        <v>92</v>
      </c>
    </row>
    <row r="48" spans="1:171">
      <c r="A48" s="427" t="s">
        <v>154</v>
      </c>
      <c r="B48" s="57" t="s">
        <v>544</v>
      </c>
      <c r="C48" s="56"/>
      <c r="D48" s="55">
        <v>106458</v>
      </c>
      <c r="E48" s="55">
        <v>3</v>
      </c>
      <c r="F48" s="419">
        <v>9</v>
      </c>
      <c r="G48" s="420">
        <v>33</v>
      </c>
      <c r="H48" s="419">
        <v>0</v>
      </c>
      <c r="I48" s="421">
        <v>0</v>
      </c>
      <c r="J48" s="419">
        <v>540</v>
      </c>
      <c r="K48" s="421">
        <v>545</v>
      </c>
      <c r="L48" s="422">
        <f t="shared" si="23"/>
        <v>0.2967032967032967</v>
      </c>
      <c r="M48" s="423">
        <f t="shared" si="24"/>
        <v>0.31834112149532712</v>
      </c>
      <c r="N48" s="419">
        <v>1820</v>
      </c>
      <c r="O48" s="309">
        <f>0</f>
        <v>0</v>
      </c>
      <c r="P48" s="309">
        <f>0</f>
        <v>0</v>
      </c>
      <c r="Q48" s="309">
        <f>0</f>
        <v>0</v>
      </c>
      <c r="R48" s="424">
        <f t="shared" si="2"/>
        <v>0</v>
      </c>
      <c r="S48" s="421">
        <v>1712</v>
      </c>
      <c r="T48" s="301">
        <f>0</f>
        <v>0</v>
      </c>
      <c r="U48" s="301">
        <f>0</f>
        <v>0</v>
      </c>
      <c r="V48" s="301">
        <f>0</f>
        <v>0</v>
      </c>
      <c r="W48" s="425">
        <f t="shared" si="3"/>
        <v>0</v>
      </c>
      <c r="X48" s="419"/>
      <c r="Y48" s="419"/>
      <c r="Z48" s="421"/>
      <c r="AA48" s="421"/>
      <c r="AB48" s="419"/>
      <c r="AC48" s="419"/>
      <c r="AD48" s="421"/>
      <c r="AE48" s="421"/>
      <c r="AF48" s="419"/>
      <c r="AG48" s="419"/>
      <c r="AH48" s="421"/>
      <c r="AI48" s="421"/>
      <c r="AJ48" s="419"/>
      <c r="AK48" s="419"/>
      <c r="AL48" s="421"/>
      <c r="AM48" s="421"/>
      <c r="AN48" s="419"/>
      <c r="AO48" s="419"/>
      <c r="AP48" s="421"/>
      <c r="AQ48" s="421"/>
      <c r="AR48" s="424">
        <f t="shared" si="25"/>
        <v>0</v>
      </c>
      <c r="AS48" s="422">
        <f t="shared" si="26"/>
        <v>0.36553524804177545</v>
      </c>
      <c r="AT48" s="425">
        <f t="shared" si="27"/>
        <v>0</v>
      </c>
      <c r="AU48" s="423">
        <f t="shared" si="28"/>
        <v>0.36042105263157892</v>
      </c>
      <c r="AV48" s="419">
        <v>116</v>
      </c>
      <c r="AW48" s="420">
        <v>85</v>
      </c>
      <c r="AX48" s="419">
        <v>13</v>
      </c>
      <c r="AY48" s="419">
        <v>1726</v>
      </c>
      <c r="AZ48" s="421">
        <v>13</v>
      </c>
      <c r="BA48" s="421">
        <v>1522</v>
      </c>
      <c r="BB48" s="419">
        <v>44</v>
      </c>
      <c r="BC48" s="419">
        <v>177</v>
      </c>
      <c r="BD48" s="421">
        <v>31</v>
      </c>
      <c r="BE48" s="421">
        <v>167</v>
      </c>
      <c r="BF48" s="419">
        <v>31</v>
      </c>
      <c r="BG48" s="419">
        <v>149</v>
      </c>
      <c r="BH48" s="421">
        <v>44</v>
      </c>
      <c r="BI48" s="421">
        <v>154</v>
      </c>
      <c r="BJ48" s="419">
        <v>51</v>
      </c>
      <c r="BK48" s="419">
        <v>93</v>
      </c>
      <c r="BL48" s="421">
        <v>51</v>
      </c>
      <c r="BM48" s="420">
        <v>130</v>
      </c>
      <c r="BN48" s="419">
        <v>52</v>
      </c>
      <c r="BO48" s="419">
        <v>66</v>
      </c>
      <c r="BP48" s="421">
        <v>52</v>
      </c>
      <c r="BQ48" s="420">
        <v>93</v>
      </c>
      <c r="BR48" s="419">
        <v>19</v>
      </c>
      <c r="BS48" s="419">
        <v>48</v>
      </c>
      <c r="BT48" s="421">
        <v>19</v>
      </c>
      <c r="BU48" s="421">
        <v>42</v>
      </c>
      <c r="BV48" s="419">
        <v>9</v>
      </c>
      <c r="BW48" s="419">
        <v>34</v>
      </c>
      <c r="BX48" s="421">
        <v>9</v>
      </c>
      <c r="BY48" s="421">
        <v>39</v>
      </c>
      <c r="BZ48" s="419">
        <v>11</v>
      </c>
      <c r="CA48" s="419">
        <v>27</v>
      </c>
      <c r="CB48" s="421">
        <v>11</v>
      </c>
      <c r="CC48" s="420">
        <v>35</v>
      </c>
      <c r="CD48" s="419">
        <v>43</v>
      </c>
      <c r="CE48" s="419">
        <v>22</v>
      </c>
      <c r="CF48" s="421">
        <v>15</v>
      </c>
      <c r="CG48" s="421">
        <v>20</v>
      </c>
      <c r="CH48" s="419">
        <v>15</v>
      </c>
      <c r="CI48" s="419">
        <v>18</v>
      </c>
      <c r="CJ48" s="421">
        <v>43</v>
      </c>
      <c r="CK48" s="421">
        <v>20</v>
      </c>
      <c r="CL48" s="419">
        <v>69</v>
      </c>
      <c r="CM48" s="421">
        <v>62</v>
      </c>
      <c r="CN48" s="424">
        <f t="shared" si="29"/>
        <v>2429</v>
      </c>
      <c r="CO48" s="424">
        <f t="shared" si="30"/>
        <v>10</v>
      </c>
      <c r="CP48" s="425">
        <f t="shared" si="31"/>
        <v>2284</v>
      </c>
      <c r="CQ48" s="425">
        <f t="shared" si="32"/>
        <v>10</v>
      </c>
      <c r="CR48" s="419">
        <v>13</v>
      </c>
      <c r="CS48" s="419">
        <v>11</v>
      </c>
      <c r="CT48" s="421">
        <v>13</v>
      </c>
      <c r="CU48" s="420">
        <v>16</v>
      </c>
      <c r="CV48" s="419">
        <v>26</v>
      </c>
      <c r="CW48" s="419">
        <v>3</v>
      </c>
      <c r="CX48" s="421">
        <v>5</v>
      </c>
      <c r="CY48" s="420">
        <v>5</v>
      </c>
      <c r="CZ48" s="419"/>
      <c r="DA48" s="419"/>
      <c r="DB48" s="421">
        <v>3</v>
      </c>
      <c r="DC48" s="420">
        <v>2</v>
      </c>
      <c r="DD48" s="419"/>
      <c r="DE48" s="419"/>
      <c r="DF48" s="421">
        <v>26</v>
      </c>
      <c r="DG48" s="420">
        <v>2</v>
      </c>
      <c r="DH48" s="419"/>
      <c r="DI48" s="419"/>
      <c r="DJ48" s="421"/>
      <c r="DK48" s="421"/>
      <c r="DL48" s="419"/>
      <c r="DM48" s="419"/>
      <c r="DN48" s="421"/>
      <c r="DO48" s="421"/>
      <c r="DP48" s="419"/>
      <c r="DQ48" s="419"/>
      <c r="DR48" s="421"/>
      <c r="DS48" s="421"/>
      <c r="DT48" s="419"/>
      <c r="DU48" s="419"/>
      <c r="DV48" s="421"/>
      <c r="DW48" s="421"/>
      <c r="DX48" s="419"/>
      <c r="DY48" s="419"/>
      <c r="DZ48" s="421"/>
      <c r="EA48" s="421"/>
      <c r="EB48" s="419"/>
      <c r="EC48" s="419"/>
      <c r="ED48" s="421"/>
      <c r="EE48" s="421"/>
      <c r="EF48" s="419"/>
      <c r="EG48" s="421"/>
      <c r="EH48" s="424">
        <f t="shared" si="33"/>
        <v>14</v>
      </c>
      <c r="EI48" s="424">
        <f t="shared" si="34"/>
        <v>2</v>
      </c>
      <c r="EJ48" s="422">
        <f t="shared" si="35"/>
        <v>0.7857142857142857</v>
      </c>
      <c r="EK48" s="425">
        <f t="shared" si="36"/>
        <v>25</v>
      </c>
      <c r="EL48" s="425">
        <f t="shared" si="37"/>
        <v>4</v>
      </c>
      <c r="EM48" s="423">
        <f t="shared" si="38"/>
        <v>0.64</v>
      </c>
      <c r="EN48" s="424">
        <f t="shared" si="39"/>
        <v>2443</v>
      </c>
      <c r="EO48" s="425">
        <f t="shared" si="40"/>
        <v>2309</v>
      </c>
      <c r="EP48" s="419"/>
      <c r="EQ48" s="421"/>
      <c r="ER48" s="419"/>
      <c r="ES48" s="421"/>
      <c r="ET48" s="419"/>
      <c r="EU48" s="421"/>
      <c r="EV48" s="419"/>
      <c r="EW48" s="421"/>
      <c r="EX48" s="419"/>
      <c r="EY48" s="421"/>
      <c r="EZ48" s="419"/>
      <c r="FA48" s="421"/>
      <c r="FB48" s="419"/>
      <c r="FC48" s="421"/>
      <c r="FD48" s="419"/>
      <c r="FE48" s="421"/>
      <c r="FF48" s="419"/>
      <c r="FG48" s="421"/>
      <c r="FH48" s="419">
        <v>51</v>
      </c>
      <c r="FI48" s="420">
        <v>66</v>
      </c>
      <c r="FJ48" s="424">
        <f t="shared" si="41"/>
        <v>51</v>
      </c>
      <c r="FK48" s="425">
        <f t="shared" si="42"/>
        <v>66</v>
      </c>
      <c r="FL48" s="419"/>
      <c r="FM48" s="421"/>
      <c r="FN48" s="424">
        <f t="shared" si="43"/>
        <v>4979</v>
      </c>
      <c r="FO48" s="425">
        <f t="shared" si="44"/>
        <v>4750</v>
      </c>
    </row>
    <row r="49" spans="1:171">
      <c r="A49" s="427" t="s">
        <v>154</v>
      </c>
      <c r="B49" s="57" t="s">
        <v>545</v>
      </c>
      <c r="C49" s="54"/>
      <c r="D49" s="55">
        <v>106467</v>
      </c>
      <c r="E49" s="55">
        <v>3</v>
      </c>
      <c r="F49" s="419">
        <v>1261</v>
      </c>
      <c r="G49" s="420">
        <v>944</v>
      </c>
      <c r="H49" s="419">
        <v>0</v>
      </c>
      <c r="I49" s="421">
        <v>0</v>
      </c>
      <c r="J49" s="419">
        <v>1054</v>
      </c>
      <c r="K49" s="421">
        <v>1238</v>
      </c>
      <c r="L49" s="422">
        <f t="shared" si="23"/>
        <v>0.77500000000000002</v>
      </c>
      <c r="M49" s="423">
        <f t="shared" si="24"/>
        <v>0.90629575402635432</v>
      </c>
      <c r="N49" s="419">
        <v>1360</v>
      </c>
      <c r="O49" s="309">
        <f>0</f>
        <v>0</v>
      </c>
      <c r="P49" s="309">
        <f>0</f>
        <v>0</v>
      </c>
      <c r="Q49" s="309">
        <f>0</f>
        <v>0</v>
      </c>
      <c r="R49" s="424">
        <f t="shared" si="2"/>
        <v>0</v>
      </c>
      <c r="S49" s="421">
        <v>1366</v>
      </c>
      <c r="T49" s="301">
        <f>0</f>
        <v>0</v>
      </c>
      <c r="U49" s="301">
        <f>0</f>
        <v>0</v>
      </c>
      <c r="V49" s="301">
        <f>0</f>
        <v>0</v>
      </c>
      <c r="W49" s="425">
        <f t="shared" si="3"/>
        <v>0</v>
      </c>
      <c r="X49" s="419"/>
      <c r="Y49" s="419"/>
      <c r="Z49" s="421"/>
      <c r="AA49" s="421"/>
      <c r="AB49" s="419"/>
      <c r="AC49" s="419"/>
      <c r="AD49" s="421"/>
      <c r="AE49" s="421"/>
      <c r="AF49" s="419"/>
      <c r="AG49" s="419"/>
      <c r="AH49" s="421"/>
      <c r="AI49" s="421"/>
      <c r="AJ49" s="419"/>
      <c r="AK49" s="419"/>
      <c r="AL49" s="421"/>
      <c r="AM49" s="421"/>
      <c r="AN49" s="419"/>
      <c r="AO49" s="419"/>
      <c r="AP49" s="421"/>
      <c r="AQ49" s="421"/>
      <c r="AR49" s="424">
        <f t="shared" si="25"/>
        <v>0</v>
      </c>
      <c r="AS49" s="422">
        <f t="shared" si="26"/>
        <v>0.33663366336633666</v>
      </c>
      <c r="AT49" s="425">
        <f t="shared" si="27"/>
        <v>0</v>
      </c>
      <c r="AU49" s="423">
        <f t="shared" si="28"/>
        <v>0.34918200408997957</v>
      </c>
      <c r="AV49" s="419">
        <v>33</v>
      </c>
      <c r="AW49" s="420">
        <v>19</v>
      </c>
      <c r="AX49" s="419">
        <v>13</v>
      </c>
      <c r="AY49" s="419">
        <v>235</v>
      </c>
      <c r="AZ49" s="421">
        <v>13</v>
      </c>
      <c r="BA49" s="421">
        <v>216</v>
      </c>
      <c r="BB49" s="419">
        <v>51</v>
      </c>
      <c r="BC49" s="419">
        <v>12</v>
      </c>
      <c r="BD49" s="421">
        <v>52</v>
      </c>
      <c r="BE49" s="420">
        <v>26</v>
      </c>
      <c r="BF49" s="419">
        <v>31</v>
      </c>
      <c r="BG49" s="419">
        <v>10</v>
      </c>
      <c r="BH49" s="421">
        <v>43</v>
      </c>
      <c r="BI49" s="420">
        <v>22</v>
      </c>
      <c r="BJ49" s="419">
        <v>43</v>
      </c>
      <c r="BK49" s="419">
        <v>10</v>
      </c>
      <c r="BL49" s="421">
        <v>51</v>
      </c>
      <c r="BM49" s="420">
        <v>13</v>
      </c>
      <c r="BN49" s="419">
        <v>14</v>
      </c>
      <c r="BO49" s="419">
        <v>9</v>
      </c>
      <c r="BP49" s="421">
        <v>11</v>
      </c>
      <c r="BQ49" s="420">
        <v>11</v>
      </c>
      <c r="BR49" s="419">
        <v>11</v>
      </c>
      <c r="BS49" s="419">
        <v>7</v>
      </c>
      <c r="BT49" s="421">
        <v>23</v>
      </c>
      <c r="BU49" s="420">
        <v>10</v>
      </c>
      <c r="BV49" s="419">
        <v>23</v>
      </c>
      <c r="BW49" s="419">
        <v>7</v>
      </c>
      <c r="BX49" s="421">
        <v>31</v>
      </c>
      <c r="BY49" s="421">
        <v>7</v>
      </c>
      <c r="BZ49" s="419">
        <v>9</v>
      </c>
      <c r="CA49" s="419">
        <v>5</v>
      </c>
      <c r="CB49" s="421">
        <v>42</v>
      </c>
      <c r="CC49" s="421">
        <v>5</v>
      </c>
      <c r="CD49" s="419">
        <v>24</v>
      </c>
      <c r="CE49" s="419">
        <v>4</v>
      </c>
      <c r="CF49" s="421">
        <v>54</v>
      </c>
      <c r="CG49" s="421">
        <v>4</v>
      </c>
      <c r="CH49" s="419">
        <v>54</v>
      </c>
      <c r="CI49" s="419">
        <v>4</v>
      </c>
      <c r="CJ49" s="421">
        <v>14</v>
      </c>
      <c r="CK49" s="421">
        <v>4</v>
      </c>
      <c r="CL49" s="419">
        <v>8</v>
      </c>
      <c r="CM49" s="420">
        <v>13</v>
      </c>
      <c r="CN49" s="424">
        <f t="shared" si="29"/>
        <v>311</v>
      </c>
      <c r="CO49" s="424">
        <f t="shared" si="30"/>
        <v>10</v>
      </c>
      <c r="CP49" s="425">
        <f t="shared" si="31"/>
        <v>331</v>
      </c>
      <c r="CQ49" s="425">
        <f t="shared" si="32"/>
        <v>10</v>
      </c>
      <c r="CR49" s="419">
        <v>13</v>
      </c>
      <c r="CS49" s="419">
        <v>21</v>
      </c>
      <c r="CT49" s="421">
        <v>13</v>
      </c>
      <c r="CU49" s="420">
        <v>14</v>
      </c>
      <c r="CV49" s="419"/>
      <c r="CW49" s="419"/>
      <c r="CX49" s="421"/>
      <c r="CY49" s="421"/>
      <c r="CZ49" s="419"/>
      <c r="DA49" s="419"/>
      <c r="DB49" s="421"/>
      <c r="DC49" s="421"/>
      <c r="DD49" s="419"/>
      <c r="DE49" s="419"/>
      <c r="DF49" s="421"/>
      <c r="DG49" s="421"/>
      <c r="DH49" s="419"/>
      <c r="DI49" s="419"/>
      <c r="DJ49" s="421"/>
      <c r="DK49" s="421"/>
      <c r="DL49" s="419"/>
      <c r="DM49" s="419"/>
      <c r="DN49" s="421"/>
      <c r="DO49" s="421"/>
      <c r="DP49" s="419"/>
      <c r="DQ49" s="419"/>
      <c r="DR49" s="421"/>
      <c r="DS49" s="421"/>
      <c r="DT49" s="419"/>
      <c r="DU49" s="419"/>
      <c r="DV49" s="421"/>
      <c r="DW49" s="421"/>
      <c r="DX49" s="419"/>
      <c r="DY49" s="419"/>
      <c r="DZ49" s="421"/>
      <c r="EA49" s="421"/>
      <c r="EB49" s="419"/>
      <c r="EC49" s="419"/>
      <c r="ED49" s="421"/>
      <c r="EE49" s="421"/>
      <c r="EF49" s="419"/>
      <c r="EG49" s="421"/>
      <c r="EH49" s="424">
        <f t="shared" si="33"/>
        <v>21</v>
      </c>
      <c r="EI49" s="424">
        <f t="shared" si="34"/>
        <v>1</v>
      </c>
      <c r="EJ49" s="422">
        <f t="shared" si="35"/>
        <v>1</v>
      </c>
      <c r="EK49" s="425">
        <f t="shared" si="36"/>
        <v>14</v>
      </c>
      <c r="EL49" s="425">
        <f t="shared" si="37"/>
        <v>1</v>
      </c>
      <c r="EM49" s="423">
        <f t="shared" si="38"/>
        <v>1</v>
      </c>
      <c r="EN49" s="424">
        <f t="shared" si="39"/>
        <v>332</v>
      </c>
      <c r="EO49" s="425">
        <f t="shared" si="40"/>
        <v>345</v>
      </c>
      <c r="EP49" s="419"/>
      <c r="EQ49" s="421"/>
      <c r="ER49" s="419"/>
      <c r="ES49" s="421"/>
      <c r="ET49" s="419"/>
      <c r="EU49" s="421"/>
      <c r="EV49" s="419"/>
      <c r="EW49" s="421"/>
      <c r="EX49" s="419"/>
      <c r="EY49" s="421"/>
      <c r="EZ49" s="419"/>
      <c r="FA49" s="421"/>
      <c r="FB49" s="419"/>
      <c r="FC49" s="421"/>
      <c r="FD49" s="419"/>
      <c r="FE49" s="421"/>
      <c r="FF49" s="419"/>
      <c r="FG49" s="421"/>
      <c r="FH49" s="419"/>
      <c r="FI49" s="421"/>
      <c r="FJ49" s="424">
        <f t="shared" si="41"/>
        <v>0</v>
      </c>
      <c r="FK49" s="425">
        <f t="shared" si="42"/>
        <v>0</v>
      </c>
      <c r="FL49" s="419"/>
      <c r="FM49" s="421"/>
      <c r="FN49" s="424">
        <f t="shared" si="43"/>
        <v>4040</v>
      </c>
      <c r="FO49" s="425">
        <f t="shared" si="44"/>
        <v>3912</v>
      </c>
    </row>
    <row r="50" spans="1:171">
      <c r="A50" s="427" t="s">
        <v>154</v>
      </c>
      <c r="B50" s="57" t="s">
        <v>547</v>
      </c>
      <c r="C50" s="56"/>
      <c r="D50" s="55">
        <v>107071</v>
      </c>
      <c r="E50" s="55">
        <v>4</v>
      </c>
      <c r="F50" s="419">
        <v>9</v>
      </c>
      <c r="G50" s="420">
        <v>34</v>
      </c>
      <c r="H50" s="419">
        <v>0</v>
      </c>
      <c r="I50" s="421">
        <v>0</v>
      </c>
      <c r="J50" s="419">
        <v>8</v>
      </c>
      <c r="K50" s="420">
        <v>15</v>
      </c>
      <c r="L50" s="422">
        <f t="shared" si="23"/>
        <v>1.4981273408239701E-2</v>
      </c>
      <c r="M50" s="423">
        <f t="shared" si="24"/>
        <v>3.0864197530864196E-2</v>
      </c>
      <c r="N50" s="419">
        <v>534</v>
      </c>
      <c r="O50" s="309">
        <f>0</f>
        <v>0</v>
      </c>
      <c r="P50" s="309">
        <f>0</f>
        <v>0</v>
      </c>
      <c r="Q50" s="309">
        <f>0</f>
        <v>0</v>
      </c>
      <c r="R50" s="424">
        <f t="shared" si="2"/>
        <v>0</v>
      </c>
      <c r="S50" s="421">
        <v>486</v>
      </c>
      <c r="T50" s="301">
        <f>0</f>
        <v>0</v>
      </c>
      <c r="U50" s="301">
        <f>0</f>
        <v>0</v>
      </c>
      <c r="V50" s="301">
        <f>0</f>
        <v>0</v>
      </c>
      <c r="W50" s="425">
        <f t="shared" si="3"/>
        <v>0</v>
      </c>
      <c r="X50" s="419"/>
      <c r="Y50" s="419"/>
      <c r="Z50" s="421"/>
      <c r="AA50" s="421"/>
      <c r="AB50" s="419"/>
      <c r="AC50" s="419"/>
      <c r="AD50" s="421"/>
      <c r="AE50" s="421"/>
      <c r="AF50" s="419"/>
      <c r="AG50" s="419"/>
      <c r="AH50" s="421"/>
      <c r="AI50" s="421"/>
      <c r="AJ50" s="419"/>
      <c r="AK50" s="419"/>
      <c r="AL50" s="421"/>
      <c r="AM50" s="421"/>
      <c r="AN50" s="419"/>
      <c r="AO50" s="419"/>
      <c r="AP50" s="421"/>
      <c r="AQ50" s="421"/>
      <c r="AR50" s="424">
        <f t="shared" si="25"/>
        <v>0</v>
      </c>
      <c r="AS50" s="422">
        <f t="shared" si="26"/>
        <v>0.72851296043656211</v>
      </c>
      <c r="AT50" s="425">
        <f t="shared" si="27"/>
        <v>0</v>
      </c>
      <c r="AU50" s="423">
        <f t="shared" si="28"/>
        <v>0.61832061068702293</v>
      </c>
      <c r="AV50" s="419">
        <v>34</v>
      </c>
      <c r="AW50" s="420">
        <v>74</v>
      </c>
      <c r="AX50" s="419">
        <v>13</v>
      </c>
      <c r="AY50" s="419">
        <v>89</v>
      </c>
      <c r="AZ50" s="421">
        <v>13</v>
      </c>
      <c r="BA50" s="421">
        <v>94</v>
      </c>
      <c r="BB50" s="419">
        <v>52</v>
      </c>
      <c r="BC50" s="419">
        <v>19</v>
      </c>
      <c r="BD50" s="421">
        <v>51</v>
      </c>
      <c r="BE50" s="420">
        <v>34</v>
      </c>
      <c r="BF50" s="419">
        <v>42</v>
      </c>
      <c r="BG50" s="419">
        <v>14</v>
      </c>
      <c r="BH50" s="421">
        <v>52</v>
      </c>
      <c r="BI50" s="420">
        <v>19</v>
      </c>
      <c r="BJ50" s="419">
        <v>51</v>
      </c>
      <c r="BK50" s="419">
        <v>12</v>
      </c>
      <c r="BL50" s="421">
        <v>31</v>
      </c>
      <c r="BM50" s="420">
        <v>18</v>
      </c>
      <c r="BN50" s="419">
        <v>31</v>
      </c>
      <c r="BO50" s="419">
        <v>9</v>
      </c>
      <c r="BP50" s="421">
        <v>42</v>
      </c>
      <c r="BQ50" s="420">
        <v>11</v>
      </c>
      <c r="BR50" s="419">
        <v>24</v>
      </c>
      <c r="BS50" s="419">
        <v>5</v>
      </c>
      <c r="BT50" s="421">
        <v>24</v>
      </c>
      <c r="BU50" s="420">
        <v>1</v>
      </c>
      <c r="BV50" s="419"/>
      <c r="BW50" s="419"/>
      <c r="BX50" s="421"/>
      <c r="BY50" s="421"/>
      <c r="BZ50" s="419"/>
      <c r="CA50" s="419"/>
      <c r="CB50" s="421"/>
      <c r="CC50" s="421"/>
      <c r="CD50" s="419"/>
      <c r="CE50" s="419"/>
      <c r="CF50" s="421"/>
      <c r="CG50" s="421"/>
      <c r="CH50" s="419"/>
      <c r="CI50" s="419"/>
      <c r="CJ50" s="421"/>
      <c r="CK50" s="421"/>
      <c r="CL50" s="419"/>
      <c r="CM50" s="421"/>
      <c r="CN50" s="424">
        <f t="shared" si="29"/>
        <v>148</v>
      </c>
      <c r="CO50" s="424">
        <f t="shared" si="30"/>
        <v>6</v>
      </c>
      <c r="CP50" s="425">
        <f t="shared" si="31"/>
        <v>177</v>
      </c>
      <c r="CQ50" s="425">
        <f t="shared" si="32"/>
        <v>6</v>
      </c>
      <c r="CR50" s="419"/>
      <c r="CS50" s="419"/>
      <c r="CT50" s="421"/>
      <c r="CU50" s="421"/>
      <c r="CV50" s="419"/>
      <c r="CW50" s="419"/>
      <c r="CX50" s="421"/>
      <c r="CY50" s="421"/>
      <c r="CZ50" s="419"/>
      <c r="DA50" s="419"/>
      <c r="DB50" s="421"/>
      <c r="DC50" s="421"/>
      <c r="DD50" s="419"/>
      <c r="DE50" s="419"/>
      <c r="DF50" s="421"/>
      <c r="DG50" s="421"/>
      <c r="DH50" s="419"/>
      <c r="DI50" s="419"/>
      <c r="DJ50" s="421"/>
      <c r="DK50" s="421"/>
      <c r="DL50" s="419"/>
      <c r="DM50" s="419"/>
      <c r="DN50" s="421"/>
      <c r="DO50" s="421"/>
      <c r="DP50" s="419"/>
      <c r="DQ50" s="419"/>
      <c r="DR50" s="421"/>
      <c r="DS50" s="421"/>
      <c r="DT50" s="419"/>
      <c r="DU50" s="419"/>
      <c r="DV50" s="421"/>
      <c r="DW50" s="421"/>
      <c r="DX50" s="419"/>
      <c r="DY50" s="419"/>
      <c r="DZ50" s="421"/>
      <c r="EA50" s="421"/>
      <c r="EB50" s="419"/>
      <c r="EC50" s="419"/>
      <c r="ED50" s="421"/>
      <c r="EE50" s="421"/>
      <c r="EF50" s="419"/>
      <c r="EG50" s="421"/>
      <c r="EH50" s="424">
        <f t="shared" si="33"/>
        <v>0</v>
      </c>
      <c r="EI50" s="424">
        <f t="shared" si="34"/>
        <v>0</v>
      </c>
      <c r="EJ50" s="422">
        <f t="shared" si="35"/>
        <v>0</v>
      </c>
      <c r="EK50" s="425">
        <f t="shared" si="36"/>
        <v>0</v>
      </c>
      <c r="EL50" s="425">
        <f t="shared" si="37"/>
        <v>0</v>
      </c>
      <c r="EM50" s="423">
        <f t="shared" si="38"/>
        <v>0</v>
      </c>
      <c r="EN50" s="424">
        <f t="shared" si="39"/>
        <v>148</v>
      </c>
      <c r="EO50" s="425">
        <f t="shared" si="40"/>
        <v>177</v>
      </c>
      <c r="EP50" s="419"/>
      <c r="EQ50" s="421"/>
      <c r="ER50" s="419"/>
      <c r="ES50" s="421"/>
      <c r="ET50" s="419"/>
      <c r="EU50" s="421"/>
      <c r="EV50" s="419"/>
      <c r="EW50" s="421"/>
      <c r="EX50" s="419"/>
      <c r="EY50" s="421"/>
      <c r="EZ50" s="419"/>
      <c r="FA50" s="421"/>
      <c r="FB50" s="419"/>
      <c r="FC50" s="421"/>
      <c r="FD50" s="419"/>
      <c r="FE50" s="421"/>
      <c r="FF50" s="419"/>
      <c r="FG50" s="421"/>
      <c r="FH50" s="419"/>
      <c r="FI50" s="421"/>
      <c r="FJ50" s="424">
        <f t="shared" si="41"/>
        <v>0</v>
      </c>
      <c r="FK50" s="425">
        <f t="shared" si="42"/>
        <v>0</v>
      </c>
      <c r="FL50" s="419"/>
      <c r="FM50" s="421"/>
      <c r="FN50" s="424">
        <f t="shared" si="43"/>
        <v>733</v>
      </c>
      <c r="FO50" s="425">
        <f t="shared" si="44"/>
        <v>786</v>
      </c>
    </row>
    <row r="51" spans="1:171">
      <c r="A51" s="427" t="s">
        <v>154</v>
      </c>
      <c r="B51" s="57" t="s">
        <v>548</v>
      </c>
      <c r="C51" s="54"/>
      <c r="D51" s="55">
        <v>107983</v>
      </c>
      <c r="E51" s="55">
        <v>4</v>
      </c>
      <c r="F51" s="419">
        <v>0</v>
      </c>
      <c r="G51" s="421">
        <v>0</v>
      </c>
      <c r="H51" s="419">
        <v>0</v>
      </c>
      <c r="I51" s="421">
        <v>0</v>
      </c>
      <c r="J51" s="419">
        <v>375</v>
      </c>
      <c r="K51" s="421">
        <v>379</v>
      </c>
      <c r="L51" s="422">
        <f t="shared" si="23"/>
        <v>0.77639751552795033</v>
      </c>
      <c r="M51" s="423">
        <f t="shared" si="24"/>
        <v>0.70708955223880599</v>
      </c>
      <c r="N51" s="419">
        <v>483</v>
      </c>
      <c r="O51" s="309">
        <f>0</f>
        <v>0</v>
      </c>
      <c r="P51" s="309">
        <f>0</f>
        <v>0</v>
      </c>
      <c r="Q51" s="309">
        <f>0</f>
        <v>0</v>
      </c>
      <c r="R51" s="424">
        <f t="shared" si="2"/>
        <v>0</v>
      </c>
      <c r="S51" s="421">
        <v>536</v>
      </c>
      <c r="T51" s="301">
        <f>0</f>
        <v>0</v>
      </c>
      <c r="U51" s="301">
        <f>0</f>
        <v>0</v>
      </c>
      <c r="V51" s="301">
        <f>0</f>
        <v>0</v>
      </c>
      <c r="W51" s="425">
        <f t="shared" si="3"/>
        <v>0</v>
      </c>
      <c r="X51" s="419"/>
      <c r="Y51" s="419"/>
      <c r="Z51" s="421"/>
      <c r="AA51" s="421"/>
      <c r="AB51" s="419"/>
      <c r="AC51" s="419"/>
      <c r="AD51" s="421"/>
      <c r="AE51" s="421"/>
      <c r="AF51" s="419"/>
      <c r="AG51" s="419"/>
      <c r="AH51" s="421"/>
      <c r="AI51" s="421"/>
      <c r="AJ51" s="419"/>
      <c r="AK51" s="419"/>
      <c r="AL51" s="421"/>
      <c r="AM51" s="421"/>
      <c r="AN51" s="419"/>
      <c r="AO51" s="419"/>
      <c r="AP51" s="421"/>
      <c r="AQ51" s="421"/>
      <c r="AR51" s="424">
        <f t="shared" si="25"/>
        <v>0</v>
      </c>
      <c r="AS51" s="422">
        <f t="shared" si="26"/>
        <v>0.38951612903225807</v>
      </c>
      <c r="AT51" s="425">
        <f t="shared" si="27"/>
        <v>0</v>
      </c>
      <c r="AU51" s="423">
        <f t="shared" si="28"/>
        <v>0.40791476407914762</v>
      </c>
      <c r="AV51" s="419">
        <v>9</v>
      </c>
      <c r="AW51" s="420">
        <v>12</v>
      </c>
      <c r="AX51" s="419">
        <v>11</v>
      </c>
      <c r="AY51" s="419">
        <v>172</v>
      </c>
      <c r="AZ51" s="421">
        <v>13</v>
      </c>
      <c r="BA51" s="421">
        <v>191</v>
      </c>
      <c r="BB51" s="419">
        <v>13</v>
      </c>
      <c r="BC51" s="419">
        <v>137</v>
      </c>
      <c r="BD51" s="421">
        <v>11</v>
      </c>
      <c r="BE51" s="421">
        <v>126</v>
      </c>
      <c r="BF51" s="419">
        <v>52</v>
      </c>
      <c r="BG51" s="419">
        <v>33</v>
      </c>
      <c r="BH51" s="421">
        <v>52</v>
      </c>
      <c r="BI51" s="420">
        <v>47</v>
      </c>
      <c r="BJ51" s="419">
        <v>31</v>
      </c>
      <c r="BK51" s="419">
        <v>16</v>
      </c>
      <c r="BL51" s="421">
        <v>31</v>
      </c>
      <c r="BM51" s="420">
        <v>12</v>
      </c>
      <c r="BN51" s="419">
        <v>44</v>
      </c>
      <c r="BO51" s="419">
        <v>9</v>
      </c>
      <c r="BP51" s="421">
        <v>44</v>
      </c>
      <c r="BQ51" s="421">
        <v>9</v>
      </c>
      <c r="BR51" s="419">
        <v>1</v>
      </c>
      <c r="BS51" s="419">
        <v>6</v>
      </c>
      <c r="BT51" s="421">
        <v>1</v>
      </c>
      <c r="BU51" s="420">
        <v>2</v>
      </c>
      <c r="BV51" s="419"/>
      <c r="BW51" s="419"/>
      <c r="BX51" s="421"/>
      <c r="BY51" s="421"/>
      <c r="BZ51" s="419"/>
      <c r="CA51" s="419"/>
      <c r="CB51" s="421"/>
      <c r="CC51" s="421"/>
      <c r="CD51" s="419"/>
      <c r="CE51" s="419"/>
      <c r="CF51" s="421"/>
      <c r="CG51" s="421"/>
      <c r="CH51" s="419"/>
      <c r="CI51" s="419"/>
      <c r="CJ51" s="421"/>
      <c r="CK51" s="421"/>
      <c r="CL51" s="419"/>
      <c r="CM51" s="421"/>
      <c r="CN51" s="424">
        <f t="shared" si="29"/>
        <v>373</v>
      </c>
      <c r="CO51" s="424">
        <f t="shared" si="30"/>
        <v>6</v>
      </c>
      <c r="CP51" s="425">
        <f t="shared" si="31"/>
        <v>387</v>
      </c>
      <c r="CQ51" s="425">
        <f t="shared" si="32"/>
        <v>6</v>
      </c>
      <c r="CR51" s="419"/>
      <c r="CS51" s="419"/>
      <c r="CT51" s="421"/>
      <c r="CU51" s="421"/>
      <c r="CV51" s="419"/>
      <c r="CW51" s="419"/>
      <c r="CX51" s="421"/>
      <c r="CY51" s="421"/>
      <c r="CZ51" s="419"/>
      <c r="DA51" s="419"/>
      <c r="DB51" s="421"/>
      <c r="DC51" s="421"/>
      <c r="DD51" s="419"/>
      <c r="DE51" s="419"/>
      <c r="DF51" s="421"/>
      <c r="DG51" s="421"/>
      <c r="DH51" s="419"/>
      <c r="DI51" s="419"/>
      <c r="DJ51" s="421"/>
      <c r="DK51" s="421"/>
      <c r="DL51" s="419"/>
      <c r="DM51" s="419"/>
      <c r="DN51" s="421"/>
      <c r="DO51" s="421"/>
      <c r="DP51" s="419"/>
      <c r="DQ51" s="419"/>
      <c r="DR51" s="421"/>
      <c r="DS51" s="421"/>
      <c r="DT51" s="419"/>
      <c r="DU51" s="419"/>
      <c r="DV51" s="421"/>
      <c r="DW51" s="421"/>
      <c r="DX51" s="419"/>
      <c r="DY51" s="419"/>
      <c r="DZ51" s="421"/>
      <c r="EA51" s="421"/>
      <c r="EB51" s="419"/>
      <c r="EC51" s="419"/>
      <c r="ED51" s="421"/>
      <c r="EE51" s="421"/>
      <c r="EF51" s="419"/>
      <c r="EG51" s="421"/>
      <c r="EH51" s="424">
        <f t="shared" si="33"/>
        <v>0</v>
      </c>
      <c r="EI51" s="424">
        <f t="shared" si="34"/>
        <v>0</v>
      </c>
      <c r="EJ51" s="422">
        <f t="shared" si="35"/>
        <v>0</v>
      </c>
      <c r="EK51" s="425">
        <f t="shared" si="36"/>
        <v>0</v>
      </c>
      <c r="EL51" s="425">
        <f t="shared" si="37"/>
        <v>0</v>
      </c>
      <c r="EM51" s="423">
        <f t="shared" si="38"/>
        <v>0</v>
      </c>
      <c r="EN51" s="424">
        <f t="shared" si="39"/>
        <v>373</v>
      </c>
      <c r="EO51" s="425">
        <f t="shared" si="40"/>
        <v>387</v>
      </c>
      <c r="EP51" s="419"/>
      <c r="EQ51" s="421"/>
      <c r="ER51" s="419"/>
      <c r="ES51" s="421"/>
      <c r="ET51" s="419"/>
      <c r="EU51" s="421"/>
      <c r="EV51" s="419"/>
      <c r="EW51" s="421"/>
      <c r="EX51" s="419"/>
      <c r="EY51" s="421"/>
      <c r="EZ51" s="419"/>
      <c r="FA51" s="421"/>
      <c r="FB51" s="419"/>
      <c r="FC51" s="421"/>
      <c r="FD51" s="419"/>
      <c r="FE51" s="421"/>
      <c r="FF51" s="419"/>
      <c r="FG51" s="421"/>
      <c r="FH51" s="419"/>
      <c r="FI51" s="421"/>
      <c r="FJ51" s="424">
        <f t="shared" si="41"/>
        <v>0</v>
      </c>
      <c r="FK51" s="425">
        <f t="shared" si="42"/>
        <v>0</v>
      </c>
      <c r="FL51" s="419"/>
      <c r="FM51" s="421"/>
      <c r="FN51" s="424">
        <f t="shared" si="43"/>
        <v>1240</v>
      </c>
      <c r="FO51" s="425">
        <f t="shared" si="44"/>
        <v>1314</v>
      </c>
    </row>
    <row r="52" spans="1:171">
      <c r="A52" s="427" t="s">
        <v>154</v>
      </c>
      <c r="B52" s="57" t="s">
        <v>542</v>
      </c>
      <c r="C52" s="56"/>
      <c r="D52" s="55">
        <v>106397</v>
      </c>
      <c r="E52" s="55">
        <v>1</v>
      </c>
      <c r="F52" s="419">
        <v>5</v>
      </c>
      <c r="G52" s="420">
        <v>8</v>
      </c>
      <c r="H52" s="419">
        <v>0</v>
      </c>
      <c r="I52" s="421">
        <v>0</v>
      </c>
      <c r="J52" s="419">
        <v>0</v>
      </c>
      <c r="K52" s="421">
        <v>0</v>
      </c>
      <c r="L52" s="422">
        <f t="shared" si="23"/>
        <v>0</v>
      </c>
      <c r="M52" s="423">
        <f t="shared" si="24"/>
        <v>0</v>
      </c>
      <c r="N52" s="419">
        <v>4903</v>
      </c>
      <c r="O52" s="309">
        <f>0</f>
        <v>0</v>
      </c>
      <c r="P52" s="309">
        <f>0</f>
        <v>0</v>
      </c>
      <c r="Q52" s="309">
        <f>0</f>
        <v>0</v>
      </c>
      <c r="R52" s="424">
        <f t="shared" si="2"/>
        <v>0</v>
      </c>
      <c r="S52" s="421">
        <v>5183</v>
      </c>
      <c r="T52" s="301">
        <f>0</f>
        <v>0</v>
      </c>
      <c r="U52" s="301">
        <f>0</f>
        <v>0</v>
      </c>
      <c r="V52" s="301">
        <f>0</f>
        <v>0</v>
      </c>
      <c r="W52" s="425">
        <f t="shared" si="3"/>
        <v>0</v>
      </c>
      <c r="X52" s="419"/>
      <c r="Y52" s="419"/>
      <c r="Z52" s="421"/>
      <c r="AA52" s="421"/>
      <c r="AB52" s="419"/>
      <c r="AC52" s="419"/>
      <c r="AD52" s="421"/>
      <c r="AE52" s="421"/>
      <c r="AF52" s="419"/>
      <c r="AG52" s="419"/>
      <c r="AH52" s="421"/>
      <c r="AI52" s="421"/>
      <c r="AJ52" s="419"/>
      <c r="AK52" s="419"/>
      <c r="AL52" s="421"/>
      <c r="AM52" s="421"/>
      <c r="AN52" s="419"/>
      <c r="AO52" s="419"/>
      <c r="AP52" s="421"/>
      <c r="AQ52" s="421"/>
      <c r="AR52" s="424">
        <f t="shared" si="25"/>
        <v>0</v>
      </c>
      <c r="AS52" s="422">
        <f t="shared" si="26"/>
        <v>0.74969418960244649</v>
      </c>
      <c r="AT52" s="425">
        <f t="shared" si="27"/>
        <v>0</v>
      </c>
      <c r="AU52" s="423">
        <f t="shared" si="28"/>
        <v>0.75181317087322308</v>
      </c>
      <c r="AV52" s="419">
        <v>185</v>
      </c>
      <c r="AW52" s="420">
        <v>233</v>
      </c>
      <c r="AX52" s="419">
        <v>13</v>
      </c>
      <c r="AY52" s="419">
        <v>255</v>
      </c>
      <c r="AZ52" s="421">
        <v>13</v>
      </c>
      <c r="BA52" s="421">
        <v>290</v>
      </c>
      <c r="BB52" s="419">
        <v>15</v>
      </c>
      <c r="BC52" s="419">
        <v>156</v>
      </c>
      <c r="BD52" s="421">
        <v>15</v>
      </c>
      <c r="BE52" s="421">
        <v>164</v>
      </c>
      <c r="BF52" s="419">
        <v>52</v>
      </c>
      <c r="BG52" s="419">
        <v>155</v>
      </c>
      <c r="BH52" s="421">
        <v>52</v>
      </c>
      <c r="BI52" s="421">
        <v>150</v>
      </c>
      <c r="BJ52" s="419">
        <v>14</v>
      </c>
      <c r="BK52" s="419">
        <v>107</v>
      </c>
      <c r="BL52" s="421">
        <v>14</v>
      </c>
      <c r="BM52" s="421">
        <v>117</v>
      </c>
      <c r="BN52" s="419">
        <v>51</v>
      </c>
      <c r="BO52" s="419">
        <v>64</v>
      </c>
      <c r="BP52" s="421">
        <v>51</v>
      </c>
      <c r="BQ52" s="421">
        <v>64</v>
      </c>
      <c r="BR52" s="419">
        <v>1</v>
      </c>
      <c r="BS52" s="419">
        <v>63</v>
      </c>
      <c r="BT52" s="421">
        <v>1</v>
      </c>
      <c r="BU52" s="421">
        <v>62</v>
      </c>
      <c r="BV52" s="419">
        <v>44</v>
      </c>
      <c r="BW52" s="419">
        <v>42</v>
      </c>
      <c r="BX52" s="421">
        <v>44</v>
      </c>
      <c r="BY52" s="421">
        <v>48</v>
      </c>
      <c r="BZ52" s="419">
        <v>50</v>
      </c>
      <c r="CA52" s="419">
        <v>35</v>
      </c>
      <c r="CB52" s="421">
        <v>31</v>
      </c>
      <c r="CC52" s="421">
        <v>39</v>
      </c>
      <c r="CD52" s="419">
        <v>31</v>
      </c>
      <c r="CE52" s="419">
        <v>34</v>
      </c>
      <c r="CF52" s="421">
        <v>45</v>
      </c>
      <c r="CG52" s="420">
        <v>26</v>
      </c>
      <c r="CH52" s="419">
        <v>23</v>
      </c>
      <c r="CI52" s="419">
        <v>27</v>
      </c>
      <c r="CJ52" s="421">
        <v>40</v>
      </c>
      <c r="CK52" s="420">
        <v>21</v>
      </c>
      <c r="CL52" s="419">
        <v>178</v>
      </c>
      <c r="CM52" s="421">
        <v>155</v>
      </c>
      <c r="CN52" s="424">
        <f t="shared" si="29"/>
        <v>1116</v>
      </c>
      <c r="CO52" s="424">
        <f t="shared" si="30"/>
        <v>10</v>
      </c>
      <c r="CP52" s="425">
        <f t="shared" si="31"/>
        <v>1136</v>
      </c>
      <c r="CQ52" s="425">
        <f t="shared" si="32"/>
        <v>10</v>
      </c>
      <c r="CR52" s="419">
        <v>13</v>
      </c>
      <c r="CS52" s="419">
        <v>50</v>
      </c>
      <c r="CT52" s="421">
        <v>14</v>
      </c>
      <c r="CU52" s="421">
        <v>40</v>
      </c>
      <c r="CV52" s="419">
        <v>14</v>
      </c>
      <c r="CW52" s="419">
        <v>33</v>
      </c>
      <c r="CX52" s="421">
        <v>13</v>
      </c>
      <c r="CY52" s="421">
        <v>34</v>
      </c>
      <c r="CZ52" s="419">
        <v>26</v>
      </c>
      <c r="DA52" s="419">
        <v>23</v>
      </c>
      <c r="DB52" s="421">
        <v>40</v>
      </c>
      <c r="DC52" s="421">
        <v>22</v>
      </c>
      <c r="DD52" s="419">
        <v>40</v>
      </c>
      <c r="DE52" s="419">
        <v>21</v>
      </c>
      <c r="DF52" s="421">
        <v>1</v>
      </c>
      <c r="DG52" s="421">
        <v>20</v>
      </c>
      <c r="DH52" s="419">
        <v>1</v>
      </c>
      <c r="DI52" s="419">
        <v>19</v>
      </c>
      <c r="DJ52" s="421">
        <v>26</v>
      </c>
      <c r="DK52" s="421">
        <v>17</v>
      </c>
      <c r="DL52" s="419">
        <v>52</v>
      </c>
      <c r="DM52" s="419">
        <v>13</v>
      </c>
      <c r="DN52" s="421">
        <v>52</v>
      </c>
      <c r="DO52" s="421">
        <v>14</v>
      </c>
      <c r="DP52" s="419">
        <v>31</v>
      </c>
      <c r="DQ52" s="419">
        <v>7</v>
      </c>
      <c r="DR52" s="421">
        <v>42</v>
      </c>
      <c r="DS52" s="420">
        <v>11</v>
      </c>
      <c r="DT52" s="419">
        <v>54</v>
      </c>
      <c r="DU52" s="419">
        <v>7</v>
      </c>
      <c r="DV52" s="421">
        <v>23</v>
      </c>
      <c r="DW52" s="421">
        <v>8</v>
      </c>
      <c r="DX52" s="419">
        <v>27</v>
      </c>
      <c r="DY52" s="419">
        <v>6</v>
      </c>
      <c r="DZ52" s="421">
        <v>45</v>
      </c>
      <c r="EA52" s="421">
        <v>7</v>
      </c>
      <c r="EB52" s="419">
        <v>45</v>
      </c>
      <c r="EC52" s="419">
        <v>6</v>
      </c>
      <c r="ED52" s="421">
        <v>51</v>
      </c>
      <c r="EE52" s="421">
        <v>7</v>
      </c>
      <c r="EF52" s="419">
        <v>24</v>
      </c>
      <c r="EG52" s="421">
        <v>24</v>
      </c>
      <c r="EH52" s="424">
        <f t="shared" si="33"/>
        <v>209</v>
      </c>
      <c r="EI52" s="424">
        <f t="shared" si="34"/>
        <v>10</v>
      </c>
      <c r="EJ52" s="422">
        <f t="shared" si="35"/>
        <v>0.23923444976076555</v>
      </c>
      <c r="EK52" s="425">
        <f t="shared" si="36"/>
        <v>204</v>
      </c>
      <c r="EL52" s="425">
        <f t="shared" si="37"/>
        <v>10</v>
      </c>
      <c r="EM52" s="423">
        <f t="shared" si="38"/>
        <v>0.19607843137254902</v>
      </c>
      <c r="EN52" s="424">
        <f t="shared" si="39"/>
        <v>1325</v>
      </c>
      <c r="EO52" s="425">
        <f t="shared" si="40"/>
        <v>1340</v>
      </c>
      <c r="EP52" s="419">
        <v>104</v>
      </c>
      <c r="EQ52" s="421">
        <v>112</v>
      </c>
      <c r="ER52" s="419"/>
      <c r="ES52" s="421"/>
      <c r="ET52" s="419"/>
      <c r="EU52" s="421"/>
      <c r="EV52" s="419"/>
      <c r="EW52" s="421"/>
      <c r="EX52" s="419"/>
      <c r="EY52" s="421"/>
      <c r="EZ52" s="419"/>
      <c r="FA52" s="421"/>
      <c r="FB52" s="419"/>
      <c r="FC52" s="421"/>
      <c r="FD52" s="419"/>
      <c r="FE52" s="421"/>
      <c r="FF52" s="419"/>
      <c r="FG52" s="421"/>
      <c r="FH52" s="419">
        <v>18</v>
      </c>
      <c r="FI52" s="421">
        <v>18</v>
      </c>
      <c r="FJ52" s="424">
        <f t="shared" si="41"/>
        <v>122</v>
      </c>
      <c r="FK52" s="425">
        <f t="shared" si="42"/>
        <v>130</v>
      </c>
      <c r="FL52" s="419"/>
      <c r="FM52" s="421"/>
      <c r="FN52" s="424">
        <f t="shared" si="43"/>
        <v>6540</v>
      </c>
      <c r="FO52" s="425">
        <f t="shared" si="44"/>
        <v>6894</v>
      </c>
    </row>
    <row r="53" spans="1:171">
      <c r="A53" s="427" t="s">
        <v>154</v>
      </c>
      <c r="B53" s="57" t="s">
        <v>550</v>
      </c>
      <c r="C53" s="56"/>
      <c r="D53" s="55">
        <v>108092</v>
      </c>
      <c r="E53" s="55">
        <v>6</v>
      </c>
      <c r="F53" s="419">
        <v>498</v>
      </c>
      <c r="G53" s="420">
        <v>382</v>
      </c>
      <c r="H53" s="419">
        <v>0</v>
      </c>
      <c r="I53" s="421">
        <v>0</v>
      </c>
      <c r="J53" s="419">
        <v>281</v>
      </c>
      <c r="K53" s="421">
        <v>229</v>
      </c>
      <c r="L53" s="422">
        <f t="shared" si="23"/>
        <v>0.34019370460048426</v>
      </c>
      <c r="M53" s="423">
        <f t="shared" si="24"/>
        <v>0.27657004830917875</v>
      </c>
      <c r="N53" s="419">
        <v>826</v>
      </c>
      <c r="O53" s="309">
        <f>0</f>
        <v>0</v>
      </c>
      <c r="P53" s="309">
        <f>0</f>
        <v>0</v>
      </c>
      <c r="Q53" s="309">
        <f>0</f>
        <v>0</v>
      </c>
      <c r="R53" s="424">
        <f t="shared" si="2"/>
        <v>0</v>
      </c>
      <c r="S53" s="421">
        <v>828</v>
      </c>
      <c r="T53" s="301">
        <f>0</f>
        <v>0</v>
      </c>
      <c r="U53" s="301">
        <f>0</f>
        <v>0</v>
      </c>
      <c r="V53" s="301">
        <f>0</f>
        <v>0</v>
      </c>
      <c r="W53" s="425">
        <f t="shared" si="3"/>
        <v>0</v>
      </c>
      <c r="X53" s="419"/>
      <c r="Y53" s="419"/>
      <c r="Z53" s="421"/>
      <c r="AA53" s="421"/>
      <c r="AB53" s="419"/>
      <c r="AC53" s="419"/>
      <c r="AD53" s="421"/>
      <c r="AE53" s="421"/>
      <c r="AF53" s="419"/>
      <c r="AG53" s="419"/>
      <c r="AH53" s="421"/>
      <c r="AI53" s="421"/>
      <c r="AJ53" s="419"/>
      <c r="AK53" s="419"/>
      <c r="AL53" s="421"/>
      <c r="AM53" s="421"/>
      <c r="AN53" s="419"/>
      <c r="AO53" s="419"/>
      <c r="AP53" s="421"/>
      <c r="AQ53" s="421"/>
      <c r="AR53" s="424">
        <f t="shared" si="25"/>
        <v>0</v>
      </c>
      <c r="AS53" s="422">
        <f t="shared" si="26"/>
        <v>0.5130434782608696</v>
      </c>
      <c r="AT53" s="425">
        <f t="shared" si="27"/>
        <v>0</v>
      </c>
      <c r="AU53" s="423">
        <f t="shared" si="28"/>
        <v>0.57182320441988954</v>
      </c>
      <c r="AV53" s="419">
        <v>0</v>
      </c>
      <c r="AW53" s="421">
        <v>0</v>
      </c>
      <c r="AX53" s="419">
        <v>51</v>
      </c>
      <c r="AY53" s="419">
        <v>5</v>
      </c>
      <c r="AZ53" s="421">
        <v>51</v>
      </c>
      <c r="BA53" s="420">
        <v>9</v>
      </c>
      <c r="BB53" s="419"/>
      <c r="BC53" s="419"/>
      <c r="BD53" s="421"/>
      <c r="BE53" s="421"/>
      <c r="BF53" s="419"/>
      <c r="BG53" s="419"/>
      <c r="BH53" s="421"/>
      <c r="BI53" s="421"/>
      <c r="BJ53" s="419"/>
      <c r="BK53" s="419"/>
      <c r="BL53" s="421"/>
      <c r="BM53" s="421"/>
      <c r="BN53" s="419"/>
      <c r="BO53" s="419"/>
      <c r="BP53" s="421"/>
      <c r="BQ53" s="421"/>
      <c r="BR53" s="419"/>
      <c r="BS53" s="419"/>
      <c r="BT53" s="421"/>
      <c r="BU53" s="421"/>
      <c r="BV53" s="419"/>
      <c r="BW53" s="419"/>
      <c r="BX53" s="421"/>
      <c r="BY53" s="421"/>
      <c r="BZ53" s="419"/>
      <c r="CA53" s="419"/>
      <c r="CB53" s="421"/>
      <c r="CC53" s="421"/>
      <c r="CD53" s="419"/>
      <c r="CE53" s="419"/>
      <c r="CF53" s="421"/>
      <c r="CG53" s="421"/>
      <c r="CH53" s="419"/>
      <c r="CI53" s="419"/>
      <c r="CJ53" s="421"/>
      <c r="CK53" s="421"/>
      <c r="CL53" s="419"/>
      <c r="CM53" s="421"/>
      <c r="CN53" s="424">
        <f t="shared" si="29"/>
        <v>5</v>
      </c>
      <c r="CO53" s="424">
        <f t="shared" si="30"/>
        <v>1</v>
      </c>
      <c r="CP53" s="425">
        <f t="shared" si="31"/>
        <v>9</v>
      </c>
      <c r="CQ53" s="425">
        <f t="shared" si="32"/>
        <v>1</v>
      </c>
      <c r="CR53" s="419"/>
      <c r="CS53" s="419"/>
      <c r="CT53" s="421"/>
      <c r="CU53" s="421"/>
      <c r="CV53" s="419"/>
      <c r="CW53" s="419"/>
      <c r="CX53" s="421"/>
      <c r="CY53" s="421"/>
      <c r="CZ53" s="419"/>
      <c r="DA53" s="419"/>
      <c r="DB53" s="421"/>
      <c r="DC53" s="421"/>
      <c r="DD53" s="419"/>
      <c r="DE53" s="419"/>
      <c r="DF53" s="421"/>
      <c r="DG53" s="421"/>
      <c r="DH53" s="419"/>
      <c r="DI53" s="419"/>
      <c r="DJ53" s="421"/>
      <c r="DK53" s="421"/>
      <c r="DL53" s="419"/>
      <c r="DM53" s="419"/>
      <c r="DN53" s="421"/>
      <c r="DO53" s="421"/>
      <c r="DP53" s="419"/>
      <c r="DQ53" s="419"/>
      <c r="DR53" s="421"/>
      <c r="DS53" s="421"/>
      <c r="DT53" s="419"/>
      <c r="DU53" s="419"/>
      <c r="DV53" s="421"/>
      <c r="DW53" s="421"/>
      <c r="DX53" s="419"/>
      <c r="DY53" s="419"/>
      <c r="DZ53" s="421"/>
      <c r="EA53" s="421"/>
      <c r="EB53" s="419"/>
      <c r="EC53" s="419"/>
      <c r="ED53" s="421"/>
      <c r="EE53" s="421"/>
      <c r="EF53" s="419"/>
      <c r="EG53" s="421"/>
      <c r="EH53" s="424">
        <f t="shared" si="33"/>
        <v>0</v>
      </c>
      <c r="EI53" s="424">
        <f t="shared" si="34"/>
        <v>0</v>
      </c>
      <c r="EJ53" s="422">
        <f t="shared" si="35"/>
        <v>0</v>
      </c>
      <c r="EK53" s="425">
        <f t="shared" si="36"/>
        <v>0</v>
      </c>
      <c r="EL53" s="425">
        <f t="shared" si="37"/>
        <v>0</v>
      </c>
      <c r="EM53" s="423">
        <f t="shared" si="38"/>
        <v>0</v>
      </c>
      <c r="EN53" s="424">
        <f t="shared" si="39"/>
        <v>5</v>
      </c>
      <c r="EO53" s="425">
        <f t="shared" si="40"/>
        <v>9</v>
      </c>
      <c r="EP53" s="419"/>
      <c r="EQ53" s="421"/>
      <c r="ER53" s="419"/>
      <c r="ES53" s="421"/>
      <c r="ET53" s="419"/>
      <c r="EU53" s="421"/>
      <c r="EV53" s="419"/>
      <c r="EW53" s="421"/>
      <c r="EX53" s="419"/>
      <c r="EY53" s="421"/>
      <c r="EZ53" s="419"/>
      <c r="FA53" s="421"/>
      <c r="FB53" s="419"/>
      <c r="FC53" s="421"/>
      <c r="FD53" s="419"/>
      <c r="FE53" s="421"/>
      <c r="FF53" s="419"/>
      <c r="FG53" s="421"/>
      <c r="FH53" s="419"/>
      <c r="FI53" s="421"/>
      <c r="FJ53" s="424">
        <f t="shared" si="41"/>
        <v>0</v>
      </c>
      <c r="FK53" s="425">
        <f t="shared" si="42"/>
        <v>0</v>
      </c>
      <c r="FL53" s="419"/>
      <c r="FM53" s="421"/>
      <c r="FN53" s="424">
        <f t="shared" si="43"/>
        <v>1610</v>
      </c>
      <c r="FO53" s="425">
        <f t="shared" si="44"/>
        <v>1448</v>
      </c>
    </row>
    <row r="54" spans="1:171">
      <c r="A54" s="427" t="s">
        <v>154</v>
      </c>
      <c r="B54" s="57" t="s">
        <v>543</v>
      </c>
      <c r="C54" s="56"/>
      <c r="D54" s="55">
        <v>106245</v>
      </c>
      <c r="E54" s="55">
        <v>2</v>
      </c>
      <c r="F54" s="419">
        <v>30</v>
      </c>
      <c r="G54" s="421">
        <v>33</v>
      </c>
      <c r="H54" s="419">
        <v>0</v>
      </c>
      <c r="I54" s="421">
        <v>0</v>
      </c>
      <c r="J54" s="419">
        <v>401</v>
      </c>
      <c r="K54" s="421">
        <v>333</v>
      </c>
      <c r="L54" s="422">
        <f t="shared" si="23"/>
        <v>0.30471124620060791</v>
      </c>
      <c r="M54" s="423">
        <f t="shared" si="24"/>
        <v>0.26015624999999998</v>
      </c>
      <c r="N54" s="419">
        <v>1316</v>
      </c>
      <c r="O54" s="309">
        <f>0</f>
        <v>0</v>
      </c>
      <c r="P54" s="309">
        <f>0</f>
        <v>0</v>
      </c>
      <c r="Q54" s="309">
        <f>0</f>
        <v>0</v>
      </c>
      <c r="R54" s="424">
        <f t="shared" si="2"/>
        <v>0</v>
      </c>
      <c r="S54" s="421">
        <v>1280</v>
      </c>
      <c r="T54" s="301">
        <f>0</f>
        <v>0</v>
      </c>
      <c r="U54" s="301">
        <f>0</f>
        <v>0</v>
      </c>
      <c r="V54" s="301">
        <f>0</f>
        <v>0</v>
      </c>
      <c r="W54" s="425">
        <f t="shared" si="3"/>
        <v>0</v>
      </c>
      <c r="X54" s="419"/>
      <c r="Y54" s="419"/>
      <c r="Z54" s="421"/>
      <c r="AA54" s="421"/>
      <c r="AB54" s="419"/>
      <c r="AC54" s="419"/>
      <c r="AD54" s="421"/>
      <c r="AE54" s="421"/>
      <c r="AF54" s="419"/>
      <c r="AG54" s="419"/>
      <c r="AH54" s="421"/>
      <c r="AI54" s="421"/>
      <c r="AJ54" s="419"/>
      <c r="AK54" s="419"/>
      <c r="AL54" s="421"/>
      <c r="AM54" s="421"/>
      <c r="AN54" s="419"/>
      <c r="AO54" s="419"/>
      <c r="AP54" s="421"/>
      <c r="AQ54" s="421"/>
      <c r="AR54" s="424">
        <f t="shared" si="25"/>
        <v>0</v>
      </c>
      <c r="AS54" s="422">
        <f t="shared" si="26"/>
        <v>0.51246105919003115</v>
      </c>
      <c r="AT54" s="425">
        <f t="shared" si="27"/>
        <v>0</v>
      </c>
      <c r="AU54" s="423">
        <f t="shared" si="28"/>
        <v>0.53400083437630375</v>
      </c>
      <c r="AV54" s="419">
        <v>129</v>
      </c>
      <c r="AW54" s="421">
        <v>116</v>
      </c>
      <c r="AX54" s="419">
        <v>44</v>
      </c>
      <c r="AY54" s="419">
        <v>145</v>
      </c>
      <c r="AZ54" s="421">
        <v>44</v>
      </c>
      <c r="BA54" s="421">
        <v>136</v>
      </c>
      <c r="BB54" s="419">
        <v>13</v>
      </c>
      <c r="BC54" s="419">
        <v>125</v>
      </c>
      <c r="BD54" s="421">
        <v>13</v>
      </c>
      <c r="BE54" s="421">
        <v>117</v>
      </c>
      <c r="BF54" s="419">
        <v>52</v>
      </c>
      <c r="BG54" s="419">
        <v>90</v>
      </c>
      <c r="BH54" s="421">
        <v>52</v>
      </c>
      <c r="BI54" s="421">
        <v>74</v>
      </c>
      <c r="BJ54" s="419">
        <v>51</v>
      </c>
      <c r="BK54" s="419">
        <v>39</v>
      </c>
      <c r="BL54" s="421">
        <v>11</v>
      </c>
      <c r="BM54" s="421">
        <v>33</v>
      </c>
      <c r="BN54" s="419">
        <v>11</v>
      </c>
      <c r="BO54" s="419">
        <v>27</v>
      </c>
      <c r="BP54" s="421">
        <v>51</v>
      </c>
      <c r="BQ54" s="421">
        <v>25</v>
      </c>
      <c r="BR54" s="419">
        <v>40</v>
      </c>
      <c r="BS54" s="419">
        <v>20</v>
      </c>
      <c r="BT54" s="421">
        <v>9</v>
      </c>
      <c r="BU54" s="421">
        <v>23</v>
      </c>
      <c r="BV54" s="419">
        <v>9</v>
      </c>
      <c r="BW54" s="419">
        <v>17</v>
      </c>
      <c r="BX54" s="421">
        <v>23</v>
      </c>
      <c r="BY54" s="421">
        <v>17</v>
      </c>
      <c r="BZ54" s="419">
        <v>23</v>
      </c>
      <c r="CA54" s="419">
        <v>17</v>
      </c>
      <c r="CB54" s="421">
        <v>40</v>
      </c>
      <c r="CC54" s="420">
        <v>11</v>
      </c>
      <c r="CD54" s="419">
        <v>15</v>
      </c>
      <c r="CE54" s="419">
        <v>12</v>
      </c>
      <c r="CF54" s="421">
        <v>31</v>
      </c>
      <c r="CG54" s="421">
        <v>10</v>
      </c>
      <c r="CH54" s="419">
        <v>31</v>
      </c>
      <c r="CI54" s="419">
        <v>10</v>
      </c>
      <c r="CJ54" s="421">
        <v>43</v>
      </c>
      <c r="CK54" s="421">
        <v>9</v>
      </c>
      <c r="CL54" s="419">
        <v>30</v>
      </c>
      <c r="CM54" s="421">
        <v>35</v>
      </c>
      <c r="CN54" s="424">
        <f t="shared" si="29"/>
        <v>532</v>
      </c>
      <c r="CO54" s="424">
        <f t="shared" si="30"/>
        <v>10</v>
      </c>
      <c r="CP54" s="425">
        <f t="shared" si="31"/>
        <v>490</v>
      </c>
      <c r="CQ54" s="425">
        <f t="shared" si="32"/>
        <v>10</v>
      </c>
      <c r="CR54" s="419">
        <v>13</v>
      </c>
      <c r="CS54" s="419">
        <v>8</v>
      </c>
      <c r="CT54" s="421">
        <v>40</v>
      </c>
      <c r="CU54" s="420">
        <v>11</v>
      </c>
      <c r="CV54" s="419">
        <v>11</v>
      </c>
      <c r="CW54" s="419">
        <v>7</v>
      </c>
      <c r="CX54" s="421">
        <v>11</v>
      </c>
      <c r="CY54" s="420">
        <v>10</v>
      </c>
      <c r="CZ54" s="419">
        <v>14</v>
      </c>
      <c r="DA54" s="419">
        <v>7</v>
      </c>
      <c r="DB54" s="421">
        <v>14</v>
      </c>
      <c r="DC54" s="421">
        <v>8</v>
      </c>
      <c r="DD54" s="419">
        <v>40</v>
      </c>
      <c r="DE54" s="419">
        <v>7</v>
      </c>
      <c r="DF54" s="421">
        <v>13</v>
      </c>
      <c r="DG54" s="421">
        <v>8</v>
      </c>
      <c r="DH54" s="419">
        <v>26</v>
      </c>
      <c r="DI54" s="419">
        <v>4</v>
      </c>
      <c r="DJ54" s="421">
        <v>26</v>
      </c>
      <c r="DK54" s="420">
        <v>1</v>
      </c>
      <c r="DL54" s="419">
        <v>43</v>
      </c>
      <c r="DM54" s="419">
        <v>3</v>
      </c>
      <c r="DN54" s="421">
        <v>43</v>
      </c>
      <c r="DO54" s="420">
        <v>1</v>
      </c>
      <c r="DP54" s="419"/>
      <c r="DQ54" s="419"/>
      <c r="DR54" s="421"/>
      <c r="DS54" s="421"/>
      <c r="DT54" s="419"/>
      <c r="DU54" s="419"/>
      <c r="DV54" s="421"/>
      <c r="DW54" s="421"/>
      <c r="DX54" s="419"/>
      <c r="DY54" s="419"/>
      <c r="DZ54" s="421"/>
      <c r="EA54" s="421"/>
      <c r="EB54" s="419"/>
      <c r="EC54" s="419"/>
      <c r="ED54" s="421"/>
      <c r="EE54" s="421"/>
      <c r="EF54" s="419"/>
      <c r="EG54" s="421"/>
      <c r="EH54" s="424">
        <f t="shared" si="33"/>
        <v>36</v>
      </c>
      <c r="EI54" s="424">
        <f t="shared" si="34"/>
        <v>6</v>
      </c>
      <c r="EJ54" s="422">
        <f t="shared" si="35"/>
        <v>0.22222222222222221</v>
      </c>
      <c r="EK54" s="425">
        <f t="shared" si="36"/>
        <v>39</v>
      </c>
      <c r="EL54" s="425">
        <f t="shared" si="37"/>
        <v>6</v>
      </c>
      <c r="EM54" s="423">
        <f t="shared" si="38"/>
        <v>0.28205128205128205</v>
      </c>
      <c r="EN54" s="424">
        <f t="shared" si="39"/>
        <v>568</v>
      </c>
      <c r="EO54" s="425">
        <f t="shared" si="40"/>
        <v>529</v>
      </c>
      <c r="EP54" s="419">
        <v>124</v>
      </c>
      <c r="EQ54" s="421">
        <v>106</v>
      </c>
      <c r="ER54" s="419"/>
      <c r="ES54" s="421"/>
      <c r="ET54" s="419"/>
      <c r="EU54" s="421"/>
      <c r="EV54" s="419"/>
      <c r="EW54" s="421"/>
      <c r="EX54" s="419"/>
      <c r="EY54" s="421"/>
      <c r="EZ54" s="419"/>
      <c r="FA54" s="421"/>
      <c r="FB54" s="419"/>
      <c r="FC54" s="421"/>
      <c r="FD54" s="419"/>
      <c r="FE54" s="421"/>
      <c r="FF54" s="419"/>
      <c r="FG54" s="421"/>
      <c r="FH54" s="419"/>
      <c r="FI54" s="421"/>
      <c r="FJ54" s="424">
        <f t="shared" si="41"/>
        <v>124</v>
      </c>
      <c r="FK54" s="425">
        <f t="shared" si="42"/>
        <v>106</v>
      </c>
      <c r="FL54" s="419"/>
      <c r="FM54" s="421"/>
      <c r="FN54" s="424">
        <f t="shared" si="43"/>
        <v>2568</v>
      </c>
      <c r="FO54" s="425">
        <f t="shared" si="44"/>
        <v>2397</v>
      </c>
    </row>
    <row r="55" spans="1:171">
      <c r="A55" s="427" t="s">
        <v>154</v>
      </c>
      <c r="B55" s="57" t="s">
        <v>549</v>
      </c>
      <c r="C55" s="56"/>
      <c r="D55" s="55">
        <v>106485</v>
      </c>
      <c r="E55" s="55">
        <v>4</v>
      </c>
      <c r="F55" s="419">
        <v>448</v>
      </c>
      <c r="G55" s="420">
        <v>335</v>
      </c>
      <c r="H55" s="419">
        <v>38</v>
      </c>
      <c r="I55" s="421">
        <v>35</v>
      </c>
      <c r="J55" s="419">
        <v>336</v>
      </c>
      <c r="K55" s="420">
        <v>409</v>
      </c>
      <c r="L55" s="422">
        <f t="shared" si="23"/>
        <v>0.92054794520547945</v>
      </c>
      <c r="M55" s="423">
        <f t="shared" si="24"/>
        <v>1.111413043478261</v>
      </c>
      <c r="N55" s="419">
        <v>365</v>
      </c>
      <c r="O55" s="309">
        <f>0</f>
        <v>0</v>
      </c>
      <c r="P55" s="309">
        <f>0</f>
        <v>0</v>
      </c>
      <c r="Q55" s="309">
        <f>0</f>
        <v>0</v>
      </c>
      <c r="R55" s="424">
        <f t="shared" si="2"/>
        <v>0</v>
      </c>
      <c r="S55" s="421">
        <v>368</v>
      </c>
      <c r="T55" s="301">
        <f>0</f>
        <v>0</v>
      </c>
      <c r="U55" s="301">
        <f>0</f>
        <v>0</v>
      </c>
      <c r="V55" s="301">
        <f>0</f>
        <v>0</v>
      </c>
      <c r="W55" s="425">
        <f t="shared" si="3"/>
        <v>0</v>
      </c>
      <c r="X55" s="419"/>
      <c r="Y55" s="419"/>
      <c r="Z55" s="421"/>
      <c r="AA55" s="421"/>
      <c r="AB55" s="419"/>
      <c r="AC55" s="419"/>
      <c r="AD55" s="421"/>
      <c r="AE55" s="421"/>
      <c r="AF55" s="419"/>
      <c r="AG55" s="419"/>
      <c r="AH55" s="421"/>
      <c r="AI55" s="421"/>
      <c r="AJ55" s="419"/>
      <c r="AK55" s="419"/>
      <c r="AL55" s="421"/>
      <c r="AM55" s="421"/>
      <c r="AN55" s="419"/>
      <c r="AO55" s="419"/>
      <c r="AP55" s="421"/>
      <c r="AQ55" s="421"/>
      <c r="AR55" s="424">
        <f t="shared" si="25"/>
        <v>0</v>
      </c>
      <c r="AS55" s="422">
        <f t="shared" si="26"/>
        <v>0.2760968229954614</v>
      </c>
      <c r="AT55" s="425">
        <f t="shared" si="27"/>
        <v>0</v>
      </c>
      <c r="AU55" s="423">
        <f t="shared" si="28"/>
        <v>0.28527131782945736</v>
      </c>
      <c r="AV55" s="419">
        <v>0</v>
      </c>
      <c r="AW55" s="421">
        <v>0</v>
      </c>
      <c r="AX55" s="419">
        <v>13</v>
      </c>
      <c r="AY55" s="419">
        <v>105</v>
      </c>
      <c r="AZ55" s="421">
        <v>13</v>
      </c>
      <c r="BA55" s="421">
        <v>114</v>
      </c>
      <c r="BB55" s="419">
        <v>31</v>
      </c>
      <c r="BC55" s="419">
        <v>10</v>
      </c>
      <c r="BD55" s="421">
        <v>31</v>
      </c>
      <c r="BE55" s="420">
        <v>15</v>
      </c>
      <c r="BF55" s="419">
        <v>50</v>
      </c>
      <c r="BG55" s="419">
        <v>9</v>
      </c>
      <c r="BH55" s="421">
        <v>50</v>
      </c>
      <c r="BI55" s="421">
        <v>9</v>
      </c>
      <c r="BJ55" s="419">
        <v>3</v>
      </c>
      <c r="BK55" s="419">
        <v>6</v>
      </c>
      <c r="BL55" s="421">
        <v>3</v>
      </c>
      <c r="BM55" s="420">
        <v>3</v>
      </c>
      <c r="BN55" s="419">
        <v>23</v>
      </c>
      <c r="BO55" s="419">
        <v>5</v>
      </c>
      <c r="BP55" s="421">
        <v>23</v>
      </c>
      <c r="BQ55" s="420">
        <v>2</v>
      </c>
      <c r="BR55" s="419"/>
      <c r="BS55" s="419"/>
      <c r="BT55" s="421"/>
      <c r="BU55" s="421"/>
      <c r="BV55" s="419"/>
      <c r="BW55" s="419"/>
      <c r="BX55" s="421"/>
      <c r="BY55" s="421"/>
      <c r="BZ55" s="419"/>
      <c r="CA55" s="419"/>
      <c r="CB55" s="421"/>
      <c r="CC55" s="421"/>
      <c r="CD55" s="419"/>
      <c r="CE55" s="419"/>
      <c r="CF55" s="421"/>
      <c r="CG55" s="421"/>
      <c r="CH55" s="419"/>
      <c r="CI55" s="419"/>
      <c r="CJ55" s="421"/>
      <c r="CK55" s="421"/>
      <c r="CL55" s="419"/>
      <c r="CM55" s="421"/>
      <c r="CN55" s="424">
        <f t="shared" si="29"/>
        <v>135</v>
      </c>
      <c r="CO55" s="424">
        <f t="shared" si="30"/>
        <v>5</v>
      </c>
      <c r="CP55" s="425">
        <f t="shared" si="31"/>
        <v>143</v>
      </c>
      <c r="CQ55" s="425">
        <f t="shared" si="32"/>
        <v>5</v>
      </c>
      <c r="CR55" s="419"/>
      <c r="CS55" s="419"/>
      <c r="CT55" s="421"/>
      <c r="CU55" s="421"/>
      <c r="CV55" s="419"/>
      <c r="CW55" s="419"/>
      <c r="CX55" s="421"/>
      <c r="CY55" s="421"/>
      <c r="CZ55" s="419"/>
      <c r="DA55" s="419"/>
      <c r="DB55" s="421"/>
      <c r="DC55" s="421"/>
      <c r="DD55" s="419"/>
      <c r="DE55" s="419"/>
      <c r="DF55" s="421"/>
      <c r="DG55" s="421"/>
      <c r="DH55" s="419"/>
      <c r="DI55" s="419"/>
      <c r="DJ55" s="421"/>
      <c r="DK55" s="421"/>
      <c r="DL55" s="419"/>
      <c r="DM55" s="419"/>
      <c r="DN55" s="421"/>
      <c r="DO55" s="421"/>
      <c r="DP55" s="419"/>
      <c r="DQ55" s="419"/>
      <c r="DR55" s="421"/>
      <c r="DS55" s="421"/>
      <c r="DT55" s="419"/>
      <c r="DU55" s="419"/>
      <c r="DV55" s="421"/>
      <c r="DW55" s="421"/>
      <c r="DX55" s="419"/>
      <c r="DY55" s="419"/>
      <c r="DZ55" s="421"/>
      <c r="EA55" s="421"/>
      <c r="EB55" s="419"/>
      <c r="EC55" s="419"/>
      <c r="ED55" s="421"/>
      <c r="EE55" s="421"/>
      <c r="EF55" s="419"/>
      <c r="EG55" s="421"/>
      <c r="EH55" s="424">
        <f t="shared" si="33"/>
        <v>0</v>
      </c>
      <c r="EI55" s="424">
        <f t="shared" si="34"/>
        <v>0</v>
      </c>
      <c r="EJ55" s="422">
        <f t="shared" si="35"/>
        <v>0</v>
      </c>
      <c r="EK55" s="425">
        <f t="shared" si="36"/>
        <v>0</v>
      </c>
      <c r="EL55" s="425">
        <f t="shared" si="37"/>
        <v>0</v>
      </c>
      <c r="EM55" s="423">
        <f t="shared" si="38"/>
        <v>0</v>
      </c>
      <c r="EN55" s="424">
        <f t="shared" si="39"/>
        <v>135</v>
      </c>
      <c r="EO55" s="425">
        <f t="shared" si="40"/>
        <v>143</v>
      </c>
      <c r="EP55" s="419"/>
      <c r="EQ55" s="421"/>
      <c r="ER55" s="419"/>
      <c r="ES55" s="421"/>
      <c r="ET55" s="419"/>
      <c r="EU55" s="421"/>
      <c r="EV55" s="419"/>
      <c r="EW55" s="421"/>
      <c r="EX55" s="419"/>
      <c r="EY55" s="421"/>
      <c r="EZ55" s="419"/>
      <c r="FA55" s="421"/>
      <c r="FB55" s="419"/>
      <c r="FC55" s="421"/>
      <c r="FD55" s="419"/>
      <c r="FE55" s="421"/>
      <c r="FF55" s="419"/>
      <c r="FG55" s="421"/>
      <c r="FH55" s="419"/>
      <c r="FI55" s="421"/>
      <c r="FJ55" s="424">
        <f t="shared" si="41"/>
        <v>0</v>
      </c>
      <c r="FK55" s="425">
        <f t="shared" si="42"/>
        <v>0</v>
      </c>
      <c r="FL55" s="419"/>
      <c r="FM55" s="421"/>
      <c r="FN55" s="424">
        <f t="shared" si="43"/>
        <v>1322</v>
      </c>
      <c r="FO55" s="425">
        <f t="shared" si="44"/>
        <v>1290</v>
      </c>
    </row>
    <row r="56" spans="1:171">
      <c r="A56" s="427" t="s">
        <v>154</v>
      </c>
      <c r="B56" s="57" t="s">
        <v>575</v>
      </c>
      <c r="C56" s="56"/>
      <c r="D56" s="55">
        <v>106263</v>
      </c>
      <c r="E56" s="55">
        <v>15</v>
      </c>
      <c r="F56" s="419">
        <v>1</v>
      </c>
      <c r="G56" s="420">
        <v>0</v>
      </c>
      <c r="H56" s="419">
        <v>0</v>
      </c>
      <c r="I56" s="421">
        <v>0</v>
      </c>
      <c r="J56" s="419">
        <v>56</v>
      </c>
      <c r="K56" s="420">
        <v>9</v>
      </c>
      <c r="L56" s="422">
        <f t="shared" si="23"/>
        <v>0.22857142857142856</v>
      </c>
      <c r="M56" s="423">
        <f t="shared" si="24"/>
        <v>3.6585365853658534E-2</v>
      </c>
      <c r="N56" s="419">
        <v>245</v>
      </c>
      <c r="O56" s="309">
        <f>0</f>
        <v>0</v>
      </c>
      <c r="P56" s="309">
        <f>0</f>
        <v>0</v>
      </c>
      <c r="Q56" s="309">
        <f>0</f>
        <v>0</v>
      </c>
      <c r="R56" s="424">
        <f t="shared" si="2"/>
        <v>0</v>
      </c>
      <c r="S56" s="421">
        <v>246</v>
      </c>
      <c r="T56" s="301">
        <f>0</f>
        <v>0</v>
      </c>
      <c r="U56" s="301">
        <f>0</f>
        <v>0</v>
      </c>
      <c r="V56" s="301">
        <f>0</f>
        <v>0</v>
      </c>
      <c r="W56" s="425">
        <f t="shared" si="3"/>
        <v>0</v>
      </c>
      <c r="X56" s="419"/>
      <c r="Y56" s="419"/>
      <c r="Z56" s="421"/>
      <c r="AA56" s="421"/>
      <c r="AB56" s="419"/>
      <c r="AC56" s="419"/>
      <c r="AD56" s="421"/>
      <c r="AE56" s="421"/>
      <c r="AF56" s="419"/>
      <c r="AG56" s="419"/>
      <c r="AH56" s="421"/>
      <c r="AI56" s="421"/>
      <c r="AJ56" s="419"/>
      <c r="AK56" s="419"/>
      <c r="AL56" s="421"/>
      <c r="AM56" s="421"/>
      <c r="AN56" s="419"/>
      <c r="AO56" s="419"/>
      <c r="AP56" s="421"/>
      <c r="AQ56" s="421"/>
      <c r="AR56" s="424">
        <f t="shared" si="25"/>
        <v>0</v>
      </c>
      <c r="AS56" s="422">
        <f t="shared" si="26"/>
        <v>0.27497194163860833</v>
      </c>
      <c r="AT56" s="425">
        <f t="shared" si="27"/>
        <v>0</v>
      </c>
      <c r="AU56" s="423">
        <f t="shared" si="28"/>
        <v>0.28114285714285714</v>
      </c>
      <c r="AV56" s="419">
        <v>38</v>
      </c>
      <c r="AW56" s="421">
        <v>32</v>
      </c>
      <c r="AX56" s="419">
        <v>51</v>
      </c>
      <c r="AY56" s="419">
        <v>210</v>
      </c>
      <c r="AZ56" s="421">
        <v>51</v>
      </c>
      <c r="BA56" s="421">
        <v>200</v>
      </c>
      <c r="BB56" s="419">
        <v>26</v>
      </c>
      <c r="BC56" s="419">
        <v>8</v>
      </c>
      <c r="BD56" s="421">
        <v>44</v>
      </c>
      <c r="BE56" s="420">
        <v>12</v>
      </c>
      <c r="BF56" s="419">
        <v>30</v>
      </c>
      <c r="BG56" s="419">
        <v>6</v>
      </c>
      <c r="BH56" s="421">
        <v>30</v>
      </c>
      <c r="BI56" s="420">
        <v>9</v>
      </c>
      <c r="BJ56" s="419"/>
      <c r="BK56" s="419"/>
      <c r="BL56" s="421">
        <v>26</v>
      </c>
      <c r="BM56" s="420">
        <v>7</v>
      </c>
      <c r="BN56" s="419"/>
      <c r="BO56" s="419"/>
      <c r="BP56" s="421"/>
      <c r="BQ56" s="421"/>
      <c r="BR56" s="419"/>
      <c r="BS56" s="419"/>
      <c r="BT56" s="421"/>
      <c r="BU56" s="421"/>
      <c r="BV56" s="419"/>
      <c r="BW56" s="419"/>
      <c r="BX56" s="421"/>
      <c r="BY56" s="421"/>
      <c r="BZ56" s="419"/>
      <c r="CA56" s="419"/>
      <c r="CB56" s="421"/>
      <c r="CC56" s="421"/>
      <c r="CD56" s="419"/>
      <c r="CE56" s="419"/>
      <c r="CF56" s="421"/>
      <c r="CG56" s="421"/>
      <c r="CH56" s="419"/>
      <c r="CI56" s="419"/>
      <c r="CJ56" s="421"/>
      <c r="CK56" s="421"/>
      <c r="CL56" s="419"/>
      <c r="CM56" s="421"/>
      <c r="CN56" s="424">
        <f t="shared" si="29"/>
        <v>224</v>
      </c>
      <c r="CO56" s="424">
        <f t="shared" si="30"/>
        <v>3</v>
      </c>
      <c r="CP56" s="425">
        <f t="shared" si="31"/>
        <v>228</v>
      </c>
      <c r="CQ56" s="425">
        <f t="shared" si="32"/>
        <v>4</v>
      </c>
      <c r="CR56" s="419">
        <v>51</v>
      </c>
      <c r="CS56" s="419">
        <v>22</v>
      </c>
      <c r="CT56" s="421">
        <v>51</v>
      </c>
      <c r="CU56" s="421">
        <v>24</v>
      </c>
      <c r="CV56" s="419">
        <v>26</v>
      </c>
      <c r="CW56" s="419">
        <v>4</v>
      </c>
      <c r="CX56" s="421">
        <v>26</v>
      </c>
      <c r="CY56" s="420">
        <v>8</v>
      </c>
      <c r="CZ56" s="419">
        <v>30</v>
      </c>
      <c r="DA56" s="419">
        <v>1</v>
      </c>
      <c r="DB56" s="421">
        <v>30</v>
      </c>
      <c r="DC56" s="420">
        <v>8</v>
      </c>
      <c r="DD56" s="419"/>
      <c r="DE56" s="419"/>
      <c r="DF56" s="421"/>
      <c r="DG56" s="421"/>
      <c r="DH56" s="419"/>
      <c r="DI56" s="419"/>
      <c r="DJ56" s="421"/>
      <c r="DK56" s="421"/>
      <c r="DL56" s="419"/>
      <c r="DM56" s="419"/>
      <c r="DN56" s="421"/>
      <c r="DO56" s="421"/>
      <c r="DP56" s="419"/>
      <c r="DQ56" s="419"/>
      <c r="DR56" s="421"/>
      <c r="DS56" s="421"/>
      <c r="DT56" s="419"/>
      <c r="DU56" s="419"/>
      <c r="DV56" s="421"/>
      <c r="DW56" s="421"/>
      <c r="DX56" s="419"/>
      <c r="DY56" s="419"/>
      <c r="DZ56" s="421"/>
      <c r="EA56" s="421"/>
      <c r="EB56" s="419"/>
      <c r="EC56" s="419"/>
      <c r="ED56" s="421"/>
      <c r="EE56" s="421"/>
      <c r="EF56" s="419"/>
      <c r="EG56" s="421"/>
      <c r="EH56" s="424">
        <f t="shared" si="33"/>
        <v>27</v>
      </c>
      <c r="EI56" s="424">
        <f t="shared" si="34"/>
        <v>3</v>
      </c>
      <c r="EJ56" s="422">
        <f t="shared" si="35"/>
        <v>0.81481481481481477</v>
      </c>
      <c r="EK56" s="425">
        <f t="shared" si="36"/>
        <v>40</v>
      </c>
      <c r="EL56" s="425">
        <f t="shared" si="37"/>
        <v>3</v>
      </c>
      <c r="EM56" s="423">
        <f t="shared" si="38"/>
        <v>0.6</v>
      </c>
      <c r="EN56" s="424">
        <f t="shared" si="39"/>
        <v>251</v>
      </c>
      <c r="EO56" s="425">
        <f t="shared" si="40"/>
        <v>268</v>
      </c>
      <c r="EP56" s="419"/>
      <c r="EQ56" s="421"/>
      <c r="ER56" s="419">
        <v>163</v>
      </c>
      <c r="ES56" s="421">
        <v>164</v>
      </c>
      <c r="ET56" s="419"/>
      <c r="EU56" s="421"/>
      <c r="EV56" s="419">
        <v>111</v>
      </c>
      <c r="EW56" s="421">
        <v>112</v>
      </c>
      <c r="EX56" s="419"/>
      <c r="EY56" s="421"/>
      <c r="EZ56" s="419"/>
      <c r="FA56" s="421"/>
      <c r="FB56" s="419"/>
      <c r="FC56" s="421"/>
      <c r="FD56" s="419"/>
      <c r="FE56" s="421"/>
      <c r="FF56" s="419"/>
      <c r="FG56" s="421"/>
      <c r="FH56" s="419">
        <v>26</v>
      </c>
      <c r="FI56" s="420">
        <v>44</v>
      </c>
      <c r="FJ56" s="424">
        <f t="shared" si="41"/>
        <v>300</v>
      </c>
      <c r="FK56" s="425">
        <f t="shared" si="42"/>
        <v>320</v>
      </c>
      <c r="FL56" s="419"/>
      <c r="FM56" s="421"/>
      <c r="FN56" s="424">
        <f t="shared" si="43"/>
        <v>891</v>
      </c>
      <c r="FO56" s="425">
        <f t="shared" si="44"/>
        <v>875</v>
      </c>
    </row>
    <row r="57" spans="1:171">
      <c r="A57" s="427" t="s">
        <v>154</v>
      </c>
      <c r="B57" s="57" t="s">
        <v>551</v>
      </c>
      <c r="C57" s="56" t="s">
        <v>1206</v>
      </c>
      <c r="D57" s="55">
        <v>106412</v>
      </c>
      <c r="E57" s="55">
        <v>6</v>
      </c>
      <c r="F57" s="419">
        <v>0</v>
      </c>
      <c r="G57" s="421">
        <v>0</v>
      </c>
      <c r="H57" s="419">
        <v>0</v>
      </c>
      <c r="I57" s="421">
        <v>0</v>
      </c>
      <c r="J57" s="419">
        <v>3</v>
      </c>
      <c r="K57" s="420">
        <v>4</v>
      </c>
      <c r="L57" s="422">
        <f t="shared" si="23"/>
        <v>6.9284064665127024E-3</v>
      </c>
      <c r="M57" s="423">
        <f t="shared" si="24"/>
        <v>8.7912087912087912E-3</v>
      </c>
      <c r="N57" s="419">
        <v>433</v>
      </c>
      <c r="O57" s="309">
        <f>0</f>
        <v>0</v>
      </c>
      <c r="P57" s="309">
        <f>0</f>
        <v>0</v>
      </c>
      <c r="Q57" s="309">
        <f>0</f>
        <v>0</v>
      </c>
      <c r="R57" s="424">
        <f t="shared" si="2"/>
        <v>0</v>
      </c>
      <c r="S57" s="421">
        <v>455</v>
      </c>
      <c r="T57" s="301">
        <f>0</f>
        <v>0</v>
      </c>
      <c r="U57" s="301">
        <f>0</f>
        <v>0</v>
      </c>
      <c r="V57" s="301">
        <f>0</f>
        <v>0</v>
      </c>
      <c r="W57" s="425">
        <f t="shared" si="3"/>
        <v>0</v>
      </c>
      <c r="X57" s="419"/>
      <c r="Y57" s="419"/>
      <c r="Z57" s="421"/>
      <c r="AA57" s="421"/>
      <c r="AB57" s="419"/>
      <c r="AC57" s="419"/>
      <c r="AD57" s="421"/>
      <c r="AE57" s="421"/>
      <c r="AF57" s="419"/>
      <c r="AG57" s="419"/>
      <c r="AH57" s="421"/>
      <c r="AI57" s="421"/>
      <c r="AJ57" s="419"/>
      <c r="AK57" s="419"/>
      <c r="AL57" s="421"/>
      <c r="AM57" s="421"/>
      <c r="AN57" s="419"/>
      <c r="AO57" s="419"/>
      <c r="AP57" s="421"/>
      <c r="AQ57" s="421"/>
      <c r="AR57" s="424">
        <f t="shared" si="25"/>
        <v>0</v>
      </c>
      <c r="AS57" s="422">
        <f t="shared" si="26"/>
        <v>0.93722943722943719</v>
      </c>
      <c r="AT57" s="425">
        <f t="shared" si="27"/>
        <v>0</v>
      </c>
      <c r="AU57" s="423">
        <f t="shared" si="28"/>
        <v>0.89920948616600793</v>
      </c>
      <c r="AV57" s="419">
        <v>0</v>
      </c>
      <c r="AW57" s="421">
        <v>0</v>
      </c>
      <c r="AX57" s="419">
        <v>11</v>
      </c>
      <c r="AY57" s="419">
        <v>10</v>
      </c>
      <c r="AZ57" s="421">
        <v>13</v>
      </c>
      <c r="BA57" s="420">
        <v>22</v>
      </c>
      <c r="BB57" s="419">
        <v>51</v>
      </c>
      <c r="BC57" s="419">
        <v>7</v>
      </c>
      <c r="BD57" s="421">
        <v>11</v>
      </c>
      <c r="BE57" s="421">
        <v>8</v>
      </c>
      <c r="BF57" s="419">
        <v>3</v>
      </c>
      <c r="BG57" s="419">
        <v>4</v>
      </c>
      <c r="BH57" s="421">
        <v>1</v>
      </c>
      <c r="BI57" s="420">
        <v>8</v>
      </c>
      <c r="BJ57" s="419">
        <v>13</v>
      </c>
      <c r="BK57" s="419">
        <v>3</v>
      </c>
      <c r="BL57" s="421">
        <v>3</v>
      </c>
      <c r="BM57" s="420">
        <v>6</v>
      </c>
      <c r="BN57" s="419">
        <v>1</v>
      </c>
      <c r="BO57" s="419">
        <v>1</v>
      </c>
      <c r="BP57" s="421">
        <v>51</v>
      </c>
      <c r="BQ57" s="420">
        <v>3</v>
      </c>
      <c r="BR57" s="419"/>
      <c r="BS57" s="419"/>
      <c r="BT57" s="421"/>
      <c r="BU57" s="421"/>
      <c r="BV57" s="419"/>
      <c r="BW57" s="419"/>
      <c r="BX57" s="421"/>
      <c r="BY57" s="421"/>
      <c r="BZ57" s="419"/>
      <c r="CA57" s="419"/>
      <c r="CB57" s="421"/>
      <c r="CC57" s="421"/>
      <c r="CD57" s="419"/>
      <c r="CE57" s="419"/>
      <c r="CF57" s="421"/>
      <c r="CG57" s="421"/>
      <c r="CH57" s="419"/>
      <c r="CI57" s="419"/>
      <c r="CJ57" s="421"/>
      <c r="CK57" s="421"/>
      <c r="CL57" s="419"/>
      <c r="CM57" s="421"/>
      <c r="CN57" s="424">
        <f t="shared" si="29"/>
        <v>25</v>
      </c>
      <c r="CO57" s="424">
        <f t="shared" si="30"/>
        <v>5</v>
      </c>
      <c r="CP57" s="425">
        <f t="shared" si="31"/>
        <v>47</v>
      </c>
      <c r="CQ57" s="425">
        <f t="shared" si="32"/>
        <v>5</v>
      </c>
      <c r="CR57" s="419">
        <v>1</v>
      </c>
      <c r="CS57" s="419">
        <v>1</v>
      </c>
      <c r="CT57" s="421"/>
      <c r="CU57" s="420"/>
      <c r="CV57" s="419"/>
      <c r="CW57" s="419"/>
      <c r="CX57" s="421"/>
      <c r="CY57" s="421"/>
      <c r="CZ57" s="419"/>
      <c r="DA57" s="419"/>
      <c r="DB57" s="421"/>
      <c r="DC57" s="421"/>
      <c r="DD57" s="419"/>
      <c r="DE57" s="419"/>
      <c r="DF57" s="421"/>
      <c r="DG57" s="421"/>
      <c r="DH57" s="419"/>
      <c r="DI57" s="419"/>
      <c r="DJ57" s="421"/>
      <c r="DK57" s="421"/>
      <c r="DL57" s="419"/>
      <c r="DM57" s="419"/>
      <c r="DN57" s="421"/>
      <c r="DO57" s="421"/>
      <c r="DP57" s="419"/>
      <c r="DQ57" s="419"/>
      <c r="DR57" s="421"/>
      <c r="DS57" s="421"/>
      <c r="DT57" s="419"/>
      <c r="DU57" s="419"/>
      <c r="DV57" s="421"/>
      <c r="DW57" s="421"/>
      <c r="DX57" s="419"/>
      <c r="DY57" s="419"/>
      <c r="DZ57" s="421"/>
      <c r="EA57" s="421"/>
      <c r="EB57" s="419"/>
      <c r="EC57" s="419"/>
      <c r="ED57" s="421"/>
      <c r="EE57" s="421"/>
      <c r="EF57" s="419"/>
      <c r="EG57" s="421"/>
      <c r="EH57" s="424">
        <f t="shared" si="33"/>
        <v>1</v>
      </c>
      <c r="EI57" s="424">
        <f t="shared" si="34"/>
        <v>1</v>
      </c>
      <c r="EJ57" s="422">
        <f t="shared" si="35"/>
        <v>1</v>
      </c>
      <c r="EK57" s="425">
        <f t="shared" si="36"/>
        <v>0</v>
      </c>
      <c r="EL57" s="425">
        <f t="shared" si="37"/>
        <v>0</v>
      </c>
      <c r="EM57" s="423">
        <f t="shared" si="38"/>
        <v>0</v>
      </c>
      <c r="EN57" s="424">
        <f t="shared" si="39"/>
        <v>26</v>
      </c>
      <c r="EO57" s="425">
        <f t="shared" si="40"/>
        <v>47</v>
      </c>
      <c r="EP57" s="419"/>
      <c r="EQ57" s="421"/>
      <c r="ER57" s="419"/>
      <c r="ES57" s="421"/>
      <c r="ET57" s="419"/>
      <c r="EU57" s="421"/>
      <c r="EV57" s="419"/>
      <c r="EW57" s="421"/>
      <c r="EX57" s="419"/>
      <c r="EY57" s="421"/>
      <c r="EZ57" s="419"/>
      <c r="FA57" s="421"/>
      <c r="FB57" s="419"/>
      <c r="FC57" s="421"/>
      <c r="FD57" s="419"/>
      <c r="FE57" s="421"/>
      <c r="FF57" s="419"/>
      <c r="FG57" s="421"/>
      <c r="FH57" s="419"/>
      <c r="FI57" s="421"/>
      <c r="FJ57" s="424">
        <f t="shared" si="41"/>
        <v>0</v>
      </c>
      <c r="FK57" s="425">
        <f t="shared" si="42"/>
        <v>0</v>
      </c>
      <c r="FL57" s="419"/>
      <c r="FM57" s="421"/>
      <c r="FN57" s="424">
        <f t="shared" si="43"/>
        <v>462</v>
      </c>
      <c r="FO57" s="425">
        <f t="shared" si="44"/>
        <v>506</v>
      </c>
    </row>
    <row r="58" spans="1:171">
      <c r="A58" s="427" t="s">
        <v>154</v>
      </c>
      <c r="B58" s="57" t="s">
        <v>546</v>
      </c>
      <c r="C58" s="56"/>
      <c r="D58" s="55">
        <v>106704</v>
      </c>
      <c r="E58" s="55">
        <v>3</v>
      </c>
      <c r="F58" s="304">
        <v>0</v>
      </c>
      <c r="G58" s="421">
        <v>0</v>
      </c>
      <c r="H58" s="419">
        <v>0</v>
      </c>
      <c r="I58" s="421">
        <v>0</v>
      </c>
      <c r="J58" s="419">
        <v>71</v>
      </c>
      <c r="K58" s="420">
        <v>28</v>
      </c>
      <c r="L58" s="422">
        <f t="shared" si="23"/>
        <v>4.0641099026903264E-2</v>
      </c>
      <c r="M58" s="423">
        <f t="shared" si="24"/>
        <v>1.6073478760045924E-2</v>
      </c>
      <c r="N58" s="419">
        <v>1747</v>
      </c>
      <c r="O58" s="309">
        <f>0</f>
        <v>0</v>
      </c>
      <c r="P58" s="309">
        <f>0</f>
        <v>0</v>
      </c>
      <c r="Q58" s="309">
        <f>0</f>
        <v>0</v>
      </c>
      <c r="R58" s="424">
        <f t="shared" si="2"/>
        <v>0</v>
      </c>
      <c r="S58" s="421">
        <v>1742</v>
      </c>
      <c r="T58" s="301">
        <f>0</f>
        <v>0</v>
      </c>
      <c r="U58" s="301">
        <f>0</f>
        <v>0</v>
      </c>
      <c r="V58" s="301">
        <f>0</f>
        <v>0</v>
      </c>
      <c r="W58" s="425">
        <f t="shared" si="3"/>
        <v>0</v>
      </c>
      <c r="X58" s="419"/>
      <c r="Y58" s="419"/>
      <c r="Z58" s="421"/>
      <c r="AA58" s="421"/>
      <c r="AB58" s="419"/>
      <c r="AC58" s="419"/>
      <c r="AD58" s="421"/>
      <c r="AE58" s="421"/>
      <c r="AF58" s="419"/>
      <c r="AG58" s="419"/>
      <c r="AH58" s="421"/>
      <c r="AI58" s="421"/>
      <c r="AJ58" s="419"/>
      <c r="AK58" s="419"/>
      <c r="AL58" s="421"/>
      <c r="AM58" s="421"/>
      <c r="AN58" s="419"/>
      <c r="AO58" s="419"/>
      <c r="AP58" s="421"/>
      <c r="AQ58" s="421"/>
      <c r="AR58" s="424">
        <f t="shared" si="25"/>
        <v>0</v>
      </c>
      <c r="AS58" s="422">
        <f t="shared" si="26"/>
        <v>0.70843471208434716</v>
      </c>
      <c r="AT58" s="425">
        <f t="shared" si="27"/>
        <v>0</v>
      </c>
      <c r="AU58" s="423">
        <f t="shared" si="28"/>
        <v>0.71835051546391748</v>
      </c>
      <c r="AV58" s="419">
        <v>19</v>
      </c>
      <c r="AW58" s="420">
        <v>26</v>
      </c>
      <c r="AX58" s="419">
        <v>13</v>
      </c>
      <c r="AY58" s="419">
        <v>193</v>
      </c>
      <c r="AZ58" s="421">
        <v>13</v>
      </c>
      <c r="BA58" s="421">
        <v>210</v>
      </c>
      <c r="BB58" s="419">
        <v>51</v>
      </c>
      <c r="BC58" s="419">
        <v>153</v>
      </c>
      <c r="BD58" s="421">
        <v>51</v>
      </c>
      <c r="BE58" s="421">
        <v>124</v>
      </c>
      <c r="BF58" s="419">
        <v>52</v>
      </c>
      <c r="BG58" s="419">
        <v>69</v>
      </c>
      <c r="BH58" s="421">
        <v>52</v>
      </c>
      <c r="BI58" s="420">
        <v>93</v>
      </c>
      <c r="BJ58" s="419">
        <v>25</v>
      </c>
      <c r="BK58" s="419">
        <v>38</v>
      </c>
      <c r="BL58" s="421">
        <v>19</v>
      </c>
      <c r="BM58" s="420">
        <v>21</v>
      </c>
      <c r="BN58" s="419">
        <v>19</v>
      </c>
      <c r="BO58" s="419">
        <v>28</v>
      </c>
      <c r="BP58" s="421">
        <v>31</v>
      </c>
      <c r="BQ58" s="420">
        <v>18</v>
      </c>
      <c r="BR58" s="419">
        <v>50</v>
      </c>
      <c r="BS58" s="419">
        <v>17</v>
      </c>
      <c r="BT58" s="421">
        <v>50</v>
      </c>
      <c r="BU58" s="421">
        <v>17</v>
      </c>
      <c r="BV58" s="419">
        <v>11</v>
      </c>
      <c r="BW58" s="419">
        <v>10</v>
      </c>
      <c r="BX58" s="421">
        <v>25</v>
      </c>
      <c r="BY58" s="420">
        <v>15</v>
      </c>
      <c r="BZ58" s="419">
        <v>23</v>
      </c>
      <c r="CA58" s="419">
        <v>10</v>
      </c>
      <c r="CB58" s="421">
        <v>26</v>
      </c>
      <c r="CC58" s="421">
        <v>9</v>
      </c>
      <c r="CD58" s="419">
        <v>26</v>
      </c>
      <c r="CE58" s="419">
        <v>10</v>
      </c>
      <c r="CF58" s="421">
        <v>26</v>
      </c>
      <c r="CG58" s="421">
        <v>9</v>
      </c>
      <c r="CH58" s="419">
        <v>27</v>
      </c>
      <c r="CI58" s="419">
        <v>10</v>
      </c>
      <c r="CJ58" s="421">
        <v>42</v>
      </c>
      <c r="CK58" s="421">
        <v>9</v>
      </c>
      <c r="CL58" s="419">
        <v>25</v>
      </c>
      <c r="CM58" s="421">
        <v>29</v>
      </c>
      <c r="CN58" s="424">
        <f t="shared" si="29"/>
        <v>563</v>
      </c>
      <c r="CO58" s="424">
        <f t="shared" si="30"/>
        <v>10</v>
      </c>
      <c r="CP58" s="425">
        <f t="shared" si="31"/>
        <v>554</v>
      </c>
      <c r="CQ58" s="425">
        <f t="shared" si="32"/>
        <v>10</v>
      </c>
      <c r="CR58" s="419">
        <v>30</v>
      </c>
      <c r="CS58" s="419">
        <v>4</v>
      </c>
      <c r="CT58" s="421">
        <v>42</v>
      </c>
      <c r="CU58" s="420">
        <v>6</v>
      </c>
      <c r="CV58" s="419">
        <v>42</v>
      </c>
      <c r="CW58" s="419">
        <v>3</v>
      </c>
      <c r="CX58" s="421">
        <v>30</v>
      </c>
      <c r="CY58" s="421">
        <v>3</v>
      </c>
      <c r="CZ58" s="419">
        <v>51</v>
      </c>
      <c r="DA58" s="419">
        <v>2</v>
      </c>
      <c r="DB58" s="421">
        <v>51</v>
      </c>
      <c r="DC58" s="421">
        <v>2</v>
      </c>
      <c r="DD58" s="419"/>
      <c r="DE58" s="419"/>
      <c r="DF58" s="421"/>
      <c r="DG58" s="421"/>
      <c r="DH58" s="419"/>
      <c r="DI58" s="419"/>
      <c r="DJ58" s="421"/>
      <c r="DK58" s="421"/>
      <c r="DL58" s="419"/>
      <c r="DM58" s="419"/>
      <c r="DN58" s="421"/>
      <c r="DO58" s="421"/>
      <c r="DP58" s="419"/>
      <c r="DQ58" s="419"/>
      <c r="DR58" s="421"/>
      <c r="DS58" s="421"/>
      <c r="DT58" s="419"/>
      <c r="DU58" s="419"/>
      <c r="DV58" s="421"/>
      <c r="DW58" s="421"/>
      <c r="DX58" s="419"/>
      <c r="DY58" s="419"/>
      <c r="DZ58" s="421"/>
      <c r="EA58" s="421"/>
      <c r="EB58" s="419"/>
      <c r="EC58" s="419"/>
      <c r="ED58" s="421"/>
      <c r="EE58" s="421"/>
      <c r="EF58" s="419"/>
      <c r="EG58" s="421"/>
      <c r="EH58" s="424">
        <f t="shared" si="33"/>
        <v>9</v>
      </c>
      <c r="EI58" s="424">
        <f t="shared" si="34"/>
        <v>3</v>
      </c>
      <c r="EJ58" s="422">
        <f t="shared" si="35"/>
        <v>0.44444444444444442</v>
      </c>
      <c r="EK58" s="425">
        <f t="shared" si="36"/>
        <v>11</v>
      </c>
      <c r="EL58" s="425">
        <f t="shared" si="37"/>
        <v>3</v>
      </c>
      <c r="EM58" s="423">
        <f t="shared" si="38"/>
        <v>0.54545454545454541</v>
      </c>
      <c r="EN58" s="424">
        <f t="shared" si="39"/>
        <v>572</v>
      </c>
      <c r="EO58" s="425">
        <f t="shared" si="40"/>
        <v>565</v>
      </c>
      <c r="EP58" s="419"/>
      <c r="EQ58" s="421"/>
      <c r="ER58" s="419"/>
      <c r="ES58" s="421"/>
      <c r="ET58" s="419"/>
      <c r="EU58" s="421"/>
      <c r="EV58" s="419"/>
      <c r="EW58" s="421"/>
      <c r="EX58" s="419"/>
      <c r="EY58" s="421"/>
      <c r="EZ58" s="419"/>
      <c r="FA58" s="421"/>
      <c r="FB58" s="419"/>
      <c r="FC58" s="421"/>
      <c r="FD58" s="419"/>
      <c r="FE58" s="421"/>
      <c r="FF58" s="419"/>
      <c r="FG58" s="421"/>
      <c r="FH58" s="419">
        <v>57</v>
      </c>
      <c r="FI58" s="421">
        <v>64</v>
      </c>
      <c r="FJ58" s="424">
        <f t="shared" si="41"/>
        <v>57</v>
      </c>
      <c r="FK58" s="425">
        <f t="shared" si="42"/>
        <v>64</v>
      </c>
      <c r="FL58" s="419"/>
      <c r="FM58" s="421"/>
      <c r="FN58" s="424">
        <f t="shared" si="43"/>
        <v>2466</v>
      </c>
      <c r="FO58" s="425">
        <f t="shared" si="44"/>
        <v>2425</v>
      </c>
    </row>
    <row r="59" spans="1:171">
      <c r="A59" s="427" t="s">
        <v>154</v>
      </c>
      <c r="B59" s="57" t="s">
        <v>555</v>
      </c>
      <c r="C59" s="56"/>
      <c r="D59" s="55">
        <v>107327</v>
      </c>
      <c r="E59" s="116">
        <v>10</v>
      </c>
      <c r="F59" s="419">
        <v>292</v>
      </c>
      <c r="G59" s="421">
        <v>263</v>
      </c>
      <c r="H59" s="419">
        <v>0</v>
      </c>
      <c r="I59" s="421">
        <v>0</v>
      </c>
      <c r="J59" s="419">
        <v>164</v>
      </c>
      <c r="K59" s="421">
        <v>154</v>
      </c>
      <c r="L59" s="422">
        <f t="shared" si="23"/>
        <v>0</v>
      </c>
      <c r="M59" s="423">
        <f t="shared" si="24"/>
        <v>0</v>
      </c>
      <c r="N59" s="419">
        <v>0</v>
      </c>
      <c r="O59" s="309">
        <f>0</f>
        <v>0</v>
      </c>
      <c r="P59" s="309">
        <f>0</f>
        <v>0</v>
      </c>
      <c r="Q59" s="309">
        <f>0</f>
        <v>0</v>
      </c>
      <c r="R59" s="424">
        <f t="shared" si="2"/>
        <v>0</v>
      </c>
      <c r="S59" s="421">
        <v>0</v>
      </c>
      <c r="T59" s="301">
        <f>0</f>
        <v>0</v>
      </c>
      <c r="U59" s="301">
        <f>0</f>
        <v>0</v>
      </c>
      <c r="V59" s="301">
        <f>0</f>
        <v>0</v>
      </c>
      <c r="W59" s="425">
        <f t="shared" si="3"/>
        <v>0</v>
      </c>
      <c r="X59" s="419"/>
      <c r="Y59" s="419"/>
      <c r="Z59" s="421"/>
      <c r="AA59" s="421"/>
      <c r="AB59" s="419"/>
      <c r="AC59" s="419"/>
      <c r="AD59" s="421"/>
      <c r="AE59" s="421"/>
      <c r="AF59" s="419"/>
      <c r="AG59" s="419"/>
      <c r="AH59" s="421"/>
      <c r="AI59" s="421"/>
      <c r="AJ59" s="419"/>
      <c r="AK59" s="419"/>
      <c r="AL59" s="421"/>
      <c r="AM59" s="421"/>
      <c r="AN59" s="419"/>
      <c r="AO59" s="419"/>
      <c r="AP59" s="421"/>
      <c r="AQ59" s="421"/>
      <c r="AR59" s="424">
        <f t="shared" si="25"/>
        <v>0</v>
      </c>
      <c r="AS59" s="422">
        <f t="shared" si="26"/>
        <v>0</v>
      </c>
      <c r="AT59" s="425">
        <f t="shared" si="27"/>
        <v>0</v>
      </c>
      <c r="AU59" s="423">
        <f t="shared" si="28"/>
        <v>0</v>
      </c>
      <c r="AV59" s="419">
        <v>0</v>
      </c>
      <c r="AW59" s="421">
        <v>0</v>
      </c>
      <c r="AX59" s="419"/>
      <c r="AY59" s="419"/>
      <c r="AZ59" s="421"/>
      <c r="BA59" s="421"/>
      <c r="BB59" s="419"/>
      <c r="BC59" s="419"/>
      <c r="BD59" s="421"/>
      <c r="BE59" s="421"/>
      <c r="BF59" s="419"/>
      <c r="BG59" s="419"/>
      <c r="BH59" s="421"/>
      <c r="BI59" s="421"/>
      <c r="BJ59" s="419"/>
      <c r="BK59" s="419"/>
      <c r="BL59" s="421"/>
      <c r="BM59" s="421"/>
      <c r="BN59" s="419"/>
      <c r="BO59" s="419"/>
      <c r="BP59" s="421"/>
      <c r="BQ59" s="421"/>
      <c r="BR59" s="419"/>
      <c r="BS59" s="419"/>
      <c r="BT59" s="421"/>
      <c r="BU59" s="421"/>
      <c r="BV59" s="419"/>
      <c r="BW59" s="419"/>
      <c r="BX59" s="421"/>
      <c r="BY59" s="421"/>
      <c r="BZ59" s="419"/>
      <c r="CA59" s="419"/>
      <c r="CB59" s="421"/>
      <c r="CC59" s="421"/>
      <c r="CD59" s="419"/>
      <c r="CE59" s="419"/>
      <c r="CF59" s="421"/>
      <c r="CG59" s="421"/>
      <c r="CH59" s="419"/>
      <c r="CI59" s="419"/>
      <c r="CJ59" s="421"/>
      <c r="CK59" s="421"/>
      <c r="CL59" s="419"/>
      <c r="CM59" s="421"/>
      <c r="CN59" s="424">
        <f t="shared" si="29"/>
        <v>0</v>
      </c>
      <c r="CO59" s="424">
        <f t="shared" si="30"/>
        <v>0</v>
      </c>
      <c r="CP59" s="425">
        <f t="shared" si="31"/>
        <v>0</v>
      </c>
      <c r="CQ59" s="425">
        <f t="shared" si="32"/>
        <v>0</v>
      </c>
      <c r="CR59" s="419"/>
      <c r="CS59" s="419"/>
      <c r="CT59" s="421"/>
      <c r="CU59" s="421"/>
      <c r="CV59" s="419"/>
      <c r="CW59" s="419"/>
      <c r="CX59" s="421"/>
      <c r="CY59" s="421"/>
      <c r="CZ59" s="419"/>
      <c r="DA59" s="419"/>
      <c r="DB59" s="421"/>
      <c r="DC59" s="421"/>
      <c r="DD59" s="419"/>
      <c r="DE59" s="419"/>
      <c r="DF59" s="421"/>
      <c r="DG59" s="421"/>
      <c r="DH59" s="419"/>
      <c r="DI59" s="419"/>
      <c r="DJ59" s="421"/>
      <c r="DK59" s="421"/>
      <c r="DL59" s="419"/>
      <c r="DM59" s="419"/>
      <c r="DN59" s="421"/>
      <c r="DO59" s="421"/>
      <c r="DP59" s="419"/>
      <c r="DQ59" s="419"/>
      <c r="DR59" s="421"/>
      <c r="DS59" s="421"/>
      <c r="DT59" s="419"/>
      <c r="DU59" s="419"/>
      <c r="DV59" s="421"/>
      <c r="DW59" s="421"/>
      <c r="DX59" s="419"/>
      <c r="DY59" s="419"/>
      <c r="DZ59" s="421"/>
      <c r="EA59" s="421"/>
      <c r="EB59" s="419"/>
      <c r="EC59" s="419"/>
      <c r="ED59" s="421"/>
      <c r="EE59" s="421"/>
      <c r="EF59" s="419"/>
      <c r="EG59" s="421"/>
      <c r="EH59" s="424">
        <f t="shared" si="33"/>
        <v>0</v>
      </c>
      <c r="EI59" s="424">
        <f t="shared" si="34"/>
        <v>0</v>
      </c>
      <c r="EJ59" s="422">
        <f t="shared" si="35"/>
        <v>0</v>
      </c>
      <c r="EK59" s="425">
        <f t="shared" si="36"/>
        <v>0</v>
      </c>
      <c r="EL59" s="425">
        <f t="shared" si="37"/>
        <v>0</v>
      </c>
      <c r="EM59" s="423">
        <f t="shared" si="38"/>
        <v>0</v>
      </c>
      <c r="EN59" s="424">
        <f t="shared" si="39"/>
        <v>0</v>
      </c>
      <c r="EO59" s="425">
        <f t="shared" si="40"/>
        <v>0</v>
      </c>
      <c r="EP59" s="419"/>
      <c r="EQ59" s="421"/>
      <c r="ER59" s="419"/>
      <c r="ES59" s="421"/>
      <c r="ET59" s="419"/>
      <c r="EU59" s="421"/>
      <c r="EV59" s="419"/>
      <c r="EW59" s="421"/>
      <c r="EX59" s="419"/>
      <c r="EY59" s="421"/>
      <c r="EZ59" s="419"/>
      <c r="FA59" s="421"/>
      <c r="FB59" s="419"/>
      <c r="FC59" s="421"/>
      <c r="FD59" s="419"/>
      <c r="FE59" s="421"/>
      <c r="FF59" s="419"/>
      <c r="FG59" s="421"/>
      <c r="FH59" s="419"/>
      <c r="FI59" s="421"/>
      <c r="FJ59" s="424">
        <f t="shared" si="41"/>
        <v>0</v>
      </c>
      <c r="FK59" s="425">
        <f t="shared" si="42"/>
        <v>0</v>
      </c>
      <c r="FL59" s="419"/>
      <c r="FM59" s="421"/>
      <c r="FN59" s="424">
        <f t="shared" si="43"/>
        <v>456</v>
      </c>
      <c r="FO59" s="425">
        <f t="shared" si="44"/>
        <v>417</v>
      </c>
    </row>
    <row r="60" spans="1:171">
      <c r="A60" s="427" t="s">
        <v>154</v>
      </c>
      <c r="B60" s="57" t="s">
        <v>553</v>
      </c>
      <c r="C60" s="56"/>
      <c r="D60" s="55">
        <v>106449</v>
      </c>
      <c r="E60" s="116">
        <v>9</v>
      </c>
      <c r="F60" s="419">
        <v>851</v>
      </c>
      <c r="G60" s="421">
        <v>689</v>
      </c>
      <c r="H60" s="419">
        <v>0</v>
      </c>
      <c r="I60" s="421">
        <v>0</v>
      </c>
      <c r="J60" s="419">
        <v>767</v>
      </c>
      <c r="K60" s="421">
        <v>797</v>
      </c>
      <c r="L60" s="422">
        <f t="shared" si="23"/>
        <v>0</v>
      </c>
      <c r="M60" s="423">
        <f t="shared" si="24"/>
        <v>0</v>
      </c>
      <c r="N60" s="419">
        <v>0</v>
      </c>
      <c r="O60" s="309">
        <f>0</f>
        <v>0</v>
      </c>
      <c r="P60" s="309">
        <f>0</f>
        <v>0</v>
      </c>
      <c r="Q60" s="309">
        <f>0</f>
        <v>0</v>
      </c>
      <c r="R60" s="424">
        <f t="shared" si="2"/>
        <v>0</v>
      </c>
      <c r="S60" s="421">
        <v>0</v>
      </c>
      <c r="T60" s="301">
        <f>0</f>
        <v>0</v>
      </c>
      <c r="U60" s="301">
        <f>0</f>
        <v>0</v>
      </c>
      <c r="V60" s="301">
        <f>0</f>
        <v>0</v>
      </c>
      <c r="W60" s="425">
        <f t="shared" si="3"/>
        <v>0</v>
      </c>
      <c r="X60" s="419"/>
      <c r="Y60" s="419"/>
      <c r="Z60" s="421"/>
      <c r="AA60" s="421"/>
      <c r="AB60" s="419"/>
      <c r="AC60" s="419"/>
      <c r="AD60" s="421"/>
      <c r="AE60" s="421"/>
      <c r="AF60" s="419"/>
      <c r="AG60" s="419"/>
      <c r="AH60" s="421"/>
      <c r="AI60" s="421"/>
      <c r="AJ60" s="419"/>
      <c r="AK60" s="419"/>
      <c r="AL60" s="421"/>
      <c r="AM60" s="421"/>
      <c r="AN60" s="419"/>
      <c r="AO60" s="419"/>
      <c r="AP60" s="421"/>
      <c r="AQ60" s="421"/>
      <c r="AR60" s="424">
        <f t="shared" si="25"/>
        <v>0</v>
      </c>
      <c r="AS60" s="422">
        <f t="shared" si="26"/>
        <v>0</v>
      </c>
      <c r="AT60" s="425">
        <f t="shared" si="27"/>
        <v>0</v>
      </c>
      <c r="AU60" s="423">
        <f t="shared" si="28"/>
        <v>0</v>
      </c>
      <c r="AV60" s="419">
        <v>0</v>
      </c>
      <c r="AW60" s="421">
        <v>0</v>
      </c>
      <c r="AX60" s="419"/>
      <c r="AY60" s="419"/>
      <c r="AZ60" s="421"/>
      <c r="BA60" s="421"/>
      <c r="BB60" s="419"/>
      <c r="BC60" s="419"/>
      <c r="BD60" s="421"/>
      <c r="BE60" s="421"/>
      <c r="BF60" s="419"/>
      <c r="BG60" s="419"/>
      <c r="BH60" s="421"/>
      <c r="BI60" s="421"/>
      <c r="BJ60" s="419"/>
      <c r="BK60" s="419"/>
      <c r="BL60" s="421"/>
      <c r="BM60" s="421"/>
      <c r="BN60" s="419"/>
      <c r="BO60" s="419"/>
      <c r="BP60" s="421"/>
      <c r="BQ60" s="421"/>
      <c r="BR60" s="419"/>
      <c r="BS60" s="419"/>
      <c r="BT60" s="421"/>
      <c r="BU60" s="421"/>
      <c r="BV60" s="419"/>
      <c r="BW60" s="419"/>
      <c r="BX60" s="421"/>
      <c r="BY60" s="421"/>
      <c r="BZ60" s="419"/>
      <c r="CA60" s="419"/>
      <c r="CB60" s="421"/>
      <c r="CC60" s="421"/>
      <c r="CD60" s="419"/>
      <c r="CE60" s="419"/>
      <c r="CF60" s="421"/>
      <c r="CG60" s="421"/>
      <c r="CH60" s="419"/>
      <c r="CI60" s="419"/>
      <c r="CJ60" s="421"/>
      <c r="CK60" s="421"/>
      <c r="CL60" s="419"/>
      <c r="CM60" s="421"/>
      <c r="CN60" s="424">
        <f t="shared" si="29"/>
        <v>0</v>
      </c>
      <c r="CO60" s="424">
        <f t="shared" si="30"/>
        <v>0</v>
      </c>
      <c r="CP60" s="425">
        <f t="shared" si="31"/>
        <v>0</v>
      </c>
      <c r="CQ60" s="425">
        <f t="shared" si="32"/>
        <v>0</v>
      </c>
      <c r="CR60" s="419"/>
      <c r="CS60" s="419"/>
      <c r="CT60" s="421"/>
      <c r="CU60" s="421"/>
      <c r="CV60" s="419"/>
      <c r="CW60" s="419"/>
      <c r="CX60" s="421"/>
      <c r="CY60" s="421"/>
      <c r="CZ60" s="419"/>
      <c r="DA60" s="419"/>
      <c r="DB60" s="421"/>
      <c r="DC60" s="421"/>
      <c r="DD60" s="419"/>
      <c r="DE60" s="419"/>
      <c r="DF60" s="421"/>
      <c r="DG60" s="421"/>
      <c r="DH60" s="419"/>
      <c r="DI60" s="419"/>
      <c r="DJ60" s="421"/>
      <c r="DK60" s="421"/>
      <c r="DL60" s="419"/>
      <c r="DM60" s="419"/>
      <c r="DN60" s="421"/>
      <c r="DO60" s="421"/>
      <c r="DP60" s="419"/>
      <c r="DQ60" s="419"/>
      <c r="DR60" s="421"/>
      <c r="DS60" s="421"/>
      <c r="DT60" s="419"/>
      <c r="DU60" s="419"/>
      <c r="DV60" s="421"/>
      <c r="DW60" s="421"/>
      <c r="DX60" s="419"/>
      <c r="DY60" s="419"/>
      <c r="DZ60" s="421"/>
      <c r="EA60" s="421"/>
      <c r="EB60" s="419"/>
      <c r="EC60" s="419"/>
      <c r="ED60" s="421"/>
      <c r="EE60" s="421"/>
      <c r="EF60" s="419"/>
      <c r="EG60" s="421"/>
      <c r="EH60" s="424">
        <f t="shared" si="33"/>
        <v>0</v>
      </c>
      <c r="EI60" s="424">
        <f t="shared" si="34"/>
        <v>0</v>
      </c>
      <c r="EJ60" s="422">
        <f t="shared" si="35"/>
        <v>0</v>
      </c>
      <c r="EK60" s="425">
        <f t="shared" si="36"/>
        <v>0</v>
      </c>
      <c r="EL60" s="425">
        <f t="shared" si="37"/>
        <v>0</v>
      </c>
      <c r="EM60" s="423">
        <f t="shared" si="38"/>
        <v>0</v>
      </c>
      <c r="EN60" s="424">
        <f t="shared" si="39"/>
        <v>0</v>
      </c>
      <c r="EO60" s="425">
        <f t="shared" si="40"/>
        <v>0</v>
      </c>
      <c r="EP60" s="419"/>
      <c r="EQ60" s="421"/>
      <c r="ER60" s="419"/>
      <c r="ES60" s="421"/>
      <c r="ET60" s="419"/>
      <c r="EU60" s="421"/>
      <c r="EV60" s="419"/>
      <c r="EW60" s="421"/>
      <c r="EX60" s="419"/>
      <c r="EY60" s="421"/>
      <c r="EZ60" s="419"/>
      <c r="FA60" s="421"/>
      <c r="FB60" s="419"/>
      <c r="FC60" s="421"/>
      <c r="FD60" s="419"/>
      <c r="FE60" s="421"/>
      <c r="FF60" s="419"/>
      <c r="FG60" s="421"/>
      <c r="FH60" s="419"/>
      <c r="FI60" s="421"/>
      <c r="FJ60" s="424">
        <f t="shared" si="41"/>
        <v>0</v>
      </c>
      <c r="FK60" s="425">
        <f t="shared" si="42"/>
        <v>0</v>
      </c>
      <c r="FL60" s="419"/>
      <c r="FM60" s="421"/>
      <c r="FN60" s="424">
        <f t="shared" si="43"/>
        <v>1618</v>
      </c>
      <c r="FO60" s="425">
        <f t="shared" si="44"/>
        <v>1486</v>
      </c>
    </row>
    <row r="61" spans="1:171">
      <c r="A61" s="427" t="s">
        <v>154</v>
      </c>
      <c r="B61" s="57" t="s">
        <v>557</v>
      </c>
      <c r="C61" s="56"/>
      <c r="D61" s="55">
        <v>420538</v>
      </c>
      <c r="E61" s="116">
        <v>10</v>
      </c>
      <c r="F61" s="419">
        <v>336</v>
      </c>
      <c r="G61" s="420">
        <v>198</v>
      </c>
      <c r="H61" s="419">
        <v>0</v>
      </c>
      <c r="I61" s="421">
        <v>0</v>
      </c>
      <c r="J61" s="419">
        <v>185</v>
      </c>
      <c r="K61" s="421">
        <v>219</v>
      </c>
      <c r="L61" s="422">
        <f t="shared" si="23"/>
        <v>0</v>
      </c>
      <c r="M61" s="423">
        <f t="shared" si="24"/>
        <v>0</v>
      </c>
      <c r="N61" s="419">
        <v>0</v>
      </c>
      <c r="O61" s="309">
        <f>0</f>
        <v>0</v>
      </c>
      <c r="P61" s="309">
        <f>0</f>
        <v>0</v>
      </c>
      <c r="Q61" s="309">
        <f>0</f>
        <v>0</v>
      </c>
      <c r="R61" s="424">
        <f t="shared" si="2"/>
        <v>0</v>
      </c>
      <c r="S61" s="421">
        <v>0</v>
      </c>
      <c r="T61" s="301">
        <f>0</f>
        <v>0</v>
      </c>
      <c r="U61" s="301">
        <f>0</f>
        <v>0</v>
      </c>
      <c r="V61" s="301">
        <f>0</f>
        <v>0</v>
      </c>
      <c r="W61" s="425">
        <f t="shared" si="3"/>
        <v>0</v>
      </c>
      <c r="X61" s="419"/>
      <c r="Y61" s="419"/>
      <c r="Z61" s="421"/>
      <c r="AA61" s="421"/>
      <c r="AB61" s="419"/>
      <c r="AC61" s="419"/>
      <c r="AD61" s="421"/>
      <c r="AE61" s="421"/>
      <c r="AF61" s="419"/>
      <c r="AG61" s="419"/>
      <c r="AH61" s="421"/>
      <c r="AI61" s="421"/>
      <c r="AJ61" s="419"/>
      <c r="AK61" s="419"/>
      <c r="AL61" s="421"/>
      <c r="AM61" s="421"/>
      <c r="AN61" s="419"/>
      <c r="AO61" s="419"/>
      <c r="AP61" s="421"/>
      <c r="AQ61" s="421"/>
      <c r="AR61" s="424">
        <f t="shared" si="25"/>
        <v>0</v>
      </c>
      <c r="AS61" s="422">
        <f t="shared" si="26"/>
        <v>0</v>
      </c>
      <c r="AT61" s="425">
        <f t="shared" si="27"/>
        <v>0</v>
      </c>
      <c r="AU61" s="423">
        <f t="shared" si="28"/>
        <v>0</v>
      </c>
      <c r="AV61" s="419">
        <v>0</v>
      </c>
      <c r="AW61" s="421">
        <v>0</v>
      </c>
      <c r="AX61" s="419"/>
      <c r="AY61" s="419"/>
      <c r="AZ61" s="421"/>
      <c r="BA61" s="421"/>
      <c r="BB61" s="419"/>
      <c r="BC61" s="419"/>
      <c r="BD61" s="421"/>
      <c r="BE61" s="421"/>
      <c r="BF61" s="419"/>
      <c r="BG61" s="419"/>
      <c r="BH61" s="421"/>
      <c r="BI61" s="421"/>
      <c r="BJ61" s="419"/>
      <c r="BK61" s="419"/>
      <c r="BL61" s="421"/>
      <c r="BM61" s="421"/>
      <c r="BN61" s="419"/>
      <c r="BO61" s="419"/>
      <c r="BP61" s="421"/>
      <c r="BQ61" s="421"/>
      <c r="BR61" s="419"/>
      <c r="BS61" s="419"/>
      <c r="BT61" s="421"/>
      <c r="BU61" s="421"/>
      <c r="BV61" s="419"/>
      <c r="BW61" s="419"/>
      <c r="BX61" s="421"/>
      <c r="BY61" s="421"/>
      <c r="BZ61" s="419"/>
      <c r="CA61" s="419"/>
      <c r="CB61" s="421"/>
      <c r="CC61" s="421"/>
      <c r="CD61" s="419"/>
      <c r="CE61" s="419"/>
      <c r="CF61" s="421"/>
      <c r="CG61" s="421"/>
      <c r="CH61" s="419"/>
      <c r="CI61" s="419"/>
      <c r="CJ61" s="421"/>
      <c r="CK61" s="421"/>
      <c r="CL61" s="419"/>
      <c r="CM61" s="421"/>
      <c r="CN61" s="424">
        <f t="shared" si="29"/>
        <v>0</v>
      </c>
      <c r="CO61" s="424">
        <f t="shared" si="30"/>
        <v>0</v>
      </c>
      <c r="CP61" s="425">
        <f t="shared" si="31"/>
        <v>0</v>
      </c>
      <c r="CQ61" s="425">
        <f t="shared" si="32"/>
        <v>0</v>
      </c>
      <c r="CR61" s="419"/>
      <c r="CS61" s="419"/>
      <c r="CT61" s="421"/>
      <c r="CU61" s="421"/>
      <c r="CV61" s="419"/>
      <c r="CW61" s="419"/>
      <c r="CX61" s="421"/>
      <c r="CY61" s="421"/>
      <c r="CZ61" s="419"/>
      <c r="DA61" s="419"/>
      <c r="DB61" s="421"/>
      <c r="DC61" s="421"/>
      <c r="DD61" s="419"/>
      <c r="DE61" s="419"/>
      <c r="DF61" s="421"/>
      <c r="DG61" s="421"/>
      <c r="DH61" s="419"/>
      <c r="DI61" s="419"/>
      <c r="DJ61" s="421"/>
      <c r="DK61" s="421"/>
      <c r="DL61" s="419"/>
      <c r="DM61" s="419"/>
      <c r="DN61" s="421"/>
      <c r="DO61" s="421"/>
      <c r="DP61" s="419"/>
      <c r="DQ61" s="419"/>
      <c r="DR61" s="421"/>
      <c r="DS61" s="421"/>
      <c r="DT61" s="419"/>
      <c r="DU61" s="419"/>
      <c r="DV61" s="421"/>
      <c r="DW61" s="421"/>
      <c r="DX61" s="419"/>
      <c r="DY61" s="419"/>
      <c r="DZ61" s="421"/>
      <c r="EA61" s="421"/>
      <c r="EB61" s="419"/>
      <c r="EC61" s="419"/>
      <c r="ED61" s="421"/>
      <c r="EE61" s="421"/>
      <c r="EF61" s="419"/>
      <c r="EG61" s="421"/>
      <c r="EH61" s="424">
        <f t="shared" si="33"/>
        <v>0</v>
      </c>
      <c r="EI61" s="424">
        <f t="shared" si="34"/>
        <v>0</v>
      </c>
      <c r="EJ61" s="422">
        <f t="shared" si="35"/>
        <v>0</v>
      </c>
      <c r="EK61" s="425">
        <f t="shared" si="36"/>
        <v>0</v>
      </c>
      <c r="EL61" s="425">
        <f t="shared" si="37"/>
        <v>0</v>
      </c>
      <c r="EM61" s="423">
        <f t="shared" si="38"/>
        <v>0</v>
      </c>
      <c r="EN61" s="424">
        <f t="shared" si="39"/>
        <v>0</v>
      </c>
      <c r="EO61" s="425">
        <f t="shared" si="40"/>
        <v>0</v>
      </c>
      <c r="EP61" s="419"/>
      <c r="EQ61" s="421"/>
      <c r="ER61" s="419"/>
      <c r="ES61" s="421"/>
      <c r="ET61" s="419"/>
      <c r="EU61" s="421"/>
      <c r="EV61" s="419"/>
      <c r="EW61" s="421"/>
      <c r="EX61" s="419"/>
      <c r="EY61" s="421"/>
      <c r="EZ61" s="419"/>
      <c r="FA61" s="421"/>
      <c r="FB61" s="419"/>
      <c r="FC61" s="421"/>
      <c r="FD61" s="419"/>
      <c r="FE61" s="421"/>
      <c r="FF61" s="419"/>
      <c r="FG61" s="421"/>
      <c r="FH61" s="419"/>
      <c r="FI61" s="421"/>
      <c r="FJ61" s="424">
        <f t="shared" si="41"/>
        <v>0</v>
      </c>
      <c r="FK61" s="425">
        <f t="shared" si="42"/>
        <v>0</v>
      </c>
      <c r="FL61" s="419"/>
      <c r="FM61" s="421"/>
      <c r="FN61" s="424">
        <f t="shared" si="43"/>
        <v>521</v>
      </c>
      <c r="FO61" s="425">
        <f t="shared" si="44"/>
        <v>417</v>
      </c>
    </row>
    <row r="62" spans="1:171">
      <c r="A62" s="427" t="s">
        <v>154</v>
      </c>
      <c r="B62" s="52" t="s">
        <v>556</v>
      </c>
      <c r="C62" s="56"/>
      <c r="D62" s="55">
        <v>107318</v>
      </c>
      <c r="E62" s="116">
        <v>10</v>
      </c>
      <c r="F62" s="419">
        <v>439</v>
      </c>
      <c r="G62" s="420">
        <v>328</v>
      </c>
      <c r="H62" s="419">
        <v>0</v>
      </c>
      <c r="I62" s="421">
        <v>0</v>
      </c>
      <c r="J62" s="419">
        <v>128</v>
      </c>
      <c r="K62" s="420">
        <v>95</v>
      </c>
      <c r="L62" s="422">
        <f t="shared" si="23"/>
        <v>0</v>
      </c>
      <c r="M62" s="423">
        <f t="shared" si="24"/>
        <v>0</v>
      </c>
      <c r="N62" s="419">
        <v>0</v>
      </c>
      <c r="O62" s="309">
        <f>0</f>
        <v>0</v>
      </c>
      <c r="P62" s="309">
        <f>0</f>
        <v>0</v>
      </c>
      <c r="Q62" s="309">
        <f>0</f>
        <v>0</v>
      </c>
      <c r="R62" s="424">
        <f t="shared" si="2"/>
        <v>0</v>
      </c>
      <c r="S62" s="421">
        <v>0</v>
      </c>
      <c r="T62" s="301">
        <f>0</f>
        <v>0</v>
      </c>
      <c r="U62" s="301">
        <f>0</f>
        <v>0</v>
      </c>
      <c r="V62" s="301">
        <f>0</f>
        <v>0</v>
      </c>
      <c r="W62" s="425">
        <f t="shared" si="3"/>
        <v>0</v>
      </c>
      <c r="X62" s="419"/>
      <c r="Y62" s="419"/>
      <c r="Z62" s="421"/>
      <c r="AA62" s="421"/>
      <c r="AB62" s="419"/>
      <c r="AC62" s="419"/>
      <c r="AD62" s="421"/>
      <c r="AE62" s="421"/>
      <c r="AF62" s="419"/>
      <c r="AG62" s="419"/>
      <c r="AH62" s="421"/>
      <c r="AI62" s="421"/>
      <c r="AJ62" s="419"/>
      <c r="AK62" s="419"/>
      <c r="AL62" s="421"/>
      <c r="AM62" s="421"/>
      <c r="AN62" s="419"/>
      <c r="AO62" s="419"/>
      <c r="AP62" s="421"/>
      <c r="AQ62" s="421"/>
      <c r="AR62" s="424">
        <f t="shared" si="25"/>
        <v>0</v>
      </c>
      <c r="AS62" s="422">
        <f t="shared" si="26"/>
        <v>0</v>
      </c>
      <c r="AT62" s="425">
        <f t="shared" si="27"/>
        <v>0</v>
      </c>
      <c r="AU62" s="423">
        <f t="shared" si="28"/>
        <v>0</v>
      </c>
      <c r="AV62" s="419">
        <v>0</v>
      </c>
      <c r="AW62" s="421">
        <v>0</v>
      </c>
      <c r="AX62" s="419"/>
      <c r="AY62" s="419"/>
      <c r="AZ62" s="421"/>
      <c r="BA62" s="421"/>
      <c r="BB62" s="419"/>
      <c r="BC62" s="419"/>
      <c r="BD62" s="421"/>
      <c r="BE62" s="421"/>
      <c r="BF62" s="419"/>
      <c r="BG62" s="419"/>
      <c r="BH62" s="421"/>
      <c r="BI62" s="421"/>
      <c r="BJ62" s="419"/>
      <c r="BK62" s="419"/>
      <c r="BL62" s="421"/>
      <c r="BM62" s="421"/>
      <c r="BN62" s="419"/>
      <c r="BO62" s="419"/>
      <c r="BP62" s="421"/>
      <c r="BQ62" s="421"/>
      <c r="BR62" s="419"/>
      <c r="BS62" s="419"/>
      <c r="BT62" s="421"/>
      <c r="BU62" s="421"/>
      <c r="BV62" s="419"/>
      <c r="BW62" s="419"/>
      <c r="BX62" s="421"/>
      <c r="BY62" s="421"/>
      <c r="BZ62" s="419"/>
      <c r="CA62" s="419"/>
      <c r="CB62" s="421"/>
      <c r="CC62" s="421"/>
      <c r="CD62" s="419"/>
      <c r="CE62" s="419"/>
      <c r="CF62" s="421"/>
      <c r="CG62" s="421"/>
      <c r="CH62" s="419"/>
      <c r="CI62" s="419"/>
      <c r="CJ62" s="421"/>
      <c r="CK62" s="421"/>
      <c r="CL62" s="419"/>
      <c r="CM62" s="421"/>
      <c r="CN62" s="424">
        <f t="shared" si="29"/>
        <v>0</v>
      </c>
      <c r="CO62" s="424">
        <f t="shared" si="30"/>
        <v>0</v>
      </c>
      <c r="CP62" s="425">
        <f t="shared" si="31"/>
        <v>0</v>
      </c>
      <c r="CQ62" s="425">
        <f t="shared" si="32"/>
        <v>0</v>
      </c>
      <c r="CR62" s="419"/>
      <c r="CS62" s="419"/>
      <c r="CT62" s="421"/>
      <c r="CU62" s="421"/>
      <c r="CV62" s="419"/>
      <c r="CW62" s="419"/>
      <c r="CX62" s="421"/>
      <c r="CY62" s="421"/>
      <c r="CZ62" s="419"/>
      <c r="DA62" s="419"/>
      <c r="DB62" s="421"/>
      <c r="DC62" s="421"/>
      <c r="DD62" s="419"/>
      <c r="DE62" s="419"/>
      <c r="DF62" s="421"/>
      <c r="DG62" s="421"/>
      <c r="DH62" s="419"/>
      <c r="DI62" s="419"/>
      <c r="DJ62" s="421"/>
      <c r="DK62" s="421"/>
      <c r="DL62" s="419"/>
      <c r="DM62" s="419"/>
      <c r="DN62" s="421"/>
      <c r="DO62" s="421"/>
      <c r="DP62" s="419"/>
      <c r="DQ62" s="419"/>
      <c r="DR62" s="421"/>
      <c r="DS62" s="421"/>
      <c r="DT62" s="419"/>
      <c r="DU62" s="419"/>
      <c r="DV62" s="421"/>
      <c r="DW62" s="421"/>
      <c r="DX62" s="419"/>
      <c r="DY62" s="419"/>
      <c r="DZ62" s="421"/>
      <c r="EA62" s="421"/>
      <c r="EB62" s="419"/>
      <c r="EC62" s="419"/>
      <c r="ED62" s="421"/>
      <c r="EE62" s="421"/>
      <c r="EF62" s="419"/>
      <c r="EG62" s="421"/>
      <c r="EH62" s="424">
        <f t="shared" si="33"/>
        <v>0</v>
      </c>
      <c r="EI62" s="424">
        <f t="shared" si="34"/>
        <v>0</v>
      </c>
      <c r="EJ62" s="422">
        <f t="shared" si="35"/>
        <v>0</v>
      </c>
      <c r="EK62" s="425">
        <f t="shared" si="36"/>
        <v>0</v>
      </c>
      <c r="EL62" s="425">
        <f t="shared" si="37"/>
        <v>0</v>
      </c>
      <c r="EM62" s="423">
        <f t="shared" si="38"/>
        <v>0</v>
      </c>
      <c r="EN62" s="424">
        <f t="shared" si="39"/>
        <v>0</v>
      </c>
      <c r="EO62" s="425">
        <f t="shared" si="40"/>
        <v>0</v>
      </c>
      <c r="EP62" s="419"/>
      <c r="EQ62" s="421"/>
      <c r="ER62" s="419"/>
      <c r="ES62" s="421"/>
      <c r="ET62" s="419"/>
      <c r="EU62" s="421"/>
      <c r="EV62" s="419"/>
      <c r="EW62" s="421"/>
      <c r="EX62" s="419"/>
      <c r="EY62" s="421"/>
      <c r="EZ62" s="419"/>
      <c r="FA62" s="421"/>
      <c r="FB62" s="419"/>
      <c r="FC62" s="421"/>
      <c r="FD62" s="419"/>
      <c r="FE62" s="421"/>
      <c r="FF62" s="419"/>
      <c r="FG62" s="421"/>
      <c r="FH62" s="419"/>
      <c r="FI62" s="421"/>
      <c r="FJ62" s="424">
        <f t="shared" si="41"/>
        <v>0</v>
      </c>
      <c r="FK62" s="425">
        <f t="shared" si="42"/>
        <v>0</v>
      </c>
      <c r="FL62" s="419"/>
      <c r="FM62" s="421"/>
      <c r="FN62" s="424">
        <f t="shared" si="43"/>
        <v>567</v>
      </c>
      <c r="FO62" s="425">
        <f t="shared" si="44"/>
        <v>423</v>
      </c>
    </row>
    <row r="63" spans="1:171">
      <c r="A63" s="427" t="s">
        <v>154</v>
      </c>
      <c r="B63" s="57" t="s">
        <v>560</v>
      </c>
      <c r="C63" s="56"/>
      <c r="D63" s="55">
        <v>440402</v>
      </c>
      <c r="E63" s="116">
        <v>10</v>
      </c>
      <c r="F63" s="419">
        <v>874</v>
      </c>
      <c r="G63" s="420">
        <v>461</v>
      </c>
      <c r="H63" s="419">
        <v>0</v>
      </c>
      <c r="I63" s="421">
        <v>0</v>
      </c>
      <c r="J63" s="419">
        <v>242</v>
      </c>
      <c r="K63" s="421">
        <v>280</v>
      </c>
      <c r="L63" s="422">
        <f t="shared" si="23"/>
        <v>0</v>
      </c>
      <c r="M63" s="423">
        <f t="shared" si="24"/>
        <v>0</v>
      </c>
      <c r="N63" s="419">
        <v>0</v>
      </c>
      <c r="O63" s="309">
        <f>0</f>
        <v>0</v>
      </c>
      <c r="P63" s="309">
        <f>0</f>
        <v>0</v>
      </c>
      <c r="Q63" s="309">
        <f>0</f>
        <v>0</v>
      </c>
      <c r="R63" s="424">
        <f t="shared" si="2"/>
        <v>0</v>
      </c>
      <c r="S63" s="421">
        <v>0</v>
      </c>
      <c r="T63" s="301">
        <f>0</f>
        <v>0</v>
      </c>
      <c r="U63" s="301">
        <f>0</f>
        <v>0</v>
      </c>
      <c r="V63" s="301">
        <f>0</f>
        <v>0</v>
      </c>
      <c r="W63" s="425">
        <f t="shared" si="3"/>
        <v>0</v>
      </c>
      <c r="X63" s="419"/>
      <c r="Y63" s="419"/>
      <c r="Z63" s="421"/>
      <c r="AA63" s="421"/>
      <c r="AB63" s="419"/>
      <c r="AC63" s="419"/>
      <c r="AD63" s="421"/>
      <c r="AE63" s="421"/>
      <c r="AF63" s="419"/>
      <c r="AG63" s="419"/>
      <c r="AH63" s="421"/>
      <c r="AI63" s="421"/>
      <c r="AJ63" s="419"/>
      <c r="AK63" s="419"/>
      <c r="AL63" s="421"/>
      <c r="AM63" s="421"/>
      <c r="AN63" s="419"/>
      <c r="AO63" s="419"/>
      <c r="AP63" s="421"/>
      <c r="AQ63" s="421"/>
      <c r="AR63" s="424">
        <f t="shared" si="25"/>
        <v>0</v>
      </c>
      <c r="AS63" s="422">
        <f t="shared" si="26"/>
        <v>0</v>
      </c>
      <c r="AT63" s="425">
        <f t="shared" si="27"/>
        <v>0</v>
      </c>
      <c r="AU63" s="423">
        <f t="shared" si="28"/>
        <v>0</v>
      </c>
      <c r="AV63" s="419">
        <v>0</v>
      </c>
      <c r="AW63" s="421">
        <v>0</v>
      </c>
      <c r="AX63" s="419"/>
      <c r="AY63" s="419"/>
      <c r="AZ63" s="421"/>
      <c r="BA63" s="421"/>
      <c r="BB63" s="419"/>
      <c r="BC63" s="419"/>
      <c r="BD63" s="421"/>
      <c r="BE63" s="421"/>
      <c r="BF63" s="419"/>
      <c r="BG63" s="419"/>
      <c r="BH63" s="421"/>
      <c r="BI63" s="421"/>
      <c r="BJ63" s="419"/>
      <c r="BK63" s="419"/>
      <c r="BL63" s="421"/>
      <c r="BM63" s="421"/>
      <c r="BN63" s="419"/>
      <c r="BO63" s="419"/>
      <c r="BP63" s="421"/>
      <c r="BQ63" s="421"/>
      <c r="BR63" s="419"/>
      <c r="BS63" s="419"/>
      <c r="BT63" s="421"/>
      <c r="BU63" s="421"/>
      <c r="BV63" s="419"/>
      <c r="BW63" s="419"/>
      <c r="BX63" s="421"/>
      <c r="BY63" s="421"/>
      <c r="BZ63" s="419"/>
      <c r="CA63" s="419"/>
      <c r="CB63" s="421"/>
      <c r="CC63" s="421"/>
      <c r="CD63" s="419"/>
      <c r="CE63" s="419"/>
      <c r="CF63" s="421"/>
      <c r="CG63" s="421"/>
      <c r="CH63" s="419"/>
      <c r="CI63" s="419"/>
      <c r="CJ63" s="421"/>
      <c r="CK63" s="421"/>
      <c r="CL63" s="419"/>
      <c r="CM63" s="421"/>
      <c r="CN63" s="424">
        <f t="shared" si="29"/>
        <v>0</v>
      </c>
      <c r="CO63" s="424">
        <f t="shared" si="30"/>
        <v>0</v>
      </c>
      <c r="CP63" s="425">
        <f t="shared" si="31"/>
        <v>0</v>
      </c>
      <c r="CQ63" s="425">
        <f t="shared" si="32"/>
        <v>0</v>
      </c>
      <c r="CR63" s="419"/>
      <c r="CS63" s="419"/>
      <c r="CT63" s="421"/>
      <c r="CU63" s="421"/>
      <c r="CV63" s="419"/>
      <c r="CW63" s="419"/>
      <c r="CX63" s="421"/>
      <c r="CY63" s="421"/>
      <c r="CZ63" s="419"/>
      <c r="DA63" s="419"/>
      <c r="DB63" s="421"/>
      <c r="DC63" s="421"/>
      <c r="DD63" s="419"/>
      <c r="DE63" s="419"/>
      <c r="DF63" s="421"/>
      <c r="DG63" s="421"/>
      <c r="DH63" s="419"/>
      <c r="DI63" s="419"/>
      <c r="DJ63" s="421"/>
      <c r="DK63" s="421"/>
      <c r="DL63" s="419"/>
      <c r="DM63" s="419"/>
      <c r="DN63" s="421"/>
      <c r="DO63" s="421"/>
      <c r="DP63" s="419"/>
      <c r="DQ63" s="419"/>
      <c r="DR63" s="421"/>
      <c r="DS63" s="421"/>
      <c r="DT63" s="419"/>
      <c r="DU63" s="419"/>
      <c r="DV63" s="421"/>
      <c r="DW63" s="421"/>
      <c r="DX63" s="419"/>
      <c r="DY63" s="419"/>
      <c r="DZ63" s="421"/>
      <c r="EA63" s="421"/>
      <c r="EB63" s="419"/>
      <c r="EC63" s="419"/>
      <c r="ED63" s="421"/>
      <c r="EE63" s="421"/>
      <c r="EF63" s="419"/>
      <c r="EG63" s="421"/>
      <c r="EH63" s="424">
        <f t="shared" si="33"/>
        <v>0</v>
      </c>
      <c r="EI63" s="424">
        <f t="shared" si="34"/>
        <v>0</v>
      </c>
      <c r="EJ63" s="422">
        <f t="shared" si="35"/>
        <v>0</v>
      </c>
      <c r="EK63" s="425">
        <f t="shared" si="36"/>
        <v>0</v>
      </c>
      <c r="EL63" s="425">
        <f t="shared" si="37"/>
        <v>0</v>
      </c>
      <c r="EM63" s="423">
        <f t="shared" si="38"/>
        <v>0</v>
      </c>
      <c r="EN63" s="424">
        <f t="shared" si="39"/>
        <v>0</v>
      </c>
      <c r="EO63" s="425">
        <f t="shared" si="40"/>
        <v>0</v>
      </c>
      <c r="EP63" s="419"/>
      <c r="EQ63" s="421"/>
      <c r="ER63" s="419"/>
      <c r="ES63" s="421"/>
      <c r="ET63" s="419"/>
      <c r="EU63" s="421"/>
      <c r="EV63" s="419"/>
      <c r="EW63" s="421"/>
      <c r="EX63" s="419"/>
      <c r="EY63" s="421"/>
      <c r="EZ63" s="419"/>
      <c r="FA63" s="421"/>
      <c r="FB63" s="419"/>
      <c r="FC63" s="421"/>
      <c r="FD63" s="419"/>
      <c r="FE63" s="421"/>
      <c r="FF63" s="419"/>
      <c r="FG63" s="421"/>
      <c r="FH63" s="419"/>
      <c r="FI63" s="421"/>
      <c r="FJ63" s="424">
        <f t="shared" si="41"/>
        <v>0</v>
      </c>
      <c r="FK63" s="425">
        <f t="shared" si="42"/>
        <v>0</v>
      </c>
      <c r="FL63" s="419"/>
      <c r="FM63" s="421"/>
      <c r="FN63" s="424">
        <f t="shared" si="43"/>
        <v>1116</v>
      </c>
      <c r="FO63" s="425">
        <f t="shared" si="44"/>
        <v>741</v>
      </c>
    </row>
    <row r="64" spans="1:171">
      <c r="A64" s="427" t="s">
        <v>154</v>
      </c>
      <c r="B64" s="57" t="s">
        <v>558</v>
      </c>
      <c r="C64" s="56" t="s">
        <v>559</v>
      </c>
      <c r="D64" s="55">
        <v>107521</v>
      </c>
      <c r="E64" s="55">
        <v>10</v>
      </c>
      <c r="F64" s="419">
        <v>529</v>
      </c>
      <c r="G64" s="421">
        <v>524</v>
      </c>
      <c r="H64" s="419">
        <v>0</v>
      </c>
      <c r="I64" s="421">
        <v>0</v>
      </c>
      <c r="J64" s="419">
        <v>114</v>
      </c>
      <c r="K64" s="421">
        <v>124</v>
      </c>
      <c r="L64" s="422">
        <f t="shared" si="23"/>
        <v>0</v>
      </c>
      <c r="M64" s="423">
        <f t="shared" si="24"/>
        <v>0</v>
      </c>
      <c r="N64" s="419">
        <v>0</v>
      </c>
      <c r="O64" s="309">
        <f>0</f>
        <v>0</v>
      </c>
      <c r="P64" s="309">
        <f>0</f>
        <v>0</v>
      </c>
      <c r="Q64" s="309">
        <f>0</f>
        <v>0</v>
      </c>
      <c r="R64" s="424">
        <f t="shared" si="2"/>
        <v>0</v>
      </c>
      <c r="S64" s="421">
        <v>0</v>
      </c>
      <c r="T64" s="301">
        <f>0</f>
        <v>0</v>
      </c>
      <c r="U64" s="301">
        <f>0</f>
        <v>0</v>
      </c>
      <c r="V64" s="301">
        <f>0</f>
        <v>0</v>
      </c>
      <c r="W64" s="425">
        <f t="shared" si="3"/>
        <v>0</v>
      </c>
      <c r="X64" s="419"/>
      <c r="Y64" s="419"/>
      <c r="Z64" s="421"/>
      <c r="AA64" s="421"/>
      <c r="AB64" s="419"/>
      <c r="AC64" s="419"/>
      <c r="AD64" s="421"/>
      <c r="AE64" s="421"/>
      <c r="AF64" s="419"/>
      <c r="AG64" s="419"/>
      <c r="AH64" s="421"/>
      <c r="AI64" s="421"/>
      <c r="AJ64" s="419"/>
      <c r="AK64" s="419"/>
      <c r="AL64" s="421"/>
      <c r="AM64" s="421"/>
      <c r="AN64" s="419"/>
      <c r="AO64" s="419"/>
      <c r="AP64" s="421"/>
      <c r="AQ64" s="421"/>
      <c r="AR64" s="424">
        <f t="shared" si="25"/>
        <v>0</v>
      </c>
      <c r="AS64" s="422">
        <f t="shared" si="26"/>
        <v>0</v>
      </c>
      <c r="AT64" s="425">
        <f t="shared" si="27"/>
        <v>0</v>
      </c>
      <c r="AU64" s="423">
        <f t="shared" si="28"/>
        <v>0</v>
      </c>
      <c r="AV64" s="419">
        <v>0</v>
      </c>
      <c r="AW64" s="421">
        <v>0</v>
      </c>
      <c r="AX64" s="419"/>
      <c r="AY64" s="419"/>
      <c r="AZ64" s="421"/>
      <c r="BA64" s="421"/>
      <c r="BB64" s="419"/>
      <c r="BC64" s="419"/>
      <c r="BD64" s="421"/>
      <c r="BE64" s="421"/>
      <c r="BF64" s="419"/>
      <c r="BG64" s="419"/>
      <c r="BH64" s="421"/>
      <c r="BI64" s="421"/>
      <c r="BJ64" s="419"/>
      <c r="BK64" s="419"/>
      <c r="BL64" s="421"/>
      <c r="BM64" s="421"/>
      <c r="BN64" s="419"/>
      <c r="BO64" s="419"/>
      <c r="BP64" s="421"/>
      <c r="BQ64" s="421"/>
      <c r="BR64" s="419"/>
      <c r="BS64" s="419"/>
      <c r="BT64" s="421"/>
      <c r="BU64" s="421"/>
      <c r="BV64" s="419"/>
      <c r="BW64" s="419"/>
      <c r="BX64" s="421"/>
      <c r="BY64" s="421"/>
      <c r="BZ64" s="419"/>
      <c r="CA64" s="419"/>
      <c r="CB64" s="421"/>
      <c r="CC64" s="421"/>
      <c r="CD64" s="419"/>
      <c r="CE64" s="419"/>
      <c r="CF64" s="421"/>
      <c r="CG64" s="421"/>
      <c r="CH64" s="419"/>
      <c r="CI64" s="419"/>
      <c r="CJ64" s="421"/>
      <c r="CK64" s="421"/>
      <c r="CL64" s="419"/>
      <c r="CM64" s="421"/>
      <c r="CN64" s="424">
        <f t="shared" si="29"/>
        <v>0</v>
      </c>
      <c r="CO64" s="424">
        <f t="shared" si="30"/>
        <v>0</v>
      </c>
      <c r="CP64" s="425">
        <f t="shared" si="31"/>
        <v>0</v>
      </c>
      <c r="CQ64" s="425">
        <f t="shared" si="32"/>
        <v>0</v>
      </c>
      <c r="CR64" s="419"/>
      <c r="CS64" s="419"/>
      <c r="CT64" s="421"/>
      <c r="CU64" s="421"/>
      <c r="CV64" s="419"/>
      <c r="CW64" s="419"/>
      <c r="CX64" s="421"/>
      <c r="CY64" s="421"/>
      <c r="CZ64" s="419"/>
      <c r="DA64" s="419"/>
      <c r="DB64" s="421"/>
      <c r="DC64" s="421"/>
      <c r="DD64" s="419"/>
      <c r="DE64" s="419"/>
      <c r="DF64" s="421"/>
      <c r="DG64" s="421"/>
      <c r="DH64" s="419"/>
      <c r="DI64" s="419"/>
      <c r="DJ64" s="421"/>
      <c r="DK64" s="421"/>
      <c r="DL64" s="419"/>
      <c r="DM64" s="419"/>
      <c r="DN64" s="421"/>
      <c r="DO64" s="421"/>
      <c r="DP64" s="419"/>
      <c r="DQ64" s="419"/>
      <c r="DR64" s="421"/>
      <c r="DS64" s="421"/>
      <c r="DT64" s="419"/>
      <c r="DU64" s="419"/>
      <c r="DV64" s="421"/>
      <c r="DW64" s="421"/>
      <c r="DX64" s="419"/>
      <c r="DY64" s="419"/>
      <c r="DZ64" s="421"/>
      <c r="EA64" s="421"/>
      <c r="EB64" s="419"/>
      <c r="EC64" s="419"/>
      <c r="ED64" s="421"/>
      <c r="EE64" s="421"/>
      <c r="EF64" s="419"/>
      <c r="EG64" s="421"/>
      <c r="EH64" s="424">
        <f t="shared" si="33"/>
        <v>0</v>
      </c>
      <c r="EI64" s="424">
        <f t="shared" si="34"/>
        <v>0</v>
      </c>
      <c r="EJ64" s="422">
        <f t="shared" si="35"/>
        <v>0</v>
      </c>
      <c r="EK64" s="425">
        <f t="shared" si="36"/>
        <v>0</v>
      </c>
      <c r="EL64" s="425">
        <f t="shared" si="37"/>
        <v>0</v>
      </c>
      <c r="EM64" s="423">
        <f t="shared" si="38"/>
        <v>0</v>
      </c>
      <c r="EN64" s="424">
        <f t="shared" si="39"/>
        <v>0</v>
      </c>
      <c r="EO64" s="425">
        <f t="shared" si="40"/>
        <v>0</v>
      </c>
      <c r="EP64" s="419"/>
      <c r="EQ64" s="421"/>
      <c r="ER64" s="419"/>
      <c r="ES64" s="421"/>
      <c r="ET64" s="419"/>
      <c r="EU64" s="421"/>
      <c r="EV64" s="419"/>
      <c r="EW64" s="421"/>
      <c r="EX64" s="419"/>
      <c r="EY64" s="421"/>
      <c r="EZ64" s="419"/>
      <c r="FA64" s="421"/>
      <c r="FB64" s="419"/>
      <c r="FC64" s="421"/>
      <c r="FD64" s="419"/>
      <c r="FE64" s="421"/>
      <c r="FF64" s="419"/>
      <c r="FG64" s="421"/>
      <c r="FH64" s="419"/>
      <c r="FI64" s="421"/>
      <c r="FJ64" s="424">
        <f t="shared" si="41"/>
        <v>0</v>
      </c>
      <c r="FK64" s="425">
        <f t="shared" si="42"/>
        <v>0</v>
      </c>
      <c r="FL64" s="419"/>
      <c r="FM64" s="421"/>
      <c r="FN64" s="424">
        <f t="shared" si="43"/>
        <v>643</v>
      </c>
      <c r="FO64" s="425">
        <f t="shared" si="44"/>
        <v>648</v>
      </c>
    </row>
    <row r="65" spans="1:171">
      <c r="A65" s="427" t="s">
        <v>154</v>
      </c>
      <c r="B65" s="57" t="s">
        <v>561</v>
      </c>
      <c r="C65" s="56"/>
      <c r="D65" s="55">
        <v>106625</v>
      </c>
      <c r="E65" s="116">
        <v>10</v>
      </c>
      <c r="F65" s="419">
        <v>339</v>
      </c>
      <c r="G65" s="421">
        <v>295</v>
      </c>
      <c r="H65" s="419">
        <v>0</v>
      </c>
      <c r="I65" s="421">
        <v>0</v>
      </c>
      <c r="J65" s="419">
        <v>204</v>
      </c>
      <c r="K65" s="420">
        <v>399</v>
      </c>
      <c r="L65" s="422">
        <f t="shared" si="23"/>
        <v>0</v>
      </c>
      <c r="M65" s="423">
        <f t="shared" si="24"/>
        <v>0</v>
      </c>
      <c r="N65" s="419">
        <v>0</v>
      </c>
      <c r="O65" s="309">
        <f>0</f>
        <v>0</v>
      </c>
      <c r="P65" s="309">
        <f>0</f>
        <v>0</v>
      </c>
      <c r="Q65" s="309">
        <f>0</f>
        <v>0</v>
      </c>
      <c r="R65" s="424">
        <f t="shared" si="2"/>
        <v>0</v>
      </c>
      <c r="S65" s="421">
        <v>0</v>
      </c>
      <c r="T65" s="301">
        <f>0</f>
        <v>0</v>
      </c>
      <c r="U65" s="301">
        <f>0</f>
        <v>0</v>
      </c>
      <c r="V65" s="301">
        <f>0</f>
        <v>0</v>
      </c>
      <c r="W65" s="425">
        <f t="shared" si="3"/>
        <v>0</v>
      </c>
      <c r="X65" s="419"/>
      <c r="Y65" s="419"/>
      <c r="Z65" s="421"/>
      <c r="AA65" s="421"/>
      <c r="AB65" s="419"/>
      <c r="AC65" s="419"/>
      <c r="AD65" s="421"/>
      <c r="AE65" s="421"/>
      <c r="AF65" s="419"/>
      <c r="AG65" s="419"/>
      <c r="AH65" s="421"/>
      <c r="AI65" s="421"/>
      <c r="AJ65" s="419"/>
      <c r="AK65" s="419"/>
      <c r="AL65" s="421"/>
      <c r="AM65" s="421"/>
      <c r="AN65" s="419"/>
      <c r="AO65" s="419"/>
      <c r="AP65" s="421"/>
      <c r="AQ65" s="421"/>
      <c r="AR65" s="424">
        <f t="shared" si="25"/>
        <v>0</v>
      </c>
      <c r="AS65" s="422">
        <f t="shared" si="26"/>
        <v>0</v>
      </c>
      <c r="AT65" s="425">
        <f t="shared" si="27"/>
        <v>0</v>
      </c>
      <c r="AU65" s="423">
        <f t="shared" si="28"/>
        <v>0</v>
      </c>
      <c r="AV65" s="419">
        <v>0</v>
      </c>
      <c r="AW65" s="421">
        <v>0</v>
      </c>
      <c r="AX65" s="419"/>
      <c r="AY65" s="419"/>
      <c r="AZ65" s="421"/>
      <c r="BA65" s="421"/>
      <c r="BB65" s="419"/>
      <c r="BC65" s="419"/>
      <c r="BD65" s="421"/>
      <c r="BE65" s="421"/>
      <c r="BF65" s="419"/>
      <c r="BG65" s="419"/>
      <c r="BH65" s="421"/>
      <c r="BI65" s="421"/>
      <c r="BJ65" s="419"/>
      <c r="BK65" s="419"/>
      <c r="BL65" s="421"/>
      <c r="BM65" s="421"/>
      <c r="BN65" s="419"/>
      <c r="BO65" s="419"/>
      <c r="BP65" s="421"/>
      <c r="BQ65" s="421"/>
      <c r="BR65" s="419"/>
      <c r="BS65" s="419"/>
      <c r="BT65" s="421"/>
      <c r="BU65" s="421"/>
      <c r="BV65" s="419"/>
      <c r="BW65" s="419"/>
      <c r="BX65" s="421"/>
      <c r="BY65" s="421"/>
      <c r="BZ65" s="419"/>
      <c r="CA65" s="419"/>
      <c r="CB65" s="421"/>
      <c r="CC65" s="421"/>
      <c r="CD65" s="419"/>
      <c r="CE65" s="419"/>
      <c r="CF65" s="421"/>
      <c r="CG65" s="421"/>
      <c r="CH65" s="419"/>
      <c r="CI65" s="419"/>
      <c r="CJ65" s="421"/>
      <c r="CK65" s="421"/>
      <c r="CL65" s="419"/>
      <c r="CM65" s="421"/>
      <c r="CN65" s="424">
        <f t="shared" si="29"/>
        <v>0</v>
      </c>
      <c r="CO65" s="424">
        <f t="shared" si="30"/>
        <v>0</v>
      </c>
      <c r="CP65" s="425">
        <f t="shared" si="31"/>
        <v>0</v>
      </c>
      <c r="CQ65" s="425">
        <f t="shared" si="32"/>
        <v>0</v>
      </c>
      <c r="CR65" s="419"/>
      <c r="CS65" s="419"/>
      <c r="CT65" s="421"/>
      <c r="CU65" s="421"/>
      <c r="CV65" s="419"/>
      <c r="CW65" s="419"/>
      <c r="CX65" s="421"/>
      <c r="CY65" s="421"/>
      <c r="CZ65" s="419"/>
      <c r="DA65" s="419"/>
      <c r="DB65" s="421"/>
      <c r="DC65" s="421"/>
      <c r="DD65" s="419"/>
      <c r="DE65" s="419"/>
      <c r="DF65" s="421"/>
      <c r="DG65" s="421"/>
      <c r="DH65" s="419"/>
      <c r="DI65" s="419"/>
      <c r="DJ65" s="421"/>
      <c r="DK65" s="421"/>
      <c r="DL65" s="419"/>
      <c r="DM65" s="419"/>
      <c r="DN65" s="421"/>
      <c r="DO65" s="421"/>
      <c r="DP65" s="419"/>
      <c r="DQ65" s="419"/>
      <c r="DR65" s="421"/>
      <c r="DS65" s="421"/>
      <c r="DT65" s="419"/>
      <c r="DU65" s="419"/>
      <c r="DV65" s="421"/>
      <c r="DW65" s="421"/>
      <c r="DX65" s="419"/>
      <c r="DY65" s="419"/>
      <c r="DZ65" s="421"/>
      <c r="EA65" s="421"/>
      <c r="EB65" s="419"/>
      <c r="EC65" s="419"/>
      <c r="ED65" s="421"/>
      <c r="EE65" s="421"/>
      <c r="EF65" s="419"/>
      <c r="EG65" s="421"/>
      <c r="EH65" s="424">
        <f t="shared" si="33"/>
        <v>0</v>
      </c>
      <c r="EI65" s="424">
        <f t="shared" si="34"/>
        <v>0</v>
      </c>
      <c r="EJ65" s="422">
        <f t="shared" si="35"/>
        <v>0</v>
      </c>
      <c r="EK65" s="425">
        <f t="shared" si="36"/>
        <v>0</v>
      </c>
      <c r="EL65" s="425">
        <f t="shared" si="37"/>
        <v>0</v>
      </c>
      <c r="EM65" s="423">
        <f t="shared" si="38"/>
        <v>0</v>
      </c>
      <c r="EN65" s="424">
        <f t="shared" si="39"/>
        <v>0</v>
      </c>
      <c r="EO65" s="425">
        <f t="shared" si="40"/>
        <v>0</v>
      </c>
      <c r="EP65" s="419"/>
      <c r="EQ65" s="421"/>
      <c r="ER65" s="419"/>
      <c r="ES65" s="421"/>
      <c r="ET65" s="419"/>
      <c r="EU65" s="421"/>
      <c r="EV65" s="419"/>
      <c r="EW65" s="421"/>
      <c r="EX65" s="419"/>
      <c r="EY65" s="421"/>
      <c r="EZ65" s="419"/>
      <c r="FA65" s="421"/>
      <c r="FB65" s="419"/>
      <c r="FC65" s="421"/>
      <c r="FD65" s="419"/>
      <c r="FE65" s="421"/>
      <c r="FF65" s="419"/>
      <c r="FG65" s="421"/>
      <c r="FH65" s="419"/>
      <c r="FI65" s="421"/>
      <c r="FJ65" s="424">
        <f t="shared" si="41"/>
        <v>0</v>
      </c>
      <c r="FK65" s="425">
        <f t="shared" si="42"/>
        <v>0</v>
      </c>
      <c r="FL65" s="419"/>
      <c r="FM65" s="421"/>
      <c r="FN65" s="424">
        <f t="shared" si="43"/>
        <v>543</v>
      </c>
      <c r="FO65" s="425">
        <f t="shared" si="44"/>
        <v>694</v>
      </c>
    </row>
    <row r="66" spans="1:171">
      <c r="A66" s="427" t="s">
        <v>154</v>
      </c>
      <c r="B66" s="57" t="s">
        <v>562</v>
      </c>
      <c r="C66" s="56"/>
      <c r="D66" s="55">
        <v>106795</v>
      </c>
      <c r="E66" s="116">
        <v>10</v>
      </c>
      <c r="F66" s="419">
        <v>544</v>
      </c>
      <c r="G66" s="421">
        <v>567</v>
      </c>
      <c r="H66" s="419">
        <v>0</v>
      </c>
      <c r="I66" s="421">
        <v>0</v>
      </c>
      <c r="J66" s="419">
        <v>164</v>
      </c>
      <c r="K66" s="420">
        <v>206</v>
      </c>
      <c r="L66" s="422">
        <f t="shared" si="23"/>
        <v>0</v>
      </c>
      <c r="M66" s="423">
        <f t="shared" si="24"/>
        <v>0</v>
      </c>
      <c r="N66" s="419">
        <v>0</v>
      </c>
      <c r="O66" s="309">
        <f>0</f>
        <v>0</v>
      </c>
      <c r="P66" s="309">
        <f>0</f>
        <v>0</v>
      </c>
      <c r="Q66" s="309">
        <f>0</f>
        <v>0</v>
      </c>
      <c r="R66" s="424">
        <f t="shared" si="2"/>
        <v>0</v>
      </c>
      <c r="S66" s="421">
        <v>0</v>
      </c>
      <c r="T66" s="301">
        <f>0</f>
        <v>0</v>
      </c>
      <c r="U66" s="301">
        <f>0</f>
        <v>0</v>
      </c>
      <c r="V66" s="301">
        <f>0</f>
        <v>0</v>
      </c>
      <c r="W66" s="425">
        <f t="shared" si="3"/>
        <v>0</v>
      </c>
      <c r="X66" s="419"/>
      <c r="Y66" s="419"/>
      <c r="Z66" s="421"/>
      <c r="AA66" s="421"/>
      <c r="AB66" s="419"/>
      <c r="AC66" s="419"/>
      <c r="AD66" s="421"/>
      <c r="AE66" s="421"/>
      <c r="AF66" s="419"/>
      <c r="AG66" s="419"/>
      <c r="AH66" s="421"/>
      <c r="AI66" s="421"/>
      <c r="AJ66" s="419"/>
      <c r="AK66" s="419"/>
      <c r="AL66" s="421"/>
      <c r="AM66" s="421"/>
      <c r="AN66" s="419"/>
      <c r="AO66" s="419"/>
      <c r="AP66" s="421"/>
      <c r="AQ66" s="421"/>
      <c r="AR66" s="424">
        <f t="shared" si="25"/>
        <v>0</v>
      </c>
      <c r="AS66" s="422">
        <f t="shared" si="26"/>
        <v>0</v>
      </c>
      <c r="AT66" s="425">
        <f t="shared" si="27"/>
        <v>0</v>
      </c>
      <c r="AU66" s="423">
        <f t="shared" si="28"/>
        <v>0</v>
      </c>
      <c r="AV66" s="419">
        <v>0</v>
      </c>
      <c r="AW66" s="421">
        <v>0</v>
      </c>
      <c r="AX66" s="419"/>
      <c r="AY66" s="419"/>
      <c r="AZ66" s="421"/>
      <c r="BA66" s="421"/>
      <c r="BB66" s="419"/>
      <c r="BC66" s="419"/>
      <c r="BD66" s="421"/>
      <c r="BE66" s="421"/>
      <c r="BF66" s="419"/>
      <c r="BG66" s="419"/>
      <c r="BH66" s="421"/>
      <c r="BI66" s="421"/>
      <c r="BJ66" s="419"/>
      <c r="BK66" s="419"/>
      <c r="BL66" s="421"/>
      <c r="BM66" s="421"/>
      <c r="BN66" s="419"/>
      <c r="BO66" s="419"/>
      <c r="BP66" s="421"/>
      <c r="BQ66" s="421"/>
      <c r="BR66" s="419"/>
      <c r="BS66" s="419"/>
      <c r="BT66" s="421"/>
      <c r="BU66" s="421"/>
      <c r="BV66" s="419"/>
      <c r="BW66" s="419"/>
      <c r="BX66" s="421"/>
      <c r="BY66" s="421"/>
      <c r="BZ66" s="419"/>
      <c r="CA66" s="419"/>
      <c r="CB66" s="421"/>
      <c r="CC66" s="421"/>
      <c r="CD66" s="419"/>
      <c r="CE66" s="419"/>
      <c r="CF66" s="421"/>
      <c r="CG66" s="421"/>
      <c r="CH66" s="419"/>
      <c r="CI66" s="419"/>
      <c r="CJ66" s="421"/>
      <c r="CK66" s="421"/>
      <c r="CL66" s="419"/>
      <c r="CM66" s="421"/>
      <c r="CN66" s="424">
        <f t="shared" si="29"/>
        <v>0</v>
      </c>
      <c r="CO66" s="424">
        <f t="shared" si="30"/>
        <v>0</v>
      </c>
      <c r="CP66" s="425">
        <f t="shared" si="31"/>
        <v>0</v>
      </c>
      <c r="CQ66" s="425">
        <f t="shared" si="32"/>
        <v>0</v>
      </c>
      <c r="CR66" s="419"/>
      <c r="CS66" s="419"/>
      <c r="CT66" s="421"/>
      <c r="CU66" s="421"/>
      <c r="CV66" s="419"/>
      <c r="CW66" s="419"/>
      <c r="CX66" s="421"/>
      <c r="CY66" s="421"/>
      <c r="CZ66" s="419"/>
      <c r="DA66" s="419"/>
      <c r="DB66" s="421"/>
      <c r="DC66" s="421"/>
      <c r="DD66" s="419"/>
      <c r="DE66" s="419"/>
      <c r="DF66" s="421"/>
      <c r="DG66" s="421"/>
      <c r="DH66" s="419"/>
      <c r="DI66" s="419"/>
      <c r="DJ66" s="421"/>
      <c r="DK66" s="421"/>
      <c r="DL66" s="419"/>
      <c r="DM66" s="419"/>
      <c r="DN66" s="421"/>
      <c r="DO66" s="421"/>
      <c r="DP66" s="419"/>
      <c r="DQ66" s="419"/>
      <c r="DR66" s="421"/>
      <c r="DS66" s="421"/>
      <c r="DT66" s="419"/>
      <c r="DU66" s="419"/>
      <c r="DV66" s="421"/>
      <c r="DW66" s="421"/>
      <c r="DX66" s="419"/>
      <c r="DY66" s="419"/>
      <c r="DZ66" s="421"/>
      <c r="EA66" s="421"/>
      <c r="EB66" s="419"/>
      <c r="EC66" s="419"/>
      <c r="ED66" s="421"/>
      <c r="EE66" s="421"/>
      <c r="EF66" s="419"/>
      <c r="EG66" s="421"/>
      <c r="EH66" s="424">
        <f t="shared" si="33"/>
        <v>0</v>
      </c>
      <c r="EI66" s="424">
        <f t="shared" si="34"/>
        <v>0</v>
      </c>
      <c r="EJ66" s="422">
        <f t="shared" si="35"/>
        <v>0</v>
      </c>
      <c r="EK66" s="425">
        <f t="shared" si="36"/>
        <v>0</v>
      </c>
      <c r="EL66" s="425">
        <f t="shared" si="37"/>
        <v>0</v>
      </c>
      <c r="EM66" s="423">
        <f t="shared" si="38"/>
        <v>0</v>
      </c>
      <c r="EN66" s="424">
        <f t="shared" si="39"/>
        <v>0</v>
      </c>
      <c r="EO66" s="425">
        <f t="shared" si="40"/>
        <v>0</v>
      </c>
      <c r="EP66" s="419"/>
      <c r="EQ66" s="421"/>
      <c r="ER66" s="419"/>
      <c r="ES66" s="421"/>
      <c r="ET66" s="419"/>
      <c r="EU66" s="421"/>
      <c r="EV66" s="419"/>
      <c r="EW66" s="421"/>
      <c r="EX66" s="419"/>
      <c r="EY66" s="421"/>
      <c r="EZ66" s="419"/>
      <c r="FA66" s="421"/>
      <c r="FB66" s="419"/>
      <c r="FC66" s="421"/>
      <c r="FD66" s="419"/>
      <c r="FE66" s="421"/>
      <c r="FF66" s="419"/>
      <c r="FG66" s="421"/>
      <c r="FH66" s="419"/>
      <c r="FI66" s="421"/>
      <c r="FJ66" s="424">
        <f t="shared" si="41"/>
        <v>0</v>
      </c>
      <c r="FK66" s="425">
        <f t="shared" si="42"/>
        <v>0</v>
      </c>
      <c r="FL66" s="419"/>
      <c r="FM66" s="421"/>
      <c r="FN66" s="424">
        <f t="shared" si="43"/>
        <v>708</v>
      </c>
      <c r="FO66" s="425">
        <f t="shared" si="44"/>
        <v>773</v>
      </c>
    </row>
    <row r="67" spans="1:171">
      <c r="A67" s="427" t="s">
        <v>154</v>
      </c>
      <c r="B67" s="57" t="s">
        <v>563</v>
      </c>
      <c r="C67" s="56"/>
      <c r="D67" s="55">
        <v>106883</v>
      </c>
      <c r="E67" s="116">
        <v>10</v>
      </c>
      <c r="F67" s="419">
        <v>376</v>
      </c>
      <c r="G67" s="421">
        <v>311</v>
      </c>
      <c r="H67" s="419">
        <v>0</v>
      </c>
      <c r="I67" s="421">
        <v>0</v>
      </c>
      <c r="J67" s="419">
        <v>124</v>
      </c>
      <c r="K67" s="421">
        <v>147</v>
      </c>
      <c r="L67" s="422">
        <f t="shared" si="23"/>
        <v>0</v>
      </c>
      <c r="M67" s="423">
        <f t="shared" si="24"/>
        <v>0</v>
      </c>
      <c r="N67" s="419">
        <v>0</v>
      </c>
      <c r="O67" s="309">
        <f>0</f>
        <v>0</v>
      </c>
      <c r="P67" s="309">
        <f>0</f>
        <v>0</v>
      </c>
      <c r="Q67" s="309">
        <f>0</f>
        <v>0</v>
      </c>
      <c r="R67" s="424">
        <f t="shared" si="2"/>
        <v>0</v>
      </c>
      <c r="S67" s="421">
        <v>0</v>
      </c>
      <c r="T67" s="301">
        <f>0</f>
        <v>0</v>
      </c>
      <c r="U67" s="301">
        <f>0</f>
        <v>0</v>
      </c>
      <c r="V67" s="301">
        <f>0</f>
        <v>0</v>
      </c>
      <c r="W67" s="425">
        <f t="shared" si="3"/>
        <v>0</v>
      </c>
      <c r="X67" s="419"/>
      <c r="Y67" s="419"/>
      <c r="Z67" s="421"/>
      <c r="AA67" s="421"/>
      <c r="AB67" s="419"/>
      <c r="AC67" s="419"/>
      <c r="AD67" s="421"/>
      <c r="AE67" s="421"/>
      <c r="AF67" s="419"/>
      <c r="AG67" s="419"/>
      <c r="AH67" s="421"/>
      <c r="AI67" s="421"/>
      <c r="AJ67" s="419"/>
      <c r="AK67" s="419"/>
      <c r="AL67" s="421"/>
      <c r="AM67" s="421"/>
      <c r="AN67" s="419"/>
      <c r="AO67" s="419"/>
      <c r="AP67" s="421"/>
      <c r="AQ67" s="421"/>
      <c r="AR67" s="424">
        <f t="shared" si="25"/>
        <v>0</v>
      </c>
      <c r="AS67" s="422">
        <f t="shared" si="26"/>
        <v>0</v>
      </c>
      <c r="AT67" s="425">
        <f t="shared" si="27"/>
        <v>0</v>
      </c>
      <c r="AU67" s="423">
        <f t="shared" si="28"/>
        <v>0</v>
      </c>
      <c r="AV67" s="419">
        <v>0</v>
      </c>
      <c r="AW67" s="421">
        <v>0</v>
      </c>
      <c r="AX67" s="419"/>
      <c r="AY67" s="419"/>
      <c r="AZ67" s="421"/>
      <c r="BA67" s="421"/>
      <c r="BB67" s="419"/>
      <c r="BC67" s="419"/>
      <c r="BD67" s="421"/>
      <c r="BE67" s="421"/>
      <c r="BF67" s="419"/>
      <c r="BG67" s="419"/>
      <c r="BH67" s="421"/>
      <c r="BI67" s="421"/>
      <c r="BJ67" s="419"/>
      <c r="BK67" s="419"/>
      <c r="BL67" s="421"/>
      <c r="BM67" s="421"/>
      <c r="BN67" s="419"/>
      <c r="BO67" s="419"/>
      <c r="BP67" s="421"/>
      <c r="BQ67" s="421"/>
      <c r="BR67" s="419"/>
      <c r="BS67" s="419"/>
      <c r="BT67" s="421"/>
      <c r="BU67" s="421"/>
      <c r="BV67" s="419"/>
      <c r="BW67" s="419"/>
      <c r="BX67" s="421"/>
      <c r="BY67" s="421"/>
      <c r="BZ67" s="419"/>
      <c r="CA67" s="419"/>
      <c r="CB67" s="421"/>
      <c r="CC67" s="421"/>
      <c r="CD67" s="419"/>
      <c r="CE67" s="419"/>
      <c r="CF67" s="421"/>
      <c r="CG67" s="421"/>
      <c r="CH67" s="419"/>
      <c r="CI67" s="419"/>
      <c r="CJ67" s="421"/>
      <c r="CK67" s="421"/>
      <c r="CL67" s="419"/>
      <c r="CM67" s="421"/>
      <c r="CN67" s="424">
        <f t="shared" si="29"/>
        <v>0</v>
      </c>
      <c r="CO67" s="424">
        <f t="shared" si="30"/>
        <v>0</v>
      </c>
      <c r="CP67" s="425">
        <f t="shared" si="31"/>
        <v>0</v>
      </c>
      <c r="CQ67" s="425">
        <f t="shared" si="32"/>
        <v>0</v>
      </c>
      <c r="CR67" s="419"/>
      <c r="CS67" s="419"/>
      <c r="CT67" s="421"/>
      <c r="CU67" s="421"/>
      <c r="CV67" s="419"/>
      <c r="CW67" s="419"/>
      <c r="CX67" s="421"/>
      <c r="CY67" s="421"/>
      <c r="CZ67" s="419"/>
      <c r="DA67" s="419"/>
      <c r="DB67" s="421"/>
      <c r="DC67" s="421"/>
      <c r="DD67" s="419"/>
      <c r="DE67" s="419"/>
      <c r="DF67" s="421"/>
      <c r="DG67" s="421"/>
      <c r="DH67" s="419"/>
      <c r="DI67" s="419"/>
      <c r="DJ67" s="421"/>
      <c r="DK67" s="421"/>
      <c r="DL67" s="419"/>
      <c r="DM67" s="419"/>
      <c r="DN67" s="421"/>
      <c r="DO67" s="421"/>
      <c r="DP67" s="419"/>
      <c r="DQ67" s="419"/>
      <c r="DR67" s="421"/>
      <c r="DS67" s="421"/>
      <c r="DT67" s="419"/>
      <c r="DU67" s="419"/>
      <c r="DV67" s="421"/>
      <c r="DW67" s="421"/>
      <c r="DX67" s="419"/>
      <c r="DY67" s="419"/>
      <c r="DZ67" s="421"/>
      <c r="EA67" s="421"/>
      <c r="EB67" s="419"/>
      <c r="EC67" s="419"/>
      <c r="ED67" s="421"/>
      <c r="EE67" s="421"/>
      <c r="EF67" s="419"/>
      <c r="EG67" s="421"/>
      <c r="EH67" s="424">
        <f t="shared" si="33"/>
        <v>0</v>
      </c>
      <c r="EI67" s="424">
        <f t="shared" si="34"/>
        <v>0</v>
      </c>
      <c r="EJ67" s="422">
        <f t="shared" si="35"/>
        <v>0</v>
      </c>
      <c r="EK67" s="425">
        <f t="shared" si="36"/>
        <v>0</v>
      </c>
      <c r="EL67" s="425">
        <f t="shared" si="37"/>
        <v>0</v>
      </c>
      <c r="EM67" s="423">
        <f t="shared" si="38"/>
        <v>0</v>
      </c>
      <c r="EN67" s="424">
        <f t="shared" si="39"/>
        <v>0</v>
      </c>
      <c r="EO67" s="425">
        <f t="shared" si="40"/>
        <v>0</v>
      </c>
      <c r="EP67" s="419"/>
      <c r="EQ67" s="421"/>
      <c r="ER67" s="419"/>
      <c r="ES67" s="421"/>
      <c r="ET67" s="419"/>
      <c r="EU67" s="421"/>
      <c r="EV67" s="419"/>
      <c r="EW67" s="421"/>
      <c r="EX67" s="419"/>
      <c r="EY67" s="421"/>
      <c r="EZ67" s="419"/>
      <c r="FA67" s="421"/>
      <c r="FB67" s="419"/>
      <c r="FC67" s="421"/>
      <c r="FD67" s="419"/>
      <c r="FE67" s="421"/>
      <c r="FF67" s="419"/>
      <c r="FG67" s="421"/>
      <c r="FH67" s="419"/>
      <c r="FI67" s="421"/>
      <c r="FJ67" s="424">
        <f t="shared" si="41"/>
        <v>0</v>
      </c>
      <c r="FK67" s="425">
        <f t="shared" si="42"/>
        <v>0</v>
      </c>
      <c r="FL67" s="419"/>
      <c r="FM67" s="421"/>
      <c r="FN67" s="424">
        <f t="shared" si="43"/>
        <v>500</v>
      </c>
      <c r="FO67" s="425">
        <f t="shared" si="44"/>
        <v>458</v>
      </c>
    </row>
    <row r="68" spans="1:171">
      <c r="A68" s="427" t="s">
        <v>154</v>
      </c>
      <c r="B68" s="57" t="s">
        <v>565</v>
      </c>
      <c r="C68" s="56"/>
      <c r="D68" s="55">
        <v>107460</v>
      </c>
      <c r="E68" s="116">
        <v>10</v>
      </c>
      <c r="F68" s="419">
        <v>391</v>
      </c>
      <c r="G68" s="421">
        <v>320</v>
      </c>
      <c r="H68" s="419">
        <v>0</v>
      </c>
      <c r="I68" s="421">
        <v>0</v>
      </c>
      <c r="J68" s="419">
        <v>310</v>
      </c>
      <c r="K68" s="421">
        <v>269</v>
      </c>
      <c r="L68" s="422">
        <f t="shared" si="23"/>
        <v>0</v>
      </c>
      <c r="M68" s="423">
        <f t="shared" si="24"/>
        <v>0</v>
      </c>
      <c r="N68" s="419">
        <v>0</v>
      </c>
      <c r="O68" s="309">
        <f>0</f>
        <v>0</v>
      </c>
      <c r="P68" s="309">
        <f>0</f>
        <v>0</v>
      </c>
      <c r="Q68" s="309">
        <f>0</f>
        <v>0</v>
      </c>
      <c r="R68" s="424">
        <f t="shared" si="2"/>
        <v>0</v>
      </c>
      <c r="S68" s="421">
        <v>0</v>
      </c>
      <c r="T68" s="301">
        <f>0</f>
        <v>0</v>
      </c>
      <c r="U68" s="301">
        <f>0</f>
        <v>0</v>
      </c>
      <c r="V68" s="301">
        <f>0</f>
        <v>0</v>
      </c>
      <c r="W68" s="425">
        <f t="shared" si="3"/>
        <v>0</v>
      </c>
      <c r="X68" s="419"/>
      <c r="Y68" s="419"/>
      <c r="Z68" s="421"/>
      <c r="AA68" s="421"/>
      <c r="AB68" s="419"/>
      <c r="AC68" s="419"/>
      <c r="AD68" s="421"/>
      <c r="AE68" s="421"/>
      <c r="AF68" s="419"/>
      <c r="AG68" s="419"/>
      <c r="AH68" s="421"/>
      <c r="AI68" s="421"/>
      <c r="AJ68" s="419"/>
      <c r="AK68" s="419"/>
      <c r="AL68" s="421"/>
      <c r="AM68" s="421"/>
      <c r="AN68" s="419"/>
      <c r="AO68" s="419"/>
      <c r="AP68" s="421"/>
      <c r="AQ68" s="421"/>
      <c r="AR68" s="424">
        <f t="shared" si="25"/>
        <v>0</v>
      </c>
      <c r="AS68" s="422">
        <f t="shared" si="26"/>
        <v>0</v>
      </c>
      <c r="AT68" s="425">
        <f t="shared" si="27"/>
        <v>0</v>
      </c>
      <c r="AU68" s="423">
        <f t="shared" si="28"/>
        <v>0</v>
      </c>
      <c r="AV68" s="419">
        <v>0</v>
      </c>
      <c r="AW68" s="421">
        <v>0</v>
      </c>
      <c r="AX68" s="419"/>
      <c r="AY68" s="419"/>
      <c r="AZ68" s="421"/>
      <c r="BA68" s="421"/>
      <c r="BB68" s="419"/>
      <c r="BC68" s="419"/>
      <c r="BD68" s="421"/>
      <c r="BE68" s="421"/>
      <c r="BF68" s="419"/>
      <c r="BG68" s="419"/>
      <c r="BH68" s="421"/>
      <c r="BI68" s="421"/>
      <c r="BJ68" s="419"/>
      <c r="BK68" s="419"/>
      <c r="BL68" s="421"/>
      <c r="BM68" s="421"/>
      <c r="BN68" s="419"/>
      <c r="BO68" s="419"/>
      <c r="BP68" s="421"/>
      <c r="BQ68" s="421"/>
      <c r="BR68" s="419"/>
      <c r="BS68" s="419"/>
      <c r="BT68" s="421"/>
      <c r="BU68" s="421"/>
      <c r="BV68" s="419"/>
      <c r="BW68" s="419"/>
      <c r="BX68" s="421"/>
      <c r="BY68" s="421"/>
      <c r="BZ68" s="419"/>
      <c r="CA68" s="419"/>
      <c r="CB68" s="421"/>
      <c r="CC68" s="421"/>
      <c r="CD68" s="419"/>
      <c r="CE68" s="419"/>
      <c r="CF68" s="421"/>
      <c r="CG68" s="421"/>
      <c r="CH68" s="419"/>
      <c r="CI68" s="419"/>
      <c r="CJ68" s="421"/>
      <c r="CK68" s="421"/>
      <c r="CL68" s="419"/>
      <c r="CM68" s="421"/>
      <c r="CN68" s="424">
        <f t="shared" si="29"/>
        <v>0</v>
      </c>
      <c r="CO68" s="424">
        <f t="shared" si="30"/>
        <v>0</v>
      </c>
      <c r="CP68" s="425">
        <f t="shared" si="31"/>
        <v>0</v>
      </c>
      <c r="CQ68" s="425">
        <f t="shared" si="32"/>
        <v>0</v>
      </c>
      <c r="CR68" s="419"/>
      <c r="CS68" s="419"/>
      <c r="CT68" s="421"/>
      <c r="CU68" s="421"/>
      <c r="CV68" s="419"/>
      <c r="CW68" s="419"/>
      <c r="CX68" s="421"/>
      <c r="CY68" s="421"/>
      <c r="CZ68" s="419"/>
      <c r="DA68" s="419"/>
      <c r="DB68" s="421"/>
      <c r="DC68" s="421"/>
      <c r="DD68" s="419"/>
      <c r="DE68" s="419"/>
      <c r="DF68" s="421"/>
      <c r="DG68" s="421"/>
      <c r="DH68" s="419"/>
      <c r="DI68" s="419"/>
      <c r="DJ68" s="421"/>
      <c r="DK68" s="421"/>
      <c r="DL68" s="419"/>
      <c r="DM68" s="419"/>
      <c r="DN68" s="421"/>
      <c r="DO68" s="421"/>
      <c r="DP68" s="419"/>
      <c r="DQ68" s="419"/>
      <c r="DR68" s="421"/>
      <c r="DS68" s="421"/>
      <c r="DT68" s="419"/>
      <c r="DU68" s="419"/>
      <c r="DV68" s="421"/>
      <c r="DW68" s="421"/>
      <c r="DX68" s="419"/>
      <c r="DY68" s="419"/>
      <c r="DZ68" s="421"/>
      <c r="EA68" s="421"/>
      <c r="EB68" s="419"/>
      <c r="EC68" s="419"/>
      <c r="ED68" s="421"/>
      <c r="EE68" s="421"/>
      <c r="EF68" s="419"/>
      <c r="EG68" s="421"/>
      <c r="EH68" s="424">
        <f t="shared" si="33"/>
        <v>0</v>
      </c>
      <c r="EI68" s="424">
        <f t="shared" si="34"/>
        <v>0</v>
      </c>
      <c r="EJ68" s="422">
        <f t="shared" si="35"/>
        <v>0</v>
      </c>
      <c r="EK68" s="425">
        <f t="shared" si="36"/>
        <v>0</v>
      </c>
      <c r="EL68" s="425">
        <f t="shared" si="37"/>
        <v>0</v>
      </c>
      <c r="EM68" s="423">
        <f t="shared" si="38"/>
        <v>0</v>
      </c>
      <c r="EN68" s="424">
        <f t="shared" si="39"/>
        <v>0</v>
      </c>
      <c r="EO68" s="425">
        <f t="shared" si="40"/>
        <v>0</v>
      </c>
      <c r="EP68" s="419"/>
      <c r="EQ68" s="421"/>
      <c r="ER68" s="419"/>
      <c r="ES68" s="421"/>
      <c r="ET68" s="419"/>
      <c r="EU68" s="421"/>
      <c r="EV68" s="419"/>
      <c r="EW68" s="421"/>
      <c r="EX68" s="419"/>
      <c r="EY68" s="421"/>
      <c r="EZ68" s="419"/>
      <c r="FA68" s="421"/>
      <c r="FB68" s="419"/>
      <c r="FC68" s="421"/>
      <c r="FD68" s="419"/>
      <c r="FE68" s="421"/>
      <c r="FF68" s="419"/>
      <c r="FG68" s="421"/>
      <c r="FH68" s="419"/>
      <c r="FI68" s="421"/>
      <c r="FJ68" s="424">
        <f t="shared" si="41"/>
        <v>0</v>
      </c>
      <c r="FK68" s="425">
        <f t="shared" si="42"/>
        <v>0</v>
      </c>
      <c r="FL68" s="419"/>
      <c r="FM68" s="421"/>
      <c r="FN68" s="424">
        <f t="shared" si="43"/>
        <v>701</v>
      </c>
      <c r="FO68" s="425">
        <f t="shared" si="44"/>
        <v>589</v>
      </c>
    </row>
    <row r="69" spans="1:171">
      <c r="A69" s="51" t="s">
        <v>154</v>
      </c>
      <c r="B69" s="53" t="s">
        <v>564</v>
      </c>
      <c r="C69" s="115"/>
      <c r="D69" s="55">
        <v>106980</v>
      </c>
      <c r="E69" s="116">
        <v>10</v>
      </c>
      <c r="F69" s="419">
        <v>482</v>
      </c>
      <c r="G69" s="421">
        <v>472</v>
      </c>
      <c r="H69" s="419">
        <v>0</v>
      </c>
      <c r="I69" s="421">
        <v>0</v>
      </c>
      <c r="J69" s="419">
        <v>299</v>
      </c>
      <c r="K69" s="421">
        <v>290</v>
      </c>
      <c r="L69" s="422">
        <f t="shared" si="23"/>
        <v>0</v>
      </c>
      <c r="M69" s="423">
        <f t="shared" si="24"/>
        <v>0</v>
      </c>
      <c r="N69" s="419">
        <v>0</v>
      </c>
      <c r="O69" s="309">
        <f>0</f>
        <v>0</v>
      </c>
      <c r="P69" s="309">
        <f>0</f>
        <v>0</v>
      </c>
      <c r="Q69" s="309">
        <f>0</f>
        <v>0</v>
      </c>
      <c r="R69" s="424">
        <f t="shared" si="2"/>
        <v>0</v>
      </c>
      <c r="S69" s="421">
        <v>0</v>
      </c>
      <c r="T69" s="301">
        <f>0</f>
        <v>0</v>
      </c>
      <c r="U69" s="301">
        <f>0</f>
        <v>0</v>
      </c>
      <c r="V69" s="301">
        <f>0</f>
        <v>0</v>
      </c>
      <c r="W69" s="425">
        <f t="shared" si="3"/>
        <v>0</v>
      </c>
      <c r="X69" s="419"/>
      <c r="Y69" s="419"/>
      <c r="Z69" s="421"/>
      <c r="AA69" s="421"/>
      <c r="AB69" s="419"/>
      <c r="AC69" s="419"/>
      <c r="AD69" s="421"/>
      <c r="AE69" s="421"/>
      <c r="AF69" s="419"/>
      <c r="AG69" s="419"/>
      <c r="AH69" s="421"/>
      <c r="AI69" s="421"/>
      <c r="AJ69" s="419"/>
      <c r="AK69" s="419"/>
      <c r="AL69" s="421"/>
      <c r="AM69" s="421"/>
      <c r="AN69" s="419"/>
      <c r="AO69" s="419"/>
      <c r="AP69" s="421"/>
      <c r="AQ69" s="421"/>
      <c r="AR69" s="424">
        <f t="shared" si="25"/>
        <v>0</v>
      </c>
      <c r="AS69" s="422">
        <f t="shared" si="26"/>
        <v>0</v>
      </c>
      <c r="AT69" s="425">
        <f t="shared" si="27"/>
        <v>0</v>
      </c>
      <c r="AU69" s="423">
        <f t="shared" si="28"/>
        <v>0</v>
      </c>
      <c r="AV69" s="419">
        <v>0</v>
      </c>
      <c r="AW69" s="421">
        <v>0</v>
      </c>
      <c r="AX69" s="419"/>
      <c r="AY69" s="419"/>
      <c r="AZ69" s="421"/>
      <c r="BA69" s="421"/>
      <c r="BB69" s="419"/>
      <c r="BC69" s="419"/>
      <c r="BD69" s="421"/>
      <c r="BE69" s="421"/>
      <c r="BF69" s="419"/>
      <c r="BG69" s="419"/>
      <c r="BH69" s="421"/>
      <c r="BI69" s="421"/>
      <c r="BJ69" s="419"/>
      <c r="BK69" s="419"/>
      <c r="BL69" s="421"/>
      <c r="BM69" s="421"/>
      <c r="BN69" s="419"/>
      <c r="BO69" s="419"/>
      <c r="BP69" s="421"/>
      <c r="BQ69" s="421"/>
      <c r="BR69" s="419"/>
      <c r="BS69" s="419"/>
      <c r="BT69" s="421"/>
      <c r="BU69" s="421"/>
      <c r="BV69" s="419"/>
      <c r="BW69" s="419"/>
      <c r="BX69" s="421"/>
      <c r="BY69" s="421"/>
      <c r="BZ69" s="419"/>
      <c r="CA69" s="419"/>
      <c r="CB69" s="421"/>
      <c r="CC69" s="421"/>
      <c r="CD69" s="419"/>
      <c r="CE69" s="419"/>
      <c r="CF69" s="421"/>
      <c r="CG69" s="421"/>
      <c r="CH69" s="419"/>
      <c r="CI69" s="419"/>
      <c r="CJ69" s="421"/>
      <c r="CK69" s="421"/>
      <c r="CL69" s="419"/>
      <c r="CM69" s="421"/>
      <c r="CN69" s="424">
        <f t="shared" si="29"/>
        <v>0</v>
      </c>
      <c r="CO69" s="424">
        <f t="shared" si="30"/>
        <v>0</v>
      </c>
      <c r="CP69" s="425">
        <f t="shared" si="31"/>
        <v>0</v>
      </c>
      <c r="CQ69" s="425">
        <f t="shared" si="32"/>
        <v>0</v>
      </c>
      <c r="CR69" s="419"/>
      <c r="CS69" s="419"/>
      <c r="CT69" s="421"/>
      <c r="CU69" s="421"/>
      <c r="CV69" s="419"/>
      <c r="CW69" s="419"/>
      <c r="CX69" s="421"/>
      <c r="CY69" s="421"/>
      <c r="CZ69" s="419"/>
      <c r="DA69" s="419"/>
      <c r="DB69" s="421"/>
      <c r="DC69" s="421"/>
      <c r="DD69" s="419"/>
      <c r="DE69" s="419"/>
      <c r="DF69" s="421"/>
      <c r="DG69" s="421"/>
      <c r="DH69" s="419"/>
      <c r="DI69" s="419"/>
      <c r="DJ69" s="421"/>
      <c r="DK69" s="421"/>
      <c r="DL69" s="419"/>
      <c r="DM69" s="419"/>
      <c r="DN69" s="421"/>
      <c r="DO69" s="421"/>
      <c r="DP69" s="419"/>
      <c r="DQ69" s="419"/>
      <c r="DR69" s="421"/>
      <c r="DS69" s="421"/>
      <c r="DT69" s="419"/>
      <c r="DU69" s="419"/>
      <c r="DV69" s="421"/>
      <c r="DW69" s="421"/>
      <c r="DX69" s="419"/>
      <c r="DY69" s="419"/>
      <c r="DZ69" s="421"/>
      <c r="EA69" s="421"/>
      <c r="EB69" s="419"/>
      <c r="EC69" s="419"/>
      <c r="ED69" s="421"/>
      <c r="EE69" s="421"/>
      <c r="EF69" s="419"/>
      <c r="EG69" s="421"/>
      <c r="EH69" s="424">
        <f t="shared" si="33"/>
        <v>0</v>
      </c>
      <c r="EI69" s="424">
        <f t="shared" si="34"/>
        <v>0</v>
      </c>
      <c r="EJ69" s="422">
        <f t="shared" si="35"/>
        <v>0</v>
      </c>
      <c r="EK69" s="425">
        <f t="shared" si="36"/>
        <v>0</v>
      </c>
      <c r="EL69" s="425">
        <f t="shared" si="37"/>
        <v>0</v>
      </c>
      <c r="EM69" s="423">
        <f t="shared" si="38"/>
        <v>0</v>
      </c>
      <c r="EN69" s="424">
        <f t="shared" si="39"/>
        <v>0</v>
      </c>
      <c r="EO69" s="425">
        <f t="shared" si="40"/>
        <v>0</v>
      </c>
      <c r="EP69" s="419"/>
      <c r="EQ69" s="421"/>
      <c r="ER69" s="419"/>
      <c r="ES69" s="421"/>
      <c r="ET69" s="419"/>
      <c r="EU69" s="421"/>
      <c r="EV69" s="419"/>
      <c r="EW69" s="421"/>
      <c r="EX69" s="419"/>
      <c r="EY69" s="421"/>
      <c r="EZ69" s="419"/>
      <c r="FA69" s="421"/>
      <c r="FB69" s="419"/>
      <c r="FC69" s="421"/>
      <c r="FD69" s="419"/>
      <c r="FE69" s="421"/>
      <c r="FF69" s="419"/>
      <c r="FG69" s="421"/>
      <c r="FH69" s="419"/>
      <c r="FI69" s="421"/>
      <c r="FJ69" s="424">
        <f t="shared" si="41"/>
        <v>0</v>
      </c>
      <c r="FK69" s="425">
        <f t="shared" si="42"/>
        <v>0</v>
      </c>
      <c r="FL69" s="419"/>
      <c r="FM69" s="421"/>
      <c r="FN69" s="424">
        <f t="shared" si="43"/>
        <v>781</v>
      </c>
      <c r="FO69" s="425">
        <f t="shared" si="44"/>
        <v>762</v>
      </c>
    </row>
    <row r="70" spans="1:171">
      <c r="A70" s="427" t="s">
        <v>154</v>
      </c>
      <c r="B70" s="57" t="s">
        <v>552</v>
      </c>
      <c r="C70" s="56" t="s">
        <v>1208</v>
      </c>
      <c r="D70" s="55">
        <v>367459</v>
      </c>
      <c r="E70" s="116">
        <v>8</v>
      </c>
      <c r="F70" s="419">
        <v>605</v>
      </c>
      <c r="G70" s="420">
        <v>748</v>
      </c>
      <c r="H70" s="419">
        <v>0</v>
      </c>
      <c r="I70" s="421">
        <v>0</v>
      </c>
      <c r="J70" s="419">
        <v>995</v>
      </c>
      <c r="K70" s="421">
        <v>1001</v>
      </c>
      <c r="L70" s="422">
        <f t="shared" si="23"/>
        <v>0</v>
      </c>
      <c r="M70" s="423">
        <f t="shared" si="24"/>
        <v>0</v>
      </c>
      <c r="N70" s="419">
        <v>0</v>
      </c>
      <c r="O70" s="309">
        <f>0</f>
        <v>0</v>
      </c>
      <c r="P70" s="309">
        <f>0</f>
        <v>0</v>
      </c>
      <c r="Q70" s="309">
        <f>0</f>
        <v>0</v>
      </c>
      <c r="R70" s="424">
        <f t="shared" si="2"/>
        <v>0</v>
      </c>
      <c r="S70" s="421">
        <v>0</v>
      </c>
      <c r="T70" s="301">
        <f>0</f>
        <v>0</v>
      </c>
      <c r="U70" s="301">
        <f>0</f>
        <v>0</v>
      </c>
      <c r="V70" s="301">
        <f>0</f>
        <v>0</v>
      </c>
      <c r="W70" s="425">
        <f t="shared" si="3"/>
        <v>0</v>
      </c>
      <c r="X70" s="419"/>
      <c r="Y70" s="419"/>
      <c r="Z70" s="421"/>
      <c r="AA70" s="421"/>
      <c r="AB70" s="419"/>
      <c r="AC70" s="419"/>
      <c r="AD70" s="421"/>
      <c r="AE70" s="421"/>
      <c r="AF70" s="419"/>
      <c r="AG70" s="419"/>
      <c r="AH70" s="421"/>
      <c r="AI70" s="421"/>
      <c r="AJ70" s="419"/>
      <c r="AK70" s="419"/>
      <c r="AL70" s="421"/>
      <c r="AM70" s="421"/>
      <c r="AN70" s="419"/>
      <c r="AO70" s="419"/>
      <c r="AP70" s="421"/>
      <c r="AQ70" s="421"/>
      <c r="AR70" s="424">
        <f t="shared" si="25"/>
        <v>0</v>
      </c>
      <c r="AS70" s="422">
        <f t="shared" si="26"/>
        <v>0</v>
      </c>
      <c r="AT70" s="425">
        <f t="shared" si="27"/>
        <v>0</v>
      </c>
      <c r="AU70" s="423">
        <f t="shared" si="28"/>
        <v>0</v>
      </c>
      <c r="AV70" s="419">
        <v>0</v>
      </c>
      <c r="AW70" s="421">
        <v>0</v>
      </c>
      <c r="AX70" s="419"/>
      <c r="AY70" s="419"/>
      <c r="AZ70" s="421"/>
      <c r="BA70" s="421"/>
      <c r="BB70" s="419"/>
      <c r="BC70" s="419"/>
      <c r="BD70" s="421"/>
      <c r="BE70" s="421"/>
      <c r="BF70" s="419"/>
      <c r="BG70" s="419"/>
      <c r="BH70" s="421"/>
      <c r="BI70" s="421"/>
      <c r="BJ70" s="419"/>
      <c r="BK70" s="419"/>
      <c r="BL70" s="421"/>
      <c r="BM70" s="421"/>
      <c r="BN70" s="419"/>
      <c r="BO70" s="419"/>
      <c r="BP70" s="421"/>
      <c r="BQ70" s="421"/>
      <c r="BR70" s="419"/>
      <c r="BS70" s="419"/>
      <c r="BT70" s="421"/>
      <c r="BU70" s="421"/>
      <c r="BV70" s="419"/>
      <c r="BW70" s="419"/>
      <c r="BX70" s="421"/>
      <c r="BY70" s="421"/>
      <c r="BZ70" s="419"/>
      <c r="CA70" s="419"/>
      <c r="CB70" s="421"/>
      <c r="CC70" s="421"/>
      <c r="CD70" s="419"/>
      <c r="CE70" s="419"/>
      <c r="CF70" s="421"/>
      <c r="CG70" s="421"/>
      <c r="CH70" s="419"/>
      <c r="CI70" s="419"/>
      <c r="CJ70" s="421"/>
      <c r="CK70" s="421"/>
      <c r="CL70" s="419"/>
      <c r="CM70" s="421"/>
      <c r="CN70" s="424">
        <f t="shared" si="29"/>
        <v>0</v>
      </c>
      <c r="CO70" s="424">
        <f t="shared" si="30"/>
        <v>0</v>
      </c>
      <c r="CP70" s="425">
        <f t="shared" si="31"/>
        <v>0</v>
      </c>
      <c r="CQ70" s="425">
        <f t="shared" si="32"/>
        <v>0</v>
      </c>
      <c r="CR70" s="419"/>
      <c r="CS70" s="419"/>
      <c r="CT70" s="421"/>
      <c r="CU70" s="421"/>
      <c r="CV70" s="419"/>
      <c r="CW70" s="419"/>
      <c r="CX70" s="421"/>
      <c r="CY70" s="421"/>
      <c r="CZ70" s="419"/>
      <c r="DA70" s="419"/>
      <c r="DB70" s="421"/>
      <c r="DC70" s="421"/>
      <c r="DD70" s="419"/>
      <c r="DE70" s="419"/>
      <c r="DF70" s="421"/>
      <c r="DG70" s="421"/>
      <c r="DH70" s="419"/>
      <c r="DI70" s="419"/>
      <c r="DJ70" s="421"/>
      <c r="DK70" s="421"/>
      <c r="DL70" s="419"/>
      <c r="DM70" s="419"/>
      <c r="DN70" s="421"/>
      <c r="DO70" s="421"/>
      <c r="DP70" s="419"/>
      <c r="DQ70" s="419"/>
      <c r="DR70" s="421"/>
      <c r="DS70" s="421"/>
      <c r="DT70" s="419"/>
      <c r="DU70" s="419"/>
      <c r="DV70" s="421"/>
      <c r="DW70" s="421"/>
      <c r="DX70" s="419"/>
      <c r="DY70" s="419"/>
      <c r="DZ70" s="421"/>
      <c r="EA70" s="421"/>
      <c r="EB70" s="419"/>
      <c r="EC70" s="419"/>
      <c r="ED70" s="421"/>
      <c r="EE70" s="421"/>
      <c r="EF70" s="419"/>
      <c r="EG70" s="421"/>
      <c r="EH70" s="424">
        <f t="shared" si="33"/>
        <v>0</v>
      </c>
      <c r="EI70" s="424">
        <f t="shared" si="34"/>
        <v>0</v>
      </c>
      <c r="EJ70" s="422">
        <f t="shared" si="35"/>
        <v>0</v>
      </c>
      <c r="EK70" s="425">
        <f t="shared" si="36"/>
        <v>0</v>
      </c>
      <c r="EL70" s="425">
        <f t="shared" si="37"/>
        <v>0</v>
      </c>
      <c r="EM70" s="423">
        <f t="shared" si="38"/>
        <v>0</v>
      </c>
      <c r="EN70" s="424">
        <f t="shared" si="39"/>
        <v>0</v>
      </c>
      <c r="EO70" s="425">
        <f t="shared" si="40"/>
        <v>0</v>
      </c>
      <c r="EP70" s="419"/>
      <c r="EQ70" s="421"/>
      <c r="ER70" s="419"/>
      <c r="ES70" s="421"/>
      <c r="ET70" s="419"/>
      <c r="EU70" s="421"/>
      <c r="EV70" s="419"/>
      <c r="EW70" s="421"/>
      <c r="EX70" s="419"/>
      <c r="EY70" s="421"/>
      <c r="EZ70" s="419"/>
      <c r="FA70" s="421"/>
      <c r="FB70" s="419"/>
      <c r="FC70" s="421"/>
      <c r="FD70" s="419"/>
      <c r="FE70" s="421"/>
      <c r="FF70" s="419"/>
      <c r="FG70" s="421"/>
      <c r="FH70" s="419"/>
      <c r="FI70" s="421"/>
      <c r="FJ70" s="424">
        <f t="shared" si="41"/>
        <v>0</v>
      </c>
      <c r="FK70" s="425">
        <f t="shared" si="42"/>
        <v>0</v>
      </c>
      <c r="FL70" s="419"/>
      <c r="FM70" s="421"/>
      <c r="FN70" s="424">
        <f t="shared" si="43"/>
        <v>1600</v>
      </c>
      <c r="FO70" s="425">
        <f t="shared" si="44"/>
        <v>1749</v>
      </c>
    </row>
    <row r="71" spans="1:171">
      <c r="A71" s="427" t="s">
        <v>154</v>
      </c>
      <c r="B71" s="57" t="s">
        <v>566</v>
      </c>
      <c r="C71" s="56"/>
      <c r="D71" s="55">
        <v>107549</v>
      </c>
      <c r="E71" s="116">
        <v>10</v>
      </c>
      <c r="F71" s="419">
        <v>458</v>
      </c>
      <c r="G71" s="420">
        <v>331</v>
      </c>
      <c r="H71" s="419">
        <v>0</v>
      </c>
      <c r="I71" s="421">
        <v>0</v>
      </c>
      <c r="J71" s="419">
        <v>183</v>
      </c>
      <c r="K71" s="420">
        <v>223</v>
      </c>
      <c r="L71" s="422">
        <f t="shared" si="23"/>
        <v>0</v>
      </c>
      <c r="M71" s="423">
        <f t="shared" si="24"/>
        <v>0</v>
      </c>
      <c r="N71" s="419">
        <v>0</v>
      </c>
      <c r="O71" s="309">
        <f>0</f>
        <v>0</v>
      </c>
      <c r="P71" s="309">
        <f>0</f>
        <v>0</v>
      </c>
      <c r="Q71" s="309">
        <f>0</f>
        <v>0</v>
      </c>
      <c r="R71" s="424">
        <f t="shared" si="2"/>
        <v>0</v>
      </c>
      <c r="S71" s="421">
        <v>0</v>
      </c>
      <c r="T71" s="301">
        <f>0</f>
        <v>0</v>
      </c>
      <c r="U71" s="301">
        <f>0</f>
        <v>0</v>
      </c>
      <c r="V71" s="301">
        <f>0</f>
        <v>0</v>
      </c>
      <c r="W71" s="425">
        <f t="shared" si="3"/>
        <v>0</v>
      </c>
      <c r="X71" s="419"/>
      <c r="Y71" s="419"/>
      <c r="Z71" s="421"/>
      <c r="AA71" s="421"/>
      <c r="AB71" s="419"/>
      <c r="AC71" s="419"/>
      <c r="AD71" s="421"/>
      <c r="AE71" s="421"/>
      <c r="AF71" s="419"/>
      <c r="AG71" s="419"/>
      <c r="AH71" s="421"/>
      <c r="AI71" s="421"/>
      <c r="AJ71" s="419"/>
      <c r="AK71" s="419"/>
      <c r="AL71" s="421"/>
      <c r="AM71" s="421"/>
      <c r="AN71" s="419"/>
      <c r="AO71" s="419"/>
      <c r="AP71" s="421"/>
      <c r="AQ71" s="421"/>
      <c r="AR71" s="424">
        <f t="shared" si="25"/>
        <v>0</v>
      </c>
      <c r="AS71" s="422">
        <f t="shared" si="26"/>
        <v>0</v>
      </c>
      <c r="AT71" s="425">
        <f t="shared" si="27"/>
        <v>0</v>
      </c>
      <c r="AU71" s="423">
        <f t="shared" si="28"/>
        <v>0</v>
      </c>
      <c r="AV71" s="419">
        <v>0</v>
      </c>
      <c r="AW71" s="421">
        <v>0</v>
      </c>
      <c r="AX71" s="419"/>
      <c r="AY71" s="419"/>
      <c r="AZ71" s="421"/>
      <c r="BA71" s="421"/>
      <c r="BB71" s="419"/>
      <c r="BC71" s="419"/>
      <c r="BD71" s="421"/>
      <c r="BE71" s="421"/>
      <c r="BF71" s="419"/>
      <c r="BG71" s="419"/>
      <c r="BH71" s="421"/>
      <c r="BI71" s="421"/>
      <c r="BJ71" s="419"/>
      <c r="BK71" s="419"/>
      <c r="BL71" s="421"/>
      <c r="BM71" s="421"/>
      <c r="BN71" s="419"/>
      <c r="BO71" s="419"/>
      <c r="BP71" s="421"/>
      <c r="BQ71" s="421"/>
      <c r="BR71" s="419"/>
      <c r="BS71" s="419"/>
      <c r="BT71" s="421"/>
      <c r="BU71" s="421"/>
      <c r="BV71" s="419"/>
      <c r="BW71" s="419"/>
      <c r="BX71" s="421"/>
      <c r="BY71" s="421"/>
      <c r="BZ71" s="419"/>
      <c r="CA71" s="419"/>
      <c r="CB71" s="421"/>
      <c r="CC71" s="421"/>
      <c r="CD71" s="419"/>
      <c r="CE71" s="419"/>
      <c r="CF71" s="421"/>
      <c r="CG71" s="421"/>
      <c r="CH71" s="419"/>
      <c r="CI71" s="419"/>
      <c r="CJ71" s="421"/>
      <c r="CK71" s="421"/>
      <c r="CL71" s="419"/>
      <c r="CM71" s="421"/>
      <c r="CN71" s="424">
        <f t="shared" si="29"/>
        <v>0</v>
      </c>
      <c r="CO71" s="424">
        <f t="shared" si="30"/>
        <v>0</v>
      </c>
      <c r="CP71" s="425">
        <f t="shared" si="31"/>
        <v>0</v>
      </c>
      <c r="CQ71" s="425">
        <f t="shared" si="32"/>
        <v>0</v>
      </c>
      <c r="CR71" s="419"/>
      <c r="CS71" s="419"/>
      <c r="CT71" s="421"/>
      <c r="CU71" s="421"/>
      <c r="CV71" s="419"/>
      <c r="CW71" s="419"/>
      <c r="CX71" s="421"/>
      <c r="CY71" s="421"/>
      <c r="CZ71" s="419"/>
      <c r="DA71" s="419"/>
      <c r="DB71" s="421"/>
      <c r="DC71" s="421"/>
      <c r="DD71" s="419"/>
      <c r="DE71" s="419"/>
      <c r="DF71" s="421"/>
      <c r="DG71" s="421"/>
      <c r="DH71" s="419"/>
      <c r="DI71" s="419"/>
      <c r="DJ71" s="421"/>
      <c r="DK71" s="421"/>
      <c r="DL71" s="419"/>
      <c r="DM71" s="419"/>
      <c r="DN71" s="421"/>
      <c r="DO71" s="421"/>
      <c r="DP71" s="419"/>
      <c r="DQ71" s="419"/>
      <c r="DR71" s="421"/>
      <c r="DS71" s="421"/>
      <c r="DT71" s="419"/>
      <c r="DU71" s="419"/>
      <c r="DV71" s="421"/>
      <c r="DW71" s="421"/>
      <c r="DX71" s="419"/>
      <c r="DY71" s="419"/>
      <c r="DZ71" s="421"/>
      <c r="EA71" s="421"/>
      <c r="EB71" s="419"/>
      <c r="EC71" s="419"/>
      <c r="ED71" s="421"/>
      <c r="EE71" s="421"/>
      <c r="EF71" s="419"/>
      <c r="EG71" s="421"/>
      <c r="EH71" s="424">
        <f t="shared" si="33"/>
        <v>0</v>
      </c>
      <c r="EI71" s="424">
        <f t="shared" si="34"/>
        <v>0</v>
      </c>
      <c r="EJ71" s="422">
        <f t="shared" si="35"/>
        <v>0</v>
      </c>
      <c r="EK71" s="425">
        <f t="shared" si="36"/>
        <v>0</v>
      </c>
      <c r="EL71" s="425">
        <f t="shared" si="37"/>
        <v>0</v>
      </c>
      <c r="EM71" s="423">
        <f t="shared" si="38"/>
        <v>0</v>
      </c>
      <c r="EN71" s="424">
        <f t="shared" si="39"/>
        <v>0</v>
      </c>
      <c r="EO71" s="425">
        <f t="shared" si="40"/>
        <v>0</v>
      </c>
      <c r="EP71" s="419"/>
      <c r="EQ71" s="421"/>
      <c r="ER71" s="419"/>
      <c r="ES71" s="421"/>
      <c r="ET71" s="419"/>
      <c r="EU71" s="421"/>
      <c r="EV71" s="419"/>
      <c r="EW71" s="421"/>
      <c r="EX71" s="419"/>
      <c r="EY71" s="421"/>
      <c r="EZ71" s="419"/>
      <c r="FA71" s="421"/>
      <c r="FB71" s="419"/>
      <c r="FC71" s="421"/>
      <c r="FD71" s="419"/>
      <c r="FE71" s="421"/>
      <c r="FF71" s="419"/>
      <c r="FG71" s="421"/>
      <c r="FH71" s="419"/>
      <c r="FI71" s="421"/>
      <c r="FJ71" s="424">
        <f t="shared" si="41"/>
        <v>0</v>
      </c>
      <c r="FK71" s="425">
        <f t="shared" si="42"/>
        <v>0</v>
      </c>
      <c r="FL71" s="419"/>
      <c r="FM71" s="421"/>
      <c r="FN71" s="424">
        <f t="shared" si="43"/>
        <v>641</v>
      </c>
      <c r="FO71" s="425">
        <f t="shared" si="44"/>
        <v>554</v>
      </c>
    </row>
    <row r="72" spans="1:171">
      <c r="A72" s="427" t="s">
        <v>154</v>
      </c>
      <c r="B72" s="57" t="s">
        <v>567</v>
      </c>
      <c r="C72" s="56"/>
      <c r="D72" s="55">
        <v>107619</v>
      </c>
      <c r="E72" s="116">
        <v>10</v>
      </c>
      <c r="F72" s="419">
        <v>363</v>
      </c>
      <c r="G72" s="421">
        <v>353</v>
      </c>
      <c r="H72" s="419">
        <v>0</v>
      </c>
      <c r="I72" s="421">
        <v>0</v>
      </c>
      <c r="J72" s="419">
        <v>133</v>
      </c>
      <c r="K72" s="421">
        <v>122</v>
      </c>
      <c r="L72" s="422">
        <f t="shared" si="23"/>
        <v>0</v>
      </c>
      <c r="M72" s="423">
        <f t="shared" si="24"/>
        <v>0</v>
      </c>
      <c r="N72" s="419">
        <v>0</v>
      </c>
      <c r="O72" s="309">
        <f>0</f>
        <v>0</v>
      </c>
      <c r="P72" s="309">
        <f>0</f>
        <v>0</v>
      </c>
      <c r="Q72" s="309">
        <f>0</f>
        <v>0</v>
      </c>
      <c r="R72" s="424">
        <f t="shared" si="2"/>
        <v>0</v>
      </c>
      <c r="S72" s="421">
        <v>0</v>
      </c>
      <c r="T72" s="301">
        <f>0</f>
        <v>0</v>
      </c>
      <c r="U72" s="301">
        <f>0</f>
        <v>0</v>
      </c>
      <c r="V72" s="301">
        <f>0</f>
        <v>0</v>
      </c>
      <c r="W72" s="425">
        <f t="shared" si="3"/>
        <v>0</v>
      </c>
      <c r="X72" s="419"/>
      <c r="Y72" s="419"/>
      <c r="Z72" s="421"/>
      <c r="AA72" s="421"/>
      <c r="AB72" s="419"/>
      <c r="AC72" s="419"/>
      <c r="AD72" s="421"/>
      <c r="AE72" s="421"/>
      <c r="AF72" s="419"/>
      <c r="AG72" s="419"/>
      <c r="AH72" s="421"/>
      <c r="AI72" s="421"/>
      <c r="AJ72" s="419"/>
      <c r="AK72" s="419"/>
      <c r="AL72" s="421"/>
      <c r="AM72" s="421"/>
      <c r="AN72" s="419"/>
      <c r="AO72" s="419"/>
      <c r="AP72" s="421"/>
      <c r="AQ72" s="421"/>
      <c r="AR72" s="424">
        <f t="shared" si="25"/>
        <v>0</v>
      </c>
      <c r="AS72" s="422">
        <f t="shared" si="26"/>
        <v>0</v>
      </c>
      <c r="AT72" s="425">
        <f t="shared" si="27"/>
        <v>0</v>
      </c>
      <c r="AU72" s="423">
        <f t="shared" si="28"/>
        <v>0</v>
      </c>
      <c r="AV72" s="419">
        <v>0</v>
      </c>
      <c r="AW72" s="421">
        <v>0</v>
      </c>
      <c r="AX72" s="419"/>
      <c r="AY72" s="419"/>
      <c r="AZ72" s="421"/>
      <c r="BA72" s="421"/>
      <c r="BB72" s="419"/>
      <c r="BC72" s="419"/>
      <c r="BD72" s="421"/>
      <c r="BE72" s="421"/>
      <c r="BF72" s="419"/>
      <c r="BG72" s="419"/>
      <c r="BH72" s="421"/>
      <c r="BI72" s="421"/>
      <c r="BJ72" s="419"/>
      <c r="BK72" s="419"/>
      <c r="BL72" s="421"/>
      <c r="BM72" s="421"/>
      <c r="BN72" s="419"/>
      <c r="BO72" s="419"/>
      <c r="BP72" s="421"/>
      <c r="BQ72" s="421"/>
      <c r="BR72" s="419"/>
      <c r="BS72" s="419"/>
      <c r="BT72" s="421"/>
      <c r="BU72" s="421"/>
      <c r="BV72" s="419"/>
      <c r="BW72" s="419"/>
      <c r="BX72" s="421"/>
      <c r="BY72" s="421"/>
      <c r="BZ72" s="419"/>
      <c r="CA72" s="419"/>
      <c r="CB72" s="421"/>
      <c r="CC72" s="421"/>
      <c r="CD72" s="419"/>
      <c r="CE72" s="419"/>
      <c r="CF72" s="421"/>
      <c r="CG72" s="421"/>
      <c r="CH72" s="419"/>
      <c r="CI72" s="419"/>
      <c r="CJ72" s="421"/>
      <c r="CK72" s="421"/>
      <c r="CL72" s="419"/>
      <c r="CM72" s="421"/>
      <c r="CN72" s="424">
        <f t="shared" si="29"/>
        <v>0</v>
      </c>
      <c r="CO72" s="424">
        <f t="shared" si="30"/>
        <v>0</v>
      </c>
      <c r="CP72" s="425">
        <f t="shared" si="31"/>
        <v>0</v>
      </c>
      <c r="CQ72" s="425">
        <f t="shared" si="32"/>
        <v>0</v>
      </c>
      <c r="CR72" s="419"/>
      <c r="CS72" s="419"/>
      <c r="CT72" s="421"/>
      <c r="CU72" s="421"/>
      <c r="CV72" s="419"/>
      <c r="CW72" s="419"/>
      <c r="CX72" s="421"/>
      <c r="CY72" s="421"/>
      <c r="CZ72" s="419"/>
      <c r="DA72" s="419"/>
      <c r="DB72" s="421"/>
      <c r="DC72" s="421"/>
      <c r="DD72" s="419"/>
      <c r="DE72" s="419"/>
      <c r="DF72" s="421"/>
      <c r="DG72" s="421"/>
      <c r="DH72" s="419"/>
      <c r="DI72" s="419"/>
      <c r="DJ72" s="421"/>
      <c r="DK72" s="421"/>
      <c r="DL72" s="419"/>
      <c r="DM72" s="419"/>
      <c r="DN72" s="421"/>
      <c r="DO72" s="421"/>
      <c r="DP72" s="419"/>
      <c r="DQ72" s="419"/>
      <c r="DR72" s="421"/>
      <c r="DS72" s="421"/>
      <c r="DT72" s="419"/>
      <c r="DU72" s="419"/>
      <c r="DV72" s="421"/>
      <c r="DW72" s="421"/>
      <c r="DX72" s="419"/>
      <c r="DY72" s="419"/>
      <c r="DZ72" s="421"/>
      <c r="EA72" s="421"/>
      <c r="EB72" s="419"/>
      <c r="EC72" s="419"/>
      <c r="ED72" s="421"/>
      <c r="EE72" s="421"/>
      <c r="EF72" s="419"/>
      <c r="EG72" s="421"/>
      <c r="EH72" s="424">
        <f t="shared" si="33"/>
        <v>0</v>
      </c>
      <c r="EI72" s="424">
        <f t="shared" si="34"/>
        <v>0</v>
      </c>
      <c r="EJ72" s="422">
        <f t="shared" si="35"/>
        <v>0</v>
      </c>
      <c r="EK72" s="425">
        <f t="shared" si="36"/>
        <v>0</v>
      </c>
      <c r="EL72" s="425">
        <f t="shared" si="37"/>
        <v>0</v>
      </c>
      <c r="EM72" s="423">
        <f t="shared" si="38"/>
        <v>0</v>
      </c>
      <c r="EN72" s="424">
        <f t="shared" si="39"/>
        <v>0</v>
      </c>
      <c r="EO72" s="425">
        <f t="shared" si="40"/>
        <v>0</v>
      </c>
      <c r="EP72" s="419"/>
      <c r="EQ72" s="421"/>
      <c r="ER72" s="419"/>
      <c r="ES72" s="421"/>
      <c r="ET72" s="419"/>
      <c r="EU72" s="421"/>
      <c r="EV72" s="419"/>
      <c r="EW72" s="421"/>
      <c r="EX72" s="419"/>
      <c r="EY72" s="421"/>
      <c r="EZ72" s="419"/>
      <c r="FA72" s="421"/>
      <c r="FB72" s="419"/>
      <c r="FC72" s="421"/>
      <c r="FD72" s="419"/>
      <c r="FE72" s="421"/>
      <c r="FF72" s="419"/>
      <c r="FG72" s="421"/>
      <c r="FH72" s="419"/>
      <c r="FI72" s="421"/>
      <c r="FJ72" s="424">
        <f t="shared" si="41"/>
        <v>0</v>
      </c>
      <c r="FK72" s="425">
        <f t="shared" si="42"/>
        <v>0</v>
      </c>
      <c r="FL72" s="419"/>
      <c r="FM72" s="421"/>
      <c r="FN72" s="424">
        <f t="shared" si="43"/>
        <v>496</v>
      </c>
      <c r="FO72" s="425">
        <f t="shared" si="44"/>
        <v>475</v>
      </c>
    </row>
    <row r="73" spans="1:171">
      <c r="A73" s="427" t="s">
        <v>154</v>
      </c>
      <c r="B73" s="57" t="s">
        <v>568</v>
      </c>
      <c r="C73" s="56"/>
      <c r="D73" s="55">
        <v>107974</v>
      </c>
      <c r="E73" s="116">
        <v>10</v>
      </c>
      <c r="F73" s="419">
        <v>620</v>
      </c>
      <c r="G73" s="420">
        <v>439</v>
      </c>
      <c r="H73" s="419">
        <v>0</v>
      </c>
      <c r="I73" s="421">
        <v>0</v>
      </c>
      <c r="J73" s="419">
        <v>163</v>
      </c>
      <c r="K73" s="421">
        <v>161</v>
      </c>
      <c r="L73" s="422">
        <f t="shared" si="23"/>
        <v>0</v>
      </c>
      <c r="M73" s="423">
        <f t="shared" si="24"/>
        <v>0</v>
      </c>
      <c r="N73" s="419">
        <v>0</v>
      </c>
      <c r="O73" s="309">
        <f>0</f>
        <v>0</v>
      </c>
      <c r="P73" s="309">
        <f>0</f>
        <v>0</v>
      </c>
      <c r="Q73" s="309">
        <f>0</f>
        <v>0</v>
      </c>
      <c r="R73" s="424">
        <f t="shared" si="2"/>
        <v>0</v>
      </c>
      <c r="S73" s="421">
        <v>0</v>
      </c>
      <c r="T73" s="301">
        <f>0</f>
        <v>0</v>
      </c>
      <c r="U73" s="301">
        <f>0</f>
        <v>0</v>
      </c>
      <c r="V73" s="301">
        <f>0</f>
        <v>0</v>
      </c>
      <c r="W73" s="425">
        <f t="shared" si="3"/>
        <v>0</v>
      </c>
      <c r="X73" s="419"/>
      <c r="Y73" s="419"/>
      <c r="Z73" s="421"/>
      <c r="AA73" s="421"/>
      <c r="AB73" s="419"/>
      <c r="AC73" s="419"/>
      <c r="AD73" s="421"/>
      <c r="AE73" s="421"/>
      <c r="AF73" s="419"/>
      <c r="AG73" s="419"/>
      <c r="AH73" s="421"/>
      <c r="AI73" s="421"/>
      <c r="AJ73" s="419"/>
      <c r="AK73" s="419"/>
      <c r="AL73" s="421"/>
      <c r="AM73" s="421"/>
      <c r="AN73" s="419"/>
      <c r="AO73" s="419"/>
      <c r="AP73" s="421"/>
      <c r="AQ73" s="421"/>
      <c r="AR73" s="424">
        <f t="shared" si="25"/>
        <v>0</v>
      </c>
      <c r="AS73" s="422">
        <f t="shared" si="26"/>
        <v>0</v>
      </c>
      <c r="AT73" s="425">
        <f t="shared" si="27"/>
        <v>0</v>
      </c>
      <c r="AU73" s="423">
        <f t="shared" si="28"/>
        <v>0</v>
      </c>
      <c r="AV73" s="419">
        <v>0</v>
      </c>
      <c r="AW73" s="421">
        <v>0</v>
      </c>
      <c r="AX73" s="419"/>
      <c r="AY73" s="419"/>
      <c r="AZ73" s="421"/>
      <c r="BA73" s="421"/>
      <c r="BB73" s="419"/>
      <c r="BC73" s="419"/>
      <c r="BD73" s="421"/>
      <c r="BE73" s="421"/>
      <c r="BF73" s="419"/>
      <c r="BG73" s="419"/>
      <c r="BH73" s="421"/>
      <c r="BI73" s="421"/>
      <c r="BJ73" s="419"/>
      <c r="BK73" s="419"/>
      <c r="BL73" s="421"/>
      <c r="BM73" s="421"/>
      <c r="BN73" s="419"/>
      <c r="BO73" s="419"/>
      <c r="BP73" s="421"/>
      <c r="BQ73" s="421"/>
      <c r="BR73" s="419"/>
      <c r="BS73" s="419"/>
      <c r="BT73" s="421"/>
      <c r="BU73" s="421"/>
      <c r="BV73" s="419"/>
      <c r="BW73" s="419"/>
      <c r="BX73" s="421"/>
      <c r="BY73" s="421"/>
      <c r="BZ73" s="419"/>
      <c r="CA73" s="419"/>
      <c r="CB73" s="421"/>
      <c r="CC73" s="421"/>
      <c r="CD73" s="419"/>
      <c r="CE73" s="419"/>
      <c r="CF73" s="421"/>
      <c r="CG73" s="421"/>
      <c r="CH73" s="419"/>
      <c r="CI73" s="419"/>
      <c r="CJ73" s="421"/>
      <c r="CK73" s="421"/>
      <c r="CL73" s="419"/>
      <c r="CM73" s="421"/>
      <c r="CN73" s="424">
        <f t="shared" si="29"/>
        <v>0</v>
      </c>
      <c r="CO73" s="424">
        <f t="shared" si="30"/>
        <v>0</v>
      </c>
      <c r="CP73" s="425">
        <f t="shared" si="31"/>
        <v>0</v>
      </c>
      <c r="CQ73" s="425">
        <f t="shared" si="32"/>
        <v>0</v>
      </c>
      <c r="CR73" s="419"/>
      <c r="CS73" s="419"/>
      <c r="CT73" s="421"/>
      <c r="CU73" s="421"/>
      <c r="CV73" s="419"/>
      <c r="CW73" s="419"/>
      <c r="CX73" s="421"/>
      <c r="CY73" s="421"/>
      <c r="CZ73" s="419"/>
      <c r="DA73" s="419"/>
      <c r="DB73" s="421"/>
      <c r="DC73" s="421"/>
      <c r="DD73" s="419"/>
      <c r="DE73" s="419"/>
      <c r="DF73" s="421"/>
      <c r="DG73" s="421"/>
      <c r="DH73" s="419"/>
      <c r="DI73" s="419"/>
      <c r="DJ73" s="421"/>
      <c r="DK73" s="421"/>
      <c r="DL73" s="419"/>
      <c r="DM73" s="419"/>
      <c r="DN73" s="421"/>
      <c r="DO73" s="421"/>
      <c r="DP73" s="419"/>
      <c r="DQ73" s="419"/>
      <c r="DR73" s="421"/>
      <c r="DS73" s="421"/>
      <c r="DT73" s="419"/>
      <c r="DU73" s="419"/>
      <c r="DV73" s="421"/>
      <c r="DW73" s="421"/>
      <c r="DX73" s="419"/>
      <c r="DY73" s="419"/>
      <c r="DZ73" s="421"/>
      <c r="EA73" s="421"/>
      <c r="EB73" s="419"/>
      <c r="EC73" s="419"/>
      <c r="ED73" s="421"/>
      <c r="EE73" s="421"/>
      <c r="EF73" s="419"/>
      <c r="EG73" s="421"/>
      <c r="EH73" s="424">
        <f t="shared" si="33"/>
        <v>0</v>
      </c>
      <c r="EI73" s="424">
        <f t="shared" si="34"/>
        <v>0</v>
      </c>
      <c r="EJ73" s="422">
        <f t="shared" si="35"/>
        <v>0</v>
      </c>
      <c r="EK73" s="425">
        <f t="shared" si="36"/>
        <v>0</v>
      </c>
      <c r="EL73" s="425">
        <f t="shared" si="37"/>
        <v>0</v>
      </c>
      <c r="EM73" s="423">
        <f t="shared" si="38"/>
        <v>0</v>
      </c>
      <c r="EN73" s="424">
        <f t="shared" si="39"/>
        <v>0</v>
      </c>
      <c r="EO73" s="425">
        <f t="shared" si="40"/>
        <v>0</v>
      </c>
      <c r="EP73" s="419"/>
      <c r="EQ73" s="421"/>
      <c r="ER73" s="419"/>
      <c r="ES73" s="421"/>
      <c r="ET73" s="419"/>
      <c r="EU73" s="421"/>
      <c r="EV73" s="419"/>
      <c r="EW73" s="421"/>
      <c r="EX73" s="419"/>
      <c r="EY73" s="421"/>
      <c r="EZ73" s="419"/>
      <c r="FA73" s="421"/>
      <c r="FB73" s="419"/>
      <c r="FC73" s="421"/>
      <c r="FD73" s="419"/>
      <c r="FE73" s="421"/>
      <c r="FF73" s="419"/>
      <c r="FG73" s="421"/>
      <c r="FH73" s="419"/>
      <c r="FI73" s="421"/>
      <c r="FJ73" s="424">
        <f t="shared" si="41"/>
        <v>0</v>
      </c>
      <c r="FK73" s="425">
        <f t="shared" si="42"/>
        <v>0</v>
      </c>
      <c r="FL73" s="419"/>
      <c r="FM73" s="421"/>
      <c r="FN73" s="424">
        <f t="shared" si="43"/>
        <v>783</v>
      </c>
      <c r="FO73" s="425">
        <f t="shared" si="44"/>
        <v>600</v>
      </c>
    </row>
    <row r="74" spans="1:171">
      <c r="A74" s="51" t="s">
        <v>154</v>
      </c>
      <c r="B74" s="57" t="s">
        <v>570</v>
      </c>
      <c r="C74" s="56"/>
      <c r="D74" s="55">
        <v>107992</v>
      </c>
      <c r="E74" s="116">
        <v>10</v>
      </c>
      <c r="F74" s="419">
        <v>730</v>
      </c>
      <c r="G74" s="421">
        <v>633</v>
      </c>
      <c r="H74" s="419">
        <v>0</v>
      </c>
      <c r="I74" s="421">
        <v>0</v>
      </c>
      <c r="J74" s="419">
        <v>140</v>
      </c>
      <c r="K74" s="421">
        <v>136</v>
      </c>
      <c r="L74" s="422">
        <f t="shared" si="23"/>
        <v>0</v>
      </c>
      <c r="M74" s="423">
        <f t="shared" si="24"/>
        <v>0</v>
      </c>
      <c r="N74" s="419">
        <v>0</v>
      </c>
      <c r="O74" s="309">
        <f>0</f>
        <v>0</v>
      </c>
      <c r="P74" s="309">
        <f>0</f>
        <v>0</v>
      </c>
      <c r="Q74" s="309">
        <f>0</f>
        <v>0</v>
      </c>
      <c r="R74" s="424">
        <f t="shared" ref="R74:R137" si="45">SUM(O74:Q74)</f>
        <v>0</v>
      </c>
      <c r="S74" s="421">
        <v>0</v>
      </c>
      <c r="T74" s="301">
        <f>0</f>
        <v>0</v>
      </c>
      <c r="U74" s="301">
        <f>0</f>
        <v>0</v>
      </c>
      <c r="V74" s="301">
        <f>0</f>
        <v>0</v>
      </c>
      <c r="W74" s="425">
        <f t="shared" ref="W74:W137" si="46">SUM(T74:V74)</f>
        <v>0</v>
      </c>
      <c r="X74" s="419"/>
      <c r="Y74" s="419"/>
      <c r="Z74" s="421"/>
      <c r="AA74" s="421"/>
      <c r="AB74" s="419"/>
      <c r="AC74" s="419"/>
      <c r="AD74" s="421"/>
      <c r="AE74" s="421"/>
      <c r="AF74" s="419"/>
      <c r="AG74" s="419"/>
      <c r="AH74" s="421"/>
      <c r="AI74" s="421"/>
      <c r="AJ74" s="419"/>
      <c r="AK74" s="419"/>
      <c r="AL74" s="421"/>
      <c r="AM74" s="421"/>
      <c r="AN74" s="419"/>
      <c r="AO74" s="419"/>
      <c r="AP74" s="421"/>
      <c r="AQ74" s="421"/>
      <c r="AR74" s="424">
        <f t="shared" si="25"/>
        <v>0</v>
      </c>
      <c r="AS74" s="422">
        <f t="shared" si="26"/>
        <v>0</v>
      </c>
      <c r="AT74" s="425">
        <f t="shared" si="27"/>
        <v>0</v>
      </c>
      <c r="AU74" s="423">
        <f t="shared" si="28"/>
        <v>0</v>
      </c>
      <c r="AV74" s="419">
        <v>0</v>
      </c>
      <c r="AW74" s="421">
        <v>0</v>
      </c>
      <c r="AX74" s="419"/>
      <c r="AY74" s="419"/>
      <c r="AZ74" s="421"/>
      <c r="BA74" s="421"/>
      <c r="BB74" s="419"/>
      <c r="BC74" s="419"/>
      <c r="BD74" s="421"/>
      <c r="BE74" s="421"/>
      <c r="BF74" s="419"/>
      <c r="BG74" s="419"/>
      <c r="BH74" s="421"/>
      <c r="BI74" s="421"/>
      <c r="BJ74" s="419"/>
      <c r="BK74" s="419"/>
      <c r="BL74" s="421"/>
      <c r="BM74" s="421"/>
      <c r="BN74" s="419"/>
      <c r="BO74" s="419"/>
      <c r="BP74" s="421"/>
      <c r="BQ74" s="421"/>
      <c r="BR74" s="419"/>
      <c r="BS74" s="419"/>
      <c r="BT74" s="421"/>
      <c r="BU74" s="421"/>
      <c r="BV74" s="419"/>
      <c r="BW74" s="419"/>
      <c r="BX74" s="421"/>
      <c r="BY74" s="421"/>
      <c r="BZ74" s="419"/>
      <c r="CA74" s="419"/>
      <c r="CB74" s="421"/>
      <c r="CC74" s="421"/>
      <c r="CD74" s="419"/>
      <c r="CE74" s="419"/>
      <c r="CF74" s="421"/>
      <c r="CG74" s="421"/>
      <c r="CH74" s="419"/>
      <c r="CI74" s="419"/>
      <c r="CJ74" s="421"/>
      <c r="CK74" s="421"/>
      <c r="CL74" s="419"/>
      <c r="CM74" s="421"/>
      <c r="CN74" s="424">
        <f t="shared" si="29"/>
        <v>0</v>
      </c>
      <c r="CO74" s="424">
        <f t="shared" si="30"/>
        <v>0</v>
      </c>
      <c r="CP74" s="425">
        <f t="shared" si="31"/>
        <v>0</v>
      </c>
      <c r="CQ74" s="425">
        <f t="shared" si="32"/>
        <v>0</v>
      </c>
      <c r="CR74" s="419"/>
      <c r="CS74" s="419"/>
      <c r="CT74" s="421"/>
      <c r="CU74" s="421"/>
      <c r="CV74" s="419"/>
      <c r="CW74" s="419"/>
      <c r="CX74" s="421"/>
      <c r="CY74" s="421"/>
      <c r="CZ74" s="419"/>
      <c r="DA74" s="419"/>
      <c r="DB74" s="421"/>
      <c r="DC74" s="421"/>
      <c r="DD74" s="419"/>
      <c r="DE74" s="419"/>
      <c r="DF74" s="421"/>
      <c r="DG74" s="421"/>
      <c r="DH74" s="419"/>
      <c r="DI74" s="419"/>
      <c r="DJ74" s="421"/>
      <c r="DK74" s="421"/>
      <c r="DL74" s="419"/>
      <c r="DM74" s="419"/>
      <c r="DN74" s="421"/>
      <c r="DO74" s="421"/>
      <c r="DP74" s="419"/>
      <c r="DQ74" s="419"/>
      <c r="DR74" s="421"/>
      <c r="DS74" s="421"/>
      <c r="DT74" s="419"/>
      <c r="DU74" s="419"/>
      <c r="DV74" s="421"/>
      <c r="DW74" s="421"/>
      <c r="DX74" s="419"/>
      <c r="DY74" s="419"/>
      <c r="DZ74" s="421"/>
      <c r="EA74" s="421"/>
      <c r="EB74" s="419"/>
      <c r="EC74" s="419"/>
      <c r="ED74" s="421"/>
      <c r="EE74" s="421"/>
      <c r="EF74" s="419"/>
      <c r="EG74" s="421"/>
      <c r="EH74" s="424">
        <f t="shared" si="33"/>
        <v>0</v>
      </c>
      <c r="EI74" s="424">
        <f t="shared" si="34"/>
        <v>0</v>
      </c>
      <c r="EJ74" s="422">
        <f t="shared" si="35"/>
        <v>0</v>
      </c>
      <c r="EK74" s="425">
        <f t="shared" si="36"/>
        <v>0</v>
      </c>
      <c r="EL74" s="425">
        <f t="shared" si="37"/>
        <v>0</v>
      </c>
      <c r="EM74" s="423">
        <f t="shared" si="38"/>
        <v>0</v>
      </c>
      <c r="EN74" s="424">
        <f t="shared" si="39"/>
        <v>0</v>
      </c>
      <c r="EO74" s="425">
        <f t="shared" si="40"/>
        <v>0</v>
      </c>
      <c r="EP74" s="419"/>
      <c r="EQ74" s="421"/>
      <c r="ER74" s="419"/>
      <c r="ES74" s="421"/>
      <c r="ET74" s="419"/>
      <c r="EU74" s="421"/>
      <c r="EV74" s="419"/>
      <c r="EW74" s="421"/>
      <c r="EX74" s="419"/>
      <c r="EY74" s="421"/>
      <c r="EZ74" s="419"/>
      <c r="FA74" s="421"/>
      <c r="FB74" s="419"/>
      <c r="FC74" s="421"/>
      <c r="FD74" s="419"/>
      <c r="FE74" s="421"/>
      <c r="FF74" s="419"/>
      <c r="FG74" s="421"/>
      <c r="FH74" s="419"/>
      <c r="FI74" s="421"/>
      <c r="FJ74" s="424">
        <f t="shared" si="41"/>
        <v>0</v>
      </c>
      <c r="FK74" s="425">
        <f t="shared" si="42"/>
        <v>0</v>
      </c>
      <c r="FL74" s="419"/>
      <c r="FM74" s="421"/>
      <c r="FN74" s="424">
        <f t="shared" si="43"/>
        <v>870</v>
      </c>
      <c r="FO74" s="425">
        <f t="shared" si="44"/>
        <v>769</v>
      </c>
    </row>
    <row r="75" spans="1:171">
      <c r="A75" s="427" t="s">
        <v>154</v>
      </c>
      <c r="B75" s="57" t="s">
        <v>569</v>
      </c>
      <c r="C75" s="56"/>
      <c r="D75" s="55">
        <v>107637</v>
      </c>
      <c r="E75" s="116">
        <v>10</v>
      </c>
      <c r="F75" s="419">
        <v>224</v>
      </c>
      <c r="G75" s="421">
        <v>247</v>
      </c>
      <c r="H75" s="419">
        <v>0</v>
      </c>
      <c r="I75" s="421">
        <v>0</v>
      </c>
      <c r="J75" s="419">
        <v>175</v>
      </c>
      <c r="K75" s="421">
        <v>180</v>
      </c>
      <c r="L75" s="422">
        <f t="shared" ref="L75:L138" si="47">IF(N75&gt;0,J75/N75, )</f>
        <v>0</v>
      </c>
      <c r="M75" s="423">
        <f t="shared" ref="M75:M138" si="48">IF(S75&gt;0,K75/S75, )</f>
        <v>0</v>
      </c>
      <c r="N75" s="419">
        <v>0</v>
      </c>
      <c r="O75" s="309">
        <f>0</f>
        <v>0</v>
      </c>
      <c r="P75" s="309">
        <f>0</f>
        <v>0</v>
      </c>
      <c r="Q75" s="309">
        <f>0</f>
        <v>0</v>
      </c>
      <c r="R75" s="424">
        <f t="shared" si="45"/>
        <v>0</v>
      </c>
      <c r="S75" s="421">
        <v>0</v>
      </c>
      <c r="T75" s="301">
        <f>0</f>
        <v>0</v>
      </c>
      <c r="U75" s="301">
        <f>0</f>
        <v>0</v>
      </c>
      <c r="V75" s="301">
        <f>0</f>
        <v>0</v>
      </c>
      <c r="W75" s="425">
        <f t="shared" si="46"/>
        <v>0</v>
      </c>
      <c r="X75" s="419"/>
      <c r="Y75" s="419"/>
      <c r="Z75" s="421"/>
      <c r="AA75" s="421"/>
      <c r="AB75" s="419"/>
      <c r="AC75" s="419"/>
      <c r="AD75" s="421"/>
      <c r="AE75" s="421"/>
      <c r="AF75" s="419"/>
      <c r="AG75" s="419"/>
      <c r="AH75" s="421"/>
      <c r="AI75" s="421"/>
      <c r="AJ75" s="419"/>
      <c r="AK75" s="419"/>
      <c r="AL75" s="421"/>
      <c r="AM75" s="421"/>
      <c r="AN75" s="419"/>
      <c r="AO75" s="419"/>
      <c r="AP75" s="421"/>
      <c r="AQ75" s="421"/>
      <c r="AR75" s="424">
        <f t="shared" ref="AR75:AR138" si="49">COUNTA(X75,AB75,AF75,AJ75,AN75)</f>
        <v>0</v>
      </c>
      <c r="AS75" s="422">
        <f t="shared" ref="AS75:AS138" si="50">IF(FN75&gt;0,N75/FN75,)</f>
        <v>0</v>
      </c>
      <c r="AT75" s="425">
        <f t="shared" ref="AT75:AT138" si="51">COUNTA(Z75,AD75,AH75,AL75,AP75)</f>
        <v>0</v>
      </c>
      <c r="AU75" s="423">
        <f t="shared" ref="AU75:AU138" si="52">IF(FO75&gt;0,S75/FO75,)</f>
        <v>0</v>
      </c>
      <c r="AV75" s="419">
        <v>0</v>
      </c>
      <c r="AW75" s="421">
        <v>0</v>
      </c>
      <c r="AX75" s="419"/>
      <c r="AY75" s="419"/>
      <c r="AZ75" s="421"/>
      <c r="BA75" s="421"/>
      <c r="BB75" s="419"/>
      <c r="BC75" s="419"/>
      <c r="BD75" s="421"/>
      <c r="BE75" s="421"/>
      <c r="BF75" s="419"/>
      <c r="BG75" s="419"/>
      <c r="BH75" s="421"/>
      <c r="BI75" s="421"/>
      <c r="BJ75" s="419"/>
      <c r="BK75" s="419"/>
      <c r="BL75" s="421"/>
      <c r="BM75" s="421"/>
      <c r="BN75" s="419"/>
      <c r="BO75" s="419"/>
      <c r="BP75" s="421"/>
      <c r="BQ75" s="421"/>
      <c r="BR75" s="419"/>
      <c r="BS75" s="419"/>
      <c r="BT75" s="421"/>
      <c r="BU75" s="421"/>
      <c r="BV75" s="419"/>
      <c r="BW75" s="419"/>
      <c r="BX75" s="421"/>
      <c r="BY75" s="421"/>
      <c r="BZ75" s="419"/>
      <c r="CA75" s="419"/>
      <c r="CB75" s="421"/>
      <c r="CC75" s="421"/>
      <c r="CD75" s="419"/>
      <c r="CE75" s="419"/>
      <c r="CF75" s="421"/>
      <c r="CG75" s="421"/>
      <c r="CH75" s="419"/>
      <c r="CI75" s="419"/>
      <c r="CJ75" s="421"/>
      <c r="CK75" s="421"/>
      <c r="CL75" s="419"/>
      <c r="CM75" s="421"/>
      <c r="CN75" s="424">
        <f t="shared" ref="CN75:CN138" si="53">AY75+BC75+BG75+BK75+BO75+BS75+BW75+CA75+CE75+CI75+CL75</f>
        <v>0</v>
      </c>
      <c r="CO75" s="424">
        <f t="shared" ref="CO75:CO138" si="54">COUNTA(AX75,BB75,BF75,BJ75,BN75,BR75,BV75,BZ75,CD75,CH75)</f>
        <v>0</v>
      </c>
      <c r="CP75" s="425">
        <f t="shared" ref="CP75:CP138" si="55">BA75+BE75+BI75+BM75+BQ75+BU75+BY75+CC75+CG75+CK75+CM75</f>
        <v>0</v>
      </c>
      <c r="CQ75" s="425">
        <f t="shared" ref="CQ75:CQ138" si="56">COUNTA(AZ75,BD75,BH75,BL75,BP75,BT75,BX75,CB75,CF75,CJ75)</f>
        <v>0</v>
      </c>
      <c r="CR75" s="419"/>
      <c r="CS75" s="419"/>
      <c r="CT75" s="421"/>
      <c r="CU75" s="421"/>
      <c r="CV75" s="419"/>
      <c r="CW75" s="419"/>
      <c r="CX75" s="421"/>
      <c r="CY75" s="421"/>
      <c r="CZ75" s="419"/>
      <c r="DA75" s="419"/>
      <c r="DB75" s="421"/>
      <c r="DC75" s="421"/>
      <c r="DD75" s="419"/>
      <c r="DE75" s="419"/>
      <c r="DF75" s="421"/>
      <c r="DG75" s="421"/>
      <c r="DH75" s="419"/>
      <c r="DI75" s="419"/>
      <c r="DJ75" s="421"/>
      <c r="DK75" s="421"/>
      <c r="DL75" s="419"/>
      <c r="DM75" s="419"/>
      <c r="DN75" s="421"/>
      <c r="DO75" s="421"/>
      <c r="DP75" s="419"/>
      <c r="DQ75" s="419"/>
      <c r="DR75" s="421"/>
      <c r="DS75" s="421"/>
      <c r="DT75" s="419"/>
      <c r="DU75" s="419"/>
      <c r="DV75" s="421"/>
      <c r="DW75" s="421"/>
      <c r="DX75" s="419"/>
      <c r="DY75" s="419"/>
      <c r="DZ75" s="421"/>
      <c r="EA75" s="421"/>
      <c r="EB75" s="419"/>
      <c r="EC75" s="419"/>
      <c r="ED75" s="421"/>
      <c r="EE75" s="421"/>
      <c r="EF75" s="419"/>
      <c r="EG75" s="421"/>
      <c r="EH75" s="424">
        <f t="shared" ref="EH75:EH138" si="57">CS75+CW75+DA75+DE75+DI75+DM75+DQ75+DU75+DY75+EC75+EF75</f>
        <v>0</v>
      </c>
      <c r="EI75" s="424">
        <f t="shared" ref="EI75:EI138" si="58">COUNTA(CR75,CV75,CZ75,DD75,DH75,DL75,DP75,DT75,DX75,EB75)</f>
        <v>0</v>
      </c>
      <c r="EJ75" s="422">
        <f t="shared" ref="EJ75:EJ138" si="59">IF(EH75&gt;0,CS75/EH75,)</f>
        <v>0</v>
      </c>
      <c r="EK75" s="425">
        <f t="shared" ref="EK75:EK138" si="60">CU75+CY75+DC75+DG75+DK75+DO75+DS75+DW75+EA75+EE75+EG75</f>
        <v>0</v>
      </c>
      <c r="EL75" s="425">
        <f t="shared" ref="EL75:EL138" si="61">COUNTA(CT75,CX75,DB75,DF75,DJ75,DN75,DR75,DV75,DZ75,ED75)</f>
        <v>0</v>
      </c>
      <c r="EM75" s="423">
        <f t="shared" ref="EM75:EM138" si="62">IF(EK75&gt;0,CU75/EK75,)</f>
        <v>0</v>
      </c>
      <c r="EN75" s="424">
        <f t="shared" ref="EN75:EN138" si="63">CN75+EH75</f>
        <v>0</v>
      </c>
      <c r="EO75" s="425">
        <f t="shared" ref="EO75:EO138" si="64">CP75+EK75</f>
        <v>0</v>
      </c>
      <c r="EP75" s="419"/>
      <c r="EQ75" s="421"/>
      <c r="ER75" s="419"/>
      <c r="ES75" s="421"/>
      <c r="ET75" s="419"/>
      <c r="EU75" s="421"/>
      <c r="EV75" s="419"/>
      <c r="EW75" s="421"/>
      <c r="EX75" s="419"/>
      <c r="EY75" s="421"/>
      <c r="EZ75" s="419"/>
      <c r="FA75" s="421"/>
      <c r="FB75" s="419"/>
      <c r="FC75" s="421"/>
      <c r="FD75" s="419"/>
      <c r="FE75" s="421"/>
      <c r="FF75" s="419"/>
      <c r="FG75" s="421"/>
      <c r="FH75" s="419"/>
      <c r="FI75" s="421"/>
      <c r="FJ75" s="424">
        <f t="shared" ref="FJ75:FJ138" si="65">EP75+ER75+ET75+EV75+EX75+EZ75+FB75+FD75+FF75+FH75</f>
        <v>0</v>
      </c>
      <c r="FK75" s="425">
        <f t="shared" ref="FK75:FK138" si="66">EQ75+ES75+EU75+EW75+EY75+FA75+FC75+FE75+FG75+FI75</f>
        <v>0</v>
      </c>
      <c r="FL75" s="419"/>
      <c r="FM75" s="421"/>
      <c r="FN75" s="424">
        <f t="shared" ref="FN75:FN138" si="67">F75+H75+J75+N75+AV75+EN75+FJ75+FL75</f>
        <v>399</v>
      </c>
      <c r="FO75" s="425">
        <f t="shared" ref="FO75:FO138" si="68">G75+I75+K75+S75+AW75+EO75+FK75+FM75</f>
        <v>427</v>
      </c>
    </row>
    <row r="76" spans="1:171">
      <c r="A76" s="51" t="s">
        <v>154</v>
      </c>
      <c r="B76" s="57" t="s">
        <v>571</v>
      </c>
      <c r="C76" s="56"/>
      <c r="D76" s="55">
        <v>106999</v>
      </c>
      <c r="E76" s="116">
        <v>10</v>
      </c>
      <c r="F76" s="419">
        <v>418</v>
      </c>
      <c r="G76" s="420">
        <v>293</v>
      </c>
      <c r="H76" s="419">
        <v>0</v>
      </c>
      <c r="I76" s="421">
        <v>0</v>
      </c>
      <c r="J76" s="419">
        <v>209</v>
      </c>
      <c r="K76" s="420">
        <v>251</v>
      </c>
      <c r="L76" s="422">
        <f t="shared" si="47"/>
        <v>0</v>
      </c>
      <c r="M76" s="423">
        <f t="shared" si="48"/>
        <v>0</v>
      </c>
      <c r="N76" s="419">
        <v>0</v>
      </c>
      <c r="O76" s="309">
        <f>0</f>
        <v>0</v>
      </c>
      <c r="P76" s="309">
        <f>0</f>
        <v>0</v>
      </c>
      <c r="Q76" s="309">
        <f>0</f>
        <v>0</v>
      </c>
      <c r="R76" s="424">
        <f t="shared" si="45"/>
        <v>0</v>
      </c>
      <c r="S76" s="421">
        <v>0</v>
      </c>
      <c r="T76" s="301">
        <f>0</f>
        <v>0</v>
      </c>
      <c r="U76" s="301">
        <f>0</f>
        <v>0</v>
      </c>
      <c r="V76" s="301">
        <f>0</f>
        <v>0</v>
      </c>
      <c r="W76" s="425">
        <f t="shared" si="46"/>
        <v>0</v>
      </c>
      <c r="X76" s="419"/>
      <c r="Y76" s="419"/>
      <c r="Z76" s="421"/>
      <c r="AA76" s="421"/>
      <c r="AB76" s="419"/>
      <c r="AC76" s="419"/>
      <c r="AD76" s="421"/>
      <c r="AE76" s="421"/>
      <c r="AF76" s="419"/>
      <c r="AG76" s="419"/>
      <c r="AH76" s="421"/>
      <c r="AI76" s="421"/>
      <c r="AJ76" s="419"/>
      <c r="AK76" s="419"/>
      <c r="AL76" s="421"/>
      <c r="AM76" s="421"/>
      <c r="AN76" s="419"/>
      <c r="AO76" s="419"/>
      <c r="AP76" s="421"/>
      <c r="AQ76" s="421"/>
      <c r="AR76" s="424">
        <f t="shared" si="49"/>
        <v>0</v>
      </c>
      <c r="AS76" s="422">
        <f t="shared" si="50"/>
        <v>0</v>
      </c>
      <c r="AT76" s="425">
        <f t="shared" si="51"/>
        <v>0</v>
      </c>
      <c r="AU76" s="423">
        <f t="shared" si="52"/>
        <v>0</v>
      </c>
      <c r="AV76" s="419">
        <v>0</v>
      </c>
      <c r="AW76" s="421">
        <v>0</v>
      </c>
      <c r="AX76" s="419"/>
      <c r="AY76" s="419"/>
      <c r="AZ76" s="421"/>
      <c r="BA76" s="421"/>
      <c r="BB76" s="419"/>
      <c r="BC76" s="419"/>
      <c r="BD76" s="421"/>
      <c r="BE76" s="421"/>
      <c r="BF76" s="419"/>
      <c r="BG76" s="419"/>
      <c r="BH76" s="421"/>
      <c r="BI76" s="421"/>
      <c r="BJ76" s="419"/>
      <c r="BK76" s="419"/>
      <c r="BL76" s="421"/>
      <c r="BM76" s="421"/>
      <c r="BN76" s="419"/>
      <c r="BO76" s="419"/>
      <c r="BP76" s="421"/>
      <c r="BQ76" s="421"/>
      <c r="BR76" s="419"/>
      <c r="BS76" s="419"/>
      <c r="BT76" s="421"/>
      <c r="BU76" s="421"/>
      <c r="BV76" s="419"/>
      <c r="BW76" s="419"/>
      <c r="BX76" s="421"/>
      <c r="BY76" s="421"/>
      <c r="BZ76" s="419"/>
      <c r="CA76" s="419"/>
      <c r="CB76" s="421"/>
      <c r="CC76" s="421"/>
      <c r="CD76" s="419"/>
      <c r="CE76" s="419"/>
      <c r="CF76" s="421"/>
      <c r="CG76" s="421"/>
      <c r="CH76" s="419"/>
      <c r="CI76" s="419"/>
      <c r="CJ76" s="421"/>
      <c r="CK76" s="421"/>
      <c r="CL76" s="419"/>
      <c r="CM76" s="421"/>
      <c r="CN76" s="424">
        <f t="shared" si="53"/>
        <v>0</v>
      </c>
      <c r="CO76" s="424">
        <f t="shared" si="54"/>
        <v>0</v>
      </c>
      <c r="CP76" s="425">
        <f t="shared" si="55"/>
        <v>0</v>
      </c>
      <c r="CQ76" s="425">
        <f t="shared" si="56"/>
        <v>0</v>
      </c>
      <c r="CR76" s="419"/>
      <c r="CS76" s="419"/>
      <c r="CT76" s="421"/>
      <c r="CU76" s="421"/>
      <c r="CV76" s="419"/>
      <c r="CW76" s="419"/>
      <c r="CX76" s="421"/>
      <c r="CY76" s="421"/>
      <c r="CZ76" s="419"/>
      <c r="DA76" s="419"/>
      <c r="DB76" s="421"/>
      <c r="DC76" s="421"/>
      <c r="DD76" s="419"/>
      <c r="DE76" s="419"/>
      <c r="DF76" s="421"/>
      <c r="DG76" s="421"/>
      <c r="DH76" s="419"/>
      <c r="DI76" s="419"/>
      <c r="DJ76" s="421"/>
      <c r="DK76" s="421"/>
      <c r="DL76" s="419"/>
      <c r="DM76" s="419"/>
      <c r="DN76" s="421"/>
      <c r="DO76" s="421"/>
      <c r="DP76" s="419"/>
      <c r="DQ76" s="419"/>
      <c r="DR76" s="421"/>
      <c r="DS76" s="421"/>
      <c r="DT76" s="419"/>
      <c r="DU76" s="419"/>
      <c r="DV76" s="421"/>
      <c r="DW76" s="421"/>
      <c r="DX76" s="419"/>
      <c r="DY76" s="419"/>
      <c r="DZ76" s="421"/>
      <c r="EA76" s="421"/>
      <c r="EB76" s="419"/>
      <c r="EC76" s="419"/>
      <c r="ED76" s="421"/>
      <c r="EE76" s="421"/>
      <c r="EF76" s="419"/>
      <c r="EG76" s="421"/>
      <c r="EH76" s="424">
        <f t="shared" si="57"/>
        <v>0</v>
      </c>
      <c r="EI76" s="424">
        <f t="shared" si="58"/>
        <v>0</v>
      </c>
      <c r="EJ76" s="422">
        <f t="shared" si="59"/>
        <v>0</v>
      </c>
      <c r="EK76" s="425">
        <f t="shared" si="60"/>
        <v>0</v>
      </c>
      <c r="EL76" s="425">
        <f t="shared" si="61"/>
        <v>0</v>
      </c>
      <c r="EM76" s="423">
        <f t="shared" si="62"/>
        <v>0</v>
      </c>
      <c r="EN76" s="424">
        <f t="shared" si="63"/>
        <v>0</v>
      </c>
      <c r="EO76" s="425">
        <f t="shared" si="64"/>
        <v>0</v>
      </c>
      <c r="EP76" s="419"/>
      <c r="EQ76" s="421"/>
      <c r="ER76" s="419"/>
      <c r="ES76" s="421"/>
      <c r="ET76" s="419"/>
      <c r="EU76" s="421"/>
      <c r="EV76" s="419"/>
      <c r="EW76" s="421"/>
      <c r="EX76" s="419"/>
      <c r="EY76" s="421"/>
      <c r="EZ76" s="419"/>
      <c r="FA76" s="421"/>
      <c r="FB76" s="419"/>
      <c r="FC76" s="421"/>
      <c r="FD76" s="419"/>
      <c r="FE76" s="421"/>
      <c r="FF76" s="419"/>
      <c r="FG76" s="421"/>
      <c r="FH76" s="419"/>
      <c r="FI76" s="421"/>
      <c r="FJ76" s="424">
        <f t="shared" si="65"/>
        <v>0</v>
      </c>
      <c r="FK76" s="425">
        <f t="shared" si="66"/>
        <v>0</v>
      </c>
      <c r="FL76" s="419"/>
      <c r="FM76" s="421"/>
      <c r="FN76" s="424">
        <f t="shared" si="67"/>
        <v>627</v>
      </c>
      <c r="FO76" s="425">
        <f t="shared" si="68"/>
        <v>544</v>
      </c>
    </row>
    <row r="77" spans="1:171">
      <c r="A77" s="427" t="s">
        <v>154</v>
      </c>
      <c r="B77" s="57" t="s">
        <v>572</v>
      </c>
      <c r="C77" s="56"/>
      <c r="D77" s="55">
        <v>107725</v>
      </c>
      <c r="E77" s="55">
        <v>10</v>
      </c>
      <c r="F77" s="419">
        <v>618</v>
      </c>
      <c r="G77" s="420">
        <v>482</v>
      </c>
      <c r="H77" s="419">
        <v>0</v>
      </c>
      <c r="I77" s="421">
        <v>0</v>
      </c>
      <c r="J77" s="419">
        <v>233</v>
      </c>
      <c r="K77" s="420">
        <v>177</v>
      </c>
      <c r="L77" s="422">
        <f t="shared" si="47"/>
        <v>0</v>
      </c>
      <c r="M77" s="423">
        <f t="shared" si="48"/>
        <v>0</v>
      </c>
      <c r="N77" s="419">
        <v>0</v>
      </c>
      <c r="O77" s="309">
        <f>0</f>
        <v>0</v>
      </c>
      <c r="P77" s="309">
        <f>0</f>
        <v>0</v>
      </c>
      <c r="Q77" s="309">
        <f>0</f>
        <v>0</v>
      </c>
      <c r="R77" s="424">
        <f t="shared" si="45"/>
        <v>0</v>
      </c>
      <c r="S77" s="421">
        <v>0</v>
      </c>
      <c r="T77" s="301">
        <f>0</f>
        <v>0</v>
      </c>
      <c r="U77" s="301">
        <f>0</f>
        <v>0</v>
      </c>
      <c r="V77" s="301">
        <f>0</f>
        <v>0</v>
      </c>
      <c r="W77" s="425">
        <f t="shared" si="46"/>
        <v>0</v>
      </c>
      <c r="X77" s="419"/>
      <c r="Y77" s="419"/>
      <c r="Z77" s="421"/>
      <c r="AA77" s="421"/>
      <c r="AB77" s="419"/>
      <c r="AC77" s="419"/>
      <c r="AD77" s="421"/>
      <c r="AE77" s="421"/>
      <c r="AF77" s="419"/>
      <c r="AG77" s="419"/>
      <c r="AH77" s="421"/>
      <c r="AI77" s="421"/>
      <c r="AJ77" s="419"/>
      <c r="AK77" s="419"/>
      <c r="AL77" s="421"/>
      <c r="AM77" s="421"/>
      <c r="AN77" s="419"/>
      <c r="AO77" s="419"/>
      <c r="AP77" s="421"/>
      <c r="AQ77" s="421"/>
      <c r="AR77" s="424">
        <f t="shared" si="49"/>
        <v>0</v>
      </c>
      <c r="AS77" s="422">
        <f t="shared" si="50"/>
        <v>0</v>
      </c>
      <c r="AT77" s="425">
        <f t="shared" si="51"/>
        <v>0</v>
      </c>
      <c r="AU77" s="423">
        <f t="shared" si="52"/>
        <v>0</v>
      </c>
      <c r="AV77" s="419">
        <v>0</v>
      </c>
      <c r="AW77" s="421">
        <v>0</v>
      </c>
      <c r="AX77" s="419"/>
      <c r="AY77" s="419"/>
      <c r="AZ77" s="421"/>
      <c r="BA77" s="421"/>
      <c r="BB77" s="419"/>
      <c r="BC77" s="419"/>
      <c r="BD77" s="421"/>
      <c r="BE77" s="421"/>
      <c r="BF77" s="419"/>
      <c r="BG77" s="419"/>
      <c r="BH77" s="421"/>
      <c r="BI77" s="421"/>
      <c r="BJ77" s="419"/>
      <c r="BK77" s="419"/>
      <c r="BL77" s="421"/>
      <c r="BM77" s="421"/>
      <c r="BN77" s="419"/>
      <c r="BO77" s="419"/>
      <c r="BP77" s="421"/>
      <c r="BQ77" s="421"/>
      <c r="BR77" s="419"/>
      <c r="BS77" s="419"/>
      <c r="BT77" s="421"/>
      <c r="BU77" s="421"/>
      <c r="BV77" s="419"/>
      <c r="BW77" s="419"/>
      <c r="BX77" s="421"/>
      <c r="BY77" s="421"/>
      <c r="BZ77" s="419"/>
      <c r="CA77" s="419"/>
      <c r="CB77" s="421"/>
      <c r="CC77" s="421"/>
      <c r="CD77" s="419"/>
      <c r="CE77" s="419"/>
      <c r="CF77" s="421"/>
      <c r="CG77" s="421"/>
      <c r="CH77" s="419"/>
      <c r="CI77" s="419"/>
      <c r="CJ77" s="421"/>
      <c r="CK77" s="421"/>
      <c r="CL77" s="419"/>
      <c r="CM77" s="421"/>
      <c r="CN77" s="424">
        <f t="shared" si="53"/>
        <v>0</v>
      </c>
      <c r="CO77" s="424">
        <f t="shared" si="54"/>
        <v>0</v>
      </c>
      <c r="CP77" s="425">
        <f t="shared" si="55"/>
        <v>0</v>
      </c>
      <c r="CQ77" s="425">
        <f t="shared" si="56"/>
        <v>0</v>
      </c>
      <c r="CR77" s="419"/>
      <c r="CS77" s="419"/>
      <c r="CT77" s="421"/>
      <c r="CU77" s="421"/>
      <c r="CV77" s="419"/>
      <c r="CW77" s="419"/>
      <c r="CX77" s="421"/>
      <c r="CY77" s="421"/>
      <c r="CZ77" s="419"/>
      <c r="DA77" s="419"/>
      <c r="DB77" s="421"/>
      <c r="DC77" s="421"/>
      <c r="DD77" s="419"/>
      <c r="DE77" s="419"/>
      <c r="DF77" s="421"/>
      <c r="DG77" s="421"/>
      <c r="DH77" s="419"/>
      <c r="DI77" s="419"/>
      <c r="DJ77" s="421"/>
      <c r="DK77" s="421"/>
      <c r="DL77" s="419"/>
      <c r="DM77" s="419"/>
      <c r="DN77" s="421"/>
      <c r="DO77" s="421"/>
      <c r="DP77" s="419"/>
      <c r="DQ77" s="419"/>
      <c r="DR77" s="421"/>
      <c r="DS77" s="421"/>
      <c r="DT77" s="419"/>
      <c r="DU77" s="419"/>
      <c r="DV77" s="421"/>
      <c r="DW77" s="421"/>
      <c r="DX77" s="419"/>
      <c r="DY77" s="419"/>
      <c r="DZ77" s="421"/>
      <c r="EA77" s="421"/>
      <c r="EB77" s="419"/>
      <c r="EC77" s="419"/>
      <c r="ED77" s="421"/>
      <c r="EE77" s="421"/>
      <c r="EF77" s="419"/>
      <c r="EG77" s="421"/>
      <c r="EH77" s="424">
        <f t="shared" si="57"/>
        <v>0</v>
      </c>
      <c r="EI77" s="424">
        <f t="shared" si="58"/>
        <v>0</v>
      </c>
      <c r="EJ77" s="422">
        <f t="shared" si="59"/>
        <v>0</v>
      </c>
      <c r="EK77" s="425">
        <f t="shared" si="60"/>
        <v>0</v>
      </c>
      <c r="EL77" s="425">
        <f t="shared" si="61"/>
        <v>0</v>
      </c>
      <c r="EM77" s="423">
        <f t="shared" si="62"/>
        <v>0</v>
      </c>
      <c r="EN77" s="424">
        <f t="shared" si="63"/>
        <v>0</v>
      </c>
      <c r="EO77" s="425">
        <f t="shared" si="64"/>
        <v>0</v>
      </c>
      <c r="EP77" s="419"/>
      <c r="EQ77" s="421"/>
      <c r="ER77" s="419"/>
      <c r="ES77" s="421"/>
      <c r="ET77" s="419"/>
      <c r="EU77" s="421"/>
      <c r="EV77" s="419"/>
      <c r="EW77" s="421"/>
      <c r="EX77" s="419"/>
      <c r="EY77" s="421"/>
      <c r="EZ77" s="419"/>
      <c r="FA77" s="421"/>
      <c r="FB77" s="419"/>
      <c r="FC77" s="421"/>
      <c r="FD77" s="419"/>
      <c r="FE77" s="421"/>
      <c r="FF77" s="419"/>
      <c r="FG77" s="421"/>
      <c r="FH77" s="419"/>
      <c r="FI77" s="421"/>
      <c r="FJ77" s="424">
        <f t="shared" si="65"/>
        <v>0</v>
      </c>
      <c r="FK77" s="425">
        <f t="shared" si="66"/>
        <v>0</v>
      </c>
      <c r="FL77" s="419"/>
      <c r="FM77" s="421"/>
      <c r="FN77" s="424">
        <f t="shared" si="67"/>
        <v>851</v>
      </c>
      <c r="FO77" s="425">
        <f t="shared" si="68"/>
        <v>659</v>
      </c>
    </row>
    <row r="78" spans="1:171">
      <c r="A78" s="51" t="s">
        <v>154</v>
      </c>
      <c r="B78" s="57" t="s">
        <v>573</v>
      </c>
      <c r="C78" s="56"/>
      <c r="D78" s="55">
        <v>107585</v>
      </c>
      <c r="E78" s="116">
        <v>10</v>
      </c>
      <c r="F78" s="419">
        <v>543</v>
      </c>
      <c r="G78" s="421">
        <v>537</v>
      </c>
      <c r="H78" s="419">
        <v>0</v>
      </c>
      <c r="I78" s="421">
        <v>0</v>
      </c>
      <c r="J78" s="419">
        <v>499</v>
      </c>
      <c r="K78" s="421">
        <v>410</v>
      </c>
      <c r="L78" s="422">
        <f t="shared" si="47"/>
        <v>0</v>
      </c>
      <c r="M78" s="423">
        <f t="shared" si="48"/>
        <v>0</v>
      </c>
      <c r="N78" s="419">
        <v>0</v>
      </c>
      <c r="O78" s="309">
        <f>0</f>
        <v>0</v>
      </c>
      <c r="P78" s="309">
        <f>0</f>
        <v>0</v>
      </c>
      <c r="Q78" s="309">
        <f>0</f>
        <v>0</v>
      </c>
      <c r="R78" s="424">
        <f t="shared" si="45"/>
        <v>0</v>
      </c>
      <c r="S78" s="421">
        <v>0</v>
      </c>
      <c r="T78" s="301">
        <f>0</f>
        <v>0</v>
      </c>
      <c r="U78" s="301">
        <f>0</f>
        <v>0</v>
      </c>
      <c r="V78" s="301">
        <f>0</f>
        <v>0</v>
      </c>
      <c r="W78" s="425">
        <f t="shared" si="46"/>
        <v>0</v>
      </c>
      <c r="X78" s="419"/>
      <c r="Y78" s="419"/>
      <c r="Z78" s="421"/>
      <c r="AA78" s="421"/>
      <c r="AB78" s="419"/>
      <c r="AC78" s="419"/>
      <c r="AD78" s="421"/>
      <c r="AE78" s="421"/>
      <c r="AF78" s="419"/>
      <c r="AG78" s="419"/>
      <c r="AH78" s="421"/>
      <c r="AI78" s="421"/>
      <c r="AJ78" s="419"/>
      <c r="AK78" s="419"/>
      <c r="AL78" s="421"/>
      <c r="AM78" s="421"/>
      <c r="AN78" s="419"/>
      <c r="AO78" s="419"/>
      <c r="AP78" s="421"/>
      <c r="AQ78" s="421"/>
      <c r="AR78" s="424">
        <f t="shared" si="49"/>
        <v>0</v>
      </c>
      <c r="AS78" s="422">
        <f t="shared" si="50"/>
        <v>0</v>
      </c>
      <c r="AT78" s="425">
        <f t="shared" si="51"/>
        <v>0</v>
      </c>
      <c r="AU78" s="423">
        <f t="shared" si="52"/>
        <v>0</v>
      </c>
      <c r="AV78" s="419">
        <v>0</v>
      </c>
      <c r="AW78" s="421">
        <v>0</v>
      </c>
      <c r="AX78" s="419"/>
      <c r="AY78" s="419"/>
      <c r="AZ78" s="421"/>
      <c r="BA78" s="421"/>
      <c r="BB78" s="419"/>
      <c r="BC78" s="419"/>
      <c r="BD78" s="421"/>
      <c r="BE78" s="421"/>
      <c r="BF78" s="419"/>
      <c r="BG78" s="419"/>
      <c r="BH78" s="421"/>
      <c r="BI78" s="421"/>
      <c r="BJ78" s="419"/>
      <c r="BK78" s="419"/>
      <c r="BL78" s="421"/>
      <c r="BM78" s="421"/>
      <c r="BN78" s="419"/>
      <c r="BO78" s="419"/>
      <c r="BP78" s="421"/>
      <c r="BQ78" s="421"/>
      <c r="BR78" s="419"/>
      <c r="BS78" s="419"/>
      <c r="BT78" s="421"/>
      <c r="BU78" s="421"/>
      <c r="BV78" s="419"/>
      <c r="BW78" s="419"/>
      <c r="BX78" s="421"/>
      <c r="BY78" s="421"/>
      <c r="BZ78" s="419"/>
      <c r="CA78" s="419"/>
      <c r="CB78" s="421"/>
      <c r="CC78" s="421"/>
      <c r="CD78" s="419"/>
      <c r="CE78" s="419"/>
      <c r="CF78" s="421"/>
      <c r="CG78" s="421"/>
      <c r="CH78" s="419"/>
      <c r="CI78" s="419"/>
      <c r="CJ78" s="421"/>
      <c r="CK78" s="421"/>
      <c r="CL78" s="419"/>
      <c r="CM78" s="421"/>
      <c r="CN78" s="424">
        <f t="shared" si="53"/>
        <v>0</v>
      </c>
      <c r="CO78" s="424">
        <f t="shared" si="54"/>
        <v>0</v>
      </c>
      <c r="CP78" s="425">
        <f t="shared" si="55"/>
        <v>0</v>
      </c>
      <c r="CQ78" s="425">
        <f t="shared" si="56"/>
        <v>0</v>
      </c>
      <c r="CR78" s="419"/>
      <c r="CS78" s="419"/>
      <c r="CT78" s="421"/>
      <c r="CU78" s="421"/>
      <c r="CV78" s="419"/>
      <c r="CW78" s="419"/>
      <c r="CX78" s="421"/>
      <c r="CY78" s="421"/>
      <c r="CZ78" s="419"/>
      <c r="DA78" s="419"/>
      <c r="DB78" s="421"/>
      <c r="DC78" s="421"/>
      <c r="DD78" s="419"/>
      <c r="DE78" s="419"/>
      <c r="DF78" s="421"/>
      <c r="DG78" s="421"/>
      <c r="DH78" s="419"/>
      <c r="DI78" s="419"/>
      <c r="DJ78" s="421"/>
      <c r="DK78" s="421"/>
      <c r="DL78" s="419"/>
      <c r="DM78" s="419"/>
      <c r="DN78" s="421"/>
      <c r="DO78" s="421"/>
      <c r="DP78" s="419"/>
      <c r="DQ78" s="419"/>
      <c r="DR78" s="421"/>
      <c r="DS78" s="421"/>
      <c r="DT78" s="419"/>
      <c r="DU78" s="419"/>
      <c r="DV78" s="421"/>
      <c r="DW78" s="421"/>
      <c r="DX78" s="419"/>
      <c r="DY78" s="419"/>
      <c r="DZ78" s="421"/>
      <c r="EA78" s="421"/>
      <c r="EB78" s="419"/>
      <c r="EC78" s="419"/>
      <c r="ED78" s="421"/>
      <c r="EE78" s="421"/>
      <c r="EF78" s="419"/>
      <c r="EG78" s="421"/>
      <c r="EH78" s="424">
        <f t="shared" si="57"/>
        <v>0</v>
      </c>
      <c r="EI78" s="424">
        <f t="shared" si="58"/>
        <v>0</v>
      </c>
      <c r="EJ78" s="422">
        <f t="shared" si="59"/>
        <v>0</v>
      </c>
      <c r="EK78" s="425">
        <f t="shared" si="60"/>
        <v>0</v>
      </c>
      <c r="EL78" s="425">
        <f t="shared" si="61"/>
        <v>0</v>
      </c>
      <c r="EM78" s="423">
        <f t="shared" si="62"/>
        <v>0</v>
      </c>
      <c r="EN78" s="424">
        <f t="shared" si="63"/>
        <v>0</v>
      </c>
      <c r="EO78" s="425">
        <f t="shared" si="64"/>
        <v>0</v>
      </c>
      <c r="EP78" s="419"/>
      <c r="EQ78" s="421"/>
      <c r="ER78" s="419"/>
      <c r="ES78" s="421"/>
      <c r="ET78" s="419"/>
      <c r="EU78" s="421"/>
      <c r="EV78" s="419"/>
      <c r="EW78" s="421"/>
      <c r="EX78" s="419"/>
      <c r="EY78" s="421"/>
      <c r="EZ78" s="419"/>
      <c r="FA78" s="421"/>
      <c r="FB78" s="419"/>
      <c r="FC78" s="421"/>
      <c r="FD78" s="419"/>
      <c r="FE78" s="421"/>
      <c r="FF78" s="419"/>
      <c r="FG78" s="421"/>
      <c r="FH78" s="419"/>
      <c r="FI78" s="421"/>
      <c r="FJ78" s="424">
        <f t="shared" si="65"/>
        <v>0</v>
      </c>
      <c r="FK78" s="425">
        <f t="shared" si="66"/>
        <v>0</v>
      </c>
      <c r="FL78" s="419"/>
      <c r="FM78" s="421"/>
      <c r="FN78" s="424">
        <f t="shared" si="67"/>
        <v>1042</v>
      </c>
      <c r="FO78" s="425">
        <f t="shared" si="68"/>
        <v>947</v>
      </c>
    </row>
    <row r="79" spans="1:171">
      <c r="A79" s="427" t="s">
        <v>154</v>
      </c>
      <c r="B79" s="57" t="s">
        <v>574</v>
      </c>
      <c r="C79" s="56"/>
      <c r="D79" s="55">
        <v>107743</v>
      </c>
      <c r="E79" s="116">
        <v>10</v>
      </c>
      <c r="F79" s="419">
        <v>181</v>
      </c>
      <c r="G79" s="421">
        <v>151</v>
      </c>
      <c r="H79" s="419">
        <v>0</v>
      </c>
      <c r="I79" s="421">
        <v>0</v>
      </c>
      <c r="J79" s="419">
        <v>133</v>
      </c>
      <c r="K79" s="421">
        <v>121</v>
      </c>
      <c r="L79" s="422">
        <f t="shared" si="47"/>
        <v>0</v>
      </c>
      <c r="M79" s="423">
        <f t="shared" si="48"/>
        <v>0</v>
      </c>
      <c r="N79" s="419">
        <v>0</v>
      </c>
      <c r="O79" s="309">
        <f>0</f>
        <v>0</v>
      </c>
      <c r="P79" s="309">
        <f>0</f>
        <v>0</v>
      </c>
      <c r="Q79" s="309">
        <f>0</f>
        <v>0</v>
      </c>
      <c r="R79" s="424">
        <f t="shared" si="45"/>
        <v>0</v>
      </c>
      <c r="S79" s="421">
        <v>0</v>
      </c>
      <c r="T79" s="301">
        <f>0</f>
        <v>0</v>
      </c>
      <c r="U79" s="301">
        <f>0</f>
        <v>0</v>
      </c>
      <c r="V79" s="301">
        <f>0</f>
        <v>0</v>
      </c>
      <c r="W79" s="425">
        <f t="shared" si="46"/>
        <v>0</v>
      </c>
      <c r="X79" s="419"/>
      <c r="Y79" s="419"/>
      <c r="Z79" s="421"/>
      <c r="AA79" s="421"/>
      <c r="AB79" s="419"/>
      <c r="AC79" s="419"/>
      <c r="AD79" s="421"/>
      <c r="AE79" s="421"/>
      <c r="AF79" s="419"/>
      <c r="AG79" s="419"/>
      <c r="AH79" s="421"/>
      <c r="AI79" s="421"/>
      <c r="AJ79" s="419"/>
      <c r="AK79" s="419"/>
      <c r="AL79" s="421"/>
      <c r="AM79" s="421"/>
      <c r="AN79" s="419"/>
      <c r="AO79" s="419"/>
      <c r="AP79" s="421"/>
      <c r="AQ79" s="421"/>
      <c r="AR79" s="424">
        <f t="shared" si="49"/>
        <v>0</v>
      </c>
      <c r="AS79" s="422">
        <f t="shared" si="50"/>
        <v>0</v>
      </c>
      <c r="AT79" s="425">
        <f t="shared" si="51"/>
        <v>0</v>
      </c>
      <c r="AU79" s="423">
        <f t="shared" si="52"/>
        <v>0</v>
      </c>
      <c r="AV79" s="419">
        <v>0</v>
      </c>
      <c r="AW79" s="421">
        <v>0</v>
      </c>
      <c r="AX79" s="419"/>
      <c r="AY79" s="419"/>
      <c r="AZ79" s="421"/>
      <c r="BA79" s="421"/>
      <c r="BB79" s="419"/>
      <c r="BC79" s="419"/>
      <c r="BD79" s="421"/>
      <c r="BE79" s="421"/>
      <c r="BF79" s="419"/>
      <c r="BG79" s="419"/>
      <c r="BH79" s="421"/>
      <c r="BI79" s="421"/>
      <c r="BJ79" s="419"/>
      <c r="BK79" s="419"/>
      <c r="BL79" s="421"/>
      <c r="BM79" s="421"/>
      <c r="BN79" s="419"/>
      <c r="BO79" s="419"/>
      <c r="BP79" s="421"/>
      <c r="BQ79" s="421"/>
      <c r="BR79" s="419"/>
      <c r="BS79" s="419"/>
      <c r="BT79" s="421"/>
      <c r="BU79" s="421"/>
      <c r="BV79" s="419"/>
      <c r="BW79" s="419"/>
      <c r="BX79" s="421"/>
      <c r="BY79" s="421"/>
      <c r="BZ79" s="419"/>
      <c r="CA79" s="419"/>
      <c r="CB79" s="421"/>
      <c r="CC79" s="421"/>
      <c r="CD79" s="419"/>
      <c r="CE79" s="419"/>
      <c r="CF79" s="421"/>
      <c r="CG79" s="421"/>
      <c r="CH79" s="419"/>
      <c r="CI79" s="419"/>
      <c r="CJ79" s="421"/>
      <c r="CK79" s="421"/>
      <c r="CL79" s="419"/>
      <c r="CM79" s="421"/>
      <c r="CN79" s="424">
        <f t="shared" si="53"/>
        <v>0</v>
      </c>
      <c r="CO79" s="424">
        <f t="shared" si="54"/>
        <v>0</v>
      </c>
      <c r="CP79" s="425">
        <f t="shared" si="55"/>
        <v>0</v>
      </c>
      <c r="CQ79" s="425">
        <f t="shared" si="56"/>
        <v>0</v>
      </c>
      <c r="CR79" s="419"/>
      <c r="CS79" s="419"/>
      <c r="CT79" s="421"/>
      <c r="CU79" s="421"/>
      <c r="CV79" s="419"/>
      <c r="CW79" s="419"/>
      <c r="CX79" s="421"/>
      <c r="CY79" s="421"/>
      <c r="CZ79" s="419"/>
      <c r="DA79" s="419"/>
      <c r="DB79" s="421"/>
      <c r="DC79" s="421"/>
      <c r="DD79" s="419"/>
      <c r="DE79" s="419"/>
      <c r="DF79" s="421"/>
      <c r="DG79" s="421"/>
      <c r="DH79" s="419"/>
      <c r="DI79" s="419"/>
      <c r="DJ79" s="421"/>
      <c r="DK79" s="421"/>
      <c r="DL79" s="419"/>
      <c r="DM79" s="419"/>
      <c r="DN79" s="421"/>
      <c r="DO79" s="421"/>
      <c r="DP79" s="419"/>
      <c r="DQ79" s="419"/>
      <c r="DR79" s="421"/>
      <c r="DS79" s="421"/>
      <c r="DT79" s="419"/>
      <c r="DU79" s="419"/>
      <c r="DV79" s="421"/>
      <c r="DW79" s="421"/>
      <c r="DX79" s="419"/>
      <c r="DY79" s="419"/>
      <c r="DZ79" s="421"/>
      <c r="EA79" s="421"/>
      <c r="EB79" s="419"/>
      <c r="EC79" s="419"/>
      <c r="ED79" s="421"/>
      <c r="EE79" s="421"/>
      <c r="EF79" s="419"/>
      <c r="EG79" s="421"/>
      <c r="EH79" s="424">
        <f t="shared" si="57"/>
        <v>0</v>
      </c>
      <c r="EI79" s="424">
        <f t="shared" si="58"/>
        <v>0</v>
      </c>
      <c r="EJ79" s="422">
        <f t="shared" si="59"/>
        <v>0</v>
      </c>
      <c r="EK79" s="425">
        <f t="shared" si="60"/>
        <v>0</v>
      </c>
      <c r="EL79" s="425">
        <f t="shared" si="61"/>
        <v>0</v>
      </c>
      <c r="EM79" s="423">
        <f t="shared" si="62"/>
        <v>0</v>
      </c>
      <c r="EN79" s="424">
        <f t="shared" si="63"/>
        <v>0</v>
      </c>
      <c r="EO79" s="425">
        <f t="shared" si="64"/>
        <v>0</v>
      </c>
      <c r="EP79" s="419"/>
      <c r="EQ79" s="421"/>
      <c r="ER79" s="419"/>
      <c r="ES79" s="421"/>
      <c r="ET79" s="419"/>
      <c r="EU79" s="421"/>
      <c r="EV79" s="419"/>
      <c r="EW79" s="421"/>
      <c r="EX79" s="419"/>
      <c r="EY79" s="421"/>
      <c r="EZ79" s="419"/>
      <c r="FA79" s="421"/>
      <c r="FB79" s="419"/>
      <c r="FC79" s="421"/>
      <c r="FD79" s="419"/>
      <c r="FE79" s="421"/>
      <c r="FF79" s="419"/>
      <c r="FG79" s="421"/>
      <c r="FH79" s="419"/>
      <c r="FI79" s="421"/>
      <c r="FJ79" s="424">
        <f t="shared" si="65"/>
        <v>0</v>
      </c>
      <c r="FK79" s="425">
        <f t="shared" si="66"/>
        <v>0</v>
      </c>
      <c r="FL79" s="419"/>
      <c r="FM79" s="421"/>
      <c r="FN79" s="424">
        <f t="shared" si="67"/>
        <v>314</v>
      </c>
      <c r="FO79" s="425">
        <f t="shared" si="68"/>
        <v>272</v>
      </c>
    </row>
    <row r="80" spans="1:171">
      <c r="A80" s="51" t="s">
        <v>154</v>
      </c>
      <c r="B80" s="57" t="s">
        <v>554</v>
      </c>
      <c r="C80" s="54"/>
      <c r="D80" s="55">
        <v>107664</v>
      </c>
      <c r="E80" s="116">
        <v>9</v>
      </c>
      <c r="F80" s="419">
        <v>812</v>
      </c>
      <c r="G80" s="421">
        <v>840</v>
      </c>
      <c r="H80" s="419">
        <v>0</v>
      </c>
      <c r="I80" s="421">
        <v>0</v>
      </c>
      <c r="J80" s="419">
        <v>754</v>
      </c>
      <c r="K80" s="421">
        <v>676</v>
      </c>
      <c r="L80" s="422">
        <f t="shared" si="47"/>
        <v>0</v>
      </c>
      <c r="M80" s="423">
        <f t="shared" si="48"/>
        <v>0</v>
      </c>
      <c r="N80" s="419">
        <v>0</v>
      </c>
      <c r="O80" s="309">
        <f>0</f>
        <v>0</v>
      </c>
      <c r="P80" s="309">
        <f>0</f>
        <v>0</v>
      </c>
      <c r="Q80" s="309">
        <f>0</f>
        <v>0</v>
      </c>
      <c r="R80" s="424">
        <f t="shared" si="45"/>
        <v>0</v>
      </c>
      <c r="S80" s="421">
        <v>0</v>
      </c>
      <c r="T80" s="301">
        <f>0</f>
        <v>0</v>
      </c>
      <c r="U80" s="301">
        <f>0</f>
        <v>0</v>
      </c>
      <c r="V80" s="301">
        <f>0</f>
        <v>0</v>
      </c>
      <c r="W80" s="425">
        <f t="shared" si="46"/>
        <v>0</v>
      </c>
      <c r="X80" s="419"/>
      <c r="Y80" s="419"/>
      <c r="Z80" s="421"/>
      <c r="AA80" s="421"/>
      <c r="AB80" s="419"/>
      <c r="AC80" s="419"/>
      <c r="AD80" s="421"/>
      <c r="AE80" s="421"/>
      <c r="AF80" s="419"/>
      <c r="AG80" s="419"/>
      <c r="AH80" s="421"/>
      <c r="AI80" s="421"/>
      <c r="AJ80" s="419"/>
      <c r="AK80" s="419"/>
      <c r="AL80" s="421"/>
      <c r="AM80" s="421"/>
      <c r="AN80" s="419"/>
      <c r="AO80" s="419"/>
      <c r="AP80" s="421"/>
      <c r="AQ80" s="421"/>
      <c r="AR80" s="424">
        <f t="shared" si="49"/>
        <v>0</v>
      </c>
      <c r="AS80" s="422">
        <f t="shared" si="50"/>
        <v>0</v>
      </c>
      <c r="AT80" s="425">
        <f t="shared" si="51"/>
        <v>0</v>
      </c>
      <c r="AU80" s="423">
        <f t="shared" si="52"/>
        <v>0</v>
      </c>
      <c r="AV80" s="419">
        <v>0</v>
      </c>
      <c r="AW80" s="421">
        <v>0</v>
      </c>
      <c r="AX80" s="419"/>
      <c r="AY80" s="419"/>
      <c r="AZ80" s="421"/>
      <c r="BA80" s="421"/>
      <c r="BB80" s="419"/>
      <c r="BC80" s="419"/>
      <c r="BD80" s="421"/>
      <c r="BE80" s="421"/>
      <c r="BF80" s="419"/>
      <c r="BG80" s="419"/>
      <c r="BH80" s="421"/>
      <c r="BI80" s="421"/>
      <c r="BJ80" s="419"/>
      <c r="BK80" s="419"/>
      <c r="BL80" s="421"/>
      <c r="BM80" s="421"/>
      <c r="BN80" s="419"/>
      <c r="BO80" s="419"/>
      <c r="BP80" s="421"/>
      <c r="BQ80" s="421"/>
      <c r="BR80" s="419"/>
      <c r="BS80" s="419"/>
      <c r="BT80" s="421"/>
      <c r="BU80" s="421"/>
      <c r="BV80" s="419"/>
      <c r="BW80" s="419"/>
      <c r="BX80" s="421"/>
      <c r="BY80" s="421"/>
      <c r="BZ80" s="419"/>
      <c r="CA80" s="419"/>
      <c r="CB80" s="421"/>
      <c r="CC80" s="421"/>
      <c r="CD80" s="419"/>
      <c r="CE80" s="419"/>
      <c r="CF80" s="421"/>
      <c r="CG80" s="421"/>
      <c r="CH80" s="419"/>
      <c r="CI80" s="419"/>
      <c r="CJ80" s="421"/>
      <c r="CK80" s="421"/>
      <c r="CL80" s="419"/>
      <c r="CM80" s="421"/>
      <c r="CN80" s="424">
        <f t="shared" si="53"/>
        <v>0</v>
      </c>
      <c r="CO80" s="424">
        <f t="shared" si="54"/>
        <v>0</v>
      </c>
      <c r="CP80" s="425">
        <f t="shared" si="55"/>
        <v>0</v>
      </c>
      <c r="CQ80" s="425">
        <f t="shared" si="56"/>
        <v>0</v>
      </c>
      <c r="CR80" s="419"/>
      <c r="CS80" s="419"/>
      <c r="CT80" s="421"/>
      <c r="CU80" s="421"/>
      <c r="CV80" s="419"/>
      <c r="CW80" s="419"/>
      <c r="CX80" s="421"/>
      <c r="CY80" s="421"/>
      <c r="CZ80" s="419"/>
      <c r="DA80" s="419"/>
      <c r="DB80" s="421"/>
      <c r="DC80" s="421"/>
      <c r="DD80" s="419"/>
      <c r="DE80" s="419"/>
      <c r="DF80" s="421"/>
      <c r="DG80" s="421"/>
      <c r="DH80" s="419"/>
      <c r="DI80" s="419"/>
      <c r="DJ80" s="421"/>
      <c r="DK80" s="421"/>
      <c r="DL80" s="419"/>
      <c r="DM80" s="419"/>
      <c r="DN80" s="421"/>
      <c r="DO80" s="421"/>
      <c r="DP80" s="419"/>
      <c r="DQ80" s="419"/>
      <c r="DR80" s="421"/>
      <c r="DS80" s="421"/>
      <c r="DT80" s="419"/>
      <c r="DU80" s="419"/>
      <c r="DV80" s="421"/>
      <c r="DW80" s="421"/>
      <c r="DX80" s="419"/>
      <c r="DY80" s="419"/>
      <c r="DZ80" s="421"/>
      <c r="EA80" s="421"/>
      <c r="EB80" s="419"/>
      <c r="EC80" s="419"/>
      <c r="ED80" s="421"/>
      <c r="EE80" s="421"/>
      <c r="EF80" s="419"/>
      <c r="EG80" s="421"/>
      <c r="EH80" s="424">
        <f t="shared" si="57"/>
        <v>0</v>
      </c>
      <c r="EI80" s="424">
        <f t="shared" si="58"/>
        <v>0</v>
      </c>
      <c r="EJ80" s="422">
        <f t="shared" si="59"/>
        <v>0</v>
      </c>
      <c r="EK80" s="425">
        <f t="shared" si="60"/>
        <v>0</v>
      </c>
      <c r="EL80" s="425">
        <f t="shared" si="61"/>
        <v>0</v>
      </c>
      <c r="EM80" s="423">
        <f t="shared" si="62"/>
        <v>0</v>
      </c>
      <c r="EN80" s="424">
        <f t="shared" si="63"/>
        <v>0</v>
      </c>
      <c r="EO80" s="425">
        <f t="shared" si="64"/>
        <v>0</v>
      </c>
      <c r="EP80" s="419"/>
      <c r="EQ80" s="421"/>
      <c r="ER80" s="419"/>
      <c r="ES80" s="421"/>
      <c r="ET80" s="419"/>
      <c r="EU80" s="421"/>
      <c r="EV80" s="419"/>
      <c r="EW80" s="421"/>
      <c r="EX80" s="419"/>
      <c r="EY80" s="421"/>
      <c r="EZ80" s="419"/>
      <c r="FA80" s="421"/>
      <c r="FB80" s="419"/>
      <c r="FC80" s="421"/>
      <c r="FD80" s="419"/>
      <c r="FE80" s="421"/>
      <c r="FF80" s="419"/>
      <c r="FG80" s="421"/>
      <c r="FH80" s="419"/>
      <c r="FI80" s="421"/>
      <c r="FJ80" s="424">
        <f t="shared" si="65"/>
        <v>0</v>
      </c>
      <c r="FK80" s="425">
        <f t="shared" si="66"/>
        <v>0</v>
      </c>
      <c r="FL80" s="419"/>
      <c r="FM80" s="421"/>
      <c r="FN80" s="424">
        <f t="shared" si="67"/>
        <v>1566</v>
      </c>
      <c r="FO80" s="425">
        <f t="shared" si="68"/>
        <v>1516</v>
      </c>
    </row>
    <row r="81" spans="1:171">
      <c r="A81" s="428" t="s">
        <v>155</v>
      </c>
      <c r="B81" s="50" t="s">
        <v>576</v>
      </c>
      <c r="C81" s="49"/>
      <c r="D81" s="48">
        <v>130943</v>
      </c>
      <c r="E81" s="48">
        <v>1</v>
      </c>
      <c r="F81" s="419"/>
      <c r="G81" s="421"/>
      <c r="H81" s="419"/>
      <c r="I81" s="421"/>
      <c r="J81" s="419">
        <v>271</v>
      </c>
      <c r="K81" s="421">
        <v>261</v>
      </c>
      <c r="L81" s="422">
        <f t="shared" si="47"/>
        <v>6.2731481481481485E-2</v>
      </c>
      <c r="M81" s="423">
        <f t="shared" si="48"/>
        <v>6.151308036766439E-2</v>
      </c>
      <c r="N81" s="419">
        <v>4320</v>
      </c>
      <c r="O81" s="309">
        <f>0</f>
        <v>0</v>
      </c>
      <c r="P81" s="309">
        <f>0</f>
        <v>0</v>
      </c>
      <c r="Q81" s="309">
        <f>0</f>
        <v>0</v>
      </c>
      <c r="R81" s="424">
        <f t="shared" si="45"/>
        <v>0</v>
      </c>
      <c r="S81" s="421">
        <v>4243</v>
      </c>
      <c r="T81" s="301">
        <f>0</f>
        <v>0</v>
      </c>
      <c r="U81" s="301">
        <f>0</f>
        <v>0</v>
      </c>
      <c r="V81" s="301">
        <f>0</f>
        <v>0</v>
      </c>
      <c r="W81" s="425">
        <f t="shared" si="46"/>
        <v>0</v>
      </c>
      <c r="X81" s="419"/>
      <c r="Y81" s="419"/>
      <c r="Z81" s="421"/>
      <c r="AA81" s="421"/>
      <c r="AB81" s="419"/>
      <c r="AC81" s="419"/>
      <c r="AD81" s="421"/>
      <c r="AE81" s="421"/>
      <c r="AF81" s="419"/>
      <c r="AG81" s="419"/>
      <c r="AH81" s="421"/>
      <c r="AI81" s="421"/>
      <c r="AJ81" s="419"/>
      <c r="AK81" s="419"/>
      <c r="AL81" s="421"/>
      <c r="AM81" s="421"/>
      <c r="AN81" s="419"/>
      <c r="AO81" s="419"/>
      <c r="AP81" s="421"/>
      <c r="AQ81" s="421"/>
      <c r="AR81" s="424">
        <f t="shared" si="49"/>
        <v>0</v>
      </c>
      <c r="AS81" s="422">
        <f t="shared" si="50"/>
        <v>0.72764022233451242</v>
      </c>
      <c r="AT81" s="425">
        <f t="shared" si="51"/>
        <v>0</v>
      </c>
      <c r="AU81" s="423">
        <f t="shared" si="52"/>
        <v>0.73230928546772522</v>
      </c>
      <c r="AV81" s="419"/>
      <c r="AW81" s="421"/>
      <c r="AX81" s="419">
        <v>52</v>
      </c>
      <c r="AY81" s="419">
        <v>267</v>
      </c>
      <c r="AZ81" s="421">
        <v>52</v>
      </c>
      <c r="BA81" s="421">
        <v>276</v>
      </c>
      <c r="BB81" s="419">
        <v>14</v>
      </c>
      <c r="BC81" s="419">
        <v>101</v>
      </c>
      <c r="BD81" s="421">
        <v>26</v>
      </c>
      <c r="BE81" s="421">
        <v>108</v>
      </c>
      <c r="BF81" s="419">
        <v>26</v>
      </c>
      <c r="BG81" s="419">
        <v>99</v>
      </c>
      <c r="BH81" s="421">
        <v>13</v>
      </c>
      <c r="BI81" s="421">
        <v>104</v>
      </c>
      <c r="BJ81" s="419">
        <v>13</v>
      </c>
      <c r="BK81" s="419">
        <v>88</v>
      </c>
      <c r="BL81" s="421">
        <v>14</v>
      </c>
      <c r="BM81" s="421">
        <v>96</v>
      </c>
      <c r="BN81" s="419">
        <v>11</v>
      </c>
      <c r="BO81" s="419">
        <v>76</v>
      </c>
      <c r="BP81" s="421">
        <v>11</v>
      </c>
      <c r="BQ81" s="420">
        <v>59</v>
      </c>
      <c r="BR81" s="419">
        <v>51</v>
      </c>
      <c r="BS81" s="419">
        <v>73</v>
      </c>
      <c r="BT81" s="421">
        <v>51</v>
      </c>
      <c r="BU81" s="420">
        <v>58</v>
      </c>
      <c r="BV81" s="419">
        <v>45</v>
      </c>
      <c r="BW81" s="419">
        <v>60</v>
      </c>
      <c r="BX81" s="421">
        <v>27</v>
      </c>
      <c r="BY81" s="420">
        <v>45</v>
      </c>
      <c r="BZ81" s="419">
        <v>50</v>
      </c>
      <c r="CA81" s="419">
        <v>48</v>
      </c>
      <c r="CB81" s="421">
        <v>44</v>
      </c>
      <c r="CC81" s="420">
        <v>37</v>
      </c>
      <c r="CD81" s="419">
        <v>44</v>
      </c>
      <c r="CE81" s="419">
        <v>43</v>
      </c>
      <c r="CF81" s="421">
        <v>50</v>
      </c>
      <c r="CG81" s="420">
        <v>32</v>
      </c>
      <c r="CH81" s="419">
        <v>27</v>
      </c>
      <c r="CI81" s="419">
        <v>38</v>
      </c>
      <c r="CJ81" s="421">
        <v>40</v>
      </c>
      <c r="CK81" s="421">
        <v>31</v>
      </c>
      <c r="CL81" s="419">
        <v>136</v>
      </c>
      <c r="CM81" s="421">
        <v>149</v>
      </c>
      <c r="CN81" s="424">
        <f t="shared" si="53"/>
        <v>1029</v>
      </c>
      <c r="CO81" s="424">
        <f t="shared" si="54"/>
        <v>10</v>
      </c>
      <c r="CP81" s="425">
        <f t="shared" si="55"/>
        <v>995</v>
      </c>
      <c r="CQ81" s="425">
        <f t="shared" si="56"/>
        <v>10</v>
      </c>
      <c r="CR81" s="419">
        <v>14</v>
      </c>
      <c r="CS81" s="419">
        <v>68</v>
      </c>
      <c r="CT81" s="421">
        <v>14</v>
      </c>
      <c r="CU81" s="420">
        <v>49</v>
      </c>
      <c r="CV81" s="419">
        <v>40</v>
      </c>
      <c r="CW81" s="419">
        <v>51</v>
      </c>
      <c r="CX81" s="421">
        <v>40</v>
      </c>
      <c r="CY81" s="420">
        <v>39</v>
      </c>
      <c r="CZ81" s="419">
        <v>13</v>
      </c>
      <c r="DA81" s="419">
        <v>38</v>
      </c>
      <c r="DB81" s="421">
        <v>45</v>
      </c>
      <c r="DC81" s="420">
        <v>29</v>
      </c>
      <c r="DD81" s="419">
        <v>45</v>
      </c>
      <c r="DE81" s="419">
        <v>26</v>
      </c>
      <c r="DF81" s="421">
        <v>26</v>
      </c>
      <c r="DG81" s="421">
        <v>28</v>
      </c>
      <c r="DH81" s="419">
        <v>26</v>
      </c>
      <c r="DI81" s="419">
        <v>20</v>
      </c>
      <c r="DJ81" s="421">
        <v>13</v>
      </c>
      <c r="DK81" s="421">
        <v>24</v>
      </c>
      <c r="DL81" s="419">
        <v>11</v>
      </c>
      <c r="DM81" s="419">
        <v>11</v>
      </c>
      <c r="DN81" s="421">
        <v>11</v>
      </c>
      <c r="DO81" s="421">
        <v>9</v>
      </c>
      <c r="DP81" s="419">
        <v>1</v>
      </c>
      <c r="DQ81" s="419">
        <v>9</v>
      </c>
      <c r="DR81" s="421">
        <v>27</v>
      </c>
      <c r="DS81" s="421">
        <v>9</v>
      </c>
      <c r="DT81" s="419">
        <v>42</v>
      </c>
      <c r="DU81" s="419">
        <v>9</v>
      </c>
      <c r="DV81" s="421">
        <v>42</v>
      </c>
      <c r="DW81" s="421">
        <v>9</v>
      </c>
      <c r="DX81" s="419">
        <v>15</v>
      </c>
      <c r="DY81" s="419">
        <v>7</v>
      </c>
      <c r="DZ81" s="421">
        <v>1</v>
      </c>
      <c r="EA81" s="421">
        <v>6</v>
      </c>
      <c r="EB81" s="419">
        <v>52</v>
      </c>
      <c r="EC81" s="419">
        <v>5</v>
      </c>
      <c r="ED81" s="421">
        <v>50</v>
      </c>
      <c r="EE81" s="421">
        <v>6</v>
      </c>
      <c r="EF81" s="419">
        <v>19</v>
      </c>
      <c r="EG81" s="421">
        <v>22</v>
      </c>
      <c r="EH81" s="424">
        <f t="shared" si="57"/>
        <v>263</v>
      </c>
      <c r="EI81" s="424">
        <f t="shared" si="58"/>
        <v>10</v>
      </c>
      <c r="EJ81" s="422">
        <f t="shared" si="59"/>
        <v>0.2585551330798479</v>
      </c>
      <c r="EK81" s="425">
        <f t="shared" si="60"/>
        <v>230</v>
      </c>
      <c r="EL81" s="425">
        <f t="shared" si="61"/>
        <v>10</v>
      </c>
      <c r="EM81" s="423">
        <f t="shared" si="62"/>
        <v>0.21304347826086956</v>
      </c>
      <c r="EN81" s="424">
        <f t="shared" si="63"/>
        <v>1292</v>
      </c>
      <c r="EO81" s="425">
        <f t="shared" si="64"/>
        <v>1225</v>
      </c>
      <c r="EP81" s="419"/>
      <c r="EQ81" s="421"/>
      <c r="ER81" s="419"/>
      <c r="ES81" s="421"/>
      <c r="ET81" s="419"/>
      <c r="EU81" s="421"/>
      <c r="EV81" s="419"/>
      <c r="EW81" s="421"/>
      <c r="EX81" s="419"/>
      <c r="EY81" s="421"/>
      <c r="EZ81" s="419"/>
      <c r="FA81" s="421"/>
      <c r="FB81" s="419"/>
      <c r="FC81" s="421"/>
      <c r="FD81" s="419"/>
      <c r="FE81" s="421"/>
      <c r="FF81" s="419"/>
      <c r="FG81" s="421"/>
      <c r="FH81" s="419">
        <v>54</v>
      </c>
      <c r="FI81" s="420">
        <v>65</v>
      </c>
      <c r="FJ81" s="424">
        <f t="shared" si="65"/>
        <v>54</v>
      </c>
      <c r="FK81" s="425">
        <f t="shared" si="66"/>
        <v>65</v>
      </c>
      <c r="FL81" s="419"/>
      <c r="FM81" s="421"/>
      <c r="FN81" s="424">
        <f t="shared" si="67"/>
        <v>5937</v>
      </c>
      <c r="FO81" s="425">
        <f t="shared" si="68"/>
        <v>5794</v>
      </c>
    </row>
    <row r="82" spans="1:171">
      <c r="A82" s="428" t="s">
        <v>155</v>
      </c>
      <c r="B82" s="50" t="s">
        <v>577</v>
      </c>
      <c r="C82" s="47"/>
      <c r="D82" s="48">
        <v>130934</v>
      </c>
      <c r="E82" s="48">
        <v>3</v>
      </c>
      <c r="F82" s="419"/>
      <c r="G82" s="420">
        <v>16</v>
      </c>
      <c r="H82" s="419"/>
      <c r="I82" s="421"/>
      <c r="J82" s="419"/>
      <c r="K82" s="421"/>
      <c r="L82" s="422">
        <f t="shared" si="47"/>
        <v>0</v>
      </c>
      <c r="M82" s="423">
        <f t="shared" si="48"/>
        <v>0</v>
      </c>
      <c r="N82" s="419">
        <v>658</v>
      </c>
      <c r="O82" s="309">
        <f>0</f>
        <v>0</v>
      </c>
      <c r="P82" s="309">
        <f>0</f>
        <v>0</v>
      </c>
      <c r="Q82" s="309">
        <f>0</f>
        <v>0</v>
      </c>
      <c r="R82" s="424">
        <f t="shared" si="45"/>
        <v>0</v>
      </c>
      <c r="S82" s="421">
        <v>637</v>
      </c>
      <c r="T82" s="301">
        <f>0</f>
        <v>0</v>
      </c>
      <c r="U82" s="301">
        <f>0</f>
        <v>0</v>
      </c>
      <c r="V82" s="301">
        <f>0</f>
        <v>0</v>
      </c>
      <c r="W82" s="425">
        <f t="shared" si="46"/>
        <v>0</v>
      </c>
      <c r="X82" s="419"/>
      <c r="Y82" s="419"/>
      <c r="Z82" s="421"/>
      <c r="AA82" s="421"/>
      <c r="AB82" s="419"/>
      <c r="AC82" s="419"/>
      <c r="AD82" s="421"/>
      <c r="AE82" s="421"/>
      <c r="AF82" s="419"/>
      <c r="AG82" s="419"/>
      <c r="AH82" s="421"/>
      <c r="AI82" s="421"/>
      <c r="AJ82" s="419"/>
      <c r="AK82" s="419"/>
      <c r="AL82" s="421"/>
      <c r="AM82" s="421"/>
      <c r="AN82" s="419"/>
      <c r="AO82" s="419"/>
      <c r="AP82" s="421"/>
      <c r="AQ82" s="421"/>
      <c r="AR82" s="424">
        <f t="shared" si="49"/>
        <v>0</v>
      </c>
      <c r="AS82" s="422">
        <f t="shared" si="50"/>
        <v>0.8646517739816032</v>
      </c>
      <c r="AT82" s="425">
        <f t="shared" si="51"/>
        <v>0</v>
      </c>
      <c r="AU82" s="423">
        <f t="shared" si="52"/>
        <v>0.81876606683804631</v>
      </c>
      <c r="AV82" s="419"/>
      <c r="AW82" s="421"/>
      <c r="AX82" s="419">
        <v>44</v>
      </c>
      <c r="AY82" s="419">
        <v>40</v>
      </c>
      <c r="AZ82" s="421">
        <v>44</v>
      </c>
      <c r="BA82" s="420">
        <v>65</v>
      </c>
      <c r="BB82" s="419">
        <v>52</v>
      </c>
      <c r="BC82" s="419">
        <v>16</v>
      </c>
      <c r="BD82" s="421">
        <v>52</v>
      </c>
      <c r="BE82" s="421">
        <v>16</v>
      </c>
      <c r="BF82" s="419">
        <v>3</v>
      </c>
      <c r="BG82" s="419">
        <v>8</v>
      </c>
      <c r="BH82" s="421">
        <v>31</v>
      </c>
      <c r="BI82" s="420">
        <v>11</v>
      </c>
      <c r="BJ82" s="419">
        <v>13</v>
      </c>
      <c r="BK82" s="419">
        <v>7</v>
      </c>
      <c r="BL82" s="421">
        <v>26</v>
      </c>
      <c r="BM82" s="420">
        <v>4</v>
      </c>
      <c r="BN82" s="419">
        <v>31</v>
      </c>
      <c r="BO82" s="419">
        <v>5</v>
      </c>
      <c r="BP82" s="421">
        <v>13</v>
      </c>
      <c r="BQ82" s="421">
        <v>4</v>
      </c>
      <c r="BR82" s="419">
        <v>27</v>
      </c>
      <c r="BS82" s="419">
        <v>4</v>
      </c>
      <c r="BT82" s="421">
        <v>11</v>
      </c>
      <c r="BU82" s="420">
        <v>3</v>
      </c>
      <c r="BV82" s="419">
        <v>26</v>
      </c>
      <c r="BW82" s="419">
        <v>3</v>
      </c>
      <c r="BX82" s="421">
        <v>40</v>
      </c>
      <c r="BY82" s="420">
        <v>2</v>
      </c>
      <c r="BZ82" s="419">
        <v>40</v>
      </c>
      <c r="CA82" s="419">
        <v>3</v>
      </c>
      <c r="CB82" s="421">
        <v>1</v>
      </c>
      <c r="CC82" s="420">
        <v>2</v>
      </c>
      <c r="CD82" s="419">
        <v>1</v>
      </c>
      <c r="CE82" s="419">
        <v>2</v>
      </c>
      <c r="CF82" s="421">
        <v>19</v>
      </c>
      <c r="CG82" s="421">
        <v>2</v>
      </c>
      <c r="CH82" s="419">
        <v>11</v>
      </c>
      <c r="CI82" s="419">
        <v>1</v>
      </c>
      <c r="CJ82" s="421">
        <v>3</v>
      </c>
      <c r="CK82" s="421">
        <v>1</v>
      </c>
      <c r="CL82" s="419">
        <v>0</v>
      </c>
      <c r="CM82" s="420">
        <v>1</v>
      </c>
      <c r="CN82" s="424">
        <f t="shared" si="53"/>
        <v>89</v>
      </c>
      <c r="CO82" s="424">
        <f t="shared" si="54"/>
        <v>10</v>
      </c>
      <c r="CP82" s="425">
        <f t="shared" si="55"/>
        <v>111</v>
      </c>
      <c r="CQ82" s="425">
        <f t="shared" si="56"/>
        <v>10</v>
      </c>
      <c r="CR82" s="419">
        <v>13</v>
      </c>
      <c r="CS82" s="419">
        <v>8</v>
      </c>
      <c r="CT82" s="421">
        <v>13</v>
      </c>
      <c r="CU82" s="421">
        <v>7</v>
      </c>
      <c r="CV82" s="419">
        <v>27</v>
      </c>
      <c r="CW82" s="419">
        <v>4</v>
      </c>
      <c r="CX82" s="421">
        <v>40</v>
      </c>
      <c r="CY82" s="421">
        <v>4</v>
      </c>
      <c r="CZ82" s="419">
        <v>40</v>
      </c>
      <c r="DA82" s="419">
        <v>2</v>
      </c>
      <c r="DB82" s="421">
        <v>27</v>
      </c>
      <c r="DC82" s="421">
        <v>2</v>
      </c>
      <c r="DD82" s="419"/>
      <c r="DE82" s="419"/>
      <c r="DF82" s="421">
        <v>26</v>
      </c>
      <c r="DG82" s="420">
        <v>1</v>
      </c>
      <c r="DH82" s="419"/>
      <c r="DI82" s="419"/>
      <c r="DJ82" s="421"/>
      <c r="DK82" s="421"/>
      <c r="DL82" s="419"/>
      <c r="DM82" s="419"/>
      <c r="DN82" s="421"/>
      <c r="DO82" s="421"/>
      <c r="DP82" s="419"/>
      <c r="DQ82" s="419"/>
      <c r="DR82" s="421"/>
      <c r="DS82" s="421"/>
      <c r="DT82" s="419"/>
      <c r="DU82" s="419"/>
      <c r="DV82" s="421"/>
      <c r="DW82" s="421"/>
      <c r="DX82" s="419"/>
      <c r="DY82" s="419"/>
      <c r="DZ82" s="421"/>
      <c r="EA82" s="421"/>
      <c r="EB82" s="419"/>
      <c r="EC82" s="419"/>
      <c r="ED82" s="421"/>
      <c r="EE82" s="421"/>
      <c r="EF82" s="419"/>
      <c r="EG82" s="421"/>
      <c r="EH82" s="424">
        <f t="shared" si="57"/>
        <v>14</v>
      </c>
      <c r="EI82" s="424">
        <f t="shared" si="58"/>
        <v>3</v>
      </c>
      <c r="EJ82" s="422">
        <f t="shared" si="59"/>
        <v>0.5714285714285714</v>
      </c>
      <c r="EK82" s="425">
        <f t="shared" si="60"/>
        <v>14</v>
      </c>
      <c r="EL82" s="425">
        <f t="shared" si="61"/>
        <v>4</v>
      </c>
      <c r="EM82" s="423">
        <f t="shared" si="62"/>
        <v>0.5</v>
      </c>
      <c r="EN82" s="424">
        <f t="shared" si="63"/>
        <v>103</v>
      </c>
      <c r="EO82" s="425">
        <f t="shared" si="64"/>
        <v>125</v>
      </c>
      <c r="EP82" s="419"/>
      <c r="EQ82" s="421"/>
      <c r="ER82" s="419"/>
      <c r="ES82" s="421"/>
      <c r="ET82" s="419"/>
      <c r="EU82" s="421"/>
      <c r="EV82" s="419"/>
      <c r="EW82" s="421"/>
      <c r="EX82" s="419"/>
      <c r="EY82" s="421"/>
      <c r="EZ82" s="419"/>
      <c r="FA82" s="421"/>
      <c r="FB82" s="419"/>
      <c r="FC82" s="421"/>
      <c r="FD82" s="419"/>
      <c r="FE82" s="421"/>
      <c r="FF82" s="419"/>
      <c r="FG82" s="421"/>
      <c r="FH82" s="419"/>
      <c r="FI82" s="421"/>
      <c r="FJ82" s="424">
        <f t="shared" si="65"/>
        <v>0</v>
      </c>
      <c r="FK82" s="425">
        <f t="shared" si="66"/>
        <v>0</v>
      </c>
      <c r="FL82" s="419"/>
      <c r="FM82" s="421"/>
      <c r="FN82" s="424">
        <f t="shared" si="67"/>
        <v>761</v>
      </c>
      <c r="FO82" s="425">
        <f t="shared" si="68"/>
        <v>778</v>
      </c>
    </row>
    <row r="83" spans="1:171">
      <c r="A83" s="428" t="s">
        <v>155</v>
      </c>
      <c r="B83" s="429" t="s">
        <v>578</v>
      </c>
      <c r="C83" s="430" t="s">
        <v>1209</v>
      </c>
      <c r="D83" s="48">
        <v>130907</v>
      </c>
      <c r="E83" s="48">
        <v>9</v>
      </c>
      <c r="F83" s="419">
        <v>187</v>
      </c>
      <c r="G83" s="421">
        <v>173</v>
      </c>
      <c r="H83" s="419"/>
      <c r="I83" s="421"/>
      <c r="J83" s="419">
        <v>1674</v>
      </c>
      <c r="K83" s="421">
        <v>1596</v>
      </c>
      <c r="L83" s="422">
        <f t="shared" si="47"/>
        <v>38.930232558139537</v>
      </c>
      <c r="M83" s="423">
        <f t="shared" si="48"/>
        <v>31.294117647058822</v>
      </c>
      <c r="N83" s="419">
        <v>43</v>
      </c>
      <c r="O83" s="309">
        <f>0</f>
        <v>0</v>
      </c>
      <c r="P83" s="309">
        <f>0</f>
        <v>0</v>
      </c>
      <c r="Q83" s="309">
        <f>0</f>
        <v>0</v>
      </c>
      <c r="R83" s="424">
        <f t="shared" si="45"/>
        <v>0</v>
      </c>
      <c r="S83" s="421">
        <v>51</v>
      </c>
      <c r="T83" s="301">
        <f>0</f>
        <v>0</v>
      </c>
      <c r="U83" s="301">
        <f>0</f>
        <v>0</v>
      </c>
      <c r="V83" s="301">
        <f>0</f>
        <v>0</v>
      </c>
      <c r="W83" s="425">
        <f t="shared" si="46"/>
        <v>0</v>
      </c>
      <c r="X83" s="419">
        <v>51</v>
      </c>
      <c r="Y83" s="419">
        <v>43</v>
      </c>
      <c r="Z83" s="421">
        <v>51</v>
      </c>
      <c r="AA83" s="421">
        <v>51</v>
      </c>
      <c r="AB83" s="419"/>
      <c r="AC83" s="419"/>
      <c r="AD83" s="421"/>
      <c r="AE83" s="421"/>
      <c r="AF83" s="419"/>
      <c r="AG83" s="419"/>
      <c r="AH83" s="421"/>
      <c r="AI83" s="421"/>
      <c r="AJ83" s="419"/>
      <c r="AK83" s="419"/>
      <c r="AL83" s="421"/>
      <c r="AM83" s="421"/>
      <c r="AN83" s="419"/>
      <c r="AO83" s="419"/>
      <c r="AP83" s="421"/>
      <c r="AQ83" s="421"/>
      <c r="AR83" s="424">
        <f t="shared" si="49"/>
        <v>1</v>
      </c>
      <c r="AS83" s="422">
        <f t="shared" si="50"/>
        <v>2.2584033613445378E-2</v>
      </c>
      <c r="AT83" s="425">
        <f t="shared" si="51"/>
        <v>1</v>
      </c>
      <c r="AU83" s="423">
        <f t="shared" si="52"/>
        <v>2.8021978021978023E-2</v>
      </c>
      <c r="AV83" s="419"/>
      <c r="AW83" s="421"/>
      <c r="AX83" s="419"/>
      <c r="AY83" s="419"/>
      <c r="AZ83" s="421"/>
      <c r="BA83" s="421"/>
      <c r="BB83" s="419"/>
      <c r="BC83" s="419"/>
      <c r="BD83" s="421"/>
      <c r="BE83" s="421"/>
      <c r="BF83" s="419"/>
      <c r="BG83" s="419"/>
      <c r="BH83" s="421"/>
      <c r="BI83" s="421"/>
      <c r="BJ83" s="419"/>
      <c r="BK83" s="419"/>
      <c r="BL83" s="421"/>
      <c r="BM83" s="421"/>
      <c r="BN83" s="419"/>
      <c r="BO83" s="419"/>
      <c r="BP83" s="421"/>
      <c r="BQ83" s="421"/>
      <c r="BR83" s="419"/>
      <c r="BS83" s="419"/>
      <c r="BT83" s="421"/>
      <c r="BU83" s="421"/>
      <c r="BV83" s="419"/>
      <c r="BW83" s="419"/>
      <c r="BX83" s="421"/>
      <c r="BY83" s="421"/>
      <c r="BZ83" s="419"/>
      <c r="CA83" s="419"/>
      <c r="CB83" s="421"/>
      <c r="CC83" s="421"/>
      <c r="CD83" s="419"/>
      <c r="CE83" s="419"/>
      <c r="CF83" s="421"/>
      <c r="CG83" s="421"/>
      <c r="CH83" s="419"/>
      <c r="CI83" s="419"/>
      <c r="CJ83" s="421"/>
      <c r="CK83" s="421"/>
      <c r="CL83" s="419"/>
      <c r="CM83" s="421"/>
      <c r="CN83" s="424">
        <f t="shared" si="53"/>
        <v>0</v>
      </c>
      <c r="CO83" s="424">
        <f t="shared" si="54"/>
        <v>0</v>
      </c>
      <c r="CP83" s="425">
        <f t="shared" si="55"/>
        <v>0</v>
      </c>
      <c r="CQ83" s="425">
        <f t="shared" si="56"/>
        <v>0</v>
      </c>
      <c r="CR83" s="419"/>
      <c r="CS83" s="419"/>
      <c r="CT83" s="421"/>
      <c r="CU83" s="421"/>
      <c r="CV83" s="419"/>
      <c r="CW83" s="419"/>
      <c r="CX83" s="421"/>
      <c r="CY83" s="421"/>
      <c r="CZ83" s="419"/>
      <c r="DA83" s="419"/>
      <c r="DB83" s="421"/>
      <c r="DC83" s="421"/>
      <c r="DD83" s="419"/>
      <c r="DE83" s="419"/>
      <c r="DF83" s="421"/>
      <c r="DG83" s="421"/>
      <c r="DH83" s="419"/>
      <c r="DI83" s="419"/>
      <c r="DJ83" s="421"/>
      <c r="DK83" s="421"/>
      <c r="DL83" s="419"/>
      <c r="DM83" s="419"/>
      <c r="DN83" s="421"/>
      <c r="DO83" s="421"/>
      <c r="DP83" s="419"/>
      <c r="DQ83" s="419"/>
      <c r="DR83" s="421"/>
      <c r="DS83" s="421"/>
      <c r="DT83" s="419"/>
      <c r="DU83" s="419"/>
      <c r="DV83" s="421"/>
      <c r="DW83" s="421"/>
      <c r="DX83" s="419"/>
      <c r="DY83" s="419"/>
      <c r="DZ83" s="421"/>
      <c r="EA83" s="421"/>
      <c r="EB83" s="419"/>
      <c r="EC83" s="419"/>
      <c r="ED83" s="421"/>
      <c r="EE83" s="421"/>
      <c r="EF83" s="419"/>
      <c r="EG83" s="421"/>
      <c r="EH83" s="424">
        <f t="shared" si="57"/>
        <v>0</v>
      </c>
      <c r="EI83" s="424">
        <f t="shared" si="58"/>
        <v>0</v>
      </c>
      <c r="EJ83" s="422">
        <f t="shared" si="59"/>
        <v>0</v>
      </c>
      <c r="EK83" s="425">
        <f t="shared" si="60"/>
        <v>0</v>
      </c>
      <c r="EL83" s="425">
        <f t="shared" si="61"/>
        <v>0</v>
      </c>
      <c r="EM83" s="423">
        <f t="shared" si="62"/>
        <v>0</v>
      </c>
      <c r="EN83" s="424">
        <f t="shared" si="63"/>
        <v>0</v>
      </c>
      <c r="EO83" s="425">
        <f t="shared" si="64"/>
        <v>0</v>
      </c>
      <c r="EP83" s="419"/>
      <c r="EQ83" s="421"/>
      <c r="ER83" s="419"/>
      <c r="ES83" s="421"/>
      <c r="ET83" s="419"/>
      <c r="EU83" s="421"/>
      <c r="EV83" s="419"/>
      <c r="EW83" s="421"/>
      <c r="EX83" s="419"/>
      <c r="EY83" s="421"/>
      <c r="EZ83" s="419"/>
      <c r="FA83" s="421"/>
      <c r="FB83" s="419"/>
      <c r="FC83" s="421"/>
      <c r="FD83" s="419"/>
      <c r="FE83" s="421"/>
      <c r="FF83" s="419"/>
      <c r="FG83" s="421"/>
      <c r="FH83" s="419"/>
      <c r="FI83" s="421"/>
      <c r="FJ83" s="424">
        <f t="shared" si="65"/>
        <v>0</v>
      </c>
      <c r="FK83" s="425">
        <f t="shared" si="66"/>
        <v>0</v>
      </c>
      <c r="FL83" s="419"/>
      <c r="FM83" s="421"/>
      <c r="FN83" s="424">
        <f t="shared" si="67"/>
        <v>1904</v>
      </c>
      <c r="FO83" s="425">
        <f t="shared" si="68"/>
        <v>1820</v>
      </c>
    </row>
    <row r="84" spans="1:171">
      <c r="A84" s="457" t="s">
        <v>156</v>
      </c>
      <c r="B84" s="46"/>
      <c r="C84" s="45"/>
      <c r="D84" s="44"/>
      <c r="E84" s="44"/>
      <c r="G84" s="106"/>
      <c r="I84" s="106"/>
      <c r="K84" s="106"/>
      <c r="L84" s="422">
        <f t="shared" si="47"/>
        <v>0</v>
      </c>
      <c r="M84" s="423">
        <f t="shared" si="48"/>
        <v>0</v>
      </c>
      <c r="R84" s="424">
        <f t="shared" si="45"/>
        <v>0</v>
      </c>
      <c r="S84" s="106"/>
      <c r="T84" s="106"/>
      <c r="U84" s="106"/>
      <c r="V84" s="106"/>
      <c r="W84" s="425">
        <f t="shared" si="46"/>
        <v>0</v>
      </c>
      <c r="X84" s="106"/>
      <c r="Z84" s="106"/>
      <c r="AA84" s="106"/>
      <c r="AB84" s="106"/>
      <c r="AD84" s="106"/>
      <c r="AE84" s="106"/>
      <c r="AF84" s="106"/>
      <c r="AH84" s="106"/>
      <c r="AI84" s="106"/>
      <c r="AJ84" s="106"/>
      <c r="AL84" s="106"/>
      <c r="AM84" s="106"/>
      <c r="AN84" s="106"/>
      <c r="AP84" s="106"/>
      <c r="AQ84" s="106"/>
      <c r="AR84" s="424">
        <f t="shared" si="49"/>
        <v>0</v>
      </c>
      <c r="AS84" s="422">
        <f t="shared" si="50"/>
        <v>0</v>
      </c>
      <c r="AT84" s="425">
        <f t="shared" si="51"/>
        <v>0</v>
      </c>
      <c r="AU84" s="423">
        <f t="shared" si="52"/>
        <v>0</v>
      </c>
      <c r="AW84" s="106"/>
      <c r="AX84" s="106"/>
      <c r="AZ84" s="106"/>
      <c r="BA84" s="106"/>
      <c r="BB84" s="106"/>
      <c r="BD84" s="106"/>
      <c r="BE84" s="106"/>
      <c r="BF84" s="106"/>
      <c r="BH84" s="106"/>
      <c r="BI84" s="106"/>
      <c r="BJ84" s="106"/>
      <c r="BL84" s="106"/>
      <c r="BM84" s="106"/>
      <c r="BN84" s="106"/>
      <c r="BP84" s="106"/>
      <c r="BQ84" s="106"/>
      <c r="BR84" s="106"/>
      <c r="BT84" s="106"/>
      <c r="BU84" s="106"/>
      <c r="BV84" s="106"/>
      <c r="BX84" s="106"/>
      <c r="BY84" s="106"/>
      <c r="BZ84" s="106"/>
      <c r="CB84" s="106"/>
      <c r="CC84" s="106"/>
      <c r="CD84" s="106"/>
      <c r="CF84" s="106"/>
      <c r="CG84" s="106"/>
      <c r="CH84" s="106"/>
      <c r="CJ84" s="106"/>
      <c r="CK84" s="106"/>
      <c r="CN84" s="424">
        <f t="shared" si="53"/>
        <v>0</v>
      </c>
      <c r="CO84" s="424">
        <f t="shared" si="54"/>
        <v>0</v>
      </c>
      <c r="CP84" s="425">
        <f t="shared" si="55"/>
        <v>0</v>
      </c>
      <c r="CQ84" s="425">
        <f t="shared" si="56"/>
        <v>0</v>
      </c>
      <c r="CR84" s="106"/>
      <c r="CS84" s="106"/>
      <c r="CT84" s="106"/>
      <c r="CV84" s="106"/>
      <c r="CW84" s="106"/>
      <c r="CX84" s="106"/>
      <c r="CZ84" s="106"/>
      <c r="DA84" s="106"/>
      <c r="DB84" s="106"/>
      <c r="DD84" s="106"/>
      <c r="DE84" s="106"/>
      <c r="DF84" s="106"/>
      <c r="DH84" s="106"/>
      <c r="DI84" s="106"/>
      <c r="DJ84" s="106"/>
      <c r="DL84" s="106"/>
      <c r="DM84" s="106"/>
      <c r="DN84" s="106"/>
      <c r="DP84" s="106"/>
      <c r="DQ84" s="106"/>
      <c r="DR84" s="106"/>
      <c r="DT84" s="106"/>
      <c r="DU84" s="106"/>
      <c r="DV84" s="106"/>
      <c r="DX84" s="106"/>
      <c r="DY84" s="106"/>
      <c r="DZ84" s="106"/>
      <c r="EB84" s="106"/>
      <c r="EC84" s="106"/>
      <c r="EE84" s="106"/>
      <c r="EH84" s="424">
        <f t="shared" si="57"/>
        <v>0</v>
      </c>
      <c r="EI84" s="424">
        <f t="shared" si="58"/>
        <v>0</v>
      </c>
      <c r="EJ84" s="422">
        <f t="shared" si="59"/>
        <v>0</v>
      </c>
      <c r="EK84" s="425">
        <f t="shared" si="60"/>
        <v>0</v>
      </c>
      <c r="EL84" s="425">
        <f t="shared" si="61"/>
        <v>0</v>
      </c>
      <c r="EM84" s="423">
        <f t="shared" si="62"/>
        <v>0</v>
      </c>
      <c r="EN84" s="424">
        <f t="shared" si="63"/>
        <v>0</v>
      </c>
      <c r="EO84" s="425">
        <f t="shared" si="64"/>
        <v>0</v>
      </c>
      <c r="EQ84" s="106"/>
      <c r="ES84" s="106"/>
      <c r="EU84" s="106"/>
      <c r="EW84" s="106"/>
      <c r="EY84" s="106"/>
      <c r="FA84" s="106"/>
      <c r="FC84" s="106"/>
      <c r="FE84" s="106"/>
      <c r="FG84" s="106"/>
      <c r="FJ84" s="424">
        <f t="shared" si="65"/>
        <v>0</v>
      </c>
      <c r="FK84" s="425">
        <f t="shared" si="66"/>
        <v>0</v>
      </c>
      <c r="FN84" s="424">
        <f t="shared" si="67"/>
        <v>0</v>
      </c>
      <c r="FO84" s="425">
        <f t="shared" si="68"/>
        <v>0</v>
      </c>
    </row>
    <row r="85" spans="1:171">
      <c r="A85" s="43" t="s">
        <v>156</v>
      </c>
      <c r="B85" s="42" t="s">
        <v>584</v>
      </c>
      <c r="C85" s="38"/>
      <c r="D85" s="40">
        <v>132693</v>
      </c>
      <c r="E85" s="118">
        <v>7</v>
      </c>
      <c r="F85" s="419">
        <v>1845</v>
      </c>
      <c r="G85" s="431">
        <v>1544</v>
      </c>
      <c r="H85" s="419">
        <v>3</v>
      </c>
      <c r="I85" s="432">
        <v>0</v>
      </c>
      <c r="J85" s="419">
        <v>2848</v>
      </c>
      <c r="K85" s="433">
        <v>2830</v>
      </c>
      <c r="L85" s="422">
        <f t="shared" si="47"/>
        <v>7.0845771144278604</v>
      </c>
      <c r="M85" s="423">
        <f t="shared" si="48"/>
        <v>0</v>
      </c>
      <c r="N85" s="419">
        <v>402</v>
      </c>
      <c r="O85" s="309">
        <f>0</f>
        <v>0</v>
      </c>
      <c r="P85" s="309">
        <f>0</f>
        <v>0</v>
      </c>
      <c r="Q85" s="309">
        <f>0</f>
        <v>0</v>
      </c>
      <c r="R85" s="424">
        <f t="shared" si="45"/>
        <v>0</v>
      </c>
      <c r="S85" s="434"/>
      <c r="T85" s="435"/>
      <c r="U85" s="435"/>
      <c r="V85" s="435"/>
      <c r="W85" s="425">
        <f t="shared" si="46"/>
        <v>0</v>
      </c>
      <c r="X85" s="419">
        <v>52</v>
      </c>
      <c r="Y85" s="419">
        <v>290</v>
      </c>
      <c r="Z85" s="436">
        <v>52</v>
      </c>
      <c r="AA85" s="437">
        <v>357</v>
      </c>
      <c r="AB85" s="419">
        <v>51</v>
      </c>
      <c r="AC85" s="419">
        <v>59</v>
      </c>
      <c r="AD85" s="436">
        <v>51</v>
      </c>
      <c r="AE85" s="436">
        <v>62</v>
      </c>
      <c r="AF85" s="419">
        <v>11</v>
      </c>
      <c r="AG85" s="419">
        <v>53</v>
      </c>
      <c r="AH85" s="436">
        <v>11</v>
      </c>
      <c r="AI85" s="436">
        <v>59</v>
      </c>
      <c r="AJ85" s="419"/>
      <c r="AK85" s="419"/>
      <c r="AL85" s="436"/>
      <c r="AM85" s="436"/>
      <c r="AN85" s="419"/>
      <c r="AO85" s="419"/>
      <c r="AP85" s="436"/>
      <c r="AQ85" s="436"/>
      <c r="AR85" s="424">
        <f t="shared" si="49"/>
        <v>3</v>
      </c>
      <c r="AS85" s="422">
        <f t="shared" si="50"/>
        <v>7.8854452726559429E-2</v>
      </c>
      <c r="AT85" s="425">
        <f t="shared" si="51"/>
        <v>3</v>
      </c>
      <c r="AU85" s="423">
        <f t="shared" si="52"/>
        <v>0</v>
      </c>
      <c r="AV85" s="419"/>
      <c r="AW85" s="421"/>
      <c r="AX85" s="419"/>
      <c r="AY85" s="419"/>
      <c r="AZ85" s="421"/>
      <c r="BA85" s="421"/>
      <c r="BB85" s="419"/>
      <c r="BC85" s="419"/>
      <c r="BD85" s="421"/>
      <c r="BE85" s="421"/>
      <c r="BF85" s="419"/>
      <c r="BG85" s="419"/>
      <c r="BH85" s="421"/>
      <c r="BI85" s="421"/>
      <c r="BJ85" s="419"/>
      <c r="BK85" s="419"/>
      <c r="BL85" s="421"/>
      <c r="BM85" s="421"/>
      <c r="BN85" s="419"/>
      <c r="BO85" s="419"/>
      <c r="BP85" s="421"/>
      <c r="BQ85" s="421"/>
      <c r="BR85" s="419"/>
      <c r="BS85" s="419"/>
      <c r="BT85" s="421"/>
      <c r="BU85" s="421"/>
      <c r="BV85" s="419"/>
      <c r="BW85" s="419"/>
      <c r="BX85" s="421"/>
      <c r="BY85" s="421"/>
      <c r="BZ85" s="419"/>
      <c r="CA85" s="419"/>
      <c r="CB85" s="421"/>
      <c r="CC85" s="421"/>
      <c r="CD85" s="419"/>
      <c r="CE85" s="419"/>
      <c r="CF85" s="421"/>
      <c r="CG85" s="421"/>
      <c r="CH85" s="419"/>
      <c r="CI85" s="419"/>
      <c r="CJ85" s="421"/>
      <c r="CK85" s="421"/>
      <c r="CL85" s="419"/>
      <c r="CM85" s="421"/>
      <c r="CN85" s="424">
        <f t="shared" si="53"/>
        <v>0</v>
      </c>
      <c r="CO85" s="424">
        <f t="shared" si="54"/>
        <v>0</v>
      </c>
      <c r="CP85" s="425">
        <f t="shared" si="55"/>
        <v>0</v>
      </c>
      <c r="CQ85" s="425">
        <f t="shared" si="56"/>
        <v>0</v>
      </c>
      <c r="CR85" s="419"/>
      <c r="CS85" s="419"/>
      <c r="CT85" s="421"/>
      <c r="CU85" s="421"/>
      <c r="CV85" s="419"/>
      <c r="CW85" s="419"/>
      <c r="CX85" s="421"/>
      <c r="CY85" s="421"/>
      <c r="CZ85" s="419"/>
      <c r="DA85" s="419"/>
      <c r="DB85" s="421"/>
      <c r="DC85" s="421"/>
      <c r="DD85" s="419"/>
      <c r="DE85" s="419"/>
      <c r="DF85" s="421"/>
      <c r="DG85" s="421"/>
      <c r="DH85" s="419"/>
      <c r="DI85" s="419"/>
      <c r="DJ85" s="421"/>
      <c r="DK85" s="421"/>
      <c r="DL85" s="419"/>
      <c r="DM85" s="419"/>
      <c r="DN85" s="421"/>
      <c r="DO85" s="421"/>
      <c r="DP85" s="419"/>
      <c r="DQ85" s="419"/>
      <c r="DR85" s="421"/>
      <c r="DS85" s="421"/>
      <c r="DT85" s="419"/>
      <c r="DU85" s="419"/>
      <c r="DV85" s="421"/>
      <c r="DW85" s="421"/>
      <c r="DX85" s="419"/>
      <c r="DY85" s="419"/>
      <c r="DZ85" s="421"/>
      <c r="EA85" s="421"/>
      <c r="EB85" s="419"/>
      <c r="EC85" s="419"/>
      <c r="ED85" s="421"/>
      <c r="EE85" s="421"/>
      <c r="EF85" s="419"/>
      <c r="EG85" s="421"/>
      <c r="EH85" s="424">
        <f t="shared" si="57"/>
        <v>0</v>
      </c>
      <c r="EI85" s="424">
        <f t="shared" si="58"/>
        <v>0</v>
      </c>
      <c r="EJ85" s="422">
        <f t="shared" si="59"/>
        <v>0</v>
      </c>
      <c r="EK85" s="425">
        <f t="shared" si="60"/>
        <v>0</v>
      </c>
      <c r="EL85" s="425">
        <f t="shared" si="61"/>
        <v>0</v>
      </c>
      <c r="EM85" s="423">
        <f t="shared" si="62"/>
        <v>0</v>
      </c>
      <c r="EN85" s="424">
        <f t="shared" si="63"/>
        <v>0</v>
      </c>
      <c r="EO85" s="425">
        <f t="shared" si="64"/>
        <v>0</v>
      </c>
      <c r="EP85" s="419"/>
      <c r="EQ85" s="421"/>
      <c r="ER85" s="419"/>
      <c r="ES85" s="421"/>
      <c r="ET85" s="419"/>
      <c r="EU85" s="421"/>
      <c r="EV85" s="419"/>
      <c r="EW85" s="421"/>
      <c r="EX85" s="419"/>
      <c r="EY85" s="421"/>
      <c r="EZ85" s="419"/>
      <c r="FA85" s="421"/>
      <c r="FB85" s="419"/>
      <c r="FC85" s="421"/>
      <c r="FD85" s="419"/>
      <c r="FE85" s="421"/>
      <c r="FF85" s="419"/>
      <c r="FG85" s="421"/>
      <c r="FH85" s="419"/>
      <c r="FI85" s="421"/>
      <c r="FJ85" s="424">
        <f t="shared" si="65"/>
        <v>0</v>
      </c>
      <c r="FK85" s="425">
        <f t="shared" si="66"/>
        <v>0</v>
      </c>
      <c r="FL85" s="419"/>
      <c r="FM85" s="421"/>
      <c r="FN85" s="424">
        <f t="shared" si="67"/>
        <v>5098</v>
      </c>
      <c r="FO85" s="425">
        <f t="shared" si="68"/>
        <v>4374</v>
      </c>
    </row>
    <row r="86" spans="1:171">
      <c r="A86" s="43" t="s">
        <v>156</v>
      </c>
      <c r="B86" s="42" t="s">
        <v>580</v>
      </c>
      <c r="C86" s="39"/>
      <c r="D86" s="40">
        <v>132709</v>
      </c>
      <c r="E86" s="118">
        <v>7</v>
      </c>
      <c r="F86" s="419">
        <v>6178</v>
      </c>
      <c r="G86" s="431">
        <v>5808</v>
      </c>
      <c r="H86" s="419">
        <v>0</v>
      </c>
      <c r="I86" s="438">
        <v>0</v>
      </c>
      <c r="J86" s="419">
        <v>6436</v>
      </c>
      <c r="K86" s="433">
        <v>6447</v>
      </c>
      <c r="L86" s="422">
        <f t="shared" si="47"/>
        <v>9.7811550151975677</v>
      </c>
      <c r="M86" s="423">
        <f t="shared" si="48"/>
        <v>0</v>
      </c>
      <c r="N86" s="419">
        <v>658</v>
      </c>
      <c r="O86" s="309">
        <f>0</f>
        <v>0</v>
      </c>
      <c r="P86" s="309">
        <f>0</f>
        <v>0</v>
      </c>
      <c r="Q86" s="309">
        <f>0</f>
        <v>0</v>
      </c>
      <c r="R86" s="424">
        <f t="shared" si="45"/>
        <v>0</v>
      </c>
      <c r="S86" s="434"/>
      <c r="T86" s="435"/>
      <c r="U86" s="435"/>
      <c r="V86" s="435"/>
      <c r="W86" s="425">
        <f t="shared" si="46"/>
        <v>0</v>
      </c>
      <c r="X86" s="419">
        <v>52</v>
      </c>
      <c r="Y86" s="419">
        <v>296</v>
      </c>
      <c r="Z86" s="436">
        <v>52</v>
      </c>
      <c r="AA86" s="436">
        <v>343</v>
      </c>
      <c r="AB86" s="419">
        <v>51</v>
      </c>
      <c r="AC86" s="419">
        <v>108</v>
      </c>
      <c r="AD86" s="436">
        <v>11</v>
      </c>
      <c r="AE86" s="436">
        <v>121</v>
      </c>
      <c r="AF86" s="419">
        <v>11</v>
      </c>
      <c r="AG86" s="419">
        <v>103</v>
      </c>
      <c r="AH86" s="436">
        <v>51</v>
      </c>
      <c r="AI86" s="436">
        <v>102</v>
      </c>
      <c r="AJ86" s="419">
        <v>13</v>
      </c>
      <c r="AK86" s="419">
        <v>51</v>
      </c>
      <c r="AL86" s="436">
        <v>13</v>
      </c>
      <c r="AM86" s="436">
        <v>52</v>
      </c>
      <c r="AN86" s="419">
        <v>3</v>
      </c>
      <c r="AO86" s="419">
        <v>24</v>
      </c>
      <c r="AP86" s="436">
        <v>3</v>
      </c>
      <c r="AQ86" s="436">
        <v>22</v>
      </c>
      <c r="AR86" s="424">
        <f t="shared" si="49"/>
        <v>5</v>
      </c>
      <c r="AS86" s="422">
        <f t="shared" si="50"/>
        <v>4.9578059071729956E-2</v>
      </c>
      <c r="AT86" s="425">
        <f t="shared" si="51"/>
        <v>5</v>
      </c>
      <c r="AU86" s="423">
        <f t="shared" si="52"/>
        <v>0</v>
      </c>
      <c r="AV86" s="419"/>
      <c r="AW86" s="421"/>
      <c r="AX86" s="419"/>
      <c r="AY86" s="419"/>
      <c r="AZ86" s="421"/>
      <c r="BA86" s="421"/>
      <c r="BB86" s="419"/>
      <c r="BC86" s="419"/>
      <c r="BD86" s="421"/>
      <c r="BE86" s="421"/>
      <c r="BF86" s="419"/>
      <c r="BG86" s="419"/>
      <c r="BH86" s="421"/>
      <c r="BI86" s="421"/>
      <c r="BJ86" s="419"/>
      <c r="BK86" s="419"/>
      <c r="BL86" s="421"/>
      <c r="BM86" s="421"/>
      <c r="BN86" s="419"/>
      <c r="BO86" s="419"/>
      <c r="BP86" s="421"/>
      <c r="BQ86" s="421"/>
      <c r="BR86" s="419"/>
      <c r="BS86" s="419"/>
      <c r="BT86" s="421"/>
      <c r="BU86" s="421"/>
      <c r="BV86" s="419"/>
      <c r="BW86" s="419"/>
      <c r="BX86" s="421"/>
      <c r="BY86" s="421"/>
      <c r="BZ86" s="419"/>
      <c r="CA86" s="419"/>
      <c r="CB86" s="421"/>
      <c r="CC86" s="421"/>
      <c r="CD86" s="419"/>
      <c r="CE86" s="419"/>
      <c r="CF86" s="421"/>
      <c r="CG86" s="421"/>
      <c r="CH86" s="419"/>
      <c r="CI86" s="419"/>
      <c r="CJ86" s="421"/>
      <c r="CK86" s="421"/>
      <c r="CL86" s="419"/>
      <c r="CM86" s="421"/>
      <c r="CN86" s="424">
        <f t="shared" si="53"/>
        <v>0</v>
      </c>
      <c r="CO86" s="424">
        <f t="shared" si="54"/>
        <v>0</v>
      </c>
      <c r="CP86" s="425">
        <f t="shared" si="55"/>
        <v>0</v>
      </c>
      <c r="CQ86" s="425">
        <f t="shared" si="56"/>
        <v>0</v>
      </c>
      <c r="CR86" s="419"/>
      <c r="CS86" s="419"/>
      <c r="CT86" s="421"/>
      <c r="CU86" s="421"/>
      <c r="CV86" s="419"/>
      <c r="CW86" s="419"/>
      <c r="CX86" s="421"/>
      <c r="CY86" s="421"/>
      <c r="CZ86" s="419"/>
      <c r="DA86" s="419"/>
      <c r="DB86" s="421"/>
      <c r="DC86" s="421"/>
      <c r="DD86" s="419"/>
      <c r="DE86" s="419"/>
      <c r="DF86" s="421"/>
      <c r="DG86" s="421"/>
      <c r="DH86" s="419"/>
      <c r="DI86" s="419"/>
      <c r="DJ86" s="421"/>
      <c r="DK86" s="421"/>
      <c r="DL86" s="419"/>
      <c r="DM86" s="419"/>
      <c r="DN86" s="421"/>
      <c r="DO86" s="421"/>
      <c r="DP86" s="419"/>
      <c r="DQ86" s="419"/>
      <c r="DR86" s="421"/>
      <c r="DS86" s="421"/>
      <c r="DT86" s="419"/>
      <c r="DU86" s="419"/>
      <c r="DV86" s="421"/>
      <c r="DW86" s="421"/>
      <c r="DX86" s="419"/>
      <c r="DY86" s="419"/>
      <c r="DZ86" s="421"/>
      <c r="EA86" s="421"/>
      <c r="EB86" s="419"/>
      <c r="EC86" s="419"/>
      <c r="ED86" s="421"/>
      <c r="EE86" s="421"/>
      <c r="EF86" s="419"/>
      <c r="EG86" s="421"/>
      <c r="EH86" s="424">
        <f t="shared" si="57"/>
        <v>0</v>
      </c>
      <c r="EI86" s="424">
        <f t="shared" si="58"/>
        <v>0</v>
      </c>
      <c r="EJ86" s="422">
        <f t="shared" si="59"/>
        <v>0</v>
      </c>
      <c r="EK86" s="425">
        <f t="shared" si="60"/>
        <v>0</v>
      </c>
      <c r="EL86" s="425">
        <f t="shared" si="61"/>
        <v>0</v>
      </c>
      <c r="EM86" s="423">
        <f t="shared" si="62"/>
        <v>0</v>
      </c>
      <c r="EN86" s="424">
        <f t="shared" si="63"/>
        <v>0</v>
      </c>
      <c r="EO86" s="425">
        <f t="shared" si="64"/>
        <v>0</v>
      </c>
      <c r="EP86" s="419"/>
      <c r="EQ86" s="421"/>
      <c r="ER86" s="419"/>
      <c r="ES86" s="421"/>
      <c r="ET86" s="419"/>
      <c r="EU86" s="421"/>
      <c r="EV86" s="419"/>
      <c r="EW86" s="421"/>
      <c r="EX86" s="419"/>
      <c r="EY86" s="421"/>
      <c r="EZ86" s="419"/>
      <c r="FA86" s="421"/>
      <c r="FB86" s="419"/>
      <c r="FC86" s="421"/>
      <c r="FD86" s="419"/>
      <c r="FE86" s="421"/>
      <c r="FF86" s="419"/>
      <c r="FG86" s="421"/>
      <c r="FH86" s="419"/>
      <c r="FI86" s="421"/>
      <c r="FJ86" s="424">
        <f t="shared" si="65"/>
        <v>0</v>
      </c>
      <c r="FK86" s="425">
        <f t="shared" si="66"/>
        <v>0</v>
      </c>
      <c r="FL86" s="419"/>
      <c r="FM86" s="421"/>
      <c r="FN86" s="424">
        <f t="shared" si="67"/>
        <v>13272</v>
      </c>
      <c r="FO86" s="425">
        <f t="shared" si="68"/>
        <v>12255</v>
      </c>
    </row>
    <row r="87" spans="1:171">
      <c r="A87" s="43" t="s">
        <v>156</v>
      </c>
      <c r="B87" s="42" t="s">
        <v>582</v>
      </c>
      <c r="C87" s="38"/>
      <c r="D87" s="40">
        <v>132851</v>
      </c>
      <c r="E87" s="118">
        <v>7</v>
      </c>
      <c r="F87" s="419">
        <v>1107</v>
      </c>
      <c r="G87" s="439">
        <v>984</v>
      </c>
      <c r="H87" s="419">
        <v>0</v>
      </c>
      <c r="I87" s="438">
        <v>0</v>
      </c>
      <c r="J87" s="419">
        <v>1208</v>
      </c>
      <c r="K87" s="433">
        <v>1200</v>
      </c>
      <c r="L87" s="422">
        <f t="shared" si="47"/>
        <v>5.3928571428571432</v>
      </c>
      <c r="M87" s="423">
        <f t="shared" si="48"/>
        <v>0</v>
      </c>
      <c r="N87" s="419">
        <v>224</v>
      </c>
      <c r="O87" s="309">
        <f>0</f>
        <v>0</v>
      </c>
      <c r="P87" s="309">
        <f>0</f>
        <v>0</v>
      </c>
      <c r="Q87" s="309">
        <f>0</f>
        <v>0</v>
      </c>
      <c r="R87" s="424">
        <f t="shared" si="45"/>
        <v>0</v>
      </c>
      <c r="S87" s="434"/>
      <c r="T87" s="435"/>
      <c r="U87" s="435"/>
      <c r="V87" s="435"/>
      <c r="W87" s="425">
        <f t="shared" si="46"/>
        <v>0</v>
      </c>
      <c r="X87" s="419">
        <v>52</v>
      </c>
      <c r="Y87" s="419">
        <v>156</v>
      </c>
      <c r="Z87" s="436">
        <v>52</v>
      </c>
      <c r="AA87" s="436">
        <v>156</v>
      </c>
      <c r="AB87" s="419">
        <v>51</v>
      </c>
      <c r="AC87" s="419">
        <v>52</v>
      </c>
      <c r="AD87" s="436">
        <v>51</v>
      </c>
      <c r="AE87" s="436">
        <v>56</v>
      </c>
      <c r="AF87" s="419">
        <v>13</v>
      </c>
      <c r="AG87" s="419">
        <v>16</v>
      </c>
      <c r="AH87" s="436">
        <v>13</v>
      </c>
      <c r="AI87" s="436">
        <v>14</v>
      </c>
      <c r="AJ87" s="419"/>
      <c r="AK87" s="419"/>
      <c r="AL87" s="436"/>
      <c r="AM87" s="436"/>
      <c r="AN87" s="419"/>
      <c r="AO87" s="419"/>
      <c r="AP87" s="436"/>
      <c r="AQ87" s="436"/>
      <c r="AR87" s="424">
        <f t="shared" si="49"/>
        <v>3</v>
      </c>
      <c r="AS87" s="422">
        <f t="shared" si="50"/>
        <v>8.8223710122095317E-2</v>
      </c>
      <c r="AT87" s="425">
        <f t="shared" si="51"/>
        <v>3</v>
      </c>
      <c r="AU87" s="423">
        <f t="shared" si="52"/>
        <v>0</v>
      </c>
      <c r="AV87" s="419"/>
      <c r="AW87" s="421"/>
      <c r="AX87" s="419"/>
      <c r="AY87" s="419"/>
      <c r="AZ87" s="421"/>
      <c r="BA87" s="421"/>
      <c r="BB87" s="419"/>
      <c r="BC87" s="419"/>
      <c r="BD87" s="421"/>
      <c r="BE87" s="421"/>
      <c r="BF87" s="419"/>
      <c r="BG87" s="419"/>
      <c r="BH87" s="421"/>
      <c r="BI87" s="421"/>
      <c r="BJ87" s="419"/>
      <c r="BK87" s="419"/>
      <c r="BL87" s="421"/>
      <c r="BM87" s="421"/>
      <c r="BN87" s="419"/>
      <c r="BO87" s="419"/>
      <c r="BP87" s="421"/>
      <c r="BQ87" s="421"/>
      <c r="BR87" s="419"/>
      <c r="BS87" s="419"/>
      <c r="BT87" s="421"/>
      <c r="BU87" s="421"/>
      <c r="BV87" s="419"/>
      <c r="BW87" s="419"/>
      <c r="BX87" s="421"/>
      <c r="BY87" s="421"/>
      <c r="BZ87" s="419"/>
      <c r="CA87" s="419"/>
      <c r="CB87" s="421"/>
      <c r="CC87" s="421"/>
      <c r="CD87" s="419"/>
      <c r="CE87" s="419"/>
      <c r="CF87" s="421"/>
      <c r="CG87" s="421"/>
      <c r="CH87" s="419"/>
      <c r="CI87" s="419"/>
      <c r="CJ87" s="421"/>
      <c r="CK87" s="421"/>
      <c r="CL87" s="419"/>
      <c r="CM87" s="421"/>
      <c r="CN87" s="424">
        <f t="shared" si="53"/>
        <v>0</v>
      </c>
      <c r="CO87" s="424">
        <f t="shared" si="54"/>
        <v>0</v>
      </c>
      <c r="CP87" s="425">
        <f t="shared" si="55"/>
        <v>0</v>
      </c>
      <c r="CQ87" s="425">
        <f t="shared" si="56"/>
        <v>0</v>
      </c>
      <c r="CR87" s="419"/>
      <c r="CS87" s="419"/>
      <c r="CT87" s="421"/>
      <c r="CU87" s="421"/>
      <c r="CV87" s="419"/>
      <c r="CW87" s="419"/>
      <c r="CX87" s="421"/>
      <c r="CY87" s="421"/>
      <c r="CZ87" s="419"/>
      <c r="DA87" s="419"/>
      <c r="DB87" s="421"/>
      <c r="DC87" s="421"/>
      <c r="DD87" s="419"/>
      <c r="DE87" s="419"/>
      <c r="DF87" s="421"/>
      <c r="DG87" s="421"/>
      <c r="DH87" s="419"/>
      <c r="DI87" s="419"/>
      <c r="DJ87" s="421"/>
      <c r="DK87" s="421"/>
      <c r="DL87" s="419"/>
      <c r="DM87" s="419"/>
      <c r="DN87" s="421"/>
      <c r="DO87" s="421"/>
      <c r="DP87" s="419"/>
      <c r="DQ87" s="419"/>
      <c r="DR87" s="421"/>
      <c r="DS87" s="421"/>
      <c r="DT87" s="419"/>
      <c r="DU87" s="419"/>
      <c r="DV87" s="421"/>
      <c r="DW87" s="421"/>
      <c r="DX87" s="419"/>
      <c r="DY87" s="419"/>
      <c r="DZ87" s="421"/>
      <c r="EA87" s="421"/>
      <c r="EB87" s="419"/>
      <c r="EC87" s="419"/>
      <c r="ED87" s="421"/>
      <c r="EE87" s="421"/>
      <c r="EF87" s="419"/>
      <c r="EG87" s="421"/>
      <c r="EH87" s="424">
        <f t="shared" si="57"/>
        <v>0</v>
      </c>
      <c r="EI87" s="424">
        <f t="shared" si="58"/>
        <v>0</v>
      </c>
      <c r="EJ87" s="422">
        <f t="shared" si="59"/>
        <v>0</v>
      </c>
      <c r="EK87" s="425">
        <f t="shared" si="60"/>
        <v>0</v>
      </c>
      <c r="EL87" s="425">
        <f t="shared" si="61"/>
        <v>0</v>
      </c>
      <c r="EM87" s="423">
        <f t="shared" si="62"/>
        <v>0</v>
      </c>
      <c r="EN87" s="424">
        <f t="shared" si="63"/>
        <v>0</v>
      </c>
      <c r="EO87" s="425">
        <f t="shared" si="64"/>
        <v>0</v>
      </c>
      <c r="EP87" s="419"/>
      <c r="EQ87" s="421"/>
      <c r="ER87" s="419"/>
      <c r="ES87" s="421"/>
      <c r="ET87" s="419"/>
      <c r="EU87" s="421"/>
      <c r="EV87" s="419"/>
      <c r="EW87" s="421"/>
      <c r="EX87" s="419"/>
      <c r="EY87" s="421"/>
      <c r="EZ87" s="419"/>
      <c r="FA87" s="421"/>
      <c r="FB87" s="419"/>
      <c r="FC87" s="421"/>
      <c r="FD87" s="419"/>
      <c r="FE87" s="421"/>
      <c r="FF87" s="419"/>
      <c r="FG87" s="421"/>
      <c r="FH87" s="419"/>
      <c r="FI87" s="421"/>
      <c r="FJ87" s="424">
        <f t="shared" si="65"/>
        <v>0</v>
      </c>
      <c r="FK87" s="425">
        <f t="shared" si="66"/>
        <v>0</v>
      </c>
      <c r="FL87" s="419"/>
      <c r="FM87" s="421"/>
      <c r="FN87" s="424">
        <f t="shared" si="67"/>
        <v>2539</v>
      </c>
      <c r="FO87" s="425">
        <f t="shared" si="68"/>
        <v>2184</v>
      </c>
    </row>
    <row r="88" spans="1:171">
      <c r="A88" s="43" t="s">
        <v>156</v>
      </c>
      <c r="B88" s="42" t="s">
        <v>581</v>
      </c>
      <c r="C88" s="41"/>
      <c r="D88" s="40">
        <v>133021</v>
      </c>
      <c r="E88" s="118">
        <v>7</v>
      </c>
      <c r="F88" s="419">
        <v>184</v>
      </c>
      <c r="G88" s="440">
        <v>128</v>
      </c>
      <c r="H88" s="419">
        <v>11</v>
      </c>
      <c r="I88" s="441">
        <v>7</v>
      </c>
      <c r="J88" s="419">
        <v>343</v>
      </c>
      <c r="K88" s="438">
        <v>329</v>
      </c>
      <c r="L88" s="422">
        <f t="shared" si="47"/>
        <v>4.9710144927536231</v>
      </c>
      <c r="M88" s="423">
        <f t="shared" si="48"/>
        <v>0</v>
      </c>
      <c r="N88" s="419">
        <v>69</v>
      </c>
      <c r="O88" s="309">
        <f>0</f>
        <v>0</v>
      </c>
      <c r="P88" s="309">
        <f>0</f>
        <v>0</v>
      </c>
      <c r="Q88" s="309">
        <f>0</f>
        <v>0</v>
      </c>
      <c r="R88" s="424">
        <f t="shared" si="45"/>
        <v>0</v>
      </c>
      <c r="S88" s="434"/>
      <c r="T88" s="435"/>
      <c r="U88" s="435"/>
      <c r="V88" s="435"/>
      <c r="W88" s="425">
        <f t="shared" si="46"/>
        <v>0</v>
      </c>
      <c r="X88" s="419">
        <v>51</v>
      </c>
      <c r="Y88" s="419">
        <v>28</v>
      </c>
      <c r="Z88" s="436">
        <v>52</v>
      </c>
      <c r="AA88" s="436">
        <v>28</v>
      </c>
      <c r="AB88" s="419">
        <v>52</v>
      </c>
      <c r="AC88" s="419">
        <v>25</v>
      </c>
      <c r="AD88" s="436">
        <v>51</v>
      </c>
      <c r="AE88" s="436">
        <v>27</v>
      </c>
      <c r="AF88" s="419">
        <v>13</v>
      </c>
      <c r="AG88" s="419">
        <v>9</v>
      </c>
      <c r="AH88" s="436">
        <v>13</v>
      </c>
      <c r="AI88" s="442">
        <v>20</v>
      </c>
      <c r="AJ88" s="419"/>
      <c r="AK88" s="419"/>
      <c r="AL88" s="436"/>
      <c r="AM88" s="436"/>
      <c r="AN88" s="419"/>
      <c r="AO88" s="419"/>
      <c r="AP88" s="436"/>
      <c r="AQ88" s="436"/>
      <c r="AR88" s="424">
        <f t="shared" si="49"/>
        <v>3</v>
      </c>
      <c r="AS88" s="422">
        <f t="shared" si="50"/>
        <v>0.11367380560131796</v>
      </c>
      <c r="AT88" s="425">
        <f t="shared" si="51"/>
        <v>3</v>
      </c>
      <c r="AU88" s="423">
        <f t="shared" si="52"/>
        <v>0</v>
      </c>
      <c r="AV88" s="419"/>
      <c r="AW88" s="421"/>
      <c r="AX88" s="419"/>
      <c r="AY88" s="419"/>
      <c r="AZ88" s="421"/>
      <c r="BA88" s="421"/>
      <c r="BB88" s="419"/>
      <c r="BC88" s="419"/>
      <c r="BD88" s="421"/>
      <c r="BE88" s="421"/>
      <c r="BF88" s="419"/>
      <c r="BG88" s="419"/>
      <c r="BH88" s="421"/>
      <c r="BI88" s="421"/>
      <c r="BJ88" s="419"/>
      <c r="BK88" s="419"/>
      <c r="BL88" s="421"/>
      <c r="BM88" s="421"/>
      <c r="BN88" s="419"/>
      <c r="BO88" s="419"/>
      <c r="BP88" s="421"/>
      <c r="BQ88" s="421"/>
      <c r="BR88" s="419"/>
      <c r="BS88" s="419"/>
      <c r="BT88" s="421"/>
      <c r="BU88" s="421"/>
      <c r="BV88" s="419"/>
      <c r="BW88" s="419"/>
      <c r="BX88" s="421"/>
      <c r="BY88" s="421"/>
      <c r="BZ88" s="419"/>
      <c r="CA88" s="419"/>
      <c r="CB88" s="421"/>
      <c r="CC88" s="421"/>
      <c r="CD88" s="419"/>
      <c r="CE88" s="419"/>
      <c r="CF88" s="421"/>
      <c r="CG88" s="421"/>
      <c r="CH88" s="419"/>
      <c r="CI88" s="419"/>
      <c r="CJ88" s="421"/>
      <c r="CK88" s="421"/>
      <c r="CL88" s="419"/>
      <c r="CM88" s="421"/>
      <c r="CN88" s="424">
        <f t="shared" si="53"/>
        <v>0</v>
      </c>
      <c r="CO88" s="424">
        <f t="shared" si="54"/>
        <v>0</v>
      </c>
      <c r="CP88" s="425">
        <f t="shared" si="55"/>
        <v>0</v>
      </c>
      <c r="CQ88" s="425">
        <f t="shared" si="56"/>
        <v>0</v>
      </c>
      <c r="CR88" s="419"/>
      <c r="CS88" s="419"/>
      <c r="CT88" s="421"/>
      <c r="CU88" s="421"/>
      <c r="CV88" s="419"/>
      <c r="CW88" s="419"/>
      <c r="CX88" s="421"/>
      <c r="CY88" s="421"/>
      <c r="CZ88" s="419"/>
      <c r="DA88" s="419"/>
      <c r="DB88" s="421"/>
      <c r="DC88" s="421"/>
      <c r="DD88" s="419"/>
      <c r="DE88" s="419"/>
      <c r="DF88" s="421"/>
      <c r="DG88" s="421"/>
      <c r="DH88" s="419"/>
      <c r="DI88" s="419"/>
      <c r="DJ88" s="421"/>
      <c r="DK88" s="421"/>
      <c r="DL88" s="419"/>
      <c r="DM88" s="419"/>
      <c r="DN88" s="421"/>
      <c r="DO88" s="421"/>
      <c r="DP88" s="419"/>
      <c r="DQ88" s="419"/>
      <c r="DR88" s="421"/>
      <c r="DS88" s="421"/>
      <c r="DT88" s="419"/>
      <c r="DU88" s="419"/>
      <c r="DV88" s="421"/>
      <c r="DW88" s="421"/>
      <c r="DX88" s="419"/>
      <c r="DY88" s="419"/>
      <c r="DZ88" s="421"/>
      <c r="EA88" s="421"/>
      <c r="EB88" s="419"/>
      <c r="EC88" s="419"/>
      <c r="ED88" s="421"/>
      <c r="EE88" s="421"/>
      <c r="EF88" s="419"/>
      <c r="EG88" s="421"/>
      <c r="EH88" s="424">
        <f t="shared" si="57"/>
        <v>0</v>
      </c>
      <c r="EI88" s="424">
        <f t="shared" si="58"/>
        <v>0</v>
      </c>
      <c r="EJ88" s="422">
        <f t="shared" si="59"/>
        <v>0</v>
      </c>
      <c r="EK88" s="425">
        <f t="shared" si="60"/>
        <v>0</v>
      </c>
      <c r="EL88" s="425">
        <f t="shared" si="61"/>
        <v>0</v>
      </c>
      <c r="EM88" s="423">
        <f t="shared" si="62"/>
        <v>0</v>
      </c>
      <c r="EN88" s="424">
        <f t="shared" si="63"/>
        <v>0</v>
      </c>
      <c r="EO88" s="425">
        <f t="shared" si="64"/>
        <v>0</v>
      </c>
      <c r="EP88" s="419"/>
      <c r="EQ88" s="421"/>
      <c r="ER88" s="419"/>
      <c r="ES88" s="421"/>
      <c r="ET88" s="419"/>
      <c r="EU88" s="421"/>
      <c r="EV88" s="419"/>
      <c r="EW88" s="421"/>
      <c r="EX88" s="419"/>
      <c r="EY88" s="421"/>
      <c r="EZ88" s="419"/>
      <c r="FA88" s="421"/>
      <c r="FB88" s="419"/>
      <c r="FC88" s="421"/>
      <c r="FD88" s="419"/>
      <c r="FE88" s="421"/>
      <c r="FF88" s="419"/>
      <c r="FG88" s="421"/>
      <c r="FH88" s="419"/>
      <c r="FI88" s="421"/>
      <c r="FJ88" s="424">
        <f t="shared" si="65"/>
        <v>0</v>
      </c>
      <c r="FK88" s="425">
        <f t="shared" si="66"/>
        <v>0</v>
      </c>
      <c r="FL88" s="419"/>
      <c r="FM88" s="421"/>
      <c r="FN88" s="424">
        <f t="shared" si="67"/>
        <v>607</v>
      </c>
      <c r="FO88" s="425">
        <f t="shared" si="68"/>
        <v>464</v>
      </c>
    </row>
    <row r="89" spans="1:171">
      <c r="A89" s="43" t="s">
        <v>156</v>
      </c>
      <c r="B89" s="42" t="s">
        <v>583</v>
      </c>
      <c r="C89" s="41"/>
      <c r="D89" s="40">
        <v>133386</v>
      </c>
      <c r="E89" s="118">
        <v>7</v>
      </c>
      <c r="F89" s="419">
        <v>962</v>
      </c>
      <c r="G89" s="439">
        <v>873</v>
      </c>
      <c r="H89" s="419">
        <v>30</v>
      </c>
      <c r="I89" s="438">
        <v>34</v>
      </c>
      <c r="J89" s="419">
        <v>2365</v>
      </c>
      <c r="K89" s="433">
        <v>2410</v>
      </c>
      <c r="L89" s="422">
        <f t="shared" si="47"/>
        <v>4.8762886597938149</v>
      </c>
      <c r="M89" s="423">
        <f t="shared" si="48"/>
        <v>0</v>
      </c>
      <c r="N89" s="419">
        <v>485</v>
      </c>
      <c r="O89" s="309">
        <f>0</f>
        <v>0</v>
      </c>
      <c r="P89" s="309">
        <f>0</f>
        <v>0</v>
      </c>
      <c r="Q89" s="309">
        <f>0</f>
        <v>0</v>
      </c>
      <c r="R89" s="424">
        <f t="shared" si="45"/>
        <v>0</v>
      </c>
      <c r="S89" s="434"/>
      <c r="T89" s="435"/>
      <c r="U89" s="435"/>
      <c r="V89" s="435"/>
      <c r="W89" s="425">
        <f t="shared" si="46"/>
        <v>0</v>
      </c>
      <c r="X89" s="419">
        <v>52</v>
      </c>
      <c r="Y89" s="419">
        <v>272</v>
      </c>
      <c r="Z89" s="436">
        <v>52</v>
      </c>
      <c r="AA89" s="436">
        <v>267</v>
      </c>
      <c r="AB89" s="419">
        <v>51</v>
      </c>
      <c r="AC89" s="419">
        <v>102</v>
      </c>
      <c r="AD89" s="436">
        <v>51</v>
      </c>
      <c r="AE89" s="437">
        <v>129</v>
      </c>
      <c r="AF89" s="419">
        <v>13</v>
      </c>
      <c r="AG89" s="419">
        <v>38</v>
      </c>
      <c r="AH89" s="436">
        <v>13</v>
      </c>
      <c r="AI89" s="443">
        <v>66</v>
      </c>
      <c r="AJ89" s="419">
        <v>15</v>
      </c>
      <c r="AK89" s="419">
        <v>33</v>
      </c>
      <c r="AL89" s="436">
        <v>11</v>
      </c>
      <c r="AM89" s="437">
        <v>45</v>
      </c>
      <c r="AN89" s="419">
        <v>11</v>
      </c>
      <c r="AO89" s="419">
        <v>29</v>
      </c>
      <c r="AP89" s="436">
        <v>15</v>
      </c>
      <c r="AQ89" s="436">
        <v>34</v>
      </c>
      <c r="AR89" s="424">
        <f t="shared" si="49"/>
        <v>5</v>
      </c>
      <c r="AS89" s="422">
        <f t="shared" si="50"/>
        <v>0.12623633524206143</v>
      </c>
      <c r="AT89" s="425">
        <f t="shared" si="51"/>
        <v>5</v>
      </c>
      <c r="AU89" s="423">
        <f t="shared" si="52"/>
        <v>0</v>
      </c>
      <c r="AV89" s="419"/>
      <c r="AW89" s="421"/>
      <c r="AX89" s="419"/>
      <c r="AY89" s="419"/>
      <c r="AZ89" s="421"/>
      <c r="BA89" s="421"/>
      <c r="BB89" s="419"/>
      <c r="BC89" s="419"/>
      <c r="BD89" s="421"/>
      <c r="BE89" s="421"/>
      <c r="BF89" s="419"/>
      <c r="BG89" s="419"/>
      <c r="BH89" s="421"/>
      <c r="BI89" s="421"/>
      <c r="BJ89" s="419"/>
      <c r="BK89" s="419"/>
      <c r="BL89" s="421"/>
      <c r="BM89" s="421"/>
      <c r="BN89" s="419"/>
      <c r="BO89" s="419"/>
      <c r="BP89" s="421"/>
      <c r="BQ89" s="421"/>
      <c r="BR89" s="419"/>
      <c r="BS89" s="419"/>
      <c r="BT89" s="421"/>
      <c r="BU89" s="421"/>
      <c r="BV89" s="419"/>
      <c r="BW89" s="419"/>
      <c r="BX89" s="421"/>
      <c r="BY89" s="421"/>
      <c r="BZ89" s="419"/>
      <c r="CA89" s="419"/>
      <c r="CB89" s="421"/>
      <c r="CC89" s="421"/>
      <c r="CD89" s="419"/>
      <c r="CE89" s="419"/>
      <c r="CF89" s="421"/>
      <c r="CG89" s="421"/>
      <c r="CH89" s="419"/>
      <c r="CI89" s="419"/>
      <c r="CJ89" s="421"/>
      <c r="CK89" s="421"/>
      <c r="CL89" s="419"/>
      <c r="CM89" s="421"/>
      <c r="CN89" s="424">
        <f t="shared" si="53"/>
        <v>0</v>
      </c>
      <c r="CO89" s="424">
        <f t="shared" si="54"/>
        <v>0</v>
      </c>
      <c r="CP89" s="425">
        <f t="shared" si="55"/>
        <v>0</v>
      </c>
      <c r="CQ89" s="425">
        <f t="shared" si="56"/>
        <v>0</v>
      </c>
      <c r="CR89" s="419"/>
      <c r="CS89" s="419"/>
      <c r="CT89" s="421"/>
      <c r="CU89" s="421"/>
      <c r="CV89" s="419"/>
      <c r="CW89" s="419"/>
      <c r="CX89" s="421"/>
      <c r="CY89" s="421"/>
      <c r="CZ89" s="419"/>
      <c r="DA89" s="419"/>
      <c r="DB89" s="421"/>
      <c r="DC89" s="421"/>
      <c r="DD89" s="419"/>
      <c r="DE89" s="419"/>
      <c r="DF89" s="421"/>
      <c r="DG89" s="421"/>
      <c r="DH89" s="419"/>
      <c r="DI89" s="419"/>
      <c r="DJ89" s="421"/>
      <c r="DK89" s="421"/>
      <c r="DL89" s="419"/>
      <c r="DM89" s="419"/>
      <c r="DN89" s="421"/>
      <c r="DO89" s="421"/>
      <c r="DP89" s="419"/>
      <c r="DQ89" s="419"/>
      <c r="DR89" s="421"/>
      <c r="DS89" s="421"/>
      <c r="DT89" s="419"/>
      <c r="DU89" s="419"/>
      <c r="DV89" s="421"/>
      <c r="DW89" s="421"/>
      <c r="DX89" s="419"/>
      <c r="DY89" s="419"/>
      <c r="DZ89" s="421"/>
      <c r="EA89" s="421"/>
      <c r="EB89" s="419"/>
      <c r="EC89" s="419"/>
      <c r="ED89" s="421"/>
      <c r="EE89" s="421"/>
      <c r="EF89" s="419"/>
      <c r="EG89" s="421"/>
      <c r="EH89" s="424">
        <f t="shared" si="57"/>
        <v>0</v>
      </c>
      <c r="EI89" s="424">
        <f t="shared" si="58"/>
        <v>0</v>
      </c>
      <c r="EJ89" s="422">
        <f t="shared" si="59"/>
        <v>0</v>
      </c>
      <c r="EK89" s="425">
        <f t="shared" si="60"/>
        <v>0</v>
      </c>
      <c r="EL89" s="425">
        <f t="shared" si="61"/>
        <v>0</v>
      </c>
      <c r="EM89" s="423">
        <f t="shared" si="62"/>
        <v>0</v>
      </c>
      <c r="EN89" s="424">
        <f t="shared" si="63"/>
        <v>0</v>
      </c>
      <c r="EO89" s="425">
        <f t="shared" si="64"/>
        <v>0</v>
      </c>
      <c r="EP89" s="419"/>
      <c r="EQ89" s="421"/>
      <c r="ER89" s="419"/>
      <c r="ES89" s="421"/>
      <c r="ET89" s="419"/>
      <c r="EU89" s="421"/>
      <c r="EV89" s="419"/>
      <c r="EW89" s="421"/>
      <c r="EX89" s="419"/>
      <c r="EY89" s="421"/>
      <c r="EZ89" s="419"/>
      <c r="FA89" s="421"/>
      <c r="FB89" s="419"/>
      <c r="FC89" s="421"/>
      <c r="FD89" s="419"/>
      <c r="FE89" s="421"/>
      <c r="FF89" s="419"/>
      <c r="FG89" s="421"/>
      <c r="FH89" s="419"/>
      <c r="FI89" s="421"/>
      <c r="FJ89" s="424">
        <f t="shared" si="65"/>
        <v>0</v>
      </c>
      <c r="FK89" s="425">
        <f t="shared" si="66"/>
        <v>0</v>
      </c>
      <c r="FL89" s="419"/>
      <c r="FM89" s="421"/>
      <c r="FN89" s="424">
        <f t="shared" si="67"/>
        <v>3842</v>
      </c>
      <c r="FO89" s="425">
        <f t="shared" si="68"/>
        <v>3317</v>
      </c>
    </row>
    <row r="90" spans="1:171">
      <c r="A90" s="43" t="s">
        <v>156</v>
      </c>
      <c r="B90" s="42" t="s">
        <v>586</v>
      </c>
      <c r="C90" s="41"/>
      <c r="D90" s="40">
        <v>133508</v>
      </c>
      <c r="E90" s="118">
        <v>7</v>
      </c>
      <c r="F90" s="419">
        <v>236</v>
      </c>
      <c r="G90" s="439">
        <v>204</v>
      </c>
      <c r="H90" s="419">
        <v>0</v>
      </c>
      <c r="I90" s="438">
        <v>0</v>
      </c>
      <c r="J90" s="419">
        <v>2465</v>
      </c>
      <c r="K90" s="433">
        <v>2662</v>
      </c>
      <c r="L90" s="422">
        <f t="shared" si="47"/>
        <v>7.2928994082840237</v>
      </c>
      <c r="M90" s="423">
        <f t="shared" si="48"/>
        <v>0</v>
      </c>
      <c r="N90" s="419">
        <v>338</v>
      </c>
      <c r="O90" s="309">
        <f>0</f>
        <v>0</v>
      </c>
      <c r="P90" s="309">
        <f>0</f>
        <v>0</v>
      </c>
      <c r="Q90" s="309">
        <f>0</f>
        <v>0</v>
      </c>
      <c r="R90" s="424">
        <f t="shared" si="45"/>
        <v>0</v>
      </c>
      <c r="S90" s="434"/>
      <c r="T90" s="435"/>
      <c r="U90" s="435"/>
      <c r="V90" s="435"/>
      <c r="W90" s="425">
        <f t="shared" si="46"/>
        <v>0</v>
      </c>
      <c r="X90" s="419">
        <v>52</v>
      </c>
      <c r="Y90" s="419">
        <v>128</v>
      </c>
      <c r="Z90" s="436">
        <v>52</v>
      </c>
      <c r="AA90" s="436">
        <v>138</v>
      </c>
      <c r="AB90" s="419">
        <v>51</v>
      </c>
      <c r="AC90" s="419">
        <v>108</v>
      </c>
      <c r="AD90" s="436">
        <v>51</v>
      </c>
      <c r="AE90" s="436">
        <v>105</v>
      </c>
      <c r="AF90" s="419">
        <v>13</v>
      </c>
      <c r="AG90" s="419">
        <v>70</v>
      </c>
      <c r="AH90" s="436">
        <v>13</v>
      </c>
      <c r="AI90" s="436">
        <v>63</v>
      </c>
      <c r="AJ90" s="419">
        <v>43</v>
      </c>
      <c r="AK90" s="419">
        <v>25</v>
      </c>
      <c r="AL90" s="436">
        <v>43</v>
      </c>
      <c r="AM90" s="436">
        <v>22</v>
      </c>
      <c r="AN90" s="419"/>
      <c r="AO90" s="419"/>
      <c r="AP90" s="436"/>
      <c r="AQ90" s="436"/>
      <c r="AR90" s="424">
        <f t="shared" si="49"/>
        <v>4</v>
      </c>
      <c r="AS90" s="422">
        <f t="shared" si="50"/>
        <v>0.11122079631457717</v>
      </c>
      <c r="AT90" s="425">
        <f t="shared" si="51"/>
        <v>4</v>
      </c>
      <c r="AU90" s="423">
        <f t="shared" si="52"/>
        <v>0</v>
      </c>
      <c r="AV90" s="419"/>
      <c r="AW90" s="421"/>
      <c r="AX90" s="419"/>
      <c r="AY90" s="419"/>
      <c r="AZ90" s="421"/>
      <c r="BA90" s="421"/>
      <c r="BB90" s="419"/>
      <c r="BC90" s="419"/>
      <c r="BD90" s="421"/>
      <c r="BE90" s="421"/>
      <c r="BF90" s="419"/>
      <c r="BG90" s="419"/>
      <c r="BH90" s="421"/>
      <c r="BI90" s="421"/>
      <c r="BJ90" s="419"/>
      <c r="BK90" s="419"/>
      <c r="BL90" s="421"/>
      <c r="BM90" s="421"/>
      <c r="BN90" s="419"/>
      <c r="BO90" s="419"/>
      <c r="BP90" s="421"/>
      <c r="BQ90" s="421"/>
      <c r="BR90" s="419"/>
      <c r="BS90" s="419"/>
      <c r="BT90" s="421"/>
      <c r="BU90" s="421"/>
      <c r="BV90" s="419"/>
      <c r="BW90" s="419"/>
      <c r="BX90" s="421"/>
      <c r="BY90" s="421"/>
      <c r="BZ90" s="419"/>
      <c r="CA90" s="419"/>
      <c r="CB90" s="421"/>
      <c r="CC90" s="421"/>
      <c r="CD90" s="419"/>
      <c r="CE90" s="419"/>
      <c r="CF90" s="421"/>
      <c r="CG90" s="421"/>
      <c r="CH90" s="419"/>
      <c r="CI90" s="419"/>
      <c r="CJ90" s="421"/>
      <c r="CK90" s="421"/>
      <c r="CL90" s="419"/>
      <c r="CM90" s="421"/>
      <c r="CN90" s="424">
        <f t="shared" si="53"/>
        <v>0</v>
      </c>
      <c r="CO90" s="424">
        <f t="shared" si="54"/>
        <v>0</v>
      </c>
      <c r="CP90" s="425">
        <f t="shared" si="55"/>
        <v>0</v>
      </c>
      <c r="CQ90" s="425">
        <f t="shared" si="56"/>
        <v>0</v>
      </c>
      <c r="CR90" s="419"/>
      <c r="CS90" s="419"/>
      <c r="CT90" s="421"/>
      <c r="CU90" s="421"/>
      <c r="CV90" s="419"/>
      <c r="CW90" s="419"/>
      <c r="CX90" s="421"/>
      <c r="CY90" s="421"/>
      <c r="CZ90" s="419"/>
      <c r="DA90" s="419"/>
      <c r="DB90" s="421"/>
      <c r="DC90" s="421"/>
      <c r="DD90" s="419"/>
      <c r="DE90" s="419"/>
      <c r="DF90" s="421"/>
      <c r="DG90" s="421"/>
      <c r="DH90" s="419"/>
      <c r="DI90" s="419"/>
      <c r="DJ90" s="421"/>
      <c r="DK90" s="421"/>
      <c r="DL90" s="419"/>
      <c r="DM90" s="419"/>
      <c r="DN90" s="421"/>
      <c r="DO90" s="421"/>
      <c r="DP90" s="419"/>
      <c r="DQ90" s="419"/>
      <c r="DR90" s="421"/>
      <c r="DS90" s="421"/>
      <c r="DT90" s="419"/>
      <c r="DU90" s="419"/>
      <c r="DV90" s="421"/>
      <c r="DW90" s="421"/>
      <c r="DX90" s="419"/>
      <c r="DY90" s="419"/>
      <c r="DZ90" s="421"/>
      <c r="EA90" s="421"/>
      <c r="EB90" s="419"/>
      <c r="EC90" s="419"/>
      <c r="ED90" s="421"/>
      <c r="EE90" s="421"/>
      <c r="EF90" s="419"/>
      <c r="EG90" s="421"/>
      <c r="EH90" s="424">
        <f t="shared" si="57"/>
        <v>0</v>
      </c>
      <c r="EI90" s="424">
        <f t="shared" si="58"/>
        <v>0</v>
      </c>
      <c r="EJ90" s="422">
        <f t="shared" si="59"/>
        <v>0</v>
      </c>
      <c r="EK90" s="425">
        <f t="shared" si="60"/>
        <v>0</v>
      </c>
      <c r="EL90" s="425">
        <f t="shared" si="61"/>
        <v>0</v>
      </c>
      <c r="EM90" s="423">
        <f t="shared" si="62"/>
        <v>0</v>
      </c>
      <c r="EN90" s="424">
        <f t="shared" si="63"/>
        <v>0</v>
      </c>
      <c r="EO90" s="425">
        <f t="shared" si="64"/>
        <v>0</v>
      </c>
      <c r="EP90" s="419"/>
      <c r="EQ90" s="421"/>
      <c r="ER90" s="419"/>
      <c r="ES90" s="421"/>
      <c r="ET90" s="419"/>
      <c r="EU90" s="421"/>
      <c r="EV90" s="419"/>
      <c r="EW90" s="421"/>
      <c r="EX90" s="419"/>
      <c r="EY90" s="421"/>
      <c r="EZ90" s="419"/>
      <c r="FA90" s="421"/>
      <c r="FB90" s="419"/>
      <c r="FC90" s="421"/>
      <c r="FD90" s="419"/>
      <c r="FE90" s="421"/>
      <c r="FF90" s="419"/>
      <c r="FG90" s="421"/>
      <c r="FH90" s="419"/>
      <c r="FI90" s="421"/>
      <c r="FJ90" s="424">
        <f t="shared" si="65"/>
        <v>0</v>
      </c>
      <c r="FK90" s="425">
        <f t="shared" si="66"/>
        <v>0</v>
      </c>
      <c r="FL90" s="419"/>
      <c r="FM90" s="421"/>
      <c r="FN90" s="424">
        <f t="shared" si="67"/>
        <v>3039</v>
      </c>
      <c r="FO90" s="425">
        <f t="shared" si="68"/>
        <v>2866</v>
      </c>
    </row>
    <row r="91" spans="1:171">
      <c r="A91" s="43" t="s">
        <v>156</v>
      </c>
      <c r="B91" s="42" t="s">
        <v>587</v>
      </c>
      <c r="C91" s="37"/>
      <c r="D91" s="40">
        <v>133702</v>
      </c>
      <c r="E91" s="118">
        <v>7</v>
      </c>
      <c r="F91" s="419">
        <v>3092</v>
      </c>
      <c r="G91" s="444">
        <v>2222</v>
      </c>
      <c r="H91" s="419">
        <v>1</v>
      </c>
      <c r="I91" s="432">
        <v>0</v>
      </c>
      <c r="J91" s="419">
        <v>3625</v>
      </c>
      <c r="K91" s="445">
        <v>2194</v>
      </c>
      <c r="L91" s="422">
        <f t="shared" si="47"/>
        <v>4.3361244019138754</v>
      </c>
      <c r="M91" s="423">
        <f t="shared" si="48"/>
        <v>0</v>
      </c>
      <c r="N91" s="419">
        <v>836</v>
      </c>
      <c r="O91" s="309">
        <f>0</f>
        <v>0</v>
      </c>
      <c r="P91" s="309">
        <f>0</f>
        <v>0</v>
      </c>
      <c r="Q91" s="309">
        <f>0</f>
        <v>0</v>
      </c>
      <c r="R91" s="424">
        <f t="shared" si="45"/>
        <v>0</v>
      </c>
      <c r="S91" s="434"/>
      <c r="T91" s="435"/>
      <c r="U91" s="435"/>
      <c r="V91" s="435"/>
      <c r="W91" s="425">
        <f t="shared" si="46"/>
        <v>0</v>
      </c>
      <c r="X91" s="419">
        <v>52</v>
      </c>
      <c r="Y91" s="419">
        <v>194</v>
      </c>
      <c r="Z91" s="436">
        <v>52</v>
      </c>
      <c r="AA91" s="437">
        <v>240</v>
      </c>
      <c r="AB91" s="419">
        <v>51</v>
      </c>
      <c r="AC91" s="419">
        <v>115</v>
      </c>
      <c r="AD91" s="436">
        <v>51</v>
      </c>
      <c r="AE91" s="436">
        <v>99</v>
      </c>
      <c r="AF91" s="419">
        <v>11</v>
      </c>
      <c r="AG91" s="419">
        <v>48</v>
      </c>
      <c r="AH91" s="436">
        <v>44</v>
      </c>
      <c r="AI91" s="443">
        <v>83</v>
      </c>
      <c r="AJ91" s="419">
        <v>44</v>
      </c>
      <c r="AK91" s="419">
        <v>67</v>
      </c>
      <c r="AL91" s="436">
        <v>11</v>
      </c>
      <c r="AM91" s="436">
        <v>56</v>
      </c>
      <c r="AN91" s="419">
        <v>26</v>
      </c>
      <c r="AO91" s="419">
        <v>28</v>
      </c>
      <c r="AP91" s="436">
        <v>26</v>
      </c>
      <c r="AQ91" s="436">
        <v>30</v>
      </c>
      <c r="AR91" s="424">
        <f t="shared" si="49"/>
        <v>5</v>
      </c>
      <c r="AS91" s="422">
        <f t="shared" si="50"/>
        <v>0.11066984379136881</v>
      </c>
      <c r="AT91" s="425">
        <f t="shared" si="51"/>
        <v>5</v>
      </c>
      <c r="AU91" s="423">
        <f t="shared" si="52"/>
        <v>0</v>
      </c>
      <c r="AV91" s="419"/>
      <c r="AW91" s="421"/>
      <c r="AX91" s="419"/>
      <c r="AY91" s="419"/>
      <c r="AZ91" s="421"/>
      <c r="BA91" s="421"/>
      <c r="BB91" s="419"/>
      <c r="BC91" s="419"/>
      <c r="BD91" s="421"/>
      <c r="BE91" s="421"/>
      <c r="BF91" s="419"/>
      <c r="BG91" s="419"/>
      <c r="BH91" s="421"/>
      <c r="BI91" s="421"/>
      <c r="BJ91" s="419"/>
      <c r="BK91" s="419"/>
      <c r="BL91" s="421"/>
      <c r="BM91" s="421"/>
      <c r="BN91" s="419"/>
      <c r="BO91" s="419"/>
      <c r="BP91" s="421"/>
      <c r="BQ91" s="421"/>
      <c r="BR91" s="419"/>
      <c r="BS91" s="419"/>
      <c r="BT91" s="421"/>
      <c r="BU91" s="421"/>
      <c r="BV91" s="419"/>
      <c r="BW91" s="419"/>
      <c r="BX91" s="421"/>
      <c r="BY91" s="421"/>
      <c r="BZ91" s="419"/>
      <c r="CA91" s="419"/>
      <c r="CB91" s="421"/>
      <c r="CC91" s="421"/>
      <c r="CD91" s="419"/>
      <c r="CE91" s="419"/>
      <c r="CF91" s="421"/>
      <c r="CG91" s="421"/>
      <c r="CH91" s="419"/>
      <c r="CI91" s="419"/>
      <c r="CJ91" s="421"/>
      <c r="CK91" s="421"/>
      <c r="CL91" s="419"/>
      <c r="CM91" s="421"/>
      <c r="CN91" s="424">
        <f t="shared" si="53"/>
        <v>0</v>
      </c>
      <c r="CO91" s="424">
        <f t="shared" si="54"/>
        <v>0</v>
      </c>
      <c r="CP91" s="425">
        <f t="shared" si="55"/>
        <v>0</v>
      </c>
      <c r="CQ91" s="425">
        <f t="shared" si="56"/>
        <v>0</v>
      </c>
      <c r="CR91" s="419"/>
      <c r="CS91" s="419"/>
      <c r="CT91" s="421"/>
      <c r="CU91" s="421"/>
      <c r="CV91" s="419"/>
      <c r="CW91" s="419"/>
      <c r="CX91" s="421"/>
      <c r="CY91" s="421"/>
      <c r="CZ91" s="419"/>
      <c r="DA91" s="419"/>
      <c r="DB91" s="421"/>
      <c r="DC91" s="421"/>
      <c r="DD91" s="419"/>
      <c r="DE91" s="419"/>
      <c r="DF91" s="421"/>
      <c r="DG91" s="421"/>
      <c r="DH91" s="419"/>
      <c r="DI91" s="419"/>
      <c r="DJ91" s="421"/>
      <c r="DK91" s="421"/>
      <c r="DL91" s="419"/>
      <c r="DM91" s="419"/>
      <c r="DN91" s="421"/>
      <c r="DO91" s="421"/>
      <c r="DP91" s="419"/>
      <c r="DQ91" s="419"/>
      <c r="DR91" s="421"/>
      <c r="DS91" s="421"/>
      <c r="DT91" s="419"/>
      <c r="DU91" s="419"/>
      <c r="DV91" s="421"/>
      <c r="DW91" s="421"/>
      <c r="DX91" s="419"/>
      <c r="DY91" s="419"/>
      <c r="DZ91" s="421"/>
      <c r="EA91" s="421"/>
      <c r="EB91" s="419"/>
      <c r="EC91" s="419"/>
      <c r="ED91" s="421"/>
      <c r="EE91" s="421"/>
      <c r="EF91" s="419"/>
      <c r="EG91" s="421"/>
      <c r="EH91" s="424">
        <f t="shared" si="57"/>
        <v>0</v>
      </c>
      <c r="EI91" s="424">
        <f t="shared" si="58"/>
        <v>0</v>
      </c>
      <c r="EJ91" s="422">
        <f t="shared" si="59"/>
        <v>0</v>
      </c>
      <c r="EK91" s="425">
        <f t="shared" si="60"/>
        <v>0</v>
      </c>
      <c r="EL91" s="425">
        <f t="shared" si="61"/>
        <v>0</v>
      </c>
      <c r="EM91" s="423">
        <f t="shared" si="62"/>
        <v>0</v>
      </c>
      <c r="EN91" s="424">
        <f t="shared" si="63"/>
        <v>0</v>
      </c>
      <c r="EO91" s="425">
        <f t="shared" si="64"/>
        <v>0</v>
      </c>
      <c r="EP91" s="419"/>
      <c r="EQ91" s="421"/>
      <c r="ER91" s="419"/>
      <c r="ES91" s="421"/>
      <c r="ET91" s="419"/>
      <c r="EU91" s="421"/>
      <c r="EV91" s="419"/>
      <c r="EW91" s="421"/>
      <c r="EX91" s="419"/>
      <c r="EY91" s="421"/>
      <c r="EZ91" s="419"/>
      <c r="FA91" s="421"/>
      <c r="FB91" s="419"/>
      <c r="FC91" s="421"/>
      <c r="FD91" s="419"/>
      <c r="FE91" s="421"/>
      <c r="FF91" s="419"/>
      <c r="FG91" s="421"/>
      <c r="FH91" s="419"/>
      <c r="FI91" s="421"/>
      <c r="FJ91" s="424">
        <f t="shared" si="65"/>
        <v>0</v>
      </c>
      <c r="FK91" s="425">
        <f t="shared" si="66"/>
        <v>0</v>
      </c>
      <c r="FL91" s="419"/>
      <c r="FM91" s="421"/>
      <c r="FN91" s="424">
        <f t="shared" si="67"/>
        <v>7554</v>
      </c>
      <c r="FO91" s="425">
        <f t="shared" si="68"/>
        <v>4416</v>
      </c>
    </row>
    <row r="92" spans="1:171">
      <c r="A92" s="43" t="s">
        <v>156</v>
      </c>
      <c r="B92" s="42" t="s">
        <v>607</v>
      </c>
      <c r="C92" s="41" t="s">
        <v>608</v>
      </c>
      <c r="D92" s="40">
        <v>133960</v>
      </c>
      <c r="E92" s="118">
        <v>10</v>
      </c>
      <c r="F92" s="419">
        <v>168</v>
      </c>
      <c r="G92" s="439">
        <v>189</v>
      </c>
      <c r="H92" s="419">
        <v>0</v>
      </c>
      <c r="I92" s="438">
        <v>0</v>
      </c>
      <c r="J92" s="419">
        <v>160</v>
      </c>
      <c r="K92" s="438">
        <v>151</v>
      </c>
      <c r="L92" s="422">
        <f t="shared" si="47"/>
        <v>22.857142857142858</v>
      </c>
      <c r="M92" s="423">
        <f t="shared" si="48"/>
        <v>0</v>
      </c>
      <c r="N92" s="419">
        <v>7</v>
      </c>
      <c r="O92" s="309">
        <f>0</f>
        <v>0</v>
      </c>
      <c r="P92" s="309">
        <f>0</f>
        <v>0</v>
      </c>
      <c r="Q92" s="309">
        <f>0</f>
        <v>0</v>
      </c>
      <c r="R92" s="424">
        <f t="shared" si="45"/>
        <v>0</v>
      </c>
      <c r="S92" s="434"/>
      <c r="T92" s="435"/>
      <c r="U92" s="435"/>
      <c r="V92" s="435"/>
      <c r="W92" s="425">
        <f t="shared" si="46"/>
        <v>0</v>
      </c>
      <c r="X92" s="419">
        <v>52</v>
      </c>
      <c r="Y92" s="419">
        <v>7</v>
      </c>
      <c r="Z92" s="436">
        <v>52</v>
      </c>
      <c r="AA92" s="436">
        <v>8</v>
      </c>
      <c r="AB92" s="419"/>
      <c r="AC92" s="419"/>
      <c r="AD92" s="436"/>
      <c r="AE92" s="436"/>
      <c r="AF92" s="419"/>
      <c r="AG92" s="419"/>
      <c r="AH92" s="436"/>
      <c r="AI92" s="436"/>
      <c r="AJ92" s="419"/>
      <c r="AK92" s="419"/>
      <c r="AL92" s="436"/>
      <c r="AM92" s="436"/>
      <c r="AN92" s="419"/>
      <c r="AO92" s="419"/>
      <c r="AP92" s="436"/>
      <c r="AQ92" s="436"/>
      <c r="AR92" s="424">
        <f t="shared" si="49"/>
        <v>1</v>
      </c>
      <c r="AS92" s="422">
        <f t="shared" si="50"/>
        <v>2.0895522388059702E-2</v>
      </c>
      <c r="AT92" s="425">
        <f t="shared" si="51"/>
        <v>1</v>
      </c>
      <c r="AU92" s="423">
        <f t="shared" si="52"/>
        <v>0</v>
      </c>
      <c r="AV92" s="419"/>
      <c r="AW92" s="421"/>
      <c r="AX92" s="419"/>
      <c r="AY92" s="419"/>
      <c r="AZ92" s="421"/>
      <c r="BA92" s="421"/>
      <c r="BB92" s="419"/>
      <c r="BC92" s="419"/>
      <c r="BD92" s="421"/>
      <c r="BE92" s="421"/>
      <c r="BF92" s="419"/>
      <c r="BG92" s="419"/>
      <c r="BH92" s="421"/>
      <c r="BI92" s="421"/>
      <c r="BJ92" s="419"/>
      <c r="BK92" s="419"/>
      <c r="BL92" s="421"/>
      <c r="BM92" s="421"/>
      <c r="BN92" s="419"/>
      <c r="BO92" s="419"/>
      <c r="BP92" s="421"/>
      <c r="BQ92" s="421"/>
      <c r="BR92" s="419"/>
      <c r="BS92" s="419"/>
      <c r="BT92" s="421"/>
      <c r="BU92" s="421"/>
      <c r="BV92" s="419"/>
      <c r="BW92" s="419"/>
      <c r="BX92" s="421"/>
      <c r="BY92" s="421"/>
      <c r="BZ92" s="419"/>
      <c r="CA92" s="419"/>
      <c r="CB92" s="421"/>
      <c r="CC92" s="421"/>
      <c r="CD92" s="419"/>
      <c r="CE92" s="419"/>
      <c r="CF92" s="421"/>
      <c r="CG92" s="421"/>
      <c r="CH92" s="419"/>
      <c r="CI92" s="419"/>
      <c r="CJ92" s="421"/>
      <c r="CK92" s="421"/>
      <c r="CL92" s="419"/>
      <c r="CM92" s="421"/>
      <c r="CN92" s="424">
        <f t="shared" si="53"/>
        <v>0</v>
      </c>
      <c r="CO92" s="424">
        <f t="shared" si="54"/>
        <v>0</v>
      </c>
      <c r="CP92" s="425">
        <f t="shared" si="55"/>
        <v>0</v>
      </c>
      <c r="CQ92" s="425">
        <f t="shared" si="56"/>
        <v>0</v>
      </c>
      <c r="CR92" s="419"/>
      <c r="CS92" s="419"/>
      <c r="CT92" s="421"/>
      <c r="CU92" s="421"/>
      <c r="CV92" s="419"/>
      <c r="CW92" s="419"/>
      <c r="CX92" s="421"/>
      <c r="CY92" s="421"/>
      <c r="CZ92" s="419"/>
      <c r="DA92" s="419"/>
      <c r="DB92" s="421"/>
      <c r="DC92" s="421"/>
      <c r="DD92" s="419"/>
      <c r="DE92" s="419"/>
      <c r="DF92" s="421"/>
      <c r="DG92" s="421"/>
      <c r="DH92" s="419"/>
      <c r="DI92" s="419"/>
      <c r="DJ92" s="421"/>
      <c r="DK92" s="421"/>
      <c r="DL92" s="419"/>
      <c r="DM92" s="419"/>
      <c r="DN92" s="421"/>
      <c r="DO92" s="421"/>
      <c r="DP92" s="419"/>
      <c r="DQ92" s="419"/>
      <c r="DR92" s="421"/>
      <c r="DS92" s="421"/>
      <c r="DT92" s="419"/>
      <c r="DU92" s="419"/>
      <c r="DV92" s="421"/>
      <c r="DW92" s="421"/>
      <c r="DX92" s="419"/>
      <c r="DY92" s="419"/>
      <c r="DZ92" s="421"/>
      <c r="EA92" s="421"/>
      <c r="EB92" s="419"/>
      <c r="EC92" s="419"/>
      <c r="ED92" s="421"/>
      <c r="EE92" s="421"/>
      <c r="EF92" s="419"/>
      <c r="EG92" s="421"/>
      <c r="EH92" s="424">
        <f t="shared" si="57"/>
        <v>0</v>
      </c>
      <c r="EI92" s="424">
        <f t="shared" si="58"/>
        <v>0</v>
      </c>
      <c r="EJ92" s="422">
        <f t="shared" si="59"/>
        <v>0</v>
      </c>
      <c r="EK92" s="425">
        <f t="shared" si="60"/>
        <v>0</v>
      </c>
      <c r="EL92" s="425">
        <f t="shared" si="61"/>
        <v>0</v>
      </c>
      <c r="EM92" s="423">
        <f t="shared" si="62"/>
        <v>0</v>
      </c>
      <c r="EN92" s="424">
        <f t="shared" si="63"/>
        <v>0</v>
      </c>
      <c r="EO92" s="425">
        <f t="shared" si="64"/>
        <v>0</v>
      </c>
      <c r="EP92" s="419"/>
      <c r="EQ92" s="421"/>
      <c r="ER92" s="419"/>
      <c r="ES92" s="421"/>
      <c r="ET92" s="419"/>
      <c r="EU92" s="421"/>
      <c r="EV92" s="419"/>
      <c r="EW92" s="421"/>
      <c r="EX92" s="419"/>
      <c r="EY92" s="421"/>
      <c r="EZ92" s="419"/>
      <c r="FA92" s="421"/>
      <c r="FB92" s="419"/>
      <c r="FC92" s="421"/>
      <c r="FD92" s="419"/>
      <c r="FE92" s="421"/>
      <c r="FF92" s="419"/>
      <c r="FG92" s="421"/>
      <c r="FH92" s="419"/>
      <c r="FI92" s="421"/>
      <c r="FJ92" s="424">
        <f t="shared" si="65"/>
        <v>0</v>
      </c>
      <c r="FK92" s="425">
        <f t="shared" si="66"/>
        <v>0</v>
      </c>
      <c r="FL92" s="419"/>
      <c r="FM92" s="421"/>
      <c r="FN92" s="424">
        <f t="shared" si="67"/>
        <v>335</v>
      </c>
      <c r="FO92" s="425">
        <f t="shared" si="68"/>
        <v>340</v>
      </c>
    </row>
    <row r="93" spans="1:171">
      <c r="A93" s="43" t="s">
        <v>156</v>
      </c>
      <c r="B93" s="42" t="s">
        <v>588</v>
      </c>
      <c r="C93" s="39"/>
      <c r="D93" s="40">
        <v>134343</v>
      </c>
      <c r="E93" s="118">
        <v>7</v>
      </c>
      <c r="F93" s="419">
        <v>350</v>
      </c>
      <c r="G93" s="440">
        <v>250</v>
      </c>
      <c r="H93" s="419">
        <v>0</v>
      </c>
      <c r="I93" s="438">
        <v>0</v>
      </c>
      <c r="J93" s="419">
        <v>787</v>
      </c>
      <c r="K93" s="438">
        <v>761</v>
      </c>
      <c r="L93" s="422">
        <f t="shared" si="47"/>
        <v>9.3690476190476186</v>
      </c>
      <c r="M93" s="423">
        <f t="shared" si="48"/>
        <v>0</v>
      </c>
      <c r="N93" s="419">
        <v>84</v>
      </c>
      <c r="O93" s="309">
        <f>0</f>
        <v>0</v>
      </c>
      <c r="P93" s="309">
        <f>0</f>
        <v>0</v>
      </c>
      <c r="Q93" s="309">
        <f>0</f>
        <v>0</v>
      </c>
      <c r="R93" s="424">
        <f t="shared" si="45"/>
        <v>0</v>
      </c>
      <c r="S93" s="434"/>
      <c r="T93" s="435"/>
      <c r="U93" s="435"/>
      <c r="V93" s="435"/>
      <c r="W93" s="425">
        <f t="shared" si="46"/>
        <v>0</v>
      </c>
      <c r="X93" s="419">
        <v>51</v>
      </c>
      <c r="Y93" s="419">
        <v>37</v>
      </c>
      <c r="Z93" s="436">
        <v>51</v>
      </c>
      <c r="AA93" s="437">
        <v>27</v>
      </c>
      <c r="AB93" s="419">
        <v>52</v>
      </c>
      <c r="AC93" s="419">
        <v>24</v>
      </c>
      <c r="AD93" s="436">
        <v>52</v>
      </c>
      <c r="AE93" s="436">
        <v>27</v>
      </c>
      <c r="AF93" s="419">
        <v>11</v>
      </c>
      <c r="AG93" s="419">
        <v>16</v>
      </c>
      <c r="AH93" s="436">
        <v>11</v>
      </c>
      <c r="AI93" s="437">
        <v>10</v>
      </c>
      <c r="AJ93" s="419">
        <v>10</v>
      </c>
      <c r="AK93" s="419">
        <v>7</v>
      </c>
      <c r="AL93" s="436">
        <v>10</v>
      </c>
      <c r="AM93" s="437">
        <v>9</v>
      </c>
      <c r="AN93" s="419"/>
      <c r="AO93" s="419"/>
      <c r="AP93" s="436"/>
      <c r="AQ93" s="436"/>
      <c r="AR93" s="424">
        <f t="shared" si="49"/>
        <v>4</v>
      </c>
      <c r="AS93" s="422">
        <f t="shared" si="50"/>
        <v>6.8796068796068796E-2</v>
      </c>
      <c r="AT93" s="425">
        <f t="shared" si="51"/>
        <v>4</v>
      </c>
      <c r="AU93" s="423">
        <f t="shared" si="52"/>
        <v>0</v>
      </c>
      <c r="AV93" s="419"/>
      <c r="AW93" s="421"/>
      <c r="AX93" s="419"/>
      <c r="AY93" s="419"/>
      <c r="AZ93" s="421"/>
      <c r="BA93" s="421"/>
      <c r="BB93" s="419"/>
      <c r="BC93" s="419"/>
      <c r="BD93" s="421"/>
      <c r="BE93" s="421"/>
      <c r="BF93" s="419"/>
      <c r="BG93" s="419"/>
      <c r="BH93" s="421"/>
      <c r="BI93" s="421"/>
      <c r="BJ93" s="419"/>
      <c r="BK93" s="419"/>
      <c r="BL93" s="421"/>
      <c r="BM93" s="421"/>
      <c r="BN93" s="419"/>
      <c r="BO93" s="419"/>
      <c r="BP93" s="421"/>
      <c r="BQ93" s="421"/>
      <c r="BR93" s="419"/>
      <c r="BS93" s="419"/>
      <c r="BT93" s="421"/>
      <c r="BU93" s="421"/>
      <c r="BV93" s="419"/>
      <c r="BW93" s="419"/>
      <c r="BX93" s="421"/>
      <c r="BY93" s="421"/>
      <c r="BZ93" s="419"/>
      <c r="CA93" s="419"/>
      <c r="CB93" s="421"/>
      <c r="CC93" s="421"/>
      <c r="CD93" s="419"/>
      <c r="CE93" s="419"/>
      <c r="CF93" s="421"/>
      <c r="CG93" s="421"/>
      <c r="CH93" s="419"/>
      <c r="CI93" s="419"/>
      <c r="CJ93" s="421"/>
      <c r="CK93" s="421"/>
      <c r="CL93" s="419"/>
      <c r="CM93" s="421"/>
      <c r="CN93" s="424">
        <f t="shared" si="53"/>
        <v>0</v>
      </c>
      <c r="CO93" s="424">
        <f t="shared" si="54"/>
        <v>0</v>
      </c>
      <c r="CP93" s="425">
        <f t="shared" si="55"/>
        <v>0</v>
      </c>
      <c r="CQ93" s="425">
        <f t="shared" si="56"/>
        <v>0</v>
      </c>
      <c r="CR93" s="419"/>
      <c r="CS93" s="419"/>
      <c r="CT93" s="421"/>
      <c r="CU93" s="421"/>
      <c r="CV93" s="419"/>
      <c r="CW93" s="419"/>
      <c r="CX93" s="421"/>
      <c r="CY93" s="421"/>
      <c r="CZ93" s="419"/>
      <c r="DA93" s="419"/>
      <c r="DB93" s="421"/>
      <c r="DC93" s="421"/>
      <c r="DD93" s="419"/>
      <c r="DE93" s="419"/>
      <c r="DF93" s="421"/>
      <c r="DG93" s="421"/>
      <c r="DH93" s="419"/>
      <c r="DI93" s="419"/>
      <c r="DJ93" s="421"/>
      <c r="DK93" s="421"/>
      <c r="DL93" s="419"/>
      <c r="DM93" s="419"/>
      <c r="DN93" s="421"/>
      <c r="DO93" s="421"/>
      <c r="DP93" s="419"/>
      <c r="DQ93" s="419"/>
      <c r="DR93" s="421"/>
      <c r="DS93" s="421"/>
      <c r="DT93" s="419"/>
      <c r="DU93" s="419"/>
      <c r="DV93" s="421"/>
      <c r="DW93" s="421"/>
      <c r="DX93" s="419"/>
      <c r="DY93" s="419"/>
      <c r="DZ93" s="421"/>
      <c r="EA93" s="421"/>
      <c r="EB93" s="419"/>
      <c r="EC93" s="419"/>
      <c r="ED93" s="421"/>
      <c r="EE93" s="421"/>
      <c r="EF93" s="419"/>
      <c r="EG93" s="421"/>
      <c r="EH93" s="424">
        <f t="shared" si="57"/>
        <v>0</v>
      </c>
      <c r="EI93" s="424">
        <f t="shared" si="58"/>
        <v>0</v>
      </c>
      <c r="EJ93" s="422">
        <f t="shared" si="59"/>
        <v>0</v>
      </c>
      <c r="EK93" s="425">
        <f t="shared" si="60"/>
        <v>0</v>
      </c>
      <c r="EL93" s="425">
        <f t="shared" si="61"/>
        <v>0</v>
      </c>
      <c r="EM93" s="423">
        <f t="shared" si="62"/>
        <v>0</v>
      </c>
      <c r="EN93" s="424">
        <f t="shared" si="63"/>
        <v>0</v>
      </c>
      <c r="EO93" s="425">
        <f t="shared" si="64"/>
        <v>0</v>
      </c>
      <c r="EP93" s="419"/>
      <c r="EQ93" s="421"/>
      <c r="ER93" s="419"/>
      <c r="ES93" s="421"/>
      <c r="ET93" s="419"/>
      <c r="EU93" s="421"/>
      <c r="EV93" s="419"/>
      <c r="EW93" s="421"/>
      <c r="EX93" s="419"/>
      <c r="EY93" s="421"/>
      <c r="EZ93" s="419"/>
      <c r="FA93" s="421"/>
      <c r="FB93" s="419"/>
      <c r="FC93" s="421"/>
      <c r="FD93" s="419"/>
      <c r="FE93" s="421"/>
      <c r="FF93" s="419"/>
      <c r="FG93" s="421"/>
      <c r="FH93" s="419"/>
      <c r="FI93" s="421"/>
      <c r="FJ93" s="424">
        <f t="shared" si="65"/>
        <v>0</v>
      </c>
      <c r="FK93" s="425">
        <f t="shared" si="66"/>
        <v>0</v>
      </c>
      <c r="FL93" s="419"/>
      <c r="FM93" s="421"/>
      <c r="FN93" s="424">
        <f t="shared" si="67"/>
        <v>1221</v>
      </c>
      <c r="FO93" s="425">
        <f t="shared" si="68"/>
        <v>1011</v>
      </c>
    </row>
    <row r="94" spans="1:171">
      <c r="A94" s="43" t="s">
        <v>156</v>
      </c>
      <c r="B94" s="42" t="s">
        <v>604</v>
      </c>
      <c r="C94" s="41"/>
      <c r="D94" s="40">
        <v>134495</v>
      </c>
      <c r="E94" s="118">
        <v>8</v>
      </c>
      <c r="F94" s="419">
        <v>1658</v>
      </c>
      <c r="G94" s="431">
        <v>1731</v>
      </c>
      <c r="H94" s="419">
        <v>127</v>
      </c>
      <c r="I94" s="432">
        <v>48</v>
      </c>
      <c r="J94" s="419">
        <v>3933</v>
      </c>
      <c r="K94" s="433">
        <v>4060</v>
      </c>
      <c r="L94" s="422">
        <f t="shared" si="47"/>
        <v>0</v>
      </c>
      <c r="M94" s="423">
        <f t="shared" si="48"/>
        <v>0</v>
      </c>
      <c r="N94" s="419">
        <v>0</v>
      </c>
      <c r="O94" s="309">
        <f>0</f>
        <v>0</v>
      </c>
      <c r="P94" s="309">
        <f>0</f>
        <v>0</v>
      </c>
      <c r="Q94" s="309">
        <f>0</f>
        <v>0</v>
      </c>
      <c r="R94" s="424">
        <f t="shared" si="45"/>
        <v>0</v>
      </c>
      <c r="S94" s="421"/>
      <c r="T94" s="435"/>
      <c r="U94" s="435"/>
      <c r="V94" s="435"/>
      <c r="W94" s="425">
        <f t="shared" si="46"/>
        <v>0</v>
      </c>
      <c r="X94" s="419"/>
      <c r="Y94" s="419"/>
      <c r="Z94" s="436"/>
      <c r="AA94" s="436"/>
      <c r="AB94" s="419"/>
      <c r="AC94" s="419"/>
      <c r="AD94" s="436"/>
      <c r="AE94" s="436"/>
      <c r="AF94" s="419"/>
      <c r="AG94" s="419"/>
      <c r="AH94" s="436"/>
      <c r="AI94" s="436"/>
      <c r="AJ94" s="419"/>
      <c r="AK94" s="419"/>
      <c r="AL94" s="436"/>
      <c r="AM94" s="436"/>
      <c r="AN94" s="419"/>
      <c r="AO94" s="419"/>
      <c r="AP94" s="436"/>
      <c r="AQ94" s="436"/>
      <c r="AR94" s="424">
        <f t="shared" si="49"/>
        <v>0</v>
      </c>
      <c r="AS94" s="422">
        <f t="shared" si="50"/>
        <v>0</v>
      </c>
      <c r="AT94" s="425">
        <f t="shared" si="51"/>
        <v>0</v>
      </c>
      <c r="AU94" s="423">
        <f t="shared" si="52"/>
        <v>0</v>
      </c>
      <c r="AV94" s="419"/>
      <c r="AW94" s="421"/>
      <c r="AX94" s="419"/>
      <c r="AY94" s="419"/>
      <c r="AZ94" s="421"/>
      <c r="BA94" s="421"/>
      <c r="BB94" s="419"/>
      <c r="BC94" s="419"/>
      <c r="BD94" s="421"/>
      <c r="BE94" s="421"/>
      <c r="BF94" s="419"/>
      <c r="BG94" s="419"/>
      <c r="BH94" s="421"/>
      <c r="BI94" s="421"/>
      <c r="BJ94" s="419"/>
      <c r="BK94" s="419"/>
      <c r="BL94" s="421"/>
      <c r="BM94" s="421"/>
      <c r="BN94" s="419"/>
      <c r="BO94" s="419"/>
      <c r="BP94" s="421"/>
      <c r="BQ94" s="421"/>
      <c r="BR94" s="419"/>
      <c r="BS94" s="419"/>
      <c r="BT94" s="421"/>
      <c r="BU94" s="421"/>
      <c r="BV94" s="419"/>
      <c r="BW94" s="419"/>
      <c r="BX94" s="421"/>
      <c r="BY94" s="421"/>
      <c r="BZ94" s="419"/>
      <c r="CA94" s="419"/>
      <c r="CB94" s="421"/>
      <c r="CC94" s="421"/>
      <c r="CD94" s="419"/>
      <c r="CE94" s="419"/>
      <c r="CF94" s="421"/>
      <c r="CG94" s="421"/>
      <c r="CH94" s="419"/>
      <c r="CI94" s="419"/>
      <c r="CJ94" s="421"/>
      <c r="CK94" s="421"/>
      <c r="CL94" s="419"/>
      <c r="CM94" s="421"/>
      <c r="CN94" s="424">
        <f t="shared" si="53"/>
        <v>0</v>
      </c>
      <c r="CO94" s="424">
        <f t="shared" si="54"/>
        <v>0</v>
      </c>
      <c r="CP94" s="425">
        <f t="shared" si="55"/>
        <v>0</v>
      </c>
      <c r="CQ94" s="425">
        <f t="shared" si="56"/>
        <v>0</v>
      </c>
      <c r="CR94" s="419"/>
      <c r="CS94" s="419"/>
      <c r="CT94" s="421"/>
      <c r="CU94" s="421"/>
      <c r="CV94" s="419"/>
      <c r="CW94" s="419"/>
      <c r="CX94" s="421"/>
      <c r="CY94" s="421"/>
      <c r="CZ94" s="419"/>
      <c r="DA94" s="419"/>
      <c r="DB94" s="421"/>
      <c r="DC94" s="421"/>
      <c r="DD94" s="419"/>
      <c r="DE94" s="419"/>
      <c r="DF94" s="421"/>
      <c r="DG94" s="421"/>
      <c r="DH94" s="419"/>
      <c r="DI94" s="419"/>
      <c r="DJ94" s="421"/>
      <c r="DK94" s="421"/>
      <c r="DL94" s="419"/>
      <c r="DM94" s="419"/>
      <c r="DN94" s="421"/>
      <c r="DO94" s="421"/>
      <c r="DP94" s="419"/>
      <c r="DQ94" s="419"/>
      <c r="DR94" s="421"/>
      <c r="DS94" s="421"/>
      <c r="DT94" s="419"/>
      <c r="DU94" s="419"/>
      <c r="DV94" s="421"/>
      <c r="DW94" s="421"/>
      <c r="DX94" s="419"/>
      <c r="DY94" s="419"/>
      <c r="DZ94" s="421"/>
      <c r="EA94" s="421"/>
      <c r="EB94" s="419"/>
      <c r="EC94" s="419"/>
      <c r="ED94" s="421"/>
      <c r="EE94" s="421"/>
      <c r="EF94" s="419"/>
      <c r="EG94" s="421"/>
      <c r="EH94" s="424">
        <f t="shared" si="57"/>
        <v>0</v>
      </c>
      <c r="EI94" s="424">
        <f t="shared" si="58"/>
        <v>0</v>
      </c>
      <c r="EJ94" s="422">
        <f t="shared" si="59"/>
        <v>0</v>
      </c>
      <c r="EK94" s="425">
        <f t="shared" si="60"/>
        <v>0</v>
      </c>
      <c r="EL94" s="425">
        <f t="shared" si="61"/>
        <v>0</v>
      </c>
      <c r="EM94" s="423">
        <f t="shared" si="62"/>
        <v>0</v>
      </c>
      <c r="EN94" s="424">
        <f t="shared" si="63"/>
        <v>0</v>
      </c>
      <c r="EO94" s="425">
        <f t="shared" si="64"/>
        <v>0</v>
      </c>
      <c r="EP94" s="419"/>
      <c r="EQ94" s="421"/>
      <c r="ER94" s="419"/>
      <c r="ES94" s="421"/>
      <c r="ET94" s="419"/>
      <c r="EU94" s="421"/>
      <c r="EV94" s="419"/>
      <c r="EW94" s="421"/>
      <c r="EX94" s="419"/>
      <c r="EY94" s="421"/>
      <c r="EZ94" s="419"/>
      <c r="FA94" s="421"/>
      <c r="FB94" s="419"/>
      <c r="FC94" s="421"/>
      <c r="FD94" s="419"/>
      <c r="FE94" s="421"/>
      <c r="FF94" s="419"/>
      <c r="FG94" s="421"/>
      <c r="FH94" s="419"/>
      <c r="FI94" s="421"/>
      <c r="FJ94" s="424">
        <f t="shared" si="65"/>
        <v>0</v>
      </c>
      <c r="FK94" s="425">
        <f t="shared" si="66"/>
        <v>0</v>
      </c>
      <c r="FL94" s="419"/>
      <c r="FM94" s="421"/>
      <c r="FN94" s="424">
        <f t="shared" si="67"/>
        <v>5718</v>
      </c>
      <c r="FO94" s="425">
        <f t="shared" si="68"/>
        <v>5839</v>
      </c>
    </row>
    <row r="95" spans="1:171">
      <c r="A95" s="43" t="s">
        <v>156</v>
      </c>
      <c r="B95" s="42" t="s">
        <v>589</v>
      </c>
      <c r="C95" s="37"/>
      <c r="D95" s="40">
        <v>134608</v>
      </c>
      <c r="E95" s="118">
        <v>7</v>
      </c>
      <c r="F95" s="419">
        <v>1366</v>
      </c>
      <c r="G95" s="431">
        <v>1126</v>
      </c>
      <c r="H95" s="419">
        <v>1</v>
      </c>
      <c r="I95" s="432">
        <v>2</v>
      </c>
      <c r="J95" s="419">
        <v>2728</v>
      </c>
      <c r="K95" s="433">
        <v>2576</v>
      </c>
      <c r="L95" s="422">
        <f t="shared" si="47"/>
        <v>3.6132450331125829</v>
      </c>
      <c r="M95" s="423">
        <f t="shared" si="48"/>
        <v>0</v>
      </c>
      <c r="N95" s="419">
        <v>755</v>
      </c>
      <c r="O95" s="309">
        <f>0</f>
        <v>0</v>
      </c>
      <c r="P95" s="309">
        <f>0</f>
        <v>0</v>
      </c>
      <c r="Q95" s="309">
        <f>0</f>
        <v>0</v>
      </c>
      <c r="R95" s="424">
        <f t="shared" si="45"/>
        <v>0</v>
      </c>
      <c r="S95" s="434"/>
      <c r="T95" s="435"/>
      <c r="U95" s="435"/>
      <c r="V95" s="435"/>
      <c r="W95" s="425">
        <f t="shared" si="46"/>
        <v>0</v>
      </c>
      <c r="X95" s="419">
        <v>44</v>
      </c>
      <c r="Y95" s="419">
        <v>115</v>
      </c>
      <c r="Z95" s="436">
        <v>52</v>
      </c>
      <c r="AA95" s="442">
        <v>265</v>
      </c>
      <c r="AB95" s="419">
        <v>51</v>
      </c>
      <c r="AC95" s="419">
        <v>106</v>
      </c>
      <c r="AD95" s="436">
        <v>51</v>
      </c>
      <c r="AE95" s="437">
        <v>151</v>
      </c>
      <c r="AF95" s="419">
        <v>52</v>
      </c>
      <c r="AG95" s="419">
        <v>98</v>
      </c>
      <c r="AH95" s="436">
        <v>44</v>
      </c>
      <c r="AI95" s="437">
        <v>144</v>
      </c>
      <c r="AJ95" s="419">
        <v>43</v>
      </c>
      <c r="AK95" s="419">
        <v>80</v>
      </c>
      <c r="AL95" s="436">
        <v>43</v>
      </c>
      <c r="AM95" s="436">
        <v>71</v>
      </c>
      <c r="AN95" s="419">
        <v>11</v>
      </c>
      <c r="AO95" s="419">
        <v>45</v>
      </c>
      <c r="AP95" s="436">
        <v>11</v>
      </c>
      <c r="AQ95" s="437">
        <v>57</v>
      </c>
      <c r="AR95" s="424">
        <f t="shared" si="49"/>
        <v>5</v>
      </c>
      <c r="AS95" s="422">
        <f t="shared" si="50"/>
        <v>0.15567010309278351</v>
      </c>
      <c r="AT95" s="425">
        <f t="shared" si="51"/>
        <v>5</v>
      </c>
      <c r="AU95" s="423">
        <f t="shared" si="52"/>
        <v>0</v>
      </c>
      <c r="AV95" s="419"/>
      <c r="AW95" s="421"/>
      <c r="AX95" s="419"/>
      <c r="AY95" s="419"/>
      <c r="AZ95" s="421"/>
      <c r="BA95" s="421"/>
      <c r="BB95" s="419"/>
      <c r="BC95" s="419"/>
      <c r="BD95" s="421"/>
      <c r="BE95" s="421"/>
      <c r="BF95" s="419"/>
      <c r="BG95" s="419"/>
      <c r="BH95" s="421"/>
      <c r="BI95" s="421"/>
      <c r="BJ95" s="419"/>
      <c r="BK95" s="419"/>
      <c r="BL95" s="421"/>
      <c r="BM95" s="421"/>
      <c r="BN95" s="419"/>
      <c r="BO95" s="419"/>
      <c r="BP95" s="421"/>
      <c r="BQ95" s="421"/>
      <c r="BR95" s="419"/>
      <c r="BS95" s="419"/>
      <c r="BT95" s="421"/>
      <c r="BU95" s="421"/>
      <c r="BV95" s="419"/>
      <c r="BW95" s="419"/>
      <c r="BX95" s="421"/>
      <c r="BY95" s="421"/>
      <c r="BZ95" s="419"/>
      <c r="CA95" s="419"/>
      <c r="CB95" s="421"/>
      <c r="CC95" s="421"/>
      <c r="CD95" s="419"/>
      <c r="CE95" s="419"/>
      <c r="CF95" s="421"/>
      <c r="CG95" s="421"/>
      <c r="CH95" s="419"/>
      <c r="CI95" s="419"/>
      <c r="CJ95" s="421"/>
      <c r="CK95" s="421"/>
      <c r="CL95" s="419"/>
      <c r="CM95" s="421"/>
      <c r="CN95" s="424">
        <f t="shared" si="53"/>
        <v>0</v>
      </c>
      <c r="CO95" s="424">
        <f t="shared" si="54"/>
        <v>0</v>
      </c>
      <c r="CP95" s="425">
        <f t="shared" si="55"/>
        <v>0</v>
      </c>
      <c r="CQ95" s="425">
        <f t="shared" si="56"/>
        <v>0</v>
      </c>
      <c r="CR95" s="419"/>
      <c r="CS95" s="419"/>
      <c r="CT95" s="421"/>
      <c r="CU95" s="421"/>
      <c r="CV95" s="419"/>
      <c r="CW95" s="419"/>
      <c r="CX95" s="421"/>
      <c r="CY95" s="421"/>
      <c r="CZ95" s="419"/>
      <c r="DA95" s="419"/>
      <c r="DB95" s="421"/>
      <c r="DC95" s="421"/>
      <c r="DD95" s="419"/>
      <c r="DE95" s="419"/>
      <c r="DF95" s="421"/>
      <c r="DG95" s="421"/>
      <c r="DH95" s="419"/>
      <c r="DI95" s="419"/>
      <c r="DJ95" s="421"/>
      <c r="DK95" s="421"/>
      <c r="DL95" s="419"/>
      <c r="DM95" s="419"/>
      <c r="DN95" s="421"/>
      <c r="DO95" s="421"/>
      <c r="DP95" s="419"/>
      <c r="DQ95" s="419"/>
      <c r="DR95" s="421"/>
      <c r="DS95" s="421"/>
      <c r="DT95" s="419"/>
      <c r="DU95" s="419"/>
      <c r="DV95" s="421"/>
      <c r="DW95" s="421"/>
      <c r="DX95" s="419"/>
      <c r="DY95" s="419"/>
      <c r="DZ95" s="421"/>
      <c r="EA95" s="421"/>
      <c r="EB95" s="419"/>
      <c r="EC95" s="419"/>
      <c r="ED95" s="421"/>
      <c r="EE95" s="421"/>
      <c r="EF95" s="419"/>
      <c r="EG95" s="421"/>
      <c r="EH95" s="424">
        <f t="shared" si="57"/>
        <v>0</v>
      </c>
      <c r="EI95" s="424">
        <f t="shared" si="58"/>
        <v>0</v>
      </c>
      <c r="EJ95" s="422">
        <f t="shared" si="59"/>
        <v>0</v>
      </c>
      <c r="EK95" s="425">
        <f t="shared" si="60"/>
        <v>0</v>
      </c>
      <c r="EL95" s="425">
        <f t="shared" si="61"/>
        <v>0</v>
      </c>
      <c r="EM95" s="423">
        <f t="shared" si="62"/>
        <v>0</v>
      </c>
      <c r="EN95" s="424">
        <f t="shared" si="63"/>
        <v>0</v>
      </c>
      <c r="EO95" s="425">
        <f t="shared" si="64"/>
        <v>0</v>
      </c>
      <c r="EP95" s="419"/>
      <c r="EQ95" s="421"/>
      <c r="ER95" s="419"/>
      <c r="ES95" s="421"/>
      <c r="ET95" s="419"/>
      <c r="EU95" s="421"/>
      <c r="EV95" s="419"/>
      <c r="EW95" s="421"/>
      <c r="EX95" s="419"/>
      <c r="EY95" s="421"/>
      <c r="EZ95" s="419"/>
      <c r="FA95" s="421"/>
      <c r="FB95" s="419"/>
      <c r="FC95" s="421"/>
      <c r="FD95" s="419"/>
      <c r="FE95" s="421"/>
      <c r="FF95" s="419"/>
      <c r="FG95" s="421"/>
      <c r="FH95" s="419"/>
      <c r="FI95" s="421"/>
      <c r="FJ95" s="424">
        <f t="shared" si="65"/>
        <v>0</v>
      </c>
      <c r="FK95" s="425">
        <f t="shared" si="66"/>
        <v>0</v>
      </c>
      <c r="FL95" s="419"/>
      <c r="FM95" s="421"/>
      <c r="FN95" s="424">
        <f t="shared" si="67"/>
        <v>4850</v>
      </c>
      <c r="FO95" s="425">
        <f t="shared" si="68"/>
        <v>3704</v>
      </c>
    </row>
    <row r="96" spans="1:171">
      <c r="A96" s="43" t="s">
        <v>156</v>
      </c>
      <c r="B96" s="42" t="s">
        <v>585</v>
      </c>
      <c r="C96" s="38"/>
      <c r="D96" s="40">
        <v>135160</v>
      </c>
      <c r="E96" s="118">
        <v>7</v>
      </c>
      <c r="F96" s="419">
        <v>401</v>
      </c>
      <c r="G96" s="439">
        <v>433</v>
      </c>
      <c r="H96" s="419">
        <v>0</v>
      </c>
      <c r="I96" s="438">
        <v>0</v>
      </c>
      <c r="J96" s="419">
        <v>586</v>
      </c>
      <c r="K96" s="438">
        <v>549</v>
      </c>
      <c r="L96" s="422">
        <f t="shared" si="47"/>
        <v>12.208333333333334</v>
      </c>
      <c r="M96" s="423">
        <f t="shared" si="48"/>
        <v>0</v>
      </c>
      <c r="N96" s="419">
        <v>48</v>
      </c>
      <c r="O96" s="309">
        <f>0</f>
        <v>0</v>
      </c>
      <c r="P96" s="309">
        <f>0</f>
        <v>0</v>
      </c>
      <c r="Q96" s="309">
        <f>0</f>
        <v>0</v>
      </c>
      <c r="R96" s="424">
        <f t="shared" si="45"/>
        <v>0</v>
      </c>
      <c r="S96" s="434"/>
      <c r="T96" s="435"/>
      <c r="U96" s="435"/>
      <c r="V96" s="435"/>
      <c r="W96" s="425">
        <f t="shared" si="46"/>
        <v>0</v>
      </c>
      <c r="X96" s="419">
        <v>51</v>
      </c>
      <c r="Y96" s="419">
        <v>37</v>
      </c>
      <c r="Z96" s="436">
        <v>51</v>
      </c>
      <c r="AA96" s="437">
        <v>51</v>
      </c>
      <c r="AB96" s="419">
        <v>13</v>
      </c>
      <c r="AC96" s="419">
        <v>9</v>
      </c>
      <c r="AD96" s="436">
        <v>13</v>
      </c>
      <c r="AE96" s="437">
        <v>11</v>
      </c>
      <c r="AF96" s="419">
        <v>3</v>
      </c>
      <c r="AG96" s="419">
        <v>2</v>
      </c>
      <c r="AH96" s="436">
        <v>3</v>
      </c>
      <c r="AI96" s="443">
        <v>4</v>
      </c>
      <c r="AJ96" s="419"/>
      <c r="AK96" s="419"/>
      <c r="AL96" s="436"/>
      <c r="AM96" s="436"/>
      <c r="AN96" s="419"/>
      <c r="AO96" s="419"/>
      <c r="AP96" s="436"/>
      <c r="AQ96" s="436"/>
      <c r="AR96" s="424">
        <f t="shared" si="49"/>
        <v>3</v>
      </c>
      <c r="AS96" s="422">
        <f t="shared" si="50"/>
        <v>4.6376811594202899E-2</v>
      </c>
      <c r="AT96" s="425">
        <f t="shared" si="51"/>
        <v>3</v>
      </c>
      <c r="AU96" s="423">
        <f t="shared" si="52"/>
        <v>0</v>
      </c>
      <c r="AV96" s="419"/>
      <c r="AW96" s="421"/>
      <c r="AX96" s="419"/>
      <c r="AY96" s="419"/>
      <c r="AZ96" s="421"/>
      <c r="BA96" s="421"/>
      <c r="BB96" s="419"/>
      <c r="BC96" s="419"/>
      <c r="BD96" s="421"/>
      <c r="BE96" s="421"/>
      <c r="BF96" s="419"/>
      <c r="BG96" s="419"/>
      <c r="BH96" s="421"/>
      <c r="BI96" s="421"/>
      <c r="BJ96" s="419"/>
      <c r="BK96" s="419"/>
      <c r="BL96" s="421"/>
      <c r="BM96" s="421"/>
      <c r="BN96" s="419"/>
      <c r="BO96" s="419"/>
      <c r="BP96" s="421"/>
      <c r="BQ96" s="421"/>
      <c r="BR96" s="419"/>
      <c r="BS96" s="419"/>
      <c r="BT96" s="421"/>
      <c r="BU96" s="421"/>
      <c r="BV96" s="419"/>
      <c r="BW96" s="419"/>
      <c r="BX96" s="421"/>
      <c r="BY96" s="421"/>
      <c r="BZ96" s="419"/>
      <c r="CA96" s="419"/>
      <c r="CB96" s="421"/>
      <c r="CC96" s="421"/>
      <c r="CD96" s="419"/>
      <c r="CE96" s="419"/>
      <c r="CF96" s="421"/>
      <c r="CG96" s="421"/>
      <c r="CH96" s="419"/>
      <c r="CI96" s="419"/>
      <c r="CJ96" s="421"/>
      <c r="CK96" s="421"/>
      <c r="CL96" s="419"/>
      <c r="CM96" s="421"/>
      <c r="CN96" s="424">
        <f t="shared" si="53"/>
        <v>0</v>
      </c>
      <c r="CO96" s="424">
        <f t="shared" si="54"/>
        <v>0</v>
      </c>
      <c r="CP96" s="425">
        <f t="shared" si="55"/>
        <v>0</v>
      </c>
      <c r="CQ96" s="425">
        <f t="shared" si="56"/>
        <v>0</v>
      </c>
      <c r="CR96" s="419"/>
      <c r="CS96" s="419"/>
      <c r="CT96" s="421"/>
      <c r="CU96" s="421"/>
      <c r="CV96" s="419"/>
      <c r="CW96" s="419"/>
      <c r="CX96" s="421"/>
      <c r="CY96" s="421"/>
      <c r="CZ96" s="419"/>
      <c r="DA96" s="419"/>
      <c r="DB96" s="421"/>
      <c r="DC96" s="421"/>
      <c r="DD96" s="419"/>
      <c r="DE96" s="419"/>
      <c r="DF96" s="421"/>
      <c r="DG96" s="421"/>
      <c r="DH96" s="419"/>
      <c r="DI96" s="419"/>
      <c r="DJ96" s="421"/>
      <c r="DK96" s="421"/>
      <c r="DL96" s="419"/>
      <c r="DM96" s="419"/>
      <c r="DN96" s="421"/>
      <c r="DO96" s="421"/>
      <c r="DP96" s="419"/>
      <c r="DQ96" s="419"/>
      <c r="DR96" s="421"/>
      <c r="DS96" s="421"/>
      <c r="DT96" s="419"/>
      <c r="DU96" s="419"/>
      <c r="DV96" s="421"/>
      <c r="DW96" s="421"/>
      <c r="DX96" s="419"/>
      <c r="DY96" s="419"/>
      <c r="DZ96" s="421"/>
      <c r="EA96" s="421"/>
      <c r="EB96" s="419"/>
      <c r="EC96" s="419"/>
      <c r="ED96" s="421"/>
      <c r="EE96" s="421"/>
      <c r="EF96" s="419"/>
      <c r="EG96" s="421"/>
      <c r="EH96" s="424">
        <f t="shared" si="57"/>
        <v>0</v>
      </c>
      <c r="EI96" s="424">
        <f t="shared" si="58"/>
        <v>0</v>
      </c>
      <c r="EJ96" s="422">
        <f t="shared" si="59"/>
        <v>0</v>
      </c>
      <c r="EK96" s="425">
        <f t="shared" si="60"/>
        <v>0</v>
      </c>
      <c r="EL96" s="425">
        <f t="shared" si="61"/>
        <v>0</v>
      </c>
      <c r="EM96" s="423">
        <f t="shared" si="62"/>
        <v>0</v>
      </c>
      <c r="EN96" s="424">
        <f t="shared" si="63"/>
        <v>0</v>
      </c>
      <c r="EO96" s="425">
        <f t="shared" si="64"/>
        <v>0</v>
      </c>
      <c r="EP96" s="419"/>
      <c r="EQ96" s="421"/>
      <c r="ER96" s="419"/>
      <c r="ES96" s="421"/>
      <c r="ET96" s="419"/>
      <c r="EU96" s="421"/>
      <c r="EV96" s="419"/>
      <c r="EW96" s="421"/>
      <c r="EX96" s="419"/>
      <c r="EY96" s="421"/>
      <c r="EZ96" s="419"/>
      <c r="FA96" s="421"/>
      <c r="FB96" s="419"/>
      <c r="FC96" s="421"/>
      <c r="FD96" s="419"/>
      <c r="FE96" s="421"/>
      <c r="FF96" s="419"/>
      <c r="FG96" s="421"/>
      <c r="FH96" s="419"/>
      <c r="FI96" s="421"/>
      <c r="FJ96" s="424">
        <f t="shared" si="65"/>
        <v>0</v>
      </c>
      <c r="FK96" s="425">
        <f t="shared" si="66"/>
        <v>0</v>
      </c>
      <c r="FL96" s="419"/>
      <c r="FM96" s="421"/>
      <c r="FN96" s="424">
        <f t="shared" si="67"/>
        <v>1035</v>
      </c>
      <c r="FO96" s="425">
        <f t="shared" si="68"/>
        <v>982</v>
      </c>
    </row>
    <row r="97" spans="1:171">
      <c r="A97" s="43" t="s">
        <v>156</v>
      </c>
      <c r="B97" s="42" t="s">
        <v>590</v>
      </c>
      <c r="C97" s="38"/>
      <c r="D97" s="40">
        <v>135188</v>
      </c>
      <c r="E97" s="118">
        <v>7</v>
      </c>
      <c r="F97" s="419">
        <v>148</v>
      </c>
      <c r="G97" s="440">
        <v>180</v>
      </c>
      <c r="H97" s="419">
        <v>0</v>
      </c>
      <c r="I97" s="438">
        <v>0</v>
      </c>
      <c r="J97" s="419">
        <v>910</v>
      </c>
      <c r="K97" s="438">
        <v>896</v>
      </c>
      <c r="L97" s="422">
        <f t="shared" si="47"/>
        <v>33.703703703703702</v>
      </c>
      <c r="M97" s="423">
        <f t="shared" si="48"/>
        <v>0</v>
      </c>
      <c r="N97" s="419">
        <v>27</v>
      </c>
      <c r="O97" s="309">
        <f>0</f>
        <v>0</v>
      </c>
      <c r="P97" s="309">
        <f>0</f>
        <v>0</v>
      </c>
      <c r="Q97" s="309">
        <f>0</f>
        <v>0</v>
      </c>
      <c r="R97" s="424">
        <f t="shared" si="45"/>
        <v>0</v>
      </c>
      <c r="S97" s="434"/>
      <c r="T97" s="435"/>
      <c r="U97" s="435"/>
      <c r="V97" s="435"/>
      <c r="W97" s="425">
        <f t="shared" si="46"/>
        <v>0</v>
      </c>
      <c r="X97" s="419">
        <v>52</v>
      </c>
      <c r="Y97" s="419">
        <v>27</v>
      </c>
      <c r="Z97" s="436">
        <v>52</v>
      </c>
      <c r="AA97" s="437">
        <v>33</v>
      </c>
      <c r="AB97" s="419"/>
      <c r="AC97" s="419"/>
      <c r="AD97" s="436">
        <v>51</v>
      </c>
      <c r="AE97" s="442">
        <v>16</v>
      </c>
      <c r="AF97" s="419"/>
      <c r="AG97" s="419"/>
      <c r="AH97" s="436"/>
      <c r="AI97" s="436"/>
      <c r="AJ97" s="419"/>
      <c r="AK97" s="419"/>
      <c r="AL97" s="436"/>
      <c r="AM97" s="436"/>
      <c r="AN97" s="419"/>
      <c r="AO97" s="419"/>
      <c r="AP97" s="436"/>
      <c r="AQ97" s="436"/>
      <c r="AR97" s="424">
        <f t="shared" si="49"/>
        <v>1</v>
      </c>
      <c r="AS97" s="422">
        <f t="shared" si="50"/>
        <v>2.488479262672811E-2</v>
      </c>
      <c r="AT97" s="425">
        <f t="shared" si="51"/>
        <v>2</v>
      </c>
      <c r="AU97" s="423">
        <f t="shared" si="52"/>
        <v>0</v>
      </c>
      <c r="AV97" s="419"/>
      <c r="AW97" s="421"/>
      <c r="AX97" s="419"/>
      <c r="AY97" s="419"/>
      <c r="AZ97" s="421"/>
      <c r="BA97" s="421"/>
      <c r="BB97" s="419"/>
      <c r="BC97" s="419"/>
      <c r="BD97" s="421"/>
      <c r="BE97" s="421"/>
      <c r="BF97" s="419"/>
      <c r="BG97" s="419"/>
      <c r="BH97" s="421"/>
      <c r="BI97" s="421"/>
      <c r="BJ97" s="419"/>
      <c r="BK97" s="419"/>
      <c r="BL97" s="421"/>
      <c r="BM97" s="421"/>
      <c r="BN97" s="419"/>
      <c r="BO97" s="419"/>
      <c r="BP97" s="421"/>
      <c r="BQ97" s="421"/>
      <c r="BR97" s="419"/>
      <c r="BS97" s="419"/>
      <c r="BT97" s="421"/>
      <c r="BU97" s="421"/>
      <c r="BV97" s="419"/>
      <c r="BW97" s="419"/>
      <c r="BX97" s="421"/>
      <c r="BY97" s="421"/>
      <c r="BZ97" s="419"/>
      <c r="CA97" s="419"/>
      <c r="CB97" s="421"/>
      <c r="CC97" s="421"/>
      <c r="CD97" s="419"/>
      <c r="CE97" s="419"/>
      <c r="CF97" s="421"/>
      <c r="CG97" s="421"/>
      <c r="CH97" s="419"/>
      <c r="CI97" s="419"/>
      <c r="CJ97" s="421"/>
      <c r="CK97" s="421"/>
      <c r="CL97" s="419"/>
      <c r="CM97" s="421"/>
      <c r="CN97" s="424">
        <f t="shared" si="53"/>
        <v>0</v>
      </c>
      <c r="CO97" s="424">
        <f t="shared" si="54"/>
        <v>0</v>
      </c>
      <c r="CP97" s="425">
        <f t="shared" si="55"/>
        <v>0</v>
      </c>
      <c r="CQ97" s="425">
        <f t="shared" si="56"/>
        <v>0</v>
      </c>
      <c r="CR97" s="419"/>
      <c r="CS97" s="419"/>
      <c r="CT97" s="421"/>
      <c r="CU97" s="421"/>
      <c r="CV97" s="419"/>
      <c r="CW97" s="419"/>
      <c r="CX97" s="421"/>
      <c r="CY97" s="421"/>
      <c r="CZ97" s="419"/>
      <c r="DA97" s="419"/>
      <c r="DB97" s="421"/>
      <c r="DC97" s="421"/>
      <c r="DD97" s="419"/>
      <c r="DE97" s="419"/>
      <c r="DF97" s="421"/>
      <c r="DG97" s="421"/>
      <c r="DH97" s="419"/>
      <c r="DI97" s="419"/>
      <c r="DJ97" s="421"/>
      <c r="DK97" s="421"/>
      <c r="DL97" s="419"/>
      <c r="DM97" s="419"/>
      <c r="DN97" s="421"/>
      <c r="DO97" s="421"/>
      <c r="DP97" s="419"/>
      <c r="DQ97" s="419"/>
      <c r="DR97" s="421"/>
      <c r="DS97" s="421"/>
      <c r="DT97" s="419"/>
      <c r="DU97" s="419"/>
      <c r="DV97" s="421"/>
      <c r="DW97" s="421"/>
      <c r="DX97" s="419"/>
      <c r="DY97" s="419"/>
      <c r="DZ97" s="421"/>
      <c r="EA97" s="421"/>
      <c r="EB97" s="419"/>
      <c r="EC97" s="419"/>
      <c r="ED97" s="421"/>
      <c r="EE97" s="421"/>
      <c r="EF97" s="419"/>
      <c r="EG97" s="421"/>
      <c r="EH97" s="424">
        <f t="shared" si="57"/>
        <v>0</v>
      </c>
      <c r="EI97" s="424">
        <f t="shared" si="58"/>
        <v>0</v>
      </c>
      <c r="EJ97" s="422">
        <f t="shared" si="59"/>
        <v>0</v>
      </c>
      <c r="EK97" s="425">
        <f t="shared" si="60"/>
        <v>0</v>
      </c>
      <c r="EL97" s="425">
        <f t="shared" si="61"/>
        <v>0</v>
      </c>
      <c r="EM97" s="423">
        <f t="shared" si="62"/>
        <v>0</v>
      </c>
      <c r="EN97" s="424">
        <f t="shared" si="63"/>
        <v>0</v>
      </c>
      <c r="EO97" s="425">
        <f t="shared" si="64"/>
        <v>0</v>
      </c>
      <c r="EP97" s="419"/>
      <c r="EQ97" s="421"/>
      <c r="ER97" s="419"/>
      <c r="ES97" s="421"/>
      <c r="ET97" s="419"/>
      <c r="EU97" s="421"/>
      <c r="EV97" s="419"/>
      <c r="EW97" s="421"/>
      <c r="EX97" s="419"/>
      <c r="EY97" s="421"/>
      <c r="EZ97" s="419"/>
      <c r="FA97" s="421"/>
      <c r="FB97" s="419"/>
      <c r="FC97" s="421"/>
      <c r="FD97" s="419"/>
      <c r="FE97" s="421"/>
      <c r="FF97" s="419"/>
      <c r="FG97" s="421"/>
      <c r="FH97" s="419"/>
      <c r="FI97" s="421"/>
      <c r="FJ97" s="424">
        <f t="shared" si="65"/>
        <v>0</v>
      </c>
      <c r="FK97" s="425">
        <f t="shared" si="66"/>
        <v>0</v>
      </c>
      <c r="FL97" s="419"/>
      <c r="FM97" s="421"/>
      <c r="FN97" s="424">
        <f t="shared" si="67"/>
        <v>1085</v>
      </c>
      <c r="FO97" s="425">
        <f t="shared" si="68"/>
        <v>1076</v>
      </c>
    </row>
    <row r="98" spans="1:171">
      <c r="A98" s="43" t="s">
        <v>156</v>
      </c>
      <c r="B98" s="42" t="s">
        <v>602</v>
      </c>
      <c r="C98" s="39"/>
      <c r="D98" s="40">
        <v>135391</v>
      </c>
      <c r="E98" s="118">
        <v>7</v>
      </c>
      <c r="F98" s="419">
        <v>99</v>
      </c>
      <c r="G98" s="440">
        <v>72</v>
      </c>
      <c r="H98" s="419">
        <v>0</v>
      </c>
      <c r="I98" s="438">
        <v>0</v>
      </c>
      <c r="J98" s="419">
        <v>1465</v>
      </c>
      <c r="K98" s="433">
        <v>1520</v>
      </c>
      <c r="L98" s="422">
        <f t="shared" si="47"/>
        <v>5.1045296167247383</v>
      </c>
      <c r="M98" s="423">
        <f t="shared" si="48"/>
        <v>0</v>
      </c>
      <c r="N98" s="419">
        <v>287</v>
      </c>
      <c r="O98" s="309">
        <f>0</f>
        <v>0</v>
      </c>
      <c r="P98" s="309">
        <f>0</f>
        <v>0</v>
      </c>
      <c r="Q98" s="309">
        <f>0</f>
        <v>0</v>
      </c>
      <c r="R98" s="424">
        <f t="shared" si="45"/>
        <v>0</v>
      </c>
      <c r="S98" s="434"/>
      <c r="T98" s="435"/>
      <c r="U98" s="435"/>
      <c r="V98" s="435"/>
      <c r="W98" s="425">
        <f t="shared" si="46"/>
        <v>0</v>
      </c>
      <c r="X98" s="419">
        <v>51</v>
      </c>
      <c r="Y98" s="419">
        <v>186</v>
      </c>
      <c r="Z98" s="436">
        <v>51</v>
      </c>
      <c r="AA98" s="436">
        <v>179</v>
      </c>
      <c r="AB98" s="419">
        <v>11</v>
      </c>
      <c r="AC98" s="419">
        <v>22</v>
      </c>
      <c r="AD98" s="436">
        <v>11</v>
      </c>
      <c r="AE98" s="436">
        <v>20</v>
      </c>
      <c r="AF98" s="419">
        <v>13</v>
      </c>
      <c r="AG98" s="419">
        <v>21</v>
      </c>
      <c r="AH98" s="436">
        <v>43</v>
      </c>
      <c r="AI98" s="436">
        <v>19</v>
      </c>
      <c r="AJ98" s="419">
        <v>43</v>
      </c>
      <c r="AK98" s="419">
        <v>16</v>
      </c>
      <c r="AL98" s="436">
        <v>13</v>
      </c>
      <c r="AM98" s="436">
        <v>17</v>
      </c>
      <c r="AN98" s="419">
        <v>52</v>
      </c>
      <c r="AO98" s="419">
        <v>10</v>
      </c>
      <c r="AP98" s="436">
        <v>52</v>
      </c>
      <c r="AQ98" s="436">
        <v>9</v>
      </c>
      <c r="AR98" s="424">
        <f t="shared" si="49"/>
        <v>5</v>
      </c>
      <c r="AS98" s="422">
        <f t="shared" si="50"/>
        <v>0.15505132360886006</v>
      </c>
      <c r="AT98" s="425">
        <f t="shared" si="51"/>
        <v>5</v>
      </c>
      <c r="AU98" s="423">
        <f t="shared" si="52"/>
        <v>0</v>
      </c>
      <c r="AV98" s="419"/>
      <c r="AW98" s="421"/>
      <c r="AX98" s="419"/>
      <c r="AY98" s="419"/>
      <c r="AZ98" s="421"/>
      <c r="BA98" s="421"/>
      <c r="BB98" s="419"/>
      <c r="BC98" s="419"/>
      <c r="BD98" s="421"/>
      <c r="BE98" s="421"/>
      <c r="BF98" s="419"/>
      <c r="BG98" s="419"/>
      <c r="BH98" s="421"/>
      <c r="BI98" s="421"/>
      <c r="BJ98" s="419"/>
      <c r="BK98" s="419"/>
      <c r="BL98" s="421"/>
      <c r="BM98" s="421"/>
      <c r="BN98" s="419"/>
      <c r="BO98" s="419"/>
      <c r="BP98" s="421"/>
      <c r="BQ98" s="421"/>
      <c r="BR98" s="419"/>
      <c r="BS98" s="419"/>
      <c r="BT98" s="421"/>
      <c r="BU98" s="421"/>
      <c r="BV98" s="419"/>
      <c r="BW98" s="419"/>
      <c r="BX98" s="421"/>
      <c r="BY98" s="421"/>
      <c r="BZ98" s="419"/>
      <c r="CA98" s="419"/>
      <c r="CB98" s="421"/>
      <c r="CC98" s="421"/>
      <c r="CD98" s="419"/>
      <c r="CE98" s="419"/>
      <c r="CF98" s="421"/>
      <c r="CG98" s="421"/>
      <c r="CH98" s="419"/>
      <c r="CI98" s="419"/>
      <c r="CJ98" s="421"/>
      <c r="CK98" s="421"/>
      <c r="CL98" s="419"/>
      <c r="CM98" s="421"/>
      <c r="CN98" s="424">
        <f t="shared" si="53"/>
        <v>0</v>
      </c>
      <c r="CO98" s="424">
        <f t="shared" si="54"/>
        <v>0</v>
      </c>
      <c r="CP98" s="425">
        <f t="shared" si="55"/>
        <v>0</v>
      </c>
      <c r="CQ98" s="425">
        <f t="shared" si="56"/>
        <v>0</v>
      </c>
      <c r="CR98" s="419"/>
      <c r="CS98" s="419"/>
      <c r="CT98" s="421"/>
      <c r="CU98" s="421"/>
      <c r="CV98" s="419"/>
      <c r="CW98" s="419"/>
      <c r="CX98" s="421"/>
      <c r="CY98" s="421"/>
      <c r="CZ98" s="419"/>
      <c r="DA98" s="419"/>
      <c r="DB98" s="421"/>
      <c r="DC98" s="421"/>
      <c r="DD98" s="419"/>
      <c r="DE98" s="419"/>
      <c r="DF98" s="421"/>
      <c r="DG98" s="421"/>
      <c r="DH98" s="419"/>
      <c r="DI98" s="419"/>
      <c r="DJ98" s="421"/>
      <c r="DK98" s="421"/>
      <c r="DL98" s="419"/>
      <c r="DM98" s="419"/>
      <c r="DN98" s="421"/>
      <c r="DO98" s="421"/>
      <c r="DP98" s="419"/>
      <c r="DQ98" s="419"/>
      <c r="DR98" s="421"/>
      <c r="DS98" s="421"/>
      <c r="DT98" s="419"/>
      <c r="DU98" s="419"/>
      <c r="DV98" s="421"/>
      <c r="DW98" s="421"/>
      <c r="DX98" s="419"/>
      <c r="DY98" s="419"/>
      <c r="DZ98" s="421"/>
      <c r="EA98" s="421"/>
      <c r="EB98" s="419"/>
      <c r="EC98" s="419"/>
      <c r="ED98" s="421"/>
      <c r="EE98" s="421"/>
      <c r="EF98" s="419"/>
      <c r="EG98" s="421"/>
      <c r="EH98" s="424">
        <f t="shared" si="57"/>
        <v>0</v>
      </c>
      <c r="EI98" s="424">
        <f t="shared" si="58"/>
        <v>0</v>
      </c>
      <c r="EJ98" s="422">
        <f t="shared" si="59"/>
        <v>0</v>
      </c>
      <c r="EK98" s="425">
        <f t="shared" si="60"/>
        <v>0</v>
      </c>
      <c r="EL98" s="425">
        <f t="shared" si="61"/>
        <v>0</v>
      </c>
      <c r="EM98" s="423">
        <f t="shared" si="62"/>
        <v>0</v>
      </c>
      <c r="EN98" s="424">
        <f t="shared" si="63"/>
        <v>0</v>
      </c>
      <c r="EO98" s="425">
        <f t="shared" si="64"/>
        <v>0</v>
      </c>
      <c r="EP98" s="419"/>
      <c r="EQ98" s="421"/>
      <c r="ER98" s="419"/>
      <c r="ES98" s="421"/>
      <c r="ET98" s="419"/>
      <c r="EU98" s="421"/>
      <c r="EV98" s="419"/>
      <c r="EW98" s="421"/>
      <c r="EX98" s="419"/>
      <c r="EY98" s="421"/>
      <c r="EZ98" s="419"/>
      <c r="FA98" s="421"/>
      <c r="FB98" s="419"/>
      <c r="FC98" s="421"/>
      <c r="FD98" s="419"/>
      <c r="FE98" s="421"/>
      <c r="FF98" s="419"/>
      <c r="FG98" s="421"/>
      <c r="FH98" s="419"/>
      <c r="FI98" s="421"/>
      <c r="FJ98" s="424">
        <f t="shared" si="65"/>
        <v>0</v>
      </c>
      <c r="FK98" s="425">
        <f t="shared" si="66"/>
        <v>0</v>
      </c>
      <c r="FL98" s="419"/>
      <c r="FM98" s="421"/>
      <c r="FN98" s="424">
        <f t="shared" si="67"/>
        <v>1851</v>
      </c>
      <c r="FO98" s="425">
        <f t="shared" si="68"/>
        <v>1592</v>
      </c>
    </row>
    <row r="99" spans="1:171">
      <c r="A99" s="43" t="s">
        <v>156</v>
      </c>
      <c r="B99" s="42" t="s">
        <v>591</v>
      </c>
      <c r="C99" s="41"/>
      <c r="D99" s="40">
        <v>135717</v>
      </c>
      <c r="E99" s="118">
        <v>7</v>
      </c>
      <c r="F99" s="419">
        <v>4808</v>
      </c>
      <c r="G99" s="431">
        <v>4750</v>
      </c>
      <c r="H99" s="419">
        <v>0</v>
      </c>
      <c r="I99" s="438">
        <v>0</v>
      </c>
      <c r="J99" s="419">
        <v>10672</v>
      </c>
      <c r="K99" s="433">
        <v>10700</v>
      </c>
      <c r="L99" s="422">
        <f t="shared" si="47"/>
        <v>8.7619047619047628</v>
      </c>
      <c r="M99" s="423">
        <f t="shared" si="48"/>
        <v>0</v>
      </c>
      <c r="N99" s="419">
        <v>1218</v>
      </c>
      <c r="O99" s="309">
        <f>0</f>
        <v>0</v>
      </c>
      <c r="P99" s="309">
        <f>0</f>
        <v>0</v>
      </c>
      <c r="Q99" s="309">
        <f>0</f>
        <v>0</v>
      </c>
      <c r="R99" s="424">
        <f t="shared" si="45"/>
        <v>0</v>
      </c>
      <c r="S99" s="434"/>
      <c r="T99" s="435"/>
      <c r="U99" s="435"/>
      <c r="V99" s="435"/>
      <c r="W99" s="425">
        <f t="shared" si="46"/>
        <v>0</v>
      </c>
      <c r="X99" s="419">
        <v>52</v>
      </c>
      <c r="Y99" s="419">
        <v>455</v>
      </c>
      <c r="Z99" s="436">
        <v>52</v>
      </c>
      <c r="AA99" s="436">
        <v>428</v>
      </c>
      <c r="AB99" s="419">
        <v>51</v>
      </c>
      <c r="AC99" s="419">
        <v>277</v>
      </c>
      <c r="AD99" s="436">
        <v>51</v>
      </c>
      <c r="AE99" s="436">
        <v>286</v>
      </c>
      <c r="AF99" s="419">
        <v>43</v>
      </c>
      <c r="AG99" s="419">
        <v>142</v>
      </c>
      <c r="AH99" s="436">
        <v>11</v>
      </c>
      <c r="AI99" s="436">
        <v>137</v>
      </c>
      <c r="AJ99" s="419">
        <v>11</v>
      </c>
      <c r="AK99" s="419">
        <v>83</v>
      </c>
      <c r="AL99" s="436">
        <v>43</v>
      </c>
      <c r="AM99" s="443">
        <v>128</v>
      </c>
      <c r="AN99" s="419">
        <v>50</v>
      </c>
      <c r="AO99" s="419">
        <v>57</v>
      </c>
      <c r="AP99" s="436">
        <v>13</v>
      </c>
      <c r="AQ99" s="443">
        <v>105</v>
      </c>
      <c r="AR99" s="424">
        <f t="shared" si="49"/>
        <v>5</v>
      </c>
      <c r="AS99" s="422">
        <f t="shared" si="50"/>
        <v>7.294286740927057E-2</v>
      </c>
      <c r="AT99" s="425">
        <f t="shared" si="51"/>
        <v>5</v>
      </c>
      <c r="AU99" s="423">
        <f t="shared" si="52"/>
        <v>0</v>
      </c>
      <c r="AV99" s="419"/>
      <c r="AW99" s="421"/>
      <c r="AX99" s="419"/>
      <c r="AY99" s="419"/>
      <c r="AZ99" s="421"/>
      <c r="BA99" s="421"/>
      <c r="BB99" s="419"/>
      <c r="BC99" s="419"/>
      <c r="BD99" s="421"/>
      <c r="BE99" s="421"/>
      <c r="BF99" s="419"/>
      <c r="BG99" s="419"/>
      <c r="BH99" s="421"/>
      <c r="BI99" s="421"/>
      <c r="BJ99" s="419"/>
      <c r="BK99" s="419"/>
      <c r="BL99" s="421"/>
      <c r="BM99" s="421"/>
      <c r="BN99" s="419"/>
      <c r="BO99" s="419"/>
      <c r="BP99" s="421"/>
      <c r="BQ99" s="421"/>
      <c r="BR99" s="419"/>
      <c r="BS99" s="419"/>
      <c r="BT99" s="421"/>
      <c r="BU99" s="421"/>
      <c r="BV99" s="419"/>
      <c r="BW99" s="419"/>
      <c r="BX99" s="421"/>
      <c r="BY99" s="421"/>
      <c r="BZ99" s="419"/>
      <c r="CA99" s="419"/>
      <c r="CB99" s="421"/>
      <c r="CC99" s="421"/>
      <c r="CD99" s="419"/>
      <c r="CE99" s="419"/>
      <c r="CF99" s="421"/>
      <c r="CG99" s="421"/>
      <c r="CH99" s="419"/>
      <c r="CI99" s="419"/>
      <c r="CJ99" s="421"/>
      <c r="CK99" s="421"/>
      <c r="CL99" s="419"/>
      <c r="CM99" s="421"/>
      <c r="CN99" s="424">
        <f t="shared" si="53"/>
        <v>0</v>
      </c>
      <c r="CO99" s="424">
        <f t="shared" si="54"/>
        <v>0</v>
      </c>
      <c r="CP99" s="425">
        <f t="shared" si="55"/>
        <v>0</v>
      </c>
      <c r="CQ99" s="425">
        <f t="shared" si="56"/>
        <v>0</v>
      </c>
      <c r="CR99" s="419"/>
      <c r="CS99" s="419"/>
      <c r="CT99" s="421"/>
      <c r="CU99" s="421"/>
      <c r="CV99" s="419"/>
      <c r="CW99" s="419"/>
      <c r="CX99" s="421"/>
      <c r="CY99" s="421"/>
      <c r="CZ99" s="419"/>
      <c r="DA99" s="419"/>
      <c r="DB99" s="421"/>
      <c r="DC99" s="421"/>
      <c r="DD99" s="419"/>
      <c r="DE99" s="419"/>
      <c r="DF99" s="421"/>
      <c r="DG99" s="421"/>
      <c r="DH99" s="419"/>
      <c r="DI99" s="419"/>
      <c r="DJ99" s="421"/>
      <c r="DK99" s="421"/>
      <c r="DL99" s="419"/>
      <c r="DM99" s="419"/>
      <c r="DN99" s="421"/>
      <c r="DO99" s="421"/>
      <c r="DP99" s="419"/>
      <c r="DQ99" s="419"/>
      <c r="DR99" s="421"/>
      <c r="DS99" s="421"/>
      <c r="DT99" s="419"/>
      <c r="DU99" s="419"/>
      <c r="DV99" s="421"/>
      <c r="DW99" s="421"/>
      <c r="DX99" s="419"/>
      <c r="DY99" s="419"/>
      <c r="DZ99" s="421"/>
      <c r="EA99" s="421"/>
      <c r="EB99" s="419"/>
      <c r="EC99" s="419"/>
      <c r="ED99" s="421"/>
      <c r="EE99" s="421"/>
      <c r="EF99" s="419"/>
      <c r="EG99" s="421"/>
      <c r="EH99" s="424">
        <f t="shared" si="57"/>
        <v>0</v>
      </c>
      <c r="EI99" s="424">
        <f t="shared" si="58"/>
        <v>0</v>
      </c>
      <c r="EJ99" s="422">
        <f t="shared" si="59"/>
        <v>0</v>
      </c>
      <c r="EK99" s="425">
        <f t="shared" si="60"/>
        <v>0</v>
      </c>
      <c r="EL99" s="425">
        <f t="shared" si="61"/>
        <v>0</v>
      </c>
      <c r="EM99" s="423">
        <f t="shared" si="62"/>
        <v>0</v>
      </c>
      <c r="EN99" s="424">
        <f t="shared" si="63"/>
        <v>0</v>
      </c>
      <c r="EO99" s="425">
        <f t="shared" si="64"/>
        <v>0</v>
      </c>
      <c r="EP99" s="419"/>
      <c r="EQ99" s="421"/>
      <c r="ER99" s="419"/>
      <c r="ES99" s="421"/>
      <c r="ET99" s="419"/>
      <c r="EU99" s="421"/>
      <c r="EV99" s="419"/>
      <c r="EW99" s="421"/>
      <c r="EX99" s="419"/>
      <c r="EY99" s="421"/>
      <c r="EZ99" s="419"/>
      <c r="FA99" s="421"/>
      <c r="FB99" s="419"/>
      <c r="FC99" s="421"/>
      <c r="FD99" s="419"/>
      <c r="FE99" s="421"/>
      <c r="FF99" s="419"/>
      <c r="FG99" s="421"/>
      <c r="FH99" s="419"/>
      <c r="FI99" s="421"/>
      <c r="FJ99" s="424">
        <f t="shared" si="65"/>
        <v>0</v>
      </c>
      <c r="FK99" s="425">
        <f t="shared" si="66"/>
        <v>0</v>
      </c>
      <c r="FL99" s="419"/>
      <c r="FM99" s="421"/>
      <c r="FN99" s="424">
        <f t="shared" si="67"/>
        <v>16698</v>
      </c>
      <c r="FO99" s="425">
        <f t="shared" si="68"/>
        <v>15450</v>
      </c>
    </row>
    <row r="100" spans="1:171">
      <c r="A100" s="43" t="s">
        <v>156</v>
      </c>
      <c r="B100" s="42" t="s">
        <v>606</v>
      </c>
      <c r="C100" s="41" t="s">
        <v>579</v>
      </c>
      <c r="D100" s="40">
        <v>136145</v>
      </c>
      <c r="E100" s="118">
        <v>10</v>
      </c>
      <c r="F100" s="419">
        <v>170</v>
      </c>
      <c r="G100" s="439">
        <v>137</v>
      </c>
      <c r="H100" s="419">
        <v>0</v>
      </c>
      <c r="I100" s="438">
        <v>0</v>
      </c>
      <c r="J100" s="419">
        <v>255</v>
      </c>
      <c r="K100" s="438">
        <v>232</v>
      </c>
      <c r="L100" s="422">
        <f t="shared" si="47"/>
        <v>28.333333333333332</v>
      </c>
      <c r="M100" s="423">
        <f t="shared" si="48"/>
        <v>0</v>
      </c>
      <c r="N100" s="419">
        <v>9</v>
      </c>
      <c r="O100" s="309">
        <f>0</f>
        <v>0</v>
      </c>
      <c r="P100" s="309">
        <f>0</f>
        <v>0</v>
      </c>
      <c r="Q100" s="309">
        <f>0</f>
        <v>0</v>
      </c>
      <c r="R100" s="424">
        <f t="shared" si="45"/>
        <v>0</v>
      </c>
      <c r="S100" s="434"/>
      <c r="T100" s="435"/>
      <c r="U100" s="435"/>
      <c r="V100" s="435"/>
      <c r="W100" s="425">
        <f t="shared" si="46"/>
        <v>0</v>
      </c>
      <c r="X100" s="419">
        <v>51</v>
      </c>
      <c r="Y100" s="419">
        <v>9</v>
      </c>
      <c r="Z100" s="436">
        <v>51</v>
      </c>
      <c r="AA100" s="443">
        <v>17</v>
      </c>
      <c r="AB100" s="419"/>
      <c r="AC100" s="419"/>
      <c r="AD100" s="436"/>
      <c r="AE100" s="436"/>
      <c r="AF100" s="419"/>
      <c r="AG100" s="419"/>
      <c r="AH100" s="436"/>
      <c r="AI100" s="436"/>
      <c r="AJ100" s="419"/>
      <c r="AK100" s="419"/>
      <c r="AL100" s="436"/>
      <c r="AM100" s="436"/>
      <c r="AN100" s="419"/>
      <c r="AO100" s="419"/>
      <c r="AP100" s="436"/>
      <c r="AQ100" s="436"/>
      <c r="AR100" s="424">
        <f t="shared" si="49"/>
        <v>1</v>
      </c>
      <c r="AS100" s="422">
        <f t="shared" si="50"/>
        <v>2.0737327188940093E-2</v>
      </c>
      <c r="AT100" s="425">
        <f t="shared" si="51"/>
        <v>1</v>
      </c>
      <c r="AU100" s="423">
        <f t="shared" si="52"/>
        <v>0</v>
      </c>
      <c r="AV100" s="419"/>
      <c r="AW100" s="421"/>
      <c r="AX100" s="419"/>
      <c r="AY100" s="419"/>
      <c r="AZ100" s="421"/>
      <c r="BA100" s="421"/>
      <c r="BB100" s="419"/>
      <c r="BC100" s="419"/>
      <c r="BD100" s="421"/>
      <c r="BE100" s="421"/>
      <c r="BF100" s="419"/>
      <c r="BG100" s="419"/>
      <c r="BH100" s="421"/>
      <c r="BI100" s="421"/>
      <c r="BJ100" s="419"/>
      <c r="BK100" s="419"/>
      <c r="BL100" s="421"/>
      <c r="BM100" s="421"/>
      <c r="BN100" s="419"/>
      <c r="BO100" s="419"/>
      <c r="BP100" s="421"/>
      <c r="BQ100" s="421"/>
      <c r="BR100" s="419"/>
      <c r="BS100" s="419"/>
      <c r="BT100" s="421"/>
      <c r="BU100" s="421"/>
      <c r="BV100" s="419"/>
      <c r="BW100" s="419"/>
      <c r="BX100" s="421"/>
      <c r="BY100" s="421"/>
      <c r="BZ100" s="419"/>
      <c r="CA100" s="419"/>
      <c r="CB100" s="421"/>
      <c r="CC100" s="421"/>
      <c r="CD100" s="419"/>
      <c r="CE100" s="419"/>
      <c r="CF100" s="421"/>
      <c r="CG100" s="421"/>
      <c r="CH100" s="419"/>
      <c r="CI100" s="419"/>
      <c r="CJ100" s="421"/>
      <c r="CK100" s="421"/>
      <c r="CL100" s="419"/>
      <c r="CM100" s="421"/>
      <c r="CN100" s="424">
        <f t="shared" si="53"/>
        <v>0</v>
      </c>
      <c r="CO100" s="424">
        <f t="shared" si="54"/>
        <v>0</v>
      </c>
      <c r="CP100" s="425">
        <f t="shared" si="55"/>
        <v>0</v>
      </c>
      <c r="CQ100" s="425">
        <f t="shared" si="56"/>
        <v>0</v>
      </c>
      <c r="CR100" s="419"/>
      <c r="CS100" s="419"/>
      <c r="CT100" s="421"/>
      <c r="CU100" s="421"/>
      <c r="CV100" s="419"/>
      <c r="CW100" s="419"/>
      <c r="CX100" s="421"/>
      <c r="CY100" s="421"/>
      <c r="CZ100" s="419"/>
      <c r="DA100" s="419"/>
      <c r="DB100" s="421"/>
      <c r="DC100" s="421"/>
      <c r="DD100" s="419"/>
      <c r="DE100" s="419"/>
      <c r="DF100" s="421"/>
      <c r="DG100" s="421"/>
      <c r="DH100" s="419"/>
      <c r="DI100" s="419"/>
      <c r="DJ100" s="421"/>
      <c r="DK100" s="421"/>
      <c r="DL100" s="419"/>
      <c r="DM100" s="419"/>
      <c r="DN100" s="421"/>
      <c r="DO100" s="421"/>
      <c r="DP100" s="419"/>
      <c r="DQ100" s="419"/>
      <c r="DR100" s="421"/>
      <c r="DS100" s="421"/>
      <c r="DT100" s="419"/>
      <c r="DU100" s="419"/>
      <c r="DV100" s="421"/>
      <c r="DW100" s="421"/>
      <c r="DX100" s="419"/>
      <c r="DY100" s="419"/>
      <c r="DZ100" s="421"/>
      <c r="EA100" s="421"/>
      <c r="EB100" s="419"/>
      <c r="EC100" s="419"/>
      <c r="ED100" s="421"/>
      <c r="EE100" s="421"/>
      <c r="EF100" s="419"/>
      <c r="EG100" s="421"/>
      <c r="EH100" s="424">
        <f t="shared" si="57"/>
        <v>0</v>
      </c>
      <c r="EI100" s="424">
        <f t="shared" si="58"/>
        <v>0</v>
      </c>
      <c r="EJ100" s="422">
        <f t="shared" si="59"/>
        <v>0</v>
      </c>
      <c r="EK100" s="425">
        <f t="shared" si="60"/>
        <v>0</v>
      </c>
      <c r="EL100" s="425">
        <f t="shared" si="61"/>
        <v>0</v>
      </c>
      <c r="EM100" s="423">
        <f t="shared" si="62"/>
        <v>0</v>
      </c>
      <c r="EN100" s="424">
        <f t="shared" si="63"/>
        <v>0</v>
      </c>
      <c r="EO100" s="425">
        <f t="shared" si="64"/>
        <v>0</v>
      </c>
      <c r="EP100" s="419"/>
      <c r="EQ100" s="421"/>
      <c r="ER100" s="419"/>
      <c r="ES100" s="421"/>
      <c r="ET100" s="419"/>
      <c r="EU100" s="421"/>
      <c r="EV100" s="419"/>
      <c r="EW100" s="421"/>
      <c r="EX100" s="419"/>
      <c r="EY100" s="421"/>
      <c r="EZ100" s="419"/>
      <c r="FA100" s="421"/>
      <c r="FB100" s="419"/>
      <c r="FC100" s="421"/>
      <c r="FD100" s="419"/>
      <c r="FE100" s="421"/>
      <c r="FF100" s="419"/>
      <c r="FG100" s="421"/>
      <c r="FH100" s="419"/>
      <c r="FI100" s="421"/>
      <c r="FJ100" s="424">
        <f t="shared" si="65"/>
        <v>0</v>
      </c>
      <c r="FK100" s="425">
        <f t="shared" si="66"/>
        <v>0</v>
      </c>
      <c r="FL100" s="419"/>
      <c r="FM100" s="421"/>
      <c r="FN100" s="424">
        <f t="shared" si="67"/>
        <v>434</v>
      </c>
      <c r="FO100" s="425">
        <f t="shared" si="68"/>
        <v>369</v>
      </c>
    </row>
    <row r="101" spans="1:171">
      <c r="A101" s="43" t="s">
        <v>156</v>
      </c>
      <c r="B101" s="42" t="s">
        <v>592</v>
      </c>
      <c r="C101" s="41"/>
      <c r="D101" s="40">
        <v>136233</v>
      </c>
      <c r="E101" s="118">
        <v>7</v>
      </c>
      <c r="F101" s="419">
        <v>275</v>
      </c>
      <c r="G101" s="439">
        <v>292</v>
      </c>
      <c r="H101" s="419">
        <v>0</v>
      </c>
      <c r="I101" s="438">
        <v>0</v>
      </c>
      <c r="J101" s="419">
        <v>923</v>
      </c>
      <c r="K101" s="438">
        <v>976</v>
      </c>
      <c r="L101" s="422">
        <f t="shared" si="47"/>
        <v>5.5939393939393938</v>
      </c>
      <c r="M101" s="423">
        <f t="shared" si="48"/>
        <v>0</v>
      </c>
      <c r="N101" s="419">
        <v>165</v>
      </c>
      <c r="O101" s="309">
        <f>0</f>
        <v>0</v>
      </c>
      <c r="P101" s="309">
        <f>0</f>
        <v>0</v>
      </c>
      <c r="Q101" s="309">
        <f>0</f>
        <v>0</v>
      </c>
      <c r="R101" s="424">
        <f t="shared" si="45"/>
        <v>0</v>
      </c>
      <c r="S101" s="434"/>
      <c r="T101" s="435"/>
      <c r="U101" s="435"/>
      <c r="V101" s="435"/>
      <c r="W101" s="425">
        <f t="shared" si="46"/>
        <v>0</v>
      </c>
      <c r="X101" s="419">
        <v>51</v>
      </c>
      <c r="Y101" s="419">
        <v>50</v>
      </c>
      <c r="Z101" s="436">
        <v>52</v>
      </c>
      <c r="AA101" s="437">
        <v>61</v>
      </c>
      <c r="AB101" s="419">
        <v>52</v>
      </c>
      <c r="AC101" s="419">
        <v>43</v>
      </c>
      <c r="AD101" s="436">
        <v>51</v>
      </c>
      <c r="AE101" s="436">
        <v>45</v>
      </c>
      <c r="AF101" s="419">
        <v>13</v>
      </c>
      <c r="AG101" s="419">
        <v>20</v>
      </c>
      <c r="AH101" s="436">
        <v>13</v>
      </c>
      <c r="AI101" s="443">
        <v>34</v>
      </c>
      <c r="AJ101" s="419"/>
      <c r="AK101" s="419"/>
      <c r="AL101" s="436"/>
      <c r="AM101" s="436"/>
      <c r="AN101" s="419"/>
      <c r="AO101" s="419"/>
      <c r="AP101" s="436"/>
      <c r="AQ101" s="436"/>
      <c r="AR101" s="424">
        <f t="shared" si="49"/>
        <v>3</v>
      </c>
      <c r="AS101" s="422">
        <f t="shared" si="50"/>
        <v>0.1210564930300807</v>
      </c>
      <c r="AT101" s="425">
        <f t="shared" si="51"/>
        <v>3</v>
      </c>
      <c r="AU101" s="423">
        <f t="shared" si="52"/>
        <v>0</v>
      </c>
      <c r="AV101" s="419"/>
      <c r="AW101" s="421"/>
      <c r="AX101" s="419"/>
      <c r="AY101" s="419"/>
      <c r="AZ101" s="421"/>
      <c r="BA101" s="421"/>
      <c r="BB101" s="419"/>
      <c r="BC101" s="419"/>
      <c r="BD101" s="421"/>
      <c r="BE101" s="421"/>
      <c r="BF101" s="419"/>
      <c r="BG101" s="419"/>
      <c r="BH101" s="421"/>
      <c r="BI101" s="421"/>
      <c r="BJ101" s="419"/>
      <c r="BK101" s="419"/>
      <c r="BL101" s="421"/>
      <c r="BM101" s="421"/>
      <c r="BN101" s="419"/>
      <c r="BO101" s="419"/>
      <c r="BP101" s="421"/>
      <c r="BQ101" s="421"/>
      <c r="BR101" s="419"/>
      <c r="BS101" s="419"/>
      <c r="BT101" s="421"/>
      <c r="BU101" s="421"/>
      <c r="BV101" s="419"/>
      <c r="BW101" s="419"/>
      <c r="BX101" s="421"/>
      <c r="BY101" s="421"/>
      <c r="BZ101" s="419"/>
      <c r="CA101" s="419"/>
      <c r="CB101" s="421"/>
      <c r="CC101" s="421"/>
      <c r="CD101" s="419"/>
      <c r="CE101" s="419"/>
      <c r="CF101" s="421"/>
      <c r="CG101" s="421"/>
      <c r="CH101" s="419"/>
      <c r="CI101" s="419"/>
      <c r="CJ101" s="421"/>
      <c r="CK101" s="421"/>
      <c r="CL101" s="419"/>
      <c r="CM101" s="421"/>
      <c r="CN101" s="424">
        <f t="shared" si="53"/>
        <v>0</v>
      </c>
      <c r="CO101" s="424">
        <f t="shared" si="54"/>
        <v>0</v>
      </c>
      <c r="CP101" s="425">
        <f t="shared" si="55"/>
        <v>0</v>
      </c>
      <c r="CQ101" s="425">
        <f t="shared" si="56"/>
        <v>0</v>
      </c>
      <c r="CR101" s="419"/>
      <c r="CS101" s="419"/>
      <c r="CT101" s="421"/>
      <c r="CU101" s="421"/>
      <c r="CV101" s="419"/>
      <c r="CW101" s="419"/>
      <c r="CX101" s="421"/>
      <c r="CY101" s="421"/>
      <c r="CZ101" s="419"/>
      <c r="DA101" s="419"/>
      <c r="DB101" s="421"/>
      <c r="DC101" s="421"/>
      <c r="DD101" s="419"/>
      <c r="DE101" s="419"/>
      <c r="DF101" s="421"/>
      <c r="DG101" s="421"/>
      <c r="DH101" s="419"/>
      <c r="DI101" s="419"/>
      <c r="DJ101" s="421"/>
      <c r="DK101" s="421"/>
      <c r="DL101" s="419"/>
      <c r="DM101" s="419"/>
      <c r="DN101" s="421"/>
      <c r="DO101" s="421"/>
      <c r="DP101" s="419"/>
      <c r="DQ101" s="419"/>
      <c r="DR101" s="421"/>
      <c r="DS101" s="421"/>
      <c r="DT101" s="419"/>
      <c r="DU101" s="419"/>
      <c r="DV101" s="421"/>
      <c r="DW101" s="421"/>
      <c r="DX101" s="419"/>
      <c r="DY101" s="419"/>
      <c r="DZ101" s="421"/>
      <c r="EA101" s="421"/>
      <c r="EB101" s="419"/>
      <c r="EC101" s="419"/>
      <c r="ED101" s="421"/>
      <c r="EE101" s="421"/>
      <c r="EF101" s="419"/>
      <c r="EG101" s="421"/>
      <c r="EH101" s="424">
        <f t="shared" si="57"/>
        <v>0</v>
      </c>
      <c r="EI101" s="424">
        <f t="shared" si="58"/>
        <v>0</v>
      </c>
      <c r="EJ101" s="422">
        <f t="shared" si="59"/>
        <v>0</v>
      </c>
      <c r="EK101" s="425">
        <f t="shared" si="60"/>
        <v>0</v>
      </c>
      <c r="EL101" s="425">
        <f t="shared" si="61"/>
        <v>0</v>
      </c>
      <c r="EM101" s="423">
        <f t="shared" si="62"/>
        <v>0</v>
      </c>
      <c r="EN101" s="424">
        <f t="shared" si="63"/>
        <v>0</v>
      </c>
      <c r="EO101" s="425">
        <f t="shared" si="64"/>
        <v>0</v>
      </c>
      <c r="EP101" s="419"/>
      <c r="EQ101" s="421"/>
      <c r="ER101" s="419"/>
      <c r="ES101" s="421"/>
      <c r="ET101" s="419"/>
      <c r="EU101" s="421"/>
      <c r="EV101" s="419"/>
      <c r="EW101" s="421"/>
      <c r="EX101" s="419"/>
      <c r="EY101" s="421"/>
      <c r="EZ101" s="419"/>
      <c r="FA101" s="421"/>
      <c r="FB101" s="419"/>
      <c r="FC101" s="421"/>
      <c r="FD101" s="419"/>
      <c r="FE101" s="421"/>
      <c r="FF101" s="419"/>
      <c r="FG101" s="421"/>
      <c r="FH101" s="419"/>
      <c r="FI101" s="421"/>
      <c r="FJ101" s="424">
        <f t="shared" si="65"/>
        <v>0</v>
      </c>
      <c r="FK101" s="425">
        <f t="shared" si="66"/>
        <v>0</v>
      </c>
      <c r="FL101" s="419"/>
      <c r="FM101" s="421"/>
      <c r="FN101" s="424">
        <f t="shared" si="67"/>
        <v>1363</v>
      </c>
      <c r="FO101" s="425">
        <f t="shared" si="68"/>
        <v>1268</v>
      </c>
    </row>
    <row r="102" spans="1:171">
      <c r="A102" s="43" t="s">
        <v>156</v>
      </c>
      <c r="B102" s="42" t="s">
        <v>593</v>
      </c>
      <c r="C102" s="39"/>
      <c r="D102" s="40">
        <v>136358</v>
      </c>
      <c r="E102" s="118">
        <v>7</v>
      </c>
      <c r="F102" s="419">
        <v>2010</v>
      </c>
      <c r="G102" s="431">
        <v>1646</v>
      </c>
      <c r="H102" s="419">
        <v>55</v>
      </c>
      <c r="I102" s="441">
        <v>43</v>
      </c>
      <c r="J102" s="419">
        <v>4904</v>
      </c>
      <c r="K102" s="433">
        <v>4671</v>
      </c>
      <c r="L102" s="422">
        <f t="shared" si="47"/>
        <v>11.704057279236277</v>
      </c>
      <c r="M102" s="423">
        <f t="shared" si="48"/>
        <v>0</v>
      </c>
      <c r="N102" s="419">
        <v>419</v>
      </c>
      <c r="O102" s="309">
        <f>0</f>
        <v>0</v>
      </c>
      <c r="P102" s="309">
        <f>0</f>
        <v>0</v>
      </c>
      <c r="Q102" s="309">
        <f>0</f>
        <v>0</v>
      </c>
      <c r="R102" s="424">
        <f t="shared" si="45"/>
        <v>0</v>
      </c>
      <c r="S102" s="434"/>
      <c r="T102" s="435"/>
      <c r="U102" s="435"/>
      <c r="V102" s="435"/>
      <c r="W102" s="425">
        <f t="shared" si="46"/>
        <v>0</v>
      </c>
      <c r="X102" s="419">
        <v>52</v>
      </c>
      <c r="Y102" s="419">
        <v>281</v>
      </c>
      <c r="Z102" s="436">
        <v>52</v>
      </c>
      <c r="AA102" s="436">
        <v>322</v>
      </c>
      <c r="AB102" s="419">
        <v>51</v>
      </c>
      <c r="AC102" s="419">
        <v>81</v>
      </c>
      <c r="AD102" s="436">
        <v>51</v>
      </c>
      <c r="AE102" s="436">
        <v>94</v>
      </c>
      <c r="AF102" s="419">
        <v>11</v>
      </c>
      <c r="AG102" s="419">
        <v>57</v>
      </c>
      <c r="AH102" s="436">
        <v>11</v>
      </c>
      <c r="AI102" s="436">
        <v>60</v>
      </c>
      <c r="AJ102" s="419"/>
      <c r="AK102" s="419"/>
      <c r="AL102" s="436"/>
      <c r="AM102" s="436"/>
      <c r="AN102" s="419"/>
      <c r="AO102" s="419"/>
      <c r="AP102" s="436"/>
      <c r="AQ102" s="436"/>
      <c r="AR102" s="424">
        <f t="shared" si="49"/>
        <v>3</v>
      </c>
      <c r="AS102" s="422">
        <f t="shared" si="50"/>
        <v>5.6713589604764483E-2</v>
      </c>
      <c r="AT102" s="425">
        <f t="shared" si="51"/>
        <v>3</v>
      </c>
      <c r="AU102" s="423">
        <f t="shared" si="52"/>
        <v>0</v>
      </c>
      <c r="AV102" s="419"/>
      <c r="AW102" s="421"/>
      <c r="AX102" s="419"/>
      <c r="AY102" s="419"/>
      <c r="AZ102" s="421"/>
      <c r="BA102" s="421"/>
      <c r="BB102" s="419"/>
      <c r="BC102" s="419"/>
      <c r="BD102" s="421"/>
      <c r="BE102" s="421"/>
      <c r="BF102" s="419"/>
      <c r="BG102" s="419"/>
      <c r="BH102" s="421"/>
      <c r="BI102" s="421"/>
      <c r="BJ102" s="419"/>
      <c r="BK102" s="419"/>
      <c r="BL102" s="421"/>
      <c r="BM102" s="421"/>
      <c r="BN102" s="419"/>
      <c r="BO102" s="419"/>
      <c r="BP102" s="421"/>
      <c r="BQ102" s="421"/>
      <c r="BR102" s="419"/>
      <c r="BS102" s="419"/>
      <c r="BT102" s="421"/>
      <c r="BU102" s="421"/>
      <c r="BV102" s="419"/>
      <c r="BW102" s="419"/>
      <c r="BX102" s="421"/>
      <c r="BY102" s="421"/>
      <c r="BZ102" s="419"/>
      <c r="CA102" s="419"/>
      <c r="CB102" s="421"/>
      <c r="CC102" s="421"/>
      <c r="CD102" s="419"/>
      <c r="CE102" s="419"/>
      <c r="CF102" s="421"/>
      <c r="CG102" s="421"/>
      <c r="CH102" s="419"/>
      <c r="CI102" s="419"/>
      <c r="CJ102" s="421"/>
      <c r="CK102" s="421"/>
      <c r="CL102" s="419"/>
      <c r="CM102" s="421"/>
      <c r="CN102" s="424">
        <f t="shared" si="53"/>
        <v>0</v>
      </c>
      <c r="CO102" s="424">
        <f t="shared" si="54"/>
        <v>0</v>
      </c>
      <c r="CP102" s="425">
        <f t="shared" si="55"/>
        <v>0</v>
      </c>
      <c r="CQ102" s="425">
        <f t="shared" si="56"/>
        <v>0</v>
      </c>
      <c r="CR102" s="419"/>
      <c r="CS102" s="419"/>
      <c r="CT102" s="421"/>
      <c r="CU102" s="421"/>
      <c r="CV102" s="419"/>
      <c r="CW102" s="419"/>
      <c r="CX102" s="421"/>
      <c r="CY102" s="421"/>
      <c r="CZ102" s="419"/>
      <c r="DA102" s="419"/>
      <c r="DB102" s="421"/>
      <c r="DC102" s="421"/>
      <c r="DD102" s="419"/>
      <c r="DE102" s="419"/>
      <c r="DF102" s="421"/>
      <c r="DG102" s="421"/>
      <c r="DH102" s="419"/>
      <c r="DI102" s="419"/>
      <c r="DJ102" s="421"/>
      <c r="DK102" s="421"/>
      <c r="DL102" s="419"/>
      <c r="DM102" s="419"/>
      <c r="DN102" s="421"/>
      <c r="DO102" s="421"/>
      <c r="DP102" s="419"/>
      <c r="DQ102" s="419"/>
      <c r="DR102" s="421"/>
      <c r="DS102" s="421"/>
      <c r="DT102" s="419"/>
      <c r="DU102" s="419"/>
      <c r="DV102" s="421"/>
      <c r="DW102" s="421"/>
      <c r="DX102" s="419"/>
      <c r="DY102" s="419"/>
      <c r="DZ102" s="421"/>
      <c r="EA102" s="421"/>
      <c r="EB102" s="419"/>
      <c r="EC102" s="419"/>
      <c r="ED102" s="421"/>
      <c r="EE102" s="421"/>
      <c r="EF102" s="419"/>
      <c r="EG102" s="421"/>
      <c r="EH102" s="424">
        <f t="shared" si="57"/>
        <v>0</v>
      </c>
      <c r="EI102" s="424">
        <f t="shared" si="58"/>
        <v>0</v>
      </c>
      <c r="EJ102" s="422">
        <f t="shared" si="59"/>
        <v>0</v>
      </c>
      <c r="EK102" s="425">
        <f t="shared" si="60"/>
        <v>0</v>
      </c>
      <c r="EL102" s="425">
        <f t="shared" si="61"/>
        <v>0</v>
      </c>
      <c r="EM102" s="423">
        <f t="shared" si="62"/>
        <v>0</v>
      </c>
      <c r="EN102" s="424">
        <f t="shared" si="63"/>
        <v>0</v>
      </c>
      <c r="EO102" s="425">
        <f t="shared" si="64"/>
        <v>0</v>
      </c>
      <c r="EP102" s="419"/>
      <c r="EQ102" s="421"/>
      <c r="ER102" s="419"/>
      <c r="ES102" s="421"/>
      <c r="ET102" s="419"/>
      <c r="EU102" s="421"/>
      <c r="EV102" s="419"/>
      <c r="EW102" s="421"/>
      <c r="EX102" s="419"/>
      <c r="EY102" s="421"/>
      <c r="EZ102" s="419"/>
      <c r="FA102" s="421"/>
      <c r="FB102" s="419"/>
      <c r="FC102" s="421"/>
      <c r="FD102" s="419"/>
      <c r="FE102" s="421"/>
      <c r="FF102" s="419"/>
      <c r="FG102" s="421"/>
      <c r="FH102" s="419"/>
      <c r="FI102" s="421"/>
      <c r="FJ102" s="424">
        <f t="shared" si="65"/>
        <v>0</v>
      </c>
      <c r="FK102" s="425">
        <f t="shared" si="66"/>
        <v>0</v>
      </c>
      <c r="FL102" s="419"/>
      <c r="FM102" s="421"/>
      <c r="FN102" s="424">
        <f t="shared" si="67"/>
        <v>7388</v>
      </c>
      <c r="FO102" s="425">
        <f t="shared" si="68"/>
        <v>6360</v>
      </c>
    </row>
    <row r="103" spans="1:171">
      <c r="A103" s="43" t="s">
        <v>156</v>
      </c>
      <c r="B103" s="42" t="s">
        <v>594</v>
      </c>
      <c r="C103" s="38"/>
      <c r="D103" s="40">
        <v>136400</v>
      </c>
      <c r="E103" s="117">
        <v>7</v>
      </c>
      <c r="F103" s="419">
        <v>616</v>
      </c>
      <c r="G103" s="440">
        <v>463</v>
      </c>
      <c r="H103" s="419">
        <v>0</v>
      </c>
      <c r="I103" s="438">
        <v>0</v>
      </c>
      <c r="J103" s="419">
        <v>1691</v>
      </c>
      <c r="K103" s="433">
        <v>1739</v>
      </c>
      <c r="L103" s="422">
        <f t="shared" si="47"/>
        <v>7.9018691588785046</v>
      </c>
      <c r="M103" s="423">
        <f t="shared" si="48"/>
        <v>0</v>
      </c>
      <c r="N103" s="419">
        <v>214</v>
      </c>
      <c r="O103" s="309">
        <f>0</f>
        <v>0</v>
      </c>
      <c r="P103" s="309">
        <f>0</f>
        <v>0</v>
      </c>
      <c r="Q103" s="309">
        <f>0</f>
        <v>0</v>
      </c>
      <c r="R103" s="424">
        <f t="shared" si="45"/>
        <v>0</v>
      </c>
      <c r="S103" s="434"/>
      <c r="T103" s="435"/>
      <c r="U103" s="435"/>
      <c r="V103" s="435"/>
      <c r="W103" s="425">
        <f t="shared" si="46"/>
        <v>0</v>
      </c>
      <c r="X103" s="419">
        <v>52</v>
      </c>
      <c r="Y103" s="419">
        <v>167</v>
      </c>
      <c r="Z103" s="436">
        <v>52</v>
      </c>
      <c r="AA103" s="436">
        <v>135</v>
      </c>
      <c r="AB103" s="419">
        <v>51</v>
      </c>
      <c r="AC103" s="419">
        <v>47</v>
      </c>
      <c r="AD103" s="436">
        <v>51</v>
      </c>
      <c r="AE103" s="443">
        <v>90</v>
      </c>
      <c r="AF103" s="419"/>
      <c r="AG103" s="419"/>
      <c r="AH103" s="436"/>
      <c r="AI103" s="436"/>
      <c r="AJ103" s="419"/>
      <c r="AK103" s="419"/>
      <c r="AL103" s="436"/>
      <c r="AM103" s="436"/>
      <c r="AN103" s="419"/>
      <c r="AO103" s="419"/>
      <c r="AP103" s="436"/>
      <c r="AQ103" s="436"/>
      <c r="AR103" s="424">
        <f t="shared" si="49"/>
        <v>2</v>
      </c>
      <c r="AS103" s="422">
        <f t="shared" si="50"/>
        <v>8.4886949623165411E-2</v>
      </c>
      <c r="AT103" s="425">
        <f t="shared" si="51"/>
        <v>2</v>
      </c>
      <c r="AU103" s="423">
        <f t="shared" si="52"/>
        <v>0</v>
      </c>
      <c r="AV103" s="419"/>
      <c r="AW103" s="421"/>
      <c r="AX103" s="419"/>
      <c r="AY103" s="419"/>
      <c r="AZ103" s="421"/>
      <c r="BA103" s="421"/>
      <c r="BB103" s="419"/>
      <c r="BC103" s="419"/>
      <c r="BD103" s="421"/>
      <c r="BE103" s="421"/>
      <c r="BF103" s="419"/>
      <c r="BG103" s="419"/>
      <c r="BH103" s="421"/>
      <c r="BI103" s="421"/>
      <c r="BJ103" s="419"/>
      <c r="BK103" s="419"/>
      <c r="BL103" s="421"/>
      <c r="BM103" s="421"/>
      <c r="BN103" s="419"/>
      <c r="BO103" s="419"/>
      <c r="BP103" s="421"/>
      <c r="BQ103" s="421"/>
      <c r="BR103" s="419"/>
      <c r="BS103" s="419"/>
      <c r="BT103" s="421"/>
      <c r="BU103" s="421"/>
      <c r="BV103" s="419"/>
      <c r="BW103" s="419"/>
      <c r="BX103" s="421"/>
      <c r="BY103" s="421"/>
      <c r="BZ103" s="419"/>
      <c r="CA103" s="419"/>
      <c r="CB103" s="421"/>
      <c r="CC103" s="421"/>
      <c r="CD103" s="419"/>
      <c r="CE103" s="419"/>
      <c r="CF103" s="421"/>
      <c r="CG103" s="421"/>
      <c r="CH103" s="419"/>
      <c r="CI103" s="419"/>
      <c r="CJ103" s="421"/>
      <c r="CK103" s="421"/>
      <c r="CL103" s="419"/>
      <c r="CM103" s="421"/>
      <c r="CN103" s="424">
        <f t="shared" si="53"/>
        <v>0</v>
      </c>
      <c r="CO103" s="424">
        <f t="shared" si="54"/>
        <v>0</v>
      </c>
      <c r="CP103" s="425">
        <f t="shared" si="55"/>
        <v>0</v>
      </c>
      <c r="CQ103" s="425">
        <f t="shared" si="56"/>
        <v>0</v>
      </c>
      <c r="CR103" s="419"/>
      <c r="CS103" s="419"/>
      <c r="CT103" s="421"/>
      <c r="CU103" s="421"/>
      <c r="CV103" s="419"/>
      <c r="CW103" s="419"/>
      <c r="CX103" s="421"/>
      <c r="CY103" s="421"/>
      <c r="CZ103" s="419"/>
      <c r="DA103" s="419"/>
      <c r="DB103" s="421"/>
      <c r="DC103" s="421"/>
      <c r="DD103" s="419"/>
      <c r="DE103" s="419"/>
      <c r="DF103" s="421"/>
      <c r="DG103" s="421"/>
      <c r="DH103" s="419"/>
      <c r="DI103" s="419"/>
      <c r="DJ103" s="421"/>
      <c r="DK103" s="421"/>
      <c r="DL103" s="419"/>
      <c r="DM103" s="419"/>
      <c r="DN103" s="421"/>
      <c r="DO103" s="421"/>
      <c r="DP103" s="419"/>
      <c r="DQ103" s="419"/>
      <c r="DR103" s="421"/>
      <c r="DS103" s="421"/>
      <c r="DT103" s="419"/>
      <c r="DU103" s="419"/>
      <c r="DV103" s="421"/>
      <c r="DW103" s="421"/>
      <c r="DX103" s="419"/>
      <c r="DY103" s="419"/>
      <c r="DZ103" s="421"/>
      <c r="EA103" s="421"/>
      <c r="EB103" s="419"/>
      <c r="EC103" s="419"/>
      <c r="ED103" s="421"/>
      <c r="EE103" s="421"/>
      <c r="EF103" s="419"/>
      <c r="EG103" s="421"/>
      <c r="EH103" s="424">
        <f t="shared" si="57"/>
        <v>0</v>
      </c>
      <c r="EI103" s="424">
        <f t="shared" si="58"/>
        <v>0</v>
      </c>
      <c r="EJ103" s="422">
        <f t="shared" si="59"/>
        <v>0</v>
      </c>
      <c r="EK103" s="425">
        <f t="shared" si="60"/>
        <v>0</v>
      </c>
      <c r="EL103" s="425">
        <f t="shared" si="61"/>
        <v>0</v>
      </c>
      <c r="EM103" s="423">
        <f t="shared" si="62"/>
        <v>0</v>
      </c>
      <c r="EN103" s="424">
        <f t="shared" si="63"/>
        <v>0</v>
      </c>
      <c r="EO103" s="425">
        <f t="shared" si="64"/>
        <v>0</v>
      </c>
      <c r="EP103" s="419"/>
      <c r="EQ103" s="421"/>
      <c r="ER103" s="419"/>
      <c r="ES103" s="421"/>
      <c r="ET103" s="419"/>
      <c r="EU103" s="421"/>
      <c r="EV103" s="419"/>
      <c r="EW103" s="421"/>
      <c r="EX103" s="419"/>
      <c r="EY103" s="421"/>
      <c r="EZ103" s="419"/>
      <c r="FA103" s="421"/>
      <c r="FB103" s="419"/>
      <c r="FC103" s="421"/>
      <c r="FD103" s="419"/>
      <c r="FE103" s="421"/>
      <c r="FF103" s="419"/>
      <c r="FG103" s="421"/>
      <c r="FH103" s="419"/>
      <c r="FI103" s="421"/>
      <c r="FJ103" s="424">
        <f t="shared" si="65"/>
        <v>0</v>
      </c>
      <c r="FK103" s="425">
        <f t="shared" si="66"/>
        <v>0</v>
      </c>
      <c r="FL103" s="419"/>
      <c r="FM103" s="421"/>
      <c r="FN103" s="424">
        <f t="shared" si="67"/>
        <v>2521</v>
      </c>
      <c r="FO103" s="425">
        <f t="shared" si="68"/>
        <v>2202</v>
      </c>
    </row>
    <row r="104" spans="1:171">
      <c r="A104" s="43" t="s">
        <v>156</v>
      </c>
      <c r="B104" s="42" t="s">
        <v>595</v>
      </c>
      <c r="C104" s="39"/>
      <c r="D104" s="40">
        <v>136473</v>
      </c>
      <c r="E104" s="118">
        <v>7</v>
      </c>
      <c r="F104" s="419">
        <v>597</v>
      </c>
      <c r="G104" s="439">
        <v>626</v>
      </c>
      <c r="H104" s="419">
        <v>0</v>
      </c>
      <c r="I104" s="438">
        <v>0</v>
      </c>
      <c r="J104" s="419">
        <v>1608</v>
      </c>
      <c r="K104" s="433">
        <v>1839</v>
      </c>
      <c r="L104" s="422">
        <f t="shared" si="47"/>
        <v>9.0337078651685392</v>
      </c>
      <c r="M104" s="423">
        <f t="shared" si="48"/>
        <v>0</v>
      </c>
      <c r="N104" s="419">
        <v>178</v>
      </c>
      <c r="O104" s="309">
        <f>0</f>
        <v>0</v>
      </c>
      <c r="P104" s="309">
        <f>0</f>
        <v>0</v>
      </c>
      <c r="Q104" s="309">
        <f>0</f>
        <v>0</v>
      </c>
      <c r="R104" s="424">
        <f t="shared" si="45"/>
        <v>0</v>
      </c>
      <c r="S104" s="434"/>
      <c r="T104" s="435"/>
      <c r="U104" s="435"/>
      <c r="V104" s="435"/>
      <c r="W104" s="425">
        <f t="shared" si="46"/>
        <v>0</v>
      </c>
      <c r="X104" s="419">
        <v>52</v>
      </c>
      <c r="Y104" s="419">
        <v>131</v>
      </c>
      <c r="Z104" s="436">
        <v>52</v>
      </c>
      <c r="AA104" s="437">
        <v>164</v>
      </c>
      <c r="AB104" s="419">
        <v>51</v>
      </c>
      <c r="AC104" s="419">
        <v>43</v>
      </c>
      <c r="AD104" s="436">
        <v>51</v>
      </c>
      <c r="AE104" s="436">
        <v>45</v>
      </c>
      <c r="AF104" s="419">
        <v>11</v>
      </c>
      <c r="AG104" s="419">
        <v>4</v>
      </c>
      <c r="AH104" s="436">
        <v>11</v>
      </c>
      <c r="AI104" s="442">
        <v>32</v>
      </c>
      <c r="AJ104" s="419"/>
      <c r="AK104" s="419"/>
      <c r="AL104" s="436"/>
      <c r="AM104" s="436"/>
      <c r="AN104" s="419"/>
      <c r="AO104" s="419"/>
      <c r="AP104" s="436"/>
      <c r="AQ104" s="436"/>
      <c r="AR104" s="424">
        <f t="shared" si="49"/>
        <v>3</v>
      </c>
      <c r="AS104" s="422">
        <f t="shared" si="50"/>
        <v>7.4695761644985315E-2</v>
      </c>
      <c r="AT104" s="425">
        <f t="shared" si="51"/>
        <v>3</v>
      </c>
      <c r="AU104" s="423">
        <f t="shared" si="52"/>
        <v>0</v>
      </c>
      <c r="AV104" s="419"/>
      <c r="AW104" s="421"/>
      <c r="AX104" s="419"/>
      <c r="AY104" s="419"/>
      <c r="AZ104" s="421"/>
      <c r="BA104" s="421"/>
      <c r="BB104" s="419"/>
      <c r="BC104" s="419"/>
      <c r="BD104" s="421"/>
      <c r="BE104" s="421"/>
      <c r="BF104" s="419"/>
      <c r="BG104" s="419"/>
      <c r="BH104" s="421"/>
      <c r="BI104" s="421"/>
      <c r="BJ104" s="419"/>
      <c r="BK104" s="419"/>
      <c r="BL104" s="421"/>
      <c r="BM104" s="421"/>
      <c r="BN104" s="419"/>
      <c r="BO104" s="419"/>
      <c r="BP104" s="421"/>
      <c r="BQ104" s="421"/>
      <c r="BR104" s="419"/>
      <c r="BS104" s="419"/>
      <c r="BT104" s="421"/>
      <c r="BU104" s="421"/>
      <c r="BV104" s="419"/>
      <c r="BW104" s="419"/>
      <c r="BX104" s="421"/>
      <c r="BY104" s="421"/>
      <c r="BZ104" s="419"/>
      <c r="CA104" s="419"/>
      <c r="CB104" s="421"/>
      <c r="CC104" s="421"/>
      <c r="CD104" s="419"/>
      <c r="CE104" s="419"/>
      <c r="CF104" s="421"/>
      <c r="CG104" s="421"/>
      <c r="CH104" s="419"/>
      <c r="CI104" s="419"/>
      <c r="CJ104" s="421"/>
      <c r="CK104" s="421"/>
      <c r="CL104" s="419"/>
      <c r="CM104" s="421"/>
      <c r="CN104" s="424">
        <f t="shared" si="53"/>
        <v>0</v>
      </c>
      <c r="CO104" s="424">
        <f t="shared" si="54"/>
        <v>0</v>
      </c>
      <c r="CP104" s="425">
        <f t="shared" si="55"/>
        <v>0</v>
      </c>
      <c r="CQ104" s="425">
        <f t="shared" si="56"/>
        <v>0</v>
      </c>
      <c r="CR104" s="419"/>
      <c r="CS104" s="419"/>
      <c r="CT104" s="421"/>
      <c r="CU104" s="421"/>
      <c r="CV104" s="419"/>
      <c r="CW104" s="419"/>
      <c r="CX104" s="421"/>
      <c r="CY104" s="421"/>
      <c r="CZ104" s="419"/>
      <c r="DA104" s="419"/>
      <c r="DB104" s="421"/>
      <c r="DC104" s="421"/>
      <c r="DD104" s="419"/>
      <c r="DE104" s="419"/>
      <c r="DF104" s="421"/>
      <c r="DG104" s="421"/>
      <c r="DH104" s="419"/>
      <c r="DI104" s="419"/>
      <c r="DJ104" s="421"/>
      <c r="DK104" s="421"/>
      <c r="DL104" s="419"/>
      <c r="DM104" s="419"/>
      <c r="DN104" s="421"/>
      <c r="DO104" s="421"/>
      <c r="DP104" s="419"/>
      <c r="DQ104" s="419"/>
      <c r="DR104" s="421"/>
      <c r="DS104" s="421"/>
      <c r="DT104" s="419"/>
      <c r="DU104" s="419"/>
      <c r="DV104" s="421"/>
      <c r="DW104" s="421"/>
      <c r="DX104" s="419"/>
      <c r="DY104" s="419"/>
      <c r="DZ104" s="421"/>
      <c r="EA104" s="421"/>
      <c r="EB104" s="419"/>
      <c r="EC104" s="419"/>
      <c r="ED104" s="421"/>
      <c r="EE104" s="421"/>
      <c r="EF104" s="419"/>
      <c r="EG104" s="421"/>
      <c r="EH104" s="424">
        <f t="shared" si="57"/>
        <v>0</v>
      </c>
      <c r="EI104" s="424">
        <f t="shared" si="58"/>
        <v>0</v>
      </c>
      <c r="EJ104" s="422">
        <f t="shared" si="59"/>
        <v>0</v>
      </c>
      <c r="EK104" s="425">
        <f t="shared" si="60"/>
        <v>0</v>
      </c>
      <c r="EL104" s="425">
        <f t="shared" si="61"/>
        <v>0</v>
      </c>
      <c r="EM104" s="423">
        <f t="shared" si="62"/>
        <v>0</v>
      </c>
      <c r="EN104" s="424">
        <f t="shared" si="63"/>
        <v>0</v>
      </c>
      <c r="EO104" s="425">
        <f t="shared" si="64"/>
        <v>0</v>
      </c>
      <c r="EP104" s="419"/>
      <c r="EQ104" s="421"/>
      <c r="ER104" s="419"/>
      <c r="ES104" s="421"/>
      <c r="ET104" s="419"/>
      <c r="EU104" s="421"/>
      <c r="EV104" s="419"/>
      <c r="EW104" s="421"/>
      <c r="EX104" s="419"/>
      <c r="EY104" s="421"/>
      <c r="EZ104" s="419"/>
      <c r="FA104" s="421"/>
      <c r="FB104" s="419"/>
      <c r="FC104" s="421"/>
      <c r="FD104" s="419"/>
      <c r="FE104" s="421"/>
      <c r="FF104" s="419"/>
      <c r="FG104" s="421"/>
      <c r="FH104" s="419"/>
      <c r="FI104" s="421"/>
      <c r="FJ104" s="424">
        <f t="shared" si="65"/>
        <v>0</v>
      </c>
      <c r="FK104" s="425">
        <f t="shared" si="66"/>
        <v>0</v>
      </c>
      <c r="FL104" s="419"/>
      <c r="FM104" s="421"/>
      <c r="FN104" s="424">
        <f t="shared" si="67"/>
        <v>2383</v>
      </c>
      <c r="FO104" s="425">
        <f t="shared" si="68"/>
        <v>2465</v>
      </c>
    </row>
    <row r="105" spans="1:171">
      <c r="A105" s="43" t="s">
        <v>156</v>
      </c>
      <c r="B105" s="42" t="s">
        <v>596</v>
      </c>
      <c r="C105" s="39"/>
      <c r="D105" s="40">
        <v>136516</v>
      </c>
      <c r="E105" s="118">
        <v>7</v>
      </c>
      <c r="F105" s="419">
        <v>503</v>
      </c>
      <c r="G105" s="439">
        <v>427</v>
      </c>
      <c r="H105" s="419">
        <v>0</v>
      </c>
      <c r="I105" s="438">
        <v>0</v>
      </c>
      <c r="J105" s="419">
        <v>1676</v>
      </c>
      <c r="K105" s="433">
        <v>1684</v>
      </c>
      <c r="L105" s="422">
        <f t="shared" si="47"/>
        <v>3.8090909090909091</v>
      </c>
      <c r="M105" s="423">
        <f t="shared" si="48"/>
        <v>0</v>
      </c>
      <c r="N105" s="419">
        <v>440</v>
      </c>
      <c r="O105" s="309">
        <f>0</f>
        <v>0</v>
      </c>
      <c r="P105" s="309">
        <f>0</f>
        <v>0</v>
      </c>
      <c r="Q105" s="309">
        <f>0</f>
        <v>0</v>
      </c>
      <c r="R105" s="424">
        <f t="shared" si="45"/>
        <v>0</v>
      </c>
      <c r="S105" s="434"/>
      <c r="T105" s="435"/>
      <c r="U105" s="435"/>
      <c r="V105" s="435"/>
      <c r="W105" s="425">
        <f t="shared" si="46"/>
        <v>0</v>
      </c>
      <c r="X105" s="419">
        <v>52</v>
      </c>
      <c r="Y105" s="419">
        <v>259</v>
      </c>
      <c r="Z105" s="436">
        <v>52</v>
      </c>
      <c r="AA105" s="436">
        <v>238</v>
      </c>
      <c r="AB105" s="419">
        <v>51</v>
      </c>
      <c r="AC105" s="419">
        <v>92</v>
      </c>
      <c r="AD105" s="436">
        <v>51</v>
      </c>
      <c r="AE105" s="436">
        <v>87</v>
      </c>
      <c r="AF105" s="419">
        <v>43</v>
      </c>
      <c r="AG105" s="419">
        <v>60</v>
      </c>
      <c r="AH105" s="436">
        <v>43</v>
      </c>
      <c r="AI105" s="437">
        <v>45</v>
      </c>
      <c r="AJ105" s="419">
        <v>13</v>
      </c>
      <c r="AK105" s="419">
        <v>16</v>
      </c>
      <c r="AL105" s="436">
        <v>13</v>
      </c>
      <c r="AM105" s="442">
        <v>38</v>
      </c>
      <c r="AN105" s="419">
        <v>49</v>
      </c>
      <c r="AO105" s="419">
        <v>7</v>
      </c>
      <c r="AP105" s="436">
        <v>49</v>
      </c>
      <c r="AQ105" s="442">
        <v>20</v>
      </c>
      <c r="AR105" s="424">
        <f t="shared" si="49"/>
        <v>5</v>
      </c>
      <c r="AS105" s="422">
        <f t="shared" si="50"/>
        <v>0.16800305460099274</v>
      </c>
      <c r="AT105" s="425">
        <f t="shared" si="51"/>
        <v>5</v>
      </c>
      <c r="AU105" s="423">
        <f t="shared" si="52"/>
        <v>0</v>
      </c>
      <c r="AV105" s="419"/>
      <c r="AW105" s="421"/>
      <c r="AX105" s="419"/>
      <c r="AY105" s="419"/>
      <c r="AZ105" s="421"/>
      <c r="BA105" s="421"/>
      <c r="BB105" s="419"/>
      <c r="BC105" s="419"/>
      <c r="BD105" s="421"/>
      <c r="BE105" s="421"/>
      <c r="BF105" s="419"/>
      <c r="BG105" s="419"/>
      <c r="BH105" s="421"/>
      <c r="BI105" s="421"/>
      <c r="BJ105" s="419"/>
      <c r="BK105" s="419"/>
      <c r="BL105" s="421"/>
      <c r="BM105" s="421"/>
      <c r="BN105" s="419"/>
      <c r="BO105" s="419"/>
      <c r="BP105" s="421"/>
      <c r="BQ105" s="421"/>
      <c r="BR105" s="419"/>
      <c r="BS105" s="419"/>
      <c r="BT105" s="421"/>
      <c r="BU105" s="421"/>
      <c r="BV105" s="419"/>
      <c r="BW105" s="419"/>
      <c r="BX105" s="421"/>
      <c r="BY105" s="421"/>
      <c r="BZ105" s="419"/>
      <c r="CA105" s="419"/>
      <c r="CB105" s="421"/>
      <c r="CC105" s="421"/>
      <c r="CD105" s="419"/>
      <c r="CE105" s="419"/>
      <c r="CF105" s="421"/>
      <c r="CG105" s="421"/>
      <c r="CH105" s="419"/>
      <c r="CI105" s="419"/>
      <c r="CJ105" s="421"/>
      <c r="CK105" s="421"/>
      <c r="CL105" s="419"/>
      <c r="CM105" s="421"/>
      <c r="CN105" s="424">
        <f t="shared" si="53"/>
        <v>0</v>
      </c>
      <c r="CO105" s="424">
        <f t="shared" si="54"/>
        <v>0</v>
      </c>
      <c r="CP105" s="425">
        <f t="shared" si="55"/>
        <v>0</v>
      </c>
      <c r="CQ105" s="425">
        <f t="shared" si="56"/>
        <v>0</v>
      </c>
      <c r="CR105" s="419"/>
      <c r="CS105" s="419"/>
      <c r="CT105" s="421"/>
      <c r="CU105" s="421"/>
      <c r="CV105" s="419"/>
      <c r="CW105" s="419"/>
      <c r="CX105" s="421"/>
      <c r="CY105" s="421"/>
      <c r="CZ105" s="419"/>
      <c r="DA105" s="419"/>
      <c r="DB105" s="421"/>
      <c r="DC105" s="421"/>
      <c r="DD105" s="419"/>
      <c r="DE105" s="419"/>
      <c r="DF105" s="421"/>
      <c r="DG105" s="421"/>
      <c r="DH105" s="419"/>
      <c r="DI105" s="419"/>
      <c r="DJ105" s="421"/>
      <c r="DK105" s="421"/>
      <c r="DL105" s="419"/>
      <c r="DM105" s="419"/>
      <c r="DN105" s="421"/>
      <c r="DO105" s="421"/>
      <c r="DP105" s="419"/>
      <c r="DQ105" s="419"/>
      <c r="DR105" s="421"/>
      <c r="DS105" s="421"/>
      <c r="DT105" s="419"/>
      <c r="DU105" s="419"/>
      <c r="DV105" s="421"/>
      <c r="DW105" s="421"/>
      <c r="DX105" s="419"/>
      <c r="DY105" s="419"/>
      <c r="DZ105" s="421"/>
      <c r="EA105" s="421"/>
      <c r="EB105" s="419"/>
      <c r="EC105" s="419"/>
      <c r="ED105" s="421"/>
      <c r="EE105" s="421"/>
      <c r="EF105" s="419"/>
      <c r="EG105" s="421"/>
      <c r="EH105" s="424">
        <f t="shared" si="57"/>
        <v>0</v>
      </c>
      <c r="EI105" s="424">
        <f t="shared" si="58"/>
        <v>0</v>
      </c>
      <c r="EJ105" s="422">
        <f t="shared" si="59"/>
        <v>0</v>
      </c>
      <c r="EK105" s="425">
        <f t="shared" si="60"/>
        <v>0</v>
      </c>
      <c r="EL105" s="425">
        <f t="shared" si="61"/>
        <v>0</v>
      </c>
      <c r="EM105" s="423">
        <f t="shared" si="62"/>
        <v>0</v>
      </c>
      <c r="EN105" s="424">
        <f t="shared" si="63"/>
        <v>0</v>
      </c>
      <c r="EO105" s="425">
        <f t="shared" si="64"/>
        <v>0</v>
      </c>
      <c r="EP105" s="419"/>
      <c r="EQ105" s="421"/>
      <c r="ER105" s="419"/>
      <c r="ES105" s="421"/>
      <c r="ET105" s="419"/>
      <c r="EU105" s="421"/>
      <c r="EV105" s="419"/>
      <c r="EW105" s="421"/>
      <c r="EX105" s="419"/>
      <c r="EY105" s="421"/>
      <c r="EZ105" s="419"/>
      <c r="FA105" s="421"/>
      <c r="FB105" s="419"/>
      <c r="FC105" s="421"/>
      <c r="FD105" s="419"/>
      <c r="FE105" s="421"/>
      <c r="FF105" s="419"/>
      <c r="FG105" s="421"/>
      <c r="FH105" s="419"/>
      <c r="FI105" s="421"/>
      <c r="FJ105" s="424">
        <f t="shared" si="65"/>
        <v>0</v>
      </c>
      <c r="FK105" s="425">
        <f t="shared" si="66"/>
        <v>0</v>
      </c>
      <c r="FL105" s="419"/>
      <c r="FM105" s="421"/>
      <c r="FN105" s="424">
        <f t="shared" si="67"/>
        <v>2619</v>
      </c>
      <c r="FO105" s="425">
        <f t="shared" si="68"/>
        <v>2111</v>
      </c>
    </row>
    <row r="106" spans="1:171">
      <c r="A106" s="43" t="s">
        <v>156</v>
      </c>
      <c r="B106" s="42" t="s">
        <v>600</v>
      </c>
      <c r="C106" s="39"/>
      <c r="D106" s="40">
        <v>137281</v>
      </c>
      <c r="E106" s="118">
        <v>7</v>
      </c>
      <c r="F106" s="419">
        <v>255</v>
      </c>
      <c r="G106" s="440">
        <v>373</v>
      </c>
      <c r="H106" s="419">
        <v>0</v>
      </c>
      <c r="I106" s="438">
        <v>0</v>
      </c>
      <c r="J106" s="419">
        <v>903</v>
      </c>
      <c r="K106" s="438">
        <v>908</v>
      </c>
      <c r="L106" s="422">
        <f t="shared" si="47"/>
        <v>8.766990291262136</v>
      </c>
      <c r="M106" s="423">
        <f t="shared" si="48"/>
        <v>0</v>
      </c>
      <c r="N106" s="419">
        <v>103</v>
      </c>
      <c r="O106" s="309">
        <f>0</f>
        <v>0</v>
      </c>
      <c r="P106" s="309">
        <f>0</f>
        <v>0</v>
      </c>
      <c r="Q106" s="309">
        <f>0</f>
        <v>0</v>
      </c>
      <c r="R106" s="424">
        <f t="shared" si="45"/>
        <v>0</v>
      </c>
      <c r="S106" s="434"/>
      <c r="T106" s="435"/>
      <c r="U106" s="435"/>
      <c r="V106" s="435"/>
      <c r="W106" s="425">
        <f t="shared" si="46"/>
        <v>0</v>
      </c>
      <c r="X106" s="419">
        <v>52</v>
      </c>
      <c r="Y106" s="419">
        <v>47</v>
      </c>
      <c r="Z106" s="436">
        <v>51</v>
      </c>
      <c r="AA106" s="436">
        <v>55</v>
      </c>
      <c r="AB106" s="419">
        <v>51</v>
      </c>
      <c r="AC106" s="419">
        <v>37</v>
      </c>
      <c r="AD106" s="436">
        <v>52</v>
      </c>
      <c r="AE106" s="437">
        <v>49</v>
      </c>
      <c r="AF106" s="419">
        <v>13</v>
      </c>
      <c r="AG106" s="419">
        <v>19</v>
      </c>
      <c r="AH106" s="436">
        <v>13</v>
      </c>
      <c r="AI106" s="436">
        <v>19</v>
      </c>
      <c r="AJ106" s="419"/>
      <c r="AK106" s="419"/>
      <c r="AL106" s="436"/>
      <c r="AM106" s="436"/>
      <c r="AN106" s="419"/>
      <c r="AO106" s="419"/>
      <c r="AP106" s="436"/>
      <c r="AQ106" s="436"/>
      <c r="AR106" s="424">
        <f t="shared" si="49"/>
        <v>3</v>
      </c>
      <c r="AS106" s="422">
        <f t="shared" si="50"/>
        <v>8.16812053925456E-2</v>
      </c>
      <c r="AT106" s="425">
        <f t="shared" si="51"/>
        <v>3</v>
      </c>
      <c r="AU106" s="423">
        <f t="shared" si="52"/>
        <v>0</v>
      </c>
      <c r="AV106" s="419"/>
      <c r="AW106" s="421"/>
      <c r="AX106" s="419"/>
      <c r="AY106" s="419"/>
      <c r="AZ106" s="421"/>
      <c r="BA106" s="421"/>
      <c r="BB106" s="419"/>
      <c r="BC106" s="419"/>
      <c r="BD106" s="421"/>
      <c r="BE106" s="421"/>
      <c r="BF106" s="419"/>
      <c r="BG106" s="419"/>
      <c r="BH106" s="421"/>
      <c r="BI106" s="421"/>
      <c r="BJ106" s="419"/>
      <c r="BK106" s="419"/>
      <c r="BL106" s="421"/>
      <c r="BM106" s="421"/>
      <c r="BN106" s="419"/>
      <c r="BO106" s="419"/>
      <c r="BP106" s="421"/>
      <c r="BQ106" s="421"/>
      <c r="BR106" s="419"/>
      <c r="BS106" s="419"/>
      <c r="BT106" s="421"/>
      <c r="BU106" s="421"/>
      <c r="BV106" s="419"/>
      <c r="BW106" s="419"/>
      <c r="BX106" s="421"/>
      <c r="BY106" s="421"/>
      <c r="BZ106" s="419"/>
      <c r="CA106" s="419"/>
      <c r="CB106" s="421"/>
      <c r="CC106" s="421"/>
      <c r="CD106" s="419"/>
      <c r="CE106" s="419"/>
      <c r="CF106" s="421"/>
      <c r="CG106" s="421"/>
      <c r="CH106" s="419"/>
      <c r="CI106" s="419"/>
      <c r="CJ106" s="421"/>
      <c r="CK106" s="421"/>
      <c r="CL106" s="419"/>
      <c r="CM106" s="421"/>
      <c r="CN106" s="424">
        <f t="shared" si="53"/>
        <v>0</v>
      </c>
      <c r="CO106" s="424">
        <f t="shared" si="54"/>
        <v>0</v>
      </c>
      <c r="CP106" s="425">
        <f t="shared" si="55"/>
        <v>0</v>
      </c>
      <c r="CQ106" s="425">
        <f t="shared" si="56"/>
        <v>0</v>
      </c>
      <c r="CR106" s="419"/>
      <c r="CS106" s="419"/>
      <c r="CT106" s="421"/>
      <c r="CU106" s="421"/>
      <c r="CV106" s="419"/>
      <c r="CW106" s="419"/>
      <c r="CX106" s="421"/>
      <c r="CY106" s="421"/>
      <c r="CZ106" s="419"/>
      <c r="DA106" s="419"/>
      <c r="DB106" s="421"/>
      <c r="DC106" s="421"/>
      <c r="DD106" s="419"/>
      <c r="DE106" s="419"/>
      <c r="DF106" s="421"/>
      <c r="DG106" s="421"/>
      <c r="DH106" s="419"/>
      <c r="DI106" s="419"/>
      <c r="DJ106" s="421"/>
      <c r="DK106" s="421"/>
      <c r="DL106" s="419"/>
      <c r="DM106" s="419"/>
      <c r="DN106" s="421"/>
      <c r="DO106" s="421"/>
      <c r="DP106" s="419"/>
      <c r="DQ106" s="419"/>
      <c r="DR106" s="421"/>
      <c r="DS106" s="421"/>
      <c r="DT106" s="419"/>
      <c r="DU106" s="419"/>
      <c r="DV106" s="421"/>
      <c r="DW106" s="421"/>
      <c r="DX106" s="419"/>
      <c r="DY106" s="419"/>
      <c r="DZ106" s="421"/>
      <c r="EA106" s="421"/>
      <c r="EB106" s="419"/>
      <c r="EC106" s="419"/>
      <c r="ED106" s="421"/>
      <c r="EE106" s="421"/>
      <c r="EF106" s="419"/>
      <c r="EG106" s="421"/>
      <c r="EH106" s="424">
        <f t="shared" si="57"/>
        <v>0</v>
      </c>
      <c r="EI106" s="424">
        <f t="shared" si="58"/>
        <v>0</v>
      </c>
      <c r="EJ106" s="422">
        <f t="shared" si="59"/>
        <v>0</v>
      </c>
      <c r="EK106" s="425">
        <f t="shared" si="60"/>
        <v>0</v>
      </c>
      <c r="EL106" s="425">
        <f t="shared" si="61"/>
        <v>0</v>
      </c>
      <c r="EM106" s="423">
        <f t="shared" si="62"/>
        <v>0</v>
      </c>
      <c r="EN106" s="424">
        <f t="shared" si="63"/>
        <v>0</v>
      </c>
      <c r="EO106" s="425">
        <f t="shared" si="64"/>
        <v>0</v>
      </c>
      <c r="EP106" s="419"/>
      <c r="EQ106" s="421"/>
      <c r="ER106" s="419"/>
      <c r="ES106" s="421"/>
      <c r="ET106" s="419"/>
      <c r="EU106" s="421"/>
      <c r="EV106" s="419"/>
      <c r="EW106" s="421"/>
      <c r="EX106" s="419"/>
      <c r="EY106" s="421"/>
      <c r="EZ106" s="419"/>
      <c r="FA106" s="421"/>
      <c r="FB106" s="419"/>
      <c r="FC106" s="421"/>
      <c r="FD106" s="419"/>
      <c r="FE106" s="421"/>
      <c r="FF106" s="419"/>
      <c r="FG106" s="421"/>
      <c r="FH106" s="419"/>
      <c r="FI106" s="421"/>
      <c r="FJ106" s="424">
        <f t="shared" si="65"/>
        <v>0</v>
      </c>
      <c r="FK106" s="425">
        <f t="shared" si="66"/>
        <v>0</v>
      </c>
      <c r="FL106" s="419"/>
      <c r="FM106" s="421"/>
      <c r="FN106" s="424">
        <f t="shared" si="67"/>
        <v>1261</v>
      </c>
      <c r="FO106" s="425">
        <f t="shared" si="68"/>
        <v>1281</v>
      </c>
    </row>
    <row r="107" spans="1:171">
      <c r="A107" s="43" t="s">
        <v>156</v>
      </c>
      <c r="B107" s="42" t="s">
        <v>601</v>
      </c>
      <c r="C107" s="41"/>
      <c r="D107" s="40">
        <v>137078</v>
      </c>
      <c r="E107" s="118">
        <v>7</v>
      </c>
      <c r="F107" s="419">
        <v>1372</v>
      </c>
      <c r="G107" s="431">
        <v>1452</v>
      </c>
      <c r="H107" s="419">
        <v>0</v>
      </c>
      <c r="I107" s="438">
        <v>0</v>
      </c>
      <c r="J107" s="419">
        <v>4013</v>
      </c>
      <c r="K107" s="433">
        <v>4004</v>
      </c>
      <c r="L107" s="422">
        <f t="shared" si="47"/>
        <v>3.3083264633140974</v>
      </c>
      <c r="M107" s="423">
        <f t="shared" si="48"/>
        <v>0</v>
      </c>
      <c r="N107" s="419">
        <v>1213</v>
      </c>
      <c r="O107" s="309">
        <f>0</f>
        <v>0</v>
      </c>
      <c r="P107" s="309">
        <f>0</f>
        <v>0</v>
      </c>
      <c r="Q107" s="309">
        <f>0</f>
        <v>0</v>
      </c>
      <c r="R107" s="424">
        <f t="shared" si="45"/>
        <v>0</v>
      </c>
      <c r="S107" s="434"/>
      <c r="T107" s="435"/>
      <c r="U107" s="435"/>
      <c r="V107" s="435"/>
      <c r="W107" s="425">
        <f t="shared" si="46"/>
        <v>0</v>
      </c>
      <c r="X107" s="419">
        <v>51</v>
      </c>
      <c r="Y107" s="419">
        <v>234</v>
      </c>
      <c r="Z107" s="436">
        <v>51</v>
      </c>
      <c r="AA107" s="443">
        <v>371</v>
      </c>
      <c r="AB107" s="419">
        <v>52</v>
      </c>
      <c r="AC107" s="419">
        <v>172</v>
      </c>
      <c r="AD107" s="436">
        <v>52</v>
      </c>
      <c r="AE107" s="443">
        <v>329</v>
      </c>
      <c r="AF107" s="419">
        <v>11</v>
      </c>
      <c r="AG107" s="419">
        <v>124</v>
      </c>
      <c r="AH107" s="436">
        <v>13</v>
      </c>
      <c r="AI107" s="436">
        <v>142</v>
      </c>
      <c r="AJ107" s="419">
        <v>43</v>
      </c>
      <c r="AK107" s="419">
        <v>86</v>
      </c>
      <c r="AL107" s="436">
        <v>11</v>
      </c>
      <c r="AM107" s="437">
        <v>109</v>
      </c>
      <c r="AN107" s="419">
        <v>13</v>
      </c>
      <c r="AO107" s="419">
        <v>66</v>
      </c>
      <c r="AP107" s="436">
        <v>43</v>
      </c>
      <c r="AQ107" s="436">
        <v>63</v>
      </c>
      <c r="AR107" s="424">
        <f t="shared" si="49"/>
        <v>5</v>
      </c>
      <c r="AS107" s="422">
        <f t="shared" si="50"/>
        <v>0.18384358896635344</v>
      </c>
      <c r="AT107" s="425">
        <f t="shared" si="51"/>
        <v>5</v>
      </c>
      <c r="AU107" s="423">
        <f t="shared" si="52"/>
        <v>0</v>
      </c>
      <c r="AV107" s="419"/>
      <c r="AW107" s="421"/>
      <c r="AX107" s="419"/>
      <c r="AY107" s="419"/>
      <c r="AZ107" s="421"/>
      <c r="BA107" s="421"/>
      <c r="BB107" s="419"/>
      <c r="BC107" s="419"/>
      <c r="BD107" s="421"/>
      <c r="BE107" s="421"/>
      <c r="BF107" s="419"/>
      <c r="BG107" s="419"/>
      <c r="BH107" s="421"/>
      <c r="BI107" s="421"/>
      <c r="BJ107" s="419"/>
      <c r="BK107" s="419"/>
      <c r="BL107" s="421"/>
      <c r="BM107" s="421"/>
      <c r="BN107" s="419"/>
      <c r="BO107" s="419"/>
      <c r="BP107" s="421"/>
      <c r="BQ107" s="421"/>
      <c r="BR107" s="419"/>
      <c r="BS107" s="419"/>
      <c r="BT107" s="421"/>
      <c r="BU107" s="421"/>
      <c r="BV107" s="419"/>
      <c r="BW107" s="419"/>
      <c r="BX107" s="421"/>
      <c r="BY107" s="421"/>
      <c r="BZ107" s="419"/>
      <c r="CA107" s="419"/>
      <c r="CB107" s="421"/>
      <c r="CC107" s="421"/>
      <c r="CD107" s="419"/>
      <c r="CE107" s="419"/>
      <c r="CF107" s="421"/>
      <c r="CG107" s="421"/>
      <c r="CH107" s="419"/>
      <c r="CI107" s="419"/>
      <c r="CJ107" s="421"/>
      <c r="CK107" s="421"/>
      <c r="CL107" s="419"/>
      <c r="CM107" s="421"/>
      <c r="CN107" s="424">
        <f t="shared" si="53"/>
        <v>0</v>
      </c>
      <c r="CO107" s="424">
        <f t="shared" si="54"/>
        <v>0</v>
      </c>
      <c r="CP107" s="425">
        <f t="shared" si="55"/>
        <v>0</v>
      </c>
      <c r="CQ107" s="425">
        <f t="shared" si="56"/>
        <v>0</v>
      </c>
      <c r="CR107" s="419"/>
      <c r="CS107" s="419"/>
      <c r="CT107" s="421"/>
      <c r="CU107" s="421"/>
      <c r="CV107" s="419"/>
      <c r="CW107" s="419"/>
      <c r="CX107" s="421"/>
      <c r="CY107" s="421"/>
      <c r="CZ107" s="419"/>
      <c r="DA107" s="419"/>
      <c r="DB107" s="421"/>
      <c r="DC107" s="421"/>
      <c r="DD107" s="419"/>
      <c r="DE107" s="419"/>
      <c r="DF107" s="421"/>
      <c r="DG107" s="421"/>
      <c r="DH107" s="419"/>
      <c r="DI107" s="419"/>
      <c r="DJ107" s="421"/>
      <c r="DK107" s="421"/>
      <c r="DL107" s="419"/>
      <c r="DM107" s="419"/>
      <c r="DN107" s="421"/>
      <c r="DO107" s="421"/>
      <c r="DP107" s="419"/>
      <c r="DQ107" s="419"/>
      <c r="DR107" s="421"/>
      <c r="DS107" s="421"/>
      <c r="DT107" s="419"/>
      <c r="DU107" s="419"/>
      <c r="DV107" s="421"/>
      <c r="DW107" s="421"/>
      <c r="DX107" s="419"/>
      <c r="DY107" s="419"/>
      <c r="DZ107" s="421"/>
      <c r="EA107" s="421"/>
      <c r="EB107" s="419"/>
      <c r="EC107" s="419"/>
      <c r="ED107" s="421"/>
      <c r="EE107" s="421"/>
      <c r="EF107" s="419"/>
      <c r="EG107" s="421"/>
      <c r="EH107" s="424">
        <f t="shared" si="57"/>
        <v>0</v>
      </c>
      <c r="EI107" s="424">
        <f t="shared" si="58"/>
        <v>0</v>
      </c>
      <c r="EJ107" s="422">
        <f t="shared" si="59"/>
        <v>0</v>
      </c>
      <c r="EK107" s="425">
        <f t="shared" si="60"/>
        <v>0</v>
      </c>
      <c r="EL107" s="425">
        <f t="shared" si="61"/>
        <v>0</v>
      </c>
      <c r="EM107" s="423">
        <f t="shared" si="62"/>
        <v>0</v>
      </c>
      <c r="EN107" s="424">
        <f t="shared" si="63"/>
        <v>0</v>
      </c>
      <c r="EO107" s="425">
        <f t="shared" si="64"/>
        <v>0</v>
      </c>
      <c r="EP107" s="419"/>
      <c r="EQ107" s="421"/>
      <c r="ER107" s="419"/>
      <c r="ES107" s="421"/>
      <c r="ET107" s="419"/>
      <c r="EU107" s="421"/>
      <c r="EV107" s="419"/>
      <c r="EW107" s="421"/>
      <c r="EX107" s="419"/>
      <c r="EY107" s="421"/>
      <c r="EZ107" s="419"/>
      <c r="FA107" s="421"/>
      <c r="FB107" s="419"/>
      <c r="FC107" s="421"/>
      <c r="FD107" s="419"/>
      <c r="FE107" s="421"/>
      <c r="FF107" s="419"/>
      <c r="FG107" s="421"/>
      <c r="FH107" s="419"/>
      <c r="FI107" s="421"/>
      <c r="FJ107" s="424">
        <f t="shared" si="65"/>
        <v>0</v>
      </c>
      <c r="FK107" s="425">
        <f t="shared" si="66"/>
        <v>0</v>
      </c>
      <c r="FL107" s="419"/>
      <c r="FM107" s="421"/>
      <c r="FN107" s="424">
        <f t="shared" si="67"/>
        <v>6598</v>
      </c>
      <c r="FO107" s="425">
        <f t="shared" si="68"/>
        <v>5456</v>
      </c>
    </row>
    <row r="108" spans="1:171">
      <c r="A108" s="43" t="s">
        <v>156</v>
      </c>
      <c r="B108" s="42" t="s">
        <v>597</v>
      </c>
      <c r="C108" s="39"/>
      <c r="D108" s="40">
        <v>137096</v>
      </c>
      <c r="E108" s="118">
        <v>7</v>
      </c>
      <c r="F108" s="419">
        <v>590</v>
      </c>
      <c r="G108" s="440">
        <v>406</v>
      </c>
      <c r="H108" s="419">
        <v>45</v>
      </c>
      <c r="I108" s="438">
        <v>37</v>
      </c>
      <c r="J108" s="419">
        <v>2775</v>
      </c>
      <c r="K108" s="433">
        <v>2633</v>
      </c>
      <c r="L108" s="422">
        <f t="shared" si="47"/>
        <v>10.632183908045977</v>
      </c>
      <c r="M108" s="423">
        <f t="shared" si="48"/>
        <v>0</v>
      </c>
      <c r="N108" s="419">
        <v>261</v>
      </c>
      <c r="O108" s="309">
        <f>0</f>
        <v>0</v>
      </c>
      <c r="P108" s="309">
        <f>0</f>
        <v>0</v>
      </c>
      <c r="Q108" s="309">
        <f>0</f>
        <v>0</v>
      </c>
      <c r="R108" s="424">
        <f t="shared" si="45"/>
        <v>0</v>
      </c>
      <c r="S108" s="434"/>
      <c r="T108" s="435"/>
      <c r="U108" s="435"/>
      <c r="V108" s="435"/>
      <c r="W108" s="425">
        <f t="shared" si="46"/>
        <v>0</v>
      </c>
      <c r="X108" s="419">
        <v>52</v>
      </c>
      <c r="Y108" s="419">
        <v>80</v>
      </c>
      <c r="Z108" s="436">
        <v>51</v>
      </c>
      <c r="AA108" s="443">
        <v>151</v>
      </c>
      <c r="AB108" s="419">
        <v>51</v>
      </c>
      <c r="AC108" s="419">
        <v>76</v>
      </c>
      <c r="AD108" s="436">
        <v>52</v>
      </c>
      <c r="AE108" s="436">
        <v>84</v>
      </c>
      <c r="AF108" s="419">
        <v>11</v>
      </c>
      <c r="AG108" s="419">
        <v>21</v>
      </c>
      <c r="AH108" s="436">
        <v>13</v>
      </c>
      <c r="AI108" s="436">
        <v>24</v>
      </c>
      <c r="AJ108" s="419">
        <v>50</v>
      </c>
      <c r="AK108" s="419">
        <v>9</v>
      </c>
      <c r="AL108" s="436">
        <v>11</v>
      </c>
      <c r="AM108" s="442">
        <v>20</v>
      </c>
      <c r="AN108" s="419">
        <v>13</v>
      </c>
      <c r="AO108" s="419">
        <v>9</v>
      </c>
      <c r="AP108" s="436">
        <v>50</v>
      </c>
      <c r="AQ108" s="436">
        <v>9</v>
      </c>
      <c r="AR108" s="424">
        <f t="shared" si="49"/>
        <v>5</v>
      </c>
      <c r="AS108" s="422">
        <f t="shared" si="50"/>
        <v>7.1097793516752925E-2</v>
      </c>
      <c r="AT108" s="425">
        <f t="shared" si="51"/>
        <v>5</v>
      </c>
      <c r="AU108" s="423">
        <f t="shared" si="52"/>
        <v>0</v>
      </c>
      <c r="AV108" s="419"/>
      <c r="AW108" s="421"/>
      <c r="AX108" s="419"/>
      <c r="AY108" s="419"/>
      <c r="AZ108" s="421"/>
      <c r="BA108" s="421"/>
      <c r="BB108" s="419"/>
      <c r="BC108" s="419"/>
      <c r="BD108" s="421"/>
      <c r="BE108" s="421"/>
      <c r="BF108" s="419"/>
      <c r="BG108" s="419"/>
      <c r="BH108" s="421"/>
      <c r="BI108" s="421"/>
      <c r="BJ108" s="419"/>
      <c r="BK108" s="419"/>
      <c r="BL108" s="421"/>
      <c r="BM108" s="421"/>
      <c r="BN108" s="419"/>
      <c r="BO108" s="419"/>
      <c r="BP108" s="421"/>
      <c r="BQ108" s="421"/>
      <c r="BR108" s="419"/>
      <c r="BS108" s="419"/>
      <c r="BT108" s="421"/>
      <c r="BU108" s="421"/>
      <c r="BV108" s="419"/>
      <c r="BW108" s="419"/>
      <c r="BX108" s="421"/>
      <c r="BY108" s="421"/>
      <c r="BZ108" s="419"/>
      <c r="CA108" s="419"/>
      <c r="CB108" s="421"/>
      <c r="CC108" s="421"/>
      <c r="CD108" s="419"/>
      <c r="CE108" s="419"/>
      <c r="CF108" s="421"/>
      <c r="CG108" s="421"/>
      <c r="CH108" s="419"/>
      <c r="CI108" s="419"/>
      <c r="CJ108" s="421"/>
      <c r="CK108" s="421"/>
      <c r="CL108" s="419"/>
      <c r="CM108" s="421"/>
      <c r="CN108" s="424">
        <f t="shared" si="53"/>
        <v>0</v>
      </c>
      <c r="CO108" s="424">
        <f t="shared" si="54"/>
        <v>0</v>
      </c>
      <c r="CP108" s="425">
        <f t="shared" si="55"/>
        <v>0</v>
      </c>
      <c r="CQ108" s="425">
        <f t="shared" si="56"/>
        <v>0</v>
      </c>
      <c r="CR108" s="419"/>
      <c r="CS108" s="419"/>
      <c r="CT108" s="421"/>
      <c r="CU108" s="421"/>
      <c r="CV108" s="419"/>
      <c r="CW108" s="419"/>
      <c r="CX108" s="421"/>
      <c r="CY108" s="421"/>
      <c r="CZ108" s="419"/>
      <c r="DA108" s="419"/>
      <c r="DB108" s="421"/>
      <c r="DC108" s="421"/>
      <c r="DD108" s="419"/>
      <c r="DE108" s="419"/>
      <c r="DF108" s="421"/>
      <c r="DG108" s="421"/>
      <c r="DH108" s="419"/>
      <c r="DI108" s="419"/>
      <c r="DJ108" s="421"/>
      <c r="DK108" s="421"/>
      <c r="DL108" s="419"/>
      <c r="DM108" s="419"/>
      <c r="DN108" s="421"/>
      <c r="DO108" s="421"/>
      <c r="DP108" s="419"/>
      <c r="DQ108" s="419"/>
      <c r="DR108" s="421"/>
      <c r="DS108" s="421"/>
      <c r="DT108" s="419"/>
      <c r="DU108" s="419"/>
      <c r="DV108" s="421"/>
      <c r="DW108" s="421"/>
      <c r="DX108" s="419"/>
      <c r="DY108" s="419"/>
      <c r="DZ108" s="421"/>
      <c r="EA108" s="421"/>
      <c r="EB108" s="419"/>
      <c r="EC108" s="419"/>
      <c r="ED108" s="421"/>
      <c r="EE108" s="421"/>
      <c r="EF108" s="419"/>
      <c r="EG108" s="421"/>
      <c r="EH108" s="424">
        <f t="shared" si="57"/>
        <v>0</v>
      </c>
      <c r="EI108" s="424">
        <f t="shared" si="58"/>
        <v>0</v>
      </c>
      <c r="EJ108" s="422">
        <f t="shared" si="59"/>
        <v>0</v>
      </c>
      <c r="EK108" s="425">
        <f t="shared" si="60"/>
        <v>0</v>
      </c>
      <c r="EL108" s="425">
        <f t="shared" si="61"/>
        <v>0</v>
      </c>
      <c r="EM108" s="423">
        <f t="shared" si="62"/>
        <v>0</v>
      </c>
      <c r="EN108" s="424">
        <f t="shared" si="63"/>
        <v>0</v>
      </c>
      <c r="EO108" s="425">
        <f t="shared" si="64"/>
        <v>0</v>
      </c>
      <c r="EP108" s="419"/>
      <c r="EQ108" s="421"/>
      <c r="ER108" s="419"/>
      <c r="ES108" s="421"/>
      <c r="ET108" s="419"/>
      <c r="EU108" s="421"/>
      <c r="EV108" s="419"/>
      <c r="EW108" s="421"/>
      <c r="EX108" s="419"/>
      <c r="EY108" s="421"/>
      <c r="EZ108" s="419"/>
      <c r="FA108" s="421"/>
      <c r="FB108" s="419"/>
      <c r="FC108" s="421"/>
      <c r="FD108" s="419"/>
      <c r="FE108" s="421"/>
      <c r="FF108" s="419"/>
      <c r="FG108" s="421"/>
      <c r="FH108" s="419"/>
      <c r="FI108" s="421"/>
      <c r="FJ108" s="424">
        <f t="shared" si="65"/>
        <v>0</v>
      </c>
      <c r="FK108" s="425">
        <f t="shared" si="66"/>
        <v>0</v>
      </c>
      <c r="FL108" s="419"/>
      <c r="FM108" s="421"/>
      <c r="FN108" s="424">
        <f t="shared" si="67"/>
        <v>3671</v>
      </c>
      <c r="FO108" s="425">
        <f t="shared" si="68"/>
        <v>3076</v>
      </c>
    </row>
    <row r="109" spans="1:171">
      <c r="A109" s="43" t="s">
        <v>156</v>
      </c>
      <c r="B109" s="42" t="s">
        <v>598</v>
      </c>
      <c r="C109" s="39"/>
      <c r="D109" s="40">
        <v>137209</v>
      </c>
      <c r="E109" s="118">
        <v>7</v>
      </c>
      <c r="F109" s="419">
        <v>3393</v>
      </c>
      <c r="G109" s="431">
        <v>2988</v>
      </c>
      <c r="H109" s="419">
        <v>34</v>
      </c>
      <c r="I109" s="441">
        <v>25</v>
      </c>
      <c r="J109" s="419">
        <v>3075</v>
      </c>
      <c r="K109" s="433">
        <v>2706</v>
      </c>
      <c r="L109" s="422">
        <f t="shared" si="47"/>
        <v>6.5705128205128203</v>
      </c>
      <c r="M109" s="423">
        <f t="shared" si="48"/>
        <v>0</v>
      </c>
      <c r="N109" s="419">
        <v>468</v>
      </c>
      <c r="O109" s="309">
        <f>0</f>
        <v>0</v>
      </c>
      <c r="P109" s="309">
        <f>0</f>
        <v>0</v>
      </c>
      <c r="Q109" s="309">
        <f>0</f>
        <v>0</v>
      </c>
      <c r="R109" s="424">
        <f t="shared" si="45"/>
        <v>0</v>
      </c>
      <c r="S109" s="434"/>
      <c r="T109" s="435"/>
      <c r="U109" s="435"/>
      <c r="V109" s="435"/>
      <c r="W109" s="425">
        <f t="shared" si="46"/>
        <v>0</v>
      </c>
      <c r="X109" s="419">
        <v>52</v>
      </c>
      <c r="Y109" s="419">
        <v>135</v>
      </c>
      <c r="Z109" s="436">
        <v>51</v>
      </c>
      <c r="AA109" s="437">
        <v>177</v>
      </c>
      <c r="AB109" s="419">
        <v>11</v>
      </c>
      <c r="AC109" s="419">
        <v>128</v>
      </c>
      <c r="AD109" s="436">
        <v>52</v>
      </c>
      <c r="AE109" s="436">
        <v>145</v>
      </c>
      <c r="AF109" s="419">
        <v>51</v>
      </c>
      <c r="AG109" s="419">
        <v>126</v>
      </c>
      <c r="AH109" s="436">
        <v>11</v>
      </c>
      <c r="AI109" s="436">
        <v>136</v>
      </c>
      <c r="AJ109" s="419">
        <v>50</v>
      </c>
      <c r="AK109" s="419">
        <v>27</v>
      </c>
      <c r="AL109" s="436">
        <v>15</v>
      </c>
      <c r="AM109" s="443">
        <v>52</v>
      </c>
      <c r="AN109" s="419">
        <v>15</v>
      </c>
      <c r="AO109" s="419">
        <v>24</v>
      </c>
      <c r="AP109" s="436">
        <v>50</v>
      </c>
      <c r="AQ109" s="437">
        <v>34</v>
      </c>
      <c r="AR109" s="424">
        <f t="shared" si="49"/>
        <v>5</v>
      </c>
      <c r="AS109" s="422">
        <f t="shared" si="50"/>
        <v>6.7144906743185073E-2</v>
      </c>
      <c r="AT109" s="425">
        <f t="shared" si="51"/>
        <v>5</v>
      </c>
      <c r="AU109" s="423">
        <f t="shared" si="52"/>
        <v>0</v>
      </c>
      <c r="AV109" s="419"/>
      <c r="AW109" s="421"/>
      <c r="AX109" s="419"/>
      <c r="AY109" s="419"/>
      <c r="AZ109" s="421"/>
      <c r="BA109" s="421"/>
      <c r="BB109" s="419"/>
      <c r="BC109" s="419"/>
      <c r="BD109" s="421"/>
      <c r="BE109" s="421"/>
      <c r="BF109" s="419"/>
      <c r="BG109" s="419"/>
      <c r="BH109" s="421"/>
      <c r="BI109" s="421"/>
      <c r="BJ109" s="419"/>
      <c r="BK109" s="419"/>
      <c r="BL109" s="421"/>
      <c r="BM109" s="421"/>
      <c r="BN109" s="419"/>
      <c r="BO109" s="419"/>
      <c r="BP109" s="421"/>
      <c r="BQ109" s="421"/>
      <c r="BR109" s="419"/>
      <c r="BS109" s="419"/>
      <c r="BT109" s="421"/>
      <c r="BU109" s="421"/>
      <c r="BV109" s="419"/>
      <c r="BW109" s="419"/>
      <c r="BX109" s="421"/>
      <c r="BY109" s="421"/>
      <c r="BZ109" s="419"/>
      <c r="CA109" s="419"/>
      <c r="CB109" s="421"/>
      <c r="CC109" s="421"/>
      <c r="CD109" s="419"/>
      <c r="CE109" s="419"/>
      <c r="CF109" s="421"/>
      <c r="CG109" s="421"/>
      <c r="CH109" s="419"/>
      <c r="CI109" s="419"/>
      <c r="CJ109" s="421"/>
      <c r="CK109" s="421"/>
      <c r="CL109" s="419"/>
      <c r="CM109" s="421"/>
      <c r="CN109" s="424">
        <f t="shared" si="53"/>
        <v>0</v>
      </c>
      <c r="CO109" s="424">
        <f t="shared" si="54"/>
        <v>0</v>
      </c>
      <c r="CP109" s="425">
        <f t="shared" si="55"/>
        <v>0</v>
      </c>
      <c r="CQ109" s="425">
        <f t="shared" si="56"/>
        <v>0</v>
      </c>
      <c r="CR109" s="419"/>
      <c r="CS109" s="419"/>
      <c r="CT109" s="421"/>
      <c r="CU109" s="421"/>
      <c r="CV109" s="419"/>
      <c r="CW109" s="419"/>
      <c r="CX109" s="421"/>
      <c r="CY109" s="421"/>
      <c r="CZ109" s="419"/>
      <c r="DA109" s="419"/>
      <c r="DB109" s="421"/>
      <c r="DC109" s="421"/>
      <c r="DD109" s="419"/>
      <c r="DE109" s="419"/>
      <c r="DF109" s="421"/>
      <c r="DG109" s="421"/>
      <c r="DH109" s="419"/>
      <c r="DI109" s="419"/>
      <c r="DJ109" s="421"/>
      <c r="DK109" s="421"/>
      <c r="DL109" s="419"/>
      <c r="DM109" s="419"/>
      <c r="DN109" s="421"/>
      <c r="DO109" s="421"/>
      <c r="DP109" s="419"/>
      <c r="DQ109" s="419"/>
      <c r="DR109" s="421"/>
      <c r="DS109" s="421"/>
      <c r="DT109" s="419"/>
      <c r="DU109" s="419"/>
      <c r="DV109" s="421"/>
      <c r="DW109" s="421"/>
      <c r="DX109" s="419"/>
      <c r="DY109" s="419"/>
      <c r="DZ109" s="421"/>
      <c r="EA109" s="421"/>
      <c r="EB109" s="419"/>
      <c r="EC109" s="419"/>
      <c r="ED109" s="421"/>
      <c r="EE109" s="421"/>
      <c r="EF109" s="419"/>
      <c r="EG109" s="421"/>
      <c r="EH109" s="424">
        <f t="shared" si="57"/>
        <v>0</v>
      </c>
      <c r="EI109" s="424">
        <f t="shared" si="58"/>
        <v>0</v>
      </c>
      <c r="EJ109" s="422">
        <f t="shared" si="59"/>
        <v>0</v>
      </c>
      <c r="EK109" s="425">
        <f t="shared" si="60"/>
        <v>0</v>
      </c>
      <c r="EL109" s="425">
        <f t="shared" si="61"/>
        <v>0</v>
      </c>
      <c r="EM109" s="423">
        <f t="shared" si="62"/>
        <v>0</v>
      </c>
      <c r="EN109" s="424">
        <f t="shared" si="63"/>
        <v>0</v>
      </c>
      <c r="EO109" s="425">
        <f t="shared" si="64"/>
        <v>0</v>
      </c>
      <c r="EP109" s="419"/>
      <c r="EQ109" s="421"/>
      <c r="ER109" s="419"/>
      <c r="ES109" s="421"/>
      <c r="ET109" s="419"/>
      <c r="EU109" s="421"/>
      <c r="EV109" s="419"/>
      <c r="EW109" s="421"/>
      <c r="EX109" s="419"/>
      <c r="EY109" s="421"/>
      <c r="EZ109" s="419"/>
      <c r="FA109" s="421"/>
      <c r="FB109" s="419"/>
      <c r="FC109" s="421"/>
      <c r="FD109" s="419"/>
      <c r="FE109" s="421"/>
      <c r="FF109" s="419"/>
      <c r="FG109" s="421"/>
      <c r="FH109" s="419"/>
      <c r="FI109" s="421"/>
      <c r="FJ109" s="424">
        <f t="shared" si="65"/>
        <v>0</v>
      </c>
      <c r="FK109" s="425">
        <f t="shared" si="66"/>
        <v>0</v>
      </c>
      <c r="FL109" s="419"/>
      <c r="FM109" s="421"/>
      <c r="FN109" s="424">
        <f t="shared" si="67"/>
        <v>6970</v>
      </c>
      <c r="FO109" s="425">
        <f t="shared" si="68"/>
        <v>5719</v>
      </c>
    </row>
    <row r="110" spans="1:171">
      <c r="A110" s="43" t="s">
        <v>156</v>
      </c>
      <c r="B110" s="42" t="s">
        <v>599</v>
      </c>
      <c r="C110" s="38"/>
      <c r="D110" s="40">
        <v>137315</v>
      </c>
      <c r="E110" s="118">
        <v>7</v>
      </c>
      <c r="F110" s="419">
        <v>419</v>
      </c>
      <c r="G110" s="440">
        <v>224</v>
      </c>
      <c r="H110" s="419">
        <v>17</v>
      </c>
      <c r="I110" s="441">
        <v>9</v>
      </c>
      <c r="J110" s="419">
        <v>423</v>
      </c>
      <c r="K110" s="441">
        <v>316</v>
      </c>
      <c r="L110" s="422">
        <f t="shared" si="47"/>
        <v>6.609375</v>
      </c>
      <c r="M110" s="423">
        <f t="shared" si="48"/>
        <v>0</v>
      </c>
      <c r="N110" s="419">
        <v>64</v>
      </c>
      <c r="O110" s="309">
        <f>0</f>
        <v>0</v>
      </c>
      <c r="P110" s="309">
        <f>0</f>
        <v>0</v>
      </c>
      <c r="Q110" s="309">
        <f>0</f>
        <v>0</v>
      </c>
      <c r="R110" s="424">
        <f t="shared" si="45"/>
        <v>0</v>
      </c>
      <c r="S110" s="434"/>
      <c r="T110" s="435"/>
      <c r="U110" s="435"/>
      <c r="V110" s="435"/>
      <c r="W110" s="425">
        <f t="shared" si="46"/>
        <v>0</v>
      </c>
      <c r="X110" s="419">
        <v>52</v>
      </c>
      <c r="Y110" s="419">
        <v>36</v>
      </c>
      <c r="Z110" s="436">
        <v>52</v>
      </c>
      <c r="AA110" s="436">
        <v>32</v>
      </c>
      <c r="AB110" s="419">
        <v>51</v>
      </c>
      <c r="AC110" s="419">
        <v>15</v>
      </c>
      <c r="AD110" s="436">
        <v>13</v>
      </c>
      <c r="AE110" s="436">
        <v>15</v>
      </c>
      <c r="AF110" s="419">
        <v>13</v>
      </c>
      <c r="AG110" s="419">
        <v>13</v>
      </c>
      <c r="AH110" s="436">
        <v>51</v>
      </c>
      <c r="AI110" s="436">
        <v>15</v>
      </c>
      <c r="AJ110" s="419"/>
      <c r="AK110" s="419"/>
      <c r="AL110" s="436"/>
      <c r="AM110" s="436"/>
      <c r="AN110" s="419"/>
      <c r="AO110" s="419"/>
      <c r="AP110" s="436"/>
      <c r="AQ110" s="436"/>
      <c r="AR110" s="424">
        <f t="shared" si="49"/>
        <v>3</v>
      </c>
      <c r="AS110" s="422">
        <f t="shared" si="50"/>
        <v>6.9339111592632716E-2</v>
      </c>
      <c r="AT110" s="425">
        <f t="shared" si="51"/>
        <v>3</v>
      </c>
      <c r="AU110" s="423">
        <f t="shared" si="52"/>
        <v>0</v>
      </c>
      <c r="AV110" s="419"/>
      <c r="AW110" s="421"/>
      <c r="AX110" s="419"/>
      <c r="AY110" s="419"/>
      <c r="AZ110" s="421"/>
      <c r="BA110" s="421"/>
      <c r="BB110" s="419"/>
      <c r="BC110" s="419"/>
      <c r="BD110" s="421"/>
      <c r="BE110" s="421"/>
      <c r="BF110" s="419"/>
      <c r="BG110" s="419"/>
      <c r="BH110" s="421"/>
      <c r="BI110" s="421"/>
      <c r="BJ110" s="419"/>
      <c r="BK110" s="419"/>
      <c r="BL110" s="421"/>
      <c r="BM110" s="421"/>
      <c r="BN110" s="419"/>
      <c r="BO110" s="419"/>
      <c r="BP110" s="421"/>
      <c r="BQ110" s="421"/>
      <c r="BR110" s="419"/>
      <c r="BS110" s="419"/>
      <c r="BT110" s="421"/>
      <c r="BU110" s="421"/>
      <c r="BV110" s="419"/>
      <c r="BW110" s="419"/>
      <c r="BX110" s="421"/>
      <c r="BY110" s="421"/>
      <c r="BZ110" s="419"/>
      <c r="CA110" s="419"/>
      <c r="CB110" s="421"/>
      <c r="CC110" s="421"/>
      <c r="CD110" s="419"/>
      <c r="CE110" s="419"/>
      <c r="CF110" s="421"/>
      <c r="CG110" s="421"/>
      <c r="CH110" s="419"/>
      <c r="CI110" s="419"/>
      <c r="CJ110" s="421"/>
      <c r="CK110" s="421"/>
      <c r="CL110" s="419"/>
      <c r="CM110" s="421"/>
      <c r="CN110" s="424">
        <f t="shared" si="53"/>
        <v>0</v>
      </c>
      <c r="CO110" s="424">
        <f t="shared" si="54"/>
        <v>0</v>
      </c>
      <c r="CP110" s="425">
        <f t="shared" si="55"/>
        <v>0</v>
      </c>
      <c r="CQ110" s="425">
        <f t="shared" si="56"/>
        <v>0</v>
      </c>
      <c r="CR110" s="419"/>
      <c r="CS110" s="419"/>
      <c r="CT110" s="421"/>
      <c r="CU110" s="421"/>
      <c r="CV110" s="419"/>
      <c r="CW110" s="419"/>
      <c r="CX110" s="421"/>
      <c r="CY110" s="421"/>
      <c r="CZ110" s="419"/>
      <c r="DA110" s="419"/>
      <c r="DB110" s="421"/>
      <c r="DC110" s="421"/>
      <c r="DD110" s="419"/>
      <c r="DE110" s="419"/>
      <c r="DF110" s="421"/>
      <c r="DG110" s="421"/>
      <c r="DH110" s="419"/>
      <c r="DI110" s="419"/>
      <c r="DJ110" s="421"/>
      <c r="DK110" s="421"/>
      <c r="DL110" s="419"/>
      <c r="DM110" s="419"/>
      <c r="DN110" s="421"/>
      <c r="DO110" s="421"/>
      <c r="DP110" s="419"/>
      <c r="DQ110" s="419"/>
      <c r="DR110" s="421"/>
      <c r="DS110" s="421"/>
      <c r="DT110" s="419"/>
      <c r="DU110" s="419"/>
      <c r="DV110" s="421"/>
      <c r="DW110" s="421"/>
      <c r="DX110" s="419"/>
      <c r="DY110" s="419"/>
      <c r="DZ110" s="421"/>
      <c r="EA110" s="421"/>
      <c r="EB110" s="419"/>
      <c r="EC110" s="419"/>
      <c r="ED110" s="421"/>
      <c r="EE110" s="421"/>
      <c r="EF110" s="419"/>
      <c r="EG110" s="421"/>
      <c r="EH110" s="424">
        <f t="shared" si="57"/>
        <v>0</v>
      </c>
      <c r="EI110" s="424">
        <f t="shared" si="58"/>
        <v>0</v>
      </c>
      <c r="EJ110" s="422">
        <f t="shared" si="59"/>
        <v>0</v>
      </c>
      <c r="EK110" s="425">
        <f t="shared" si="60"/>
        <v>0</v>
      </c>
      <c r="EL110" s="425">
        <f t="shared" si="61"/>
        <v>0</v>
      </c>
      <c r="EM110" s="423">
        <f t="shared" si="62"/>
        <v>0</v>
      </c>
      <c r="EN110" s="424">
        <f t="shared" si="63"/>
        <v>0</v>
      </c>
      <c r="EO110" s="425">
        <f t="shared" si="64"/>
        <v>0</v>
      </c>
      <c r="EP110" s="419"/>
      <c r="EQ110" s="421"/>
      <c r="ER110" s="419"/>
      <c r="ES110" s="421"/>
      <c r="ET110" s="419"/>
      <c r="EU110" s="421"/>
      <c r="EV110" s="419"/>
      <c r="EW110" s="421"/>
      <c r="EX110" s="419"/>
      <c r="EY110" s="421"/>
      <c r="EZ110" s="419"/>
      <c r="FA110" s="421"/>
      <c r="FB110" s="419"/>
      <c r="FC110" s="421"/>
      <c r="FD110" s="419"/>
      <c r="FE110" s="421"/>
      <c r="FF110" s="419"/>
      <c r="FG110" s="421"/>
      <c r="FH110" s="419"/>
      <c r="FI110" s="421"/>
      <c r="FJ110" s="424">
        <f t="shared" si="65"/>
        <v>0</v>
      </c>
      <c r="FK110" s="425">
        <f t="shared" si="66"/>
        <v>0</v>
      </c>
      <c r="FL110" s="419"/>
      <c r="FM110" s="421"/>
      <c r="FN110" s="424">
        <f t="shared" si="67"/>
        <v>923</v>
      </c>
      <c r="FO110" s="425">
        <f t="shared" si="68"/>
        <v>549</v>
      </c>
    </row>
    <row r="111" spans="1:171">
      <c r="A111" s="43" t="s">
        <v>156</v>
      </c>
      <c r="B111" s="42" t="s">
        <v>605</v>
      </c>
      <c r="C111" s="41" t="s">
        <v>579</v>
      </c>
      <c r="D111" s="40">
        <v>137759</v>
      </c>
      <c r="E111" s="118">
        <v>8</v>
      </c>
      <c r="F111" s="419">
        <v>650</v>
      </c>
      <c r="G111" s="439">
        <v>770</v>
      </c>
      <c r="H111" s="419">
        <v>0</v>
      </c>
      <c r="I111" s="438">
        <v>0</v>
      </c>
      <c r="J111" s="419">
        <v>2483</v>
      </c>
      <c r="K111" s="433">
        <v>2847</v>
      </c>
      <c r="L111" s="422">
        <f t="shared" si="47"/>
        <v>206.91666666666666</v>
      </c>
      <c r="M111" s="423">
        <f t="shared" si="48"/>
        <v>0</v>
      </c>
      <c r="N111" s="419">
        <v>12</v>
      </c>
      <c r="O111" s="309">
        <f>0</f>
        <v>0</v>
      </c>
      <c r="P111" s="309">
        <f>0</f>
        <v>0</v>
      </c>
      <c r="Q111" s="309">
        <f>0</f>
        <v>0</v>
      </c>
      <c r="R111" s="424">
        <f t="shared" si="45"/>
        <v>0</v>
      </c>
      <c r="S111" s="434"/>
      <c r="T111" s="435"/>
      <c r="U111" s="435"/>
      <c r="V111" s="435"/>
      <c r="W111" s="425">
        <f t="shared" si="46"/>
        <v>0</v>
      </c>
      <c r="X111" s="419">
        <v>51</v>
      </c>
      <c r="Y111" s="419">
        <v>12</v>
      </c>
      <c r="Z111" s="436">
        <v>51</v>
      </c>
      <c r="AA111" s="443">
        <v>19</v>
      </c>
      <c r="AB111" s="419"/>
      <c r="AC111" s="419"/>
      <c r="AD111" s="436"/>
      <c r="AE111" s="436"/>
      <c r="AF111" s="419"/>
      <c r="AG111" s="419"/>
      <c r="AH111" s="436"/>
      <c r="AI111" s="436"/>
      <c r="AJ111" s="419"/>
      <c r="AK111" s="419"/>
      <c r="AL111" s="436"/>
      <c r="AM111" s="436"/>
      <c r="AN111" s="419"/>
      <c r="AO111" s="419"/>
      <c r="AP111" s="436"/>
      <c r="AQ111" s="436"/>
      <c r="AR111" s="424">
        <f t="shared" si="49"/>
        <v>1</v>
      </c>
      <c r="AS111" s="422">
        <f t="shared" si="50"/>
        <v>3.8155802861685214E-3</v>
      </c>
      <c r="AT111" s="425">
        <f t="shared" si="51"/>
        <v>1</v>
      </c>
      <c r="AU111" s="423">
        <f t="shared" si="52"/>
        <v>0</v>
      </c>
      <c r="AV111" s="419"/>
      <c r="AW111" s="421"/>
      <c r="AX111" s="419"/>
      <c r="AY111" s="419"/>
      <c r="AZ111" s="421"/>
      <c r="BA111" s="421"/>
      <c r="BB111" s="419"/>
      <c r="BC111" s="419"/>
      <c r="BD111" s="421"/>
      <c r="BE111" s="421"/>
      <c r="BF111" s="419"/>
      <c r="BG111" s="419"/>
      <c r="BH111" s="421"/>
      <c r="BI111" s="421"/>
      <c r="BJ111" s="419"/>
      <c r="BK111" s="419"/>
      <c r="BL111" s="421"/>
      <c r="BM111" s="421"/>
      <c r="BN111" s="419"/>
      <c r="BO111" s="419"/>
      <c r="BP111" s="421"/>
      <c r="BQ111" s="421"/>
      <c r="BR111" s="419"/>
      <c r="BS111" s="419"/>
      <c r="BT111" s="421"/>
      <c r="BU111" s="421"/>
      <c r="BV111" s="419"/>
      <c r="BW111" s="419"/>
      <c r="BX111" s="421"/>
      <c r="BY111" s="421"/>
      <c r="BZ111" s="419"/>
      <c r="CA111" s="419"/>
      <c r="CB111" s="421"/>
      <c r="CC111" s="421"/>
      <c r="CD111" s="419"/>
      <c r="CE111" s="419"/>
      <c r="CF111" s="421"/>
      <c r="CG111" s="421"/>
      <c r="CH111" s="419"/>
      <c r="CI111" s="419"/>
      <c r="CJ111" s="421"/>
      <c r="CK111" s="421"/>
      <c r="CL111" s="419"/>
      <c r="CM111" s="421"/>
      <c r="CN111" s="424">
        <f t="shared" si="53"/>
        <v>0</v>
      </c>
      <c r="CO111" s="424">
        <f t="shared" si="54"/>
        <v>0</v>
      </c>
      <c r="CP111" s="425">
        <f t="shared" si="55"/>
        <v>0</v>
      </c>
      <c r="CQ111" s="425">
        <f t="shared" si="56"/>
        <v>0</v>
      </c>
      <c r="CR111" s="419"/>
      <c r="CS111" s="419"/>
      <c r="CT111" s="421"/>
      <c r="CU111" s="421"/>
      <c r="CV111" s="419"/>
      <c r="CW111" s="419"/>
      <c r="CX111" s="421"/>
      <c r="CY111" s="421"/>
      <c r="CZ111" s="419"/>
      <c r="DA111" s="419"/>
      <c r="DB111" s="421"/>
      <c r="DC111" s="421"/>
      <c r="DD111" s="419"/>
      <c r="DE111" s="419"/>
      <c r="DF111" s="421"/>
      <c r="DG111" s="421"/>
      <c r="DH111" s="419"/>
      <c r="DI111" s="419"/>
      <c r="DJ111" s="421"/>
      <c r="DK111" s="421"/>
      <c r="DL111" s="419"/>
      <c r="DM111" s="419"/>
      <c r="DN111" s="421"/>
      <c r="DO111" s="421"/>
      <c r="DP111" s="419"/>
      <c r="DQ111" s="419"/>
      <c r="DR111" s="421"/>
      <c r="DS111" s="421"/>
      <c r="DT111" s="419"/>
      <c r="DU111" s="419"/>
      <c r="DV111" s="421"/>
      <c r="DW111" s="421"/>
      <c r="DX111" s="419"/>
      <c r="DY111" s="419"/>
      <c r="DZ111" s="421"/>
      <c r="EA111" s="421"/>
      <c r="EB111" s="419"/>
      <c r="EC111" s="419"/>
      <c r="ED111" s="421"/>
      <c r="EE111" s="421"/>
      <c r="EF111" s="419"/>
      <c r="EG111" s="421"/>
      <c r="EH111" s="424">
        <f t="shared" si="57"/>
        <v>0</v>
      </c>
      <c r="EI111" s="424">
        <f t="shared" si="58"/>
        <v>0</v>
      </c>
      <c r="EJ111" s="422">
        <f t="shared" si="59"/>
        <v>0</v>
      </c>
      <c r="EK111" s="425">
        <f t="shared" si="60"/>
        <v>0</v>
      </c>
      <c r="EL111" s="425">
        <f t="shared" si="61"/>
        <v>0</v>
      </c>
      <c r="EM111" s="423">
        <f t="shared" si="62"/>
        <v>0</v>
      </c>
      <c r="EN111" s="424">
        <f t="shared" si="63"/>
        <v>0</v>
      </c>
      <c r="EO111" s="425">
        <f t="shared" si="64"/>
        <v>0</v>
      </c>
      <c r="EP111" s="419"/>
      <c r="EQ111" s="421"/>
      <c r="ER111" s="419"/>
      <c r="ES111" s="421"/>
      <c r="ET111" s="419"/>
      <c r="EU111" s="421"/>
      <c r="EV111" s="419"/>
      <c r="EW111" s="421"/>
      <c r="EX111" s="419"/>
      <c r="EY111" s="421"/>
      <c r="EZ111" s="419"/>
      <c r="FA111" s="421"/>
      <c r="FB111" s="419"/>
      <c r="FC111" s="421"/>
      <c r="FD111" s="419"/>
      <c r="FE111" s="421"/>
      <c r="FF111" s="419"/>
      <c r="FG111" s="421"/>
      <c r="FH111" s="419"/>
      <c r="FI111" s="421"/>
      <c r="FJ111" s="424">
        <f t="shared" si="65"/>
        <v>0</v>
      </c>
      <c r="FK111" s="425">
        <f t="shared" si="66"/>
        <v>0</v>
      </c>
      <c r="FL111" s="419"/>
      <c r="FM111" s="421"/>
      <c r="FN111" s="424">
        <f t="shared" si="67"/>
        <v>3145</v>
      </c>
      <c r="FO111" s="425">
        <f t="shared" si="68"/>
        <v>3617</v>
      </c>
    </row>
    <row r="112" spans="1:171">
      <c r="A112" s="43" t="s">
        <v>156</v>
      </c>
      <c r="B112" s="42" t="s">
        <v>603</v>
      </c>
      <c r="C112" s="38"/>
      <c r="D112" s="40">
        <v>138187</v>
      </c>
      <c r="E112" s="118">
        <v>7</v>
      </c>
      <c r="F112" s="419">
        <v>6484</v>
      </c>
      <c r="G112" s="444">
        <v>9145</v>
      </c>
      <c r="H112" s="419">
        <v>0</v>
      </c>
      <c r="I112" s="438">
        <v>0</v>
      </c>
      <c r="J112" s="419">
        <v>8516</v>
      </c>
      <c r="K112" s="433">
        <v>8582</v>
      </c>
      <c r="L112" s="422">
        <f t="shared" si="47"/>
        <v>106.45</v>
      </c>
      <c r="M112" s="423">
        <f t="shared" si="48"/>
        <v>0</v>
      </c>
      <c r="N112" s="419">
        <v>80</v>
      </c>
      <c r="O112" s="309">
        <f>0</f>
        <v>0</v>
      </c>
      <c r="P112" s="309">
        <f>0</f>
        <v>0</v>
      </c>
      <c r="Q112" s="309">
        <f>0</f>
        <v>0</v>
      </c>
      <c r="R112" s="424">
        <f t="shared" si="45"/>
        <v>0</v>
      </c>
      <c r="S112" s="434"/>
      <c r="T112" s="435"/>
      <c r="U112" s="435"/>
      <c r="V112" s="435"/>
      <c r="W112" s="425">
        <f t="shared" si="46"/>
        <v>0</v>
      </c>
      <c r="X112" s="419">
        <v>15</v>
      </c>
      <c r="Y112" s="419">
        <v>26</v>
      </c>
      <c r="Z112" s="436">
        <v>52</v>
      </c>
      <c r="AA112" s="442">
        <v>208</v>
      </c>
      <c r="AB112" s="419">
        <v>51</v>
      </c>
      <c r="AC112" s="419">
        <v>24</v>
      </c>
      <c r="AD112" s="436">
        <v>51</v>
      </c>
      <c r="AE112" s="442">
        <v>103</v>
      </c>
      <c r="AF112" s="419">
        <v>52</v>
      </c>
      <c r="AG112" s="419">
        <v>8</v>
      </c>
      <c r="AH112" s="436">
        <v>15</v>
      </c>
      <c r="AI112" s="442">
        <v>26</v>
      </c>
      <c r="AJ112" s="419"/>
      <c r="AK112" s="419"/>
      <c r="AL112" s="436"/>
      <c r="AM112" s="436"/>
      <c r="AN112" s="419"/>
      <c r="AO112" s="419"/>
      <c r="AP112" s="436"/>
      <c r="AQ112" s="436"/>
      <c r="AR112" s="424">
        <f t="shared" si="49"/>
        <v>3</v>
      </c>
      <c r="AS112" s="422">
        <f t="shared" si="50"/>
        <v>5.3050397877984082E-3</v>
      </c>
      <c r="AT112" s="425">
        <f t="shared" si="51"/>
        <v>3</v>
      </c>
      <c r="AU112" s="423">
        <f t="shared" si="52"/>
        <v>0</v>
      </c>
      <c r="AV112" s="419"/>
      <c r="AW112" s="421"/>
      <c r="AX112" s="419"/>
      <c r="AY112" s="419"/>
      <c r="AZ112" s="421"/>
      <c r="BA112" s="421"/>
      <c r="BB112" s="419"/>
      <c r="BC112" s="419"/>
      <c r="BD112" s="421"/>
      <c r="BE112" s="421"/>
      <c r="BF112" s="419"/>
      <c r="BG112" s="419"/>
      <c r="BH112" s="421"/>
      <c r="BI112" s="421"/>
      <c r="BJ112" s="419"/>
      <c r="BK112" s="419"/>
      <c r="BL112" s="421"/>
      <c r="BM112" s="421"/>
      <c r="BN112" s="419"/>
      <c r="BO112" s="419"/>
      <c r="BP112" s="421"/>
      <c r="BQ112" s="421"/>
      <c r="BR112" s="419"/>
      <c r="BS112" s="419"/>
      <c r="BT112" s="421"/>
      <c r="BU112" s="421"/>
      <c r="BV112" s="419"/>
      <c r="BW112" s="419"/>
      <c r="BX112" s="421"/>
      <c r="BY112" s="421"/>
      <c r="BZ112" s="419"/>
      <c r="CA112" s="419"/>
      <c r="CB112" s="421"/>
      <c r="CC112" s="421"/>
      <c r="CD112" s="419"/>
      <c r="CE112" s="419"/>
      <c r="CF112" s="421"/>
      <c r="CG112" s="421"/>
      <c r="CH112" s="419"/>
      <c r="CI112" s="419"/>
      <c r="CJ112" s="421"/>
      <c r="CK112" s="421"/>
      <c r="CL112" s="419"/>
      <c r="CM112" s="421"/>
      <c r="CN112" s="424">
        <f t="shared" si="53"/>
        <v>0</v>
      </c>
      <c r="CO112" s="424">
        <f t="shared" si="54"/>
        <v>0</v>
      </c>
      <c r="CP112" s="425">
        <f t="shared" si="55"/>
        <v>0</v>
      </c>
      <c r="CQ112" s="425">
        <f t="shared" si="56"/>
        <v>0</v>
      </c>
      <c r="CR112" s="419"/>
      <c r="CS112" s="419"/>
      <c r="CT112" s="421"/>
      <c r="CU112" s="421"/>
      <c r="CV112" s="419"/>
      <c r="CW112" s="419"/>
      <c r="CX112" s="421"/>
      <c r="CY112" s="421"/>
      <c r="CZ112" s="419"/>
      <c r="DA112" s="419"/>
      <c r="DB112" s="421"/>
      <c r="DC112" s="421"/>
      <c r="DD112" s="419"/>
      <c r="DE112" s="419"/>
      <c r="DF112" s="421"/>
      <c r="DG112" s="421"/>
      <c r="DH112" s="419"/>
      <c r="DI112" s="419"/>
      <c r="DJ112" s="421"/>
      <c r="DK112" s="421"/>
      <c r="DL112" s="419"/>
      <c r="DM112" s="419"/>
      <c r="DN112" s="421"/>
      <c r="DO112" s="421"/>
      <c r="DP112" s="419"/>
      <c r="DQ112" s="419"/>
      <c r="DR112" s="421"/>
      <c r="DS112" s="421"/>
      <c r="DT112" s="419"/>
      <c r="DU112" s="419"/>
      <c r="DV112" s="421"/>
      <c r="DW112" s="421"/>
      <c r="DX112" s="419"/>
      <c r="DY112" s="419"/>
      <c r="DZ112" s="421"/>
      <c r="EA112" s="421"/>
      <c r="EB112" s="419"/>
      <c r="EC112" s="419"/>
      <c r="ED112" s="421"/>
      <c r="EE112" s="421"/>
      <c r="EF112" s="419"/>
      <c r="EG112" s="421"/>
      <c r="EH112" s="424">
        <f t="shared" si="57"/>
        <v>0</v>
      </c>
      <c r="EI112" s="424">
        <f t="shared" si="58"/>
        <v>0</v>
      </c>
      <c r="EJ112" s="422">
        <f t="shared" si="59"/>
        <v>0</v>
      </c>
      <c r="EK112" s="425">
        <f t="shared" si="60"/>
        <v>0</v>
      </c>
      <c r="EL112" s="425">
        <f t="shared" si="61"/>
        <v>0</v>
      </c>
      <c r="EM112" s="423">
        <f t="shared" si="62"/>
        <v>0</v>
      </c>
      <c r="EN112" s="424">
        <f t="shared" si="63"/>
        <v>0</v>
      </c>
      <c r="EO112" s="425">
        <f t="shared" si="64"/>
        <v>0</v>
      </c>
      <c r="EP112" s="419"/>
      <c r="EQ112" s="421"/>
      <c r="ER112" s="419"/>
      <c r="ES112" s="421"/>
      <c r="ET112" s="419"/>
      <c r="EU112" s="421"/>
      <c r="EV112" s="419"/>
      <c r="EW112" s="421"/>
      <c r="EX112" s="419"/>
      <c r="EY112" s="421"/>
      <c r="EZ112" s="419"/>
      <c r="FA112" s="421"/>
      <c r="FB112" s="419"/>
      <c r="FC112" s="421"/>
      <c r="FD112" s="419"/>
      <c r="FE112" s="421"/>
      <c r="FF112" s="419"/>
      <c r="FG112" s="421"/>
      <c r="FH112" s="419"/>
      <c r="FI112" s="421"/>
      <c r="FJ112" s="424">
        <f t="shared" si="65"/>
        <v>0</v>
      </c>
      <c r="FK112" s="425">
        <f t="shared" si="66"/>
        <v>0</v>
      </c>
      <c r="FL112" s="419"/>
      <c r="FM112" s="421"/>
      <c r="FN112" s="424">
        <f t="shared" si="67"/>
        <v>15080</v>
      </c>
      <c r="FO112" s="425">
        <f t="shared" si="68"/>
        <v>17727</v>
      </c>
    </row>
    <row r="113" spans="1:171">
      <c r="A113" s="305" t="s">
        <v>157</v>
      </c>
      <c r="B113" s="36" t="s">
        <v>609</v>
      </c>
      <c r="C113" s="35"/>
      <c r="D113" s="446">
        <v>139940</v>
      </c>
      <c r="E113" s="34">
        <v>1</v>
      </c>
      <c r="F113" s="304">
        <v>105</v>
      </c>
      <c r="G113" s="421">
        <v>98</v>
      </c>
      <c r="H113" s="419"/>
      <c r="I113" s="421"/>
      <c r="J113" s="419">
        <v>2240</v>
      </c>
      <c r="K113" s="421">
        <v>2417</v>
      </c>
      <c r="L113" s="422">
        <f t="shared" si="47"/>
        <v>0.43110084680523481</v>
      </c>
      <c r="M113" s="423">
        <f t="shared" si="48"/>
        <v>0.45270649934444651</v>
      </c>
      <c r="N113" s="419">
        <v>5196</v>
      </c>
      <c r="O113" s="309">
        <f>0</f>
        <v>0</v>
      </c>
      <c r="P113" s="309">
        <f>0</f>
        <v>0</v>
      </c>
      <c r="Q113" s="309">
        <f>0</f>
        <v>0</v>
      </c>
      <c r="R113" s="424">
        <f t="shared" si="45"/>
        <v>0</v>
      </c>
      <c r="S113" s="421">
        <v>5339</v>
      </c>
      <c r="T113" s="301">
        <f>0</f>
        <v>0</v>
      </c>
      <c r="U113" s="301">
        <f>0</f>
        <v>0</v>
      </c>
      <c r="V113" s="301">
        <f>0</f>
        <v>0</v>
      </c>
      <c r="W113" s="425">
        <f t="shared" si="46"/>
        <v>0</v>
      </c>
      <c r="X113" s="447"/>
      <c r="Y113" s="419"/>
      <c r="Z113" s="448"/>
      <c r="AA113" s="421"/>
      <c r="AB113" s="447"/>
      <c r="AC113" s="419"/>
      <c r="AD113" s="448"/>
      <c r="AE113" s="421"/>
      <c r="AF113" s="447"/>
      <c r="AG113" s="419"/>
      <c r="AH113" s="448"/>
      <c r="AI113" s="421"/>
      <c r="AJ113" s="447"/>
      <c r="AK113" s="419"/>
      <c r="AL113" s="448"/>
      <c r="AM113" s="421"/>
      <c r="AN113" s="447"/>
      <c r="AO113" s="419"/>
      <c r="AP113" s="448"/>
      <c r="AQ113" s="421"/>
      <c r="AR113" s="424">
        <f t="shared" si="49"/>
        <v>0</v>
      </c>
      <c r="AS113" s="422">
        <f t="shared" si="50"/>
        <v>0.51465927099841524</v>
      </c>
      <c r="AT113" s="425">
        <f t="shared" si="51"/>
        <v>0</v>
      </c>
      <c r="AU113" s="423">
        <f t="shared" si="52"/>
        <v>0.50949518083786616</v>
      </c>
      <c r="AV113" s="419">
        <v>85</v>
      </c>
      <c r="AW113" s="420">
        <v>127</v>
      </c>
      <c r="AX113" s="447" t="s">
        <v>611</v>
      </c>
      <c r="AY113" s="419">
        <v>393</v>
      </c>
      <c r="AZ113" s="448" t="s">
        <v>610</v>
      </c>
      <c r="BA113" s="421">
        <v>430</v>
      </c>
      <c r="BB113" s="447" t="s">
        <v>610</v>
      </c>
      <c r="BC113" s="419">
        <v>378</v>
      </c>
      <c r="BD113" s="448" t="s">
        <v>611</v>
      </c>
      <c r="BE113" s="421">
        <v>420</v>
      </c>
      <c r="BF113" s="447" t="s">
        <v>612</v>
      </c>
      <c r="BG113" s="419">
        <v>278</v>
      </c>
      <c r="BH113" s="448" t="s">
        <v>612</v>
      </c>
      <c r="BI113" s="421">
        <v>284</v>
      </c>
      <c r="BJ113" s="447" t="s">
        <v>613</v>
      </c>
      <c r="BK113" s="419">
        <v>172</v>
      </c>
      <c r="BL113" s="448" t="s">
        <v>613</v>
      </c>
      <c r="BM113" s="421">
        <v>173</v>
      </c>
      <c r="BN113" s="447" t="s">
        <v>614</v>
      </c>
      <c r="BO113" s="419">
        <v>109</v>
      </c>
      <c r="BP113" s="448" t="s">
        <v>614</v>
      </c>
      <c r="BQ113" s="421">
        <v>106</v>
      </c>
      <c r="BR113" s="447" t="s">
        <v>616</v>
      </c>
      <c r="BS113" s="419">
        <v>106</v>
      </c>
      <c r="BT113" s="448" t="s">
        <v>616</v>
      </c>
      <c r="BU113" s="421">
        <v>104</v>
      </c>
      <c r="BV113" s="447" t="s">
        <v>615</v>
      </c>
      <c r="BW113" s="419">
        <v>92</v>
      </c>
      <c r="BX113" s="448" t="s">
        <v>615</v>
      </c>
      <c r="BY113" s="421">
        <v>78</v>
      </c>
      <c r="BZ113" s="447" t="s">
        <v>617</v>
      </c>
      <c r="CA113" s="419">
        <v>69</v>
      </c>
      <c r="CB113" s="448" t="s">
        <v>618</v>
      </c>
      <c r="CC113" s="421">
        <v>68</v>
      </c>
      <c r="CD113" s="447" t="s">
        <v>619</v>
      </c>
      <c r="CE113" s="419">
        <v>68</v>
      </c>
      <c r="CF113" s="448" t="s">
        <v>619</v>
      </c>
      <c r="CG113" s="420">
        <v>50</v>
      </c>
      <c r="CH113" s="447" t="s">
        <v>618</v>
      </c>
      <c r="CI113" s="419">
        <v>67</v>
      </c>
      <c r="CJ113" s="448" t="s">
        <v>620</v>
      </c>
      <c r="CK113" s="420">
        <v>45</v>
      </c>
      <c r="CL113" s="419">
        <v>215</v>
      </c>
      <c r="CM113" s="421">
        <v>258</v>
      </c>
      <c r="CN113" s="424">
        <f t="shared" si="53"/>
        <v>1947</v>
      </c>
      <c r="CO113" s="424">
        <f t="shared" si="54"/>
        <v>10</v>
      </c>
      <c r="CP113" s="425">
        <f t="shared" si="55"/>
        <v>2016</v>
      </c>
      <c r="CQ113" s="425">
        <f t="shared" si="56"/>
        <v>10</v>
      </c>
      <c r="CR113" s="447" t="s">
        <v>612</v>
      </c>
      <c r="CS113" s="419">
        <v>71</v>
      </c>
      <c r="CT113" s="448" t="s">
        <v>612</v>
      </c>
      <c r="CU113" s="421">
        <v>67</v>
      </c>
      <c r="CV113" s="447" t="s">
        <v>611</v>
      </c>
      <c r="CW113" s="419">
        <v>61</v>
      </c>
      <c r="CX113" s="448" t="s">
        <v>611</v>
      </c>
      <c r="CY113" s="420">
        <v>42</v>
      </c>
      <c r="CZ113" s="447" t="s">
        <v>617</v>
      </c>
      <c r="DA113" s="419">
        <v>31</v>
      </c>
      <c r="DB113" s="448" t="s">
        <v>610</v>
      </c>
      <c r="DC113" s="421">
        <v>31</v>
      </c>
      <c r="DD113" s="447" t="s">
        <v>610</v>
      </c>
      <c r="DE113" s="419">
        <v>27</v>
      </c>
      <c r="DF113" s="448" t="s">
        <v>617</v>
      </c>
      <c r="DG113" s="421">
        <v>28</v>
      </c>
      <c r="DH113" s="447" t="s">
        <v>621</v>
      </c>
      <c r="DI113" s="419">
        <v>23</v>
      </c>
      <c r="DJ113" s="448" t="s">
        <v>615</v>
      </c>
      <c r="DK113" s="421">
        <v>26</v>
      </c>
      <c r="DL113" s="447" t="s">
        <v>616</v>
      </c>
      <c r="DM113" s="419">
        <v>22</v>
      </c>
      <c r="DN113" s="448" t="s">
        <v>619</v>
      </c>
      <c r="DO113" s="421">
        <v>24</v>
      </c>
      <c r="DP113" s="447" t="s">
        <v>615</v>
      </c>
      <c r="DQ113" s="419">
        <v>22</v>
      </c>
      <c r="DR113" s="448" t="s">
        <v>616</v>
      </c>
      <c r="DS113" s="421">
        <v>18</v>
      </c>
      <c r="DT113" s="447" t="s">
        <v>613</v>
      </c>
      <c r="DU113" s="419">
        <v>18</v>
      </c>
      <c r="DV113" s="448" t="s">
        <v>621</v>
      </c>
      <c r="DW113" s="420">
        <v>14</v>
      </c>
      <c r="DX113" s="447" t="s">
        <v>619</v>
      </c>
      <c r="DY113" s="419">
        <v>16</v>
      </c>
      <c r="DZ113" s="448" t="s">
        <v>613</v>
      </c>
      <c r="EA113" s="420">
        <v>10</v>
      </c>
      <c r="EB113" s="447" t="s">
        <v>622</v>
      </c>
      <c r="EC113" s="419">
        <v>11</v>
      </c>
      <c r="ED113" s="448" t="s">
        <v>622</v>
      </c>
      <c r="EE113" s="420">
        <v>8</v>
      </c>
      <c r="EF113" s="419">
        <v>21</v>
      </c>
      <c r="EG113" s="421">
        <v>23</v>
      </c>
      <c r="EH113" s="424">
        <f t="shared" si="57"/>
        <v>323</v>
      </c>
      <c r="EI113" s="424">
        <f t="shared" si="58"/>
        <v>10</v>
      </c>
      <c r="EJ113" s="422">
        <f t="shared" si="59"/>
        <v>0.21981424148606812</v>
      </c>
      <c r="EK113" s="425">
        <f t="shared" si="60"/>
        <v>291</v>
      </c>
      <c r="EL113" s="425">
        <f t="shared" si="61"/>
        <v>10</v>
      </c>
      <c r="EM113" s="423">
        <f t="shared" si="62"/>
        <v>0.23024054982817868</v>
      </c>
      <c r="EN113" s="424">
        <f t="shared" si="63"/>
        <v>2270</v>
      </c>
      <c r="EO113" s="425">
        <f t="shared" si="64"/>
        <v>2307</v>
      </c>
      <c r="EP113" s="419">
        <v>200</v>
      </c>
      <c r="EQ113" s="421">
        <v>191</v>
      </c>
      <c r="ER113" s="419"/>
      <c r="ES113" s="421"/>
      <c r="ET113" s="419"/>
      <c r="EU113" s="421"/>
      <c r="EV113" s="419"/>
      <c r="EW113" s="421"/>
      <c r="EX113" s="419"/>
      <c r="EY113" s="421"/>
      <c r="EZ113" s="419"/>
      <c r="FA113" s="421"/>
      <c r="FB113" s="419"/>
      <c r="FC113" s="421"/>
      <c r="FD113" s="419"/>
      <c r="FE113" s="421"/>
      <c r="FF113" s="419"/>
      <c r="FG113" s="421"/>
      <c r="FH113" s="419"/>
      <c r="FI113" s="421"/>
      <c r="FJ113" s="424">
        <f t="shared" si="65"/>
        <v>200</v>
      </c>
      <c r="FK113" s="425">
        <f t="shared" si="66"/>
        <v>191</v>
      </c>
      <c r="FL113" s="419"/>
      <c r="FM113" s="421"/>
      <c r="FN113" s="424">
        <f t="shared" si="67"/>
        <v>10096</v>
      </c>
      <c r="FO113" s="425">
        <f t="shared" si="68"/>
        <v>10479</v>
      </c>
    </row>
    <row r="114" spans="1:171">
      <c r="A114" s="305" t="s">
        <v>157</v>
      </c>
      <c r="B114" s="36" t="s">
        <v>623</v>
      </c>
      <c r="C114" s="35"/>
      <c r="D114" s="446">
        <v>139959</v>
      </c>
      <c r="E114" s="34">
        <v>1</v>
      </c>
      <c r="F114" s="304">
        <v>1005</v>
      </c>
      <c r="G114" s="421">
        <v>989</v>
      </c>
      <c r="H114" s="419"/>
      <c r="I114" s="421"/>
      <c r="J114" s="419">
        <v>0</v>
      </c>
      <c r="K114" s="421">
        <v>0</v>
      </c>
      <c r="L114" s="422">
        <f t="shared" si="47"/>
        <v>0</v>
      </c>
      <c r="M114" s="423">
        <f t="shared" si="48"/>
        <v>0</v>
      </c>
      <c r="N114" s="419">
        <v>7978</v>
      </c>
      <c r="O114" s="309">
        <f>0</f>
        <v>0</v>
      </c>
      <c r="P114" s="309">
        <f>0</f>
        <v>0</v>
      </c>
      <c r="Q114" s="309">
        <f>0</f>
        <v>0</v>
      </c>
      <c r="R114" s="424">
        <f t="shared" si="45"/>
        <v>0</v>
      </c>
      <c r="S114" s="421">
        <v>8529</v>
      </c>
      <c r="T114" s="301">
        <f>0</f>
        <v>0</v>
      </c>
      <c r="U114" s="301">
        <f>0</f>
        <v>0</v>
      </c>
      <c r="V114" s="301">
        <f>0</f>
        <v>0</v>
      </c>
      <c r="W114" s="425">
        <f t="shared" si="46"/>
        <v>0</v>
      </c>
      <c r="X114" s="447"/>
      <c r="Y114" s="419"/>
      <c r="Z114" s="448"/>
      <c r="AA114" s="421"/>
      <c r="AB114" s="447"/>
      <c r="AC114" s="419"/>
      <c r="AD114" s="448"/>
      <c r="AE114" s="421"/>
      <c r="AF114" s="447"/>
      <c r="AG114" s="419"/>
      <c r="AH114" s="448"/>
      <c r="AI114" s="421"/>
      <c r="AJ114" s="447"/>
      <c r="AK114" s="419"/>
      <c r="AL114" s="448"/>
      <c r="AM114" s="421"/>
      <c r="AN114" s="447"/>
      <c r="AO114" s="419"/>
      <c r="AP114" s="448"/>
      <c r="AQ114" s="421"/>
      <c r="AR114" s="424">
        <f t="shared" si="49"/>
        <v>0</v>
      </c>
      <c r="AS114" s="422">
        <f t="shared" si="50"/>
        <v>0.66103239705029415</v>
      </c>
      <c r="AT114" s="425">
        <f t="shared" si="51"/>
        <v>0</v>
      </c>
      <c r="AU114" s="423">
        <f t="shared" si="52"/>
        <v>0.66585994222812084</v>
      </c>
      <c r="AV114" s="419">
        <v>222</v>
      </c>
      <c r="AW114" s="420">
        <v>273</v>
      </c>
      <c r="AX114" s="447" t="s">
        <v>610</v>
      </c>
      <c r="AY114" s="419">
        <v>470</v>
      </c>
      <c r="AZ114" s="448" t="s">
        <v>610</v>
      </c>
      <c r="BA114" s="421">
        <v>479</v>
      </c>
      <c r="BB114" s="447" t="s">
        <v>611</v>
      </c>
      <c r="BC114" s="419">
        <v>341</v>
      </c>
      <c r="BD114" s="448" t="s">
        <v>611</v>
      </c>
      <c r="BE114" s="421">
        <v>388</v>
      </c>
      <c r="BF114" s="447" t="s">
        <v>614</v>
      </c>
      <c r="BG114" s="419">
        <v>255</v>
      </c>
      <c r="BH114" s="448" t="s">
        <v>614</v>
      </c>
      <c r="BI114" s="421">
        <v>243</v>
      </c>
      <c r="BJ114" s="447" t="s">
        <v>612</v>
      </c>
      <c r="BK114" s="419">
        <v>126</v>
      </c>
      <c r="BL114" s="448" t="s">
        <v>624</v>
      </c>
      <c r="BM114" s="420">
        <v>154</v>
      </c>
      <c r="BN114" s="447" t="s">
        <v>624</v>
      </c>
      <c r="BO114" s="419">
        <v>109</v>
      </c>
      <c r="BP114" s="448" t="s">
        <v>612</v>
      </c>
      <c r="BQ114" s="421">
        <v>107</v>
      </c>
      <c r="BR114" s="447" t="s">
        <v>613</v>
      </c>
      <c r="BS114" s="419">
        <v>91</v>
      </c>
      <c r="BT114" s="448" t="s">
        <v>619</v>
      </c>
      <c r="BU114" s="421">
        <v>83</v>
      </c>
      <c r="BV114" s="447" t="s">
        <v>622</v>
      </c>
      <c r="BW114" s="419">
        <v>71</v>
      </c>
      <c r="BX114" s="448" t="s">
        <v>613</v>
      </c>
      <c r="BY114" s="421">
        <v>83</v>
      </c>
      <c r="BZ114" s="447" t="s">
        <v>619</v>
      </c>
      <c r="CA114" s="419">
        <v>69</v>
      </c>
      <c r="CB114" s="448" t="s">
        <v>622</v>
      </c>
      <c r="CC114" s="421">
        <v>70</v>
      </c>
      <c r="CD114" s="447" t="s">
        <v>620</v>
      </c>
      <c r="CE114" s="419">
        <v>54</v>
      </c>
      <c r="CF114" s="448" t="s">
        <v>626</v>
      </c>
      <c r="CG114" s="421">
        <v>53</v>
      </c>
      <c r="CH114" s="447" t="s">
        <v>625</v>
      </c>
      <c r="CI114" s="419">
        <v>50</v>
      </c>
      <c r="CJ114" s="448" t="s">
        <v>615</v>
      </c>
      <c r="CK114" s="421">
        <v>49</v>
      </c>
      <c r="CL114" s="419">
        <v>311</v>
      </c>
      <c r="CM114" s="421">
        <v>350</v>
      </c>
      <c r="CN114" s="424">
        <f t="shared" si="53"/>
        <v>1947</v>
      </c>
      <c r="CO114" s="424">
        <f t="shared" si="54"/>
        <v>10</v>
      </c>
      <c r="CP114" s="425">
        <f t="shared" si="55"/>
        <v>2059</v>
      </c>
      <c r="CQ114" s="425">
        <f t="shared" si="56"/>
        <v>10</v>
      </c>
      <c r="CR114" s="447" t="s">
        <v>611</v>
      </c>
      <c r="CS114" s="419">
        <v>104</v>
      </c>
      <c r="CT114" s="448" t="s">
        <v>611</v>
      </c>
      <c r="CU114" s="421">
        <v>120</v>
      </c>
      <c r="CV114" s="447" t="s">
        <v>615</v>
      </c>
      <c r="CW114" s="419">
        <v>73</v>
      </c>
      <c r="CX114" s="448" t="s">
        <v>615</v>
      </c>
      <c r="CY114" s="421">
        <v>80</v>
      </c>
      <c r="CZ114" s="447" t="s">
        <v>624</v>
      </c>
      <c r="DA114" s="419">
        <v>34</v>
      </c>
      <c r="DB114" s="448" t="s">
        <v>624</v>
      </c>
      <c r="DC114" s="420">
        <v>50</v>
      </c>
      <c r="DD114" s="447" t="s">
        <v>617</v>
      </c>
      <c r="DE114" s="419">
        <v>33</v>
      </c>
      <c r="DF114" s="448" t="s">
        <v>619</v>
      </c>
      <c r="DG114" s="420">
        <v>42</v>
      </c>
      <c r="DH114" s="447" t="s">
        <v>619</v>
      </c>
      <c r="DI114" s="419">
        <v>30</v>
      </c>
      <c r="DJ114" s="448" t="s">
        <v>617</v>
      </c>
      <c r="DK114" s="421">
        <v>36</v>
      </c>
      <c r="DL114" s="447" t="s">
        <v>612</v>
      </c>
      <c r="DM114" s="419">
        <v>28</v>
      </c>
      <c r="DN114" s="448" t="s">
        <v>616</v>
      </c>
      <c r="DO114" s="420">
        <v>22</v>
      </c>
      <c r="DP114" s="447" t="s">
        <v>620</v>
      </c>
      <c r="DQ114" s="419">
        <v>24</v>
      </c>
      <c r="DR114" s="448" t="s">
        <v>612</v>
      </c>
      <c r="DS114" s="420">
        <v>19</v>
      </c>
      <c r="DT114" s="447" t="s">
        <v>616</v>
      </c>
      <c r="DU114" s="419">
        <v>21</v>
      </c>
      <c r="DV114" s="448" t="s">
        <v>627</v>
      </c>
      <c r="DW114" s="421">
        <v>19</v>
      </c>
      <c r="DX114" s="447" t="s">
        <v>627</v>
      </c>
      <c r="DY114" s="419">
        <v>15</v>
      </c>
      <c r="DZ114" s="448" t="s">
        <v>620</v>
      </c>
      <c r="EA114" s="421">
        <v>18</v>
      </c>
      <c r="EB114" s="447" t="s">
        <v>626</v>
      </c>
      <c r="EC114" s="419">
        <v>14</v>
      </c>
      <c r="ED114" s="448" t="s">
        <v>629</v>
      </c>
      <c r="EE114" s="420">
        <v>17</v>
      </c>
      <c r="EF114" s="419">
        <v>112</v>
      </c>
      <c r="EG114" s="421">
        <v>105</v>
      </c>
      <c r="EH114" s="424">
        <f t="shared" si="57"/>
        <v>488</v>
      </c>
      <c r="EI114" s="424">
        <f t="shared" si="58"/>
        <v>10</v>
      </c>
      <c r="EJ114" s="422">
        <f t="shared" si="59"/>
        <v>0.21311475409836064</v>
      </c>
      <c r="EK114" s="425">
        <f t="shared" si="60"/>
        <v>528</v>
      </c>
      <c r="EL114" s="425">
        <f t="shared" si="61"/>
        <v>10</v>
      </c>
      <c r="EM114" s="423">
        <f t="shared" si="62"/>
        <v>0.22727272727272727</v>
      </c>
      <c r="EN114" s="424">
        <f t="shared" si="63"/>
        <v>2435</v>
      </c>
      <c r="EO114" s="425">
        <f t="shared" si="64"/>
        <v>2587</v>
      </c>
      <c r="EP114" s="419">
        <v>180</v>
      </c>
      <c r="EQ114" s="421">
        <v>183</v>
      </c>
      <c r="ER114" s="419"/>
      <c r="ES114" s="421"/>
      <c r="ET114" s="419"/>
      <c r="EU114" s="421"/>
      <c r="EV114" s="419">
        <v>133</v>
      </c>
      <c r="EW114" s="421">
        <v>134</v>
      </c>
      <c r="EX114" s="419"/>
      <c r="EY114" s="421"/>
      <c r="EZ114" s="419"/>
      <c r="FA114" s="421"/>
      <c r="FB114" s="419"/>
      <c r="FC114" s="421"/>
      <c r="FD114" s="419">
        <v>116</v>
      </c>
      <c r="FE114" s="421">
        <v>114</v>
      </c>
      <c r="FF114" s="419"/>
      <c r="FG114" s="421"/>
      <c r="FH114" s="419"/>
      <c r="FI114" s="421"/>
      <c r="FJ114" s="424">
        <f t="shared" si="65"/>
        <v>429</v>
      </c>
      <c r="FK114" s="425">
        <f t="shared" si="66"/>
        <v>431</v>
      </c>
      <c r="FL114" s="419"/>
      <c r="FM114" s="421"/>
      <c r="FN114" s="424">
        <f t="shared" si="67"/>
        <v>12069</v>
      </c>
      <c r="FO114" s="425">
        <f t="shared" si="68"/>
        <v>12809</v>
      </c>
    </row>
    <row r="115" spans="1:171">
      <c r="A115" s="305" t="s">
        <v>157</v>
      </c>
      <c r="B115" s="36" t="s">
        <v>628</v>
      </c>
      <c r="C115" s="35"/>
      <c r="D115" s="446">
        <v>139755</v>
      </c>
      <c r="E115" s="34">
        <v>2</v>
      </c>
      <c r="F115" s="304">
        <v>0</v>
      </c>
      <c r="G115" s="420">
        <v>1</v>
      </c>
      <c r="H115" s="419"/>
      <c r="I115" s="421"/>
      <c r="J115" s="419">
        <v>0</v>
      </c>
      <c r="K115" s="421">
        <v>0</v>
      </c>
      <c r="L115" s="422">
        <f t="shared" si="47"/>
        <v>0</v>
      </c>
      <c r="M115" s="423">
        <f t="shared" si="48"/>
        <v>0</v>
      </c>
      <c r="N115" s="419">
        <v>3714</v>
      </c>
      <c r="O115" s="309">
        <f>0</f>
        <v>0</v>
      </c>
      <c r="P115" s="309">
        <f>0</f>
        <v>0</v>
      </c>
      <c r="Q115" s="309">
        <f>0</f>
        <v>0</v>
      </c>
      <c r="R115" s="424">
        <f t="shared" si="45"/>
        <v>0</v>
      </c>
      <c r="S115" s="421">
        <v>3934</v>
      </c>
      <c r="T115" s="301">
        <f>0</f>
        <v>0</v>
      </c>
      <c r="U115" s="301">
        <f>0</f>
        <v>0</v>
      </c>
      <c r="V115" s="301">
        <f>0</f>
        <v>0</v>
      </c>
      <c r="W115" s="425">
        <f t="shared" si="46"/>
        <v>0</v>
      </c>
      <c r="X115" s="447"/>
      <c r="Y115" s="419"/>
      <c r="Z115" s="448"/>
      <c r="AA115" s="421"/>
      <c r="AB115" s="447"/>
      <c r="AC115" s="419"/>
      <c r="AD115" s="448"/>
      <c r="AE115" s="421"/>
      <c r="AF115" s="447"/>
      <c r="AG115" s="419"/>
      <c r="AH115" s="448"/>
      <c r="AI115" s="421"/>
      <c r="AJ115" s="447"/>
      <c r="AK115" s="419"/>
      <c r="AL115" s="448"/>
      <c r="AM115" s="421"/>
      <c r="AN115" s="447"/>
      <c r="AO115" s="419"/>
      <c r="AP115" s="448"/>
      <c r="AQ115" s="421"/>
      <c r="AR115" s="424">
        <f t="shared" si="49"/>
        <v>0</v>
      </c>
      <c r="AS115" s="422">
        <f t="shared" si="50"/>
        <v>0.49705567451820126</v>
      </c>
      <c r="AT115" s="425">
        <f t="shared" si="51"/>
        <v>0</v>
      </c>
      <c r="AU115" s="423">
        <f t="shared" si="52"/>
        <v>0.46103363412633308</v>
      </c>
      <c r="AV115" s="419">
        <v>0</v>
      </c>
      <c r="AW115" s="421">
        <v>0</v>
      </c>
      <c r="AX115" s="447" t="s">
        <v>613</v>
      </c>
      <c r="AY115" s="419">
        <v>1297</v>
      </c>
      <c r="AZ115" s="448" t="s">
        <v>613</v>
      </c>
      <c r="BA115" s="420">
        <v>1829</v>
      </c>
      <c r="BB115" s="447" t="s">
        <v>629</v>
      </c>
      <c r="BC115" s="419">
        <v>1043</v>
      </c>
      <c r="BD115" s="448" t="s">
        <v>629</v>
      </c>
      <c r="BE115" s="421">
        <v>1123</v>
      </c>
      <c r="BF115" s="447" t="s">
        <v>610</v>
      </c>
      <c r="BG115" s="419">
        <v>432</v>
      </c>
      <c r="BH115" s="448" t="s">
        <v>610</v>
      </c>
      <c r="BI115" s="420">
        <v>641</v>
      </c>
      <c r="BJ115" s="447" t="s">
        <v>630</v>
      </c>
      <c r="BK115" s="419">
        <v>158</v>
      </c>
      <c r="BL115" s="448" t="s">
        <v>630</v>
      </c>
      <c r="BM115" s="421">
        <v>146</v>
      </c>
      <c r="BN115" s="447" t="s">
        <v>618</v>
      </c>
      <c r="BO115" s="419">
        <v>112</v>
      </c>
      <c r="BP115" s="448" t="s">
        <v>618</v>
      </c>
      <c r="BQ115" s="421">
        <v>109</v>
      </c>
      <c r="BR115" s="447" t="s">
        <v>615</v>
      </c>
      <c r="BS115" s="419">
        <v>48</v>
      </c>
      <c r="BT115" s="448" t="s">
        <v>615</v>
      </c>
      <c r="BU115" s="421">
        <v>50</v>
      </c>
      <c r="BV115" s="447" t="s">
        <v>616</v>
      </c>
      <c r="BW115" s="419">
        <v>48</v>
      </c>
      <c r="BX115" s="448" t="s">
        <v>616</v>
      </c>
      <c r="BY115" s="421">
        <v>49</v>
      </c>
      <c r="BZ115" s="447" t="s">
        <v>617</v>
      </c>
      <c r="CA115" s="419">
        <v>27</v>
      </c>
      <c r="CB115" s="448" t="s">
        <v>620</v>
      </c>
      <c r="CC115" s="421">
        <v>22</v>
      </c>
      <c r="CD115" s="447" t="s">
        <v>620</v>
      </c>
      <c r="CE115" s="419">
        <v>20</v>
      </c>
      <c r="CF115" s="448" t="s">
        <v>617</v>
      </c>
      <c r="CG115" s="421">
        <v>20</v>
      </c>
      <c r="CH115" s="447" t="s">
        <v>612</v>
      </c>
      <c r="CI115" s="419">
        <v>20</v>
      </c>
      <c r="CJ115" s="448" t="s">
        <v>634</v>
      </c>
      <c r="CK115" s="421">
        <v>20</v>
      </c>
      <c r="CL115" s="419">
        <v>27</v>
      </c>
      <c r="CM115" s="420">
        <v>62</v>
      </c>
      <c r="CN115" s="424">
        <f t="shared" si="53"/>
        <v>3232</v>
      </c>
      <c r="CO115" s="424">
        <f t="shared" si="54"/>
        <v>10</v>
      </c>
      <c r="CP115" s="425">
        <f t="shared" si="55"/>
        <v>4071</v>
      </c>
      <c r="CQ115" s="425">
        <f t="shared" si="56"/>
        <v>10</v>
      </c>
      <c r="CR115" s="447" t="s">
        <v>629</v>
      </c>
      <c r="CS115" s="419">
        <v>320</v>
      </c>
      <c r="CT115" s="448" t="s">
        <v>629</v>
      </c>
      <c r="CU115" s="421">
        <v>336</v>
      </c>
      <c r="CV115" s="447" t="s">
        <v>617</v>
      </c>
      <c r="CW115" s="419">
        <v>71</v>
      </c>
      <c r="CX115" s="448" t="s">
        <v>613</v>
      </c>
      <c r="CY115" s="420">
        <v>54</v>
      </c>
      <c r="CZ115" s="447" t="s">
        <v>613</v>
      </c>
      <c r="DA115" s="419">
        <v>55</v>
      </c>
      <c r="DB115" s="448" t="s">
        <v>617</v>
      </c>
      <c r="DC115" s="420">
        <v>39</v>
      </c>
      <c r="DD115" s="447" t="s">
        <v>615</v>
      </c>
      <c r="DE115" s="419">
        <v>20</v>
      </c>
      <c r="DF115" s="448" t="s">
        <v>615</v>
      </c>
      <c r="DG115" s="421">
        <v>18</v>
      </c>
      <c r="DH115" s="447" t="s">
        <v>630</v>
      </c>
      <c r="DI115" s="419">
        <v>16</v>
      </c>
      <c r="DJ115" s="448" t="s">
        <v>618</v>
      </c>
      <c r="DK115" s="421">
        <v>18</v>
      </c>
      <c r="DL115" s="447" t="s">
        <v>618</v>
      </c>
      <c r="DM115" s="419">
        <v>13</v>
      </c>
      <c r="DN115" s="448" t="s">
        <v>610</v>
      </c>
      <c r="DO115" s="421">
        <v>14</v>
      </c>
      <c r="DP115" s="447" t="s">
        <v>619</v>
      </c>
      <c r="DQ115" s="419">
        <v>10</v>
      </c>
      <c r="DR115" s="448" t="s">
        <v>630</v>
      </c>
      <c r="DS115" s="420">
        <v>13</v>
      </c>
      <c r="DT115" s="447" t="s">
        <v>610</v>
      </c>
      <c r="DU115" s="419">
        <v>9</v>
      </c>
      <c r="DV115" s="448" t="s">
        <v>619</v>
      </c>
      <c r="DW115" s="420">
        <v>12</v>
      </c>
      <c r="DX115" s="447" t="s">
        <v>616</v>
      </c>
      <c r="DY115" s="419">
        <v>4</v>
      </c>
      <c r="DZ115" s="448" t="s">
        <v>636</v>
      </c>
      <c r="EA115" s="420">
        <v>11</v>
      </c>
      <c r="EB115" s="447" t="s">
        <v>622</v>
      </c>
      <c r="EC115" s="419">
        <v>3</v>
      </c>
      <c r="ED115" s="448" t="s">
        <v>614</v>
      </c>
      <c r="EE115" s="420">
        <v>6</v>
      </c>
      <c r="EF115" s="419">
        <v>5</v>
      </c>
      <c r="EG115" s="421">
        <v>6</v>
      </c>
      <c r="EH115" s="424">
        <f t="shared" si="57"/>
        <v>526</v>
      </c>
      <c r="EI115" s="424">
        <f t="shared" si="58"/>
        <v>10</v>
      </c>
      <c r="EJ115" s="422">
        <f t="shared" si="59"/>
        <v>0.60836501901140683</v>
      </c>
      <c r="EK115" s="425">
        <f t="shared" si="60"/>
        <v>527</v>
      </c>
      <c r="EL115" s="425">
        <f t="shared" si="61"/>
        <v>10</v>
      </c>
      <c r="EM115" s="423">
        <f t="shared" si="62"/>
        <v>0.63757115749525617</v>
      </c>
      <c r="EN115" s="424">
        <f t="shared" si="63"/>
        <v>3758</v>
      </c>
      <c r="EO115" s="425">
        <f t="shared" si="64"/>
        <v>4598</v>
      </c>
      <c r="EP115" s="419"/>
      <c r="EQ115" s="421"/>
      <c r="ER115" s="419"/>
      <c r="ES115" s="421"/>
      <c r="ET115" s="419"/>
      <c r="EU115" s="421"/>
      <c r="EV115" s="419"/>
      <c r="EW115" s="421"/>
      <c r="EX115" s="419"/>
      <c r="EY115" s="421"/>
      <c r="EZ115" s="419"/>
      <c r="FA115" s="421"/>
      <c r="FB115" s="419"/>
      <c r="FC115" s="421"/>
      <c r="FD115" s="419"/>
      <c r="FE115" s="421"/>
      <c r="FF115" s="419"/>
      <c r="FG115" s="421"/>
      <c r="FH115" s="419"/>
      <c r="FI115" s="421"/>
      <c r="FJ115" s="424">
        <f t="shared" si="65"/>
        <v>0</v>
      </c>
      <c r="FK115" s="425">
        <f t="shared" si="66"/>
        <v>0</v>
      </c>
      <c r="FL115" s="419"/>
      <c r="FM115" s="421"/>
      <c r="FN115" s="424">
        <f t="shared" si="67"/>
        <v>7472</v>
      </c>
      <c r="FO115" s="425">
        <f t="shared" si="68"/>
        <v>8533</v>
      </c>
    </row>
    <row r="116" spans="1:171">
      <c r="A116" s="305" t="s">
        <v>157</v>
      </c>
      <c r="B116" s="36" t="s">
        <v>632</v>
      </c>
      <c r="C116" s="259" t="s">
        <v>633</v>
      </c>
      <c r="D116" s="446">
        <v>139931</v>
      </c>
      <c r="E116" s="34">
        <v>3</v>
      </c>
      <c r="F116" s="304">
        <v>21</v>
      </c>
      <c r="G116" s="421">
        <v>17</v>
      </c>
      <c r="H116" s="419"/>
      <c r="I116" s="421"/>
      <c r="J116" s="419">
        <v>46</v>
      </c>
      <c r="K116" s="420">
        <v>29</v>
      </c>
      <c r="L116" s="422">
        <f t="shared" si="47"/>
        <v>1.0440308669995461E-2</v>
      </c>
      <c r="M116" s="423">
        <f t="shared" si="48"/>
        <v>6.5864183511242331E-3</v>
      </c>
      <c r="N116" s="419">
        <v>4406</v>
      </c>
      <c r="O116" s="309">
        <f>0</f>
        <v>0</v>
      </c>
      <c r="P116" s="309">
        <f>0</f>
        <v>0</v>
      </c>
      <c r="Q116" s="309">
        <f>0</f>
        <v>0</v>
      </c>
      <c r="R116" s="424">
        <f t="shared" si="45"/>
        <v>0</v>
      </c>
      <c r="S116" s="421">
        <v>4403</v>
      </c>
      <c r="T116" s="301">
        <f>0</f>
        <v>0</v>
      </c>
      <c r="U116" s="301">
        <f>0</f>
        <v>0</v>
      </c>
      <c r="V116" s="301">
        <f>0</f>
        <v>0</v>
      </c>
      <c r="W116" s="425">
        <f t="shared" si="46"/>
        <v>0</v>
      </c>
      <c r="X116" s="447"/>
      <c r="Y116" s="419"/>
      <c r="Z116" s="448"/>
      <c r="AA116" s="421"/>
      <c r="AB116" s="447"/>
      <c r="AC116" s="419"/>
      <c r="AD116" s="448"/>
      <c r="AE116" s="421"/>
      <c r="AF116" s="447"/>
      <c r="AG116" s="419"/>
      <c r="AH116" s="448"/>
      <c r="AI116" s="421"/>
      <c r="AJ116" s="447"/>
      <c r="AK116" s="419"/>
      <c r="AL116" s="448"/>
      <c r="AM116" s="421"/>
      <c r="AN116" s="447"/>
      <c r="AO116" s="419"/>
      <c r="AP116" s="448"/>
      <c r="AQ116" s="421"/>
      <c r="AR116" s="424">
        <f t="shared" si="49"/>
        <v>0</v>
      </c>
      <c r="AS116" s="422">
        <f t="shared" si="50"/>
        <v>0.76493055555555556</v>
      </c>
      <c r="AT116" s="425">
        <f t="shared" si="51"/>
        <v>0</v>
      </c>
      <c r="AU116" s="423">
        <f t="shared" si="52"/>
        <v>0.76653899721448471</v>
      </c>
      <c r="AV116" s="419">
        <v>21</v>
      </c>
      <c r="AW116" s="421">
        <v>19</v>
      </c>
      <c r="AX116" s="447" t="s">
        <v>611</v>
      </c>
      <c r="AY116" s="419">
        <v>497</v>
      </c>
      <c r="AZ116" s="448" t="s">
        <v>611</v>
      </c>
      <c r="BA116" s="421">
        <v>557</v>
      </c>
      <c r="BB116" s="447" t="s">
        <v>612</v>
      </c>
      <c r="BC116" s="419">
        <v>190</v>
      </c>
      <c r="BD116" s="448" t="s">
        <v>612</v>
      </c>
      <c r="BE116" s="420">
        <v>134</v>
      </c>
      <c r="BF116" s="447" t="s">
        <v>610</v>
      </c>
      <c r="BG116" s="419">
        <v>177</v>
      </c>
      <c r="BH116" s="448" t="s">
        <v>610</v>
      </c>
      <c r="BI116" s="420">
        <v>113</v>
      </c>
      <c r="BJ116" s="447" t="s">
        <v>625</v>
      </c>
      <c r="BK116" s="419">
        <v>80</v>
      </c>
      <c r="BL116" s="448" t="s">
        <v>625</v>
      </c>
      <c r="BM116" s="420">
        <v>98</v>
      </c>
      <c r="BN116" s="447" t="s">
        <v>619</v>
      </c>
      <c r="BO116" s="419">
        <v>49</v>
      </c>
      <c r="BP116" s="448" t="s">
        <v>619</v>
      </c>
      <c r="BQ116" s="421">
        <v>58</v>
      </c>
      <c r="BR116" s="447" t="s">
        <v>634</v>
      </c>
      <c r="BS116" s="419">
        <v>35</v>
      </c>
      <c r="BT116" s="448" t="s">
        <v>629</v>
      </c>
      <c r="BU116" s="420">
        <v>44</v>
      </c>
      <c r="BV116" s="447" t="s">
        <v>618</v>
      </c>
      <c r="BW116" s="419">
        <v>23</v>
      </c>
      <c r="BX116" s="448" t="s">
        <v>616</v>
      </c>
      <c r="BY116" s="420">
        <v>34</v>
      </c>
      <c r="BZ116" s="447" t="s">
        <v>622</v>
      </c>
      <c r="CA116" s="419">
        <v>22</v>
      </c>
      <c r="CB116" s="448" t="s">
        <v>622</v>
      </c>
      <c r="CC116" s="420">
        <v>28</v>
      </c>
      <c r="CD116" s="447" t="s">
        <v>616</v>
      </c>
      <c r="CE116" s="419">
        <v>21</v>
      </c>
      <c r="CF116" s="448" t="s">
        <v>614</v>
      </c>
      <c r="CG116" s="421">
        <v>19</v>
      </c>
      <c r="CH116" s="447" t="s">
        <v>614</v>
      </c>
      <c r="CI116" s="419">
        <v>16</v>
      </c>
      <c r="CJ116" s="448" t="s">
        <v>620</v>
      </c>
      <c r="CK116" s="421">
        <v>18</v>
      </c>
      <c r="CL116" s="419">
        <v>72</v>
      </c>
      <c r="CM116" s="421">
        <v>72</v>
      </c>
      <c r="CN116" s="424">
        <f t="shared" si="53"/>
        <v>1182</v>
      </c>
      <c r="CO116" s="424">
        <f t="shared" si="54"/>
        <v>10</v>
      </c>
      <c r="CP116" s="425">
        <f t="shared" si="55"/>
        <v>1175</v>
      </c>
      <c r="CQ116" s="425">
        <f t="shared" si="56"/>
        <v>10</v>
      </c>
      <c r="CR116" s="447" t="s">
        <v>612</v>
      </c>
      <c r="CS116" s="419">
        <v>53</v>
      </c>
      <c r="CT116" s="448" t="s">
        <v>612</v>
      </c>
      <c r="CU116" s="420">
        <v>68</v>
      </c>
      <c r="CV116" s="447" t="s">
        <v>611</v>
      </c>
      <c r="CW116" s="419">
        <v>24</v>
      </c>
      <c r="CX116" s="448" t="s">
        <v>611</v>
      </c>
      <c r="CY116" s="421">
        <v>25</v>
      </c>
      <c r="CZ116" s="447" t="s">
        <v>619</v>
      </c>
      <c r="DA116" s="419">
        <v>6</v>
      </c>
      <c r="DB116" s="448" t="s">
        <v>619</v>
      </c>
      <c r="DC116" s="421">
        <v>7</v>
      </c>
      <c r="DD116" s="447" t="s">
        <v>610</v>
      </c>
      <c r="DE116" s="419">
        <v>1</v>
      </c>
      <c r="DF116" s="448" t="s">
        <v>610</v>
      </c>
      <c r="DG116" s="421">
        <v>1</v>
      </c>
      <c r="DH116" s="447" t="s">
        <v>625</v>
      </c>
      <c r="DI116" s="419">
        <v>0</v>
      </c>
      <c r="DJ116" s="448"/>
      <c r="DK116" s="421"/>
      <c r="DL116" s="447"/>
      <c r="DM116" s="419"/>
      <c r="DN116" s="448"/>
      <c r="DO116" s="421"/>
      <c r="DP116" s="447"/>
      <c r="DQ116" s="419"/>
      <c r="DR116" s="448"/>
      <c r="DS116" s="421"/>
      <c r="DT116" s="447"/>
      <c r="DU116" s="419"/>
      <c r="DV116" s="448"/>
      <c r="DW116" s="421"/>
      <c r="DX116" s="447"/>
      <c r="DY116" s="419"/>
      <c r="DZ116" s="448"/>
      <c r="EA116" s="421"/>
      <c r="EB116" s="447"/>
      <c r="EC116" s="419"/>
      <c r="ED116" s="448"/>
      <c r="EE116" s="421"/>
      <c r="EF116" s="419"/>
      <c r="EG116" s="421"/>
      <c r="EH116" s="424">
        <f t="shared" si="57"/>
        <v>84</v>
      </c>
      <c r="EI116" s="424">
        <f t="shared" si="58"/>
        <v>5</v>
      </c>
      <c r="EJ116" s="422">
        <f t="shared" si="59"/>
        <v>0.63095238095238093</v>
      </c>
      <c r="EK116" s="425">
        <f t="shared" si="60"/>
        <v>101</v>
      </c>
      <c r="EL116" s="425">
        <f t="shared" si="61"/>
        <v>4</v>
      </c>
      <c r="EM116" s="423">
        <f t="shared" si="62"/>
        <v>0.67326732673267331</v>
      </c>
      <c r="EN116" s="424">
        <f t="shared" si="63"/>
        <v>1266</v>
      </c>
      <c r="EO116" s="425">
        <f t="shared" si="64"/>
        <v>1276</v>
      </c>
      <c r="EP116" s="419"/>
      <c r="EQ116" s="421"/>
      <c r="ER116" s="419"/>
      <c r="ES116" s="421"/>
      <c r="ET116" s="419"/>
      <c r="EU116" s="421"/>
      <c r="EV116" s="419"/>
      <c r="EW116" s="421"/>
      <c r="EX116" s="419"/>
      <c r="EY116" s="421"/>
      <c r="EZ116" s="419"/>
      <c r="FA116" s="421"/>
      <c r="FB116" s="419"/>
      <c r="FC116" s="421"/>
      <c r="FD116" s="419"/>
      <c r="FE116" s="421"/>
      <c r="FF116" s="419"/>
      <c r="FG116" s="421"/>
      <c r="FH116" s="419"/>
      <c r="FI116" s="421"/>
      <c r="FJ116" s="424">
        <f t="shared" si="65"/>
        <v>0</v>
      </c>
      <c r="FK116" s="425">
        <f t="shared" si="66"/>
        <v>0</v>
      </c>
      <c r="FL116" s="419"/>
      <c r="FM116" s="421"/>
      <c r="FN116" s="424">
        <f t="shared" si="67"/>
        <v>5760</v>
      </c>
      <c r="FO116" s="425">
        <f t="shared" si="68"/>
        <v>5744</v>
      </c>
    </row>
    <row r="117" spans="1:171">
      <c r="A117" s="305" t="s">
        <v>157</v>
      </c>
      <c r="B117" s="36" t="s">
        <v>635</v>
      </c>
      <c r="C117" s="259" t="s">
        <v>633</v>
      </c>
      <c r="D117" s="446">
        <v>486840</v>
      </c>
      <c r="E117" s="34">
        <v>3</v>
      </c>
      <c r="F117" s="304">
        <v>78</v>
      </c>
      <c r="G117" s="420">
        <v>55</v>
      </c>
      <c r="H117" s="419"/>
      <c r="I117" s="421"/>
      <c r="J117" s="419">
        <v>0</v>
      </c>
      <c r="K117" s="421">
        <v>0</v>
      </c>
      <c r="L117" s="422">
        <f t="shared" si="47"/>
        <v>0</v>
      </c>
      <c r="M117" s="423">
        <f t="shared" si="48"/>
        <v>0</v>
      </c>
      <c r="N117" s="419">
        <v>5359</v>
      </c>
      <c r="O117" s="309">
        <f>0</f>
        <v>0</v>
      </c>
      <c r="P117" s="309">
        <f>0</f>
        <v>0</v>
      </c>
      <c r="Q117" s="309">
        <f>0</f>
        <v>0</v>
      </c>
      <c r="R117" s="424">
        <f t="shared" si="45"/>
        <v>0</v>
      </c>
      <c r="S117" s="421">
        <v>5773</v>
      </c>
      <c r="T117" s="301">
        <f>0</f>
        <v>0</v>
      </c>
      <c r="U117" s="301">
        <f>0</f>
        <v>0</v>
      </c>
      <c r="V117" s="301">
        <f>0</f>
        <v>0</v>
      </c>
      <c r="W117" s="425">
        <f t="shared" si="46"/>
        <v>0</v>
      </c>
      <c r="X117" s="447"/>
      <c r="Y117" s="419"/>
      <c r="Z117" s="448"/>
      <c r="AA117" s="421"/>
      <c r="AB117" s="447"/>
      <c r="AC117" s="419"/>
      <c r="AD117" s="448"/>
      <c r="AE117" s="421"/>
      <c r="AF117" s="447"/>
      <c r="AG117" s="419"/>
      <c r="AH117" s="448"/>
      <c r="AI117" s="421"/>
      <c r="AJ117" s="447"/>
      <c r="AK117" s="419"/>
      <c r="AL117" s="448"/>
      <c r="AM117" s="421"/>
      <c r="AN117" s="447"/>
      <c r="AO117" s="419"/>
      <c r="AP117" s="448"/>
      <c r="AQ117" s="421"/>
      <c r="AR117" s="424">
        <f t="shared" si="49"/>
        <v>0</v>
      </c>
      <c r="AS117" s="422">
        <f t="shared" si="50"/>
        <v>0.77824571594539649</v>
      </c>
      <c r="AT117" s="425">
        <f t="shared" si="51"/>
        <v>0</v>
      </c>
      <c r="AU117" s="423">
        <f t="shared" si="52"/>
        <v>0.79353951890034369</v>
      </c>
      <c r="AV117" s="419">
        <v>167</v>
      </c>
      <c r="AW117" s="421">
        <v>165</v>
      </c>
      <c r="AX117" s="447" t="s">
        <v>611</v>
      </c>
      <c r="AY117" s="419">
        <v>467</v>
      </c>
      <c r="AZ117" s="448" t="s">
        <v>611</v>
      </c>
      <c r="BA117" s="421">
        <v>464</v>
      </c>
      <c r="BB117" s="447" t="s">
        <v>610</v>
      </c>
      <c r="BC117" s="419">
        <v>307</v>
      </c>
      <c r="BD117" s="448" t="s">
        <v>610</v>
      </c>
      <c r="BE117" s="420">
        <v>221</v>
      </c>
      <c r="BF117" s="447" t="s">
        <v>613</v>
      </c>
      <c r="BG117" s="419">
        <v>149</v>
      </c>
      <c r="BH117" s="448" t="s">
        <v>613</v>
      </c>
      <c r="BI117" s="421">
        <v>161</v>
      </c>
      <c r="BJ117" s="447" t="s">
        <v>614</v>
      </c>
      <c r="BK117" s="419">
        <v>76</v>
      </c>
      <c r="BL117" s="448" t="s">
        <v>612</v>
      </c>
      <c r="BM117" s="421">
        <v>71</v>
      </c>
      <c r="BN117" s="447" t="s">
        <v>629</v>
      </c>
      <c r="BO117" s="419">
        <v>51</v>
      </c>
      <c r="BP117" s="448" t="s">
        <v>614</v>
      </c>
      <c r="BQ117" s="420">
        <v>70</v>
      </c>
      <c r="BR117" s="447" t="s">
        <v>612</v>
      </c>
      <c r="BS117" s="419">
        <v>43</v>
      </c>
      <c r="BT117" s="448" t="s">
        <v>629</v>
      </c>
      <c r="BU117" s="420">
        <v>68</v>
      </c>
      <c r="BV117" s="447" t="s">
        <v>634</v>
      </c>
      <c r="BW117" s="419">
        <v>22</v>
      </c>
      <c r="BX117" s="448" t="s">
        <v>634</v>
      </c>
      <c r="BY117" s="421">
        <v>26</v>
      </c>
      <c r="BZ117" s="447" t="s">
        <v>625</v>
      </c>
      <c r="CA117" s="419">
        <v>19</v>
      </c>
      <c r="CB117" s="448" t="s">
        <v>618</v>
      </c>
      <c r="CC117" s="420">
        <v>25</v>
      </c>
      <c r="CD117" s="447" t="s">
        <v>621</v>
      </c>
      <c r="CE117" s="419">
        <v>17</v>
      </c>
      <c r="CF117" s="448" t="s">
        <v>636</v>
      </c>
      <c r="CG117" s="420">
        <v>24</v>
      </c>
      <c r="CH117" s="447" t="s">
        <v>636</v>
      </c>
      <c r="CI117" s="419">
        <v>15</v>
      </c>
      <c r="CJ117" s="448" t="s">
        <v>625</v>
      </c>
      <c r="CK117" s="420">
        <v>20</v>
      </c>
      <c r="CL117" s="419">
        <v>61</v>
      </c>
      <c r="CM117" s="420">
        <v>78</v>
      </c>
      <c r="CN117" s="424">
        <f t="shared" si="53"/>
        <v>1227</v>
      </c>
      <c r="CO117" s="424">
        <f t="shared" si="54"/>
        <v>10</v>
      </c>
      <c r="CP117" s="425">
        <f t="shared" si="55"/>
        <v>1228</v>
      </c>
      <c r="CQ117" s="425">
        <f t="shared" si="56"/>
        <v>10</v>
      </c>
      <c r="CR117" s="447" t="s">
        <v>611</v>
      </c>
      <c r="CS117" s="419">
        <v>32</v>
      </c>
      <c r="CT117" s="448" t="s">
        <v>611</v>
      </c>
      <c r="CU117" s="420">
        <v>25</v>
      </c>
      <c r="CV117" s="447" t="s">
        <v>610</v>
      </c>
      <c r="CW117" s="419">
        <v>12</v>
      </c>
      <c r="CX117" s="448" t="s">
        <v>636</v>
      </c>
      <c r="CY117" s="420">
        <v>16</v>
      </c>
      <c r="CZ117" s="447" t="s">
        <v>636</v>
      </c>
      <c r="DA117" s="419">
        <v>8</v>
      </c>
      <c r="DB117" s="448" t="s">
        <v>610</v>
      </c>
      <c r="DC117" s="420">
        <v>11</v>
      </c>
      <c r="DD117" s="447" t="s">
        <v>612</v>
      </c>
      <c r="DE117" s="419">
        <v>2</v>
      </c>
      <c r="DF117" s="448" t="s">
        <v>612</v>
      </c>
      <c r="DG117" s="421">
        <v>2</v>
      </c>
      <c r="DH117" s="447" t="s">
        <v>618</v>
      </c>
      <c r="DI117" s="419">
        <v>1</v>
      </c>
      <c r="DJ117" s="448"/>
      <c r="DK117" s="420"/>
      <c r="DL117" s="447"/>
      <c r="DM117" s="419"/>
      <c r="DN117" s="448"/>
      <c r="DO117" s="421"/>
      <c r="DP117" s="447"/>
      <c r="DQ117" s="419"/>
      <c r="DR117" s="448"/>
      <c r="DS117" s="421"/>
      <c r="DT117" s="447"/>
      <c r="DU117" s="419"/>
      <c r="DV117" s="448"/>
      <c r="DW117" s="421"/>
      <c r="DX117" s="447"/>
      <c r="DY117" s="419"/>
      <c r="DZ117" s="448"/>
      <c r="EA117" s="421"/>
      <c r="EB117" s="447"/>
      <c r="EC117" s="419"/>
      <c r="ED117" s="448"/>
      <c r="EE117" s="421"/>
      <c r="EF117" s="419"/>
      <c r="EG117" s="421"/>
      <c r="EH117" s="424">
        <f t="shared" si="57"/>
        <v>55</v>
      </c>
      <c r="EI117" s="424">
        <f t="shared" si="58"/>
        <v>5</v>
      </c>
      <c r="EJ117" s="422">
        <f t="shared" si="59"/>
        <v>0.58181818181818179</v>
      </c>
      <c r="EK117" s="425">
        <f t="shared" si="60"/>
        <v>54</v>
      </c>
      <c r="EL117" s="425">
        <f t="shared" si="61"/>
        <v>4</v>
      </c>
      <c r="EM117" s="423">
        <f t="shared" si="62"/>
        <v>0.46296296296296297</v>
      </c>
      <c r="EN117" s="424">
        <f t="shared" si="63"/>
        <v>1282</v>
      </c>
      <c r="EO117" s="425">
        <f t="shared" si="64"/>
        <v>1282</v>
      </c>
      <c r="EP117" s="419"/>
      <c r="EQ117" s="421"/>
      <c r="ER117" s="419"/>
      <c r="ES117" s="421"/>
      <c r="ET117" s="419"/>
      <c r="EU117" s="421"/>
      <c r="EV117" s="419"/>
      <c r="EW117" s="421"/>
      <c r="EX117" s="419"/>
      <c r="EY117" s="421"/>
      <c r="EZ117" s="419"/>
      <c r="FA117" s="421"/>
      <c r="FB117" s="419"/>
      <c r="FC117" s="421"/>
      <c r="FD117" s="419"/>
      <c r="FE117" s="421"/>
      <c r="FF117" s="419"/>
      <c r="FG117" s="421"/>
      <c r="FH117" s="419"/>
      <c r="FI117" s="421"/>
      <c r="FJ117" s="424">
        <f t="shared" si="65"/>
        <v>0</v>
      </c>
      <c r="FK117" s="425">
        <f t="shared" si="66"/>
        <v>0</v>
      </c>
      <c r="FL117" s="419"/>
      <c r="FM117" s="421"/>
      <c r="FN117" s="424">
        <f t="shared" si="67"/>
        <v>6886</v>
      </c>
      <c r="FO117" s="425">
        <f t="shared" si="68"/>
        <v>7275</v>
      </c>
    </row>
    <row r="118" spans="1:171">
      <c r="A118" s="305" t="s">
        <v>157</v>
      </c>
      <c r="B118" s="36" t="s">
        <v>637</v>
      </c>
      <c r="C118" s="35"/>
      <c r="D118" s="446">
        <v>141334</v>
      </c>
      <c r="E118" s="34">
        <v>3</v>
      </c>
      <c r="F118" s="304">
        <v>0</v>
      </c>
      <c r="G118" s="421">
        <v>0</v>
      </c>
      <c r="H118" s="419"/>
      <c r="I118" s="421"/>
      <c r="J118" s="419">
        <v>0</v>
      </c>
      <c r="K118" s="421">
        <v>0</v>
      </c>
      <c r="L118" s="422">
        <f t="shared" si="47"/>
        <v>0</v>
      </c>
      <c r="M118" s="423">
        <f t="shared" si="48"/>
        <v>0</v>
      </c>
      <c r="N118" s="419">
        <v>1896</v>
      </c>
      <c r="O118" s="309">
        <f>0</f>
        <v>0</v>
      </c>
      <c r="P118" s="309">
        <f>0</f>
        <v>0</v>
      </c>
      <c r="Q118" s="309">
        <f>0</f>
        <v>0</v>
      </c>
      <c r="R118" s="424">
        <f t="shared" si="45"/>
        <v>0</v>
      </c>
      <c r="S118" s="421">
        <v>1968</v>
      </c>
      <c r="T118" s="301">
        <f>0</f>
        <v>0</v>
      </c>
      <c r="U118" s="301">
        <f>0</f>
        <v>0</v>
      </c>
      <c r="V118" s="301">
        <f>0</f>
        <v>0</v>
      </c>
      <c r="W118" s="425">
        <f t="shared" si="46"/>
        <v>0</v>
      </c>
      <c r="X118" s="447"/>
      <c r="Y118" s="419"/>
      <c r="Z118" s="448"/>
      <c r="AA118" s="421"/>
      <c r="AB118" s="447"/>
      <c r="AC118" s="419"/>
      <c r="AD118" s="448"/>
      <c r="AE118" s="421"/>
      <c r="AF118" s="447"/>
      <c r="AG118" s="419"/>
      <c r="AH118" s="448"/>
      <c r="AI118" s="421"/>
      <c r="AJ118" s="447"/>
      <c r="AK118" s="419"/>
      <c r="AL118" s="448"/>
      <c r="AM118" s="421"/>
      <c r="AN118" s="447"/>
      <c r="AO118" s="419"/>
      <c r="AP118" s="448"/>
      <c r="AQ118" s="421"/>
      <c r="AR118" s="424">
        <f t="shared" si="49"/>
        <v>0</v>
      </c>
      <c r="AS118" s="422">
        <f t="shared" si="50"/>
        <v>0.68103448275862066</v>
      </c>
      <c r="AT118" s="425">
        <f t="shared" si="51"/>
        <v>0</v>
      </c>
      <c r="AU118" s="423">
        <f t="shared" si="52"/>
        <v>0.64440078585461691</v>
      </c>
      <c r="AV118" s="419">
        <v>22</v>
      </c>
      <c r="AW118" s="421">
        <v>20</v>
      </c>
      <c r="AX118" s="447" t="s">
        <v>611</v>
      </c>
      <c r="AY118" s="419">
        <v>565</v>
      </c>
      <c r="AZ118" s="448" t="s">
        <v>611</v>
      </c>
      <c r="BA118" s="420">
        <v>765</v>
      </c>
      <c r="BB118" s="447" t="s">
        <v>610</v>
      </c>
      <c r="BC118" s="419">
        <v>105</v>
      </c>
      <c r="BD118" s="448" t="s">
        <v>610</v>
      </c>
      <c r="BE118" s="421">
        <v>89</v>
      </c>
      <c r="BF118" s="447" t="s">
        <v>612</v>
      </c>
      <c r="BG118" s="419">
        <v>60</v>
      </c>
      <c r="BH118" s="448" t="s">
        <v>612</v>
      </c>
      <c r="BI118" s="421">
        <v>69</v>
      </c>
      <c r="BJ118" s="447" t="s">
        <v>614</v>
      </c>
      <c r="BK118" s="419">
        <v>19</v>
      </c>
      <c r="BL118" s="448" t="s">
        <v>616</v>
      </c>
      <c r="BM118" s="421">
        <v>21</v>
      </c>
      <c r="BN118" s="447" t="s">
        <v>631</v>
      </c>
      <c r="BO118" s="419">
        <v>17</v>
      </c>
      <c r="BP118" s="448" t="s">
        <v>614</v>
      </c>
      <c r="BQ118" s="421">
        <v>20</v>
      </c>
      <c r="BR118" s="447" t="s">
        <v>619</v>
      </c>
      <c r="BS118" s="419">
        <v>15</v>
      </c>
      <c r="BT118" s="448" t="s">
        <v>619</v>
      </c>
      <c r="BU118" s="421">
        <v>18</v>
      </c>
      <c r="BV118" s="447" t="s">
        <v>616</v>
      </c>
      <c r="BW118" s="419">
        <v>13</v>
      </c>
      <c r="BX118" s="448" t="s">
        <v>613</v>
      </c>
      <c r="BY118" s="421">
        <v>14</v>
      </c>
      <c r="BZ118" s="447" t="s">
        <v>613</v>
      </c>
      <c r="CA118" s="419">
        <v>12</v>
      </c>
      <c r="CB118" s="448" t="s">
        <v>620</v>
      </c>
      <c r="CC118" s="421">
        <v>13</v>
      </c>
      <c r="CD118" s="447" t="s">
        <v>620</v>
      </c>
      <c r="CE118" s="419">
        <v>11</v>
      </c>
      <c r="CF118" s="448" t="s">
        <v>631</v>
      </c>
      <c r="CG118" s="421">
        <v>12</v>
      </c>
      <c r="CH118" s="447" t="s">
        <v>621</v>
      </c>
      <c r="CI118" s="419">
        <v>7</v>
      </c>
      <c r="CJ118" s="448" t="s">
        <v>615</v>
      </c>
      <c r="CK118" s="421">
        <v>6</v>
      </c>
      <c r="CL118" s="419">
        <v>9</v>
      </c>
      <c r="CM118" s="420">
        <v>7</v>
      </c>
      <c r="CN118" s="424">
        <f t="shared" si="53"/>
        <v>833</v>
      </c>
      <c r="CO118" s="424">
        <f t="shared" si="54"/>
        <v>10</v>
      </c>
      <c r="CP118" s="425">
        <f t="shared" si="55"/>
        <v>1034</v>
      </c>
      <c r="CQ118" s="425">
        <f t="shared" si="56"/>
        <v>10</v>
      </c>
      <c r="CR118" s="447" t="s">
        <v>611</v>
      </c>
      <c r="CS118" s="419">
        <v>21</v>
      </c>
      <c r="CT118" s="448" t="s">
        <v>611</v>
      </c>
      <c r="CU118" s="421">
        <v>21</v>
      </c>
      <c r="CV118" s="447" t="s">
        <v>612</v>
      </c>
      <c r="CW118" s="419">
        <v>8</v>
      </c>
      <c r="CX118" s="448" t="s">
        <v>619</v>
      </c>
      <c r="CY118" s="421">
        <v>7</v>
      </c>
      <c r="CZ118" s="447" t="s">
        <v>619</v>
      </c>
      <c r="DA118" s="419">
        <v>4</v>
      </c>
      <c r="DB118" s="448" t="s">
        <v>612</v>
      </c>
      <c r="DC118" s="421">
        <v>4</v>
      </c>
      <c r="DD118" s="447"/>
      <c r="DE118" s="419"/>
      <c r="DF118" s="448"/>
      <c r="DG118" s="421"/>
      <c r="DH118" s="447"/>
      <c r="DI118" s="419"/>
      <c r="DJ118" s="448"/>
      <c r="DK118" s="421"/>
      <c r="DL118" s="447"/>
      <c r="DM118" s="419"/>
      <c r="DN118" s="448"/>
      <c r="DO118" s="421"/>
      <c r="DP118" s="447"/>
      <c r="DQ118" s="419"/>
      <c r="DR118" s="448"/>
      <c r="DS118" s="421"/>
      <c r="DT118" s="447"/>
      <c r="DU118" s="419"/>
      <c r="DV118" s="448"/>
      <c r="DW118" s="421"/>
      <c r="DX118" s="447"/>
      <c r="DY118" s="419"/>
      <c r="DZ118" s="448"/>
      <c r="EA118" s="421"/>
      <c r="EB118" s="447"/>
      <c r="EC118" s="419"/>
      <c r="ED118" s="448"/>
      <c r="EE118" s="421"/>
      <c r="EF118" s="419"/>
      <c r="EG118" s="421"/>
      <c r="EH118" s="424">
        <f t="shared" si="57"/>
        <v>33</v>
      </c>
      <c r="EI118" s="424">
        <f t="shared" si="58"/>
        <v>3</v>
      </c>
      <c r="EJ118" s="422">
        <f t="shared" si="59"/>
        <v>0.63636363636363635</v>
      </c>
      <c r="EK118" s="425">
        <f t="shared" si="60"/>
        <v>32</v>
      </c>
      <c r="EL118" s="425">
        <f t="shared" si="61"/>
        <v>3</v>
      </c>
      <c r="EM118" s="423">
        <f t="shared" si="62"/>
        <v>0.65625</v>
      </c>
      <c r="EN118" s="424">
        <f t="shared" si="63"/>
        <v>866</v>
      </c>
      <c r="EO118" s="425">
        <f t="shared" si="64"/>
        <v>1066</v>
      </c>
      <c r="EP118" s="419"/>
      <c r="EQ118" s="421"/>
      <c r="ER118" s="419"/>
      <c r="ES118" s="421"/>
      <c r="ET118" s="419"/>
      <c r="EU118" s="421"/>
      <c r="EV118" s="419"/>
      <c r="EW118" s="421"/>
      <c r="EX118" s="419"/>
      <c r="EY118" s="421"/>
      <c r="EZ118" s="419"/>
      <c r="FA118" s="421"/>
      <c r="FB118" s="419"/>
      <c r="FC118" s="421"/>
      <c r="FD118" s="419"/>
      <c r="FE118" s="421"/>
      <c r="FF118" s="419"/>
      <c r="FG118" s="421"/>
      <c r="FH118" s="419"/>
      <c r="FI118" s="421"/>
      <c r="FJ118" s="424">
        <f t="shared" si="65"/>
        <v>0</v>
      </c>
      <c r="FK118" s="425">
        <f t="shared" si="66"/>
        <v>0</v>
      </c>
      <c r="FL118" s="419"/>
      <c r="FM118" s="421"/>
      <c r="FN118" s="424">
        <f t="shared" si="67"/>
        <v>2784</v>
      </c>
      <c r="FO118" s="425">
        <f t="shared" si="68"/>
        <v>3054</v>
      </c>
    </row>
    <row r="119" spans="1:171">
      <c r="A119" s="306" t="s">
        <v>157</v>
      </c>
      <c r="B119" s="36" t="s">
        <v>638</v>
      </c>
      <c r="C119" s="35"/>
      <c r="D119" s="446">
        <v>141264</v>
      </c>
      <c r="E119" s="34">
        <v>3</v>
      </c>
      <c r="F119" s="304">
        <v>0</v>
      </c>
      <c r="G119" s="421">
        <v>0</v>
      </c>
      <c r="H119" s="419"/>
      <c r="I119" s="421"/>
      <c r="J119" s="419">
        <v>19</v>
      </c>
      <c r="K119" s="420">
        <v>28</v>
      </c>
      <c r="L119" s="422">
        <f t="shared" si="47"/>
        <v>1.2675116744496331E-2</v>
      </c>
      <c r="M119" s="423">
        <f t="shared" si="48"/>
        <v>1.7960230917254651E-2</v>
      </c>
      <c r="N119" s="419">
        <v>1499</v>
      </c>
      <c r="O119" s="309">
        <f>0</f>
        <v>0</v>
      </c>
      <c r="P119" s="309">
        <f>0</f>
        <v>0</v>
      </c>
      <c r="Q119" s="309">
        <f>0</f>
        <v>0</v>
      </c>
      <c r="R119" s="424">
        <f t="shared" si="45"/>
        <v>0</v>
      </c>
      <c r="S119" s="421">
        <v>1559</v>
      </c>
      <c r="T119" s="301">
        <f>0</f>
        <v>0</v>
      </c>
      <c r="U119" s="301">
        <f>0</f>
        <v>0</v>
      </c>
      <c r="V119" s="301">
        <f>0</f>
        <v>0</v>
      </c>
      <c r="W119" s="425">
        <f t="shared" si="46"/>
        <v>0</v>
      </c>
      <c r="X119" s="447"/>
      <c r="Y119" s="419"/>
      <c r="Z119" s="448"/>
      <c r="AA119" s="421"/>
      <c r="AB119" s="447"/>
      <c r="AC119" s="419"/>
      <c r="AD119" s="448"/>
      <c r="AE119" s="421"/>
      <c r="AF119" s="447"/>
      <c r="AG119" s="419"/>
      <c r="AH119" s="448"/>
      <c r="AI119" s="421"/>
      <c r="AJ119" s="447"/>
      <c r="AK119" s="419"/>
      <c r="AL119" s="448"/>
      <c r="AM119" s="421"/>
      <c r="AN119" s="447"/>
      <c r="AO119" s="419"/>
      <c r="AP119" s="448"/>
      <c r="AQ119" s="421"/>
      <c r="AR119" s="424">
        <f t="shared" si="49"/>
        <v>0</v>
      </c>
      <c r="AS119" s="422">
        <f t="shared" si="50"/>
        <v>0.61459614596145962</v>
      </c>
      <c r="AT119" s="425">
        <f t="shared" si="51"/>
        <v>0</v>
      </c>
      <c r="AU119" s="423">
        <f t="shared" si="52"/>
        <v>0.61209265802905377</v>
      </c>
      <c r="AV119" s="419">
        <v>0</v>
      </c>
      <c r="AW119" s="421">
        <v>0</v>
      </c>
      <c r="AX119" s="447" t="s">
        <v>611</v>
      </c>
      <c r="AY119" s="419">
        <v>497</v>
      </c>
      <c r="AZ119" s="448" t="s">
        <v>611</v>
      </c>
      <c r="BA119" s="421">
        <v>515</v>
      </c>
      <c r="BB119" s="447" t="s">
        <v>612</v>
      </c>
      <c r="BC119" s="419">
        <v>113</v>
      </c>
      <c r="BD119" s="448" t="s">
        <v>612</v>
      </c>
      <c r="BE119" s="421">
        <v>107</v>
      </c>
      <c r="BF119" s="447" t="s">
        <v>639</v>
      </c>
      <c r="BG119" s="419">
        <v>90</v>
      </c>
      <c r="BH119" s="448" t="s">
        <v>614</v>
      </c>
      <c r="BI119" s="421">
        <v>97</v>
      </c>
      <c r="BJ119" s="447" t="s">
        <v>614</v>
      </c>
      <c r="BK119" s="419">
        <v>73</v>
      </c>
      <c r="BL119" s="448" t="s">
        <v>639</v>
      </c>
      <c r="BM119" s="421">
        <v>87</v>
      </c>
      <c r="BN119" s="447" t="s">
        <v>610</v>
      </c>
      <c r="BO119" s="419">
        <v>42</v>
      </c>
      <c r="BP119" s="448" t="s">
        <v>610</v>
      </c>
      <c r="BQ119" s="421">
        <v>46</v>
      </c>
      <c r="BR119" s="447" t="s">
        <v>619</v>
      </c>
      <c r="BS119" s="419">
        <v>13</v>
      </c>
      <c r="BT119" s="448" t="s">
        <v>621</v>
      </c>
      <c r="BU119" s="421">
        <v>13</v>
      </c>
      <c r="BV119" s="447" t="s">
        <v>621</v>
      </c>
      <c r="BW119" s="419">
        <v>9</v>
      </c>
      <c r="BX119" s="448" t="s">
        <v>619</v>
      </c>
      <c r="BY119" s="420">
        <v>12</v>
      </c>
      <c r="BZ119" s="447" t="s">
        <v>616</v>
      </c>
      <c r="CA119" s="419">
        <v>9</v>
      </c>
      <c r="CB119" s="448" t="s">
        <v>615</v>
      </c>
      <c r="CC119" s="420">
        <v>12</v>
      </c>
      <c r="CD119" s="447" t="s">
        <v>622</v>
      </c>
      <c r="CE119" s="419">
        <v>7</v>
      </c>
      <c r="CF119" s="448" t="s">
        <v>620</v>
      </c>
      <c r="CG119" s="420">
        <v>10</v>
      </c>
      <c r="CH119" s="447" t="s">
        <v>615</v>
      </c>
      <c r="CI119" s="419">
        <v>7</v>
      </c>
      <c r="CJ119" s="448" t="s">
        <v>622</v>
      </c>
      <c r="CK119" s="421">
        <v>8</v>
      </c>
      <c r="CL119" s="419">
        <v>11</v>
      </c>
      <c r="CM119" s="421">
        <v>12</v>
      </c>
      <c r="CN119" s="424">
        <f t="shared" si="53"/>
        <v>871</v>
      </c>
      <c r="CO119" s="424">
        <f t="shared" si="54"/>
        <v>10</v>
      </c>
      <c r="CP119" s="425">
        <f t="shared" si="55"/>
        <v>919</v>
      </c>
      <c r="CQ119" s="425">
        <f t="shared" si="56"/>
        <v>10</v>
      </c>
      <c r="CR119" s="447" t="s">
        <v>611</v>
      </c>
      <c r="CS119" s="419">
        <v>36</v>
      </c>
      <c r="CT119" s="448" t="s">
        <v>611</v>
      </c>
      <c r="CU119" s="420">
        <v>28</v>
      </c>
      <c r="CV119" s="447" t="s">
        <v>614</v>
      </c>
      <c r="CW119" s="419">
        <v>11</v>
      </c>
      <c r="CX119" s="448" t="s">
        <v>614</v>
      </c>
      <c r="CY119" s="421">
        <v>12</v>
      </c>
      <c r="CZ119" s="447" t="s">
        <v>612</v>
      </c>
      <c r="DA119" s="419">
        <v>3</v>
      </c>
      <c r="DB119" s="448" t="s">
        <v>612</v>
      </c>
      <c r="DC119" s="420">
        <v>1</v>
      </c>
      <c r="DD119" s="447"/>
      <c r="DE119" s="419"/>
      <c r="DF119" s="448"/>
      <c r="DG119" s="421"/>
      <c r="DH119" s="447"/>
      <c r="DI119" s="419"/>
      <c r="DJ119" s="448"/>
      <c r="DK119" s="421"/>
      <c r="DL119" s="447"/>
      <c r="DM119" s="419"/>
      <c r="DN119" s="448"/>
      <c r="DO119" s="421"/>
      <c r="DP119" s="447"/>
      <c r="DQ119" s="419"/>
      <c r="DR119" s="448"/>
      <c r="DS119" s="421"/>
      <c r="DT119" s="447"/>
      <c r="DU119" s="419"/>
      <c r="DV119" s="448"/>
      <c r="DW119" s="421"/>
      <c r="DX119" s="447"/>
      <c r="DY119" s="419"/>
      <c r="DZ119" s="448"/>
      <c r="EA119" s="421"/>
      <c r="EB119" s="447"/>
      <c r="EC119" s="419"/>
      <c r="ED119" s="448"/>
      <c r="EE119" s="421"/>
      <c r="EF119" s="419"/>
      <c r="EG119" s="421"/>
      <c r="EH119" s="424">
        <f t="shared" si="57"/>
        <v>50</v>
      </c>
      <c r="EI119" s="424">
        <f t="shared" si="58"/>
        <v>3</v>
      </c>
      <c r="EJ119" s="422">
        <f t="shared" si="59"/>
        <v>0.72</v>
      </c>
      <c r="EK119" s="425">
        <f t="shared" si="60"/>
        <v>41</v>
      </c>
      <c r="EL119" s="425">
        <f t="shared" si="61"/>
        <v>3</v>
      </c>
      <c r="EM119" s="423">
        <f t="shared" si="62"/>
        <v>0.68292682926829273</v>
      </c>
      <c r="EN119" s="424">
        <f t="shared" si="63"/>
        <v>921</v>
      </c>
      <c r="EO119" s="425">
        <f t="shared" si="64"/>
        <v>960</v>
      </c>
      <c r="EP119" s="419"/>
      <c r="EQ119" s="421"/>
      <c r="ER119" s="419"/>
      <c r="ES119" s="421"/>
      <c r="ET119" s="419"/>
      <c r="EU119" s="421"/>
      <c r="EV119" s="419"/>
      <c r="EW119" s="421"/>
      <c r="EX119" s="419"/>
      <c r="EY119" s="421"/>
      <c r="EZ119" s="419"/>
      <c r="FA119" s="421"/>
      <c r="FB119" s="419"/>
      <c r="FC119" s="421"/>
      <c r="FD119" s="419"/>
      <c r="FE119" s="421"/>
      <c r="FF119" s="419"/>
      <c r="FG119" s="421"/>
      <c r="FH119" s="419"/>
      <c r="FI119" s="421"/>
      <c r="FJ119" s="424">
        <f t="shared" si="65"/>
        <v>0</v>
      </c>
      <c r="FK119" s="425">
        <f t="shared" si="66"/>
        <v>0</v>
      </c>
      <c r="FL119" s="419"/>
      <c r="FM119" s="421"/>
      <c r="FN119" s="424">
        <f t="shared" si="67"/>
        <v>2439</v>
      </c>
      <c r="FO119" s="425">
        <f t="shared" si="68"/>
        <v>2547</v>
      </c>
    </row>
    <row r="120" spans="1:171">
      <c r="A120" s="305" t="s">
        <v>157</v>
      </c>
      <c r="B120" s="36" t="s">
        <v>640</v>
      </c>
      <c r="C120" s="35"/>
      <c r="D120" s="446">
        <v>138716</v>
      </c>
      <c r="E120" s="34">
        <v>4</v>
      </c>
      <c r="F120" s="304">
        <v>11</v>
      </c>
      <c r="G120" s="420">
        <v>20</v>
      </c>
      <c r="H120" s="419"/>
      <c r="I120" s="421"/>
      <c r="J120" s="419">
        <v>553</v>
      </c>
      <c r="K120" s="421">
        <v>551</v>
      </c>
      <c r="L120" s="422">
        <f t="shared" si="47"/>
        <v>1.2316258351893097</v>
      </c>
      <c r="M120" s="423">
        <f t="shared" si="48"/>
        <v>1.1108870967741935</v>
      </c>
      <c r="N120" s="419">
        <v>449</v>
      </c>
      <c r="O120" s="309">
        <f>0</f>
        <v>0</v>
      </c>
      <c r="P120" s="309">
        <f>0</f>
        <v>0</v>
      </c>
      <c r="Q120" s="309">
        <f>0</f>
        <v>0</v>
      </c>
      <c r="R120" s="424">
        <f t="shared" si="45"/>
        <v>0</v>
      </c>
      <c r="S120" s="421">
        <v>496</v>
      </c>
      <c r="T120" s="301">
        <f>0</f>
        <v>0</v>
      </c>
      <c r="U120" s="301">
        <f>0</f>
        <v>0</v>
      </c>
      <c r="V120" s="301">
        <f>0</f>
        <v>0</v>
      </c>
      <c r="W120" s="425">
        <f t="shared" si="46"/>
        <v>0</v>
      </c>
      <c r="X120" s="447"/>
      <c r="Y120" s="419"/>
      <c r="Z120" s="448"/>
      <c r="AA120" s="421"/>
      <c r="AB120" s="447"/>
      <c r="AC120" s="419"/>
      <c r="AD120" s="448"/>
      <c r="AE120" s="421"/>
      <c r="AF120" s="447"/>
      <c r="AG120" s="419"/>
      <c r="AH120" s="448"/>
      <c r="AI120" s="421"/>
      <c r="AJ120" s="447"/>
      <c r="AK120" s="419"/>
      <c r="AL120" s="448"/>
      <c r="AM120" s="421"/>
      <c r="AN120" s="447"/>
      <c r="AO120" s="419"/>
      <c r="AP120" s="448"/>
      <c r="AQ120" s="421"/>
      <c r="AR120" s="424">
        <f t="shared" si="49"/>
        <v>0</v>
      </c>
      <c r="AS120" s="422">
        <f t="shared" si="50"/>
        <v>0.39559471365638765</v>
      </c>
      <c r="AT120" s="425">
        <f t="shared" si="51"/>
        <v>0</v>
      </c>
      <c r="AU120" s="423">
        <f t="shared" si="52"/>
        <v>0.42393162393162392</v>
      </c>
      <c r="AV120" s="419">
        <v>0</v>
      </c>
      <c r="AW120" s="421">
        <v>0</v>
      </c>
      <c r="AX120" s="447" t="s">
        <v>611</v>
      </c>
      <c r="AY120" s="419">
        <v>42</v>
      </c>
      <c r="AZ120" s="448" t="s">
        <v>611</v>
      </c>
      <c r="BA120" s="420">
        <v>29</v>
      </c>
      <c r="BB120" s="447" t="s">
        <v>614</v>
      </c>
      <c r="BC120" s="419">
        <v>34</v>
      </c>
      <c r="BD120" s="448" t="s">
        <v>610</v>
      </c>
      <c r="BE120" s="420">
        <v>23</v>
      </c>
      <c r="BF120" s="447" t="s">
        <v>610</v>
      </c>
      <c r="BG120" s="419">
        <v>26</v>
      </c>
      <c r="BH120" s="448" t="s">
        <v>614</v>
      </c>
      <c r="BI120" s="421">
        <v>22</v>
      </c>
      <c r="BJ120" s="447" t="s">
        <v>641</v>
      </c>
      <c r="BK120" s="419">
        <v>10</v>
      </c>
      <c r="BL120" s="448" t="s">
        <v>612</v>
      </c>
      <c r="BM120" s="420">
        <v>17</v>
      </c>
      <c r="BN120" s="447" t="s">
        <v>612</v>
      </c>
      <c r="BO120" s="419">
        <v>10</v>
      </c>
      <c r="BP120" s="448" t="s">
        <v>641</v>
      </c>
      <c r="BQ120" s="421">
        <v>12</v>
      </c>
      <c r="BR120" s="447"/>
      <c r="BS120" s="419"/>
      <c r="BT120" s="448"/>
      <c r="BU120" s="421"/>
      <c r="BV120" s="447"/>
      <c r="BW120" s="419"/>
      <c r="BX120" s="448"/>
      <c r="BY120" s="421"/>
      <c r="BZ120" s="447"/>
      <c r="CA120" s="419"/>
      <c r="CB120" s="448"/>
      <c r="CC120" s="421"/>
      <c r="CD120" s="447"/>
      <c r="CE120" s="419"/>
      <c r="CF120" s="448"/>
      <c r="CG120" s="421"/>
      <c r="CH120" s="447"/>
      <c r="CI120" s="419"/>
      <c r="CJ120" s="448"/>
      <c r="CK120" s="421"/>
      <c r="CL120" s="419"/>
      <c r="CM120" s="421"/>
      <c r="CN120" s="424">
        <f t="shared" si="53"/>
        <v>122</v>
      </c>
      <c r="CO120" s="424">
        <f t="shared" si="54"/>
        <v>5</v>
      </c>
      <c r="CP120" s="425">
        <f t="shared" si="55"/>
        <v>103</v>
      </c>
      <c r="CQ120" s="425">
        <f t="shared" si="56"/>
        <v>5</v>
      </c>
      <c r="CR120" s="447" t="s">
        <v>611</v>
      </c>
      <c r="CS120" s="419">
        <v>0</v>
      </c>
      <c r="CT120" s="448"/>
      <c r="CU120" s="421"/>
      <c r="CV120" s="447" t="s">
        <v>614</v>
      </c>
      <c r="CW120" s="419">
        <v>0</v>
      </c>
      <c r="CX120" s="448"/>
      <c r="CY120" s="421"/>
      <c r="CZ120" s="447" t="s">
        <v>610</v>
      </c>
      <c r="DA120" s="419">
        <v>0</v>
      </c>
      <c r="DB120" s="448"/>
      <c r="DC120" s="421"/>
      <c r="DD120" s="447"/>
      <c r="DE120" s="419"/>
      <c r="DF120" s="448"/>
      <c r="DG120" s="421"/>
      <c r="DH120" s="447"/>
      <c r="DI120" s="419"/>
      <c r="DJ120" s="448"/>
      <c r="DK120" s="421"/>
      <c r="DL120" s="447"/>
      <c r="DM120" s="419"/>
      <c r="DN120" s="448"/>
      <c r="DO120" s="421"/>
      <c r="DP120" s="447"/>
      <c r="DQ120" s="419"/>
      <c r="DR120" s="448"/>
      <c r="DS120" s="421"/>
      <c r="DT120" s="447"/>
      <c r="DU120" s="419"/>
      <c r="DV120" s="448"/>
      <c r="DW120" s="421"/>
      <c r="DX120" s="447"/>
      <c r="DY120" s="419"/>
      <c r="DZ120" s="448"/>
      <c r="EA120" s="421"/>
      <c r="EB120" s="447"/>
      <c r="EC120" s="419"/>
      <c r="ED120" s="448"/>
      <c r="EE120" s="421"/>
      <c r="EF120" s="419"/>
      <c r="EG120" s="421"/>
      <c r="EH120" s="424">
        <f t="shared" si="57"/>
        <v>0</v>
      </c>
      <c r="EI120" s="424">
        <f t="shared" si="58"/>
        <v>3</v>
      </c>
      <c r="EJ120" s="422">
        <f t="shared" si="59"/>
        <v>0</v>
      </c>
      <c r="EK120" s="425">
        <f t="shared" si="60"/>
        <v>0</v>
      </c>
      <c r="EL120" s="425">
        <f t="shared" si="61"/>
        <v>0</v>
      </c>
      <c r="EM120" s="423">
        <f t="shared" si="62"/>
        <v>0</v>
      </c>
      <c r="EN120" s="424">
        <f t="shared" si="63"/>
        <v>122</v>
      </c>
      <c r="EO120" s="425">
        <f t="shared" si="64"/>
        <v>103</v>
      </c>
      <c r="EP120" s="419"/>
      <c r="EQ120" s="421"/>
      <c r="ER120" s="419"/>
      <c r="ES120" s="421"/>
      <c r="ET120" s="419"/>
      <c r="EU120" s="421"/>
      <c r="EV120" s="419"/>
      <c r="EW120" s="421"/>
      <c r="EX120" s="419"/>
      <c r="EY120" s="421"/>
      <c r="EZ120" s="419"/>
      <c r="FA120" s="421"/>
      <c r="FB120" s="419"/>
      <c r="FC120" s="421"/>
      <c r="FD120" s="419"/>
      <c r="FE120" s="421"/>
      <c r="FF120" s="419"/>
      <c r="FG120" s="421"/>
      <c r="FH120" s="419"/>
      <c r="FI120" s="421"/>
      <c r="FJ120" s="424">
        <f t="shared" si="65"/>
        <v>0</v>
      </c>
      <c r="FK120" s="425">
        <f t="shared" si="66"/>
        <v>0</v>
      </c>
      <c r="FL120" s="419"/>
      <c r="FM120" s="421"/>
      <c r="FN120" s="424">
        <f t="shared" si="67"/>
        <v>1135</v>
      </c>
      <c r="FO120" s="425">
        <f t="shared" si="68"/>
        <v>1170</v>
      </c>
    </row>
    <row r="121" spans="1:171">
      <c r="A121" s="306" t="s">
        <v>157</v>
      </c>
      <c r="B121" s="32" t="s">
        <v>642</v>
      </c>
      <c r="C121" s="259"/>
      <c r="D121" s="446">
        <v>482149</v>
      </c>
      <c r="E121" s="34">
        <v>4</v>
      </c>
      <c r="F121" s="304">
        <v>90</v>
      </c>
      <c r="G121" s="421">
        <v>91</v>
      </c>
      <c r="H121" s="419"/>
      <c r="I121" s="421"/>
      <c r="J121" s="419">
        <v>0</v>
      </c>
      <c r="K121" s="420">
        <v>1</v>
      </c>
      <c r="L121" s="422">
        <f t="shared" si="47"/>
        <v>0</v>
      </c>
      <c r="M121" s="423">
        <f t="shared" si="48"/>
        <v>1E-3</v>
      </c>
      <c r="N121" s="419">
        <v>1060</v>
      </c>
      <c r="O121" s="309">
        <f>0</f>
        <v>0</v>
      </c>
      <c r="P121" s="309">
        <f>0</f>
        <v>0</v>
      </c>
      <c r="Q121" s="309">
        <f>0</f>
        <v>0</v>
      </c>
      <c r="R121" s="424">
        <f t="shared" si="45"/>
        <v>0</v>
      </c>
      <c r="S121" s="421">
        <v>1000</v>
      </c>
      <c r="T121" s="301">
        <f>0</f>
        <v>0</v>
      </c>
      <c r="U121" s="301">
        <f>0</f>
        <v>0</v>
      </c>
      <c r="V121" s="301">
        <f>0</f>
        <v>0</v>
      </c>
      <c r="W121" s="425">
        <f t="shared" si="46"/>
        <v>0</v>
      </c>
      <c r="X121" s="447"/>
      <c r="Y121" s="419"/>
      <c r="Z121" s="448"/>
      <c r="AA121" s="421"/>
      <c r="AB121" s="447"/>
      <c r="AC121" s="419"/>
      <c r="AD121" s="448"/>
      <c r="AE121" s="421"/>
      <c r="AF121" s="447"/>
      <c r="AG121" s="419"/>
      <c r="AH121" s="448"/>
      <c r="AI121" s="421"/>
      <c r="AJ121" s="447"/>
      <c r="AK121" s="419"/>
      <c r="AL121" s="448"/>
      <c r="AM121" s="421"/>
      <c r="AN121" s="447"/>
      <c r="AO121" s="419"/>
      <c r="AP121" s="448"/>
      <c r="AQ121" s="421"/>
      <c r="AR121" s="424">
        <f t="shared" si="49"/>
        <v>0</v>
      </c>
      <c r="AS121" s="422">
        <f t="shared" si="50"/>
        <v>0.46348928727590732</v>
      </c>
      <c r="AT121" s="425">
        <f t="shared" si="51"/>
        <v>0</v>
      </c>
      <c r="AU121" s="423">
        <f t="shared" si="52"/>
        <v>0.44742729306487694</v>
      </c>
      <c r="AV121" s="419">
        <v>174</v>
      </c>
      <c r="AW121" s="421">
        <v>143</v>
      </c>
      <c r="AX121" s="447" t="s">
        <v>612</v>
      </c>
      <c r="AY121" s="419">
        <v>312</v>
      </c>
      <c r="AZ121" s="448" t="s">
        <v>612</v>
      </c>
      <c r="BA121" s="421">
        <v>307</v>
      </c>
      <c r="BB121" s="447" t="s">
        <v>611</v>
      </c>
      <c r="BC121" s="419">
        <v>97</v>
      </c>
      <c r="BD121" s="448" t="s">
        <v>611</v>
      </c>
      <c r="BE121" s="420">
        <v>133</v>
      </c>
      <c r="BF121" s="447" t="s">
        <v>614</v>
      </c>
      <c r="BG121" s="419">
        <v>28</v>
      </c>
      <c r="BH121" s="448" t="s">
        <v>610</v>
      </c>
      <c r="BI121" s="420">
        <v>41</v>
      </c>
      <c r="BJ121" s="447" t="s">
        <v>610</v>
      </c>
      <c r="BK121" s="419">
        <v>28</v>
      </c>
      <c r="BL121" s="448" t="s">
        <v>614</v>
      </c>
      <c r="BM121" s="420">
        <v>39</v>
      </c>
      <c r="BN121" s="447" t="s">
        <v>613</v>
      </c>
      <c r="BO121" s="419">
        <v>17</v>
      </c>
      <c r="BP121" s="448" t="s">
        <v>613</v>
      </c>
      <c r="BQ121" s="420">
        <v>23</v>
      </c>
      <c r="BR121" s="447" t="s">
        <v>619</v>
      </c>
      <c r="BS121" s="419">
        <v>9</v>
      </c>
      <c r="BT121" s="448" t="s">
        <v>619</v>
      </c>
      <c r="BU121" s="420">
        <v>13</v>
      </c>
      <c r="BV121" s="447" t="s">
        <v>625</v>
      </c>
      <c r="BW121" s="419">
        <v>8</v>
      </c>
      <c r="BX121" s="448" t="s">
        <v>616</v>
      </c>
      <c r="BY121" s="421">
        <v>7</v>
      </c>
      <c r="BZ121" s="447" t="s">
        <v>615</v>
      </c>
      <c r="CA121" s="419">
        <v>7</v>
      </c>
      <c r="CB121" s="448" t="s">
        <v>625</v>
      </c>
      <c r="CC121" s="420">
        <v>5</v>
      </c>
      <c r="CD121" s="447"/>
      <c r="CE121" s="419"/>
      <c r="CF121" s="448" t="s">
        <v>615</v>
      </c>
      <c r="CG121" s="420">
        <v>1</v>
      </c>
      <c r="CH121" s="447"/>
      <c r="CI121" s="419"/>
      <c r="CJ121" s="448"/>
      <c r="CK121" s="421"/>
      <c r="CL121" s="419"/>
      <c r="CM121" s="421"/>
      <c r="CN121" s="424">
        <f t="shared" si="53"/>
        <v>506</v>
      </c>
      <c r="CO121" s="424">
        <f t="shared" si="54"/>
        <v>8</v>
      </c>
      <c r="CP121" s="425">
        <f t="shared" si="55"/>
        <v>569</v>
      </c>
      <c r="CQ121" s="425">
        <f t="shared" si="56"/>
        <v>9</v>
      </c>
      <c r="CR121" s="447" t="s">
        <v>612</v>
      </c>
      <c r="CS121" s="419">
        <v>86</v>
      </c>
      <c r="CT121" s="448" t="s">
        <v>612</v>
      </c>
      <c r="CU121" s="421">
        <v>85</v>
      </c>
      <c r="CV121" s="447" t="s">
        <v>615</v>
      </c>
      <c r="CW121" s="419">
        <v>20</v>
      </c>
      <c r="CX121" s="448" t="s">
        <v>615</v>
      </c>
      <c r="CY121" s="420">
        <v>27</v>
      </c>
      <c r="CZ121" s="447" t="s">
        <v>611</v>
      </c>
      <c r="DA121" s="419">
        <v>9</v>
      </c>
      <c r="DB121" s="448" t="s">
        <v>611</v>
      </c>
      <c r="DC121" s="420">
        <v>11</v>
      </c>
      <c r="DD121" s="447"/>
      <c r="DE121" s="419"/>
      <c r="DF121" s="448"/>
      <c r="DG121" s="421"/>
      <c r="DH121" s="447"/>
      <c r="DI121" s="419"/>
      <c r="DJ121" s="448"/>
      <c r="DK121" s="421"/>
      <c r="DL121" s="447"/>
      <c r="DM121" s="419"/>
      <c r="DN121" s="448"/>
      <c r="DO121" s="421"/>
      <c r="DP121" s="447"/>
      <c r="DQ121" s="419"/>
      <c r="DR121" s="448"/>
      <c r="DS121" s="421"/>
      <c r="DT121" s="447"/>
      <c r="DU121" s="419"/>
      <c r="DV121" s="448"/>
      <c r="DW121" s="421"/>
      <c r="DX121" s="447"/>
      <c r="DY121" s="419"/>
      <c r="DZ121" s="448"/>
      <c r="EA121" s="421"/>
      <c r="EB121" s="447"/>
      <c r="EC121" s="419"/>
      <c r="ED121" s="448"/>
      <c r="EE121" s="421"/>
      <c r="EF121" s="419"/>
      <c r="EG121" s="421"/>
      <c r="EH121" s="424">
        <f t="shared" si="57"/>
        <v>115</v>
      </c>
      <c r="EI121" s="424">
        <f t="shared" si="58"/>
        <v>3</v>
      </c>
      <c r="EJ121" s="422">
        <f t="shared" si="59"/>
        <v>0.74782608695652175</v>
      </c>
      <c r="EK121" s="425">
        <f t="shared" si="60"/>
        <v>123</v>
      </c>
      <c r="EL121" s="425">
        <f t="shared" si="61"/>
        <v>3</v>
      </c>
      <c r="EM121" s="423">
        <f t="shared" si="62"/>
        <v>0.69105691056910568</v>
      </c>
      <c r="EN121" s="424">
        <f t="shared" si="63"/>
        <v>621</v>
      </c>
      <c r="EO121" s="425">
        <f t="shared" si="64"/>
        <v>692</v>
      </c>
      <c r="EP121" s="419"/>
      <c r="EQ121" s="421"/>
      <c r="ER121" s="419">
        <v>246</v>
      </c>
      <c r="ES121" s="421">
        <v>221</v>
      </c>
      <c r="ET121" s="419">
        <v>96</v>
      </c>
      <c r="EU121" s="421">
        <v>87</v>
      </c>
      <c r="EV121" s="419"/>
      <c r="EW121" s="421"/>
      <c r="EX121" s="419"/>
      <c r="EY121" s="421"/>
      <c r="EZ121" s="419"/>
      <c r="FA121" s="421"/>
      <c r="FB121" s="419"/>
      <c r="FC121" s="421"/>
      <c r="FD121" s="419"/>
      <c r="FE121" s="421"/>
      <c r="FF121" s="419"/>
      <c r="FG121" s="421"/>
      <c r="FH121" s="419"/>
      <c r="FI121" s="421"/>
      <c r="FJ121" s="424">
        <f t="shared" si="65"/>
        <v>342</v>
      </c>
      <c r="FK121" s="425">
        <f t="shared" si="66"/>
        <v>308</v>
      </c>
      <c r="FL121" s="419"/>
      <c r="FM121" s="421"/>
      <c r="FN121" s="424">
        <f t="shared" si="67"/>
        <v>2287</v>
      </c>
      <c r="FO121" s="425">
        <f t="shared" si="68"/>
        <v>2235</v>
      </c>
    </row>
    <row r="122" spans="1:171">
      <c r="A122" s="305" t="s">
        <v>157</v>
      </c>
      <c r="B122" s="36" t="s">
        <v>643</v>
      </c>
      <c r="C122" s="33"/>
      <c r="D122" s="446">
        <v>139311</v>
      </c>
      <c r="E122" s="34">
        <v>4</v>
      </c>
      <c r="F122" s="304">
        <v>23</v>
      </c>
      <c r="G122" s="421">
        <v>25</v>
      </c>
      <c r="H122" s="419"/>
      <c r="I122" s="421"/>
      <c r="J122" s="419">
        <v>109</v>
      </c>
      <c r="K122" s="421">
        <v>98</v>
      </c>
      <c r="L122" s="422">
        <f t="shared" si="47"/>
        <v>0.1162046908315565</v>
      </c>
      <c r="M122" s="423">
        <f t="shared" si="48"/>
        <v>0.10283315844700944</v>
      </c>
      <c r="N122" s="419">
        <v>938</v>
      </c>
      <c r="O122" s="309">
        <f>0</f>
        <v>0</v>
      </c>
      <c r="P122" s="309">
        <f>0</f>
        <v>0</v>
      </c>
      <c r="Q122" s="309">
        <f>0</f>
        <v>0</v>
      </c>
      <c r="R122" s="424">
        <f t="shared" si="45"/>
        <v>0</v>
      </c>
      <c r="S122" s="421">
        <v>953</v>
      </c>
      <c r="T122" s="301">
        <f>0</f>
        <v>0</v>
      </c>
      <c r="U122" s="301">
        <f>0</f>
        <v>0</v>
      </c>
      <c r="V122" s="301">
        <f>0</f>
        <v>0</v>
      </c>
      <c r="W122" s="425">
        <f t="shared" si="46"/>
        <v>0</v>
      </c>
      <c r="X122" s="447"/>
      <c r="Y122" s="419"/>
      <c r="Z122" s="448"/>
      <c r="AA122" s="421"/>
      <c r="AB122" s="447"/>
      <c r="AC122" s="419"/>
      <c r="AD122" s="448"/>
      <c r="AE122" s="421"/>
      <c r="AF122" s="447"/>
      <c r="AG122" s="419"/>
      <c r="AH122" s="448"/>
      <c r="AI122" s="421"/>
      <c r="AJ122" s="447"/>
      <c r="AK122" s="419"/>
      <c r="AL122" s="448"/>
      <c r="AM122" s="421"/>
      <c r="AN122" s="447"/>
      <c r="AO122" s="419"/>
      <c r="AP122" s="448"/>
      <c r="AQ122" s="421"/>
      <c r="AR122" s="424">
        <f t="shared" si="49"/>
        <v>0</v>
      </c>
      <c r="AS122" s="422">
        <f t="shared" si="50"/>
        <v>0.77777777777777779</v>
      </c>
      <c r="AT122" s="425">
        <f t="shared" si="51"/>
        <v>0</v>
      </c>
      <c r="AU122" s="423">
        <f t="shared" si="52"/>
        <v>0.77859477124183007</v>
      </c>
      <c r="AV122" s="419">
        <v>0</v>
      </c>
      <c r="AW122" s="420">
        <v>1</v>
      </c>
      <c r="AX122" s="447" t="s">
        <v>610</v>
      </c>
      <c r="AY122" s="419">
        <v>64</v>
      </c>
      <c r="AZ122" s="448" t="s">
        <v>610</v>
      </c>
      <c r="BA122" s="420">
        <v>77</v>
      </c>
      <c r="BB122" s="447" t="s">
        <v>612</v>
      </c>
      <c r="BC122" s="419">
        <v>35</v>
      </c>
      <c r="BD122" s="448" t="s">
        <v>612</v>
      </c>
      <c r="BE122" s="420">
        <v>45</v>
      </c>
      <c r="BF122" s="447" t="s">
        <v>644</v>
      </c>
      <c r="BG122" s="419">
        <v>12</v>
      </c>
      <c r="BH122" s="448" t="s">
        <v>644</v>
      </c>
      <c r="BI122" s="420">
        <v>9</v>
      </c>
      <c r="BJ122" s="447" t="s">
        <v>636</v>
      </c>
      <c r="BK122" s="419">
        <v>9</v>
      </c>
      <c r="BL122" s="448" t="s">
        <v>619</v>
      </c>
      <c r="BM122" s="421">
        <v>8</v>
      </c>
      <c r="BN122" s="447" t="s">
        <v>611</v>
      </c>
      <c r="BO122" s="419">
        <v>8</v>
      </c>
      <c r="BP122" s="448" t="s">
        <v>611</v>
      </c>
      <c r="BQ122" s="420">
        <v>4</v>
      </c>
      <c r="BR122" s="447" t="s">
        <v>619</v>
      </c>
      <c r="BS122" s="419">
        <v>4</v>
      </c>
      <c r="BT122" s="448" t="s">
        <v>636</v>
      </c>
      <c r="BU122" s="420">
        <v>3</v>
      </c>
      <c r="BV122" s="447" t="s">
        <v>641</v>
      </c>
      <c r="BW122" s="419">
        <v>4</v>
      </c>
      <c r="BX122" s="448" t="s">
        <v>614</v>
      </c>
      <c r="BY122" s="420">
        <v>1</v>
      </c>
      <c r="BZ122" s="447"/>
      <c r="CA122" s="419"/>
      <c r="CB122" s="448"/>
      <c r="CC122" s="421"/>
      <c r="CD122" s="447"/>
      <c r="CE122" s="419"/>
      <c r="CF122" s="448"/>
      <c r="CG122" s="421"/>
      <c r="CH122" s="447"/>
      <c r="CI122" s="419"/>
      <c r="CJ122" s="448"/>
      <c r="CK122" s="421"/>
      <c r="CL122" s="419"/>
      <c r="CM122" s="421"/>
      <c r="CN122" s="424">
        <f t="shared" si="53"/>
        <v>136</v>
      </c>
      <c r="CO122" s="424">
        <f t="shared" si="54"/>
        <v>7</v>
      </c>
      <c r="CP122" s="425">
        <f t="shared" si="55"/>
        <v>147</v>
      </c>
      <c r="CQ122" s="425">
        <f t="shared" si="56"/>
        <v>7</v>
      </c>
      <c r="CR122" s="447" t="s">
        <v>610</v>
      </c>
      <c r="CS122" s="419">
        <v>0</v>
      </c>
      <c r="CT122" s="448"/>
      <c r="CU122" s="421"/>
      <c r="CV122" s="447"/>
      <c r="CW122" s="419"/>
      <c r="CX122" s="448"/>
      <c r="CY122" s="421"/>
      <c r="CZ122" s="447"/>
      <c r="DA122" s="419"/>
      <c r="DB122" s="448"/>
      <c r="DC122" s="421"/>
      <c r="DD122" s="447"/>
      <c r="DE122" s="419"/>
      <c r="DF122" s="448"/>
      <c r="DG122" s="421"/>
      <c r="DH122" s="447"/>
      <c r="DI122" s="419"/>
      <c r="DJ122" s="448"/>
      <c r="DK122" s="421"/>
      <c r="DL122" s="447"/>
      <c r="DM122" s="419"/>
      <c r="DN122" s="448"/>
      <c r="DO122" s="421"/>
      <c r="DP122" s="447"/>
      <c r="DQ122" s="419"/>
      <c r="DR122" s="448"/>
      <c r="DS122" s="421"/>
      <c r="DT122" s="447"/>
      <c r="DU122" s="419"/>
      <c r="DV122" s="448"/>
      <c r="DW122" s="421"/>
      <c r="DX122" s="447"/>
      <c r="DY122" s="419"/>
      <c r="DZ122" s="448"/>
      <c r="EA122" s="421"/>
      <c r="EB122" s="447"/>
      <c r="EC122" s="419"/>
      <c r="ED122" s="448"/>
      <c r="EE122" s="421"/>
      <c r="EF122" s="419"/>
      <c r="EG122" s="421"/>
      <c r="EH122" s="424">
        <f t="shared" si="57"/>
        <v>0</v>
      </c>
      <c r="EI122" s="424">
        <f t="shared" si="58"/>
        <v>1</v>
      </c>
      <c r="EJ122" s="422">
        <f t="shared" si="59"/>
        <v>0</v>
      </c>
      <c r="EK122" s="425">
        <f t="shared" si="60"/>
        <v>0</v>
      </c>
      <c r="EL122" s="425">
        <f t="shared" si="61"/>
        <v>0</v>
      </c>
      <c r="EM122" s="423">
        <f t="shared" si="62"/>
        <v>0</v>
      </c>
      <c r="EN122" s="424">
        <f t="shared" si="63"/>
        <v>136</v>
      </c>
      <c r="EO122" s="425">
        <f t="shared" si="64"/>
        <v>147</v>
      </c>
      <c r="EP122" s="419"/>
      <c r="EQ122" s="421"/>
      <c r="ER122" s="419"/>
      <c r="ES122" s="421"/>
      <c r="ET122" s="419"/>
      <c r="EU122" s="421"/>
      <c r="EV122" s="419"/>
      <c r="EW122" s="421"/>
      <c r="EX122" s="419"/>
      <c r="EY122" s="421"/>
      <c r="EZ122" s="419"/>
      <c r="FA122" s="421"/>
      <c r="FB122" s="419"/>
      <c r="FC122" s="421"/>
      <c r="FD122" s="419"/>
      <c r="FE122" s="421"/>
      <c r="FF122" s="419"/>
      <c r="FG122" s="421"/>
      <c r="FH122" s="419"/>
      <c r="FI122" s="421"/>
      <c r="FJ122" s="424">
        <f t="shared" si="65"/>
        <v>0</v>
      </c>
      <c r="FK122" s="425">
        <f t="shared" si="66"/>
        <v>0</v>
      </c>
      <c r="FL122" s="419"/>
      <c r="FM122" s="421"/>
      <c r="FN122" s="424">
        <f t="shared" si="67"/>
        <v>1206</v>
      </c>
      <c r="FO122" s="425">
        <f t="shared" si="68"/>
        <v>1224</v>
      </c>
    </row>
    <row r="123" spans="1:171">
      <c r="A123" s="305" t="s">
        <v>157</v>
      </c>
      <c r="B123" s="36" t="s">
        <v>645</v>
      </c>
      <c r="C123" s="259" t="s">
        <v>505</v>
      </c>
      <c r="D123" s="446">
        <v>139366</v>
      </c>
      <c r="E123" s="34">
        <v>4</v>
      </c>
      <c r="F123" s="304">
        <v>106</v>
      </c>
      <c r="G123" s="420">
        <v>137</v>
      </c>
      <c r="H123" s="419"/>
      <c r="I123" s="421"/>
      <c r="J123" s="419">
        <v>35</v>
      </c>
      <c r="K123" s="421">
        <v>40</v>
      </c>
      <c r="L123" s="422">
        <f t="shared" si="47"/>
        <v>3.3333333333333333E-2</v>
      </c>
      <c r="M123" s="423">
        <f t="shared" si="48"/>
        <v>3.3783783783783786E-2</v>
      </c>
      <c r="N123" s="419">
        <v>1050</v>
      </c>
      <c r="O123" s="309">
        <f>0</f>
        <v>0</v>
      </c>
      <c r="P123" s="309">
        <f>0</f>
        <v>0</v>
      </c>
      <c r="Q123" s="309">
        <f>0</f>
        <v>0</v>
      </c>
      <c r="R123" s="424">
        <f t="shared" si="45"/>
        <v>0</v>
      </c>
      <c r="S123" s="421">
        <v>1184</v>
      </c>
      <c r="T123" s="301">
        <f>0</f>
        <v>0</v>
      </c>
      <c r="U123" s="301">
        <f>0</f>
        <v>0</v>
      </c>
      <c r="V123" s="301">
        <f>0</f>
        <v>0</v>
      </c>
      <c r="W123" s="425">
        <f t="shared" si="46"/>
        <v>0</v>
      </c>
      <c r="X123" s="447"/>
      <c r="Y123" s="419"/>
      <c r="Z123" s="448"/>
      <c r="AA123" s="421"/>
      <c r="AB123" s="447"/>
      <c r="AC123" s="419"/>
      <c r="AD123" s="448"/>
      <c r="AE123" s="421"/>
      <c r="AF123" s="447"/>
      <c r="AG123" s="419"/>
      <c r="AH123" s="448"/>
      <c r="AI123" s="421"/>
      <c r="AJ123" s="447"/>
      <c r="AK123" s="419"/>
      <c r="AL123" s="448"/>
      <c r="AM123" s="421"/>
      <c r="AN123" s="447"/>
      <c r="AO123" s="419"/>
      <c r="AP123" s="448"/>
      <c r="AQ123" s="421"/>
      <c r="AR123" s="424">
        <f t="shared" si="49"/>
        <v>0</v>
      </c>
      <c r="AS123" s="422">
        <f t="shared" si="50"/>
        <v>0.58463251670378624</v>
      </c>
      <c r="AT123" s="425">
        <f t="shared" si="51"/>
        <v>0</v>
      </c>
      <c r="AU123" s="423">
        <f t="shared" si="52"/>
        <v>0.61474558670820356</v>
      </c>
      <c r="AV123" s="419">
        <v>12</v>
      </c>
      <c r="AW123" s="420">
        <v>18</v>
      </c>
      <c r="AX123" s="447" t="s">
        <v>611</v>
      </c>
      <c r="AY123" s="419">
        <v>268</v>
      </c>
      <c r="AZ123" s="448" t="s">
        <v>611</v>
      </c>
      <c r="BA123" s="420">
        <v>205</v>
      </c>
      <c r="BB123" s="447" t="s">
        <v>610</v>
      </c>
      <c r="BC123" s="419">
        <v>82</v>
      </c>
      <c r="BD123" s="448" t="s">
        <v>612</v>
      </c>
      <c r="BE123" s="420">
        <v>112</v>
      </c>
      <c r="BF123" s="447" t="s">
        <v>641</v>
      </c>
      <c r="BG123" s="419">
        <v>73</v>
      </c>
      <c r="BH123" s="448" t="s">
        <v>610</v>
      </c>
      <c r="BI123" s="421">
        <v>69</v>
      </c>
      <c r="BJ123" s="447" t="s">
        <v>612</v>
      </c>
      <c r="BK123" s="419">
        <v>68</v>
      </c>
      <c r="BL123" s="448" t="s">
        <v>641</v>
      </c>
      <c r="BM123" s="421">
        <v>58</v>
      </c>
      <c r="BN123" s="447" t="s">
        <v>613</v>
      </c>
      <c r="BO123" s="419">
        <v>35</v>
      </c>
      <c r="BP123" s="448" t="s">
        <v>613</v>
      </c>
      <c r="BQ123" s="421">
        <v>35</v>
      </c>
      <c r="BR123" s="447" t="s">
        <v>616</v>
      </c>
      <c r="BS123" s="419">
        <v>30</v>
      </c>
      <c r="BT123" s="448" t="s">
        <v>616</v>
      </c>
      <c r="BU123" s="420">
        <v>22</v>
      </c>
      <c r="BV123" s="447" t="s">
        <v>620</v>
      </c>
      <c r="BW123" s="419">
        <v>9</v>
      </c>
      <c r="BX123" s="448" t="s">
        <v>620</v>
      </c>
      <c r="BY123" s="420">
        <v>17</v>
      </c>
      <c r="BZ123" s="447" t="s">
        <v>626</v>
      </c>
      <c r="CA123" s="419">
        <v>7</v>
      </c>
      <c r="CB123" s="448" t="s">
        <v>626</v>
      </c>
      <c r="CC123" s="420">
        <v>9</v>
      </c>
      <c r="CD123" s="447" t="s">
        <v>625</v>
      </c>
      <c r="CE123" s="419">
        <v>3</v>
      </c>
      <c r="CF123" s="448" t="s">
        <v>625</v>
      </c>
      <c r="CG123" s="420">
        <v>7</v>
      </c>
      <c r="CH123" s="447" t="s">
        <v>631</v>
      </c>
      <c r="CI123" s="419">
        <v>1</v>
      </c>
      <c r="CJ123" s="448"/>
      <c r="CK123" s="420"/>
      <c r="CL123" s="419"/>
      <c r="CM123" s="421"/>
      <c r="CN123" s="424">
        <f t="shared" si="53"/>
        <v>576</v>
      </c>
      <c r="CO123" s="424">
        <f t="shared" si="54"/>
        <v>10</v>
      </c>
      <c r="CP123" s="425">
        <f t="shared" si="55"/>
        <v>534</v>
      </c>
      <c r="CQ123" s="425">
        <f t="shared" si="56"/>
        <v>9</v>
      </c>
      <c r="CR123" s="447" t="s">
        <v>611</v>
      </c>
      <c r="CS123" s="419">
        <v>17</v>
      </c>
      <c r="CT123" s="448" t="s">
        <v>611</v>
      </c>
      <c r="CU123" s="420">
        <v>13</v>
      </c>
      <c r="CV123" s="447"/>
      <c r="CW123" s="419"/>
      <c r="CX123" s="448"/>
      <c r="CY123" s="421"/>
      <c r="CZ123" s="447"/>
      <c r="DA123" s="419"/>
      <c r="DB123" s="448"/>
      <c r="DC123" s="421"/>
      <c r="DD123" s="447"/>
      <c r="DE123" s="419"/>
      <c r="DF123" s="448"/>
      <c r="DG123" s="421"/>
      <c r="DH123" s="447"/>
      <c r="DI123" s="419"/>
      <c r="DJ123" s="448"/>
      <c r="DK123" s="421"/>
      <c r="DL123" s="447"/>
      <c r="DM123" s="419"/>
      <c r="DN123" s="448"/>
      <c r="DO123" s="421"/>
      <c r="DP123" s="447"/>
      <c r="DQ123" s="419"/>
      <c r="DR123" s="448"/>
      <c r="DS123" s="421"/>
      <c r="DT123" s="447"/>
      <c r="DU123" s="419"/>
      <c r="DV123" s="448"/>
      <c r="DW123" s="421"/>
      <c r="DX123" s="447"/>
      <c r="DY123" s="419"/>
      <c r="DZ123" s="448"/>
      <c r="EA123" s="421"/>
      <c r="EB123" s="447"/>
      <c r="EC123" s="419"/>
      <c r="ED123" s="448"/>
      <c r="EE123" s="421"/>
      <c r="EF123" s="419"/>
      <c r="EG123" s="421"/>
      <c r="EH123" s="424">
        <f t="shared" si="57"/>
        <v>17</v>
      </c>
      <c r="EI123" s="424">
        <f t="shared" si="58"/>
        <v>1</v>
      </c>
      <c r="EJ123" s="422">
        <f t="shared" si="59"/>
        <v>1</v>
      </c>
      <c r="EK123" s="425">
        <f t="shared" si="60"/>
        <v>13</v>
      </c>
      <c r="EL123" s="425">
        <f t="shared" si="61"/>
        <v>1</v>
      </c>
      <c r="EM123" s="423">
        <f t="shared" si="62"/>
        <v>1</v>
      </c>
      <c r="EN123" s="424">
        <f t="shared" si="63"/>
        <v>593</v>
      </c>
      <c r="EO123" s="425">
        <f t="shared" si="64"/>
        <v>547</v>
      </c>
      <c r="EP123" s="419"/>
      <c r="EQ123" s="421"/>
      <c r="ER123" s="419"/>
      <c r="ES123" s="421"/>
      <c r="ET123" s="419"/>
      <c r="EU123" s="421"/>
      <c r="EV123" s="419"/>
      <c r="EW123" s="421"/>
      <c r="EX123" s="419"/>
      <c r="EY123" s="421"/>
      <c r="EZ123" s="419"/>
      <c r="FA123" s="421"/>
      <c r="FB123" s="419"/>
      <c r="FC123" s="421"/>
      <c r="FD123" s="419"/>
      <c r="FE123" s="421"/>
      <c r="FF123" s="419"/>
      <c r="FG123" s="421"/>
      <c r="FH123" s="419"/>
      <c r="FI123" s="421"/>
      <c r="FJ123" s="424">
        <f t="shared" si="65"/>
        <v>0</v>
      </c>
      <c r="FK123" s="425">
        <f t="shared" si="66"/>
        <v>0</v>
      </c>
      <c r="FL123" s="419"/>
      <c r="FM123" s="421"/>
      <c r="FN123" s="424">
        <f t="shared" si="67"/>
        <v>1796</v>
      </c>
      <c r="FO123" s="425">
        <f t="shared" si="68"/>
        <v>1926</v>
      </c>
    </row>
    <row r="124" spans="1:171">
      <c r="A124" s="305" t="s">
        <v>157</v>
      </c>
      <c r="B124" s="36" t="s">
        <v>646</v>
      </c>
      <c r="C124" s="484" t="s">
        <v>1195</v>
      </c>
      <c r="D124" s="446">
        <v>139719</v>
      </c>
      <c r="E124" s="485">
        <v>5</v>
      </c>
      <c r="F124" s="304">
        <v>0</v>
      </c>
      <c r="G124" s="421">
        <v>0</v>
      </c>
      <c r="H124" s="419"/>
      <c r="I124" s="421"/>
      <c r="J124" s="419">
        <v>0</v>
      </c>
      <c r="K124" s="421">
        <v>0</v>
      </c>
      <c r="L124" s="422">
        <f t="shared" si="47"/>
        <v>0</v>
      </c>
      <c r="M124" s="423">
        <f t="shared" si="48"/>
        <v>0</v>
      </c>
      <c r="N124" s="419">
        <v>331</v>
      </c>
      <c r="O124" s="309">
        <f>0</f>
        <v>0</v>
      </c>
      <c r="P124" s="309">
        <f>0</f>
        <v>0</v>
      </c>
      <c r="Q124" s="309">
        <f>0</f>
        <v>0</v>
      </c>
      <c r="R124" s="424">
        <f t="shared" si="45"/>
        <v>0</v>
      </c>
      <c r="S124" s="421">
        <v>362</v>
      </c>
      <c r="T124" s="301">
        <f>0</f>
        <v>0</v>
      </c>
      <c r="U124" s="301">
        <f>0</f>
        <v>0</v>
      </c>
      <c r="V124" s="301">
        <f>0</f>
        <v>0</v>
      </c>
      <c r="W124" s="425">
        <f t="shared" si="46"/>
        <v>0</v>
      </c>
      <c r="X124" s="447"/>
      <c r="Y124" s="419"/>
      <c r="Z124" s="448"/>
      <c r="AA124" s="421"/>
      <c r="AB124" s="447"/>
      <c r="AC124" s="419"/>
      <c r="AD124" s="448"/>
      <c r="AE124" s="421"/>
      <c r="AF124" s="447"/>
      <c r="AG124" s="419"/>
      <c r="AH124" s="448"/>
      <c r="AI124" s="421"/>
      <c r="AJ124" s="447"/>
      <c r="AK124" s="419"/>
      <c r="AL124" s="448"/>
      <c r="AM124" s="421"/>
      <c r="AN124" s="447"/>
      <c r="AO124" s="419"/>
      <c r="AP124" s="448"/>
      <c r="AQ124" s="421"/>
      <c r="AR124" s="424">
        <f t="shared" si="49"/>
        <v>0</v>
      </c>
      <c r="AS124" s="422">
        <f t="shared" si="50"/>
        <v>0.75570776255707761</v>
      </c>
      <c r="AT124" s="425">
        <f t="shared" si="51"/>
        <v>0</v>
      </c>
      <c r="AU124" s="423">
        <f t="shared" si="52"/>
        <v>0.79735682819383258</v>
      </c>
      <c r="AV124" s="419">
        <v>0</v>
      </c>
      <c r="AW124" s="421">
        <v>0</v>
      </c>
      <c r="AX124" s="447" t="s">
        <v>612</v>
      </c>
      <c r="AY124" s="419">
        <v>73</v>
      </c>
      <c r="AZ124" s="448" t="s">
        <v>612</v>
      </c>
      <c r="BA124" s="421">
        <v>68</v>
      </c>
      <c r="BB124" s="447" t="s">
        <v>611</v>
      </c>
      <c r="BC124" s="419">
        <v>18</v>
      </c>
      <c r="BD124" s="448" t="s">
        <v>611</v>
      </c>
      <c r="BE124" s="421">
        <v>21</v>
      </c>
      <c r="BF124" s="447" t="s">
        <v>615</v>
      </c>
      <c r="BG124" s="419">
        <v>11</v>
      </c>
      <c r="BH124" s="448" t="s">
        <v>624</v>
      </c>
      <c r="BI124" s="420">
        <v>2</v>
      </c>
      <c r="BJ124" s="447" t="s">
        <v>624</v>
      </c>
      <c r="BK124" s="419">
        <v>5</v>
      </c>
      <c r="BL124" s="448" t="s">
        <v>615</v>
      </c>
      <c r="BM124" s="420">
        <v>1</v>
      </c>
      <c r="BN124" s="447"/>
      <c r="BO124" s="419"/>
      <c r="BP124" s="448"/>
      <c r="BQ124" s="421"/>
      <c r="BR124" s="447"/>
      <c r="BS124" s="419"/>
      <c r="BT124" s="448"/>
      <c r="BU124" s="421"/>
      <c r="BV124" s="447"/>
      <c r="BW124" s="419"/>
      <c r="BX124" s="448"/>
      <c r="BY124" s="421"/>
      <c r="BZ124" s="447"/>
      <c r="CA124" s="419"/>
      <c r="CB124" s="448"/>
      <c r="CC124" s="421"/>
      <c r="CD124" s="447"/>
      <c r="CE124" s="419"/>
      <c r="CF124" s="448"/>
      <c r="CG124" s="421"/>
      <c r="CH124" s="447"/>
      <c r="CI124" s="419"/>
      <c r="CJ124" s="448"/>
      <c r="CK124" s="421"/>
      <c r="CL124" s="419"/>
      <c r="CM124" s="421"/>
      <c r="CN124" s="424">
        <f t="shared" si="53"/>
        <v>107</v>
      </c>
      <c r="CO124" s="424">
        <f t="shared" si="54"/>
        <v>4</v>
      </c>
      <c r="CP124" s="425">
        <f t="shared" si="55"/>
        <v>92</v>
      </c>
      <c r="CQ124" s="425">
        <f t="shared" si="56"/>
        <v>4</v>
      </c>
      <c r="CR124" s="447" t="s">
        <v>612</v>
      </c>
      <c r="CS124" s="419">
        <v>0</v>
      </c>
      <c r="CT124" s="448"/>
      <c r="CU124" s="421"/>
      <c r="CV124" s="447"/>
      <c r="CW124" s="419"/>
      <c r="CX124" s="448"/>
      <c r="CY124" s="421"/>
      <c r="CZ124" s="447"/>
      <c r="DA124" s="419"/>
      <c r="DB124" s="448"/>
      <c r="DC124" s="421"/>
      <c r="DD124" s="447"/>
      <c r="DE124" s="419"/>
      <c r="DF124" s="448"/>
      <c r="DG124" s="421"/>
      <c r="DH124" s="447"/>
      <c r="DI124" s="419"/>
      <c r="DJ124" s="448"/>
      <c r="DK124" s="421"/>
      <c r="DL124" s="447"/>
      <c r="DM124" s="419"/>
      <c r="DN124" s="448"/>
      <c r="DO124" s="421"/>
      <c r="DP124" s="447"/>
      <c r="DQ124" s="419"/>
      <c r="DR124" s="448"/>
      <c r="DS124" s="421"/>
      <c r="DT124" s="447"/>
      <c r="DU124" s="419"/>
      <c r="DV124" s="448"/>
      <c r="DW124" s="421"/>
      <c r="DX124" s="447"/>
      <c r="DY124" s="419"/>
      <c r="DZ124" s="448"/>
      <c r="EA124" s="421"/>
      <c r="EB124" s="447"/>
      <c r="EC124" s="419"/>
      <c r="ED124" s="448"/>
      <c r="EE124" s="421"/>
      <c r="EF124" s="419"/>
      <c r="EG124" s="421"/>
      <c r="EH124" s="424">
        <f t="shared" si="57"/>
        <v>0</v>
      </c>
      <c r="EI124" s="424">
        <f t="shared" si="58"/>
        <v>1</v>
      </c>
      <c r="EJ124" s="422">
        <f t="shared" si="59"/>
        <v>0</v>
      </c>
      <c r="EK124" s="425">
        <f t="shared" si="60"/>
        <v>0</v>
      </c>
      <c r="EL124" s="425">
        <f t="shared" si="61"/>
        <v>0</v>
      </c>
      <c r="EM124" s="423">
        <f t="shared" si="62"/>
        <v>0</v>
      </c>
      <c r="EN124" s="424">
        <f t="shared" si="63"/>
        <v>107</v>
      </c>
      <c r="EO124" s="425">
        <f t="shared" si="64"/>
        <v>92</v>
      </c>
      <c r="EP124" s="419"/>
      <c r="EQ124" s="421"/>
      <c r="ER124" s="419"/>
      <c r="ES124" s="421"/>
      <c r="ET124" s="419"/>
      <c r="EU124" s="421"/>
      <c r="EV124" s="419"/>
      <c r="EW124" s="421"/>
      <c r="EX124" s="419"/>
      <c r="EY124" s="421"/>
      <c r="EZ124" s="419"/>
      <c r="FA124" s="421"/>
      <c r="FB124" s="419"/>
      <c r="FC124" s="421"/>
      <c r="FD124" s="419"/>
      <c r="FE124" s="421"/>
      <c r="FF124" s="419"/>
      <c r="FG124" s="421"/>
      <c r="FH124" s="419"/>
      <c r="FI124" s="421"/>
      <c r="FJ124" s="424">
        <f t="shared" si="65"/>
        <v>0</v>
      </c>
      <c r="FK124" s="425">
        <f t="shared" si="66"/>
        <v>0</v>
      </c>
      <c r="FL124" s="419"/>
      <c r="FM124" s="421"/>
      <c r="FN124" s="424">
        <f t="shared" si="67"/>
        <v>438</v>
      </c>
      <c r="FO124" s="425">
        <f t="shared" si="68"/>
        <v>454</v>
      </c>
    </row>
    <row r="125" spans="1:171">
      <c r="A125" s="305" t="s">
        <v>157</v>
      </c>
      <c r="B125" s="36" t="s">
        <v>647</v>
      </c>
      <c r="C125" s="35"/>
      <c r="D125" s="446">
        <v>139861</v>
      </c>
      <c r="E125" s="34">
        <v>4</v>
      </c>
      <c r="F125" s="304">
        <v>10</v>
      </c>
      <c r="G125" s="420">
        <v>13</v>
      </c>
      <c r="H125" s="419"/>
      <c r="I125" s="421"/>
      <c r="J125" s="419">
        <v>0</v>
      </c>
      <c r="K125" s="421">
        <v>0</v>
      </c>
      <c r="L125" s="422">
        <f t="shared" si="47"/>
        <v>0</v>
      </c>
      <c r="M125" s="423">
        <f t="shared" si="48"/>
        <v>0</v>
      </c>
      <c r="N125" s="419">
        <v>1304</v>
      </c>
      <c r="O125" s="309">
        <f>0</f>
        <v>0</v>
      </c>
      <c r="P125" s="309">
        <f>0</f>
        <v>0</v>
      </c>
      <c r="Q125" s="309">
        <f>0</f>
        <v>0</v>
      </c>
      <c r="R125" s="424">
        <f t="shared" si="45"/>
        <v>0</v>
      </c>
      <c r="S125" s="421">
        <v>1315</v>
      </c>
      <c r="T125" s="301">
        <f>0</f>
        <v>0</v>
      </c>
      <c r="U125" s="301">
        <f>0</f>
        <v>0</v>
      </c>
      <c r="V125" s="301">
        <f>0</f>
        <v>0</v>
      </c>
      <c r="W125" s="425">
        <f t="shared" si="46"/>
        <v>0</v>
      </c>
      <c r="X125" s="447"/>
      <c r="Y125" s="419"/>
      <c r="Z125" s="448"/>
      <c r="AA125" s="421"/>
      <c r="AB125" s="447"/>
      <c r="AC125" s="419"/>
      <c r="AD125" s="448"/>
      <c r="AE125" s="421"/>
      <c r="AF125" s="447"/>
      <c r="AG125" s="419"/>
      <c r="AH125" s="448"/>
      <c r="AI125" s="421"/>
      <c r="AJ125" s="447"/>
      <c r="AK125" s="419"/>
      <c r="AL125" s="448"/>
      <c r="AM125" s="421"/>
      <c r="AN125" s="447"/>
      <c r="AO125" s="419"/>
      <c r="AP125" s="448"/>
      <c r="AQ125" s="421"/>
      <c r="AR125" s="424">
        <f t="shared" si="49"/>
        <v>0</v>
      </c>
      <c r="AS125" s="422">
        <f t="shared" si="50"/>
        <v>0.72646239554317549</v>
      </c>
      <c r="AT125" s="425">
        <f t="shared" si="51"/>
        <v>0</v>
      </c>
      <c r="AU125" s="423">
        <f t="shared" si="52"/>
        <v>0.69503171247357298</v>
      </c>
      <c r="AV125" s="419">
        <v>10</v>
      </c>
      <c r="AW125" s="421">
        <v>12</v>
      </c>
      <c r="AX125" s="447" t="s">
        <v>611</v>
      </c>
      <c r="AY125" s="419">
        <v>242</v>
      </c>
      <c r="AZ125" s="448" t="s">
        <v>611</v>
      </c>
      <c r="BA125" s="421">
        <v>287</v>
      </c>
      <c r="BB125" s="447" t="s">
        <v>610</v>
      </c>
      <c r="BC125" s="419">
        <v>121</v>
      </c>
      <c r="BD125" s="448" t="s">
        <v>610</v>
      </c>
      <c r="BE125" s="421">
        <v>114</v>
      </c>
      <c r="BF125" s="447" t="s">
        <v>612</v>
      </c>
      <c r="BG125" s="419">
        <v>53</v>
      </c>
      <c r="BH125" s="448" t="s">
        <v>612</v>
      </c>
      <c r="BI125" s="420">
        <v>74</v>
      </c>
      <c r="BJ125" s="447" t="s">
        <v>614</v>
      </c>
      <c r="BK125" s="419">
        <v>19</v>
      </c>
      <c r="BL125" s="448" t="s">
        <v>614</v>
      </c>
      <c r="BM125" s="420">
        <v>30</v>
      </c>
      <c r="BN125" s="447" t="s">
        <v>621</v>
      </c>
      <c r="BO125" s="419">
        <v>13</v>
      </c>
      <c r="BP125" s="448" t="s">
        <v>621</v>
      </c>
      <c r="BQ125" s="421">
        <v>14</v>
      </c>
      <c r="BR125" s="447" t="s">
        <v>615</v>
      </c>
      <c r="BS125" s="419">
        <v>7</v>
      </c>
      <c r="BT125" s="448" t="s">
        <v>615</v>
      </c>
      <c r="BU125" s="420">
        <v>13</v>
      </c>
      <c r="BV125" s="447" t="s">
        <v>641</v>
      </c>
      <c r="BW125" s="419">
        <v>6</v>
      </c>
      <c r="BX125" s="448" t="s">
        <v>641</v>
      </c>
      <c r="BY125" s="421">
        <v>6</v>
      </c>
      <c r="BZ125" s="447" t="s">
        <v>631</v>
      </c>
      <c r="CA125" s="419">
        <v>2</v>
      </c>
      <c r="CB125" s="448"/>
      <c r="CC125" s="420"/>
      <c r="CD125" s="447"/>
      <c r="CE125" s="419"/>
      <c r="CF125" s="448"/>
      <c r="CG125" s="421"/>
      <c r="CH125" s="447"/>
      <c r="CI125" s="419"/>
      <c r="CJ125" s="448"/>
      <c r="CK125" s="421"/>
      <c r="CL125" s="419"/>
      <c r="CM125" s="421"/>
      <c r="CN125" s="424">
        <f t="shared" si="53"/>
        <v>463</v>
      </c>
      <c r="CO125" s="424">
        <f t="shared" si="54"/>
        <v>8</v>
      </c>
      <c r="CP125" s="425">
        <f t="shared" si="55"/>
        <v>538</v>
      </c>
      <c r="CQ125" s="425">
        <f t="shared" si="56"/>
        <v>7</v>
      </c>
      <c r="CR125" s="447" t="s">
        <v>612</v>
      </c>
      <c r="CS125" s="419">
        <v>8</v>
      </c>
      <c r="CT125" s="448" t="s">
        <v>612</v>
      </c>
      <c r="CU125" s="420">
        <v>14</v>
      </c>
      <c r="CV125" s="447"/>
      <c r="CW125" s="419"/>
      <c r="CX125" s="448"/>
      <c r="CY125" s="421"/>
      <c r="CZ125" s="447"/>
      <c r="DA125" s="419"/>
      <c r="DB125" s="448"/>
      <c r="DC125" s="421"/>
      <c r="DD125" s="447"/>
      <c r="DE125" s="419"/>
      <c r="DF125" s="448"/>
      <c r="DG125" s="421"/>
      <c r="DH125" s="447"/>
      <c r="DI125" s="419"/>
      <c r="DJ125" s="448"/>
      <c r="DK125" s="421"/>
      <c r="DL125" s="447"/>
      <c r="DM125" s="419"/>
      <c r="DN125" s="448"/>
      <c r="DO125" s="421"/>
      <c r="DP125" s="447"/>
      <c r="DQ125" s="419"/>
      <c r="DR125" s="448"/>
      <c r="DS125" s="421"/>
      <c r="DT125" s="447"/>
      <c r="DU125" s="419"/>
      <c r="DV125" s="448"/>
      <c r="DW125" s="421"/>
      <c r="DX125" s="447"/>
      <c r="DY125" s="419"/>
      <c r="DZ125" s="448"/>
      <c r="EA125" s="421"/>
      <c r="EB125" s="447"/>
      <c r="EC125" s="419"/>
      <c r="ED125" s="448"/>
      <c r="EE125" s="421"/>
      <c r="EF125" s="419"/>
      <c r="EG125" s="421"/>
      <c r="EH125" s="424">
        <f t="shared" si="57"/>
        <v>8</v>
      </c>
      <c r="EI125" s="424">
        <f t="shared" si="58"/>
        <v>1</v>
      </c>
      <c r="EJ125" s="422">
        <f t="shared" si="59"/>
        <v>1</v>
      </c>
      <c r="EK125" s="425">
        <f t="shared" si="60"/>
        <v>14</v>
      </c>
      <c r="EL125" s="425">
        <f t="shared" si="61"/>
        <v>1</v>
      </c>
      <c r="EM125" s="423">
        <f t="shared" si="62"/>
        <v>1</v>
      </c>
      <c r="EN125" s="424">
        <f t="shared" si="63"/>
        <v>471</v>
      </c>
      <c r="EO125" s="425">
        <f t="shared" si="64"/>
        <v>552</v>
      </c>
      <c r="EP125" s="419"/>
      <c r="EQ125" s="421"/>
      <c r="ER125" s="419"/>
      <c r="ES125" s="421"/>
      <c r="ET125" s="419"/>
      <c r="EU125" s="421"/>
      <c r="EV125" s="419"/>
      <c r="EW125" s="421"/>
      <c r="EX125" s="419"/>
      <c r="EY125" s="421"/>
      <c r="EZ125" s="419"/>
      <c r="FA125" s="421"/>
      <c r="FB125" s="419"/>
      <c r="FC125" s="421"/>
      <c r="FD125" s="419"/>
      <c r="FE125" s="421"/>
      <c r="FF125" s="419"/>
      <c r="FG125" s="421"/>
      <c r="FH125" s="419"/>
      <c r="FI125" s="421"/>
      <c r="FJ125" s="424">
        <f t="shared" si="65"/>
        <v>0</v>
      </c>
      <c r="FK125" s="425">
        <f t="shared" si="66"/>
        <v>0</v>
      </c>
      <c r="FL125" s="419"/>
      <c r="FM125" s="421"/>
      <c r="FN125" s="424">
        <f t="shared" si="67"/>
        <v>1795</v>
      </c>
      <c r="FO125" s="425">
        <f t="shared" si="68"/>
        <v>1892</v>
      </c>
    </row>
    <row r="126" spans="1:171">
      <c r="A126" s="305" t="s">
        <v>157</v>
      </c>
      <c r="B126" s="36" t="s">
        <v>648</v>
      </c>
      <c r="C126" s="259" t="s">
        <v>516</v>
      </c>
      <c r="D126" s="446">
        <v>139764</v>
      </c>
      <c r="E126" s="34">
        <v>4</v>
      </c>
      <c r="F126" s="304">
        <v>9</v>
      </c>
      <c r="G126" s="420">
        <v>3</v>
      </c>
      <c r="H126" s="419"/>
      <c r="I126" s="421"/>
      <c r="J126" s="419">
        <v>0</v>
      </c>
      <c r="K126" s="421">
        <v>0</v>
      </c>
      <c r="L126" s="422">
        <f t="shared" si="47"/>
        <v>0</v>
      </c>
      <c r="M126" s="423">
        <f t="shared" si="48"/>
        <v>0</v>
      </c>
      <c r="N126" s="419">
        <v>431</v>
      </c>
      <c r="O126" s="309">
        <f>0</f>
        <v>0</v>
      </c>
      <c r="P126" s="309">
        <f>0</f>
        <v>0</v>
      </c>
      <c r="Q126" s="309">
        <f>0</f>
        <v>0</v>
      </c>
      <c r="R126" s="424">
        <f t="shared" si="45"/>
        <v>0</v>
      </c>
      <c r="S126" s="421">
        <v>404</v>
      </c>
      <c r="T126" s="301">
        <f>0</f>
        <v>0</v>
      </c>
      <c r="U126" s="301">
        <f>0</f>
        <v>0</v>
      </c>
      <c r="V126" s="301">
        <f>0</f>
        <v>0</v>
      </c>
      <c r="W126" s="425">
        <f t="shared" si="46"/>
        <v>0</v>
      </c>
      <c r="X126" s="447"/>
      <c r="Y126" s="419"/>
      <c r="Z126" s="448"/>
      <c r="AA126" s="421"/>
      <c r="AB126" s="447"/>
      <c r="AC126" s="419"/>
      <c r="AD126" s="448"/>
      <c r="AE126" s="421"/>
      <c r="AF126" s="447"/>
      <c r="AG126" s="419"/>
      <c r="AH126" s="448"/>
      <c r="AI126" s="421"/>
      <c r="AJ126" s="447"/>
      <c r="AK126" s="419"/>
      <c r="AL126" s="448"/>
      <c r="AM126" s="421"/>
      <c r="AN126" s="447"/>
      <c r="AO126" s="419"/>
      <c r="AP126" s="448"/>
      <c r="AQ126" s="421"/>
      <c r="AR126" s="424">
        <f t="shared" si="49"/>
        <v>0</v>
      </c>
      <c r="AS126" s="422">
        <f t="shared" si="50"/>
        <v>0.58799454297407916</v>
      </c>
      <c r="AT126" s="425">
        <f t="shared" si="51"/>
        <v>0</v>
      </c>
      <c r="AU126" s="423">
        <f t="shared" si="52"/>
        <v>0.57714285714285718</v>
      </c>
      <c r="AV126" s="419">
        <v>0</v>
      </c>
      <c r="AW126" s="420">
        <v>1</v>
      </c>
      <c r="AX126" s="447" t="s">
        <v>611</v>
      </c>
      <c r="AY126" s="419">
        <v>206</v>
      </c>
      <c r="AZ126" s="448" t="s">
        <v>611</v>
      </c>
      <c r="BA126" s="421">
        <v>223</v>
      </c>
      <c r="BB126" s="447" t="s">
        <v>612</v>
      </c>
      <c r="BC126" s="419">
        <v>53</v>
      </c>
      <c r="BD126" s="448" t="s">
        <v>612</v>
      </c>
      <c r="BE126" s="420">
        <v>41</v>
      </c>
      <c r="BF126" s="447" t="s">
        <v>610</v>
      </c>
      <c r="BG126" s="419">
        <v>30</v>
      </c>
      <c r="BH126" s="448" t="s">
        <v>610</v>
      </c>
      <c r="BI126" s="420">
        <v>22</v>
      </c>
      <c r="BJ126" s="447" t="s">
        <v>613</v>
      </c>
      <c r="BK126" s="419">
        <v>4</v>
      </c>
      <c r="BL126" s="448" t="s">
        <v>613</v>
      </c>
      <c r="BM126" s="420">
        <v>5</v>
      </c>
      <c r="BN126" s="447"/>
      <c r="BO126" s="419"/>
      <c r="BP126" s="448" t="s">
        <v>644</v>
      </c>
      <c r="BQ126" s="420">
        <v>1</v>
      </c>
      <c r="BR126" s="447"/>
      <c r="BS126" s="419"/>
      <c r="BT126" s="448"/>
      <c r="BU126" s="421"/>
      <c r="BV126" s="447"/>
      <c r="BW126" s="419"/>
      <c r="BX126" s="448"/>
      <c r="BY126" s="421"/>
      <c r="BZ126" s="447"/>
      <c r="CA126" s="419"/>
      <c r="CB126" s="448"/>
      <c r="CC126" s="421"/>
      <c r="CD126" s="447"/>
      <c r="CE126" s="419"/>
      <c r="CF126" s="448"/>
      <c r="CG126" s="421"/>
      <c r="CH126" s="447"/>
      <c r="CI126" s="419"/>
      <c r="CJ126" s="448"/>
      <c r="CK126" s="421"/>
      <c r="CL126" s="419"/>
      <c r="CM126" s="421"/>
      <c r="CN126" s="424">
        <f t="shared" si="53"/>
        <v>293</v>
      </c>
      <c r="CO126" s="424">
        <f t="shared" si="54"/>
        <v>4</v>
      </c>
      <c r="CP126" s="425">
        <f t="shared" si="55"/>
        <v>292</v>
      </c>
      <c r="CQ126" s="425">
        <f t="shared" si="56"/>
        <v>5</v>
      </c>
      <c r="CR126" s="447" t="s">
        <v>611</v>
      </c>
      <c r="CS126" s="419">
        <v>0</v>
      </c>
      <c r="CT126" s="448"/>
      <c r="CU126" s="421"/>
      <c r="CV126" s="447"/>
      <c r="CW126" s="419"/>
      <c r="CX126" s="448"/>
      <c r="CY126" s="421"/>
      <c r="CZ126" s="447"/>
      <c r="DA126" s="419"/>
      <c r="DB126" s="448"/>
      <c r="DC126" s="421"/>
      <c r="DD126" s="447"/>
      <c r="DE126" s="419"/>
      <c r="DF126" s="448"/>
      <c r="DG126" s="421"/>
      <c r="DH126" s="447"/>
      <c r="DI126" s="419"/>
      <c r="DJ126" s="448"/>
      <c r="DK126" s="421"/>
      <c r="DL126" s="447"/>
      <c r="DM126" s="419"/>
      <c r="DN126" s="448"/>
      <c r="DO126" s="421"/>
      <c r="DP126" s="447"/>
      <c r="DQ126" s="419"/>
      <c r="DR126" s="448"/>
      <c r="DS126" s="421"/>
      <c r="DT126" s="447"/>
      <c r="DU126" s="419"/>
      <c r="DV126" s="448"/>
      <c r="DW126" s="421"/>
      <c r="DX126" s="447"/>
      <c r="DY126" s="419"/>
      <c r="DZ126" s="448"/>
      <c r="EA126" s="421"/>
      <c r="EB126" s="447"/>
      <c r="EC126" s="419"/>
      <c r="ED126" s="448"/>
      <c r="EE126" s="421"/>
      <c r="EF126" s="419"/>
      <c r="EG126" s="421"/>
      <c r="EH126" s="424">
        <f t="shared" si="57"/>
        <v>0</v>
      </c>
      <c r="EI126" s="424">
        <f t="shared" si="58"/>
        <v>1</v>
      </c>
      <c r="EJ126" s="422">
        <f t="shared" si="59"/>
        <v>0</v>
      </c>
      <c r="EK126" s="425">
        <f t="shared" si="60"/>
        <v>0</v>
      </c>
      <c r="EL126" s="425">
        <f t="shared" si="61"/>
        <v>0</v>
      </c>
      <c r="EM126" s="423">
        <f t="shared" si="62"/>
        <v>0</v>
      </c>
      <c r="EN126" s="424">
        <f t="shared" si="63"/>
        <v>293</v>
      </c>
      <c r="EO126" s="425">
        <f t="shared" si="64"/>
        <v>292</v>
      </c>
      <c r="EP126" s="419"/>
      <c r="EQ126" s="421"/>
      <c r="ER126" s="419"/>
      <c r="ES126" s="421"/>
      <c r="ET126" s="419"/>
      <c r="EU126" s="421"/>
      <c r="EV126" s="419"/>
      <c r="EW126" s="421"/>
      <c r="EX126" s="419"/>
      <c r="EY126" s="421"/>
      <c r="EZ126" s="419"/>
      <c r="FA126" s="421"/>
      <c r="FB126" s="419"/>
      <c r="FC126" s="421"/>
      <c r="FD126" s="419"/>
      <c r="FE126" s="421"/>
      <c r="FF126" s="419"/>
      <c r="FG126" s="421"/>
      <c r="FH126" s="419"/>
      <c r="FI126" s="421"/>
      <c r="FJ126" s="424">
        <f t="shared" si="65"/>
        <v>0</v>
      </c>
      <c r="FK126" s="425">
        <f t="shared" si="66"/>
        <v>0</v>
      </c>
      <c r="FL126" s="419"/>
      <c r="FM126" s="421"/>
      <c r="FN126" s="424">
        <f t="shared" si="67"/>
        <v>733</v>
      </c>
      <c r="FO126" s="425">
        <f t="shared" si="68"/>
        <v>700</v>
      </c>
    </row>
    <row r="127" spans="1:171">
      <c r="A127" s="305" t="s">
        <v>157</v>
      </c>
      <c r="B127" s="36" t="s">
        <v>649</v>
      </c>
      <c r="C127" s="35"/>
      <c r="D127" s="34">
        <v>482680</v>
      </c>
      <c r="E127" s="34">
        <v>4</v>
      </c>
      <c r="F127" s="304">
        <v>78</v>
      </c>
      <c r="G127" s="421">
        <v>73</v>
      </c>
      <c r="H127" s="419"/>
      <c r="I127" s="421"/>
      <c r="J127" s="419">
        <v>928</v>
      </c>
      <c r="K127" s="421">
        <v>810</v>
      </c>
      <c r="L127" s="422">
        <f t="shared" si="47"/>
        <v>0.47250509164969451</v>
      </c>
      <c r="M127" s="423">
        <f t="shared" si="48"/>
        <v>0.3916827852998066</v>
      </c>
      <c r="N127" s="419">
        <v>1964</v>
      </c>
      <c r="O127" s="309">
        <f>0</f>
        <v>0</v>
      </c>
      <c r="P127" s="309">
        <f>0</f>
        <v>0</v>
      </c>
      <c r="Q127" s="309">
        <f>0</f>
        <v>0</v>
      </c>
      <c r="R127" s="424">
        <f t="shared" si="45"/>
        <v>0</v>
      </c>
      <c r="S127" s="421">
        <v>2068</v>
      </c>
      <c r="T127" s="301">
        <f>0</f>
        <v>0</v>
      </c>
      <c r="U127" s="301">
        <f>0</f>
        <v>0</v>
      </c>
      <c r="V127" s="301">
        <f>0</f>
        <v>0</v>
      </c>
      <c r="W127" s="425">
        <f t="shared" si="46"/>
        <v>0</v>
      </c>
      <c r="X127" s="447"/>
      <c r="Y127" s="419"/>
      <c r="Z127" s="448"/>
      <c r="AA127" s="421"/>
      <c r="AB127" s="447"/>
      <c r="AC127" s="419"/>
      <c r="AD127" s="448"/>
      <c r="AE127" s="421"/>
      <c r="AF127" s="447"/>
      <c r="AG127" s="419"/>
      <c r="AH127" s="448"/>
      <c r="AI127" s="421"/>
      <c r="AJ127" s="447"/>
      <c r="AK127" s="419"/>
      <c r="AL127" s="448"/>
      <c r="AM127" s="421"/>
      <c r="AN127" s="447"/>
      <c r="AO127" s="419"/>
      <c r="AP127" s="448"/>
      <c r="AQ127" s="421"/>
      <c r="AR127" s="424">
        <f t="shared" si="49"/>
        <v>0</v>
      </c>
      <c r="AS127" s="422">
        <f t="shared" si="50"/>
        <v>0.61126672891378775</v>
      </c>
      <c r="AT127" s="425">
        <f t="shared" si="51"/>
        <v>0</v>
      </c>
      <c r="AU127" s="423">
        <f t="shared" si="52"/>
        <v>0.6497015394282124</v>
      </c>
      <c r="AV127" s="419">
        <v>9</v>
      </c>
      <c r="AW127" s="420">
        <v>5</v>
      </c>
      <c r="AX127" s="447" t="s">
        <v>611</v>
      </c>
      <c r="AY127" s="419">
        <v>46</v>
      </c>
      <c r="AZ127" s="448" t="s">
        <v>610</v>
      </c>
      <c r="BA127" s="421">
        <v>40</v>
      </c>
      <c r="BB127" s="447" t="s">
        <v>610</v>
      </c>
      <c r="BC127" s="419">
        <v>44</v>
      </c>
      <c r="BD127" s="448" t="s">
        <v>612</v>
      </c>
      <c r="BE127" s="421">
        <v>36</v>
      </c>
      <c r="BF127" s="447" t="s">
        <v>625</v>
      </c>
      <c r="BG127" s="419">
        <v>41</v>
      </c>
      <c r="BH127" s="448" t="s">
        <v>625</v>
      </c>
      <c r="BI127" s="421">
        <v>36</v>
      </c>
      <c r="BJ127" s="447" t="s">
        <v>612</v>
      </c>
      <c r="BK127" s="419">
        <v>23</v>
      </c>
      <c r="BL127" s="448" t="s">
        <v>611</v>
      </c>
      <c r="BM127" s="420">
        <v>35</v>
      </c>
      <c r="BN127" s="447" t="s">
        <v>619</v>
      </c>
      <c r="BO127" s="419">
        <v>19</v>
      </c>
      <c r="BP127" s="448" t="s">
        <v>614</v>
      </c>
      <c r="BQ127" s="420">
        <v>14</v>
      </c>
      <c r="BR127" s="447" t="s">
        <v>616</v>
      </c>
      <c r="BS127" s="419">
        <v>12</v>
      </c>
      <c r="BT127" s="448" t="s">
        <v>619</v>
      </c>
      <c r="BU127" s="421">
        <v>13</v>
      </c>
      <c r="BV127" s="447" t="s">
        <v>641</v>
      </c>
      <c r="BW127" s="419">
        <v>9</v>
      </c>
      <c r="BX127" s="448" t="s">
        <v>616</v>
      </c>
      <c r="BY127" s="421">
        <v>8</v>
      </c>
      <c r="BZ127" s="447" t="s">
        <v>614</v>
      </c>
      <c r="CA127" s="419">
        <v>7</v>
      </c>
      <c r="CB127" s="448" t="s">
        <v>641</v>
      </c>
      <c r="CC127" s="421">
        <v>7</v>
      </c>
      <c r="CD127" s="447" t="s">
        <v>631</v>
      </c>
      <c r="CE127" s="419">
        <v>3</v>
      </c>
      <c r="CF127" s="448" t="s">
        <v>631</v>
      </c>
      <c r="CG127" s="421">
        <v>3</v>
      </c>
      <c r="CH127" s="447"/>
      <c r="CI127" s="419"/>
      <c r="CJ127" s="448"/>
      <c r="CK127" s="421"/>
      <c r="CL127" s="419"/>
      <c r="CM127" s="421"/>
      <c r="CN127" s="424">
        <f t="shared" si="53"/>
        <v>204</v>
      </c>
      <c r="CO127" s="424">
        <f t="shared" si="54"/>
        <v>9</v>
      </c>
      <c r="CP127" s="425">
        <f t="shared" si="55"/>
        <v>192</v>
      </c>
      <c r="CQ127" s="425">
        <f t="shared" si="56"/>
        <v>9</v>
      </c>
      <c r="CR127" s="447" t="s">
        <v>612</v>
      </c>
      <c r="CS127" s="419">
        <v>30</v>
      </c>
      <c r="CT127" s="448" t="s">
        <v>612</v>
      </c>
      <c r="CU127" s="421">
        <v>34</v>
      </c>
      <c r="CV127" s="447"/>
      <c r="CW127" s="419"/>
      <c r="CX127" s="448" t="s">
        <v>611</v>
      </c>
      <c r="CY127" s="420">
        <v>1</v>
      </c>
      <c r="CZ127" s="447"/>
      <c r="DA127" s="419"/>
      <c r="DB127" s="448"/>
      <c r="DC127" s="421"/>
      <c r="DD127" s="447"/>
      <c r="DE127" s="419"/>
      <c r="DF127" s="448"/>
      <c r="DG127" s="421"/>
      <c r="DH127" s="447"/>
      <c r="DI127" s="419"/>
      <c r="DJ127" s="448"/>
      <c r="DK127" s="421"/>
      <c r="DL127" s="447"/>
      <c r="DM127" s="419"/>
      <c r="DN127" s="448"/>
      <c r="DO127" s="421"/>
      <c r="DP127" s="447"/>
      <c r="DQ127" s="419"/>
      <c r="DR127" s="448"/>
      <c r="DS127" s="421"/>
      <c r="DT127" s="447"/>
      <c r="DU127" s="419"/>
      <c r="DV127" s="448"/>
      <c r="DW127" s="421"/>
      <c r="DX127" s="447"/>
      <c r="DY127" s="419"/>
      <c r="DZ127" s="448"/>
      <c r="EA127" s="421"/>
      <c r="EB127" s="447"/>
      <c r="EC127" s="419"/>
      <c r="ED127" s="448"/>
      <c r="EE127" s="421"/>
      <c r="EF127" s="419"/>
      <c r="EG127" s="421"/>
      <c r="EH127" s="424">
        <f t="shared" si="57"/>
        <v>30</v>
      </c>
      <c r="EI127" s="424">
        <f t="shared" si="58"/>
        <v>1</v>
      </c>
      <c r="EJ127" s="422">
        <f t="shared" si="59"/>
        <v>1</v>
      </c>
      <c r="EK127" s="425">
        <f t="shared" si="60"/>
        <v>35</v>
      </c>
      <c r="EL127" s="425">
        <f t="shared" si="61"/>
        <v>2</v>
      </c>
      <c r="EM127" s="423">
        <f t="shared" si="62"/>
        <v>0.97142857142857142</v>
      </c>
      <c r="EN127" s="424">
        <f t="shared" si="63"/>
        <v>234</v>
      </c>
      <c r="EO127" s="425">
        <f t="shared" si="64"/>
        <v>227</v>
      </c>
      <c r="EP127" s="419"/>
      <c r="EQ127" s="421"/>
      <c r="ER127" s="419"/>
      <c r="ES127" s="421"/>
      <c r="ET127" s="419"/>
      <c r="EU127" s="421"/>
      <c r="EV127" s="419"/>
      <c r="EW127" s="421"/>
      <c r="EX127" s="419"/>
      <c r="EY127" s="421"/>
      <c r="EZ127" s="419"/>
      <c r="FA127" s="421"/>
      <c r="FB127" s="419"/>
      <c r="FC127" s="421"/>
      <c r="FD127" s="419"/>
      <c r="FE127" s="421"/>
      <c r="FF127" s="419"/>
      <c r="FG127" s="421"/>
      <c r="FH127" s="419"/>
      <c r="FI127" s="421"/>
      <c r="FJ127" s="424">
        <f t="shared" si="65"/>
        <v>0</v>
      </c>
      <c r="FK127" s="425">
        <f t="shared" si="66"/>
        <v>0</v>
      </c>
      <c r="FL127" s="419"/>
      <c r="FM127" s="421"/>
      <c r="FN127" s="424">
        <f t="shared" si="67"/>
        <v>3213</v>
      </c>
      <c r="FO127" s="425">
        <f t="shared" si="68"/>
        <v>3183</v>
      </c>
    </row>
    <row r="128" spans="1:171">
      <c r="A128" s="305" t="s">
        <v>157</v>
      </c>
      <c r="B128" s="36" t="s">
        <v>650</v>
      </c>
      <c r="C128" s="259" t="s">
        <v>1206</v>
      </c>
      <c r="D128" s="446">
        <v>140960</v>
      </c>
      <c r="E128" s="34">
        <v>5</v>
      </c>
      <c r="F128" s="304">
        <v>0</v>
      </c>
      <c r="G128" s="421">
        <v>0</v>
      </c>
      <c r="H128" s="419"/>
      <c r="I128" s="421"/>
      <c r="J128" s="419">
        <v>55</v>
      </c>
      <c r="K128" s="420">
        <v>68</v>
      </c>
      <c r="L128" s="422">
        <f t="shared" si="47"/>
        <v>9.499136442141623E-2</v>
      </c>
      <c r="M128" s="423">
        <f t="shared" si="48"/>
        <v>0.12318840579710146</v>
      </c>
      <c r="N128" s="419">
        <v>579</v>
      </c>
      <c r="O128" s="309">
        <f>0</f>
        <v>0</v>
      </c>
      <c r="P128" s="309">
        <f>0</f>
        <v>0</v>
      </c>
      <c r="Q128" s="309">
        <f>0</f>
        <v>0</v>
      </c>
      <c r="R128" s="424">
        <f t="shared" si="45"/>
        <v>0</v>
      </c>
      <c r="S128" s="421">
        <v>552</v>
      </c>
      <c r="T128" s="301">
        <f>0</f>
        <v>0</v>
      </c>
      <c r="U128" s="301">
        <f>0</f>
        <v>0</v>
      </c>
      <c r="V128" s="301">
        <f>0</f>
        <v>0</v>
      </c>
      <c r="W128" s="425">
        <f t="shared" si="46"/>
        <v>0</v>
      </c>
      <c r="X128" s="447"/>
      <c r="Y128" s="419"/>
      <c r="Z128" s="448"/>
      <c r="AA128" s="421"/>
      <c r="AB128" s="447"/>
      <c r="AC128" s="419"/>
      <c r="AD128" s="448"/>
      <c r="AE128" s="421"/>
      <c r="AF128" s="447"/>
      <c r="AG128" s="419"/>
      <c r="AH128" s="448"/>
      <c r="AI128" s="421"/>
      <c r="AJ128" s="447"/>
      <c r="AK128" s="419"/>
      <c r="AL128" s="448"/>
      <c r="AM128" s="421"/>
      <c r="AN128" s="447"/>
      <c r="AO128" s="419"/>
      <c r="AP128" s="448"/>
      <c r="AQ128" s="421"/>
      <c r="AR128" s="424">
        <f t="shared" si="49"/>
        <v>0</v>
      </c>
      <c r="AS128" s="422">
        <f t="shared" si="50"/>
        <v>0.80865921787709494</v>
      </c>
      <c r="AT128" s="425">
        <f t="shared" si="51"/>
        <v>0</v>
      </c>
      <c r="AU128" s="423">
        <f t="shared" si="52"/>
        <v>0.79653679653679654</v>
      </c>
      <c r="AV128" s="419">
        <v>5</v>
      </c>
      <c r="AW128" s="420">
        <v>9</v>
      </c>
      <c r="AX128" s="447" t="s">
        <v>614</v>
      </c>
      <c r="AY128" s="419">
        <v>43</v>
      </c>
      <c r="AZ128" s="448" t="s">
        <v>614</v>
      </c>
      <c r="BA128" s="421">
        <v>35</v>
      </c>
      <c r="BB128" s="447" t="s">
        <v>610</v>
      </c>
      <c r="BC128" s="419">
        <v>23</v>
      </c>
      <c r="BD128" s="448" t="s">
        <v>610</v>
      </c>
      <c r="BE128" s="421">
        <v>21</v>
      </c>
      <c r="BF128" s="447" t="s">
        <v>615</v>
      </c>
      <c r="BG128" s="419">
        <v>5</v>
      </c>
      <c r="BH128" s="448" t="s">
        <v>615</v>
      </c>
      <c r="BI128" s="421">
        <v>5</v>
      </c>
      <c r="BJ128" s="447" t="s">
        <v>618</v>
      </c>
      <c r="BK128" s="419">
        <v>4</v>
      </c>
      <c r="BL128" s="448" t="s">
        <v>616</v>
      </c>
      <c r="BM128" s="420">
        <v>2</v>
      </c>
      <c r="BN128" s="447" t="s">
        <v>616</v>
      </c>
      <c r="BO128" s="419">
        <v>2</v>
      </c>
      <c r="BP128" s="448" t="s">
        <v>618</v>
      </c>
      <c r="BQ128" s="420">
        <v>1</v>
      </c>
      <c r="BR128" s="447"/>
      <c r="BS128" s="419"/>
      <c r="BT128" s="448"/>
      <c r="BU128" s="421"/>
      <c r="BV128" s="447"/>
      <c r="BW128" s="419"/>
      <c r="BX128" s="448"/>
      <c r="BY128" s="421"/>
      <c r="BZ128" s="447"/>
      <c r="CA128" s="419"/>
      <c r="CB128" s="448"/>
      <c r="CC128" s="421"/>
      <c r="CD128" s="447"/>
      <c r="CE128" s="419"/>
      <c r="CF128" s="448"/>
      <c r="CG128" s="421"/>
      <c r="CH128" s="447"/>
      <c r="CI128" s="419"/>
      <c r="CJ128" s="448"/>
      <c r="CK128" s="421"/>
      <c r="CL128" s="419"/>
      <c r="CM128" s="421"/>
      <c r="CN128" s="424">
        <f t="shared" si="53"/>
        <v>77</v>
      </c>
      <c r="CO128" s="424">
        <f t="shared" si="54"/>
        <v>5</v>
      </c>
      <c r="CP128" s="425">
        <f t="shared" si="55"/>
        <v>64</v>
      </c>
      <c r="CQ128" s="425">
        <f t="shared" si="56"/>
        <v>5</v>
      </c>
      <c r="CR128" s="447"/>
      <c r="CS128" s="419"/>
      <c r="CT128" s="448"/>
      <c r="CU128" s="421"/>
      <c r="CV128" s="447"/>
      <c r="CW128" s="419"/>
      <c r="CX128" s="448"/>
      <c r="CY128" s="421"/>
      <c r="CZ128" s="447"/>
      <c r="DA128" s="419"/>
      <c r="DB128" s="448"/>
      <c r="DC128" s="421"/>
      <c r="DD128" s="447"/>
      <c r="DE128" s="419"/>
      <c r="DF128" s="448"/>
      <c r="DG128" s="421"/>
      <c r="DH128" s="447"/>
      <c r="DI128" s="419"/>
      <c r="DJ128" s="448"/>
      <c r="DK128" s="421"/>
      <c r="DL128" s="447"/>
      <c r="DM128" s="419"/>
      <c r="DN128" s="448"/>
      <c r="DO128" s="421"/>
      <c r="DP128" s="447"/>
      <c r="DQ128" s="419"/>
      <c r="DR128" s="448"/>
      <c r="DS128" s="421"/>
      <c r="DT128" s="447"/>
      <c r="DU128" s="419"/>
      <c r="DV128" s="448"/>
      <c r="DW128" s="421"/>
      <c r="DX128" s="447"/>
      <c r="DY128" s="419"/>
      <c r="DZ128" s="448"/>
      <c r="EA128" s="421"/>
      <c r="EB128" s="447"/>
      <c r="EC128" s="419"/>
      <c r="ED128" s="448"/>
      <c r="EE128" s="421"/>
      <c r="EF128" s="419"/>
      <c r="EG128" s="421"/>
      <c r="EH128" s="424">
        <f t="shared" si="57"/>
        <v>0</v>
      </c>
      <c r="EI128" s="424">
        <f t="shared" si="58"/>
        <v>0</v>
      </c>
      <c r="EJ128" s="422">
        <f t="shared" si="59"/>
        <v>0</v>
      </c>
      <c r="EK128" s="425">
        <f t="shared" si="60"/>
        <v>0</v>
      </c>
      <c r="EL128" s="425">
        <f t="shared" si="61"/>
        <v>0</v>
      </c>
      <c r="EM128" s="423">
        <f t="shared" si="62"/>
        <v>0</v>
      </c>
      <c r="EN128" s="424">
        <f t="shared" si="63"/>
        <v>77</v>
      </c>
      <c r="EO128" s="425">
        <f t="shared" si="64"/>
        <v>64</v>
      </c>
      <c r="EP128" s="419"/>
      <c r="EQ128" s="421"/>
      <c r="ER128" s="419"/>
      <c r="ES128" s="421"/>
      <c r="ET128" s="419"/>
      <c r="EU128" s="421"/>
      <c r="EV128" s="419"/>
      <c r="EW128" s="421"/>
      <c r="EX128" s="419"/>
      <c r="EY128" s="421"/>
      <c r="EZ128" s="419"/>
      <c r="FA128" s="421"/>
      <c r="FB128" s="419"/>
      <c r="FC128" s="421"/>
      <c r="FD128" s="419"/>
      <c r="FE128" s="421"/>
      <c r="FF128" s="419"/>
      <c r="FG128" s="421"/>
      <c r="FH128" s="419"/>
      <c r="FI128" s="421"/>
      <c r="FJ128" s="424">
        <f t="shared" si="65"/>
        <v>0</v>
      </c>
      <c r="FK128" s="425">
        <f t="shared" si="66"/>
        <v>0</v>
      </c>
      <c r="FL128" s="419"/>
      <c r="FM128" s="421"/>
      <c r="FN128" s="424">
        <f t="shared" si="67"/>
        <v>716</v>
      </c>
      <c r="FO128" s="425">
        <f t="shared" si="68"/>
        <v>693</v>
      </c>
    </row>
    <row r="129" spans="1:171">
      <c r="A129" s="305" t="s">
        <v>157</v>
      </c>
      <c r="B129" s="36" t="s">
        <v>655</v>
      </c>
      <c r="C129" s="35"/>
      <c r="D129" s="446">
        <v>138558</v>
      </c>
      <c r="E129" s="119">
        <v>6</v>
      </c>
      <c r="F129" s="304">
        <v>20</v>
      </c>
      <c r="G129" s="420">
        <v>0</v>
      </c>
      <c r="H129" s="419"/>
      <c r="I129" s="421"/>
      <c r="J129" s="419">
        <v>398</v>
      </c>
      <c r="K129" s="421">
        <v>381</v>
      </c>
      <c r="L129" s="422">
        <f t="shared" si="47"/>
        <v>1.202416918429003</v>
      </c>
      <c r="M129" s="423">
        <f t="shared" si="48"/>
        <v>1.1407185628742516</v>
      </c>
      <c r="N129" s="419">
        <v>331</v>
      </c>
      <c r="O129" s="309">
        <f>0</f>
        <v>0</v>
      </c>
      <c r="P129" s="309">
        <f>0</f>
        <v>0</v>
      </c>
      <c r="Q129" s="309">
        <f>0</f>
        <v>0</v>
      </c>
      <c r="R129" s="424">
        <f t="shared" si="45"/>
        <v>0</v>
      </c>
      <c r="S129" s="421">
        <v>334</v>
      </c>
      <c r="T129" s="301">
        <f>0</f>
        <v>0</v>
      </c>
      <c r="U129" s="301">
        <f>0</f>
        <v>0</v>
      </c>
      <c r="V129" s="301">
        <f>0</f>
        <v>0</v>
      </c>
      <c r="W129" s="425">
        <f t="shared" si="46"/>
        <v>0</v>
      </c>
      <c r="X129" s="447" t="s">
        <v>624</v>
      </c>
      <c r="Y129" s="419">
        <v>135</v>
      </c>
      <c r="Z129" s="448"/>
      <c r="AA129" s="420"/>
      <c r="AB129" s="447" t="s">
        <v>610</v>
      </c>
      <c r="AC129" s="419">
        <v>56</v>
      </c>
      <c r="AD129" s="448"/>
      <c r="AE129" s="420"/>
      <c r="AF129" s="447" t="s">
        <v>615</v>
      </c>
      <c r="AG129" s="419">
        <v>46</v>
      </c>
      <c r="AH129" s="448"/>
      <c r="AI129" s="420"/>
      <c r="AJ129" s="447" t="s">
        <v>626</v>
      </c>
      <c r="AK129" s="419">
        <v>33</v>
      </c>
      <c r="AL129" s="448"/>
      <c r="AM129" s="420"/>
      <c r="AN129" s="447" t="s">
        <v>612</v>
      </c>
      <c r="AO129" s="419">
        <v>23</v>
      </c>
      <c r="AP129" s="448"/>
      <c r="AQ129" s="420"/>
      <c r="AR129" s="424">
        <f t="shared" si="49"/>
        <v>5</v>
      </c>
      <c r="AS129" s="422">
        <f t="shared" si="50"/>
        <v>0.44192256341789055</v>
      </c>
      <c r="AT129" s="425">
        <f t="shared" si="51"/>
        <v>0</v>
      </c>
      <c r="AU129" s="423">
        <f t="shared" si="52"/>
        <v>0.46713286713286711</v>
      </c>
      <c r="AV129" s="419">
        <v>0</v>
      </c>
      <c r="AW129" s="421">
        <v>0</v>
      </c>
      <c r="AX129" s="447"/>
      <c r="AY129" s="419"/>
      <c r="AZ129" s="448"/>
      <c r="BA129" s="421"/>
      <c r="BB129" s="447"/>
      <c r="BC129" s="419"/>
      <c r="BD129" s="448"/>
      <c r="BE129" s="421"/>
      <c r="BF129" s="447"/>
      <c r="BG129" s="419"/>
      <c r="BH129" s="448"/>
      <c r="BI129" s="421"/>
      <c r="BJ129" s="447"/>
      <c r="BK129" s="419"/>
      <c r="BL129" s="448"/>
      <c r="BM129" s="421"/>
      <c r="BN129" s="447"/>
      <c r="BO129" s="419"/>
      <c r="BP129" s="448"/>
      <c r="BQ129" s="421"/>
      <c r="BR129" s="447"/>
      <c r="BS129" s="419"/>
      <c r="BT129" s="448"/>
      <c r="BU129" s="421"/>
      <c r="BV129" s="447"/>
      <c r="BW129" s="419"/>
      <c r="BX129" s="448"/>
      <c r="BY129" s="421"/>
      <c r="BZ129" s="447"/>
      <c r="CA129" s="419"/>
      <c r="CB129" s="448"/>
      <c r="CC129" s="421"/>
      <c r="CD129" s="447"/>
      <c r="CE129" s="419"/>
      <c r="CF129" s="448"/>
      <c r="CG129" s="421"/>
      <c r="CH129" s="447"/>
      <c r="CI129" s="419"/>
      <c r="CJ129" s="448"/>
      <c r="CK129" s="421"/>
      <c r="CL129" s="419"/>
      <c r="CM129" s="421"/>
      <c r="CN129" s="424">
        <f t="shared" si="53"/>
        <v>0</v>
      </c>
      <c r="CO129" s="424">
        <f t="shared" si="54"/>
        <v>0</v>
      </c>
      <c r="CP129" s="425">
        <f t="shared" si="55"/>
        <v>0</v>
      </c>
      <c r="CQ129" s="425">
        <f t="shared" si="56"/>
        <v>0</v>
      </c>
      <c r="CR129" s="447"/>
      <c r="CS129" s="419"/>
      <c r="CT129" s="448"/>
      <c r="CU129" s="421"/>
      <c r="CV129" s="447"/>
      <c r="CW129" s="419"/>
      <c r="CX129" s="448"/>
      <c r="CY129" s="421"/>
      <c r="CZ129" s="447"/>
      <c r="DA129" s="419"/>
      <c r="DB129" s="448"/>
      <c r="DC129" s="421"/>
      <c r="DD129" s="447"/>
      <c r="DE129" s="419"/>
      <c r="DF129" s="448"/>
      <c r="DG129" s="421"/>
      <c r="DH129" s="447"/>
      <c r="DI129" s="419"/>
      <c r="DJ129" s="448"/>
      <c r="DK129" s="421"/>
      <c r="DL129" s="447"/>
      <c r="DM129" s="419"/>
      <c r="DN129" s="448"/>
      <c r="DO129" s="421"/>
      <c r="DP129" s="447"/>
      <c r="DQ129" s="419"/>
      <c r="DR129" s="448"/>
      <c r="DS129" s="421"/>
      <c r="DT129" s="447"/>
      <c r="DU129" s="419"/>
      <c r="DV129" s="448"/>
      <c r="DW129" s="421"/>
      <c r="DX129" s="447"/>
      <c r="DY129" s="419"/>
      <c r="DZ129" s="448"/>
      <c r="EA129" s="421"/>
      <c r="EB129" s="447"/>
      <c r="EC129" s="419"/>
      <c r="ED129" s="448"/>
      <c r="EE129" s="421"/>
      <c r="EF129" s="419"/>
      <c r="EG129" s="421"/>
      <c r="EH129" s="424">
        <f t="shared" si="57"/>
        <v>0</v>
      </c>
      <c r="EI129" s="424">
        <f t="shared" si="58"/>
        <v>0</v>
      </c>
      <c r="EJ129" s="422">
        <f t="shared" si="59"/>
        <v>0</v>
      </c>
      <c r="EK129" s="425">
        <f t="shared" si="60"/>
        <v>0</v>
      </c>
      <c r="EL129" s="425">
        <f t="shared" si="61"/>
        <v>0</v>
      </c>
      <c r="EM129" s="423">
        <f t="shared" si="62"/>
        <v>0</v>
      </c>
      <c r="EN129" s="424">
        <f t="shared" si="63"/>
        <v>0</v>
      </c>
      <c r="EO129" s="425">
        <f t="shared" si="64"/>
        <v>0</v>
      </c>
      <c r="EP129" s="419"/>
      <c r="EQ129" s="421"/>
      <c r="ER129" s="419"/>
      <c r="ES129" s="421"/>
      <c r="ET129" s="419"/>
      <c r="EU129" s="421"/>
      <c r="EV129" s="419"/>
      <c r="EW129" s="421"/>
      <c r="EX129" s="419"/>
      <c r="EY129" s="421"/>
      <c r="EZ129" s="419"/>
      <c r="FA129" s="421"/>
      <c r="FB129" s="419"/>
      <c r="FC129" s="421"/>
      <c r="FD129" s="419"/>
      <c r="FE129" s="421"/>
      <c r="FF129" s="419"/>
      <c r="FG129" s="421"/>
      <c r="FH129" s="419"/>
      <c r="FI129" s="421"/>
      <c r="FJ129" s="424">
        <f t="shared" si="65"/>
        <v>0</v>
      </c>
      <c r="FK129" s="425">
        <f t="shared" si="66"/>
        <v>0</v>
      </c>
      <c r="FL129" s="419"/>
      <c r="FM129" s="421"/>
      <c r="FN129" s="424">
        <f t="shared" si="67"/>
        <v>749</v>
      </c>
      <c r="FO129" s="425">
        <f t="shared" si="68"/>
        <v>715</v>
      </c>
    </row>
    <row r="130" spans="1:171">
      <c r="A130" s="305" t="s">
        <v>157</v>
      </c>
      <c r="B130" s="36" t="s">
        <v>651</v>
      </c>
      <c r="C130" s="33"/>
      <c r="D130" s="446">
        <v>139250</v>
      </c>
      <c r="E130" s="119">
        <v>6</v>
      </c>
      <c r="F130" s="304">
        <v>0</v>
      </c>
      <c r="G130" s="421">
        <v>0</v>
      </c>
      <c r="H130" s="419"/>
      <c r="I130" s="421"/>
      <c r="J130" s="419">
        <v>296</v>
      </c>
      <c r="K130" s="420">
        <v>236</v>
      </c>
      <c r="L130" s="422">
        <f t="shared" si="47"/>
        <v>1.0571428571428572</v>
      </c>
      <c r="M130" s="423">
        <f t="shared" si="48"/>
        <v>0.73750000000000004</v>
      </c>
      <c r="N130" s="419">
        <v>280</v>
      </c>
      <c r="O130" s="309">
        <f>0</f>
        <v>0</v>
      </c>
      <c r="P130" s="309">
        <f>0</f>
        <v>0</v>
      </c>
      <c r="Q130" s="309">
        <f>0</f>
        <v>0</v>
      </c>
      <c r="R130" s="424">
        <f t="shared" si="45"/>
        <v>0</v>
      </c>
      <c r="S130" s="421">
        <v>320</v>
      </c>
      <c r="T130" s="301">
        <f>0</f>
        <v>0</v>
      </c>
      <c r="U130" s="301">
        <f>0</f>
        <v>0</v>
      </c>
      <c r="V130" s="301">
        <f>0</f>
        <v>0</v>
      </c>
      <c r="W130" s="425">
        <f t="shared" si="46"/>
        <v>0</v>
      </c>
      <c r="X130" s="447"/>
      <c r="Y130" s="419"/>
      <c r="Z130" s="448"/>
      <c r="AA130" s="421"/>
      <c r="AB130" s="447"/>
      <c r="AC130" s="419"/>
      <c r="AD130" s="448"/>
      <c r="AE130" s="421"/>
      <c r="AF130" s="447"/>
      <c r="AG130" s="419"/>
      <c r="AH130" s="448"/>
      <c r="AI130" s="421"/>
      <c r="AJ130" s="447"/>
      <c r="AK130" s="419"/>
      <c r="AL130" s="448"/>
      <c r="AM130" s="421"/>
      <c r="AN130" s="447"/>
      <c r="AO130" s="419"/>
      <c r="AP130" s="448"/>
      <c r="AQ130" s="421"/>
      <c r="AR130" s="424">
        <f t="shared" si="49"/>
        <v>0</v>
      </c>
      <c r="AS130" s="422">
        <f t="shared" si="50"/>
        <v>0.4861111111111111</v>
      </c>
      <c r="AT130" s="425">
        <f t="shared" si="51"/>
        <v>0</v>
      </c>
      <c r="AU130" s="423">
        <f t="shared" si="52"/>
        <v>0.57553956834532372</v>
      </c>
      <c r="AV130" s="419">
        <v>0</v>
      </c>
      <c r="AW130" s="421">
        <v>0</v>
      </c>
      <c r="AX130" s="447"/>
      <c r="AY130" s="419"/>
      <c r="AZ130" s="448"/>
      <c r="BA130" s="421"/>
      <c r="BB130" s="447"/>
      <c r="BC130" s="419"/>
      <c r="BD130" s="448"/>
      <c r="BE130" s="421"/>
      <c r="BF130" s="447"/>
      <c r="BG130" s="419"/>
      <c r="BH130" s="448"/>
      <c r="BI130" s="421"/>
      <c r="BJ130" s="447"/>
      <c r="BK130" s="419"/>
      <c r="BL130" s="448"/>
      <c r="BM130" s="421"/>
      <c r="BN130" s="447"/>
      <c r="BO130" s="419"/>
      <c r="BP130" s="448"/>
      <c r="BQ130" s="421"/>
      <c r="BR130" s="447"/>
      <c r="BS130" s="419"/>
      <c r="BT130" s="448"/>
      <c r="BU130" s="421"/>
      <c r="BV130" s="447"/>
      <c r="BW130" s="419"/>
      <c r="BX130" s="448"/>
      <c r="BY130" s="421"/>
      <c r="BZ130" s="447"/>
      <c r="CA130" s="419"/>
      <c r="CB130" s="448"/>
      <c r="CC130" s="421"/>
      <c r="CD130" s="447"/>
      <c r="CE130" s="419"/>
      <c r="CF130" s="448"/>
      <c r="CG130" s="421"/>
      <c r="CH130" s="447"/>
      <c r="CI130" s="419"/>
      <c r="CJ130" s="448"/>
      <c r="CK130" s="421"/>
      <c r="CL130" s="419"/>
      <c r="CM130" s="421"/>
      <c r="CN130" s="424">
        <f t="shared" si="53"/>
        <v>0</v>
      </c>
      <c r="CO130" s="424">
        <f t="shared" si="54"/>
        <v>0</v>
      </c>
      <c r="CP130" s="425">
        <f t="shared" si="55"/>
        <v>0</v>
      </c>
      <c r="CQ130" s="425">
        <f t="shared" si="56"/>
        <v>0</v>
      </c>
      <c r="CR130" s="447"/>
      <c r="CS130" s="419"/>
      <c r="CT130" s="448"/>
      <c r="CU130" s="421"/>
      <c r="CV130" s="447"/>
      <c r="CW130" s="419"/>
      <c r="CX130" s="448"/>
      <c r="CY130" s="421"/>
      <c r="CZ130" s="447"/>
      <c r="DA130" s="419"/>
      <c r="DB130" s="448"/>
      <c r="DC130" s="421"/>
      <c r="DD130" s="447"/>
      <c r="DE130" s="419"/>
      <c r="DF130" s="448"/>
      <c r="DG130" s="421"/>
      <c r="DH130" s="447"/>
      <c r="DI130" s="419"/>
      <c r="DJ130" s="448"/>
      <c r="DK130" s="421"/>
      <c r="DL130" s="447"/>
      <c r="DM130" s="419"/>
      <c r="DN130" s="448"/>
      <c r="DO130" s="421"/>
      <c r="DP130" s="447"/>
      <c r="DQ130" s="419"/>
      <c r="DR130" s="448"/>
      <c r="DS130" s="421"/>
      <c r="DT130" s="447"/>
      <c r="DU130" s="419"/>
      <c r="DV130" s="448"/>
      <c r="DW130" s="421"/>
      <c r="DX130" s="447"/>
      <c r="DY130" s="419"/>
      <c r="DZ130" s="448"/>
      <c r="EA130" s="421"/>
      <c r="EB130" s="447"/>
      <c r="EC130" s="419"/>
      <c r="ED130" s="448"/>
      <c r="EE130" s="421"/>
      <c r="EF130" s="419"/>
      <c r="EG130" s="421"/>
      <c r="EH130" s="424">
        <f t="shared" si="57"/>
        <v>0</v>
      </c>
      <c r="EI130" s="424">
        <f t="shared" si="58"/>
        <v>0</v>
      </c>
      <c r="EJ130" s="422">
        <f t="shared" si="59"/>
        <v>0</v>
      </c>
      <c r="EK130" s="425">
        <f t="shared" si="60"/>
        <v>0</v>
      </c>
      <c r="EL130" s="425">
        <f t="shared" si="61"/>
        <v>0</v>
      </c>
      <c r="EM130" s="423">
        <f t="shared" si="62"/>
        <v>0</v>
      </c>
      <c r="EN130" s="424">
        <f t="shared" si="63"/>
        <v>0</v>
      </c>
      <c r="EO130" s="425">
        <f t="shared" si="64"/>
        <v>0</v>
      </c>
      <c r="EP130" s="419"/>
      <c r="EQ130" s="421"/>
      <c r="ER130" s="419"/>
      <c r="ES130" s="421"/>
      <c r="ET130" s="419"/>
      <c r="EU130" s="421"/>
      <c r="EV130" s="419"/>
      <c r="EW130" s="421"/>
      <c r="EX130" s="419"/>
      <c r="EY130" s="421"/>
      <c r="EZ130" s="419"/>
      <c r="FA130" s="421"/>
      <c r="FB130" s="419"/>
      <c r="FC130" s="421"/>
      <c r="FD130" s="419"/>
      <c r="FE130" s="421"/>
      <c r="FF130" s="419"/>
      <c r="FG130" s="421"/>
      <c r="FH130" s="419"/>
      <c r="FI130" s="421"/>
      <c r="FJ130" s="424">
        <f t="shared" si="65"/>
        <v>0</v>
      </c>
      <c r="FK130" s="425">
        <f t="shared" si="66"/>
        <v>0</v>
      </c>
      <c r="FL130" s="419"/>
      <c r="FM130" s="421"/>
      <c r="FN130" s="424">
        <f t="shared" si="67"/>
        <v>576</v>
      </c>
      <c r="FO130" s="425">
        <f t="shared" si="68"/>
        <v>556</v>
      </c>
    </row>
    <row r="131" spans="1:171">
      <c r="A131" s="305" t="s">
        <v>157</v>
      </c>
      <c r="B131" s="36" t="s">
        <v>652</v>
      </c>
      <c r="C131" s="33"/>
      <c r="D131" s="446">
        <v>139463</v>
      </c>
      <c r="E131" s="34">
        <v>6</v>
      </c>
      <c r="F131" s="304">
        <v>34</v>
      </c>
      <c r="G131" s="421">
        <v>28</v>
      </c>
      <c r="H131" s="419"/>
      <c r="I131" s="421"/>
      <c r="J131" s="419">
        <v>255</v>
      </c>
      <c r="K131" s="421">
        <v>299</v>
      </c>
      <c r="L131" s="422">
        <f t="shared" si="47"/>
        <v>0.48295454545454547</v>
      </c>
      <c r="M131" s="423">
        <f t="shared" si="48"/>
        <v>0.5828460038986355</v>
      </c>
      <c r="N131" s="419">
        <v>528</v>
      </c>
      <c r="O131" s="309">
        <f>0</f>
        <v>0</v>
      </c>
      <c r="P131" s="309">
        <f>0</f>
        <v>0</v>
      </c>
      <c r="Q131" s="309">
        <f>0</f>
        <v>0</v>
      </c>
      <c r="R131" s="424">
        <f t="shared" si="45"/>
        <v>0</v>
      </c>
      <c r="S131" s="421">
        <v>513</v>
      </c>
      <c r="T131" s="301">
        <f>0</f>
        <v>0</v>
      </c>
      <c r="U131" s="301">
        <f>0</f>
        <v>0</v>
      </c>
      <c r="V131" s="301">
        <f>0</f>
        <v>0</v>
      </c>
      <c r="W131" s="425">
        <f t="shared" si="46"/>
        <v>0</v>
      </c>
      <c r="X131" s="447"/>
      <c r="Y131" s="419"/>
      <c r="Z131" s="448"/>
      <c r="AA131" s="421"/>
      <c r="AB131" s="447"/>
      <c r="AC131" s="419"/>
      <c r="AD131" s="448"/>
      <c r="AE131" s="421"/>
      <c r="AF131" s="447"/>
      <c r="AG131" s="419"/>
      <c r="AH131" s="448"/>
      <c r="AI131" s="421"/>
      <c r="AJ131" s="447"/>
      <c r="AK131" s="419"/>
      <c r="AL131" s="448"/>
      <c r="AM131" s="421"/>
      <c r="AN131" s="447"/>
      <c r="AO131" s="419"/>
      <c r="AP131" s="448"/>
      <c r="AQ131" s="421"/>
      <c r="AR131" s="424">
        <f t="shared" si="49"/>
        <v>0</v>
      </c>
      <c r="AS131" s="422">
        <f t="shared" si="50"/>
        <v>0.6462668298653611</v>
      </c>
      <c r="AT131" s="425">
        <f t="shared" si="51"/>
        <v>0</v>
      </c>
      <c r="AU131" s="423">
        <f t="shared" si="52"/>
        <v>0.61071428571428577</v>
      </c>
      <c r="AV131" s="419">
        <v>0</v>
      </c>
      <c r="AW131" s="421">
        <v>0</v>
      </c>
      <c r="AX131" s="447"/>
      <c r="AY131" s="419"/>
      <c r="AZ131" s="448"/>
      <c r="BA131" s="421"/>
      <c r="BB131" s="447"/>
      <c r="BC131" s="419"/>
      <c r="BD131" s="448"/>
      <c r="BE131" s="421"/>
      <c r="BF131" s="447"/>
      <c r="BG131" s="419"/>
      <c r="BH131" s="448"/>
      <c r="BI131" s="421"/>
      <c r="BJ131" s="447"/>
      <c r="BK131" s="419"/>
      <c r="BL131" s="448"/>
      <c r="BM131" s="421"/>
      <c r="BN131" s="447"/>
      <c r="BO131" s="419"/>
      <c r="BP131" s="448"/>
      <c r="BQ131" s="421"/>
      <c r="BR131" s="447"/>
      <c r="BS131" s="419"/>
      <c r="BT131" s="448"/>
      <c r="BU131" s="421"/>
      <c r="BV131" s="447"/>
      <c r="BW131" s="419"/>
      <c r="BX131" s="448"/>
      <c r="BY131" s="421"/>
      <c r="BZ131" s="447"/>
      <c r="CA131" s="419"/>
      <c r="CB131" s="448"/>
      <c r="CC131" s="421"/>
      <c r="CD131" s="447"/>
      <c r="CE131" s="419"/>
      <c r="CF131" s="448"/>
      <c r="CG131" s="421"/>
      <c r="CH131" s="447"/>
      <c r="CI131" s="419"/>
      <c r="CJ131" s="448"/>
      <c r="CK131" s="421"/>
      <c r="CL131" s="419"/>
      <c r="CM131" s="421"/>
      <c r="CN131" s="424">
        <f t="shared" si="53"/>
        <v>0</v>
      </c>
      <c r="CO131" s="424">
        <f t="shared" si="54"/>
        <v>0</v>
      </c>
      <c r="CP131" s="425">
        <f t="shared" si="55"/>
        <v>0</v>
      </c>
      <c r="CQ131" s="425">
        <f t="shared" si="56"/>
        <v>0</v>
      </c>
      <c r="CR131" s="447"/>
      <c r="CS131" s="419"/>
      <c r="CT131" s="448"/>
      <c r="CU131" s="421"/>
      <c r="CV131" s="447"/>
      <c r="CW131" s="419"/>
      <c r="CX131" s="448"/>
      <c r="CY131" s="421"/>
      <c r="CZ131" s="447"/>
      <c r="DA131" s="419"/>
      <c r="DB131" s="448"/>
      <c r="DC131" s="421"/>
      <c r="DD131" s="447"/>
      <c r="DE131" s="419"/>
      <c r="DF131" s="448"/>
      <c r="DG131" s="421"/>
      <c r="DH131" s="447"/>
      <c r="DI131" s="419"/>
      <c r="DJ131" s="448"/>
      <c r="DK131" s="421"/>
      <c r="DL131" s="447"/>
      <c r="DM131" s="419"/>
      <c r="DN131" s="448"/>
      <c r="DO131" s="421"/>
      <c r="DP131" s="447"/>
      <c r="DQ131" s="419"/>
      <c r="DR131" s="448"/>
      <c r="DS131" s="421"/>
      <c r="DT131" s="447"/>
      <c r="DU131" s="419"/>
      <c r="DV131" s="448"/>
      <c r="DW131" s="421"/>
      <c r="DX131" s="447"/>
      <c r="DY131" s="419"/>
      <c r="DZ131" s="448"/>
      <c r="EA131" s="421"/>
      <c r="EB131" s="447"/>
      <c r="EC131" s="419"/>
      <c r="ED131" s="448"/>
      <c r="EE131" s="421"/>
      <c r="EF131" s="419"/>
      <c r="EG131" s="421"/>
      <c r="EH131" s="424">
        <f t="shared" si="57"/>
        <v>0</v>
      </c>
      <c r="EI131" s="424">
        <f t="shared" si="58"/>
        <v>0</v>
      </c>
      <c r="EJ131" s="422">
        <f t="shared" si="59"/>
        <v>0</v>
      </c>
      <c r="EK131" s="425">
        <f t="shared" si="60"/>
        <v>0</v>
      </c>
      <c r="EL131" s="425">
        <f t="shared" si="61"/>
        <v>0</v>
      </c>
      <c r="EM131" s="423">
        <f t="shared" si="62"/>
        <v>0</v>
      </c>
      <c r="EN131" s="424">
        <f t="shared" si="63"/>
        <v>0</v>
      </c>
      <c r="EO131" s="425">
        <f t="shared" si="64"/>
        <v>0</v>
      </c>
      <c r="EP131" s="419"/>
      <c r="EQ131" s="421"/>
      <c r="ER131" s="419"/>
      <c r="ES131" s="421"/>
      <c r="ET131" s="419"/>
      <c r="EU131" s="421"/>
      <c r="EV131" s="419"/>
      <c r="EW131" s="421"/>
      <c r="EX131" s="419"/>
      <c r="EY131" s="421"/>
      <c r="EZ131" s="419"/>
      <c r="FA131" s="421"/>
      <c r="FB131" s="419"/>
      <c r="FC131" s="421"/>
      <c r="FD131" s="419"/>
      <c r="FE131" s="421"/>
      <c r="FF131" s="419"/>
      <c r="FG131" s="421"/>
      <c r="FH131" s="419"/>
      <c r="FI131" s="421"/>
      <c r="FJ131" s="424">
        <f t="shared" si="65"/>
        <v>0</v>
      </c>
      <c r="FK131" s="425">
        <f t="shared" si="66"/>
        <v>0</v>
      </c>
      <c r="FL131" s="419"/>
      <c r="FM131" s="421"/>
      <c r="FN131" s="424">
        <f t="shared" si="67"/>
        <v>817</v>
      </c>
      <c r="FO131" s="425">
        <f t="shared" si="68"/>
        <v>840</v>
      </c>
    </row>
    <row r="132" spans="1:171">
      <c r="A132" s="305" t="s">
        <v>157</v>
      </c>
      <c r="B132" s="36" t="s">
        <v>653</v>
      </c>
      <c r="C132" s="33"/>
      <c r="D132" s="446">
        <v>447689</v>
      </c>
      <c r="E132" s="34">
        <v>6</v>
      </c>
      <c r="F132" s="304">
        <v>0</v>
      </c>
      <c r="G132" s="421">
        <v>0</v>
      </c>
      <c r="H132" s="419"/>
      <c r="I132" s="421"/>
      <c r="J132" s="419">
        <v>0</v>
      </c>
      <c r="K132" s="421">
        <v>0</v>
      </c>
      <c r="L132" s="422">
        <f t="shared" si="47"/>
        <v>0</v>
      </c>
      <c r="M132" s="423">
        <f t="shared" si="48"/>
        <v>0</v>
      </c>
      <c r="N132" s="419">
        <v>1182</v>
      </c>
      <c r="O132" s="309">
        <f>0</f>
        <v>0</v>
      </c>
      <c r="P132" s="309">
        <f>0</f>
        <v>0</v>
      </c>
      <c r="Q132" s="309">
        <f>0</f>
        <v>0</v>
      </c>
      <c r="R132" s="424">
        <f t="shared" si="45"/>
        <v>0</v>
      </c>
      <c r="S132" s="421">
        <v>1127</v>
      </c>
      <c r="T132" s="301">
        <f>0</f>
        <v>0</v>
      </c>
      <c r="U132" s="301">
        <f>0</f>
        <v>0</v>
      </c>
      <c r="V132" s="301">
        <f>0</f>
        <v>0</v>
      </c>
      <c r="W132" s="425">
        <f t="shared" si="46"/>
        <v>0</v>
      </c>
      <c r="X132" s="447"/>
      <c r="Y132" s="419"/>
      <c r="Z132" s="448"/>
      <c r="AA132" s="421"/>
      <c r="AB132" s="447"/>
      <c r="AC132" s="419"/>
      <c r="AD132" s="448"/>
      <c r="AE132" s="421"/>
      <c r="AF132" s="447"/>
      <c r="AG132" s="419"/>
      <c r="AH132" s="448"/>
      <c r="AI132" s="421"/>
      <c r="AJ132" s="447"/>
      <c r="AK132" s="419"/>
      <c r="AL132" s="448"/>
      <c r="AM132" s="421"/>
      <c r="AN132" s="447"/>
      <c r="AO132" s="419"/>
      <c r="AP132" s="448"/>
      <c r="AQ132" s="421"/>
      <c r="AR132" s="424">
        <f t="shared" si="49"/>
        <v>0</v>
      </c>
      <c r="AS132" s="422">
        <f t="shared" si="50"/>
        <v>1</v>
      </c>
      <c r="AT132" s="425">
        <f t="shared" si="51"/>
        <v>0</v>
      </c>
      <c r="AU132" s="423">
        <f t="shared" si="52"/>
        <v>1</v>
      </c>
      <c r="AV132" s="419">
        <v>0</v>
      </c>
      <c r="AW132" s="421">
        <v>0</v>
      </c>
      <c r="AX132" s="447"/>
      <c r="AY132" s="419"/>
      <c r="AZ132" s="448"/>
      <c r="BA132" s="421"/>
      <c r="BB132" s="447"/>
      <c r="BC132" s="419"/>
      <c r="BD132" s="448"/>
      <c r="BE132" s="421"/>
      <c r="BF132" s="447"/>
      <c r="BG132" s="419"/>
      <c r="BH132" s="448"/>
      <c r="BI132" s="421"/>
      <c r="BJ132" s="447"/>
      <c r="BK132" s="419"/>
      <c r="BL132" s="448"/>
      <c r="BM132" s="421"/>
      <c r="BN132" s="447"/>
      <c r="BO132" s="419"/>
      <c r="BP132" s="448"/>
      <c r="BQ132" s="421"/>
      <c r="BR132" s="447"/>
      <c r="BS132" s="419"/>
      <c r="BT132" s="448"/>
      <c r="BU132" s="421"/>
      <c r="BV132" s="447"/>
      <c r="BW132" s="419"/>
      <c r="BX132" s="448"/>
      <c r="BY132" s="421"/>
      <c r="BZ132" s="447"/>
      <c r="CA132" s="419"/>
      <c r="CB132" s="448"/>
      <c r="CC132" s="421"/>
      <c r="CD132" s="447"/>
      <c r="CE132" s="419"/>
      <c r="CF132" s="448"/>
      <c r="CG132" s="421"/>
      <c r="CH132" s="447"/>
      <c r="CI132" s="419"/>
      <c r="CJ132" s="448"/>
      <c r="CK132" s="421"/>
      <c r="CL132" s="419"/>
      <c r="CM132" s="421"/>
      <c r="CN132" s="424">
        <f t="shared" si="53"/>
        <v>0</v>
      </c>
      <c r="CO132" s="424">
        <f t="shared" si="54"/>
        <v>0</v>
      </c>
      <c r="CP132" s="425">
        <f t="shared" si="55"/>
        <v>0</v>
      </c>
      <c r="CQ132" s="425">
        <f t="shared" si="56"/>
        <v>0</v>
      </c>
      <c r="CR132" s="447"/>
      <c r="CS132" s="419"/>
      <c r="CT132" s="448"/>
      <c r="CU132" s="421"/>
      <c r="CV132" s="447"/>
      <c r="CW132" s="419"/>
      <c r="CX132" s="448"/>
      <c r="CY132" s="421"/>
      <c r="CZ132" s="447"/>
      <c r="DA132" s="419"/>
      <c r="DB132" s="448"/>
      <c r="DC132" s="421"/>
      <c r="DD132" s="447"/>
      <c r="DE132" s="419"/>
      <c r="DF132" s="448"/>
      <c r="DG132" s="421"/>
      <c r="DH132" s="447"/>
      <c r="DI132" s="419"/>
      <c r="DJ132" s="448"/>
      <c r="DK132" s="421"/>
      <c r="DL132" s="447"/>
      <c r="DM132" s="419"/>
      <c r="DN132" s="448"/>
      <c r="DO132" s="421"/>
      <c r="DP132" s="447"/>
      <c r="DQ132" s="419"/>
      <c r="DR132" s="448"/>
      <c r="DS132" s="421"/>
      <c r="DT132" s="447"/>
      <c r="DU132" s="419"/>
      <c r="DV132" s="448"/>
      <c r="DW132" s="421"/>
      <c r="DX132" s="447"/>
      <c r="DY132" s="419"/>
      <c r="DZ132" s="448"/>
      <c r="EA132" s="421"/>
      <c r="EB132" s="447"/>
      <c r="EC132" s="419"/>
      <c r="ED132" s="448"/>
      <c r="EE132" s="421"/>
      <c r="EF132" s="419"/>
      <c r="EG132" s="421"/>
      <c r="EH132" s="424">
        <f t="shared" si="57"/>
        <v>0</v>
      </c>
      <c r="EI132" s="424">
        <f t="shared" si="58"/>
        <v>0</v>
      </c>
      <c r="EJ132" s="422">
        <f t="shared" si="59"/>
        <v>0</v>
      </c>
      <c r="EK132" s="425">
        <f t="shared" si="60"/>
        <v>0</v>
      </c>
      <c r="EL132" s="425">
        <f t="shared" si="61"/>
        <v>0</v>
      </c>
      <c r="EM132" s="423">
        <f t="shared" si="62"/>
        <v>0</v>
      </c>
      <c r="EN132" s="424">
        <f t="shared" si="63"/>
        <v>0</v>
      </c>
      <c r="EO132" s="425">
        <f t="shared" si="64"/>
        <v>0</v>
      </c>
      <c r="EP132" s="419"/>
      <c r="EQ132" s="421"/>
      <c r="ER132" s="419"/>
      <c r="ES132" s="421"/>
      <c r="ET132" s="419"/>
      <c r="EU132" s="421"/>
      <c r="EV132" s="419"/>
      <c r="EW132" s="421"/>
      <c r="EX132" s="419"/>
      <c r="EY132" s="421"/>
      <c r="EZ132" s="419"/>
      <c r="FA132" s="421"/>
      <c r="FB132" s="419"/>
      <c r="FC132" s="421"/>
      <c r="FD132" s="419"/>
      <c r="FE132" s="421"/>
      <c r="FF132" s="419"/>
      <c r="FG132" s="421"/>
      <c r="FH132" s="419"/>
      <c r="FI132" s="421"/>
      <c r="FJ132" s="424">
        <f t="shared" si="65"/>
        <v>0</v>
      </c>
      <c r="FK132" s="425">
        <f t="shared" si="66"/>
        <v>0</v>
      </c>
      <c r="FL132" s="419"/>
      <c r="FM132" s="421"/>
      <c r="FN132" s="424">
        <f t="shared" si="67"/>
        <v>1182</v>
      </c>
      <c r="FO132" s="425">
        <f t="shared" si="68"/>
        <v>1127</v>
      </c>
    </row>
    <row r="133" spans="1:171">
      <c r="A133" s="305" t="s">
        <v>157</v>
      </c>
      <c r="B133" s="36" t="s">
        <v>659</v>
      </c>
      <c r="C133" s="35"/>
      <c r="D133" s="446">
        <v>139968</v>
      </c>
      <c r="E133" s="119">
        <v>6</v>
      </c>
      <c r="F133" s="304">
        <v>0</v>
      </c>
      <c r="G133" s="421">
        <v>0</v>
      </c>
      <c r="H133" s="419"/>
      <c r="I133" s="421"/>
      <c r="J133" s="419">
        <v>355</v>
      </c>
      <c r="K133" s="421">
        <v>322</v>
      </c>
      <c r="L133" s="422">
        <f t="shared" si="47"/>
        <v>1.5919282511210762</v>
      </c>
      <c r="M133" s="423">
        <f t="shared" si="48"/>
        <v>1.511737089201878</v>
      </c>
      <c r="N133" s="419">
        <v>223</v>
      </c>
      <c r="O133" s="309">
        <f>0</f>
        <v>0</v>
      </c>
      <c r="P133" s="309">
        <f>0</f>
        <v>0</v>
      </c>
      <c r="Q133" s="309">
        <f>0</f>
        <v>0</v>
      </c>
      <c r="R133" s="424">
        <f t="shared" si="45"/>
        <v>0</v>
      </c>
      <c r="S133" s="421">
        <v>213</v>
      </c>
      <c r="T133" s="301">
        <f>0</f>
        <v>0</v>
      </c>
      <c r="U133" s="301">
        <f>0</f>
        <v>0</v>
      </c>
      <c r="V133" s="301">
        <f>0</f>
        <v>0</v>
      </c>
      <c r="W133" s="425">
        <f t="shared" si="46"/>
        <v>0</v>
      </c>
      <c r="X133" s="447" t="s">
        <v>612</v>
      </c>
      <c r="Y133" s="419">
        <v>51</v>
      </c>
      <c r="Z133" s="448"/>
      <c r="AA133" s="420"/>
      <c r="AB133" s="447" t="s">
        <v>614</v>
      </c>
      <c r="AC133" s="419">
        <v>48</v>
      </c>
      <c r="AD133" s="448"/>
      <c r="AE133" s="420"/>
      <c r="AF133" s="447" t="s">
        <v>610</v>
      </c>
      <c r="AG133" s="419">
        <v>41</v>
      </c>
      <c r="AH133" s="448"/>
      <c r="AI133" s="420"/>
      <c r="AJ133" s="447" t="s">
        <v>615</v>
      </c>
      <c r="AK133" s="419">
        <v>34</v>
      </c>
      <c r="AL133" s="448"/>
      <c r="AM133" s="420"/>
      <c r="AN133" s="447" t="s">
        <v>611</v>
      </c>
      <c r="AO133" s="419">
        <v>29</v>
      </c>
      <c r="AP133" s="448"/>
      <c r="AQ133" s="420"/>
      <c r="AR133" s="424">
        <f t="shared" si="49"/>
        <v>5</v>
      </c>
      <c r="AS133" s="422">
        <f t="shared" si="50"/>
        <v>0.38581314878892736</v>
      </c>
      <c r="AT133" s="425">
        <f t="shared" si="51"/>
        <v>0</v>
      </c>
      <c r="AU133" s="423">
        <f t="shared" si="52"/>
        <v>0.39813084112149533</v>
      </c>
      <c r="AV133" s="419">
        <v>0</v>
      </c>
      <c r="AW133" s="421">
        <v>0</v>
      </c>
      <c r="AX133" s="447"/>
      <c r="AY133" s="419"/>
      <c r="AZ133" s="448"/>
      <c r="BA133" s="421"/>
      <c r="BB133" s="447"/>
      <c r="BC133" s="419"/>
      <c r="BD133" s="448"/>
      <c r="BE133" s="421"/>
      <c r="BF133" s="447"/>
      <c r="BG133" s="419"/>
      <c r="BH133" s="448"/>
      <c r="BI133" s="421"/>
      <c r="BJ133" s="447"/>
      <c r="BK133" s="419"/>
      <c r="BL133" s="448"/>
      <c r="BM133" s="421"/>
      <c r="BN133" s="447"/>
      <c r="BO133" s="419"/>
      <c r="BP133" s="448"/>
      <c r="BQ133" s="421"/>
      <c r="BR133" s="447"/>
      <c r="BS133" s="419"/>
      <c r="BT133" s="448"/>
      <c r="BU133" s="421"/>
      <c r="BV133" s="447"/>
      <c r="BW133" s="419"/>
      <c r="BX133" s="448"/>
      <c r="BY133" s="421"/>
      <c r="BZ133" s="447"/>
      <c r="CA133" s="419"/>
      <c r="CB133" s="448"/>
      <c r="CC133" s="421"/>
      <c r="CD133" s="447"/>
      <c r="CE133" s="419"/>
      <c r="CF133" s="448"/>
      <c r="CG133" s="421"/>
      <c r="CH133" s="447"/>
      <c r="CI133" s="419"/>
      <c r="CJ133" s="448"/>
      <c r="CK133" s="421"/>
      <c r="CL133" s="419"/>
      <c r="CM133" s="421"/>
      <c r="CN133" s="424">
        <f t="shared" si="53"/>
        <v>0</v>
      </c>
      <c r="CO133" s="424">
        <f t="shared" si="54"/>
        <v>0</v>
      </c>
      <c r="CP133" s="425">
        <f t="shared" si="55"/>
        <v>0</v>
      </c>
      <c r="CQ133" s="425">
        <f t="shared" si="56"/>
        <v>0</v>
      </c>
      <c r="CR133" s="447"/>
      <c r="CS133" s="419"/>
      <c r="CT133" s="448"/>
      <c r="CU133" s="421"/>
      <c r="CV133" s="447"/>
      <c r="CW133" s="419"/>
      <c r="CX133" s="448"/>
      <c r="CY133" s="421"/>
      <c r="CZ133" s="447"/>
      <c r="DA133" s="419"/>
      <c r="DB133" s="448"/>
      <c r="DC133" s="421"/>
      <c r="DD133" s="447"/>
      <c r="DE133" s="419"/>
      <c r="DF133" s="448"/>
      <c r="DG133" s="421"/>
      <c r="DH133" s="447"/>
      <c r="DI133" s="419"/>
      <c r="DJ133" s="448"/>
      <c r="DK133" s="421"/>
      <c r="DL133" s="447"/>
      <c r="DM133" s="419"/>
      <c r="DN133" s="448"/>
      <c r="DO133" s="421"/>
      <c r="DP133" s="447"/>
      <c r="DQ133" s="419"/>
      <c r="DR133" s="448"/>
      <c r="DS133" s="421"/>
      <c r="DT133" s="447"/>
      <c r="DU133" s="419"/>
      <c r="DV133" s="448"/>
      <c r="DW133" s="421"/>
      <c r="DX133" s="447"/>
      <c r="DY133" s="419"/>
      <c r="DZ133" s="448"/>
      <c r="EA133" s="421"/>
      <c r="EB133" s="447"/>
      <c r="EC133" s="419"/>
      <c r="ED133" s="448"/>
      <c r="EE133" s="421"/>
      <c r="EF133" s="419"/>
      <c r="EG133" s="421"/>
      <c r="EH133" s="424">
        <f t="shared" si="57"/>
        <v>0</v>
      </c>
      <c r="EI133" s="424">
        <f t="shared" si="58"/>
        <v>0</v>
      </c>
      <c r="EJ133" s="422">
        <f t="shared" si="59"/>
        <v>0</v>
      </c>
      <c r="EK133" s="425">
        <f t="shared" si="60"/>
        <v>0</v>
      </c>
      <c r="EL133" s="425">
        <f t="shared" si="61"/>
        <v>0</v>
      </c>
      <c r="EM133" s="423">
        <f t="shared" si="62"/>
        <v>0</v>
      </c>
      <c r="EN133" s="424">
        <f t="shared" si="63"/>
        <v>0</v>
      </c>
      <c r="EO133" s="425">
        <f t="shared" si="64"/>
        <v>0</v>
      </c>
      <c r="EP133" s="419"/>
      <c r="EQ133" s="421"/>
      <c r="ER133" s="419"/>
      <c r="ES133" s="421"/>
      <c r="ET133" s="419"/>
      <c r="EU133" s="421"/>
      <c r="EV133" s="419"/>
      <c r="EW133" s="421"/>
      <c r="EX133" s="419"/>
      <c r="EY133" s="421"/>
      <c r="EZ133" s="419"/>
      <c r="FA133" s="421"/>
      <c r="FB133" s="419"/>
      <c r="FC133" s="421"/>
      <c r="FD133" s="419"/>
      <c r="FE133" s="421"/>
      <c r="FF133" s="419"/>
      <c r="FG133" s="421"/>
      <c r="FH133" s="419"/>
      <c r="FI133" s="421"/>
      <c r="FJ133" s="424">
        <f t="shared" si="65"/>
        <v>0</v>
      </c>
      <c r="FK133" s="425">
        <f t="shared" si="66"/>
        <v>0</v>
      </c>
      <c r="FL133" s="419"/>
      <c r="FM133" s="421"/>
      <c r="FN133" s="424">
        <f t="shared" si="67"/>
        <v>578</v>
      </c>
      <c r="FO133" s="425">
        <f t="shared" si="68"/>
        <v>535</v>
      </c>
    </row>
    <row r="134" spans="1:171">
      <c r="A134" s="305" t="s">
        <v>157</v>
      </c>
      <c r="B134" s="36" t="s">
        <v>654</v>
      </c>
      <c r="C134" s="484" t="s">
        <v>1196</v>
      </c>
      <c r="D134" s="34">
        <v>482158</v>
      </c>
      <c r="E134" s="485">
        <v>5</v>
      </c>
      <c r="F134" s="304">
        <v>47</v>
      </c>
      <c r="G134" s="421">
        <v>39</v>
      </c>
      <c r="H134" s="419"/>
      <c r="I134" s="421"/>
      <c r="J134" s="419">
        <v>421</v>
      </c>
      <c r="K134" s="420">
        <v>255</v>
      </c>
      <c r="L134" s="422">
        <f t="shared" si="47"/>
        <v>0.54322580645161289</v>
      </c>
      <c r="M134" s="423">
        <f t="shared" si="48"/>
        <v>0.28052805280528054</v>
      </c>
      <c r="N134" s="419">
        <v>775</v>
      </c>
      <c r="O134" s="309">
        <f>0</f>
        <v>0</v>
      </c>
      <c r="P134" s="309">
        <f>0</f>
        <v>0</v>
      </c>
      <c r="Q134" s="309">
        <f>0</f>
        <v>0</v>
      </c>
      <c r="R134" s="424">
        <f t="shared" si="45"/>
        <v>0</v>
      </c>
      <c r="S134" s="421">
        <v>909</v>
      </c>
      <c r="T134" s="301">
        <f>0</f>
        <v>0</v>
      </c>
      <c r="U134" s="301">
        <f>0</f>
        <v>0</v>
      </c>
      <c r="V134" s="301">
        <f>0</f>
        <v>0</v>
      </c>
      <c r="W134" s="425">
        <f t="shared" si="46"/>
        <v>0</v>
      </c>
      <c r="X134" s="447"/>
      <c r="Y134" s="419"/>
      <c r="Z134" s="448"/>
      <c r="AA134" s="421"/>
      <c r="AB134" s="447"/>
      <c r="AC134" s="419"/>
      <c r="AD134" s="448"/>
      <c r="AE134" s="421"/>
      <c r="AF134" s="447"/>
      <c r="AG134" s="419"/>
      <c r="AH134" s="448"/>
      <c r="AI134" s="421"/>
      <c r="AJ134" s="447"/>
      <c r="AK134" s="419"/>
      <c r="AL134" s="448"/>
      <c r="AM134" s="421"/>
      <c r="AN134" s="447"/>
      <c r="AO134" s="419"/>
      <c r="AP134" s="448"/>
      <c r="AQ134" s="421"/>
      <c r="AR134" s="424">
        <f t="shared" si="49"/>
        <v>0</v>
      </c>
      <c r="AS134" s="422">
        <f t="shared" si="50"/>
        <v>0.58139534883720934</v>
      </c>
      <c r="AT134" s="425">
        <f t="shared" si="51"/>
        <v>0</v>
      </c>
      <c r="AU134" s="423">
        <f t="shared" si="52"/>
        <v>0.68397291196388266</v>
      </c>
      <c r="AV134" s="419">
        <v>2</v>
      </c>
      <c r="AW134" s="420">
        <v>3</v>
      </c>
      <c r="AX134" s="447" t="s">
        <v>613</v>
      </c>
      <c r="AY134" s="419">
        <v>54</v>
      </c>
      <c r="AZ134" s="448" t="s">
        <v>613</v>
      </c>
      <c r="BA134" s="420">
        <v>87</v>
      </c>
      <c r="BB134" s="447" t="s">
        <v>612</v>
      </c>
      <c r="BC134" s="419">
        <v>15</v>
      </c>
      <c r="BD134" s="448" t="s">
        <v>612</v>
      </c>
      <c r="BE134" s="420">
        <v>22</v>
      </c>
      <c r="BF134" s="447" t="s">
        <v>611</v>
      </c>
      <c r="BG134" s="419">
        <v>12</v>
      </c>
      <c r="BH134" s="448" t="s">
        <v>610</v>
      </c>
      <c r="BI134" s="420">
        <v>7</v>
      </c>
      <c r="BJ134" s="447" t="s">
        <v>610</v>
      </c>
      <c r="BK134" s="419">
        <v>7</v>
      </c>
      <c r="BL134" s="448" t="s">
        <v>611</v>
      </c>
      <c r="BM134" s="421">
        <v>7</v>
      </c>
      <c r="BN134" s="447"/>
      <c r="BO134" s="419"/>
      <c r="BP134" s="448"/>
      <c r="BQ134" s="421"/>
      <c r="BR134" s="447"/>
      <c r="BS134" s="419"/>
      <c r="BT134" s="448"/>
      <c r="BU134" s="421"/>
      <c r="BV134" s="447"/>
      <c r="BW134" s="419"/>
      <c r="BX134" s="448"/>
      <c r="BY134" s="421"/>
      <c r="BZ134" s="447"/>
      <c r="CA134" s="419"/>
      <c r="CB134" s="448"/>
      <c r="CC134" s="421"/>
      <c r="CD134" s="447"/>
      <c r="CE134" s="419"/>
      <c r="CF134" s="448"/>
      <c r="CG134" s="421"/>
      <c r="CH134" s="447"/>
      <c r="CI134" s="419"/>
      <c r="CJ134" s="448"/>
      <c r="CK134" s="421"/>
      <c r="CL134" s="419"/>
      <c r="CM134" s="421"/>
      <c r="CN134" s="424">
        <f t="shared" si="53"/>
        <v>88</v>
      </c>
      <c r="CO134" s="424">
        <f t="shared" si="54"/>
        <v>4</v>
      </c>
      <c r="CP134" s="425">
        <f t="shared" si="55"/>
        <v>123</v>
      </c>
      <c r="CQ134" s="425">
        <f t="shared" si="56"/>
        <v>4</v>
      </c>
      <c r="CR134" s="447"/>
      <c r="CS134" s="419"/>
      <c r="CT134" s="448"/>
      <c r="CU134" s="421"/>
      <c r="CV134" s="447"/>
      <c r="CW134" s="419"/>
      <c r="CX134" s="448"/>
      <c r="CY134" s="421"/>
      <c r="CZ134" s="447"/>
      <c r="DA134" s="419"/>
      <c r="DB134" s="448"/>
      <c r="DC134" s="421"/>
      <c r="DD134" s="447"/>
      <c r="DE134" s="419"/>
      <c r="DF134" s="448"/>
      <c r="DG134" s="421"/>
      <c r="DH134" s="447"/>
      <c r="DI134" s="419"/>
      <c r="DJ134" s="448"/>
      <c r="DK134" s="421"/>
      <c r="DL134" s="447"/>
      <c r="DM134" s="419"/>
      <c r="DN134" s="448"/>
      <c r="DO134" s="421"/>
      <c r="DP134" s="447"/>
      <c r="DQ134" s="419"/>
      <c r="DR134" s="448"/>
      <c r="DS134" s="421"/>
      <c r="DT134" s="447"/>
      <c r="DU134" s="419"/>
      <c r="DV134" s="448"/>
      <c r="DW134" s="421"/>
      <c r="DX134" s="447"/>
      <c r="DY134" s="419"/>
      <c r="DZ134" s="448"/>
      <c r="EA134" s="421"/>
      <c r="EB134" s="447"/>
      <c r="EC134" s="419"/>
      <c r="ED134" s="448"/>
      <c r="EE134" s="421"/>
      <c r="EF134" s="419"/>
      <c r="EG134" s="421"/>
      <c r="EH134" s="424">
        <f t="shared" si="57"/>
        <v>0</v>
      </c>
      <c r="EI134" s="424">
        <f t="shared" si="58"/>
        <v>0</v>
      </c>
      <c r="EJ134" s="422">
        <f t="shared" si="59"/>
        <v>0</v>
      </c>
      <c r="EK134" s="425">
        <f t="shared" si="60"/>
        <v>0</v>
      </c>
      <c r="EL134" s="425">
        <f t="shared" si="61"/>
        <v>0</v>
      </c>
      <c r="EM134" s="423">
        <f t="shared" si="62"/>
        <v>0</v>
      </c>
      <c r="EN134" s="424">
        <f t="shared" si="63"/>
        <v>88</v>
      </c>
      <c r="EO134" s="425">
        <f t="shared" si="64"/>
        <v>123</v>
      </c>
      <c r="EP134" s="419"/>
      <c r="EQ134" s="421"/>
      <c r="ER134" s="419"/>
      <c r="ES134" s="421"/>
      <c r="ET134" s="419"/>
      <c r="EU134" s="421"/>
      <c r="EV134" s="419"/>
      <c r="EW134" s="421"/>
      <c r="EX134" s="419"/>
      <c r="EY134" s="421"/>
      <c r="EZ134" s="419"/>
      <c r="FA134" s="421"/>
      <c r="FB134" s="419"/>
      <c r="FC134" s="421"/>
      <c r="FD134" s="419"/>
      <c r="FE134" s="421"/>
      <c r="FF134" s="419"/>
      <c r="FG134" s="421"/>
      <c r="FH134" s="419"/>
      <c r="FI134" s="421"/>
      <c r="FJ134" s="424">
        <f t="shared" si="65"/>
        <v>0</v>
      </c>
      <c r="FK134" s="425">
        <f t="shared" si="66"/>
        <v>0</v>
      </c>
      <c r="FL134" s="419"/>
      <c r="FM134" s="421"/>
      <c r="FN134" s="424">
        <f t="shared" si="67"/>
        <v>1333</v>
      </c>
      <c r="FO134" s="425">
        <f t="shared" si="68"/>
        <v>1329</v>
      </c>
    </row>
    <row r="135" spans="1:171">
      <c r="A135" s="305" t="s">
        <v>157</v>
      </c>
      <c r="B135" s="36" t="s">
        <v>656</v>
      </c>
      <c r="C135" s="33"/>
      <c r="D135" s="446">
        <v>138901</v>
      </c>
      <c r="E135" s="119">
        <v>7</v>
      </c>
      <c r="F135" s="304">
        <v>0</v>
      </c>
      <c r="G135" s="421">
        <v>0</v>
      </c>
      <c r="H135" s="419"/>
      <c r="I135" s="421"/>
      <c r="J135" s="419">
        <v>220</v>
      </c>
      <c r="K135" s="420">
        <v>154</v>
      </c>
      <c r="L135" s="422">
        <f t="shared" si="47"/>
        <v>3.6065573770491803</v>
      </c>
      <c r="M135" s="423">
        <f t="shared" si="48"/>
        <v>2.6101694915254239</v>
      </c>
      <c r="N135" s="419">
        <v>61</v>
      </c>
      <c r="O135" s="309">
        <f>0</f>
        <v>0</v>
      </c>
      <c r="P135" s="309">
        <f>0</f>
        <v>0</v>
      </c>
      <c r="Q135" s="309">
        <f>0</f>
        <v>0</v>
      </c>
      <c r="R135" s="424">
        <f t="shared" si="45"/>
        <v>0</v>
      </c>
      <c r="S135" s="421">
        <v>59</v>
      </c>
      <c r="T135" s="301">
        <f>0</f>
        <v>0</v>
      </c>
      <c r="U135" s="301">
        <f>0</f>
        <v>0</v>
      </c>
      <c r="V135" s="301">
        <f>0</f>
        <v>0</v>
      </c>
      <c r="W135" s="425">
        <f t="shared" si="46"/>
        <v>0</v>
      </c>
      <c r="X135" s="447" t="s">
        <v>610</v>
      </c>
      <c r="Y135" s="419">
        <v>27</v>
      </c>
      <c r="Z135" s="448" t="s">
        <v>610</v>
      </c>
      <c r="AA135" s="421">
        <v>31</v>
      </c>
      <c r="AB135" s="447" t="s">
        <v>641</v>
      </c>
      <c r="AC135" s="419">
        <v>19</v>
      </c>
      <c r="AD135" s="448" t="s">
        <v>641</v>
      </c>
      <c r="AE135" s="420">
        <v>12</v>
      </c>
      <c r="AF135" s="447" t="s">
        <v>615</v>
      </c>
      <c r="AG135" s="419">
        <v>7</v>
      </c>
      <c r="AH135" s="448" t="s">
        <v>615</v>
      </c>
      <c r="AI135" s="421">
        <v>8</v>
      </c>
      <c r="AJ135" s="447" t="s">
        <v>618</v>
      </c>
      <c r="AK135" s="419">
        <v>6</v>
      </c>
      <c r="AL135" s="448" t="s">
        <v>620</v>
      </c>
      <c r="AM135" s="421">
        <v>5</v>
      </c>
      <c r="AN135" s="447" t="s">
        <v>620</v>
      </c>
      <c r="AO135" s="419">
        <v>2</v>
      </c>
      <c r="AP135" s="448" t="s">
        <v>618</v>
      </c>
      <c r="AQ135" s="420">
        <v>3</v>
      </c>
      <c r="AR135" s="424">
        <f t="shared" si="49"/>
        <v>5</v>
      </c>
      <c r="AS135" s="422">
        <f t="shared" si="50"/>
        <v>0.21708185053380782</v>
      </c>
      <c r="AT135" s="425">
        <f t="shared" si="51"/>
        <v>5</v>
      </c>
      <c r="AU135" s="423">
        <f t="shared" si="52"/>
        <v>0.27699530516431925</v>
      </c>
      <c r="AV135" s="419">
        <v>0</v>
      </c>
      <c r="AW135" s="421">
        <v>0</v>
      </c>
      <c r="AX135" s="447"/>
      <c r="AY135" s="419"/>
      <c r="AZ135" s="448"/>
      <c r="BA135" s="421"/>
      <c r="BB135" s="447"/>
      <c r="BC135" s="419"/>
      <c r="BD135" s="448"/>
      <c r="BE135" s="421"/>
      <c r="BF135" s="447"/>
      <c r="BG135" s="419"/>
      <c r="BH135" s="448"/>
      <c r="BI135" s="421"/>
      <c r="BJ135" s="447"/>
      <c r="BK135" s="419"/>
      <c r="BL135" s="448"/>
      <c r="BM135" s="421"/>
      <c r="BN135" s="447"/>
      <c r="BO135" s="419"/>
      <c r="BP135" s="448"/>
      <c r="BQ135" s="421"/>
      <c r="BR135" s="447"/>
      <c r="BS135" s="419"/>
      <c r="BT135" s="448"/>
      <c r="BU135" s="421"/>
      <c r="BV135" s="447"/>
      <c r="BW135" s="419"/>
      <c r="BX135" s="448"/>
      <c r="BY135" s="421"/>
      <c r="BZ135" s="447"/>
      <c r="CA135" s="419"/>
      <c r="CB135" s="448"/>
      <c r="CC135" s="421"/>
      <c r="CD135" s="447"/>
      <c r="CE135" s="419"/>
      <c r="CF135" s="448"/>
      <c r="CG135" s="421"/>
      <c r="CH135" s="447"/>
      <c r="CI135" s="419"/>
      <c r="CJ135" s="448"/>
      <c r="CK135" s="421"/>
      <c r="CL135" s="419"/>
      <c r="CM135" s="421"/>
      <c r="CN135" s="424">
        <f t="shared" si="53"/>
        <v>0</v>
      </c>
      <c r="CO135" s="424">
        <f t="shared" si="54"/>
        <v>0</v>
      </c>
      <c r="CP135" s="425">
        <f t="shared" si="55"/>
        <v>0</v>
      </c>
      <c r="CQ135" s="425">
        <f t="shared" si="56"/>
        <v>0</v>
      </c>
      <c r="CR135" s="447"/>
      <c r="CS135" s="419"/>
      <c r="CT135" s="448"/>
      <c r="CU135" s="421"/>
      <c r="CV135" s="447"/>
      <c r="CW135" s="419"/>
      <c r="CX135" s="448"/>
      <c r="CY135" s="421"/>
      <c r="CZ135" s="447"/>
      <c r="DA135" s="419"/>
      <c r="DB135" s="448"/>
      <c r="DC135" s="421"/>
      <c r="DD135" s="447"/>
      <c r="DE135" s="419"/>
      <c r="DF135" s="448"/>
      <c r="DG135" s="421"/>
      <c r="DH135" s="447"/>
      <c r="DI135" s="419"/>
      <c r="DJ135" s="448"/>
      <c r="DK135" s="421"/>
      <c r="DL135" s="447"/>
      <c r="DM135" s="419"/>
      <c r="DN135" s="448"/>
      <c r="DO135" s="421"/>
      <c r="DP135" s="447"/>
      <c r="DQ135" s="419"/>
      <c r="DR135" s="448"/>
      <c r="DS135" s="421"/>
      <c r="DT135" s="447"/>
      <c r="DU135" s="419"/>
      <c r="DV135" s="448"/>
      <c r="DW135" s="421"/>
      <c r="DX135" s="447"/>
      <c r="DY135" s="419"/>
      <c r="DZ135" s="448"/>
      <c r="EA135" s="421"/>
      <c r="EB135" s="447"/>
      <c r="EC135" s="419"/>
      <c r="ED135" s="448"/>
      <c r="EE135" s="421"/>
      <c r="EF135" s="419"/>
      <c r="EG135" s="421"/>
      <c r="EH135" s="424">
        <f t="shared" si="57"/>
        <v>0</v>
      </c>
      <c r="EI135" s="424">
        <f t="shared" si="58"/>
        <v>0</v>
      </c>
      <c r="EJ135" s="422">
        <f t="shared" si="59"/>
        <v>0</v>
      </c>
      <c r="EK135" s="425">
        <f t="shared" si="60"/>
        <v>0</v>
      </c>
      <c r="EL135" s="425">
        <f t="shared" si="61"/>
        <v>0</v>
      </c>
      <c r="EM135" s="423">
        <f t="shared" si="62"/>
        <v>0</v>
      </c>
      <c r="EN135" s="424">
        <f t="shared" si="63"/>
        <v>0</v>
      </c>
      <c r="EO135" s="425">
        <f t="shared" si="64"/>
        <v>0</v>
      </c>
      <c r="EP135" s="419"/>
      <c r="EQ135" s="421"/>
      <c r="ER135" s="419"/>
      <c r="ES135" s="421"/>
      <c r="ET135" s="419"/>
      <c r="EU135" s="421"/>
      <c r="EV135" s="419"/>
      <c r="EW135" s="421"/>
      <c r="EX135" s="419"/>
      <c r="EY135" s="421"/>
      <c r="EZ135" s="419"/>
      <c r="FA135" s="421"/>
      <c r="FB135" s="419"/>
      <c r="FC135" s="421"/>
      <c r="FD135" s="419"/>
      <c r="FE135" s="421"/>
      <c r="FF135" s="419"/>
      <c r="FG135" s="421"/>
      <c r="FH135" s="419"/>
      <c r="FI135" s="421"/>
      <c r="FJ135" s="424">
        <f t="shared" si="65"/>
        <v>0</v>
      </c>
      <c r="FK135" s="425">
        <f t="shared" si="66"/>
        <v>0</v>
      </c>
      <c r="FL135" s="419"/>
      <c r="FM135" s="421"/>
      <c r="FN135" s="424">
        <f t="shared" si="67"/>
        <v>281</v>
      </c>
      <c r="FO135" s="425">
        <f t="shared" si="68"/>
        <v>213</v>
      </c>
    </row>
    <row r="136" spans="1:171">
      <c r="A136" s="305" t="s">
        <v>157</v>
      </c>
      <c r="B136" s="36" t="s">
        <v>657</v>
      </c>
      <c r="C136" s="33"/>
      <c r="D136" s="446">
        <v>139621</v>
      </c>
      <c r="E136" s="119">
        <v>7</v>
      </c>
      <c r="F136" s="304">
        <v>0</v>
      </c>
      <c r="G136" s="421">
        <v>0</v>
      </c>
      <c r="H136" s="419"/>
      <c r="I136" s="421"/>
      <c r="J136" s="419">
        <v>295</v>
      </c>
      <c r="K136" s="421">
        <v>284</v>
      </c>
      <c r="L136" s="422">
        <f t="shared" si="47"/>
        <v>10.925925925925926</v>
      </c>
      <c r="M136" s="423">
        <f t="shared" si="48"/>
        <v>14.2</v>
      </c>
      <c r="N136" s="419">
        <v>27</v>
      </c>
      <c r="O136" s="309">
        <f>0</f>
        <v>0</v>
      </c>
      <c r="P136" s="309">
        <f>0</f>
        <v>0</v>
      </c>
      <c r="Q136" s="309">
        <f>0</f>
        <v>0</v>
      </c>
      <c r="R136" s="424">
        <f t="shared" si="45"/>
        <v>0</v>
      </c>
      <c r="S136" s="420">
        <v>20</v>
      </c>
      <c r="T136" s="301">
        <f>0</f>
        <v>0</v>
      </c>
      <c r="U136" s="301">
        <f>0</f>
        <v>0</v>
      </c>
      <c r="V136" s="301">
        <f>0</f>
        <v>0</v>
      </c>
      <c r="W136" s="425">
        <f t="shared" si="46"/>
        <v>0</v>
      </c>
      <c r="X136" s="447" t="s">
        <v>612</v>
      </c>
      <c r="Y136" s="419">
        <v>22</v>
      </c>
      <c r="Z136" s="448" t="s">
        <v>612</v>
      </c>
      <c r="AA136" s="420">
        <v>11</v>
      </c>
      <c r="AB136" s="447" t="s">
        <v>641</v>
      </c>
      <c r="AC136" s="419">
        <v>3</v>
      </c>
      <c r="AD136" s="448" t="s">
        <v>641</v>
      </c>
      <c r="AE136" s="420">
        <v>6</v>
      </c>
      <c r="AF136" s="447" t="s">
        <v>615</v>
      </c>
      <c r="AG136" s="419">
        <v>2</v>
      </c>
      <c r="AH136" s="448" t="s">
        <v>615</v>
      </c>
      <c r="AI136" s="420">
        <v>3</v>
      </c>
      <c r="AJ136" s="447"/>
      <c r="AK136" s="419"/>
      <c r="AL136" s="448"/>
      <c r="AM136" s="421"/>
      <c r="AN136" s="447"/>
      <c r="AO136" s="419"/>
      <c r="AP136" s="448"/>
      <c r="AQ136" s="421"/>
      <c r="AR136" s="424">
        <f t="shared" si="49"/>
        <v>3</v>
      </c>
      <c r="AS136" s="422">
        <f t="shared" si="50"/>
        <v>8.3850931677018639E-2</v>
      </c>
      <c r="AT136" s="425">
        <f t="shared" si="51"/>
        <v>3</v>
      </c>
      <c r="AU136" s="423">
        <f t="shared" si="52"/>
        <v>6.5789473684210523E-2</v>
      </c>
      <c r="AV136" s="419">
        <v>0</v>
      </c>
      <c r="AW136" s="421">
        <v>0</v>
      </c>
      <c r="AX136" s="447"/>
      <c r="AY136" s="419"/>
      <c r="AZ136" s="448"/>
      <c r="BA136" s="421"/>
      <c r="BB136" s="447"/>
      <c r="BC136" s="419"/>
      <c r="BD136" s="448"/>
      <c r="BE136" s="421"/>
      <c r="BF136" s="447"/>
      <c r="BG136" s="419"/>
      <c r="BH136" s="448"/>
      <c r="BI136" s="421"/>
      <c r="BJ136" s="447"/>
      <c r="BK136" s="419"/>
      <c r="BL136" s="448"/>
      <c r="BM136" s="421"/>
      <c r="BN136" s="447"/>
      <c r="BO136" s="419"/>
      <c r="BP136" s="448"/>
      <c r="BQ136" s="421"/>
      <c r="BR136" s="447"/>
      <c r="BS136" s="419"/>
      <c r="BT136" s="448"/>
      <c r="BU136" s="421"/>
      <c r="BV136" s="447"/>
      <c r="BW136" s="419"/>
      <c r="BX136" s="448"/>
      <c r="BY136" s="421"/>
      <c r="BZ136" s="447"/>
      <c r="CA136" s="419"/>
      <c r="CB136" s="448"/>
      <c r="CC136" s="421"/>
      <c r="CD136" s="447"/>
      <c r="CE136" s="419"/>
      <c r="CF136" s="448"/>
      <c r="CG136" s="421"/>
      <c r="CH136" s="447"/>
      <c r="CI136" s="419"/>
      <c r="CJ136" s="448"/>
      <c r="CK136" s="421"/>
      <c r="CL136" s="419"/>
      <c r="CM136" s="421"/>
      <c r="CN136" s="424">
        <f t="shared" si="53"/>
        <v>0</v>
      </c>
      <c r="CO136" s="424">
        <f t="shared" si="54"/>
        <v>0</v>
      </c>
      <c r="CP136" s="425">
        <f t="shared" si="55"/>
        <v>0</v>
      </c>
      <c r="CQ136" s="425">
        <f t="shared" si="56"/>
        <v>0</v>
      </c>
      <c r="CR136" s="447"/>
      <c r="CS136" s="419"/>
      <c r="CT136" s="448"/>
      <c r="CU136" s="421"/>
      <c r="CV136" s="447"/>
      <c r="CW136" s="419"/>
      <c r="CX136" s="448"/>
      <c r="CY136" s="421"/>
      <c r="CZ136" s="447"/>
      <c r="DA136" s="419"/>
      <c r="DB136" s="448"/>
      <c r="DC136" s="421"/>
      <c r="DD136" s="447"/>
      <c r="DE136" s="419"/>
      <c r="DF136" s="448"/>
      <c r="DG136" s="421"/>
      <c r="DH136" s="447"/>
      <c r="DI136" s="419"/>
      <c r="DJ136" s="448"/>
      <c r="DK136" s="421"/>
      <c r="DL136" s="447"/>
      <c r="DM136" s="419"/>
      <c r="DN136" s="448"/>
      <c r="DO136" s="421"/>
      <c r="DP136" s="447"/>
      <c r="DQ136" s="419"/>
      <c r="DR136" s="448"/>
      <c r="DS136" s="421"/>
      <c r="DT136" s="447"/>
      <c r="DU136" s="419"/>
      <c r="DV136" s="448"/>
      <c r="DW136" s="421"/>
      <c r="DX136" s="447"/>
      <c r="DY136" s="419"/>
      <c r="DZ136" s="448"/>
      <c r="EA136" s="421"/>
      <c r="EB136" s="447"/>
      <c r="EC136" s="419"/>
      <c r="ED136" s="448"/>
      <c r="EE136" s="421"/>
      <c r="EF136" s="419"/>
      <c r="EG136" s="421"/>
      <c r="EH136" s="424">
        <f t="shared" si="57"/>
        <v>0</v>
      </c>
      <c r="EI136" s="424">
        <f t="shared" si="58"/>
        <v>0</v>
      </c>
      <c r="EJ136" s="422">
        <f t="shared" si="59"/>
        <v>0</v>
      </c>
      <c r="EK136" s="425">
        <f t="shared" si="60"/>
        <v>0</v>
      </c>
      <c r="EL136" s="425">
        <f t="shared" si="61"/>
        <v>0</v>
      </c>
      <c r="EM136" s="423">
        <f t="shared" si="62"/>
        <v>0</v>
      </c>
      <c r="EN136" s="424">
        <f t="shared" si="63"/>
        <v>0</v>
      </c>
      <c r="EO136" s="425">
        <f t="shared" si="64"/>
        <v>0</v>
      </c>
      <c r="EP136" s="419"/>
      <c r="EQ136" s="421"/>
      <c r="ER136" s="419"/>
      <c r="ES136" s="421"/>
      <c r="ET136" s="419"/>
      <c r="EU136" s="421"/>
      <c r="EV136" s="419"/>
      <c r="EW136" s="421"/>
      <c r="EX136" s="419"/>
      <c r="EY136" s="421"/>
      <c r="EZ136" s="419"/>
      <c r="FA136" s="421"/>
      <c r="FB136" s="419"/>
      <c r="FC136" s="421"/>
      <c r="FD136" s="419"/>
      <c r="FE136" s="421"/>
      <c r="FF136" s="419"/>
      <c r="FG136" s="421"/>
      <c r="FH136" s="419"/>
      <c r="FI136" s="421"/>
      <c r="FJ136" s="424">
        <f t="shared" si="65"/>
        <v>0</v>
      </c>
      <c r="FK136" s="425">
        <f t="shared" si="66"/>
        <v>0</v>
      </c>
      <c r="FL136" s="419"/>
      <c r="FM136" s="421"/>
      <c r="FN136" s="424">
        <f t="shared" si="67"/>
        <v>322</v>
      </c>
      <c r="FO136" s="425">
        <f t="shared" si="68"/>
        <v>304</v>
      </c>
    </row>
    <row r="137" spans="1:171">
      <c r="A137" s="305" t="s">
        <v>157</v>
      </c>
      <c r="B137" s="36" t="s">
        <v>658</v>
      </c>
      <c r="C137" s="33"/>
      <c r="D137" s="446">
        <v>139700</v>
      </c>
      <c r="E137" s="119">
        <v>7</v>
      </c>
      <c r="F137" s="304">
        <v>0</v>
      </c>
      <c r="G137" s="421">
        <v>0</v>
      </c>
      <c r="H137" s="419"/>
      <c r="I137" s="421"/>
      <c r="J137" s="419">
        <v>742</v>
      </c>
      <c r="K137" s="421">
        <v>810</v>
      </c>
      <c r="L137" s="422">
        <f t="shared" si="47"/>
        <v>9.8933333333333326</v>
      </c>
      <c r="M137" s="423">
        <f t="shared" si="48"/>
        <v>6.8067226890756301</v>
      </c>
      <c r="N137" s="419">
        <v>75</v>
      </c>
      <c r="O137" s="309">
        <f>0</f>
        <v>0</v>
      </c>
      <c r="P137" s="309">
        <f>0</f>
        <v>0</v>
      </c>
      <c r="Q137" s="309">
        <f>0</f>
        <v>0</v>
      </c>
      <c r="R137" s="424">
        <f t="shared" si="45"/>
        <v>0</v>
      </c>
      <c r="S137" s="420">
        <v>119</v>
      </c>
      <c r="T137" s="301">
        <f>0</f>
        <v>0</v>
      </c>
      <c r="U137" s="301">
        <f>0</f>
        <v>0</v>
      </c>
      <c r="V137" s="301">
        <f>0</f>
        <v>0</v>
      </c>
      <c r="W137" s="425">
        <f t="shared" si="46"/>
        <v>0</v>
      </c>
      <c r="X137" s="447" t="s">
        <v>612</v>
      </c>
      <c r="Y137" s="419">
        <v>67</v>
      </c>
      <c r="Z137" s="448" t="s">
        <v>612</v>
      </c>
      <c r="AA137" s="420">
        <v>98</v>
      </c>
      <c r="AB137" s="447" t="s">
        <v>610</v>
      </c>
      <c r="AC137" s="419">
        <v>8</v>
      </c>
      <c r="AD137" s="448" t="s">
        <v>610</v>
      </c>
      <c r="AE137" s="420">
        <v>20</v>
      </c>
      <c r="AF137" s="447"/>
      <c r="AG137" s="419"/>
      <c r="AH137" s="448" t="s">
        <v>641</v>
      </c>
      <c r="AI137" s="420">
        <v>1</v>
      </c>
      <c r="AJ137" s="447"/>
      <c r="AK137" s="419"/>
      <c r="AL137" s="448"/>
      <c r="AM137" s="421"/>
      <c r="AN137" s="447"/>
      <c r="AO137" s="419"/>
      <c r="AP137" s="448"/>
      <c r="AQ137" s="421"/>
      <c r="AR137" s="424">
        <f t="shared" si="49"/>
        <v>2</v>
      </c>
      <c r="AS137" s="422">
        <f t="shared" si="50"/>
        <v>9.1799265605875147E-2</v>
      </c>
      <c r="AT137" s="425">
        <f t="shared" si="51"/>
        <v>3</v>
      </c>
      <c r="AU137" s="423">
        <f t="shared" si="52"/>
        <v>0.12809472551130247</v>
      </c>
      <c r="AV137" s="419">
        <v>0</v>
      </c>
      <c r="AW137" s="421">
        <v>0</v>
      </c>
      <c r="AX137" s="447"/>
      <c r="AY137" s="419"/>
      <c r="AZ137" s="448"/>
      <c r="BA137" s="421"/>
      <c r="BB137" s="447"/>
      <c r="BC137" s="419"/>
      <c r="BD137" s="448"/>
      <c r="BE137" s="421"/>
      <c r="BF137" s="447"/>
      <c r="BG137" s="419"/>
      <c r="BH137" s="448"/>
      <c r="BI137" s="421"/>
      <c r="BJ137" s="447"/>
      <c r="BK137" s="419"/>
      <c r="BL137" s="448"/>
      <c r="BM137" s="421"/>
      <c r="BN137" s="447"/>
      <c r="BO137" s="419"/>
      <c r="BP137" s="448"/>
      <c r="BQ137" s="421"/>
      <c r="BR137" s="447"/>
      <c r="BS137" s="419"/>
      <c r="BT137" s="448"/>
      <c r="BU137" s="421"/>
      <c r="BV137" s="447"/>
      <c r="BW137" s="419"/>
      <c r="BX137" s="448"/>
      <c r="BY137" s="421"/>
      <c r="BZ137" s="447"/>
      <c r="CA137" s="419"/>
      <c r="CB137" s="448"/>
      <c r="CC137" s="421"/>
      <c r="CD137" s="447"/>
      <c r="CE137" s="419"/>
      <c r="CF137" s="448"/>
      <c r="CG137" s="421"/>
      <c r="CH137" s="447"/>
      <c r="CI137" s="419"/>
      <c r="CJ137" s="448"/>
      <c r="CK137" s="421"/>
      <c r="CL137" s="419"/>
      <c r="CM137" s="421"/>
      <c r="CN137" s="424">
        <f t="shared" si="53"/>
        <v>0</v>
      </c>
      <c r="CO137" s="424">
        <f t="shared" si="54"/>
        <v>0</v>
      </c>
      <c r="CP137" s="425">
        <f t="shared" si="55"/>
        <v>0</v>
      </c>
      <c r="CQ137" s="425">
        <f t="shared" si="56"/>
        <v>0</v>
      </c>
      <c r="CR137" s="447"/>
      <c r="CS137" s="419"/>
      <c r="CT137" s="448"/>
      <c r="CU137" s="421"/>
      <c r="CV137" s="447"/>
      <c r="CW137" s="419"/>
      <c r="CX137" s="448"/>
      <c r="CY137" s="421"/>
      <c r="CZ137" s="447"/>
      <c r="DA137" s="419"/>
      <c r="DB137" s="448"/>
      <c r="DC137" s="421"/>
      <c r="DD137" s="447"/>
      <c r="DE137" s="419"/>
      <c r="DF137" s="448"/>
      <c r="DG137" s="421"/>
      <c r="DH137" s="447"/>
      <c r="DI137" s="419"/>
      <c r="DJ137" s="448"/>
      <c r="DK137" s="421"/>
      <c r="DL137" s="447"/>
      <c r="DM137" s="419"/>
      <c r="DN137" s="448"/>
      <c r="DO137" s="421"/>
      <c r="DP137" s="447"/>
      <c r="DQ137" s="419"/>
      <c r="DR137" s="448"/>
      <c r="DS137" s="421"/>
      <c r="DT137" s="447"/>
      <c r="DU137" s="419"/>
      <c r="DV137" s="448"/>
      <c r="DW137" s="421"/>
      <c r="DX137" s="447"/>
      <c r="DY137" s="419"/>
      <c r="DZ137" s="448"/>
      <c r="EA137" s="421"/>
      <c r="EB137" s="447"/>
      <c r="EC137" s="419"/>
      <c r="ED137" s="448"/>
      <c r="EE137" s="421"/>
      <c r="EF137" s="419"/>
      <c r="EG137" s="421"/>
      <c r="EH137" s="424">
        <f t="shared" si="57"/>
        <v>0</v>
      </c>
      <c r="EI137" s="424">
        <f t="shared" si="58"/>
        <v>0</v>
      </c>
      <c r="EJ137" s="422">
        <f t="shared" si="59"/>
        <v>0</v>
      </c>
      <c r="EK137" s="425">
        <f t="shared" si="60"/>
        <v>0</v>
      </c>
      <c r="EL137" s="425">
        <f t="shared" si="61"/>
        <v>0</v>
      </c>
      <c r="EM137" s="423">
        <f t="shared" si="62"/>
        <v>0</v>
      </c>
      <c r="EN137" s="424">
        <f t="shared" si="63"/>
        <v>0</v>
      </c>
      <c r="EO137" s="425">
        <f t="shared" si="64"/>
        <v>0</v>
      </c>
      <c r="EP137" s="419"/>
      <c r="EQ137" s="421"/>
      <c r="ER137" s="419"/>
      <c r="ES137" s="421"/>
      <c r="ET137" s="419"/>
      <c r="EU137" s="421"/>
      <c r="EV137" s="419"/>
      <c r="EW137" s="421"/>
      <c r="EX137" s="419"/>
      <c r="EY137" s="421"/>
      <c r="EZ137" s="419"/>
      <c r="FA137" s="421"/>
      <c r="FB137" s="419"/>
      <c r="FC137" s="421"/>
      <c r="FD137" s="419"/>
      <c r="FE137" s="421"/>
      <c r="FF137" s="419"/>
      <c r="FG137" s="421"/>
      <c r="FH137" s="419"/>
      <c r="FI137" s="421"/>
      <c r="FJ137" s="424">
        <f t="shared" si="65"/>
        <v>0</v>
      </c>
      <c r="FK137" s="425">
        <f t="shared" si="66"/>
        <v>0</v>
      </c>
      <c r="FL137" s="419"/>
      <c r="FM137" s="421"/>
      <c r="FN137" s="424">
        <f t="shared" si="67"/>
        <v>817</v>
      </c>
      <c r="FO137" s="425">
        <f t="shared" si="68"/>
        <v>929</v>
      </c>
    </row>
    <row r="138" spans="1:171">
      <c r="A138" s="305" t="s">
        <v>157</v>
      </c>
      <c r="B138" s="36" t="s">
        <v>660</v>
      </c>
      <c r="C138" s="33"/>
      <c r="D138" s="34">
        <v>482699</v>
      </c>
      <c r="E138" s="119">
        <v>7</v>
      </c>
      <c r="F138" s="304">
        <v>0</v>
      </c>
      <c r="G138" s="421">
        <v>0</v>
      </c>
      <c r="H138" s="419"/>
      <c r="I138" s="421"/>
      <c r="J138" s="419">
        <v>309</v>
      </c>
      <c r="K138" s="421">
        <v>344</v>
      </c>
      <c r="L138" s="422">
        <f t="shared" si="47"/>
        <v>4.7538461538461538</v>
      </c>
      <c r="M138" s="423">
        <f t="shared" si="48"/>
        <v>4.9855072463768115</v>
      </c>
      <c r="N138" s="419">
        <v>65</v>
      </c>
      <c r="O138" s="309">
        <f>0</f>
        <v>0</v>
      </c>
      <c r="P138" s="309">
        <f>0</f>
        <v>0</v>
      </c>
      <c r="Q138" s="309">
        <f>0</f>
        <v>0</v>
      </c>
      <c r="R138" s="424">
        <f t="shared" ref="R138:R201" si="69">SUM(O138:Q138)</f>
        <v>0</v>
      </c>
      <c r="S138" s="421">
        <v>69</v>
      </c>
      <c r="T138" s="301">
        <f>0</f>
        <v>0</v>
      </c>
      <c r="U138" s="301">
        <f>0</f>
        <v>0</v>
      </c>
      <c r="V138" s="301">
        <f>0</f>
        <v>0</v>
      </c>
      <c r="W138" s="425">
        <f t="shared" ref="W138:W201" si="70">SUM(T138:V138)</f>
        <v>0</v>
      </c>
      <c r="X138" s="447" t="s">
        <v>612</v>
      </c>
      <c r="Y138" s="419">
        <v>31</v>
      </c>
      <c r="Z138" s="448" t="s">
        <v>610</v>
      </c>
      <c r="AA138" s="421">
        <v>27</v>
      </c>
      <c r="AB138" s="447" t="s">
        <v>610</v>
      </c>
      <c r="AC138" s="419">
        <v>22</v>
      </c>
      <c r="AD138" s="448" t="s">
        <v>612</v>
      </c>
      <c r="AE138" s="421">
        <v>26</v>
      </c>
      <c r="AF138" s="447" t="s">
        <v>615</v>
      </c>
      <c r="AG138" s="419">
        <v>12</v>
      </c>
      <c r="AH138" s="448" t="s">
        <v>615</v>
      </c>
      <c r="AI138" s="420">
        <v>16</v>
      </c>
      <c r="AJ138" s="447"/>
      <c r="AK138" s="419"/>
      <c r="AL138" s="448"/>
      <c r="AM138" s="421"/>
      <c r="AN138" s="447"/>
      <c r="AO138" s="419"/>
      <c r="AP138" s="448"/>
      <c r="AQ138" s="421"/>
      <c r="AR138" s="424">
        <f t="shared" si="49"/>
        <v>3</v>
      </c>
      <c r="AS138" s="422">
        <f t="shared" si="50"/>
        <v>0.17379679144385027</v>
      </c>
      <c r="AT138" s="425">
        <f t="shared" si="51"/>
        <v>3</v>
      </c>
      <c r="AU138" s="423">
        <f t="shared" si="52"/>
        <v>0.16707021791767554</v>
      </c>
      <c r="AV138" s="419">
        <v>0</v>
      </c>
      <c r="AW138" s="421">
        <v>0</v>
      </c>
      <c r="AX138" s="447"/>
      <c r="AY138" s="419"/>
      <c r="AZ138" s="448"/>
      <c r="BA138" s="421"/>
      <c r="BB138" s="447"/>
      <c r="BC138" s="419"/>
      <c r="BD138" s="448"/>
      <c r="BE138" s="421"/>
      <c r="BF138" s="447"/>
      <c r="BG138" s="419"/>
      <c r="BH138" s="448"/>
      <c r="BI138" s="421"/>
      <c r="BJ138" s="447"/>
      <c r="BK138" s="419"/>
      <c r="BL138" s="448"/>
      <c r="BM138" s="421"/>
      <c r="BN138" s="447"/>
      <c r="BO138" s="419"/>
      <c r="BP138" s="448"/>
      <c r="BQ138" s="421"/>
      <c r="BR138" s="447"/>
      <c r="BS138" s="419"/>
      <c r="BT138" s="448"/>
      <c r="BU138" s="421"/>
      <c r="BV138" s="447"/>
      <c r="BW138" s="419"/>
      <c r="BX138" s="448"/>
      <c r="BY138" s="421"/>
      <c r="BZ138" s="447"/>
      <c r="CA138" s="419"/>
      <c r="CB138" s="448"/>
      <c r="CC138" s="421"/>
      <c r="CD138" s="447"/>
      <c r="CE138" s="419"/>
      <c r="CF138" s="448"/>
      <c r="CG138" s="421"/>
      <c r="CH138" s="447"/>
      <c r="CI138" s="419"/>
      <c r="CJ138" s="448"/>
      <c r="CK138" s="421"/>
      <c r="CL138" s="419"/>
      <c r="CM138" s="421"/>
      <c r="CN138" s="424">
        <f t="shared" si="53"/>
        <v>0</v>
      </c>
      <c r="CO138" s="424">
        <f t="shared" si="54"/>
        <v>0</v>
      </c>
      <c r="CP138" s="425">
        <f t="shared" si="55"/>
        <v>0</v>
      </c>
      <c r="CQ138" s="425">
        <f t="shared" si="56"/>
        <v>0</v>
      </c>
      <c r="CR138" s="447"/>
      <c r="CS138" s="419"/>
      <c r="CT138" s="448"/>
      <c r="CU138" s="421"/>
      <c r="CV138" s="447"/>
      <c r="CW138" s="419"/>
      <c r="CX138" s="448"/>
      <c r="CY138" s="421"/>
      <c r="CZ138" s="447"/>
      <c r="DA138" s="419"/>
      <c r="DB138" s="448"/>
      <c r="DC138" s="421"/>
      <c r="DD138" s="447"/>
      <c r="DE138" s="419"/>
      <c r="DF138" s="448"/>
      <c r="DG138" s="421"/>
      <c r="DH138" s="447"/>
      <c r="DI138" s="419"/>
      <c r="DJ138" s="448"/>
      <c r="DK138" s="421"/>
      <c r="DL138" s="447"/>
      <c r="DM138" s="419"/>
      <c r="DN138" s="448"/>
      <c r="DO138" s="421"/>
      <c r="DP138" s="447"/>
      <c r="DQ138" s="419"/>
      <c r="DR138" s="448"/>
      <c r="DS138" s="421"/>
      <c r="DT138" s="447"/>
      <c r="DU138" s="419"/>
      <c r="DV138" s="448"/>
      <c r="DW138" s="421"/>
      <c r="DX138" s="447"/>
      <c r="DY138" s="419"/>
      <c r="DZ138" s="448"/>
      <c r="EA138" s="421"/>
      <c r="EB138" s="447"/>
      <c r="EC138" s="419"/>
      <c r="ED138" s="448"/>
      <c r="EE138" s="421"/>
      <c r="EF138" s="419"/>
      <c r="EG138" s="421"/>
      <c r="EH138" s="424">
        <f t="shared" si="57"/>
        <v>0</v>
      </c>
      <c r="EI138" s="424">
        <f t="shared" si="58"/>
        <v>0</v>
      </c>
      <c r="EJ138" s="422">
        <f t="shared" si="59"/>
        <v>0</v>
      </c>
      <c r="EK138" s="425">
        <f t="shared" si="60"/>
        <v>0</v>
      </c>
      <c r="EL138" s="425">
        <f t="shared" si="61"/>
        <v>0</v>
      </c>
      <c r="EM138" s="423">
        <f t="shared" si="62"/>
        <v>0</v>
      </c>
      <c r="EN138" s="424">
        <f t="shared" si="63"/>
        <v>0</v>
      </c>
      <c r="EO138" s="425">
        <f t="shared" si="64"/>
        <v>0</v>
      </c>
      <c r="EP138" s="419"/>
      <c r="EQ138" s="421"/>
      <c r="ER138" s="419"/>
      <c r="ES138" s="421"/>
      <c r="ET138" s="419"/>
      <c r="EU138" s="421"/>
      <c r="EV138" s="419"/>
      <c r="EW138" s="421"/>
      <c r="EX138" s="419"/>
      <c r="EY138" s="421"/>
      <c r="EZ138" s="419"/>
      <c r="FA138" s="421"/>
      <c r="FB138" s="419"/>
      <c r="FC138" s="421"/>
      <c r="FD138" s="419"/>
      <c r="FE138" s="421"/>
      <c r="FF138" s="419"/>
      <c r="FG138" s="421"/>
      <c r="FH138" s="419"/>
      <c r="FI138" s="421"/>
      <c r="FJ138" s="424">
        <f t="shared" si="65"/>
        <v>0</v>
      </c>
      <c r="FK138" s="425">
        <f t="shared" si="66"/>
        <v>0</v>
      </c>
      <c r="FL138" s="419"/>
      <c r="FM138" s="421"/>
      <c r="FN138" s="424">
        <f t="shared" si="67"/>
        <v>374</v>
      </c>
      <c r="FO138" s="425">
        <f t="shared" si="68"/>
        <v>413</v>
      </c>
    </row>
    <row r="139" spans="1:171">
      <c r="A139" s="418" t="s">
        <v>157</v>
      </c>
      <c r="B139" s="30" t="s">
        <v>661</v>
      </c>
      <c r="C139" s="102"/>
      <c r="D139" s="101">
        <v>138682</v>
      </c>
      <c r="E139" s="101">
        <v>12</v>
      </c>
      <c r="F139" s="419">
        <v>1607</v>
      </c>
      <c r="G139" s="421">
        <v>1535</v>
      </c>
      <c r="H139" s="419">
        <v>73</v>
      </c>
      <c r="I139" s="420">
        <v>52</v>
      </c>
      <c r="J139" s="419">
        <v>282</v>
      </c>
      <c r="K139" s="421">
        <v>329</v>
      </c>
      <c r="L139" s="422">
        <f t="shared" ref="L139:L202" si="71">IF(N139&gt;0,J139/N139, )</f>
        <v>0</v>
      </c>
      <c r="M139" s="423">
        <f t="shared" ref="M139:M202" si="72">IF(S139&gt;0,K139/S139, )</f>
        <v>0</v>
      </c>
      <c r="N139" s="419"/>
      <c r="O139" s="309">
        <f>0</f>
        <v>0</v>
      </c>
      <c r="P139" s="309">
        <f>0</f>
        <v>0</v>
      </c>
      <c r="Q139" s="309">
        <f>0</f>
        <v>0</v>
      </c>
      <c r="R139" s="424">
        <f t="shared" si="69"/>
        <v>0</v>
      </c>
      <c r="S139" s="421"/>
      <c r="T139" s="301">
        <f>0</f>
        <v>0</v>
      </c>
      <c r="U139" s="301">
        <f>0</f>
        <v>0</v>
      </c>
      <c r="V139" s="301">
        <f>0</f>
        <v>0</v>
      </c>
      <c r="W139" s="425">
        <f t="shared" si="70"/>
        <v>0</v>
      </c>
      <c r="X139" s="419"/>
      <c r="Y139" s="419"/>
      <c r="Z139" s="421"/>
      <c r="AA139" s="421"/>
      <c r="AB139" s="419"/>
      <c r="AC139" s="419"/>
      <c r="AD139" s="421"/>
      <c r="AE139" s="421"/>
      <c r="AF139" s="419"/>
      <c r="AG139" s="419"/>
      <c r="AH139" s="421"/>
      <c r="AI139" s="421"/>
      <c r="AJ139" s="419"/>
      <c r="AK139" s="419"/>
      <c r="AL139" s="421"/>
      <c r="AM139" s="421"/>
      <c r="AN139" s="419"/>
      <c r="AO139" s="419"/>
      <c r="AP139" s="421"/>
      <c r="AQ139" s="421"/>
      <c r="AR139" s="424">
        <f t="shared" ref="AR139:AR202" si="73">COUNTA(X139,AB139,AF139,AJ139,AN139)</f>
        <v>0</v>
      </c>
      <c r="AS139" s="422">
        <f t="shared" ref="AS139:AS202" si="74">IF(FN139&gt;0,N139/FN139,)</f>
        <v>0</v>
      </c>
      <c r="AT139" s="425">
        <f t="shared" ref="AT139:AT202" si="75">COUNTA(Z139,AD139,AH139,AL139,AP139)</f>
        <v>0</v>
      </c>
      <c r="AU139" s="423">
        <f t="shared" ref="AU139:AU202" si="76">IF(FO139&gt;0,S139/FO139,)</f>
        <v>0</v>
      </c>
      <c r="AV139" s="419"/>
      <c r="AW139" s="421"/>
      <c r="AX139" s="419"/>
      <c r="AY139" s="419"/>
      <c r="AZ139" s="421"/>
      <c r="BA139" s="421"/>
      <c r="BB139" s="419"/>
      <c r="BC139" s="419"/>
      <c r="BD139" s="421"/>
      <c r="BE139" s="421"/>
      <c r="BF139" s="419"/>
      <c r="BG139" s="419"/>
      <c r="BH139" s="421"/>
      <c r="BI139" s="421"/>
      <c r="BJ139" s="419"/>
      <c r="BK139" s="419"/>
      <c r="BL139" s="421"/>
      <c r="BM139" s="421"/>
      <c r="BN139" s="419"/>
      <c r="BO139" s="419"/>
      <c r="BP139" s="421"/>
      <c r="BQ139" s="421"/>
      <c r="BR139" s="419"/>
      <c r="BS139" s="419"/>
      <c r="BT139" s="421"/>
      <c r="BU139" s="421"/>
      <c r="BV139" s="419"/>
      <c r="BW139" s="419"/>
      <c r="BX139" s="421"/>
      <c r="BY139" s="421"/>
      <c r="BZ139" s="419"/>
      <c r="CA139" s="419"/>
      <c r="CB139" s="421"/>
      <c r="CC139" s="421"/>
      <c r="CD139" s="419"/>
      <c r="CE139" s="419"/>
      <c r="CF139" s="421"/>
      <c r="CG139" s="421"/>
      <c r="CH139" s="419"/>
      <c r="CI139" s="419"/>
      <c r="CJ139" s="421"/>
      <c r="CK139" s="421"/>
      <c r="CL139" s="419"/>
      <c r="CM139" s="421"/>
      <c r="CN139" s="424">
        <f t="shared" ref="CN139:CN202" si="77">AY139+BC139+BG139+BK139+BO139+BS139+BW139+CA139+CE139+CI139+CL139</f>
        <v>0</v>
      </c>
      <c r="CO139" s="424">
        <f t="shared" ref="CO139:CO202" si="78">COUNTA(AX139,BB139,BF139,BJ139,BN139,BR139,BV139,BZ139,CD139,CH139)</f>
        <v>0</v>
      </c>
      <c r="CP139" s="425">
        <f t="shared" ref="CP139:CP202" si="79">BA139+BE139+BI139+BM139+BQ139+BU139+BY139+CC139+CG139+CK139+CM139</f>
        <v>0</v>
      </c>
      <c r="CQ139" s="425">
        <f t="shared" ref="CQ139:CQ202" si="80">COUNTA(AZ139,BD139,BH139,BL139,BP139,BT139,BX139,CB139,CF139,CJ139)</f>
        <v>0</v>
      </c>
      <c r="CR139" s="419"/>
      <c r="CS139" s="419"/>
      <c r="CT139" s="421"/>
      <c r="CU139" s="421"/>
      <c r="CV139" s="419"/>
      <c r="CW139" s="419"/>
      <c r="CX139" s="421"/>
      <c r="CY139" s="421"/>
      <c r="CZ139" s="419"/>
      <c r="DA139" s="419"/>
      <c r="DB139" s="421"/>
      <c r="DC139" s="421"/>
      <c r="DD139" s="419"/>
      <c r="DE139" s="419"/>
      <c r="DF139" s="421"/>
      <c r="DG139" s="421"/>
      <c r="DH139" s="419"/>
      <c r="DI139" s="419"/>
      <c r="DJ139" s="421"/>
      <c r="DK139" s="421"/>
      <c r="DL139" s="419"/>
      <c r="DM139" s="419"/>
      <c r="DN139" s="421"/>
      <c r="DO139" s="421"/>
      <c r="DP139" s="419"/>
      <c r="DQ139" s="419"/>
      <c r="DR139" s="421"/>
      <c r="DS139" s="421"/>
      <c r="DT139" s="419"/>
      <c r="DU139" s="419"/>
      <c r="DV139" s="421"/>
      <c r="DW139" s="421"/>
      <c r="DX139" s="419"/>
      <c r="DY139" s="419"/>
      <c r="DZ139" s="421"/>
      <c r="EA139" s="421"/>
      <c r="EB139" s="419"/>
      <c r="EC139" s="419"/>
      <c r="ED139" s="421"/>
      <c r="EE139" s="421"/>
      <c r="EF139" s="419"/>
      <c r="EG139" s="421"/>
      <c r="EH139" s="424">
        <f t="shared" ref="EH139:EH202" si="81">CS139+CW139+DA139+DE139+DI139+DM139+DQ139+DU139+DY139+EC139+EF139</f>
        <v>0</v>
      </c>
      <c r="EI139" s="424">
        <f t="shared" ref="EI139:EI202" si="82">COUNTA(CR139,CV139,CZ139,DD139,DH139,DL139,DP139,DT139,DX139,EB139)</f>
        <v>0</v>
      </c>
      <c r="EJ139" s="422">
        <f t="shared" ref="EJ139:EJ202" si="83">IF(EH139&gt;0,CS139/EH139,)</f>
        <v>0</v>
      </c>
      <c r="EK139" s="425">
        <f t="shared" ref="EK139:EK202" si="84">CU139+CY139+DC139+DG139+DK139+DO139+DS139+DW139+EA139+EE139+EG139</f>
        <v>0</v>
      </c>
      <c r="EL139" s="425">
        <f t="shared" ref="EL139:EL202" si="85">COUNTA(CT139,CX139,DB139,DF139,DJ139,DN139,DR139,DV139,DZ139,ED139)</f>
        <v>0</v>
      </c>
      <c r="EM139" s="423">
        <f t="shared" ref="EM139:EM202" si="86">IF(EK139&gt;0,CU139/EK139,)</f>
        <v>0</v>
      </c>
      <c r="EN139" s="424">
        <f t="shared" ref="EN139:EN202" si="87">CN139+EH139</f>
        <v>0</v>
      </c>
      <c r="EO139" s="425">
        <f t="shared" ref="EO139:EO202" si="88">CP139+EK139</f>
        <v>0</v>
      </c>
      <c r="EP139" s="419"/>
      <c r="EQ139" s="421"/>
      <c r="ER139" s="419"/>
      <c r="ES139" s="421"/>
      <c r="ET139" s="419"/>
      <c r="EU139" s="421"/>
      <c r="EV139" s="419"/>
      <c r="EW139" s="421"/>
      <c r="EX139" s="419"/>
      <c r="EY139" s="421"/>
      <c r="EZ139" s="419"/>
      <c r="FA139" s="421"/>
      <c r="FB139" s="419"/>
      <c r="FC139" s="421"/>
      <c r="FD139" s="419"/>
      <c r="FE139" s="421"/>
      <c r="FF139" s="419"/>
      <c r="FG139" s="421"/>
      <c r="FH139" s="419"/>
      <c r="FI139" s="421"/>
      <c r="FJ139" s="424">
        <f t="shared" ref="FJ139:FJ202" si="89">EP139+ER139+ET139+EV139+EX139+EZ139+FB139+FD139+FF139+FH139</f>
        <v>0</v>
      </c>
      <c r="FK139" s="425">
        <f t="shared" ref="FK139:FK202" si="90">EQ139+ES139+EU139+EW139+EY139+FA139+FC139+FE139+FG139+FI139</f>
        <v>0</v>
      </c>
      <c r="FL139" s="419"/>
      <c r="FM139" s="421"/>
      <c r="FN139" s="424">
        <f t="shared" ref="FN139:FN202" si="91">F139+H139+J139+N139+AV139+EN139+FJ139+FL139</f>
        <v>1962</v>
      </c>
      <c r="FO139" s="425">
        <f t="shared" ref="FO139:FO202" si="92">G139+I139+K139+S139+AW139+EO139+FK139+FM139</f>
        <v>1916</v>
      </c>
    </row>
    <row r="140" spans="1:171">
      <c r="A140" s="418" t="s">
        <v>157</v>
      </c>
      <c r="B140" s="99" t="s">
        <v>662</v>
      </c>
      <c r="C140" s="100"/>
      <c r="D140" s="101">
        <v>246813</v>
      </c>
      <c r="E140" s="101">
        <v>12</v>
      </c>
      <c r="F140" s="419">
        <v>1512</v>
      </c>
      <c r="G140" s="421">
        <v>1606</v>
      </c>
      <c r="H140" s="419">
        <v>42</v>
      </c>
      <c r="I140" s="420">
        <v>51</v>
      </c>
      <c r="J140" s="419">
        <v>372</v>
      </c>
      <c r="K140" s="420">
        <v>511</v>
      </c>
      <c r="L140" s="422">
        <f t="shared" si="71"/>
        <v>0</v>
      </c>
      <c r="M140" s="423">
        <f t="shared" si="72"/>
        <v>0</v>
      </c>
      <c r="N140" s="419"/>
      <c r="O140" s="309">
        <f>0</f>
        <v>0</v>
      </c>
      <c r="P140" s="309">
        <f>0</f>
        <v>0</v>
      </c>
      <c r="Q140" s="309">
        <f>0</f>
        <v>0</v>
      </c>
      <c r="R140" s="424">
        <f t="shared" si="69"/>
        <v>0</v>
      </c>
      <c r="S140" s="421"/>
      <c r="T140" s="301">
        <f>0</f>
        <v>0</v>
      </c>
      <c r="U140" s="301">
        <f>0</f>
        <v>0</v>
      </c>
      <c r="V140" s="301">
        <f>0</f>
        <v>0</v>
      </c>
      <c r="W140" s="425">
        <f t="shared" si="70"/>
        <v>0</v>
      </c>
      <c r="X140" s="419"/>
      <c r="Y140" s="419"/>
      <c r="Z140" s="421"/>
      <c r="AA140" s="421"/>
      <c r="AB140" s="419"/>
      <c r="AC140" s="419"/>
      <c r="AD140" s="421"/>
      <c r="AE140" s="421"/>
      <c r="AF140" s="419"/>
      <c r="AG140" s="419"/>
      <c r="AH140" s="421"/>
      <c r="AI140" s="421"/>
      <c r="AJ140" s="419"/>
      <c r="AK140" s="419"/>
      <c r="AL140" s="421"/>
      <c r="AM140" s="421"/>
      <c r="AN140" s="419"/>
      <c r="AO140" s="419"/>
      <c r="AP140" s="421"/>
      <c r="AQ140" s="421"/>
      <c r="AR140" s="424">
        <f t="shared" si="73"/>
        <v>0</v>
      </c>
      <c r="AS140" s="422">
        <f t="shared" si="74"/>
        <v>0</v>
      </c>
      <c r="AT140" s="425">
        <f t="shared" si="75"/>
        <v>0</v>
      </c>
      <c r="AU140" s="423">
        <f t="shared" si="76"/>
        <v>0</v>
      </c>
      <c r="AV140" s="419"/>
      <c r="AW140" s="421"/>
      <c r="AX140" s="419"/>
      <c r="AY140" s="419"/>
      <c r="AZ140" s="421"/>
      <c r="BA140" s="421"/>
      <c r="BB140" s="419"/>
      <c r="BC140" s="419"/>
      <c r="BD140" s="421"/>
      <c r="BE140" s="421"/>
      <c r="BF140" s="419"/>
      <c r="BG140" s="419"/>
      <c r="BH140" s="421"/>
      <c r="BI140" s="421"/>
      <c r="BJ140" s="419"/>
      <c r="BK140" s="419"/>
      <c r="BL140" s="421"/>
      <c r="BM140" s="421"/>
      <c r="BN140" s="419"/>
      <c r="BO140" s="419"/>
      <c r="BP140" s="421"/>
      <c r="BQ140" s="421"/>
      <c r="BR140" s="419"/>
      <c r="BS140" s="419"/>
      <c r="BT140" s="421"/>
      <c r="BU140" s="421"/>
      <c r="BV140" s="419"/>
      <c r="BW140" s="419"/>
      <c r="BX140" s="421"/>
      <c r="BY140" s="421"/>
      <c r="BZ140" s="419"/>
      <c r="CA140" s="419"/>
      <c r="CB140" s="421"/>
      <c r="CC140" s="421"/>
      <c r="CD140" s="419"/>
      <c r="CE140" s="419"/>
      <c r="CF140" s="421"/>
      <c r="CG140" s="421"/>
      <c r="CH140" s="419"/>
      <c r="CI140" s="419"/>
      <c r="CJ140" s="421"/>
      <c r="CK140" s="421"/>
      <c r="CL140" s="419"/>
      <c r="CM140" s="421"/>
      <c r="CN140" s="424">
        <f t="shared" si="77"/>
        <v>0</v>
      </c>
      <c r="CO140" s="424">
        <f t="shared" si="78"/>
        <v>0</v>
      </c>
      <c r="CP140" s="425">
        <f t="shared" si="79"/>
        <v>0</v>
      </c>
      <c r="CQ140" s="425">
        <f t="shared" si="80"/>
        <v>0</v>
      </c>
      <c r="CR140" s="419"/>
      <c r="CS140" s="419"/>
      <c r="CT140" s="421"/>
      <c r="CU140" s="421"/>
      <c r="CV140" s="419"/>
      <c r="CW140" s="419"/>
      <c r="CX140" s="421"/>
      <c r="CY140" s="421"/>
      <c r="CZ140" s="419"/>
      <c r="DA140" s="419"/>
      <c r="DB140" s="421"/>
      <c r="DC140" s="421"/>
      <c r="DD140" s="419"/>
      <c r="DE140" s="419"/>
      <c r="DF140" s="421"/>
      <c r="DG140" s="421"/>
      <c r="DH140" s="419"/>
      <c r="DI140" s="419"/>
      <c r="DJ140" s="421"/>
      <c r="DK140" s="421"/>
      <c r="DL140" s="419"/>
      <c r="DM140" s="419"/>
      <c r="DN140" s="421"/>
      <c r="DO140" s="421"/>
      <c r="DP140" s="419"/>
      <c r="DQ140" s="419"/>
      <c r="DR140" s="421"/>
      <c r="DS140" s="421"/>
      <c r="DT140" s="419"/>
      <c r="DU140" s="419"/>
      <c r="DV140" s="421"/>
      <c r="DW140" s="421"/>
      <c r="DX140" s="419"/>
      <c r="DY140" s="419"/>
      <c r="DZ140" s="421"/>
      <c r="EA140" s="421"/>
      <c r="EB140" s="419"/>
      <c r="EC140" s="419"/>
      <c r="ED140" s="421"/>
      <c r="EE140" s="421"/>
      <c r="EF140" s="419"/>
      <c r="EG140" s="421"/>
      <c r="EH140" s="424">
        <f t="shared" si="81"/>
        <v>0</v>
      </c>
      <c r="EI140" s="424">
        <f t="shared" si="82"/>
        <v>0</v>
      </c>
      <c r="EJ140" s="422">
        <f t="shared" si="83"/>
        <v>0</v>
      </c>
      <c r="EK140" s="425">
        <f t="shared" si="84"/>
        <v>0</v>
      </c>
      <c r="EL140" s="425">
        <f t="shared" si="85"/>
        <v>0</v>
      </c>
      <c r="EM140" s="423">
        <f t="shared" si="86"/>
        <v>0</v>
      </c>
      <c r="EN140" s="424">
        <f t="shared" si="87"/>
        <v>0</v>
      </c>
      <c r="EO140" s="425">
        <f t="shared" si="88"/>
        <v>0</v>
      </c>
      <c r="EP140" s="419"/>
      <c r="EQ140" s="421"/>
      <c r="ER140" s="419"/>
      <c r="ES140" s="421"/>
      <c r="ET140" s="419"/>
      <c r="EU140" s="421"/>
      <c r="EV140" s="419"/>
      <c r="EW140" s="421"/>
      <c r="EX140" s="419"/>
      <c r="EY140" s="421"/>
      <c r="EZ140" s="419"/>
      <c r="FA140" s="421"/>
      <c r="FB140" s="419"/>
      <c r="FC140" s="421"/>
      <c r="FD140" s="419"/>
      <c r="FE140" s="421"/>
      <c r="FF140" s="419"/>
      <c r="FG140" s="421"/>
      <c r="FH140" s="419"/>
      <c r="FI140" s="421"/>
      <c r="FJ140" s="424">
        <f t="shared" si="89"/>
        <v>0</v>
      </c>
      <c r="FK140" s="425">
        <f t="shared" si="90"/>
        <v>0</v>
      </c>
      <c r="FL140" s="419"/>
      <c r="FM140" s="421"/>
      <c r="FN140" s="424">
        <f t="shared" si="91"/>
        <v>1926</v>
      </c>
      <c r="FO140" s="425">
        <f t="shared" si="92"/>
        <v>2168</v>
      </c>
    </row>
    <row r="141" spans="1:171">
      <c r="A141" s="418" t="s">
        <v>157</v>
      </c>
      <c r="B141" s="99" t="s">
        <v>663</v>
      </c>
      <c r="C141" s="100"/>
      <c r="D141" s="101">
        <v>138840</v>
      </c>
      <c r="E141" s="101">
        <v>12</v>
      </c>
      <c r="F141" s="419">
        <v>2099</v>
      </c>
      <c r="G141" s="421">
        <v>1837</v>
      </c>
      <c r="H141" s="419">
        <v>55</v>
      </c>
      <c r="I141" s="421">
        <v>50</v>
      </c>
      <c r="J141" s="419">
        <v>224</v>
      </c>
      <c r="K141" s="421">
        <v>264</v>
      </c>
      <c r="L141" s="422">
        <f t="shared" si="71"/>
        <v>0</v>
      </c>
      <c r="M141" s="423">
        <f t="shared" si="72"/>
        <v>0</v>
      </c>
      <c r="N141" s="419"/>
      <c r="O141" s="309">
        <f>0</f>
        <v>0</v>
      </c>
      <c r="P141" s="309">
        <f>0</f>
        <v>0</v>
      </c>
      <c r="Q141" s="309">
        <f>0</f>
        <v>0</v>
      </c>
      <c r="R141" s="424">
        <f t="shared" si="69"/>
        <v>0</v>
      </c>
      <c r="S141" s="421"/>
      <c r="T141" s="301">
        <f>0</f>
        <v>0</v>
      </c>
      <c r="U141" s="301">
        <f>0</f>
        <v>0</v>
      </c>
      <c r="V141" s="301">
        <f>0</f>
        <v>0</v>
      </c>
      <c r="W141" s="425">
        <f t="shared" si="70"/>
        <v>0</v>
      </c>
      <c r="X141" s="419"/>
      <c r="Y141" s="419"/>
      <c r="Z141" s="421"/>
      <c r="AA141" s="421"/>
      <c r="AB141" s="419"/>
      <c r="AC141" s="419"/>
      <c r="AD141" s="421"/>
      <c r="AE141" s="421"/>
      <c r="AF141" s="419"/>
      <c r="AG141" s="419"/>
      <c r="AH141" s="421"/>
      <c r="AI141" s="421"/>
      <c r="AJ141" s="419"/>
      <c r="AK141" s="419"/>
      <c r="AL141" s="421"/>
      <c r="AM141" s="421"/>
      <c r="AN141" s="419"/>
      <c r="AO141" s="419"/>
      <c r="AP141" s="421"/>
      <c r="AQ141" s="421"/>
      <c r="AR141" s="424">
        <f t="shared" si="73"/>
        <v>0</v>
      </c>
      <c r="AS141" s="422">
        <f t="shared" si="74"/>
        <v>0</v>
      </c>
      <c r="AT141" s="425">
        <f t="shared" si="75"/>
        <v>0</v>
      </c>
      <c r="AU141" s="423">
        <f t="shared" si="76"/>
        <v>0</v>
      </c>
      <c r="AV141" s="419"/>
      <c r="AW141" s="421"/>
      <c r="AX141" s="419"/>
      <c r="AY141" s="419"/>
      <c r="AZ141" s="421"/>
      <c r="BA141" s="421"/>
      <c r="BB141" s="419"/>
      <c r="BC141" s="419"/>
      <c r="BD141" s="421"/>
      <c r="BE141" s="421"/>
      <c r="BF141" s="419"/>
      <c r="BG141" s="419"/>
      <c r="BH141" s="421"/>
      <c r="BI141" s="421"/>
      <c r="BJ141" s="419"/>
      <c r="BK141" s="419"/>
      <c r="BL141" s="421"/>
      <c r="BM141" s="421"/>
      <c r="BN141" s="419"/>
      <c r="BO141" s="419"/>
      <c r="BP141" s="421"/>
      <c r="BQ141" s="421"/>
      <c r="BR141" s="419"/>
      <c r="BS141" s="419"/>
      <c r="BT141" s="421"/>
      <c r="BU141" s="421"/>
      <c r="BV141" s="419"/>
      <c r="BW141" s="419"/>
      <c r="BX141" s="421"/>
      <c r="BY141" s="421"/>
      <c r="BZ141" s="419"/>
      <c r="CA141" s="419"/>
      <c r="CB141" s="421"/>
      <c r="CC141" s="421"/>
      <c r="CD141" s="419"/>
      <c r="CE141" s="419"/>
      <c r="CF141" s="421"/>
      <c r="CG141" s="421"/>
      <c r="CH141" s="419"/>
      <c r="CI141" s="419"/>
      <c r="CJ141" s="421"/>
      <c r="CK141" s="421"/>
      <c r="CL141" s="419"/>
      <c r="CM141" s="421"/>
      <c r="CN141" s="424">
        <f t="shared" si="77"/>
        <v>0</v>
      </c>
      <c r="CO141" s="424">
        <f t="shared" si="78"/>
        <v>0</v>
      </c>
      <c r="CP141" s="425">
        <f t="shared" si="79"/>
        <v>0</v>
      </c>
      <c r="CQ141" s="425">
        <f t="shared" si="80"/>
        <v>0</v>
      </c>
      <c r="CR141" s="419"/>
      <c r="CS141" s="419"/>
      <c r="CT141" s="421"/>
      <c r="CU141" s="421"/>
      <c r="CV141" s="419"/>
      <c r="CW141" s="419"/>
      <c r="CX141" s="421"/>
      <c r="CY141" s="421"/>
      <c r="CZ141" s="419"/>
      <c r="DA141" s="419"/>
      <c r="DB141" s="421"/>
      <c r="DC141" s="421"/>
      <c r="DD141" s="419"/>
      <c r="DE141" s="419"/>
      <c r="DF141" s="421"/>
      <c r="DG141" s="421"/>
      <c r="DH141" s="419"/>
      <c r="DI141" s="419"/>
      <c r="DJ141" s="421"/>
      <c r="DK141" s="421"/>
      <c r="DL141" s="419"/>
      <c r="DM141" s="419"/>
      <c r="DN141" s="421"/>
      <c r="DO141" s="421"/>
      <c r="DP141" s="419"/>
      <c r="DQ141" s="419"/>
      <c r="DR141" s="421"/>
      <c r="DS141" s="421"/>
      <c r="DT141" s="419"/>
      <c r="DU141" s="419"/>
      <c r="DV141" s="421"/>
      <c r="DW141" s="421"/>
      <c r="DX141" s="419"/>
      <c r="DY141" s="419"/>
      <c r="DZ141" s="421"/>
      <c r="EA141" s="421"/>
      <c r="EB141" s="419"/>
      <c r="EC141" s="419"/>
      <c r="ED141" s="421"/>
      <c r="EE141" s="421"/>
      <c r="EF141" s="419"/>
      <c r="EG141" s="421"/>
      <c r="EH141" s="424">
        <f t="shared" si="81"/>
        <v>0</v>
      </c>
      <c r="EI141" s="424">
        <f t="shared" si="82"/>
        <v>0</v>
      </c>
      <c r="EJ141" s="422">
        <f t="shared" si="83"/>
        <v>0</v>
      </c>
      <c r="EK141" s="425">
        <f t="shared" si="84"/>
        <v>0</v>
      </c>
      <c r="EL141" s="425">
        <f t="shared" si="85"/>
        <v>0</v>
      </c>
      <c r="EM141" s="423">
        <f t="shared" si="86"/>
        <v>0</v>
      </c>
      <c r="EN141" s="424">
        <f t="shared" si="87"/>
        <v>0</v>
      </c>
      <c r="EO141" s="425">
        <f t="shared" si="88"/>
        <v>0</v>
      </c>
      <c r="EP141" s="419"/>
      <c r="EQ141" s="421"/>
      <c r="ER141" s="419"/>
      <c r="ES141" s="421"/>
      <c r="ET141" s="419"/>
      <c r="EU141" s="421"/>
      <c r="EV141" s="419"/>
      <c r="EW141" s="421"/>
      <c r="EX141" s="419"/>
      <c r="EY141" s="421"/>
      <c r="EZ141" s="419"/>
      <c r="FA141" s="421"/>
      <c r="FB141" s="419"/>
      <c r="FC141" s="421"/>
      <c r="FD141" s="419"/>
      <c r="FE141" s="421"/>
      <c r="FF141" s="419"/>
      <c r="FG141" s="421"/>
      <c r="FH141" s="419"/>
      <c r="FI141" s="421"/>
      <c r="FJ141" s="424">
        <f t="shared" si="89"/>
        <v>0</v>
      </c>
      <c r="FK141" s="425">
        <f t="shared" si="90"/>
        <v>0</v>
      </c>
      <c r="FL141" s="419"/>
      <c r="FM141" s="421"/>
      <c r="FN141" s="424">
        <f t="shared" si="91"/>
        <v>2378</v>
      </c>
      <c r="FO141" s="425">
        <f t="shared" si="92"/>
        <v>2151</v>
      </c>
    </row>
    <row r="142" spans="1:171" customFormat="1" ht="12.65" customHeight="1">
      <c r="A142" s="418" t="s">
        <v>157</v>
      </c>
      <c r="B142" s="99" t="s">
        <v>664</v>
      </c>
      <c r="C142" s="99"/>
      <c r="D142" s="101">
        <v>138956</v>
      </c>
      <c r="E142" s="101">
        <v>12</v>
      </c>
      <c r="F142" s="419">
        <v>1563</v>
      </c>
      <c r="G142" s="421">
        <v>1509</v>
      </c>
      <c r="H142" s="419">
        <v>69</v>
      </c>
      <c r="I142" s="420">
        <v>52</v>
      </c>
      <c r="J142" s="419">
        <v>421</v>
      </c>
      <c r="K142" s="421">
        <v>422</v>
      </c>
      <c r="L142" s="422">
        <f t="shared" si="71"/>
        <v>0</v>
      </c>
      <c r="M142" s="423">
        <f t="shared" si="72"/>
        <v>0</v>
      </c>
      <c r="N142" s="419"/>
      <c r="O142" s="309">
        <f>0</f>
        <v>0</v>
      </c>
      <c r="P142" s="309">
        <f>0</f>
        <v>0</v>
      </c>
      <c r="Q142" s="309">
        <f>0</f>
        <v>0</v>
      </c>
      <c r="R142" s="424">
        <f t="shared" si="69"/>
        <v>0</v>
      </c>
      <c r="S142" s="421"/>
      <c r="T142" s="301">
        <f>0</f>
        <v>0</v>
      </c>
      <c r="U142" s="301">
        <f>0</f>
        <v>0</v>
      </c>
      <c r="V142" s="301">
        <f>0</f>
        <v>0</v>
      </c>
      <c r="W142" s="425">
        <f t="shared" si="70"/>
        <v>0</v>
      </c>
      <c r="X142" s="419"/>
      <c r="Y142" s="419"/>
      <c r="Z142" s="421"/>
      <c r="AA142" s="421"/>
      <c r="AB142" s="419"/>
      <c r="AC142" s="419"/>
      <c r="AD142" s="421"/>
      <c r="AE142" s="421"/>
      <c r="AF142" s="419"/>
      <c r="AG142" s="419"/>
      <c r="AH142" s="421"/>
      <c r="AI142" s="421"/>
      <c r="AJ142" s="419"/>
      <c r="AK142" s="419"/>
      <c r="AL142" s="421"/>
      <c r="AM142" s="421"/>
      <c r="AN142" s="419"/>
      <c r="AO142" s="419"/>
      <c r="AP142" s="421"/>
      <c r="AQ142" s="421"/>
      <c r="AR142" s="424">
        <f t="shared" si="73"/>
        <v>0</v>
      </c>
      <c r="AS142" s="422">
        <f t="shared" si="74"/>
        <v>0</v>
      </c>
      <c r="AT142" s="425">
        <f t="shared" si="75"/>
        <v>0</v>
      </c>
      <c r="AU142" s="423">
        <f t="shared" si="76"/>
        <v>0</v>
      </c>
      <c r="AV142" s="419"/>
      <c r="AW142" s="421"/>
      <c r="AX142" s="419"/>
      <c r="AY142" s="419"/>
      <c r="AZ142" s="421"/>
      <c r="BA142" s="421"/>
      <c r="BB142" s="419"/>
      <c r="BC142" s="419"/>
      <c r="BD142" s="421"/>
      <c r="BE142" s="421"/>
      <c r="BF142" s="419"/>
      <c r="BG142" s="419"/>
      <c r="BH142" s="421"/>
      <c r="BI142" s="421"/>
      <c r="BJ142" s="419"/>
      <c r="BK142" s="419"/>
      <c r="BL142" s="421"/>
      <c r="BM142" s="421"/>
      <c r="BN142" s="419"/>
      <c r="BO142" s="419"/>
      <c r="BP142" s="421"/>
      <c r="BQ142" s="421"/>
      <c r="BR142" s="419"/>
      <c r="BS142" s="419"/>
      <c r="BT142" s="421"/>
      <c r="BU142" s="421"/>
      <c r="BV142" s="419"/>
      <c r="BW142" s="419"/>
      <c r="BX142" s="421"/>
      <c r="BY142" s="421"/>
      <c r="BZ142" s="419"/>
      <c r="CA142" s="419"/>
      <c r="CB142" s="421"/>
      <c r="CC142" s="421"/>
      <c r="CD142" s="419"/>
      <c r="CE142" s="419"/>
      <c r="CF142" s="421"/>
      <c r="CG142" s="421"/>
      <c r="CH142" s="419"/>
      <c r="CI142" s="419"/>
      <c r="CJ142" s="421"/>
      <c r="CK142" s="421"/>
      <c r="CL142" s="419"/>
      <c r="CM142" s="421"/>
      <c r="CN142" s="424">
        <f t="shared" si="77"/>
        <v>0</v>
      </c>
      <c r="CO142" s="424">
        <f t="shared" si="78"/>
        <v>0</v>
      </c>
      <c r="CP142" s="425">
        <f t="shared" si="79"/>
        <v>0</v>
      </c>
      <c r="CQ142" s="425">
        <f t="shared" si="80"/>
        <v>0</v>
      </c>
      <c r="CR142" s="419"/>
      <c r="CS142" s="419"/>
      <c r="CT142" s="421"/>
      <c r="CU142" s="421"/>
      <c r="CV142" s="419"/>
      <c r="CW142" s="419"/>
      <c r="CX142" s="421"/>
      <c r="CY142" s="421"/>
      <c r="CZ142" s="419"/>
      <c r="DA142" s="419"/>
      <c r="DB142" s="421"/>
      <c r="DC142" s="421"/>
      <c r="DD142" s="419"/>
      <c r="DE142" s="419"/>
      <c r="DF142" s="421"/>
      <c r="DG142" s="421"/>
      <c r="DH142" s="419"/>
      <c r="DI142" s="419"/>
      <c r="DJ142" s="421"/>
      <c r="DK142" s="421"/>
      <c r="DL142" s="419"/>
      <c r="DM142" s="419"/>
      <c r="DN142" s="421"/>
      <c r="DO142" s="421"/>
      <c r="DP142" s="419"/>
      <c r="DQ142" s="419"/>
      <c r="DR142" s="421"/>
      <c r="DS142" s="421"/>
      <c r="DT142" s="419"/>
      <c r="DU142" s="419"/>
      <c r="DV142" s="421"/>
      <c r="DW142" s="421"/>
      <c r="DX142" s="419"/>
      <c r="DY142" s="419"/>
      <c r="DZ142" s="421"/>
      <c r="EA142" s="421"/>
      <c r="EB142" s="419"/>
      <c r="EC142" s="419"/>
      <c r="ED142" s="421"/>
      <c r="EE142" s="421"/>
      <c r="EF142" s="419"/>
      <c r="EG142" s="421"/>
      <c r="EH142" s="424">
        <f t="shared" si="81"/>
        <v>0</v>
      </c>
      <c r="EI142" s="424">
        <f t="shared" si="82"/>
        <v>0</v>
      </c>
      <c r="EJ142" s="422">
        <f t="shared" si="83"/>
        <v>0</v>
      </c>
      <c r="EK142" s="425">
        <f t="shared" si="84"/>
        <v>0</v>
      </c>
      <c r="EL142" s="425">
        <f t="shared" si="85"/>
        <v>0</v>
      </c>
      <c r="EM142" s="423">
        <f t="shared" si="86"/>
        <v>0</v>
      </c>
      <c r="EN142" s="424">
        <f t="shared" si="87"/>
        <v>0</v>
      </c>
      <c r="EO142" s="425">
        <f t="shared" si="88"/>
        <v>0</v>
      </c>
      <c r="EP142" s="419"/>
      <c r="EQ142" s="421"/>
      <c r="ER142" s="419"/>
      <c r="ES142" s="421"/>
      <c r="ET142" s="419"/>
      <c r="EU142" s="421"/>
      <c r="EV142" s="419"/>
      <c r="EW142" s="421"/>
      <c r="EX142" s="419"/>
      <c r="EY142" s="421"/>
      <c r="EZ142" s="419"/>
      <c r="FA142" s="421"/>
      <c r="FB142" s="419"/>
      <c r="FC142" s="421"/>
      <c r="FD142" s="419"/>
      <c r="FE142" s="421"/>
      <c r="FF142" s="419"/>
      <c r="FG142" s="421"/>
      <c r="FH142" s="419"/>
      <c r="FI142" s="421"/>
      <c r="FJ142" s="424">
        <f t="shared" si="89"/>
        <v>0</v>
      </c>
      <c r="FK142" s="425">
        <f t="shared" si="90"/>
        <v>0</v>
      </c>
      <c r="FL142" s="419"/>
      <c r="FM142" s="421"/>
      <c r="FN142" s="424">
        <f t="shared" si="91"/>
        <v>2053</v>
      </c>
      <c r="FO142" s="425">
        <f t="shared" si="92"/>
        <v>1983</v>
      </c>
    </row>
    <row r="143" spans="1:171" customFormat="1" ht="12.65" customHeight="1">
      <c r="A143" s="418" t="s">
        <v>157</v>
      </c>
      <c r="B143" s="99" t="s">
        <v>665</v>
      </c>
      <c r="C143" s="99"/>
      <c r="D143" s="101">
        <v>483045</v>
      </c>
      <c r="E143" s="101">
        <v>12</v>
      </c>
      <c r="F143" s="419">
        <v>4676</v>
      </c>
      <c r="G143" s="421">
        <v>4177</v>
      </c>
      <c r="H143" s="419">
        <v>85</v>
      </c>
      <c r="I143" s="421">
        <v>84</v>
      </c>
      <c r="J143" s="419">
        <v>754</v>
      </c>
      <c r="K143" s="421">
        <v>814</v>
      </c>
      <c r="L143" s="422">
        <f t="shared" si="71"/>
        <v>0</v>
      </c>
      <c r="M143" s="423">
        <f t="shared" si="72"/>
        <v>0</v>
      </c>
      <c r="N143" s="419"/>
      <c r="O143" s="309">
        <f>0</f>
        <v>0</v>
      </c>
      <c r="P143" s="309">
        <f>0</f>
        <v>0</v>
      </c>
      <c r="Q143" s="309">
        <f>0</f>
        <v>0</v>
      </c>
      <c r="R143" s="424">
        <f t="shared" si="69"/>
        <v>0</v>
      </c>
      <c r="S143" s="421"/>
      <c r="T143" s="301">
        <f>0</f>
        <v>0</v>
      </c>
      <c r="U143" s="301">
        <f>0</f>
        <v>0</v>
      </c>
      <c r="V143" s="301">
        <f>0</f>
        <v>0</v>
      </c>
      <c r="W143" s="425">
        <f t="shared" si="70"/>
        <v>0</v>
      </c>
      <c r="X143" s="419"/>
      <c r="Y143" s="419"/>
      <c r="Z143" s="421"/>
      <c r="AA143" s="421"/>
      <c r="AB143" s="419"/>
      <c r="AC143" s="419"/>
      <c r="AD143" s="421"/>
      <c r="AE143" s="421"/>
      <c r="AF143" s="419"/>
      <c r="AG143" s="419"/>
      <c r="AH143" s="421"/>
      <c r="AI143" s="421"/>
      <c r="AJ143" s="419"/>
      <c r="AK143" s="419"/>
      <c r="AL143" s="421"/>
      <c r="AM143" s="421"/>
      <c r="AN143" s="419"/>
      <c r="AO143" s="419"/>
      <c r="AP143" s="421"/>
      <c r="AQ143" s="421"/>
      <c r="AR143" s="424">
        <f t="shared" si="73"/>
        <v>0</v>
      </c>
      <c r="AS143" s="422">
        <f t="shared" si="74"/>
        <v>0</v>
      </c>
      <c r="AT143" s="425">
        <f t="shared" si="75"/>
        <v>0</v>
      </c>
      <c r="AU143" s="423">
        <f t="shared" si="76"/>
        <v>0</v>
      </c>
      <c r="AV143" s="419"/>
      <c r="AW143" s="421"/>
      <c r="AX143" s="419"/>
      <c r="AY143" s="419"/>
      <c r="AZ143" s="421"/>
      <c r="BA143" s="421"/>
      <c r="BB143" s="419"/>
      <c r="BC143" s="419"/>
      <c r="BD143" s="421"/>
      <c r="BE143" s="421"/>
      <c r="BF143" s="419"/>
      <c r="BG143" s="419"/>
      <c r="BH143" s="421"/>
      <c r="BI143" s="421"/>
      <c r="BJ143" s="419"/>
      <c r="BK143" s="419"/>
      <c r="BL143" s="421"/>
      <c r="BM143" s="421"/>
      <c r="BN143" s="419"/>
      <c r="BO143" s="419"/>
      <c r="BP143" s="421"/>
      <c r="BQ143" s="421"/>
      <c r="BR143" s="419"/>
      <c r="BS143" s="419"/>
      <c r="BT143" s="421"/>
      <c r="BU143" s="421"/>
      <c r="BV143" s="419"/>
      <c r="BW143" s="419"/>
      <c r="BX143" s="421"/>
      <c r="BY143" s="421"/>
      <c r="BZ143" s="419"/>
      <c r="CA143" s="419"/>
      <c r="CB143" s="421"/>
      <c r="CC143" s="421"/>
      <c r="CD143" s="419"/>
      <c r="CE143" s="419"/>
      <c r="CF143" s="421"/>
      <c r="CG143" s="421"/>
      <c r="CH143" s="419"/>
      <c r="CI143" s="419"/>
      <c r="CJ143" s="421"/>
      <c r="CK143" s="421"/>
      <c r="CL143" s="419"/>
      <c r="CM143" s="421"/>
      <c r="CN143" s="424">
        <f t="shared" si="77"/>
        <v>0</v>
      </c>
      <c r="CO143" s="424">
        <f t="shared" si="78"/>
        <v>0</v>
      </c>
      <c r="CP143" s="425">
        <f t="shared" si="79"/>
        <v>0</v>
      </c>
      <c r="CQ143" s="425">
        <f t="shared" si="80"/>
        <v>0</v>
      </c>
      <c r="CR143" s="419"/>
      <c r="CS143" s="419"/>
      <c r="CT143" s="421"/>
      <c r="CU143" s="421"/>
      <c r="CV143" s="419"/>
      <c r="CW143" s="419"/>
      <c r="CX143" s="421"/>
      <c r="CY143" s="421"/>
      <c r="CZ143" s="419"/>
      <c r="DA143" s="419"/>
      <c r="DB143" s="421"/>
      <c r="DC143" s="421"/>
      <c r="DD143" s="419"/>
      <c r="DE143" s="419"/>
      <c r="DF143" s="421"/>
      <c r="DG143" s="421"/>
      <c r="DH143" s="419"/>
      <c r="DI143" s="419"/>
      <c r="DJ143" s="421"/>
      <c r="DK143" s="421"/>
      <c r="DL143" s="419"/>
      <c r="DM143" s="419"/>
      <c r="DN143" s="421"/>
      <c r="DO143" s="421"/>
      <c r="DP143" s="419"/>
      <c r="DQ143" s="419"/>
      <c r="DR143" s="421"/>
      <c r="DS143" s="421"/>
      <c r="DT143" s="419"/>
      <c r="DU143" s="419"/>
      <c r="DV143" s="421"/>
      <c r="DW143" s="421"/>
      <c r="DX143" s="419"/>
      <c r="DY143" s="419"/>
      <c r="DZ143" s="421"/>
      <c r="EA143" s="421"/>
      <c r="EB143" s="419"/>
      <c r="EC143" s="419"/>
      <c r="ED143" s="421"/>
      <c r="EE143" s="421"/>
      <c r="EF143" s="419"/>
      <c r="EG143" s="421"/>
      <c r="EH143" s="424">
        <f t="shared" si="81"/>
        <v>0</v>
      </c>
      <c r="EI143" s="424">
        <f t="shared" si="82"/>
        <v>0</v>
      </c>
      <c r="EJ143" s="422">
        <f t="shared" si="83"/>
        <v>0</v>
      </c>
      <c r="EK143" s="425">
        <f t="shared" si="84"/>
        <v>0</v>
      </c>
      <c r="EL143" s="425">
        <f t="shared" si="85"/>
        <v>0</v>
      </c>
      <c r="EM143" s="423">
        <f t="shared" si="86"/>
        <v>0</v>
      </c>
      <c r="EN143" s="424">
        <f t="shared" si="87"/>
        <v>0</v>
      </c>
      <c r="EO143" s="425">
        <f t="shared" si="88"/>
        <v>0</v>
      </c>
      <c r="EP143" s="419"/>
      <c r="EQ143" s="421"/>
      <c r="ER143" s="419"/>
      <c r="ES143" s="421"/>
      <c r="ET143" s="419"/>
      <c r="EU143" s="421"/>
      <c r="EV143" s="419"/>
      <c r="EW143" s="421"/>
      <c r="EX143" s="419"/>
      <c r="EY143" s="421"/>
      <c r="EZ143" s="419"/>
      <c r="FA143" s="421"/>
      <c r="FB143" s="419"/>
      <c r="FC143" s="421"/>
      <c r="FD143" s="419"/>
      <c r="FE143" s="421"/>
      <c r="FF143" s="419"/>
      <c r="FG143" s="421"/>
      <c r="FH143" s="419"/>
      <c r="FI143" s="421"/>
      <c r="FJ143" s="424">
        <f t="shared" si="89"/>
        <v>0</v>
      </c>
      <c r="FK143" s="425">
        <f t="shared" si="90"/>
        <v>0</v>
      </c>
      <c r="FL143" s="419"/>
      <c r="FM143" s="421"/>
      <c r="FN143" s="424">
        <f t="shared" si="91"/>
        <v>5515</v>
      </c>
      <c r="FO143" s="425">
        <f t="shared" si="92"/>
        <v>5075</v>
      </c>
    </row>
    <row r="144" spans="1:171" customFormat="1" ht="12.65" customHeight="1">
      <c r="A144" s="418" t="s">
        <v>157</v>
      </c>
      <c r="B144" s="99" t="s">
        <v>666</v>
      </c>
      <c r="C144" s="99"/>
      <c r="D144" s="101">
        <v>140331</v>
      </c>
      <c r="E144" s="101">
        <v>12</v>
      </c>
      <c r="F144" s="419">
        <v>4528</v>
      </c>
      <c r="G144" s="420">
        <v>3548</v>
      </c>
      <c r="H144" s="419">
        <v>79</v>
      </c>
      <c r="I144" s="421">
        <v>79</v>
      </c>
      <c r="J144" s="419">
        <v>675</v>
      </c>
      <c r="K144" s="421">
        <v>674</v>
      </c>
      <c r="L144" s="422">
        <f t="shared" si="71"/>
        <v>0</v>
      </c>
      <c r="M144" s="423">
        <f t="shared" si="72"/>
        <v>0</v>
      </c>
      <c r="N144" s="419"/>
      <c r="O144" s="309">
        <f>0</f>
        <v>0</v>
      </c>
      <c r="P144" s="309">
        <f>0</f>
        <v>0</v>
      </c>
      <c r="Q144" s="309">
        <f>0</f>
        <v>0</v>
      </c>
      <c r="R144" s="424">
        <f t="shared" si="69"/>
        <v>0</v>
      </c>
      <c r="S144" s="421"/>
      <c r="T144" s="301">
        <f>0</f>
        <v>0</v>
      </c>
      <c r="U144" s="301">
        <f>0</f>
        <v>0</v>
      </c>
      <c r="V144" s="301">
        <f>0</f>
        <v>0</v>
      </c>
      <c r="W144" s="425">
        <f t="shared" si="70"/>
        <v>0</v>
      </c>
      <c r="X144" s="419"/>
      <c r="Y144" s="419"/>
      <c r="Z144" s="421"/>
      <c r="AA144" s="421"/>
      <c r="AB144" s="419"/>
      <c r="AC144" s="419"/>
      <c r="AD144" s="421"/>
      <c r="AE144" s="421"/>
      <c r="AF144" s="419"/>
      <c r="AG144" s="419"/>
      <c r="AH144" s="421"/>
      <c r="AI144" s="421"/>
      <c r="AJ144" s="419"/>
      <c r="AK144" s="419"/>
      <c r="AL144" s="421"/>
      <c r="AM144" s="421"/>
      <c r="AN144" s="419"/>
      <c r="AO144" s="419"/>
      <c r="AP144" s="421"/>
      <c r="AQ144" s="421"/>
      <c r="AR144" s="424">
        <f t="shared" si="73"/>
        <v>0</v>
      </c>
      <c r="AS144" s="422">
        <f t="shared" si="74"/>
        <v>0</v>
      </c>
      <c r="AT144" s="425">
        <f t="shared" si="75"/>
        <v>0</v>
      </c>
      <c r="AU144" s="423">
        <f t="shared" si="76"/>
        <v>0</v>
      </c>
      <c r="AV144" s="419"/>
      <c r="AW144" s="421"/>
      <c r="AX144" s="419"/>
      <c r="AY144" s="419"/>
      <c r="AZ144" s="421"/>
      <c r="BA144" s="421"/>
      <c r="BB144" s="419"/>
      <c r="BC144" s="419"/>
      <c r="BD144" s="421"/>
      <c r="BE144" s="421"/>
      <c r="BF144" s="419"/>
      <c r="BG144" s="419"/>
      <c r="BH144" s="421"/>
      <c r="BI144" s="421"/>
      <c r="BJ144" s="419"/>
      <c r="BK144" s="419"/>
      <c r="BL144" s="421"/>
      <c r="BM144" s="421"/>
      <c r="BN144" s="419"/>
      <c r="BO144" s="419"/>
      <c r="BP144" s="421"/>
      <c r="BQ144" s="421"/>
      <c r="BR144" s="419"/>
      <c r="BS144" s="419"/>
      <c r="BT144" s="421"/>
      <c r="BU144" s="421"/>
      <c r="BV144" s="419"/>
      <c r="BW144" s="419"/>
      <c r="BX144" s="421"/>
      <c r="BY144" s="421"/>
      <c r="BZ144" s="419"/>
      <c r="CA144" s="419"/>
      <c r="CB144" s="421"/>
      <c r="CC144" s="421"/>
      <c r="CD144" s="419"/>
      <c r="CE144" s="419"/>
      <c r="CF144" s="421"/>
      <c r="CG144" s="421"/>
      <c r="CH144" s="419"/>
      <c r="CI144" s="419"/>
      <c r="CJ144" s="421"/>
      <c r="CK144" s="421"/>
      <c r="CL144" s="419"/>
      <c r="CM144" s="421"/>
      <c r="CN144" s="424">
        <f t="shared" si="77"/>
        <v>0</v>
      </c>
      <c r="CO144" s="424">
        <f t="shared" si="78"/>
        <v>0</v>
      </c>
      <c r="CP144" s="425">
        <f t="shared" si="79"/>
        <v>0</v>
      </c>
      <c r="CQ144" s="425">
        <f t="shared" si="80"/>
        <v>0</v>
      </c>
      <c r="CR144" s="419"/>
      <c r="CS144" s="419"/>
      <c r="CT144" s="421"/>
      <c r="CU144" s="421"/>
      <c r="CV144" s="419"/>
      <c r="CW144" s="419"/>
      <c r="CX144" s="421"/>
      <c r="CY144" s="421"/>
      <c r="CZ144" s="419"/>
      <c r="DA144" s="419"/>
      <c r="DB144" s="421"/>
      <c r="DC144" s="421"/>
      <c r="DD144" s="419"/>
      <c r="DE144" s="419"/>
      <c r="DF144" s="421"/>
      <c r="DG144" s="421"/>
      <c r="DH144" s="419"/>
      <c r="DI144" s="419"/>
      <c r="DJ144" s="421"/>
      <c r="DK144" s="421"/>
      <c r="DL144" s="419"/>
      <c r="DM144" s="419"/>
      <c r="DN144" s="421"/>
      <c r="DO144" s="421"/>
      <c r="DP144" s="419"/>
      <c r="DQ144" s="419"/>
      <c r="DR144" s="421"/>
      <c r="DS144" s="421"/>
      <c r="DT144" s="419"/>
      <c r="DU144" s="419"/>
      <c r="DV144" s="421"/>
      <c r="DW144" s="421"/>
      <c r="DX144" s="419"/>
      <c r="DY144" s="419"/>
      <c r="DZ144" s="421"/>
      <c r="EA144" s="421"/>
      <c r="EB144" s="419"/>
      <c r="EC144" s="419"/>
      <c r="ED144" s="421"/>
      <c r="EE144" s="421"/>
      <c r="EF144" s="419"/>
      <c r="EG144" s="421"/>
      <c r="EH144" s="424">
        <f t="shared" si="81"/>
        <v>0</v>
      </c>
      <c r="EI144" s="424">
        <f t="shared" si="82"/>
        <v>0</v>
      </c>
      <c r="EJ144" s="422">
        <f t="shared" si="83"/>
        <v>0</v>
      </c>
      <c r="EK144" s="425">
        <f t="shared" si="84"/>
        <v>0</v>
      </c>
      <c r="EL144" s="425">
        <f t="shared" si="85"/>
        <v>0</v>
      </c>
      <c r="EM144" s="423">
        <f t="shared" si="86"/>
        <v>0</v>
      </c>
      <c r="EN144" s="424">
        <f t="shared" si="87"/>
        <v>0</v>
      </c>
      <c r="EO144" s="425">
        <f t="shared" si="88"/>
        <v>0</v>
      </c>
      <c r="EP144" s="419"/>
      <c r="EQ144" s="421"/>
      <c r="ER144" s="419"/>
      <c r="ES144" s="421"/>
      <c r="ET144" s="419"/>
      <c r="EU144" s="421"/>
      <c r="EV144" s="419"/>
      <c r="EW144" s="421"/>
      <c r="EX144" s="419"/>
      <c r="EY144" s="421"/>
      <c r="EZ144" s="419"/>
      <c r="FA144" s="421"/>
      <c r="FB144" s="419"/>
      <c r="FC144" s="421"/>
      <c r="FD144" s="419"/>
      <c r="FE144" s="421"/>
      <c r="FF144" s="419"/>
      <c r="FG144" s="421"/>
      <c r="FH144" s="419"/>
      <c r="FI144" s="421"/>
      <c r="FJ144" s="424">
        <f t="shared" si="89"/>
        <v>0</v>
      </c>
      <c r="FK144" s="425">
        <f t="shared" si="90"/>
        <v>0</v>
      </c>
      <c r="FL144" s="419"/>
      <c r="FM144" s="421"/>
      <c r="FN144" s="424">
        <f t="shared" si="91"/>
        <v>5282</v>
      </c>
      <c r="FO144" s="425">
        <f t="shared" si="92"/>
        <v>4301</v>
      </c>
    </row>
    <row r="145" spans="1:171" customFormat="1" ht="12.65" customHeight="1">
      <c r="A145" s="418" t="s">
        <v>157</v>
      </c>
      <c r="B145" s="29" t="s">
        <v>667</v>
      </c>
      <c r="C145" s="99"/>
      <c r="D145" s="28">
        <v>485458</v>
      </c>
      <c r="E145" s="101">
        <v>12</v>
      </c>
      <c r="F145" s="419">
        <v>1623</v>
      </c>
      <c r="G145" s="420">
        <v>2059</v>
      </c>
      <c r="H145" s="419">
        <v>28</v>
      </c>
      <c r="I145" s="420">
        <v>19</v>
      </c>
      <c r="J145" s="419">
        <v>81</v>
      </c>
      <c r="K145" s="421">
        <v>86</v>
      </c>
      <c r="L145" s="422">
        <f t="shared" si="71"/>
        <v>0</v>
      </c>
      <c r="M145" s="423">
        <f t="shared" si="72"/>
        <v>0</v>
      </c>
      <c r="N145" s="419"/>
      <c r="O145" s="309">
        <f>0</f>
        <v>0</v>
      </c>
      <c r="P145" s="309">
        <f>0</f>
        <v>0</v>
      </c>
      <c r="Q145" s="309">
        <f>0</f>
        <v>0</v>
      </c>
      <c r="R145" s="424">
        <f t="shared" si="69"/>
        <v>0</v>
      </c>
      <c r="S145" s="421"/>
      <c r="T145" s="301">
        <f>0</f>
        <v>0</v>
      </c>
      <c r="U145" s="301">
        <f>0</f>
        <v>0</v>
      </c>
      <c r="V145" s="301">
        <f>0</f>
        <v>0</v>
      </c>
      <c r="W145" s="425">
        <f t="shared" si="70"/>
        <v>0</v>
      </c>
      <c r="X145" s="419"/>
      <c r="Y145" s="419"/>
      <c r="Z145" s="421"/>
      <c r="AA145" s="421"/>
      <c r="AB145" s="419"/>
      <c r="AC145" s="419"/>
      <c r="AD145" s="421"/>
      <c r="AE145" s="421"/>
      <c r="AF145" s="419"/>
      <c r="AG145" s="419"/>
      <c r="AH145" s="421"/>
      <c r="AI145" s="421"/>
      <c r="AJ145" s="419"/>
      <c r="AK145" s="419"/>
      <c r="AL145" s="421"/>
      <c r="AM145" s="421"/>
      <c r="AN145" s="419"/>
      <c r="AO145" s="419"/>
      <c r="AP145" s="421"/>
      <c r="AQ145" s="421"/>
      <c r="AR145" s="424">
        <f t="shared" si="73"/>
        <v>0</v>
      </c>
      <c r="AS145" s="422">
        <f t="shared" si="74"/>
        <v>0</v>
      </c>
      <c r="AT145" s="425">
        <f t="shared" si="75"/>
        <v>0</v>
      </c>
      <c r="AU145" s="423">
        <f t="shared" si="76"/>
        <v>0</v>
      </c>
      <c r="AV145" s="419"/>
      <c r="AW145" s="421"/>
      <c r="AX145" s="419"/>
      <c r="AY145" s="419"/>
      <c r="AZ145" s="421"/>
      <c r="BA145" s="421"/>
      <c r="BB145" s="419"/>
      <c r="BC145" s="419"/>
      <c r="BD145" s="421"/>
      <c r="BE145" s="421"/>
      <c r="BF145" s="419"/>
      <c r="BG145" s="419"/>
      <c r="BH145" s="421"/>
      <c r="BI145" s="421"/>
      <c r="BJ145" s="419"/>
      <c r="BK145" s="419"/>
      <c r="BL145" s="421"/>
      <c r="BM145" s="421"/>
      <c r="BN145" s="419"/>
      <c r="BO145" s="419"/>
      <c r="BP145" s="421"/>
      <c r="BQ145" s="421"/>
      <c r="BR145" s="419"/>
      <c r="BS145" s="419"/>
      <c r="BT145" s="421"/>
      <c r="BU145" s="421"/>
      <c r="BV145" s="419"/>
      <c r="BW145" s="419"/>
      <c r="BX145" s="421"/>
      <c r="BY145" s="421"/>
      <c r="BZ145" s="419"/>
      <c r="CA145" s="419"/>
      <c r="CB145" s="421"/>
      <c r="CC145" s="421"/>
      <c r="CD145" s="419"/>
      <c r="CE145" s="419"/>
      <c r="CF145" s="421"/>
      <c r="CG145" s="421"/>
      <c r="CH145" s="419"/>
      <c r="CI145" s="419"/>
      <c r="CJ145" s="421"/>
      <c r="CK145" s="421"/>
      <c r="CL145" s="419"/>
      <c r="CM145" s="421"/>
      <c r="CN145" s="424">
        <f t="shared" si="77"/>
        <v>0</v>
      </c>
      <c r="CO145" s="424">
        <f t="shared" si="78"/>
        <v>0</v>
      </c>
      <c r="CP145" s="425">
        <f t="shared" si="79"/>
        <v>0</v>
      </c>
      <c r="CQ145" s="425">
        <f t="shared" si="80"/>
        <v>0</v>
      </c>
      <c r="CR145" s="419"/>
      <c r="CS145" s="419"/>
      <c r="CT145" s="421"/>
      <c r="CU145" s="421"/>
      <c r="CV145" s="419"/>
      <c r="CW145" s="419"/>
      <c r="CX145" s="421"/>
      <c r="CY145" s="421"/>
      <c r="CZ145" s="419"/>
      <c r="DA145" s="419"/>
      <c r="DB145" s="421"/>
      <c r="DC145" s="421"/>
      <c r="DD145" s="419"/>
      <c r="DE145" s="419"/>
      <c r="DF145" s="421"/>
      <c r="DG145" s="421"/>
      <c r="DH145" s="419"/>
      <c r="DI145" s="419"/>
      <c r="DJ145" s="421"/>
      <c r="DK145" s="421"/>
      <c r="DL145" s="419"/>
      <c r="DM145" s="419"/>
      <c r="DN145" s="421"/>
      <c r="DO145" s="421"/>
      <c r="DP145" s="419"/>
      <c r="DQ145" s="419"/>
      <c r="DR145" s="421"/>
      <c r="DS145" s="421"/>
      <c r="DT145" s="419"/>
      <c r="DU145" s="419"/>
      <c r="DV145" s="421"/>
      <c r="DW145" s="421"/>
      <c r="DX145" s="419"/>
      <c r="DY145" s="419"/>
      <c r="DZ145" s="421"/>
      <c r="EA145" s="421"/>
      <c r="EB145" s="419"/>
      <c r="EC145" s="419"/>
      <c r="ED145" s="421"/>
      <c r="EE145" s="421"/>
      <c r="EF145" s="419"/>
      <c r="EG145" s="421"/>
      <c r="EH145" s="424">
        <f t="shared" si="81"/>
        <v>0</v>
      </c>
      <c r="EI145" s="424">
        <f t="shared" si="82"/>
        <v>0</v>
      </c>
      <c r="EJ145" s="422">
        <f t="shared" si="83"/>
        <v>0</v>
      </c>
      <c r="EK145" s="425">
        <f t="shared" si="84"/>
        <v>0</v>
      </c>
      <c r="EL145" s="425">
        <f t="shared" si="85"/>
        <v>0</v>
      </c>
      <c r="EM145" s="423">
        <f t="shared" si="86"/>
        <v>0</v>
      </c>
      <c r="EN145" s="424">
        <f t="shared" si="87"/>
        <v>0</v>
      </c>
      <c r="EO145" s="425">
        <f t="shared" si="88"/>
        <v>0</v>
      </c>
      <c r="EP145" s="419"/>
      <c r="EQ145" s="421"/>
      <c r="ER145" s="419"/>
      <c r="ES145" s="421"/>
      <c r="ET145" s="419"/>
      <c r="EU145" s="421"/>
      <c r="EV145" s="419"/>
      <c r="EW145" s="421"/>
      <c r="EX145" s="419"/>
      <c r="EY145" s="421"/>
      <c r="EZ145" s="419"/>
      <c r="FA145" s="421"/>
      <c r="FB145" s="419"/>
      <c r="FC145" s="421"/>
      <c r="FD145" s="419"/>
      <c r="FE145" s="421"/>
      <c r="FF145" s="419"/>
      <c r="FG145" s="421"/>
      <c r="FH145" s="419"/>
      <c r="FI145" s="421"/>
      <c r="FJ145" s="424">
        <f t="shared" si="89"/>
        <v>0</v>
      </c>
      <c r="FK145" s="425">
        <f t="shared" si="90"/>
        <v>0</v>
      </c>
      <c r="FL145" s="419"/>
      <c r="FM145" s="421"/>
      <c r="FN145" s="424">
        <f t="shared" si="91"/>
        <v>1732</v>
      </c>
      <c r="FO145" s="425">
        <f t="shared" si="92"/>
        <v>2164</v>
      </c>
    </row>
    <row r="146" spans="1:171" customFormat="1" ht="12.65" customHeight="1">
      <c r="A146" s="418" t="s">
        <v>157</v>
      </c>
      <c r="B146" s="99" t="s">
        <v>668</v>
      </c>
      <c r="C146" s="99"/>
      <c r="D146" s="101">
        <v>139357</v>
      </c>
      <c r="E146" s="101">
        <v>12</v>
      </c>
      <c r="F146" s="419">
        <v>963</v>
      </c>
      <c r="G146" s="421">
        <v>1123</v>
      </c>
      <c r="H146" s="419">
        <v>66</v>
      </c>
      <c r="I146" s="421">
        <v>66</v>
      </c>
      <c r="J146" s="419">
        <v>488</v>
      </c>
      <c r="K146" s="421">
        <v>514</v>
      </c>
      <c r="L146" s="422">
        <f t="shared" si="71"/>
        <v>0</v>
      </c>
      <c r="M146" s="423">
        <f t="shared" si="72"/>
        <v>0</v>
      </c>
      <c r="N146" s="419"/>
      <c r="O146" s="309">
        <f>0</f>
        <v>0</v>
      </c>
      <c r="P146" s="309">
        <f>0</f>
        <v>0</v>
      </c>
      <c r="Q146" s="309">
        <f>0</f>
        <v>0</v>
      </c>
      <c r="R146" s="424">
        <f t="shared" si="69"/>
        <v>0</v>
      </c>
      <c r="S146" s="421"/>
      <c r="T146" s="301">
        <f>0</f>
        <v>0</v>
      </c>
      <c r="U146" s="301">
        <f>0</f>
        <v>0</v>
      </c>
      <c r="V146" s="301">
        <f>0</f>
        <v>0</v>
      </c>
      <c r="W146" s="425">
        <f t="shared" si="70"/>
        <v>0</v>
      </c>
      <c r="X146" s="419"/>
      <c r="Y146" s="419"/>
      <c r="Z146" s="421"/>
      <c r="AA146" s="421"/>
      <c r="AB146" s="419"/>
      <c r="AC146" s="419"/>
      <c r="AD146" s="421"/>
      <c r="AE146" s="421"/>
      <c r="AF146" s="419"/>
      <c r="AG146" s="419"/>
      <c r="AH146" s="421"/>
      <c r="AI146" s="421"/>
      <c r="AJ146" s="419"/>
      <c r="AK146" s="419"/>
      <c r="AL146" s="421"/>
      <c r="AM146" s="421"/>
      <c r="AN146" s="419"/>
      <c r="AO146" s="419"/>
      <c r="AP146" s="421"/>
      <c r="AQ146" s="421"/>
      <c r="AR146" s="424">
        <f t="shared" si="73"/>
        <v>0</v>
      </c>
      <c r="AS146" s="422">
        <f t="shared" si="74"/>
        <v>0</v>
      </c>
      <c r="AT146" s="425">
        <f t="shared" si="75"/>
        <v>0</v>
      </c>
      <c r="AU146" s="423">
        <f t="shared" si="76"/>
        <v>0</v>
      </c>
      <c r="AV146" s="419"/>
      <c r="AW146" s="421"/>
      <c r="AX146" s="419"/>
      <c r="AY146" s="419"/>
      <c r="AZ146" s="421"/>
      <c r="BA146" s="421"/>
      <c r="BB146" s="419"/>
      <c r="BC146" s="419"/>
      <c r="BD146" s="421"/>
      <c r="BE146" s="421"/>
      <c r="BF146" s="419"/>
      <c r="BG146" s="419"/>
      <c r="BH146" s="421"/>
      <c r="BI146" s="421"/>
      <c r="BJ146" s="419"/>
      <c r="BK146" s="419"/>
      <c r="BL146" s="421"/>
      <c r="BM146" s="421"/>
      <c r="BN146" s="419"/>
      <c r="BO146" s="419"/>
      <c r="BP146" s="421"/>
      <c r="BQ146" s="421"/>
      <c r="BR146" s="419"/>
      <c r="BS146" s="419"/>
      <c r="BT146" s="421"/>
      <c r="BU146" s="421"/>
      <c r="BV146" s="419"/>
      <c r="BW146" s="419"/>
      <c r="BX146" s="421"/>
      <c r="BY146" s="421"/>
      <c r="BZ146" s="419"/>
      <c r="CA146" s="419"/>
      <c r="CB146" s="421"/>
      <c r="CC146" s="421"/>
      <c r="CD146" s="419"/>
      <c r="CE146" s="419"/>
      <c r="CF146" s="421"/>
      <c r="CG146" s="421"/>
      <c r="CH146" s="419"/>
      <c r="CI146" s="419"/>
      <c r="CJ146" s="421"/>
      <c r="CK146" s="421"/>
      <c r="CL146" s="419"/>
      <c r="CM146" s="421"/>
      <c r="CN146" s="424">
        <f t="shared" si="77"/>
        <v>0</v>
      </c>
      <c r="CO146" s="424">
        <f t="shared" si="78"/>
        <v>0</v>
      </c>
      <c r="CP146" s="425">
        <f t="shared" si="79"/>
        <v>0</v>
      </c>
      <c r="CQ146" s="425">
        <f t="shared" si="80"/>
        <v>0</v>
      </c>
      <c r="CR146" s="419"/>
      <c r="CS146" s="419"/>
      <c r="CT146" s="421"/>
      <c r="CU146" s="421"/>
      <c r="CV146" s="419"/>
      <c r="CW146" s="419"/>
      <c r="CX146" s="421"/>
      <c r="CY146" s="421"/>
      <c r="CZ146" s="419"/>
      <c r="DA146" s="419"/>
      <c r="DB146" s="421"/>
      <c r="DC146" s="421"/>
      <c r="DD146" s="419"/>
      <c r="DE146" s="419"/>
      <c r="DF146" s="421"/>
      <c r="DG146" s="421"/>
      <c r="DH146" s="419"/>
      <c r="DI146" s="419"/>
      <c r="DJ146" s="421"/>
      <c r="DK146" s="421"/>
      <c r="DL146" s="419"/>
      <c r="DM146" s="419"/>
      <c r="DN146" s="421"/>
      <c r="DO146" s="421"/>
      <c r="DP146" s="419"/>
      <c r="DQ146" s="419"/>
      <c r="DR146" s="421"/>
      <c r="DS146" s="421"/>
      <c r="DT146" s="419"/>
      <c r="DU146" s="419"/>
      <c r="DV146" s="421"/>
      <c r="DW146" s="421"/>
      <c r="DX146" s="419"/>
      <c r="DY146" s="419"/>
      <c r="DZ146" s="421"/>
      <c r="EA146" s="421"/>
      <c r="EB146" s="419"/>
      <c r="EC146" s="419"/>
      <c r="ED146" s="421"/>
      <c r="EE146" s="421"/>
      <c r="EF146" s="419"/>
      <c r="EG146" s="421"/>
      <c r="EH146" s="424">
        <f t="shared" si="81"/>
        <v>0</v>
      </c>
      <c r="EI146" s="424">
        <f t="shared" si="82"/>
        <v>0</v>
      </c>
      <c r="EJ146" s="422">
        <f t="shared" si="83"/>
        <v>0</v>
      </c>
      <c r="EK146" s="425">
        <f t="shared" si="84"/>
        <v>0</v>
      </c>
      <c r="EL146" s="425">
        <f t="shared" si="85"/>
        <v>0</v>
      </c>
      <c r="EM146" s="423">
        <f t="shared" si="86"/>
        <v>0</v>
      </c>
      <c r="EN146" s="424">
        <f t="shared" si="87"/>
        <v>0</v>
      </c>
      <c r="EO146" s="425">
        <f t="shared" si="88"/>
        <v>0</v>
      </c>
      <c r="EP146" s="419"/>
      <c r="EQ146" s="421"/>
      <c r="ER146" s="419"/>
      <c r="ES146" s="421"/>
      <c r="ET146" s="419"/>
      <c r="EU146" s="421"/>
      <c r="EV146" s="419"/>
      <c r="EW146" s="421"/>
      <c r="EX146" s="419"/>
      <c r="EY146" s="421"/>
      <c r="EZ146" s="419"/>
      <c r="FA146" s="421"/>
      <c r="FB146" s="419"/>
      <c r="FC146" s="421"/>
      <c r="FD146" s="419"/>
      <c r="FE146" s="421"/>
      <c r="FF146" s="419"/>
      <c r="FG146" s="421"/>
      <c r="FH146" s="419"/>
      <c r="FI146" s="421"/>
      <c r="FJ146" s="424">
        <f t="shared" si="89"/>
        <v>0</v>
      </c>
      <c r="FK146" s="425">
        <f t="shared" si="90"/>
        <v>0</v>
      </c>
      <c r="FL146" s="419"/>
      <c r="FM146" s="421"/>
      <c r="FN146" s="424">
        <f t="shared" si="91"/>
        <v>1517</v>
      </c>
      <c r="FO146" s="425">
        <f t="shared" si="92"/>
        <v>1703</v>
      </c>
    </row>
    <row r="147" spans="1:171" customFormat="1" ht="12.65" customHeight="1">
      <c r="A147" s="418" t="s">
        <v>157</v>
      </c>
      <c r="B147" s="99" t="s">
        <v>669</v>
      </c>
      <c r="C147" s="99"/>
      <c r="D147" s="101">
        <v>139384</v>
      </c>
      <c r="E147" s="101">
        <v>12</v>
      </c>
      <c r="F147" s="419">
        <v>2445</v>
      </c>
      <c r="G147" s="421">
        <v>2321</v>
      </c>
      <c r="H147" s="419">
        <v>136</v>
      </c>
      <c r="I147" s="421">
        <v>118</v>
      </c>
      <c r="J147" s="419">
        <v>433</v>
      </c>
      <c r="K147" s="421">
        <v>463</v>
      </c>
      <c r="L147" s="422">
        <f t="shared" si="71"/>
        <v>0</v>
      </c>
      <c r="M147" s="423">
        <f t="shared" si="72"/>
        <v>0</v>
      </c>
      <c r="N147" s="419"/>
      <c r="O147" s="309">
        <f>0</f>
        <v>0</v>
      </c>
      <c r="P147" s="309">
        <f>0</f>
        <v>0</v>
      </c>
      <c r="Q147" s="309">
        <f>0</f>
        <v>0</v>
      </c>
      <c r="R147" s="424">
        <f t="shared" si="69"/>
        <v>0</v>
      </c>
      <c r="S147" s="421"/>
      <c r="T147" s="301">
        <f>0</f>
        <v>0</v>
      </c>
      <c r="U147" s="301">
        <f>0</f>
        <v>0</v>
      </c>
      <c r="V147" s="301">
        <f>0</f>
        <v>0</v>
      </c>
      <c r="W147" s="425">
        <f t="shared" si="70"/>
        <v>0</v>
      </c>
      <c r="X147" s="419"/>
      <c r="Y147" s="419"/>
      <c r="Z147" s="421"/>
      <c r="AA147" s="421"/>
      <c r="AB147" s="419"/>
      <c r="AC147" s="419"/>
      <c r="AD147" s="421"/>
      <c r="AE147" s="421"/>
      <c r="AF147" s="419"/>
      <c r="AG147" s="419"/>
      <c r="AH147" s="421"/>
      <c r="AI147" s="421"/>
      <c r="AJ147" s="419"/>
      <c r="AK147" s="419"/>
      <c r="AL147" s="421"/>
      <c r="AM147" s="421"/>
      <c r="AN147" s="419"/>
      <c r="AO147" s="419"/>
      <c r="AP147" s="421"/>
      <c r="AQ147" s="421"/>
      <c r="AR147" s="424">
        <f t="shared" si="73"/>
        <v>0</v>
      </c>
      <c r="AS147" s="422">
        <f t="shared" si="74"/>
        <v>0</v>
      </c>
      <c r="AT147" s="425">
        <f t="shared" si="75"/>
        <v>0</v>
      </c>
      <c r="AU147" s="423">
        <f t="shared" si="76"/>
        <v>0</v>
      </c>
      <c r="AV147" s="419"/>
      <c r="AW147" s="421"/>
      <c r="AX147" s="419"/>
      <c r="AY147" s="419"/>
      <c r="AZ147" s="421"/>
      <c r="BA147" s="421"/>
      <c r="BB147" s="419"/>
      <c r="BC147" s="419"/>
      <c r="BD147" s="421"/>
      <c r="BE147" s="421"/>
      <c r="BF147" s="419"/>
      <c r="BG147" s="419"/>
      <c r="BH147" s="421"/>
      <c r="BI147" s="421"/>
      <c r="BJ147" s="419"/>
      <c r="BK147" s="419"/>
      <c r="BL147" s="421"/>
      <c r="BM147" s="421"/>
      <c r="BN147" s="419"/>
      <c r="BO147" s="419"/>
      <c r="BP147" s="421"/>
      <c r="BQ147" s="421"/>
      <c r="BR147" s="419"/>
      <c r="BS147" s="419"/>
      <c r="BT147" s="421"/>
      <c r="BU147" s="421"/>
      <c r="BV147" s="419"/>
      <c r="BW147" s="419"/>
      <c r="BX147" s="421"/>
      <c r="BY147" s="421"/>
      <c r="BZ147" s="419"/>
      <c r="CA147" s="419"/>
      <c r="CB147" s="421"/>
      <c r="CC147" s="421"/>
      <c r="CD147" s="419"/>
      <c r="CE147" s="419"/>
      <c r="CF147" s="421"/>
      <c r="CG147" s="421"/>
      <c r="CH147" s="419"/>
      <c r="CI147" s="419"/>
      <c r="CJ147" s="421"/>
      <c r="CK147" s="421"/>
      <c r="CL147" s="419"/>
      <c r="CM147" s="421"/>
      <c r="CN147" s="424">
        <f t="shared" si="77"/>
        <v>0</v>
      </c>
      <c r="CO147" s="424">
        <f t="shared" si="78"/>
        <v>0</v>
      </c>
      <c r="CP147" s="425">
        <f t="shared" si="79"/>
        <v>0</v>
      </c>
      <c r="CQ147" s="425">
        <f t="shared" si="80"/>
        <v>0</v>
      </c>
      <c r="CR147" s="419"/>
      <c r="CS147" s="419"/>
      <c r="CT147" s="421"/>
      <c r="CU147" s="421"/>
      <c r="CV147" s="419"/>
      <c r="CW147" s="419"/>
      <c r="CX147" s="421"/>
      <c r="CY147" s="421"/>
      <c r="CZ147" s="419"/>
      <c r="DA147" s="419"/>
      <c r="DB147" s="421"/>
      <c r="DC147" s="421"/>
      <c r="DD147" s="419"/>
      <c r="DE147" s="419"/>
      <c r="DF147" s="421"/>
      <c r="DG147" s="421"/>
      <c r="DH147" s="419"/>
      <c r="DI147" s="419"/>
      <c r="DJ147" s="421"/>
      <c r="DK147" s="421"/>
      <c r="DL147" s="419"/>
      <c r="DM147" s="419"/>
      <c r="DN147" s="421"/>
      <c r="DO147" s="421"/>
      <c r="DP147" s="419"/>
      <c r="DQ147" s="419"/>
      <c r="DR147" s="421"/>
      <c r="DS147" s="421"/>
      <c r="DT147" s="419"/>
      <c r="DU147" s="419"/>
      <c r="DV147" s="421"/>
      <c r="DW147" s="421"/>
      <c r="DX147" s="419"/>
      <c r="DY147" s="419"/>
      <c r="DZ147" s="421"/>
      <c r="EA147" s="421"/>
      <c r="EB147" s="419"/>
      <c r="EC147" s="419"/>
      <c r="ED147" s="421"/>
      <c r="EE147" s="421"/>
      <c r="EF147" s="419"/>
      <c r="EG147" s="421"/>
      <c r="EH147" s="424">
        <f t="shared" si="81"/>
        <v>0</v>
      </c>
      <c r="EI147" s="424">
        <f t="shared" si="82"/>
        <v>0</v>
      </c>
      <c r="EJ147" s="422">
        <f t="shared" si="83"/>
        <v>0</v>
      </c>
      <c r="EK147" s="425">
        <f t="shared" si="84"/>
        <v>0</v>
      </c>
      <c r="EL147" s="425">
        <f t="shared" si="85"/>
        <v>0</v>
      </c>
      <c r="EM147" s="423">
        <f t="shared" si="86"/>
        <v>0</v>
      </c>
      <c r="EN147" s="424">
        <f t="shared" si="87"/>
        <v>0</v>
      </c>
      <c r="EO147" s="425">
        <f t="shared" si="88"/>
        <v>0</v>
      </c>
      <c r="EP147" s="419"/>
      <c r="EQ147" s="421"/>
      <c r="ER147" s="419"/>
      <c r="ES147" s="421"/>
      <c r="ET147" s="419"/>
      <c r="EU147" s="421"/>
      <c r="EV147" s="419"/>
      <c r="EW147" s="421"/>
      <c r="EX147" s="419"/>
      <c r="EY147" s="421"/>
      <c r="EZ147" s="419"/>
      <c r="FA147" s="421"/>
      <c r="FB147" s="419"/>
      <c r="FC147" s="421"/>
      <c r="FD147" s="419"/>
      <c r="FE147" s="421"/>
      <c r="FF147" s="419"/>
      <c r="FG147" s="421"/>
      <c r="FH147" s="419"/>
      <c r="FI147" s="421"/>
      <c r="FJ147" s="424">
        <f t="shared" si="89"/>
        <v>0</v>
      </c>
      <c r="FK147" s="425">
        <f t="shared" si="90"/>
        <v>0</v>
      </c>
      <c r="FL147" s="419"/>
      <c r="FM147" s="421"/>
      <c r="FN147" s="424">
        <f t="shared" si="91"/>
        <v>3014</v>
      </c>
      <c r="FO147" s="425">
        <f t="shared" si="92"/>
        <v>2902</v>
      </c>
    </row>
    <row r="148" spans="1:171" customFormat="1" ht="12.65" customHeight="1">
      <c r="A148" s="418" t="s">
        <v>157</v>
      </c>
      <c r="B148" s="99" t="s">
        <v>670</v>
      </c>
      <c r="C148" s="99"/>
      <c r="D148" s="101">
        <v>244446</v>
      </c>
      <c r="E148" s="101">
        <v>12</v>
      </c>
      <c r="F148" s="419">
        <v>482</v>
      </c>
      <c r="G148" s="420">
        <v>1482</v>
      </c>
      <c r="H148" s="419">
        <v>48</v>
      </c>
      <c r="I148" s="420">
        <v>75</v>
      </c>
      <c r="J148" s="419">
        <v>202</v>
      </c>
      <c r="K148" s="420">
        <v>268</v>
      </c>
      <c r="L148" s="422">
        <f t="shared" si="71"/>
        <v>0</v>
      </c>
      <c r="M148" s="423">
        <f t="shared" si="72"/>
        <v>0</v>
      </c>
      <c r="N148" s="419"/>
      <c r="O148" s="309">
        <f>0</f>
        <v>0</v>
      </c>
      <c r="P148" s="309">
        <f>0</f>
        <v>0</v>
      </c>
      <c r="Q148" s="309">
        <f>0</f>
        <v>0</v>
      </c>
      <c r="R148" s="424">
        <f t="shared" si="69"/>
        <v>0</v>
      </c>
      <c r="S148" s="421"/>
      <c r="T148" s="301">
        <f>0</f>
        <v>0</v>
      </c>
      <c r="U148" s="301">
        <f>0</f>
        <v>0</v>
      </c>
      <c r="V148" s="301">
        <f>0</f>
        <v>0</v>
      </c>
      <c r="W148" s="425">
        <f t="shared" si="70"/>
        <v>0</v>
      </c>
      <c r="X148" s="419"/>
      <c r="Y148" s="419"/>
      <c r="Z148" s="421"/>
      <c r="AA148" s="421"/>
      <c r="AB148" s="419"/>
      <c r="AC148" s="419"/>
      <c r="AD148" s="421"/>
      <c r="AE148" s="421"/>
      <c r="AF148" s="419"/>
      <c r="AG148" s="419"/>
      <c r="AH148" s="421"/>
      <c r="AI148" s="421"/>
      <c r="AJ148" s="419"/>
      <c r="AK148" s="419"/>
      <c r="AL148" s="421"/>
      <c r="AM148" s="421"/>
      <c r="AN148" s="419"/>
      <c r="AO148" s="419"/>
      <c r="AP148" s="421"/>
      <c r="AQ148" s="421"/>
      <c r="AR148" s="424">
        <f t="shared" si="73"/>
        <v>0</v>
      </c>
      <c r="AS148" s="422">
        <f t="shared" si="74"/>
        <v>0</v>
      </c>
      <c r="AT148" s="425">
        <f t="shared" si="75"/>
        <v>0</v>
      </c>
      <c r="AU148" s="423">
        <f t="shared" si="76"/>
        <v>0</v>
      </c>
      <c r="AV148" s="419"/>
      <c r="AW148" s="421"/>
      <c r="AX148" s="419"/>
      <c r="AY148" s="419"/>
      <c r="AZ148" s="421"/>
      <c r="BA148" s="421"/>
      <c r="BB148" s="419"/>
      <c r="BC148" s="419"/>
      <c r="BD148" s="421"/>
      <c r="BE148" s="421"/>
      <c r="BF148" s="419"/>
      <c r="BG148" s="419"/>
      <c r="BH148" s="421"/>
      <c r="BI148" s="421"/>
      <c r="BJ148" s="419"/>
      <c r="BK148" s="419"/>
      <c r="BL148" s="421"/>
      <c r="BM148" s="421"/>
      <c r="BN148" s="419"/>
      <c r="BO148" s="419"/>
      <c r="BP148" s="421"/>
      <c r="BQ148" s="421"/>
      <c r="BR148" s="419"/>
      <c r="BS148" s="419"/>
      <c r="BT148" s="421"/>
      <c r="BU148" s="421"/>
      <c r="BV148" s="419"/>
      <c r="BW148" s="419"/>
      <c r="BX148" s="421"/>
      <c r="BY148" s="421"/>
      <c r="BZ148" s="419"/>
      <c r="CA148" s="419"/>
      <c r="CB148" s="421"/>
      <c r="CC148" s="421"/>
      <c r="CD148" s="419"/>
      <c r="CE148" s="419"/>
      <c r="CF148" s="421"/>
      <c r="CG148" s="421"/>
      <c r="CH148" s="419"/>
      <c r="CI148" s="419"/>
      <c r="CJ148" s="421"/>
      <c r="CK148" s="421"/>
      <c r="CL148" s="419"/>
      <c r="CM148" s="421"/>
      <c r="CN148" s="424">
        <f t="shared" si="77"/>
        <v>0</v>
      </c>
      <c r="CO148" s="424">
        <f t="shared" si="78"/>
        <v>0</v>
      </c>
      <c r="CP148" s="425">
        <f t="shared" si="79"/>
        <v>0</v>
      </c>
      <c r="CQ148" s="425">
        <f t="shared" si="80"/>
        <v>0</v>
      </c>
      <c r="CR148" s="419"/>
      <c r="CS148" s="419"/>
      <c r="CT148" s="421"/>
      <c r="CU148" s="421"/>
      <c r="CV148" s="419"/>
      <c r="CW148" s="419"/>
      <c r="CX148" s="421"/>
      <c r="CY148" s="421"/>
      <c r="CZ148" s="419"/>
      <c r="DA148" s="419"/>
      <c r="DB148" s="421"/>
      <c r="DC148" s="421"/>
      <c r="DD148" s="419"/>
      <c r="DE148" s="419"/>
      <c r="DF148" s="421"/>
      <c r="DG148" s="421"/>
      <c r="DH148" s="419"/>
      <c r="DI148" s="419"/>
      <c r="DJ148" s="421"/>
      <c r="DK148" s="421"/>
      <c r="DL148" s="419"/>
      <c r="DM148" s="419"/>
      <c r="DN148" s="421"/>
      <c r="DO148" s="421"/>
      <c r="DP148" s="419"/>
      <c r="DQ148" s="419"/>
      <c r="DR148" s="421"/>
      <c r="DS148" s="421"/>
      <c r="DT148" s="419"/>
      <c r="DU148" s="419"/>
      <c r="DV148" s="421"/>
      <c r="DW148" s="421"/>
      <c r="DX148" s="419"/>
      <c r="DY148" s="419"/>
      <c r="DZ148" s="421"/>
      <c r="EA148" s="421"/>
      <c r="EB148" s="419"/>
      <c r="EC148" s="419"/>
      <c r="ED148" s="421"/>
      <c r="EE148" s="421"/>
      <c r="EF148" s="419"/>
      <c r="EG148" s="421"/>
      <c r="EH148" s="424">
        <f t="shared" si="81"/>
        <v>0</v>
      </c>
      <c r="EI148" s="424">
        <f t="shared" si="82"/>
        <v>0</v>
      </c>
      <c r="EJ148" s="422">
        <f t="shared" si="83"/>
        <v>0</v>
      </c>
      <c r="EK148" s="425">
        <f t="shared" si="84"/>
        <v>0</v>
      </c>
      <c r="EL148" s="425">
        <f t="shared" si="85"/>
        <v>0</v>
      </c>
      <c r="EM148" s="423">
        <f t="shared" si="86"/>
        <v>0</v>
      </c>
      <c r="EN148" s="424">
        <f t="shared" si="87"/>
        <v>0</v>
      </c>
      <c r="EO148" s="425">
        <f t="shared" si="88"/>
        <v>0</v>
      </c>
      <c r="EP148" s="419"/>
      <c r="EQ148" s="421"/>
      <c r="ER148" s="419"/>
      <c r="ES148" s="421"/>
      <c r="ET148" s="419"/>
      <c r="EU148" s="421"/>
      <c r="EV148" s="419"/>
      <c r="EW148" s="421"/>
      <c r="EX148" s="419"/>
      <c r="EY148" s="421"/>
      <c r="EZ148" s="419"/>
      <c r="FA148" s="421"/>
      <c r="FB148" s="419"/>
      <c r="FC148" s="421"/>
      <c r="FD148" s="419"/>
      <c r="FE148" s="421"/>
      <c r="FF148" s="419"/>
      <c r="FG148" s="421"/>
      <c r="FH148" s="419"/>
      <c r="FI148" s="421"/>
      <c r="FJ148" s="424">
        <f t="shared" si="89"/>
        <v>0</v>
      </c>
      <c r="FK148" s="425">
        <f t="shared" si="90"/>
        <v>0</v>
      </c>
      <c r="FL148" s="419"/>
      <c r="FM148" s="421"/>
      <c r="FN148" s="424">
        <f t="shared" si="91"/>
        <v>732</v>
      </c>
      <c r="FO148" s="425">
        <f t="shared" si="92"/>
        <v>1825</v>
      </c>
    </row>
    <row r="149" spans="1:171" customFormat="1" ht="12.65" customHeight="1">
      <c r="A149" s="418" t="s">
        <v>157</v>
      </c>
      <c r="B149" s="99" t="s">
        <v>671</v>
      </c>
      <c r="C149" s="99"/>
      <c r="D149" s="101">
        <v>140012</v>
      </c>
      <c r="E149" s="101">
        <v>12</v>
      </c>
      <c r="F149" s="419">
        <v>2343</v>
      </c>
      <c r="G149" s="421">
        <v>2567</v>
      </c>
      <c r="H149" s="419">
        <v>123</v>
      </c>
      <c r="I149" s="421">
        <v>138</v>
      </c>
      <c r="J149" s="419">
        <v>705</v>
      </c>
      <c r="K149" s="421">
        <v>750</v>
      </c>
      <c r="L149" s="422">
        <f t="shared" si="71"/>
        <v>0</v>
      </c>
      <c r="M149" s="423">
        <f t="shared" si="72"/>
        <v>0</v>
      </c>
      <c r="N149" s="419"/>
      <c r="O149" s="309">
        <f>0</f>
        <v>0</v>
      </c>
      <c r="P149" s="309">
        <f>0</f>
        <v>0</v>
      </c>
      <c r="Q149" s="309">
        <f>0</f>
        <v>0</v>
      </c>
      <c r="R149" s="424">
        <f t="shared" si="69"/>
        <v>0</v>
      </c>
      <c r="S149" s="421"/>
      <c r="T149" s="301">
        <f>0</f>
        <v>0</v>
      </c>
      <c r="U149" s="301">
        <f>0</f>
        <v>0</v>
      </c>
      <c r="V149" s="301">
        <f>0</f>
        <v>0</v>
      </c>
      <c r="W149" s="425">
        <f t="shared" si="70"/>
        <v>0</v>
      </c>
      <c r="X149" s="419"/>
      <c r="Y149" s="419"/>
      <c r="Z149" s="421"/>
      <c r="AA149" s="421"/>
      <c r="AB149" s="419"/>
      <c r="AC149" s="419"/>
      <c r="AD149" s="421"/>
      <c r="AE149" s="421"/>
      <c r="AF149" s="419"/>
      <c r="AG149" s="419"/>
      <c r="AH149" s="421"/>
      <c r="AI149" s="421"/>
      <c r="AJ149" s="419"/>
      <c r="AK149" s="419"/>
      <c r="AL149" s="421"/>
      <c r="AM149" s="421"/>
      <c r="AN149" s="419"/>
      <c r="AO149" s="419"/>
      <c r="AP149" s="421"/>
      <c r="AQ149" s="421"/>
      <c r="AR149" s="424">
        <f t="shared" si="73"/>
        <v>0</v>
      </c>
      <c r="AS149" s="422">
        <f t="shared" si="74"/>
        <v>0</v>
      </c>
      <c r="AT149" s="425">
        <f t="shared" si="75"/>
        <v>0</v>
      </c>
      <c r="AU149" s="423">
        <f t="shared" si="76"/>
        <v>0</v>
      </c>
      <c r="AV149" s="419"/>
      <c r="AW149" s="421"/>
      <c r="AX149" s="419"/>
      <c r="AY149" s="419"/>
      <c r="AZ149" s="421"/>
      <c r="BA149" s="421"/>
      <c r="BB149" s="419"/>
      <c r="BC149" s="419"/>
      <c r="BD149" s="421"/>
      <c r="BE149" s="421"/>
      <c r="BF149" s="419"/>
      <c r="BG149" s="419"/>
      <c r="BH149" s="421"/>
      <c r="BI149" s="421"/>
      <c r="BJ149" s="419"/>
      <c r="BK149" s="419"/>
      <c r="BL149" s="421"/>
      <c r="BM149" s="421"/>
      <c r="BN149" s="419"/>
      <c r="BO149" s="419"/>
      <c r="BP149" s="421"/>
      <c r="BQ149" s="421"/>
      <c r="BR149" s="419"/>
      <c r="BS149" s="419"/>
      <c r="BT149" s="421"/>
      <c r="BU149" s="421"/>
      <c r="BV149" s="419"/>
      <c r="BW149" s="419"/>
      <c r="BX149" s="421"/>
      <c r="BY149" s="421"/>
      <c r="BZ149" s="419"/>
      <c r="CA149" s="419"/>
      <c r="CB149" s="421"/>
      <c r="CC149" s="421"/>
      <c r="CD149" s="419"/>
      <c r="CE149" s="419"/>
      <c r="CF149" s="421"/>
      <c r="CG149" s="421"/>
      <c r="CH149" s="419"/>
      <c r="CI149" s="419"/>
      <c r="CJ149" s="421"/>
      <c r="CK149" s="421"/>
      <c r="CL149" s="419"/>
      <c r="CM149" s="421"/>
      <c r="CN149" s="424">
        <f t="shared" si="77"/>
        <v>0</v>
      </c>
      <c r="CO149" s="424">
        <f t="shared" si="78"/>
        <v>0</v>
      </c>
      <c r="CP149" s="425">
        <f t="shared" si="79"/>
        <v>0</v>
      </c>
      <c r="CQ149" s="425">
        <f t="shared" si="80"/>
        <v>0</v>
      </c>
      <c r="CR149" s="419"/>
      <c r="CS149" s="419"/>
      <c r="CT149" s="421"/>
      <c r="CU149" s="421"/>
      <c r="CV149" s="419"/>
      <c r="CW149" s="419"/>
      <c r="CX149" s="421"/>
      <c r="CY149" s="421"/>
      <c r="CZ149" s="419"/>
      <c r="DA149" s="419"/>
      <c r="DB149" s="421"/>
      <c r="DC149" s="421"/>
      <c r="DD149" s="419"/>
      <c r="DE149" s="419"/>
      <c r="DF149" s="421"/>
      <c r="DG149" s="421"/>
      <c r="DH149" s="419"/>
      <c r="DI149" s="419"/>
      <c r="DJ149" s="421"/>
      <c r="DK149" s="421"/>
      <c r="DL149" s="419"/>
      <c r="DM149" s="419"/>
      <c r="DN149" s="421"/>
      <c r="DO149" s="421"/>
      <c r="DP149" s="419"/>
      <c r="DQ149" s="419"/>
      <c r="DR149" s="421"/>
      <c r="DS149" s="421"/>
      <c r="DT149" s="419"/>
      <c r="DU149" s="419"/>
      <c r="DV149" s="421"/>
      <c r="DW149" s="421"/>
      <c r="DX149" s="419"/>
      <c r="DY149" s="419"/>
      <c r="DZ149" s="421"/>
      <c r="EA149" s="421"/>
      <c r="EB149" s="419"/>
      <c r="EC149" s="419"/>
      <c r="ED149" s="421"/>
      <c r="EE149" s="421"/>
      <c r="EF149" s="419"/>
      <c r="EG149" s="421"/>
      <c r="EH149" s="424">
        <f t="shared" si="81"/>
        <v>0</v>
      </c>
      <c r="EI149" s="424">
        <f t="shared" si="82"/>
        <v>0</v>
      </c>
      <c r="EJ149" s="422">
        <f t="shared" si="83"/>
        <v>0</v>
      </c>
      <c r="EK149" s="425">
        <f t="shared" si="84"/>
        <v>0</v>
      </c>
      <c r="EL149" s="425">
        <f t="shared" si="85"/>
        <v>0</v>
      </c>
      <c r="EM149" s="423">
        <f t="shared" si="86"/>
        <v>0</v>
      </c>
      <c r="EN149" s="424">
        <f t="shared" si="87"/>
        <v>0</v>
      </c>
      <c r="EO149" s="425">
        <f t="shared" si="88"/>
        <v>0</v>
      </c>
      <c r="EP149" s="419"/>
      <c r="EQ149" s="421"/>
      <c r="ER149" s="419"/>
      <c r="ES149" s="421"/>
      <c r="ET149" s="419"/>
      <c r="EU149" s="421"/>
      <c r="EV149" s="419"/>
      <c r="EW149" s="421"/>
      <c r="EX149" s="419"/>
      <c r="EY149" s="421"/>
      <c r="EZ149" s="419"/>
      <c r="FA149" s="421"/>
      <c r="FB149" s="419"/>
      <c r="FC149" s="421"/>
      <c r="FD149" s="419"/>
      <c r="FE149" s="421"/>
      <c r="FF149" s="419"/>
      <c r="FG149" s="421"/>
      <c r="FH149" s="419"/>
      <c r="FI149" s="421"/>
      <c r="FJ149" s="424">
        <f t="shared" si="89"/>
        <v>0</v>
      </c>
      <c r="FK149" s="425">
        <f t="shared" si="90"/>
        <v>0</v>
      </c>
      <c r="FL149" s="419"/>
      <c r="FM149" s="421"/>
      <c r="FN149" s="424">
        <f t="shared" si="91"/>
        <v>3171</v>
      </c>
      <c r="FO149" s="425">
        <f t="shared" si="92"/>
        <v>3455</v>
      </c>
    </row>
    <row r="150" spans="1:171" customFormat="1" ht="12.65" customHeight="1">
      <c r="A150" s="418" t="s">
        <v>157</v>
      </c>
      <c r="B150" s="99" t="s">
        <v>672</v>
      </c>
      <c r="C150" s="99"/>
      <c r="D150" s="101">
        <v>140243</v>
      </c>
      <c r="E150" s="101">
        <v>12</v>
      </c>
      <c r="F150" s="419">
        <v>1619</v>
      </c>
      <c r="G150" s="421">
        <v>1653</v>
      </c>
      <c r="H150" s="419">
        <v>44</v>
      </c>
      <c r="I150" s="421">
        <v>39</v>
      </c>
      <c r="J150" s="419">
        <v>309</v>
      </c>
      <c r="K150" s="421">
        <v>326</v>
      </c>
      <c r="L150" s="422">
        <f t="shared" si="71"/>
        <v>0</v>
      </c>
      <c r="M150" s="423">
        <f t="shared" si="72"/>
        <v>0</v>
      </c>
      <c r="N150" s="419"/>
      <c r="O150" s="309">
        <f>0</f>
        <v>0</v>
      </c>
      <c r="P150" s="309">
        <f>0</f>
        <v>0</v>
      </c>
      <c r="Q150" s="309">
        <f>0</f>
        <v>0</v>
      </c>
      <c r="R150" s="424">
        <f t="shared" si="69"/>
        <v>0</v>
      </c>
      <c r="S150" s="421"/>
      <c r="T150" s="301">
        <f>0</f>
        <v>0</v>
      </c>
      <c r="U150" s="301">
        <f>0</f>
        <v>0</v>
      </c>
      <c r="V150" s="301">
        <f>0</f>
        <v>0</v>
      </c>
      <c r="W150" s="425">
        <f t="shared" si="70"/>
        <v>0</v>
      </c>
      <c r="X150" s="419"/>
      <c r="Y150" s="419"/>
      <c r="Z150" s="421"/>
      <c r="AA150" s="421"/>
      <c r="AB150" s="419"/>
      <c r="AC150" s="419"/>
      <c r="AD150" s="421"/>
      <c r="AE150" s="421"/>
      <c r="AF150" s="419"/>
      <c r="AG150" s="419"/>
      <c r="AH150" s="421"/>
      <c r="AI150" s="421"/>
      <c r="AJ150" s="419"/>
      <c r="AK150" s="419"/>
      <c r="AL150" s="421"/>
      <c r="AM150" s="421"/>
      <c r="AN150" s="419"/>
      <c r="AO150" s="419"/>
      <c r="AP150" s="421"/>
      <c r="AQ150" s="421"/>
      <c r="AR150" s="424">
        <f t="shared" si="73"/>
        <v>0</v>
      </c>
      <c r="AS150" s="422">
        <f t="shared" si="74"/>
        <v>0</v>
      </c>
      <c r="AT150" s="425">
        <f t="shared" si="75"/>
        <v>0</v>
      </c>
      <c r="AU150" s="423">
        <f t="shared" si="76"/>
        <v>0</v>
      </c>
      <c r="AV150" s="419"/>
      <c r="AW150" s="421"/>
      <c r="AX150" s="419"/>
      <c r="AY150" s="419"/>
      <c r="AZ150" s="421"/>
      <c r="BA150" s="421"/>
      <c r="BB150" s="419"/>
      <c r="BC150" s="419"/>
      <c r="BD150" s="421"/>
      <c r="BE150" s="421"/>
      <c r="BF150" s="419"/>
      <c r="BG150" s="419"/>
      <c r="BH150" s="421"/>
      <c r="BI150" s="421"/>
      <c r="BJ150" s="419"/>
      <c r="BK150" s="419"/>
      <c r="BL150" s="421"/>
      <c r="BM150" s="421"/>
      <c r="BN150" s="419"/>
      <c r="BO150" s="419"/>
      <c r="BP150" s="421"/>
      <c r="BQ150" s="421"/>
      <c r="BR150" s="419"/>
      <c r="BS150" s="419"/>
      <c r="BT150" s="421"/>
      <c r="BU150" s="421"/>
      <c r="BV150" s="419"/>
      <c r="BW150" s="419"/>
      <c r="BX150" s="421"/>
      <c r="BY150" s="421"/>
      <c r="BZ150" s="419"/>
      <c r="CA150" s="419"/>
      <c r="CB150" s="421"/>
      <c r="CC150" s="421"/>
      <c r="CD150" s="419"/>
      <c r="CE150" s="419"/>
      <c r="CF150" s="421"/>
      <c r="CG150" s="421"/>
      <c r="CH150" s="419"/>
      <c r="CI150" s="419"/>
      <c r="CJ150" s="421"/>
      <c r="CK150" s="421"/>
      <c r="CL150" s="419"/>
      <c r="CM150" s="421"/>
      <c r="CN150" s="424">
        <f t="shared" si="77"/>
        <v>0</v>
      </c>
      <c r="CO150" s="424">
        <f t="shared" si="78"/>
        <v>0</v>
      </c>
      <c r="CP150" s="425">
        <f t="shared" si="79"/>
        <v>0</v>
      </c>
      <c r="CQ150" s="425">
        <f t="shared" si="80"/>
        <v>0</v>
      </c>
      <c r="CR150" s="419"/>
      <c r="CS150" s="419"/>
      <c r="CT150" s="421"/>
      <c r="CU150" s="421"/>
      <c r="CV150" s="419"/>
      <c r="CW150" s="419"/>
      <c r="CX150" s="421"/>
      <c r="CY150" s="421"/>
      <c r="CZ150" s="419"/>
      <c r="DA150" s="419"/>
      <c r="DB150" s="421"/>
      <c r="DC150" s="421"/>
      <c r="DD150" s="419"/>
      <c r="DE150" s="419"/>
      <c r="DF150" s="421"/>
      <c r="DG150" s="421"/>
      <c r="DH150" s="419"/>
      <c r="DI150" s="419"/>
      <c r="DJ150" s="421"/>
      <c r="DK150" s="421"/>
      <c r="DL150" s="419"/>
      <c r="DM150" s="419"/>
      <c r="DN150" s="421"/>
      <c r="DO150" s="421"/>
      <c r="DP150" s="419"/>
      <c r="DQ150" s="419"/>
      <c r="DR150" s="421"/>
      <c r="DS150" s="421"/>
      <c r="DT150" s="419"/>
      <c r="DU150" s="419"/>
      <c r="DV150" s="421"/>
      <c r="DW150" s="421"/>
      <c r="DX150" s="419"/>
      <c r="DY150" s="419"/>
      <c r="DZ150" s="421"/>
      <c r="EA150" s="421"/>
      <c r="EB150" s="419"/>
      <c r="EC150" s="419"/>
      <c r="ED150" s="421"/>
      <c r="EE150" s="421"/>
      <c r="EF150" s="419"/>
      <c r="EG150" s="421"/>
      <c r="EH150" s="424">
        <f t="shared" si="81"/>
        <v>0</v>
      </c>
      <c r="EI150" s="424">
        <f t="shared" si="82"/>
        <v>0</v>
      </c>
      <c r="EJ150" s="422">
        <f t="shared" si="83"/>
        <v>0</v>
      </c>
      <c r="EK150" s="425">
        <f t="shared" si="84"/>
        <v>0</v>
      </c>
      <c r="EL150" s="425">
        <f t="shared" si="85"/>
        <v>0</v>
      </c>
      <c r="EM150" s="423">
        <f t="shared" si="86"/>
        <v>0</v>
      </c>
      <c r="EN150" s="424">
        <f t="shared" si="87"/>
        <v>0</v>
      </c>
      <c r="EO150" s="425">
        <f t="shared" si="88"/>
        <v>0</v>
      </c>
      <c r="EP150" s="419"/>
      <c r="EQ150" s="421"/>
      <c r="ER150" s="419"/>
      <c r="ES150" s="421"/>
      <c r="ET150" s="419"/>
      <c r="EU150" s="421"/>
      <c r="EV150" s="419"/>
      <c r="EW150" s="421"/>
      <c r="EX150" s="419"/>
      <c r="EY150" s="421"/>
      <c r="EZ150" s="419"/>
      <c r="FA150" s="421"/>
      <c r="FB150" s="419"/>
      <c r="FC150" s="421"/>
      <c r="FD150" s="419"/>
      <c r="FE150" s="421"/>
      <c r="FF150" s="419"/>
      <c r="FG150" s="421"/>
      <c r="FH150" s="419"/>
      <c r="FI150" s="421"/>
      <c r="FJ150" s="424">
        <f t="shared" si="89"/>
        <v>0</v>
      </c>
      <c r="FK150" s="425">
        <f t="shared" si="90"/>
        <v>0</v>
      </c>
      <c r="FL150" s="419"/>
      <c r="FM150" s="421"/>
      <c r="FN150" s="424">
        <f t="shared" si="91"/>
        <v>1972</v>
      </c>
      <c r="FO150" s="425">
        <f t="shared" si="92"/>
        <v>2018</v>
      </c>
    </row>
    <row r="151" spans="1:171" customFormat="1" ht="12.65" customHeight="1">
      <c r="A151" s="418" t="s">
        <v>157</v>
      </c>
      <c r="B151" s="99" t="s">
        <v>673</v>
      </c>
      <c r="C151" s="99"/>
      <c r="D151" s="101">
        <v>140678</v>
      </c>
      <c r="E151" s="101">
        <v>12</v>
      </c>
      <c r="F151" s="419">
        <v>818</v>
      </c>
      <c r="G151" s="421">
        <v>686</v>
      </c>
      <c r="H151" s="419">
        <v>30</v>
      </c>
      <c r="I151" s="420">
        <v>18</v>
      </c>
      <c r="J151" s="419">
        <v>216</v>
      </c>
      <c r="K151" s="421">
        <v>237</v>
      </c>
      <c r="L151" s="422">
        <f t="shared" si="71"/>
        <v>0</v>
      </c>
      <c r="M151" s="423">
        <f t="shared" si="72"/>
        <v>0</v>
      </c>
      <c r="N151" s="419"/>
      <c r="O151" s="309">
        <f>0</f>
        <v>0</v>
      </c>
      <c r="P151" s="309">
        <f>0</f>
        <v>0</v>
      </c>
      <c r="Q151" s="309">
        <f>0</f>
        <v>0</v>
      </c>
      <c r="R151" s="424">
        <f t="shared" si="69"/>
        <v>0</v>
      </c>
      <c r="S151" s="421"/>
      <c r="T151" s="301">
        <f>0</f>
        <v>0</v>
      </c>
      <c r="U151" s="301">
        <f>0</f>
        <v>0</v>
      </c>
      <c r="V151" s="301">
        <f>0</f>
        <v>0</v>
      </c>
      <c r="W151" s="425">
        <f t="shared" si="70"/>
        <v>0</v>
      </c>
      <c r="X151" s="419"/>
      <c r="Y151" s="419"/>
      <c r="Z151" s="421"/>
      <c r="AA151" s="421"/>
      <c r="AB151" s="419"/>
      <c r="AC151" s="419"/>
      <c r="AD151" s="421"/>
      <c r="AE151" s="421"/>
      <c r="AF151" s="419"/>
      <c r="AG151" s="419"/>
      <c r="AH151" s="421"/>
      <c r="AI151" s="421"/>
      <c r="AJ151" s="419"/>
      <c r="AK151" s="419"/>
      <c r="AL151" s="421"/>
      <c r="AM151" s="421"/>
      <c r="AN151" s="419"/>
      <c r="AO151" s="419"/>
      <c r="AP151" s="421"/>
      <c r="AQ151" s="421"/>
      <c r="AR151" s="424">
        <f t="shared" si="73"/>
        <v>0</v>
      </c>
      <c r="AS151" s="422">
        <f t="shared" si="74"/>
        <v>0</v>
      </c>
      <c r="AT151" s="425">
        <f t="shared" si="75"/>
        <v>0</v>
      </c>
      <c r="AU151" s="423">
        <f t="shared" si="76"/>
        <v>0</v>
      </c>
      <c r="AV151" s="419"/>
      <c r="AW151" s="421"/>
      <c r="AX151" s="419"/>
      <c r="AY151" s="419"/>
      <c r="AZ151" s="421"/>
      <c r="BA151" s="421"/>
      <c r="BB151" s="419"/>
      <c r="BC151" s="419"/>
      <c r="BD151" s="421"/>
      <c r="BE151" s="421"/>
      <c r="BF151" s="419"/>
      <c r="BG151" s="419"/>
      <c r="BH151" s="421"/>
      <c r="BI151" s="421"/>
      <c r="BJ151" s="419"/>
      <c r="BK151" s="419"/>
      <c r="BL151" s="421"/>
      <c r="BM151" s="421"/>
      <c r="BN151" s="419"/>
      <c r="BO151" s="419"/>
      <c r="BP151" s="421"/>
      <c r="BQ151" s="421"/>
      <c r="BR151" s="419"/>
      <c r="BS151" s="419"/>
      <c r="BT151" s="421"/>
      <c r="BU151" s="421"/>
      <c r="BV151" s="419"/>
      <c r="BW151" s="419"/>
      <c r="BX151" s="421"/>
      <c r="BY151" s="421"/>
      <c r="BZ151" s="419"/>
      <c r="CA151" s="419"/>
      <c r="CB151" s="421"/>
      <c r="CC151" s="421"/>
      <c r="CD151" s="419"/>
      <c r="CE151" s="419"/>
      <c r="CF151" s="421"/>
      <c r="CG151" s="421"/>
      <c r="CH151" s="419"/>
      <c r="CI151" s="419"/>
      <c r="CJ151" s="421"/>
      <c r="CK151" s="421"/>
      <c r="CL151" s="419"/>
      <c r="CM151" s="421"/>
      <c r="CN151" s="424">
        <f t="shared" si="77"/>
        <v>0</v>
      </c>
      <c r="CO151" s="424">
        <f t="shared" si="78"/>
        <v>0</v>
      </c>
      <c r="CP151" s="425">
        <f t="shared" si="79"/>
        <v>0</v>
      </c>
      <c r="CQ151" s="425">
        <f t="shared" si="80"/>
        <v>0</v>
      </c>
      <c r="CR151" s="419"/>
      <c r="CS151" s="419"/>
      <c r="CT151" s="421"/>
      <c r="CU151" s="421"/>
      <c r="CV151" s="419"/>
      <c r="CW151" s="419"/>
      <c r="CX151" s="421"/>
      <c r="CY151" s="421"/>
      <c r="CZ151" s="419"/>
      <c r="DA151" s="419"/>
      <c r="DB151" s="421"/>
      <c r="DC151" s="421"/>
      <c r="DD151" s="419"/>
      <c r="DE151" s="419"/>
      <c r="DF151" s="421"/>
      <c r="DG151" s="421"/>
      <c r="DH151" s="419"/>
      <c r="DI151" s="419"/>
      <c r="DJ151" s="421"/>
      <c r="DK151" s="421"/>
      <c r="DL151" s="419"/>
      <c r="DM151" s="419"/>
      <c r="DN151" s="421"/>
      <c r="DO151" s="421"/>
      <c r="DP151" s="419"/>
      <c r="DQ151" s="419"/>
      <c r="DR151" s="421"/>
      <c r="DS151" s="421"/>
      <c r="DT151" s="419"/>
      <c r="DU151" s="419"/>
      <c r="DV151" s="421"/>
      <c r="DW151" s="421"/>
      <c r="DX151" s="419"/>
      <c r="DY151" s="419"/>
      <c r="DZ151" s="421"/>
      <c r="EA151" s="421"/>
      <c r="EB151" s="419"/>
      <c r="EC151" s="419"/>
      <c r="ED151" s="421"/>
      <c r="EE151" s="421"/>
      <c r="EF151" s="419"/>
      <c r="EG151" s="421"/>
      <c r="EH151" s="424">
        <f t="shared" si="81"/>
        <v>0</v>
      </c>
      <c r="EI151" s="424">
        <f t="shared" si="82"/>
        <v>0</v>
      </c>
      <c r="EJ151" s="422">
        <f t="shared" si="83"/>
        <v>0</v>
      </c>
      <c r="EK151" s="425">
        <f t="shared" si="84"/>
        <v>0</v>
      </c>
      <c r="EL151" s="425">
        <f t="shared" si="85"/>
        <v>0</v>
      </c>
      <c r="EM151" s="423">
        <f t="shared" si="86"/>
        <v>0</v>
      </c>
      <c r="EN151" s="424">
        <f t="shared" si="87"/>
        <v>0</v>
      </c>
      <c r="EO151" s="425">
        <f t="shared" si="88"/>
        <v>0</v>
      </c>
      <c r="EP151" s="419"/>
      <c r="EQ151" s="421"/>
      <c r="ER151" s="419"/>
      <c r="ES151" s="421"/>
      <c r="ET151" s="419"/>
      <c r="EU151" s="421"/>
      <c r="EV151" s="419"/>
      <c r="EW151" s="421"/>
      <c r="EX151" s="419"/>
      <c r="EY151" s="421"/>
      <c r="EZ151" s="419"/>
      <c r="FA151" s="421"/>
      <c r="FB151" s="419"/>
      <c r="FC151" s="421"/>
      <c r="FD151" s="419"/>
      <c r="FE151" s="421"/>
      <c r="FF151" s="419"/>
      <c r="FG151" s="421"/>
      <c r="FH151" s="419"/>
      <c r="FI151" s="421"/>
      <c r="FJ151" s="424">
        <f t="shared" si="89"/>
        <v>0</v>
      </c>
      <c r="FK151" s="425">
        <f t="shared" si="90"/>
        <v>0</v>
      </c>
      <c r="FL151" s="419"/>
      <c r="FM151" s="421"/>
      <c r="FN151" s="424">
        <f t="shared" si="91"/>
        <v>1064</v>
      </c>
      <c r="FO151" s="425">
        <f t="shared" si="92"/>
        <v>941</v>
      </c>
    </row>
    <row r="152" spans="1:171">
      <c r="A152" s="418" t="s">
        <v>157</v>
      </c>
      <c r="B152" s="99" t="s">
        <v>674</v>
      </c>
      <c r="C152" s="100"/>
      <c r="D152" s="101">
        <v>420431</v>
      </c>
      <c r="E152" s="101">
        <v>12</v>
      </c>
      <c r="F152" s="419">
        <v>917</v>
      </c>
      <c r="G152" s="421">
        <v>1056</v>
      </c>
      <c r="H152" s="419">
        <v>17</v>
      </c>
      <c r="I152" s="420">
        <v>24</v>
      </c>
      <c r="J152" s="419">
        <v>63</v>
      </c>
      <c r="K152" s="420">
        <v>115</v>
      </c>
      <c r="L152" s="422">
        <f t="shared" si="71"/>
        <v>0</v>
      </c>
      <c r="M152" s="423">
        <f t="shared" si="72"/>
        <v>0</v>
      </c>
      <c r="N152" s="419"/>
      <c r="O152" s="309">
        <f>0</f>
        <v>0</v>
      </c>
      <c r="P152" s="309">
        <f>0</f>
        <v>0</v>
      </c>
      <c r="Q152" s="309">
        <f>0</f>
        <v>0</v>
      </c>
      <c r="R152" s="424">
        <f t="shared" si="69"/>
        <v>0</v>
      </c>
      <c r="S152" s="421"/>
      <c r="T152" s="301">
        <f>0</f>
        <v>0</v>
      </c>
      <c r="U152" s="301">
        <f>0</f>
        <v>0</v>
      </c>
      <c r="V152" s="301">
        <f>0</f>
        <v>0</v>
      </c>
      <c r="W152" s="425">
        <f t="shared" si="70"/>
        <v>0</v>
      </c>
      <c r="X152" s="419"/>
      <c r="Y152" s="419"/>
      <c r="Z152" s="421"/>
      <c r="AA152" s="421"/>
      <c r="AB152" s="419"/>
      <c r="AC152" s="419"/>
      <c r="AD152" s="421"/>
      <c r="AE152" s="421"/>
      <c r="AF152" s="419"/>
      <c r="AG152" s="419"/>
      <c r="AH152" s="421"/>
      <c r="AI152" s="421"/>
      <c r="AJ152" s="419"/>
      <c r="AK152" s="419"/>
      <c r="AL152" s="421"/>
      <c r="AM152" s="421"/>
      <c r="AN152" s="419"/>
      <c r="AO152" s="419"/>
      <c r="AP152" s="421"/>
      <c r="AQ152" s="421"/>
      <c r="AR152" s="424">
        <f t="shared" si="73"/>
        <v>0</v>
      </c>
      <c r="AS152" s="422">
        <f t="shared" si="74"/>
        <v>0</v>
      </c>
      <c r="AT152" s="425">
        <f t="shared" si="75"/>
        <v>0</v>
      </c>
      <c r="AU152" s="423">
        <f t="shared" si="76"/>
        <v>0</v>
      </c>
      <c r="AV152" s="419"/>
      <c r="AW152" s="421"/>
      <c r="AX152" s="419"/>
      <c r="AY152" s="419"/>
      <c r="AZ152" s="421"/>
      <c r="BA152" s="421"/>
      <c r="BB152" s="419"/>
      <c r="BC152" s="419"/>
      <c r="BD152" s="421"/>
      <c r="BE152" s="421"/>
      <c r="BF152" s="419"/>
      <c r="BG152" s="419"/>
      <c r="BH152" s="421"/>
      <c r="BI152" s="421"/>
      <c r="BJ152" s="419"/>
      <c r="BK152" s="419"/>
      <c r="BL152" s="421"/>
      <c r="BM152" s="421"/>
      <c r="BN152" s="419"/>
      <c r="BO152" s="419"/>
      <c r="BP152" s="421"/>
      <c r="BQ152" s="421"/>
      <c r="BR152" s="419"/>
      <c r="BS152" s="419"/>
      <c r="BT152" s="421"/>
      <c r="BU152" s="421"/>
      <c r="BV152" s="419"/>
      <c r="BW152" s="419"/>
      <c r="BX152" s="421"/>
      <c r="BY152" s="421"/>
      <c r="BZ152" s="419"/>
      <c r="CA152" s="419"/>
      <c r="CB152" s="421"/>
      <c r="CC152" s="421"/>
      <c r="CD152" s="419"/>
      <c r="CE152" s="419"/>
      <c r="CF152" s="421"/>
      <c r="CG152" s="421"/>
      <c r="CH152" s="419"/>
      <c r="CI152" s="419"/>
      <c r="CJ152" s="421"/>
      <c r="CK152" s="421"/>
      <c r="CL152" s="419"/>
      <c r="CM152" s="421"/>
      <c r="CN152" s="424">
        <f t="shared" si="77"/>
        <v>0</v>
      </c>
      <c r="CO152" s="424">
        <f t="shared" si="78"/>
        <v>0</v>
      </c>
      <c r="CP152" s="425">
        <f t="shared" si="79"/>
        <v>0</v>
      </c>
      <c r="CQ152" s="425">
        <f t="shared" si="80"/>
        <v>0</v>
      </c>
      <c r="CR152" s="419"/>
      <c r="CS152" s="419"/>
      <c r="CT152" s="421"/>
      <c r="CU152" s="421"/>
      <c r="CV152" s="419"/>
      <c r="CW152" s="419"/>
      <c r="CX152" s="421"/>
      <c r="CY152" s="421"/>
      <c r="CZ152" s="419"/>
      <c r="DA152" s="419"/>
      <c r="DB152" s="421"/>
      <c r="DC152" s="421"/>
      <c r="DD152" s="419"/>
      <c r="DE152" s="419"/>
      <c r="DF152" s="421"/>
      <c r="DG152" s="421"/>
      <c r="DH152" s="419"/>
      <c r="DI152" s="419"/>
      <c r="DJ152" s="421"/>
      <c r="DK152" s="421"/>
      <c r="DL152" s="419"/>
      <c r="DM152" s="419"/>
      <c r="DN152" s="421"/>
      <c r="DO152" s="421"/>
      <c r="DP152" s="419"/>
      <c r="DQ152" s="419"/>
      <c r="DR152" s="421"/>
      <c r="DS152" s="421"/>
      <c r="DT152" s="419"/>
      <c r="DU152" s="419"/>
      <c r="DV152" s="421"/>
      <c r="DW152" s="421"/>
      <c r="DX152" s="419"/>
      <c r="DY152" s="419"/>
      <c r="DZ152" s="421"/>
      <c r="EA152" s="421"/>
      <c r="EB152" s="419"/>
      <c r="EC152" s="419"/>
      <c r="ED152" s="421"/>
      <c r="EE152" s="421"/>
      <c r="EF152" s="419"/>
      <c r="EG152" s="421"/>
      <c r="EH152" s="424">
        <f t="shared" si="81"/>
        <v>0</v>
      </c>
      <c r="EI152" s="424">
        <f t="shared" si="82"/>
        <v>0</v>
      </c>
      <c r="EJ152" s="422">
        <f t="shared" si="83"/>
        <v>0</v>
      </c>
      <c r="EK152" s="425">
        <f t="shared" si="84"/>
        <v>0</v>
      </c>
      <c r="EL152" s="425">
        <f t="shared" si="85"/>
        <v>0</v>
      </c>
      <c r="EM152" s="423">
        <f t="shared" si="86"/>
        <v>0</v>
      </c>
      <c r="EN152" s="424">
        <f t="shared" si="87"/>
        <v>0</v>
      </c>
      <c r="EO152" s="425">
        <f t="shared" si="88"/>
        <v>0</v>
      </c>
      <c r="EP152" s="419"/>
      <c r="EQ152" s="421"/>
      <c r="ER152" s="419"/>
      <c r="ES152" s="421"/>
      <c r="ET152" s="419"/>
      <c r="EU152" s="421"/>
      <c r="EV152" s="419"/>
      <c r="EW152" s="421"/>
      <c r="EX152" s="419"/>
      <c r="EY152" s="421"/>
      <c r="EZ152" s="419"/>
      <c r="FA152" s="421"/>
      <c r="FB152" s="419"/>
      <c r="FC152" s="421"/>
      <c r="FD152" s="419"/>
      <c r="FE152" s="421"/>
      <c r="FF152" s="419"/>
      <c r="FG152" s="421"/>
      <c r="FH152" s="419"/>
      <c r="FI152" s="421"/>
      <c r="FJ152" s="424">
        <f t="shared" si="89"/>
        <v>0</v>
      </c>
      <c r="FK152" s="425">
        <f t="shared" si="90"/>
        <v>0</v>
      </c>
      <c r="FL152" s="419"/>
      <c r="FM152" s="421"/>
      <c r="FN152" s="424">
        <f t="shared" si="91"/>
        <v>997</v>
      </c>
      <c r="FO152" s="425">
        <f t="shared" si="92"/>
        <v>1195</v>
      </c>
    </row>
    <row r="153" spans="1:171" customFormat="1" ht="12.65" customHeight="1">
      <c r="A153" s="418" t="s">
        <v>157</v>
      </c>
      <c r="B153" s="99" t="s">
        <v>675</v>
      </c>
      <c r="C153" s="99"/>
      <c r="D153" s="101">
        <v>366465</v>
      </c>
      <c r="E153" s="101">
        <v>12</v>
      </c>
      <c r="F153" s="419">
        <v>1211</v>
      </c>
      <c r="G153" s="421">
        <v>1198</v>
      </c>
      <c r="H153" s="419">
        <v>24</v>
      </c>
      <c r="I153" s="420">
        <v>19</v>
      </c>
      <c r="J153" s="419">
        <v>168</v>
      </c>
      <c r="K153" s="420">
        <v>224</v>
      </c>
      <c r="L153" s="422">
        <f t="shared" si="71"/>
        <v>0</v>
      </c>
      <c r="M153" s="423">
        <f t="shared" si="72"/>
        <v>0</v>
      </c>
      <c r="N153" s="419"/>
      <c r="O153" s="309">
        <f>0</f>
        <v>0</v>
      </c>
      <c r="P153" s="309">
        <f>0</f>
        <v>0</v>
      </c>
      <c r="Q153" s="309">
        <f>0</f>
        <v>0</v>
      </c>
      <c r="R153" s="424">
        <f t="shared" si="69"/>
        <v>0</v>
      </c>
      <c r="S153" s="421"/>
      <c r="T153" s="301">
        <f>0</f>
        <v>0</v>
      </c>
      <c r="U153" s="301">
        <f>0</f>
        <v>0</v>
      </c>
      <c r="V153" s="301">
        <f>0</f>
        <v>0</v>
      </c>
      <c r="W153" s="425">
        <f t="shared" si="70"/>
        <v>0</v>
      </c>
      <c r="X153" s="419"/>
      <c r="Y153" s="419"/>
      <c r="Z153" s="421"/>
      <c r="AA153" s="421"/>
      <c r="AB153" s="419"/>
      <c r="AC153" s="419"/>
      <c r="AD153" s="421"/>
      <c r="AE153" s="421"/>
      <c r="AF153" s="419"/>
      <c r="AG153" s="419"/>
      <c r="AH153" s="421"/>
      <c r="AI153" s="421"/>
      <c r="AJ153" s="419"/>
      <c r="AK153" s="419"/>
      <c r="AL153" s="421"/>
      <c r="AM153" s="421"/>
      <c r="AN153" s="419"/>
      <c r="AO153" s="419"/>
      <c r="AP153" s="421"/>
      <c r="AQ153" s="421"/>
      <c r="AR153" s="424">
        <f t="shared" si="73"/>
        <v>0</v>
      </c>
      <c r="AS153" s="422">
        <f t="shared" si="74"/>
        <v>0</v>
      </c>
      <c r="AT153" s="425">
        <f t="shared" si="75"/>
        <v>0</v>
      </c>
      <c r="AU153" s="423">
        <f t="shared" si="76"/>
        <v>0</v>
      </c>
      <c r="AV153" s="419"/>
      <c r="AW153" s="421"/>
      <c r="AX153" s="419"/>
      <c r="AY153" s="419"/>
      <c r="AZ153" s="421"/>
      <c r="BA153" s="421"/>
      <c r="BB153" s="419"/>
      <c r="BC153" s="419"/>
      <c r="BD153" s="421"/>
      <c r="BE153" s="421"/>
      <c r="BF153" s="419"/>
      <c r="BG153" s="419"/>
      <c r="BH153" s="421"/>
      <c r="BI153" s="421"/>
      <c r="BJ153" s="419"/>
      <c r="BK153" s="419"/>
      <c r="BL153" s="421"/>
      <c r="BM153" s="421"/>
      <c r="BN153" s="419"/>
      <c r="BO153" s="419"/>
      <c r="BP153" s="421"/>
      <c r="BQ153" s="421"/>
      <c r="BR153" s="419"/>
      <c r="BS153" s="419"/>
      <c r="BT153" s="421"/>
      <c r="BU153" s="421"/>
      <c r="BV153" s="419"/>
      <c r="BW153" s="419"/>
      <c r="BX153" s="421"/>
      <c r="BY153" s="421"/>
      <c r="BZ153" s="419"/>
      <c r="CA153" s="419"/>
      <c r="CB153" s="421"/>
      <c r="CC153" s="421"/>
      <c r="CD153" s="419"/>
      <c r="CE153" s="419"/>
      <c r="CF153" s="421"/>
      <c r="CG153" s="421"/>
      <c r="CH153" s="419"/>
      <c r="CI153" s="419"/>
      <c r="CJ153" s="421"/>
      <c r="CK153" s="421"/>
      <c r="CL153" s="419"/>
      <c r="CM153" s="421"/>
      <c r="CN153" s="424">
        <f t="shared" si="77"/>
        <v>0</v>
      </c>
      <c r="CO153" s="424">
        <f t="shared" si="78"/>
        <v>0</v>
      </c>
      <c r="CP153" s="425">
        <f t="shared" si="79"/>
        <v>0</v>
      </c>
      <c r="CQ153" s="425">
        <f t="shared" si="80"/>
        <v>0</v>
      </c>
      <c r="CR153" s="419"/>
      <c r="CS153" s="419"/>
      <c r="CT153" s="421"/>
      <c r="CU153" s="421"/>
      <c r="CV153" s="419"/>
      <c r="CW153" s="419"/>
      <c r="CX153" s="421"/>
      <c r="CY153" s="421"/>
      <c r="CZ153" s="419"/>
      <c r="DA153" s="419"/>
      <c r="DB153" s="421"/>
      <c r="DC153" s="421"/>
      <c r="DD153" s="419"/>
      <c r="DE153" s="419"/>
      <c r="DF153" s="421"/>
      <c r="DG153" s="421"/>
      <c r="DH153" s="419"/>
      <c r="DI153" s="419"/>
      <c r="DJ153" s="421"/>
      <c r="DK153" s="421"/>
      <c r="DL153" s="419"/>
      <c r="DM153" s="419"/>
      <c r="DN153" s="421"/>
      <c r="DO153" s="421"/>
      <c r="DP153" s="419"/>
      <c r="DQ153" s="419"/>
      <c r="DR153" s="421"/>
      <c r="DS153" s="421"/>
      <c r="DT153" s="419"/>
      <c r="DU153" s="419"/>
      <c r="DV153" s="421"/>
      <c r="DW153" s="421"/>
      <c r="DX153" s="419"/>
      <c r="DY153" s="419"/>
      <c r="DZ153" s="421"/>
      <c r="EA153" s="421"/>
      <c r="EB153" s="419"/>
      <c r="EC153" s="419"/>
      <c r="ED153" s="421"/>
      <c r="EE153" s="421"/>
      <c r="EF153" s="419"/>
      <c r="EG153" s="421"/>
      <c r="EH153" s="424">
        <f t="shared" si="81"/>
        <v>0</v>
      </c>
      <c r="EI153" s="424">
        <f t="shared" si="82"/>
        <v>0</v>
      </c>
      <c r="EJ153" s="422">
        <f t="shared" si="83"/>
        <v>0</v>
      </c>
      <c r="EK153" s="425">
        <f t="shared" si="84"/>
        <v>0</v>
      </c>
      <c r="EL153" s="425">
        <f t="shared" si="85"/>
        <v>0</v>
      </c>
      <c r="EM153" s="423">
        <f t="shared" si="86"/>
        <v>0</v>
      </c>
      <c r="EN153" s="424">
        <f t="shared" si="87"/>
        <v>0</v>
      </c>
      <c r="EO153" s="425">
        <f t="shared" si="88"/>
        <v>0</v>
      </c>
      <c r="EP153" s="419"/>
      <c r="EQ153" s="421"/>
      <c r="ER153" s="419"/>
      <c r="ES153" s="421"/>
      <c r="ET153" s="419"/>
      <c r="EU153" s="421"/>
      <c r="EV153" s="419"/>
      <c r="EW153" s="421"/>
      <c r="EX153" s="419"/>
      <c r="EY153" s="421"/>
      <c r="EZ153" s="419"/>
      <c r="FA153" s="421"/>
      <c r="FB153" s="419"/>
      <c r="FC153" s="421"/>
      <c r="FD153" s="419"/>
      <c r="FE153" s="421"/>
      <c r="FF153" s="419"/>
      <c r="FG153" s="421"/>
      <c r="FH153" s="419"/>
      <c r="FI153" s="421"/>
      <c r="FJ153" s="424">
        <f t="shared" si="89"/>
        <v>0</v>
      </c>
      <c r="FK153" s="425">
        <f t="shared" si="90"/>
        <v>0</v>
      </c>
      <c r="FL153" s="419"/>
      <c r="FM153" s="421"/>
      <c r="FN153" s="424">
        <f t="shared" si="91"/>
        <v>1403</v>
      </c>
      <c r="FO153" s="425">
        <f t="shared" si="92"/>
        <v>1441</v>
      </c>
    </row>
    <row r="154" spans="1:171" customFormat="1" ht="12.65" customHeight="1">
      <c r="A154" s="418" t="s">
        <v>157</v>
      </c>
      <c r="B154" s="99" t="s">
        <v>676</v>
      </c>
      <c r="C154" s="99"/>
      <c r="D154" s="101">
        <v>140942</v>
      </c>
      <c r="E154" s="101">
        <v>12</v>
      </c>
      <c r="F154" s="419">
        <v>2176</v>
      </c>
      <c r="G154" s="421">
        <v>2354</v>
      </c>
      <c r="H154" s="419">
        <v>65</v>
      </c>
      <c r="I154" s="420">
        <v>41</v>
      </c>
      <c r="J154" s="419">
        <v>325</v>
      </c>
      <c r="K154" s="421">
        <v>381</v>
      </c>
      <c r="L154" s="422">
        <f t="shared" si="71"/>
        <v>0</v>
      </c>
      <c r="M154" s="423">
        <f t="shared" si="72"/>
        <v>0</v>
      </c>
      <c r="N154" s="419"/>
      <c r="O154" s="309">
        <f>0</f>
        <v>0</v>
      </c>
      <c r="P154" s="309">
        <f>0</f>
        <v>0</v>
      </c>
      <c r="Q154" s="309">
        <f>0</f>
        <v>0</v>
      </c>
      <c r="R154" s="424">
        <f t="shared" si="69"/>
        <v>0</v>
      </c>
      <c r="S154" s="421"/>
      <c r="T154" s="301">
        <f>0</f>
        <v>0</v>
      </c>
      <c r="U154" s="301">
        <f>0</f>
        <v>0</v>
      </c>
      <c r="V154" s="301">
        <f>0</f>
        <v>0</v>
      </c>
      <c r="W154" s="425">
        <f t="shared" si="70"/>
        <v>0</v>
      </c>
      <c r="X154" s="419"/>
      <c r="Y154" s="419"/>
      <c r="Z154" s="421"/>
      <c r="AA154" s="421"/>
      <c r="AB154" s="419"/>
      <c r="AC154" s="419"/>
      <c r="AD154" s="421"/>
      <c r="AE154" s="421"/>
      <c r="AF154" s="419"/>
      <c r="AG154" s="419"/>
      <c r="AH154" s="421"/>
      <c r="AI154" s="421"/>
      <c r="AJ154" s="419"/>
      <c r="AK154" s="419"/>
      <c r="AL154" s="421"/>
      <c r="AM154" s="421"/>
      <c r="AN154" s="419"/>
      <c r="AO154" s="419"/>
      <c r="AP154" s="421"/>
      <c r="AQ154" s="421"/>
      <c r="AR154" s="424">
        <f t="shared" si="73"/>
        <v>0</v>
      </c>
      <c r="AS154" s="422">
        <f t="shared" si="74"/>
        <v>0</v>
      </c>
      <c r="AT154" s="425">
        <f t="shared" si="75"/>
        <v>0</v>
      </c>
      <c r="AU154" s="423">
        <f t="shared" si="76"/>
        <v>0</v>
      </c>
      <c r="AV154" s="419"/>
      <c r="AW154" s="421"/>
      <c r="AX154" s="419"/>
      <c r="AY154" s="419"/>
      <c r="AZ154" s="421"/>
      <c r="BA154" s="421"/>
      <c r="BB154" s="419"/>
      <c r="BC154" s="419"/>
      <c r="BD154" s="421"/>
      <c r="BE154" s="421"/>
      <c r="BF154" s="419"/>
      <c r="BG154" s="419"/>
      <c r="BH154" s="421"/>
      <c r="BI154" s="421"/>
      <c r="BJ154" s="419"/>
      <c r="BK154" s="419"/>
      <c r="BL154" s="421"/>
      <c r="BM154" s="421"/>
      <c r="BN154" s="419"/>
      <c r="BO154" s="419"/>
      <c r="BP154" s="421"/>
      <c r="BQ154" s="421"/>
      <c r="BR154" s="419"/>
      <c r="BS154" s="419"/>
      <c r="BT154" s="421"/>
      <c r="BU154" s="421"/>
      <c r="BV154" s="419"/>
      <c r="BW154" s="419"/>
      <c r="BX154" s="421"/>
      <c r="BY154" s="421"/>
      <c r="BZ154" s="419"/>
      <c r="CA154" s="419"/>
      <c r="CB154" s="421"/>
      <c r="CC154" s="421"/>
      <c r="CD154" s="419"/>
      <c r="CE154" s="419"/>
      <c r="CF154" s="421"/>
      <c r="CG154" s="421"/>
      <c r="CH154" s="419"/>
      <c r="CI154" s="419"/>
      <c r="CJ154" s="421"/>
      <c r="CK154" s="421"/>
      <c r="CL154" s="419"/>
      <c r="CM154" s="421"/>
      <c r="CN154" s="424">
        <f t="shared" si="77"/>
        <v>0</v>
      </c>
      <c r="CO154" s="424">
        <f t="shared" si="78"/>
        <v>0</v>
      </c>
      <c r="CP154" s="425">
        <f t="shared" si="79"/>
        <v>0</v>
      </c>
      <c r="CQ154" s="425">
        <f t="shared" si="80"/>
        <v>0</v>
      </c>
      <c r="CR154" s="419"/>
      <c r="CS154" s="419"/>
      <c r="CT154" s="421"/>
      <c r="CU154" s="421"/>
      <c r="CV154" s="419"/>
      <c r="CW154" s="419"/>
      <c r="CX154" s="421"/>
      <c r="CY154" s="421"/>
      <c r="CZ154" s="419"/>
      <c r="DA154" s="419"/>
      <c r="DB154" s="421"/>
      <c r="DC154" s="421"/>
      <c r="DD154" s="419"/>
      <c r="DE154" s="419"/>
      <c r="DF154" s="421"/>
      <c r="DG154" s="421"/>
      <c r="DH154" s="419"/>
      <c r="DI154" s="419"/>
      <c r="DJ154" s="421"/>
      <c r="DK154" s="421"/>
      <c r="DL154" s="419"/>
      <c r="DM154" s="419"/>
      <c r="DN154" s="421"/>
      <c r="DO154" s="421"/>
      <c r="DP154" s="419"/>
      <c r="DQ154" s="419"/>
      <c r="DR154" s="421"/>
      <c r="DS154" s="421"/>
      <c r="DT154" s="419"/>
      <c r="DU154" s="419"/>
      <c r="DV154" s="421"/>
      <c r="DW154" s="421"/>
      <c r="DX154" s="419"/>
      <c r="DY154" s="419"/>
      <c r="DZ154" s="421"/>
      <c r="EA154" s="421"/>
      <c r="EB154" s="419"/>
      <c r="EC154" s="419"/>
      <c r="ED154" s="421"/>
      <c r="EE154" s="421"/>
      <c r="EF154" s="419"/>
      <c r="EG154" s="421"/>
      <c r="EH154" s="424">
        <f t="shared" si="81"/>
        <v>0</v>
      </c>
      <c r="EI154" s="424">
        <f t="shared" si="82"/>
        <v>0</v>
      </c>
      <c r="EJ154" s="422">
        <f t="shared" si="83"/>
        <v>0</v>
      </c>
      <c r="EK154" s="425">
        <f t="shared" si="84"/>
        <v>0</v>
      </c>
      <c r="EL154" s="425">
        <f t="shared" si="85"/>
        <v>0</v>
      </c>
      <c r="EM154" s="423">
        <f t="shared" si="86"/>
        <v>0</v>
      </c>
      <c r="EN154" s="424">
        <f t="shared" si="87"/>
        <v>0</v>
      </c>
      <c r="EO154" s="425">
        <f t="shared" si="88"/>
        <v>0</v>
      </c>
      <c r="EP154" s="419"/>
      <c r="EQ154" s="421"/>
      <c r="ER154" s="419"/>
      <c r="ES154" s="421"/>
      <c r="ET154" s="419"/>
      <c r="EU154" s="421"/>
      <c r="EV154" s="419"/>
      <c r="EW154" s="421"/>
      <c r="EX154" s="419"/>
      <c r="EY154" s="421"/>
      <c r="EZ154" s="419"/>
      <c r="FA154" s="421"/>
      <c r="FB154" s="419"/>
      <c r="FC154" s="421"/>
      <c r="FD154" s="419"/>
      <c r="FE154" s="421"/>
      <c r="FF154" s="419"/>
      <c r="FG154" s="421"/>
      <c r="FH154" s="419"/>
      <c r="FI154" s="421"/>
      <c r="FJ154" s="424">
        <f t="shared" si="89"/>
        <v>0</v>
      </c>
      <c r="FK154" s="425">
        <f t="shared" si="90"/>
        <v>0</v>
      </c>
      <c r="FL154" s="419"/>
      <c r="FM154" s="421"/>
      <c r="FN154" s="424">
        <f t="shared" si="91"/>
        <v>2566</v>
      </c>
      <c r="FO154" s="425">
        <f t="shared" si="92"/>
        <v>2776</v>
      </c>
    </row>
    <row r="155" spans="1:171" customFormat="1" ht="12.65" customHeight="1">
      <c r="A155" s="418" t="s">
        <v>157</v>
      </c>
      <c r="B155" s="99" t="s">
        <v>677</v>
      </c>
      <c r="C155" s="99"/>
      <c r="D155" s="101">
        <v>141006</v>
      </c>
      <c r="E155" s="101">
        <v>12</v>
      </c>
      <c r="F155" s="419">
        <v>1499</v>
      </c>
      <c r="G155" s="421">
        <v>1407</v>
      </c>
      <c r="H155" s="419">
        <v>93</v>
      </c>
      <c r="I155" s="421">
        <v>108</v>
      </c>
      <c r="J155" s="419">
        <v>166</v>
      </c>
      <c r="K155" s="420">
        <v>211</v>
      </c>
      <c r="L155" s="422">
        <f t="shared" si="71"/>
        <v>0</v>
      </c>
      <c r="M155" s="423">
        <f t="shared" si="72"/>
        <v>0</v>
      </c>
      <c r="N155" s="419"/>
      <c r="O155" s="309">
        <f>0</f>
        <v>0</v>
      </c>
      <c r="P155" s="309">
        <f>0</f>
        <v>0</v>
      </c>
      <c r="Q155" s="309">
        <f>0</f>
        <v>0</v>
      </c>
      <c r="R155" s="424">
        <f t="shared" si="69"/>
        <v>0</v>
      </c>
      <c r="S155" s="421"/>
      <c r="T155" s="301">
        <f>0</f>
        <v>0</v>
      </c>
      <c r="U155" s="301">
        <f>0</f>
        <v>0</v>
      </c>
      <c r="V155" s="301">
        <f>0</f>
        <v>0</v>
      </c>
      <c r="W155" s="425">
        <f t="shared" si="70"/>
        <v>0</v>
      </c>
      <c r="X155" s="419"/>
      <c r="Y155" s="419"/>
      <c r="Z155" s="421"/>
      <c r="AA155" s="421"/>
      <c r="AB155" s="419"/>
      <c r="AC155" s="419"/>
      <c r="AD155" s="421"/>
      <c r="AE155" s="421"/>
      <c r="AF155" s="419"/>
      <c r="AG155" s="419"/>
      <c r="AH155" s="421"/>
      <c r="AI155" s="421"/>
      <c r="AJ155" s="419"/>
      <c r="AK155" s="419"/>
      <c r="AL155" s="421"/>
      <c r="AM155" s="421"/>
      <c r="AN155" s="419"/>
      <c r="AO155" s="419"/>
      <c r="AP155" s="421"/>
      <c r="AQ155" s="421"/>
      <c r="AR155" s="424">
        <f t="shared" si="73"/>
        <v>0</v>
      </c>
      <c r="AS155" s="422">
        <f t="shared" si="74"/>
        <v>0</v>
      </c>
      <c r="AT155" s="425">
        <f t="shared" si="75"/>
        <v>0</v>
      </c>
      <c r="AU155" s="423">
        <f t="shared" si="76"/>
        <v>0</v>
      </c>
      <c r="AV155" s="419"/>
      <c r="AW155" s="421"/>
      <c r="AX155" s="419"/>
      <c r="AY155" s="419"/>
      <c r="AZ155" s="421"/>
      <c r="BA155" s="421"/>
      <c r="BB155" s="419"/>
      <c r="BC155" s="419"/>
      <c r="BD155" s="421"/>
      <c r="BE155" s="421"/>
      <c r="BF155" s="419"/>
      <c r="BG155" s="419"/>
      <c r="BH155" s="421"/>
      <c r="BI155" s="421"/>
      <c r="BJ155" s="419"/>
      <c r="BK155" s="419"/>
      <c r="BL155" s="421"/>
      <c r="BM155" s="421"/>
      <c r="BN155" s="419"/>
      <c r="BO155" s="419"/>
      <c r="BP155" s="421"/>
      <c r="BQ155" s="421"/>
      <c r="BR155" s="419"/>
      <c r="BS155" s="419"/>
      <c r="BT155" s="421"/>
      <c r="BU155" s="421"/>
      <c r="BV155" s="419"/>
      <c r="BW155" s="419"/>
      <c r="BX155" s="421"/>
      <c r="BY155" s="421"/>
      <c r="BZ155" s="419"/>
      <c r="CA155" s="419"/>
      <c r="CB155" s="421"/>
      <c r="CC155" s="421"/>
      <c r="CD155" s="419"/>
      <c r="CE155" s="419"/>
      <c r="CF155" s="421"/>
      <c r="CG155" s="421"/>
      <c r="CH155" s="419"/>
      <c r="CI155" s="419"/>
      <c r="CJ155" s="421"/>
      <c r="CK155" s="421"/>
      <c r="CL155" s="419"/>
      <c r="CM155" s="421"/>
      <c r="CN155" s="424">
        <f t="shared" si="77"/>
        <v>0</v>
      </c>
      <c r="CO155" s="424">
        <f t="shared" si="78"/>
        <v>0</v>
      </c>
      <c r="CP155" s="425">
        <f t="shared" si="79"/>
        <v>0</v>
      </c>
      <c r="CQ155" s="425">
        <f t="shared" si="80"/>
        <v>0</v>
      </c>
      <c r="CR155" s="419"/>
      <c r="CS155" s="419"/>
      <c r="CT155" s="421"/>
      <c r="CU155" s="421"/>
      <c r="CV155" s="419"/>
      <c r="CW155" s="419"/>
      <c r="CX155" s="421"/>
      <c r="CY155" s="421"/>
      <c r="CZ155" s="419"/>
      <c r="DA155" s="419"/>
      <c r="DB155" s="421"/>
      <c r="DC155" s="421"/>
      <c r="DD155" s="419"/>
      <c r="DE155" s="419"/>
      <c r="DF155" s="421"/>
      <c r="DG155" s="421"/>
      <c r="DH155" s="419"/>
      <c r="DI155" s="419"/>
      <c r="DJ155" s="421"/>
      <c r="DK155" s="421"/>
      <c r="DL155" s="419"/>
      <c r="DM155" s="419"/>
      <c r="DN155" s="421"/>
      <c r="DO155" s="421"/>
      <c r="DP155" s="419"/>
      <c r="DQ155" s="419"/>
      <c r="DR155" s="421"/>
      <c r="DS155" s="421"/>
      <c r="DT155" s="419"/>
      <c r="DU155" s="419"/>
      <c r="DV155" s="421"/>
      <c r="DW155" s="421"/>
      <c r="DX155" s="419"/>
      <c r="DY155" s="419"/>
      <c r="DZ155" s="421"/>
      <c r="EA155" s="421"/>
      <c r="EB155" s="419"/>
      <c r="EC155" s="419"/>
      <c r="ED155" s="421"/>
      <c r="EE155" s="421"/>
      <c r="EF155" s="419"/>
      <c r="EG155" s="421"/>
      <c r="EH155" s="424">
        <f t="shared" si="81"/>
        <v>0</v>
      </c>
      <c r="EI155" s="424">
        <f t="shared" si="82"/>
        <v>0</v>
      </c>
      <c r="EJ155" s="422">
        <f t="shared" si="83"/>
        <v>0</v>
      </c>
      <c r="EK155" s="425">
        <f t="shared" si="84"/>
        <v>0</v>
      </c>
      <c r="EL155" s="425">
        <f t="shared" si="85"/>
        <v>0</v>
      </c>
      <c r="EM155" s="423">
        <f t="shared" si="86"/>
        <v>0</v>
      </c>
      <c r="EN155" s="424">
        <f t="shared" si="87"/>
        <v>0</v>
      </c>
      <c r="EO155" s="425">
        <f t="shared" si="88"/>
        <v>0</v>
      </c>
      <c r="EP155" s="419"/>
      <c r="EQ155" s="421"/>
      <c r="ER155" s="419"/>
      <c r="ES155" s="421"/>
      <c r="ET155" s="419"/>
      <c r="EU155" s="421"/>
      <c r="EV155" s="419"/>
      <c r="EW155" s="421"/>
      <c r="EX155" s="419"/>
      <c r="EY155" s="421"/>
      <c r="EZ155" s="419"/>
      <c r="FA155" s="421"/>
      <c r="FB155" s="419"/>
      <c r="FC155" s="421"/>
      <c r="FD155" s="419"/>
      <c r="FE155" s="421"/>
      <c r="FF155" s="419"/>
      <c r="FG155" s="421"/>
      <c r="FH155" s="419"/>
      <c r="FI155" s="421"/>
      <c r="FJ155" s="424">
        <f t="shared" si="89"/>
        <v>0</v>
      </c>
      <c r="FK155" s="425">
        <f t="shared" si="90"/>
        <v>0</v>
      </c>
      <c r="FL155" s="419"/>
      <c r="FM155" s="421"/>
      <c r="FN155" s="424">
        <f t="shared" si="91"/>
        <v>1758</v>
      </c>
      <c r="FO155" s="425">
        <f t="shared" si="92"/>
        <v>1726</v>
      </c>
    </row>
    <row r="156" spans="1:171" customFormat="1" ht="12.65" customHeight="1">
      <c r="A156" s="418" t="s">
        <v>157</v>
      </c>
      <c r="B156" s="99" t="s">
        <v>678</v>
      </c>
      <c r="C156" s="99"/>
      <c r="D156" s="101">
        <v>368911</v>
      </c>
      <c r="E156" s="101">
        <v>12</v>
      </c>
      <c r="F156" s="419">
        <v>659</v>
      </c>
      <c r="G156" s="421">
        <v>633</v>
      </c>
      <c r="H156" s="419">
        <v>8</v>
      </c>
      <c r="I156" s="420">
        <v>12</v>
      </c>
      <c r="J156" s="419">
        <v>113</v>
      </c>
      <c r="K156" s="421">
        <v>131</v>
      </c>
      <c r="L156" s="422">
        <f t="shared" si="71"/>
        <v>0</v>
      </c>
      <c r="M156" s="423">
        <f t="shared" si="72"/>
        <v>0</v>
      </c>
      <c r="N156" s="419"/>
      <c r="O156" s="309">
        <f>0</f>
        <v>0</v>
      </c>
      <c r="P156" s="309">
        <f>0</f>
        <v>0</v>
      </c>
      <c r="Q156" s="309">
        <f>0</f>
        <v>0</v>
      </c>
      <c r="R156" s="424">
        <f t="shared" si="69"/>
        <v>0</v>
      </c>
      <c r="S156" s="421"/>
      <c r="T156" s="301">
        <f>0</f>
        <v>0</v>
      </c>
      <c r="U156" s="301">
        <f>0</f>
        <v>0</v>
      </c>
      <c r="V156" s="301">
        <f>0</f>
        <v>0</v>
      </c>
      <c r="W156" s="425">
        <f t="shared" si="70"/>
        <v>0</v>
      </c>
      <c r="X156" s="419"/>
      <c r="Y156" s="419"/>
      <c r="Z156" s="421"/>
      <c r="AA156" s="421"/>
      <c r="AB156" s="419"/>
      <c r="AC156" s="419"/>
      <c r="AD156" s="421"/>
      <c r="AE156" s="421"/>
      <c r="AF156" s="419"/>
      <c r="AG156" s="419"/>
      <c r="AH156" s="421"/>
      <c r="AI156" s="421"/>
      <c r="AJ156" s="419"/>
      <c r="AK156" s="419"/>
      <c r="AL156" s="421"/>
      <c r="AM156" s="421"/>
      <c r="AN156" s="419"/>
      <c r="AO156" s="419"/>
      <c r="AP156" s="421"/>
      <c r="AQ156" s="421"/>
      <c r="AR156" s="424">
        <f t="shared" si="73"/>
        <v>0</v>
      </c>
      <c r="AS156" s="422">
        <f t="shared" si="74"/>
        <v>0</v>
      </c>
      <c r="AT156" s="425">
        <f t="shared" si="75"/>
        <v>0</v>
      </c>
      <c r="AU156" s="423">
        <f t="shared" si="76"/>
        <v>0</v>
      </c>
      <c r="AV156" s="419"/>
      <c r="AW156" s="421"/>
      <c r="AX156" s="419"/>
      <c r="AY156" s="419"/>
      <c r="AZ156" s="421"/>
      <c r="BA156" s="421"/>
      <c r="BB156" s="419"/>
      <c r="BC156" s="419"/>
      <c r="BD156" s="421"/>
      <c r="BE156" s="421"/>
      <c r="BF156" s="419"/>
      <c r="BG156" s="419"/>
      <c r="BH156" s="421"/>
      <c r="BI156" s="421"/>
      <c r="BJ156" s="419"/>
      <c r="BK156" s="419"/>
      <c r="BL156" s="421"/>
      <c r="BM156" s="421"/>
      <c r="BN156" s="419"/>
      <c r="BO156" s="419"/>
      <c r="BP156" s="421"/>
      <c r="BQ156" s="421"/>
      <c r="BR156" s="419"/>
      <c r="BS156" s="419"/>
      <c r="BT156" s="421"/>
      <c r="BU156" s="421"/>
      <c r="BV156" s="419"/>
      <c r="BW156" s="419"/>
      <c r="BX156" s="421"/>
      <c r="BY156" s="421"/>
      <c r="BZ156" s="419"/>
      <c r="CA156" s="419"/>
      <c r="CB156" s="421"/>
      <c r="CC156" s="421"/>
      <c r="CD156" s="419"/>
      <c r="CE156" s="419"/>
      <c r="CF156" s="421"/>
      <c r="CG156" s="421"/>
      <c r="CH156" s="419"/>
      <c r="CI156" s="419"/>
      <c r="CJ156" s="421"/>
      <c r="CK156" s="421"/>
      <c r="CL156" s="419"/>
      <c r="CM156" s="421"/>
      <c r="CN156" s="424">
        <f t="shared" si="77"/>
        <v>0</v>
      </c>
      <c r="CO156" s="424">
        <f t="shared" si="78"/>
        <v>0</v>
      </c>
      <c r="CP156" s="425">
        <f t="shared" si="79"/>
        <v>0</v>
      </c>
      <c r="CQ156" s="425">
        <f t="shared" si="80"/>
        <v>0</v>
      </c>
      <c r="CR156" s="419"/>
      <c r="CS156" s="419"/>
      <c r="CT156" s="421"/>
      <c r="CU156" s="421"/>
      <c r="CV156" s="419"/>
      <c r="CW156" s="419"/>
      <c r="CX156" s="421"/>
      <c r="CY156" s="421"/>
      <c r="CZ156" s="419"/>
      <c r="DA156" s="419"/>
      <c r="DB156" s="421"/>
      <c r="DC156" s="421"/>
      <c r="DD156" s="419"/>
      <c r="DE156" s="419"/>
      <c r="DF156" s="421"/>
      <c r="DG156" s="421"/>
      <c r="DH156" s="419"/>
      <c r="DI156" s="419"/>
      <c r="DJ156" s="421"/>
      <c r="DK156" s="421"/>
      <c r="DL156" s="419"/>
      <c r="DM156" s="419"/>
      <c r="DN156" s="421"/>
      <c r="DO156" s="421"/>
      <c r="DP156" s="419"/>
      <c r="DQ156" s="419"/>
      <c r="DR156" s="421"/>
      <c r="DS156" s="421"/>
      <c r="DT156" s="419"/>
      <c r="DU156" s="419"/>
      <c r="DV156" s="421"/>
      <c r="DW156" s="421"/>
      <c r="DX156" s="419"/>
      <c r="DY156" s="419"/>
      <c r="DZ156" s="421"/>
      <c r="EA156" s="421"/>
      <c r="EB156" s="419"/>
      <c r="EC156" s="419"/>
      <c r="ED156" s="421"/>
      <c r="EE156" s="421"/>
      <c r="EF156" s="419"/>
      <c r="EG156" s="421"/>
      <c r="EH156" s="424">
        <f t="shared" si="81"/>
        <v>0</v>
      </c>
      <c r="EI156" s="424">
        <f t="shared" si="82"/>
        <v>0</v>
      </c>
      <c r="EJ156" s="422">
        <f t="shared" si="83"/>
        <v>0</v>
      </c>
      <c r="EK156" s="425">
        <f t="shared" si="84"/>
        <v>0</v>
      </c>
      <c r="EL156" s="425">
        <f t="shared" si="85"/>
        <v>0</v>
      </c>
      <c r="EM156" s="423">
        <f t="shared" si="86"/>
        <v>0</v>
      </c>
      <c r="EN156" s="424">
        <f t="shared" si="87"/>
        <v>0</v>
      </c>
      <c r="EO156" s="425">
        <f t="shared" si="88"/>
        <v>0</v>
      </c>
      <c r="EP156" s="419"/>
      <c r="EQ156" s="421"/>
      <c r="ER156" s="419"/>
      <c r="ES156" s="421"/>
      <c r="ET156" s="419"/>
      <c r="EU156" s="421"/>
      <c r="EV156" s="419"/>
      <c r="EW156" s="421"/>
      <c r="EX156" s="419"/>
      <c r="EY156" s="421"/>
      <c r="EZ156" s="419"/>
      <c r="FA156" s="421"/>
      <c r="FB156" s="419"/>
      <c r="FC156" s="421"/>
      <c r="FD156" s="419"/>
      <c r="FE156" s="421"/>
      <c r="FF156" s="419"/>
      <c r="FG156" s="421"/>
      <c r="FH156" s="419"/>
      <c r="FI156" s="421"/>
      <c r="FJ156" s="424">
        <f t="shared" si="89"/>
        <v>0</v>
      </c>
      <c r="FK156" s="425">
        <f t="shared" si="90"/>
        <v>0</v>
      </c>
      <c r="FL156" s="419"/>
      <c r="FM156" s="421"/>
      <c r="FN156" s="424">
        <f t="shared" si="91"/>
        <v>780</v>
      </c>
      <c r="FO156" s="425">
        <f t="shared" si="92"/>
        <v>776</v>
      </c>
    </row>
    <row r="157" spans="1:171" customFormat="1" ht="12.65" customHeight="1">
      <c r="A157" s="418" t="s">
        <v>157</v>
      </c>
      <c r="B157" s="99" t="s">
        <v>679</v>
      </c>
      <c r="C157" s="99"/>
      <c r="D157" s="101">
        <v>139986</v>
      </c>
      <c r="E157" s="101">
        <v>12</v>
      </c>
      <c r="F157" s="419">
        <v>2954</v>
      </c>
      <c r="G157" s="421">
        <v>2893</v>
      </c>
      <c r="H157" s="419">
        <v>63</v>
      </c>
      <c r="I157" s="421">
        <v>52</v>
      </c>
      <c r="J157" s="419">
        <v>369</v>
      </c>
      <c r="K157" s="421">
        <v>389</v>
      </c>
      <c r="L157" s="422">
        <f t="shared" si="71"/>
        <v>0</v>
      </c>
      <c r="M157" s="423">
        <f t="shared" si="72"/>
        <v>0</v>
      </c>
      <c r="N157" s="419"/>
      <c r="O157" s="309">
        <f>0</f>
        <v>0</v>
      </c>
      <c r="P157" s="309">
        <f>0</f>
        <v>0</v>
      </c>
      <c r="Q157" s="309">
        <f>0</f>
        <v>0</v>
      </c>
      <c r="R157" s="424">
        <f t="shared" si="69"/>
        <v>0</v>
      </c>
      <c r="S157" s="421"/>
      <c r="T157" s="301">
        <f>0</f>
        <v>0</v>
      </c>
      <c r="U157" s="301">
        <f>0</f>
        <v>0</v>
      </c>
      <c r="V157" s="301">
        <f>0</f>
        <v>0</v>
      </c>
      <c r="W157" s="425">
        <f t="shared" si="70"/>
        <v>0</v>
      </c>
      <c r="X157" s="419"/>
      <c r="Y157" s="419"/>
      <c r="Z157" s="421"/>
      <c r="AA157" s="421"/>
      <c r="AB157" s="419"/>
      <c r="AC157" s="419"/>
      <c r="AD157" s="421"/>
      <c r="AE157" s="421"/>
      <c r="AF157" s="419"/>
      <c r="AG157" s="419"/>
      <c r="AH157" s="421"/>
      <c r="AI157" s="421"/>
      <c r="AJ157" s="419"/>
      <c r="AK157" s="419"/>
      <c r="AL157" s="421"/>
      <c r="AM157" s="421"/>
      <c r="AN157" s="419"/>
      <c r="AO157" s="419"/>
      <c r="AP157" s="421"/>
      <c r="AQ157" s="421"/>
      <c r="AR157" s="424">
        <f t="shared" si="73"/>
        <v>0</v>
      </c>
      <c r="AS157" s="422">
        <f t="shared" si="74"/>
        <v>0</v>
      </c>
      <c r="AT157" s="425">
        <f t="shared" si="75"/>
        <v>0</v>
      </c>
      <c r="AU157" s="423">
        <f t="shared" si="76"/>
        <v>0</v>
      </c>
      <c r="AV157" s="419"/>
      <c r="AW157" s="421"/>
      <c r="AX157" s="419"/>
      <c r="AY157" s="419"/>
      <c r="AZ157" s="421"/>
      <c r="BA157" s="421"/>
      <c r="BB157" s="419"/>
      <c r="BC157" s="419"/>
      <c r="BD157" s="421"/>
      <c r="BE157" s="421"/>
      <c r="BF157" s="419"/>
      <c r="BG157" s="419"/>
      <c r="BH157" s="421"/>
      <c r="BI157" s="421"/>
      <c r="BJ157" s="419"/>
      <c r="BK157" s="419"/>
      <c r="BL157" s="421"/>
      <c r="BM157" s="421"/>
      <c r="BN157" s="419"/>
      <c r="BO157" s="419"/>
      <c r="BP157" s="421"/>
      <c r="BQ157" s="421"/>
      <c r="BR157" s="419"/>
      <c r="BS157" s="419"/>
      <c r="BT157" s="421"/>
      <c r="BU157" s="421"/>
      <c r="BV157" s="419"/>
      <c r="BW157" s="419"/>
      <c r="BX157" s="421"/>
      <c r="BY157" s="421"/>
      <c r="BZ157" s="419"/>
      <c r="CA157" s="419"/>
      <c r="CB157" s="421"/>
      <c r="CC157" s="421"/>
      <c r="CD157" s="419"/>
      <c r="CE157" s="419"/>
      <c r="CF157" s="421"/>
      <c r="CG157" s="421"/>
      <c r="CH157" s="419"/>
      <c r="CI157" s="419"/>
      <c r="CJ157" s="421"/>
      <c r="CK157" s="421"/>
      <c r="CL157" s="419"/>
      <c r="CM157" s="421"/>
      <c r="CN157" s="424">
        <f t="shared" si="77"/>
        <v>0</v>
      </c>
      <c r="CO157" s="424">
        <f t="shared" si="78"/>
        <v>0</v>
      </c>
      <c r="CP157" s="425">
        <f t="shared" si="79"/>
        <v>0</v>
      </c>
      <c r="CQ157" s="425">
        <f t="shared" si="80"/>
        <v>0</v>
      </c>
      <c r="CR157" s="419"/>
      <c r="CS157" s="419"/>
      <c r="CT157" s="421"/>
      <c r="CU157" s="421"/>
      <c r="CV157" s="419"/>
      <c r="CW157" s="419"/>
      <c r="CX157" s="421"/>
      <c r="CY157" s="421"/>
      <c r="CZ157" s="419"/>
      <c r="DA157" s="419"/>
      <c r="DB157" s="421"/>
      <c r="DC157" s="421"/>
      <c r="DD157" s="419"/>
      <c r="DE157" s="419"/>
      <c r="DF157" s="421"/>
      <c r="DG157" s="421"/>
      <c r="DH157" s="419"/>
      <c r="DI157" s="419"/>
      <c r="DJ157" s="421"/>
      <c r="DK157" s="421"/>
      <c r="DL157" s="419"/>
      <c r="DM157" s="419"/>
      <c r="DN157" s="421"/>
      <c r="DO157" s="421"/>
      <c r="DP157" s="419"/>
      <c r="DQ157" s="419"/>
      <c r="DR157" s="421"/>
      <c r="DS157" s="421"/>
      <c r="DT157" s="419"/>
      <c r="DU157" s="419"/>
      <c r="DV157" s="421"/>
      <c r="DW157" s="421"/>
      <c r="DX157" s="419"/>
      <c r="DY157" s="419"/>
      <c r="DZ157" s="421"/>
      <c r="EA157" s="421"/>
      <c r="EB157" s="419"/>
      <c r="EC157" s="419"/>
      <c r="ED157" s="421"/>
      <c r="EE157" s="421"/>
      <c r="EF157" s="419"/>
      <c r="EG157" s="421"/>
      <c r="EH157" s="424">
        <f t="shared" si="81"/>
        <v>0</v>
      </c>
      <c r="EI157" s="424">
        <f t="shared" si="82"/>
        <v>0</v>
      </c>
      <c r="EJ157" s="422">
        <f t="shared" si="83"/>
        <v>0</v>
      </c>
      <c r="EK157" s="425">
        <f t="shared" si="84"/>
        <v>0</v>
      </c>
      <c r="EL157" s="425">
        <f t="shared" si="85"/>
        <v>0</v>
      </c>
      <c r="EM157" s="423">
        <f t="shared" si="86"/>
        <v>0</v>
      </c>
      <c r="EN157" s="424">
        <f t="shared" si="87"/>
        <v>0</v>
      </c>
      <c r="EO157" s="425">
        <f t="shared" si="88"/>
        <v>0</v>
      </c>
      <c r="EP157" s="419"/>
      <c r="EQ157" s="421"/>
      <c r="ER157" s="419"/>
      <c r="ES157" s="421"/>
      <c r="ET157" s="419"/>
      <c r="EU157" s="421"/>
      <c r="EV157" s="419"/>
      <c r="EW157" s="421"/>
      <c r="EX157" s="419"/>
      <c r="EY157" s="421"/>
      <c r="EZ157" s="419"/>
      <c r="FA157" s="421"/>
      <c r="FB157" s="419"/>
      <c r="FC157" s="421"/>
      <c r="FD157" s="419"/>
      <c r="FE157" s="421"/>
      <c r="FF157" s="419"/>
      <c r="FG157" s="421"/>
      <c r="FH157" s="419"/>
      <c r="FI157" s="421"/>
      <c r="FJ157" s="424">
        <f t="shared" si="89"/>
        <v>0</v>
      </c>
      <c r="FK157" s="425">
        <f t="shared" si="90"/>
        <v>0</v>
      </c>
      <c r="FL157" s="419"/>
      <c r="FM157" s="421"/>
      <c r="FN157" s="424">
        <f t="shared" si="91"/>
        <v>3386</v>
      </c>
      <c r="FO157" s="425">
        <f t="shared" si="92"/>
        <v>3334</v>
      </c>
    </row>
    <row r="158" spans="1:171" customFormat="1" ht="12.65" customHeight="1">
      <c r="A158" s="418" t="s">
        <v>157</v>
      </c>
      <c r="B158" s="29" t="s">
        <v>680</v>
      </c>
      <c r="C158" s="99"/>
      <c r="D158" s="28">
        <v>487162</v>
      </c>
      <c r="E158" s="101">
        <v>12</v>
      </c>
      <c r="F158" s="419">
        <v>1652</v>
      </c>
      <c r="G158" s="421">
        <v>1394</v>
      </c>
      <c r="H158" s="419">
        <v>35</v>
      </c>
      <c r="I158" s="421">
        <v>28</v>
      </c>
      <c r="J158" s="419">
        <v>299</v>
      </c>
      <c r="K158" s="421">
        <v>329</v>
      </c>
      <c r="L158" s="422">
        <f t="shared" si="71"/>
        <v>0</v>
      </c>
      <c r="M158" s="423">
        <f t="shared" si="72"/>
        <v>0</v>
      </c>
      <c r="N158" s="419"/>
      <c r="O158" s="309">
        <f>0</f>
        <v>0</v>
      </c>
      <c r="P158" s="309">
        <f>0</f>
        <v>0</v>
      </c>
      <c r="Q158" s="309">
        <f>0</f>
        <v>0</v>
      </c>
      <c r="R158" s="424">
        <f t="shared" si="69"/>
        <v>0</v>
      </c>
      <c r="S158" s="421"/>
      <c r="T158" s="301">
        <f>0</f>
        <v>0</v>
      </c>
      <c r="U158" s="301">
        <f>0</f>
        <v>0</v>
      </c>
      <c r="V158" s="301">
        <f>0</f>
        <v>0</v>
      </c>
      <c r="W158" s="425">
        <f t="shared" si="70"/>
        <v>0</v>
      </c>
      <c r="X158" s="419"/>
      <c r="Y158" s="419"/>
      <c r="Z158" s="421"/>
      <c r="AA158" s="421"/>
      <c r="AB158" s="419"/>
      <c r="AC158" s="419"/>
      <c r="AD158" s="421"/>
      <c r="AE158" s="421"/>
      <c r="AF158" s="419"/>
      <c r="AG158" s="419"/>
      <c r="AH158" s="421"/>
      <c r="AI158" s="421"/>
      <c r="AJ158" s="419"/>
      <c r="AK158" s="419"/>
      <c r="AL158" s="421"/>
      <c r="AM158" s="421"/>
      <c r="AN158" s="419"/>
      <c r="AO158" s="419"/>
      <c r="AP158" s="421"/>
      <c r="AQ158" s="421"/>
      <c r="AR158" s="424">
        <f t="shared" si="73"/>
        <v>0</v>
      </c>
      <c r="AS158" s="422">
        <f t="shared" si="74"/>
        <v>0</v>
      </c>
      <c r="AT158" s="425">
        <f t="shared" si="75"/>
        <v>0</v>
      </c>
      <c r="AU158" s="423">
        <f t="shared" si="76"/>
        <v>0</v>
      </c>
      <c r="AV158" s="419"/>
      <c r="AW158" s="421"/>
      <c r="AX158" s="419"/>
      <c r="AY158" s="419"/>
      <c r="AZ158" s="421"/>
      <c r="BA158" s="421"/>
      <c r="BB158" s="419"/>
      <c r="BC158" s="419"/>
      <c r="BD158" s="421"/>
      <c r="BE158" s="421"/>
      <c r="BF158" s="419"/>
      <c r="BG158" s="419"/>
      <c r="BH158" s="421"/>
      <c r="BI158" s="421"/>
      <c r="BJ158" s="419"/>
      <c r="BK158" s="419"/>
      <c r="BL158" s="421"/>
      <c r="BM158" s="421"/>
      <c r="BN158" s="419"/>
      <c r="BO158" s="419"/>
      <c r="BP158" s="421"/>
      <c r="BQ158" s="421"/>
      <c r="BR158" s="419"/>
      <c r="BS158" s="419"/>
      <c r="BT158" s="421"/>
      <c r="BU158" s="421"/>
      <c r="BV158" s="419"/>
      <c r="BW158" s="419"/>
      <c r="BX158" s="421"/>
      <c r="BY158" s="421"/>
      <c r="BZ158" s="419"/>
      <c r="CA158" s="419"/>
      <c r="CB158" s="421"/>
      <c r="CC158" s="421"/>
      <c r="CD158" s="419"/>
      <c r="CE158" s="419"/>
      <c r="CF158" s="421"/>
      <c r="CG158" s="421"/>
      <c r="CH158" s="419"/>
      <c r="CI158" s="419"/>
      <c r="CJ158" s="421"/>
      <c r="CK158" s="421"/>
      <c r="CL158" s="419"/>
      <c r="CM158" s="421"/>
      <c r="CN158" s="424">
        <f t="shared" si="77"/>
        <v>0</v>
      </c>
      <c r="CO158" s="424">
        <f t="shared" si="78"/>
        <v>0</v>
      </c>
      <c r="CP158" s="425">
        <f t="shared" si="79"/>
        <v>0</v>
      </c>
      <c r="CQ158" s="425">
        <f t="shared" si="80"/>
        <v>0</v>
      </c>
      <c r="CR158" s="419"/>
      <c r="CS158" s="419"/>
      <c r="CT158" s="421"/>
      <c r="CU158" s="421"/>
      <c r="CV158" s="419"/>
      <c r="CW158" s="419"/>
      <c r="CX158" s="421"/>
      <c r="CY158" s="421"/>
      <c r="CZ158" s="419"/>
      <c r="DA158" s="419"/>
      <c r="DB158" s="421"/>
      <c r="DC158" s="421"/>
      <c r="DD158" s="419"/>
      <c r="DE158" s="419"/>
      <c r="DF158" s="421"/>
      <c r="DG158" s="421"/>
      <c r="DH158" s="419"/>
      <c r="DI158" s="419"/>
      <c r="DJ158" s="421"/>
      <c r="DK158" s="421"/>
      <c r="DL158" s="419"/>
      <c r="DM158" s="419"/>
      <c r="DN158" s="421"/>
      <c r="DO158" s="421"/>
      <c r="DP158" s="419"/>
      <c r="DQ158" s="419"/>
      <c r="DR158" s="421"/>
      <c r="DS158" s="421"/>
      <c r="DT158" s="419"/>
      <c r="DU158" s="419"/>
      <c r="DV158" s="421"/>
      <c r="DW158" s="421"/>
      <c r="DX158" s="419"/>
      <c r="DY158" s="419"/>
      <c r="DZ158" s="421"/>
      <c r="EA158" s="421"/>
      <c r="EB158" s="419"/>
      <c r="EC158" s="419"/>
      <c r="ED158" s="421"/>
      <c r="EE158" s="421"/>
      <c r="EF158" s="419"/>
      <c r="EG158" s="421"/>
      <c r="EH158" s="424">
        <f t="shared" si="81"/>
        <v>0</v>
      </c>
      <c r="EI158" s="424">
        <f t="shared" si="82"/>
        <v>0</v>
      </c>
      <c r="EJ158" s="422">
        <f t="shared" si="83"/>
        <v>0</v>
      </c>
      <c r="EK158" s="425">
        <f t="shared" si="84"/>
        <v>0</v>
      </c>
      <c r="EL158" s="425">
        <f t="shared" si="85"/>
        <v>0</v>
      </c>
      <c r="EM158" s="423">
        <f t="shared" si="86"/>
        <v>0</v>
      </c>
      <c r="EN158" s="424">
        <f t="shared" si="87"/>
        <v>0</v>
      </c>
      <c r="EO158" s="425">
        <f t="shared" si="88"/>
        <v>0</v>
      </c>
      <c r="EP158" s="419"/>
      <c r="EQ158" s="421"/>
      <c r="ER158" s="419"/>
      <c r="ES158" s="421"/>
      <c r="ET158" s="419"/>
      <c r="EU158" s="421"/>
      <c r="EV158" s="419"/>
      <c r="EW158" s="421"/>
      <c r="EX158" s="419"/>
      <c r="EY158" s="421"/>
      <c r="EZ158" s="419"/>
      <c r="FA158" s="421"/>
      <c r="FB158" s="419"/>
      <c r="FC158" s="421"/>
      <c r="FD158" s="419"/>
      <c r="FE158" s="421"/>
      <c r="FF158" s="419"/>
      <c r="FG158" s="421"/>
      <c r="FH158" s="419"/>
      <c r="FI158" s="421"/>
      <c r="FJ158" s="424">
        <f t="shared" si="89"/>
        <v>0</v>
      </c>
      <c r="FK158" s="425">
        <f t="shared" si="90"/>
        <v>0</v>
      </c>
      <c r="FL158" s="419"/>
      <c r="FM158" s="421"/>
      <c r="FN158" s="424">
        <f t="shared" si="91"/>
        <v>1986</v>
      </c>
      <c r="FO158" s="425">
        <f t="shared" si="92"/>
        <v>1751</v>
      </c>
    </row>
    <row r="159" spans="1:171" customFormat="1" ht="12.65" customHeight="1">
      <c r="A159" s="418" t="s">
        <v>157</v>
      </c>
      <c r="B159" s="99" t="s">
        <v>681</v>
      </c>
      <c r="C159" s="99"/>
      <c r="D159" s="101">
        <v>139278</v>
      </c>
      <c r="E159" s="101">
        <v>12</v>
      </c>
      <c r="F159" s="419">
        <v>2070</v>
      </c>
      <c r="G159" s="421">
        <v>1911</v>
      </c>
      <c r="H159" s="419">
        <v>36</v>
      </c>
      <c r="I159" s="421">
        <v>35</v>
      </c>
      <c r="J159" s="419">
        <v>361</v>
      </c>
      <c r="K159" s="421">
        <v>360</v>
      </c>
      <c r="L159" s="422">
        <f t="shared" si="71"/>
        <v>0</v>
      </c>
      <c r="M159" s="423">
        <f t="shared" si="72"/>
        <v>0</v>
      </c>
      <c r="N159" s="419"/>
      <c r="O159" s="309">
        <f>0</f>
        <v>0</v>
      </c>
      <c r="P159" s="309">
        <f>0</f>
        <v>0</v>
      </c>
      <c r="Q159" s="309">
        <f>0</f>
        <v>0</v>
      </c>
      <c r="R159" s="424">
        <f t="shared" si="69"/>
        <v>0</v>
      </c>
      <c r="S159" s="421"/>
      <c r="T159" s="301">
        <f>0</f>
        <v>0</v>
      </c>
      <c r="U159" s="301">
        <f>0</f>
        <v>0</v>
      </c>
      <c r="V159" s="301">
        <f>0</f>
        <v>0</v>
      </c>
      <c r="W159" s="425">
        <f t="shared" si="70"/>
        <v>0</v>
      </c>
      <c r="X159" s="419"/>
      <c r="Y159" s="419"/>
      <c r="Z159" s="421"/>
      <c r="AA159" s="421"/>
      <c r="AB159" s="419"/>
      <c r="AC159" s="419"/>
      <c r="AD159" s="421"/>
      <c r="AE159" s="421"/>
      <c r="AF159" s="419"/>
      <c r="AG159" s="419"/>
      <c r="AH159" s="421"/>
      <c r="AI159" s="421"/>
      <c r="AJ159" s="419"/>
      <c r="AK159" s="419"/>
      <c r="AL159" s="421"/>
      <c r="AM159" s="421"/>
      <c r="AN159" s="419"/>
      <c r="AO159" s="419"/>
      <c r="AP159" s="421"/>
      <c r="AQ159" s="421"/>
      <c r="AR159" s="424">
        <f t="shared" si="73"/>
        <v>0</v>
      </c>
      <c r="AS159" s="422">
        <f t="shared" si="74"/>
        <v>0</v>
      </c>
      <c r="AT159" s="425">
        <f t="shared" si="75"/>
        <v>0</v>
      </c>
      <c r="AU159" s="423">
        <f t="shared" si="76"/>
        <v>0</v>
      </c>
      <c r="AV159" s="419"/>
      <c r="AW159" s="421"/>
      <c r="AX159" s="419"/>
      <c r="AY159" s="419"/>
      <c r="AZ159" s="421"/>
      <c r="BA159" s="421"/>
      <c r="BB159" s="419"/>
      <c r="BC159" s="419"/>
      <c r="BD159" s="421"/>
      <c r="BE159" s="421"/>
      <c r="BF159" s="419"/>
      <c r="BG159" s="419"/>
      <c r="BH159" s="421"/>
      <c r="BI159" s="421"/>
      <c r="BJ159" s="419"/>
      <c r="BK159" s="419"/>
      <c r="BL159" s="421"/>
      <c r="BM159" s="421"/>
      <c r="BN159" s="419"/>
      <c r="BO159" s="419"/>
      <c r="BP159" s="421"/>
      <c r="BQ159" s="421"/>
      <c r="BR159" s="419"/>
      <c r="BS159" s="419"/>
      <c r="BT159" s="421"/>
      <c r="BU159" s="421"/>
      <c r="BV159" s="419"/>
      <c r="BW159" s="419"/>
      <c r="BX159" s="421"/>
      <c r="BY159" s="421"/>
      <c r="BZ159" s="419"/>
      <c r="CA159" s="419"/>
      <c r="CB159" s="421"/>
      <c r="CC159" s="421"/>
      <c r="CD159" s="419"/>
      <c r="CE159" s="419"/>
      <c r="CF159" s="421"/>
      <c r="CG159" s="421"/>
      <c r="CH159" s="419"/>
      <c r="CI159" s="419"/>
      <c r="CJ159" s="421"/>
      <c r="CK159" s="421"/>
      <c r="CL159" s="419"/>
      <c r="CM159" s="421"/>
      <c r="CN159" s="424">
        <f t="shared" si="77"/>
        <v>0</v>
      </c>
      <c r="CO159" s="424">
        <f t="shared" si="78"/>
        <v>0</v>
      </c>
      <c r="CP159" s="425">
        <f t="shared" si="79"/>
        <v>0</v>
      </c>
      <c r="CQ159" s="425">
        <f t="shared" si="80"/>
        <v>0</v>
      </c>
      <c r="CR159" s="419"/>
      <c r="CS159" s="419"/>
      <c r="CT159" s="421"/>
      <c r="CU159" s="421"/>
      <c r="CV159" s="419"/>
      <c r="CW159" s="419"/>
      <c r="CX159" s="421"/>
      <c r="CY159" s="421"/>
      <c r="CZ159" s="419"/>
      <c r="DA159" s="419"/>
      <c r="DB159" s="421"/>
      <c r="DC159" s="421"/>
      <c r="DD159" s="419"/>
      <c r="DE159" s="419"/>
      <c r="DF159" s="421"/>
      <c r="DG159" s="421"/>
      <c r="DH159" s="419"/>
      <c r="DI159" s="419"/>
      <c r="DJ159" s="421"/>
      <c r="DK159" s="421"/>
      <c r="DL159" s="419"/>
      <c r="DM159" s="419"/>
      <c r="DN159" s="421"/>
      <c r="DO159" s="421"/>
      <c r="DP159" s="419"/>
      <c r="DQ159" s="419"/>
      <c r="DR159" s="421"/>
      <c r="DS159" s="421"/>
      <c r="DT159" s="419"/>
      <c r="DU159" s="419"/>
      <c r="DV159" s="421"/>
      <c r="DW159" s="421"/>
      <c r="DX159" s="419"/>
      <c r="DY159" s="419"/>
      <c r="DZ159" s="421"/>
      <c r="EA159" s="421"/>
      <c r="EB159" s="419"/>
      <c r="EC159" s="419"/>
      <c r="ED159" s="421"/>
      <c r="EE159" s="421"/>
      <c r="EF159" s="419"/>
      <c r="EG159" s="421"/>
      <c r="EH159" s="424">
        <f t="shared" si="81"/>
        <v>0</v>
      </c>
      <c r="EI159" s="424">
        <f t="shared" si="82"/>
        <v>0</v>
      </c>
      <c r="EJ159" s="422">
        <f t="shared" si="83"/>
        <v>0</v>
      </c>
      <c r="EK159" s="425">
        <f t="shared" si="84"/>
        <v>0</v>
      </c>
      <c r="EL159" s="425">
        <f t="shared" si="85"/>
        <v>0</v>
      </c>
      <c r="EM159" s="423">
        <f t="shared" si="86"/>
        <v>0</v>
      </c>
      <c r="EN159" s="424">
        <f t="shared" si="87"/>
        <v>0</v>
      </c>
      <c r="EO159" s="425">
        <f t="shared" si="88"/>
        <v>0</v>
      </c>
      <c r="EP159" s="419"/>
      <c r="EQ159" s="421"/>
      <c r="ER159" s="419"/>
      <c r="ES159" s="421"/>
      <c r="ET159" s="419"/>
      <c r="EU159" s="421"/>
      <c r="EV159" s="419"/>
      <c r="EW159" s="421"/>
      <c r="EX159" s="419"/>
      <c r="EY159" s="421"/>
      <c r="EZ159" s="419"/>
      <c r="FA159" s="421"/>
      <c r="FB159" s="419"/>
      <c r="FC159" s="421"/>
      <c r="FD159" s="419"/>
      <c r="FE159" s="421"/>
      <c r="FF159" s="419"/>
      <c r="FG159" s="421"/>
      <c r="FH159" s="419"/>
      <c r="FI159" s="421"/>
      <c r="FJ159" s="424">
        <f t="shared" si="89"/>
        <v>0</v>
      </c>
      <c r="FK159" s="425">
        <f t="shared" si="90"/>
        <v>0</v>
      </c>
      <c r="FL159" s="419"/>
      <c r="FM159" s="421"/>
      <c r="FN159" s="424">
        <f t="shared" si="91"/>
        <v>2467</v>
      </c>
      <c r="FO159" s="425">
        <f t="shared" si="92"/>
        <v>2306</v>
      </c>
    </row>
    <row r="160" spans="1:171" customFormat="1" ht="12.65" customHeight="1">
      <c r="A160" s="418" t="s">
        <v>157</v>
      </c>
      <c r="B160" s="99" t="s">
        <v>682</v>
      </c>
      <c r="C160" s="99"/>
      <c r="D160" s="101">
        <v>141255</v>
      </c>
      <c r="E160" s="101">
        <v>12</v>
      </c>
      <c r="F160" s="419">
        <v>1882</v>
      </c>
      <c r="G160" s="421">
        <v>1747</v>
      </c>
      <c r="H160" s="419">
        <v>61</v>
      </c>
      <c r="I160" s="421">
        <v>73</v>
      </c>
      <c r="J160" s="419">
        <v>224</v>
      </c>
      <c r="K160" s="421">
        <v>211</v>
      </c>
      <c r="L160" s="422">
        <f t="shared" si="71"/>
        <v>0</v>
      </c>
      <c r="M160" s="423">
        <f t="shared" si="72"/>
        <v>0</v>
      </c>
      <c r="N160" s="419"/>
      <c r="O160" s="309">
        <f>0</f>
        <v>0</v>
      </c>
      <c r="P160" s="309">
        <f>0</f>
        <v>0</v>
      </c>
      <c r="Q160" s="309">
        <f>0</f>
        <v>0</v>
      </c>
      <c r="R160" s="424">
        <f t="shared" si="69"/>
        <v>0</v>
      </c>
      <c r="S160" s="421"/>
      <c r="T160" s="301">
        <f>0</f>
        <v>0</v>
      </c>
      <c r="U160" s="301">
        <f>0</f>
        <v>0</v>
      </c>
      <c r="V160" s="301">
        <f>0</f>
        <v>0</v>
      </c>
      <c r="W160" s="425">
        <f t="shared" si="70"/>
        <v>0</v>
      </c>
      <c r="X160" s="419"/>
      <c r="Y160" s="419"/>
      <c r="Z160" s="421"/>
      <c r="AA160" s="421"/>
      <c r="AB160" s="419"/>
      <c r="AC160" s="419"/>
      <c r="AD160" s="421"/>
      <c r="AE160" s="421"/>
      <c r="AF160" s="419"/>
      <c r="AG160" s="419"/>
      <c r="AH160" s="421"/>
      <c r="AI160" s="421"/>
      <c r="AJ160" s="419"/>
      <c r="AK160" s="419"/>
      <c r="AL160" s="421"/>
      <c r="AM160" s="421"/>
      <c r="AN160" s="419"/>
      <c r="AO160" s="419"/>
      <c r="AP160" s="421"/>
      <c r="AQ160" s="421"/>
      <c r="AR160" s="424">
        <f t="shared" si="73"/>
        <v>0</v>
      </c>
      <c r="AS160" s="422">
        <f t="shared" si="74"/>
        <v>0</v>
      </c>
      <c r="AT160" s="425">
        <f t="shared" si="75"/>
        <v>0</v>
      </c>
      <c r="AU160" s="423">
        <f t="shared" si="76"/>
        <v>0</v>
      </c>
      <c r="AV160" s="419"/>
      <c r="AW160" s="421"/>
      <c r="AX160" s="419"/>
      <c r="AY160" s="419"/>
      <c r="AZ160" s="421"/>
      <c r="BA160" s="421"/>
      <c r="BB160" s="419"/>
      <c r="BC160" s="419"/>
      <c r="BD160" s="421"/>
      <c r="BE160" s="421"/>
      <c r="BF160" s="419"/>
      <c r="BG160" s="419"/>
      <c r="BH160" s="421"/>
      <c r="BI160" s="421"/>
      <c r="BJ160" s="419"/>
      <c r="BK160" s="419"/>
      <c r="BL160" s="421"/>
      <c r="BM160" s="421"/>
      <c r="BN160" s="419"/>
      <c r="BO160" s="419"/>
      <c r="BP160" s="421"/>
      <c r="BQ160" s="421"/>
      <c r="BR160" s="419"/>
      <c r="BS160" s="419"/>
      <c r="BT160" s="421"/>
      <c r="BU160" s="421"/>
      <c r="BV160" s="419"/>
      <c r="BW160" s="419"/>
      <c r="BX160" s="421"/>
      <c r="BY160" s="421"/>
      <c r="BZ160" s="419"/>
      <c r="CA160" s="419"/>
      <c r="CB160" s="421"/>
      <c r="CC160" s="421"/>
      <c r="CD160" s="419"/>
      <c r="CE160" s="419"/>
      <c r="CF160" s="421"/>
      <c r="CG160" s="421"/>
      <c r="CH160" s="419"/>
      <c r="CI160" s="419"/>
      <c r="CJ160" s="421"/>
      <c r="CK160" s="421"/>
      <c r="CL160" s="419"/>
      <c r="CM160" s="421"/>
      <c r="CN160" s="424">
        <f t="shared" si="77"/>
        <v>0</v>
      </c>
      <c r="CO160" s="424">
        <f t="shared" si="78"/>
        <v>0</v>
      </c>
      <c r="CP160" s="425">
        <f t="shared" si="79"/>
        <v>0</v>
      </c>
      <c r="CQ160" s="425">
        <f t="shared" si="80"/>
        <v>0</v>
      </c>
      <c r="CR160" s="419"/>
      <c r="CS160" s="419"/>
      <c r="CT160" s="421"/>
      <c r="CU160" s="421"/>
      <c r="CV160" s="419"/>
      <c r="CW160" s="419"/>
      <c r="CX160" s="421"/>
      <c r="CY160" s="421"/>
      <c r="CZ160" s="419"/>
      <c r="DA160" s="419"/>
      <c r="DB160" s="421"/>
      <c r="DC160" s="421"/>
      <c r="DD160" s="419"/>
      <c r="DE160" s="419"/>
      <c r="DF160" s="421"/>
      <c r="DG160" s="421"/>
      <c r="DH160" s="419"/>
      <c r="DI160" s="419"/>
      <c r="DJ160" s="421"/>
      <c r="DK160" s="421"/>
      <c r="DL160" s="419"/>
      <c r="DM160" s="419"/>
      <c r="DN160" s="421"/>
      <c r="DO160" s="421"/>
      <c r="DP160" s="419"/>
      <c r="DQ160" s="419"/>
      <c r="DR160" s="421"/>
      <c r="DS160" s="421"/>
      <c r="DT160" s="419"/>
      <c r="DU160" s="419"/>
      <c r="DV160" s="421"/>
      <c r="DW160" s="421"/>
      <c r="DX160" s="419"/>
      <c r="DY160" s="419"/>
      <c r="DZ160" s="421"/>
      <c r="EA160" s="421"/>
      <c r="EB160" s="419"/>
      <c r="EC160" s="419"/>
      <c r="ED160" s="421"/>
      <c r="EE160" s="421"/>
      <c r="EF160" s="419"/>
      <c r="EG160" s="421"/>
      <c r="EH160" s="424">
        <f t="shared" si="81"/>
        <v>0</v>
      </c>
      <c r="EI160" s="424">
        <f t="shared" si="82"/>
        <v>0</v>
      </c>
      <c r="EJ160" s="422">
        <f t="shared" si="83"/>
        <v>0</v>
      </c>
      <c r="EK160" s="425">
        <f t="shared" si="84"/>
        <v>0</v>
      </c>
      <c r="EL160" s="425">
        <f t="shared" si="85"/>
        <v>0</v>
      </c>
      <c r="EM160" s="423">
        <f t="shared" si="86"/>
        <v>0</v>
      </c>
      <c r="EN160" s="424">
        <f t="shared" si="87"/>
        <v>0</v>
      </c>
      <c r="EO160" s="425">
        <f t="shared" si="88"/>
        <v>0</v>
      </c>
      <c r="EP160" s="419"/>
      <c r="EQ160" s="421"/>
      <c r="ER160" s="419"/>
      <c r="ES160" s="421"/>
      <c r="ET160" s="419"/>
      <c r="EU160" s="421"/>
      <c r="EV160" s="419"/>
      <c r="EW160" s="421"/>
      <c r="EX160" s="419"/>
      <c r="EY160" s="421"/>
      <c r="EZ160" s="419"/>
      <c r="FA160" s="421"/>
      <c r="FB160" s="419"/>
      <c r="FC160" s="421"/>
      <c r="FD160" s="419"/>
      <c r="FE160" s="421"/>
      <c r="FF160" s="419"/>
      <c r="FG160" s="421"/>
      <c r="FH160" s="419"/>
      <c r="FI160" s="421"/>
      <c r="FJ160" s="424">
        <f t="shared" si="89"/>
        <v>0</v>
      </c>
      <c r="FK160" s="425">
        <f t="shared" si="90"/>
        <v>0</v>
      </c>
      <c r="FL160" s="419"/>
      <c r="FM160" s="421"/>
      <c r="FN160" s="424">
        <f t="shared" si="91"/>
        <v>2167</v>
      </c>
      <c r="FO160" s="425">
        <f t="shared" si="92"/>
        <v>2031</v>
      </c>
    </row>
    <row r="161" spans="1:171">
      <c r="A161" s="427" t="s">
        <v>158</v>
      </c>
      <c r="B161" s="57" t="s">
        <v>683</v>
      </c>
      <c r="C161" s="56"/>
      <c r="D161" s="55">
        <v>157085</v>
      </c>
      <c r="E161" s="55">
        <v>1</v>
      </c>
      <c r="F161" s="419">
        <v>204</v>
      </c>
      <c r="G161" s="421">
        <v>233</v>
      </c>
      <c r="H161" s="419"/>
      <c r="I161" s="421"/>
      <c r="J161" s="419"/>
      <c r="K161" s="421"/>
      <c r="L161" s="422">
        <f t="shared" si="71"/>
        <v>0</v>
      </c>
      <c r="M161" s="423">
        <f t="shared" si="72"/>
        <v>0</v>
      </c>
      <c r="N161" s="419">
        <v>5105</v>
      </c>
      <c r="O161" s="309">
        <f>0</f>
        <v>0</v>
      </c>
      <c r="P161" s="309">
        <f>0</f>
        <v>0</v>
      </c>
      <c r="Q161" s="309">
        <f>0</f>
        <v>0</v>
      </c>
      <c r="R161" s="424">
        <f t="shared" si="69"/>
        <v>0</v>
      </c>
      <c r="S161" s="421">
        <v>5202</v>
      </c>
      <c r="T161" s="301">
        <f>0</f>
        <v>0</v>
      </c>
      <c r="U161" s="301">
        <f>0</f>
        <v>0</v>
      </c>
      <c r="V161" s="301">
        <f>0</f>
        <v>0</v>
      </c>
      <c r="W161" s="425">
        <f t="shared" si="70"/>
        <v>0</v>
      </c>
      <c r="X161" s="419"/>
      <c r="Y161" s="419"/>
      <c r="Z161" s="421"/>
      <c r="AA161" s="421"/>
      <c r="AB161" s="419"/>
      <c r="AC161" s="419"/>
      <c r="AD161" s="421"/>
      <c r="AE161" s="421"/>
      <c r="AF161" s="419"/>
      <c r="AG161" s="419"/>
      <c r="AH161" s="421"/>
      <c r="AI161" s="421"/>
      <c r="AJ161" s="419"/>
      <c r="AK161" s="419"/>
      <c r="AL161" s="421"/>
      <c r="AM161" s="421"/>
      <c r="AN161" s="419"/>
      <c r="AO161" s="419"/>
      <c r="AP161" s="421"/>
      <c r="AQ161" s="421"/>
      <c r="AR161" s="424">
        <f t="shared" si="73"/>
        <v>0</v>
      </c>
      <c r="AS161" s="422">
        <f t="shared" si="74"/>
        <v>0.66341780376868098</v>
      </c>
      <c r="AT161" s="425">
        <f t="shared" si="75"/>
        <v>0</v>
      </c>
      <c r="AU161" s="423">
        <f t="shared" si="76"/>
        <v>0.65425732612250032</v>
      </c>
      <c r="AV161" s="419">
        <v>151</v>
      </c>
      <c r="AW161" s="449">
        <v>272</v>
      </c>
      <c r="AX161" s="419">
        <v>51</v>
      </c>
      <c r="AY161" s="419">
        <v>246</v>
      </c>
      <c r="AZ161" s="421">
        <v>51</v>
      </c>
      <c r="BA161" s="421">
        <v>216</v>
      </c>
      <c r="BB161" s="419">
        <v>52</v>
      </c>
      <c r="BC161" s="419">
        <v>195</v>
      </c>
      <c r="BD161" s="421">
        <v>52</v>
      </c>
      <c r="BE161" s="421">
        <v>162</v>
      </c>
      <c r="BF161" s="419">
        <v>44</v>
      </c>
      <c r="BG161" s="419">
        <v>136</v>
      </c>
      <c r="BH161" s="421">
        <v>44</v>
      </c>
      <c r="BI161" s="421">
        <v>154</v>
      </c>
      <c r="BJ161" s="419">
        <v>13</v>
      </c>
      <c r="BK161" s="419">
        <v>114</v>
      </c>
      <c r="BL161" s="421">
        <v>13</v>
      </c>
      <c r="BM161" s="421">
        <v>100</v>
      </c>
      <c r="BN161" s="419">
        <v>25</v>
      </c>
      <c r="BO161" s="419">
        <v>75</v>
      </c>
      <c r="BP161" s="421">
        <v>27</v>
      </c>
      <c r="BQ161" s="421">
        <v>93</v>
      </c>
      <c r="BR161" s="419">
        <v>14</v>
      </c>
      <c r="BS161" s="419">
        <v>72</v>
      </c>
      <c r="BT161" s="421">
        <v>25</v>
      </c>
      <c r="BU161" s="421">
        <v>73</v>
      </c>
      <c r="BV161" s="419">
        <v>27</v>
      </c>
      <c r="BW161" s="419">
        <v>61</v>
      </c>
      <c r="BX161" s="421">
        <v>14</v>
      </c>
      <c r="BY161" s="421">
        <v>70</v>
      </c>
      <c r="BZ161" s="419">
        <v>45</v>
      </c>
      <c r="CA161" s="419">
        <v>47</v>
      </c>
      <c r="CB161" s="421">
        <v>45</v>
      </c>
      <c r="CC161" s="420">
        <v>63</v>
      </c>
      <c r="CD161" s="419">
        <v>50</v>
      </c>
      <c r="CE161" s="419">
        <v>46</v>
      </c>
      <c r="CF161" s="421">
        <v>40</v>
      </c>
      <c r="CG161" s="421">
        <v>52</v>
      </c>
      <c r="CH161" s="419">
        <v>42</v>
      </c>
      <c r="CI161" s="419">
        <v>45</v>
      </c>
      <c r="CJ161" s="421">
        <v>26</v>
      </c>
      <c r="CK161" s="421">
        <v>46</v>
      </c>
      <c r="CL161" s="419">
        <v>239</v>
      </c>
      <c r="CM161" s="450">
        <v>295</v>
      </c>
      <c r="CN161" s="424">
        <f t="shared" si="77"/>
        <v>1276</v>
      </c>
      <c r="CO161" s="424">
        <f t="shared" si="78"/>
        <v>10</v>
      </c>
      <c r="CP161" s="425">
        <f t="shared" si="79"/>
        <v>1324</v>
      </c>
      <c r="CQ161" s="425">
        <f t="shared" si="80"/>
        <v>10</v>
      </c>
      <c r="CR161" s="419">
        <v>14</v>
      </c>
      <c r="CS161" s="419">
        <v>51</v>
      </c>
      <c r="CT161" s="421">
        <v>14</v>
      </c>
      <c r="CU161" s="421">
        <v>45</v>
      </c>
      <c r="CV161" s="419">
        <v>26</v>
      </c>
      <c r="CW161" s="419">
        <v>33</v>
      </c>
      <c r="CX161" s="421">
        <v>51</v>
      </c>
      <c r="CY161" s="421">
        <v>36</v>
      </c>
      <c r="CZ161" s="419">
        <v>13</v>
      </c>
      <c r="DA161" s="419">
        <v>31</v>
      </c>
      <c r="DB161" s="421">
        <v>13</v>
      </c>
      <c r="DC161" s="421">
        <v>31</v>
      </c>
      <c r="DD161" s="419">
        <v>45</v>
      </c>
      <c r="DE161" s="419">
        <v>29</v>
      </c>
      <c r="DF161" s="421">
        <v>26</v>
      </c>
      <c r="DG161" s="421">
        <v>29</v>
      </c>
      <c r="DH161" s="419">
        <v>40</v>
      </c>
      <c r="DI161" s="419">
        <v>28</v>
      </c>
      <c r="DJ161" s="421">
        <v>1</v>
      </c>
      <c r="DK161" s="421">
        <v>26</v>
      </c>
      <c r="DL161" s="419">
        <v>51</v>
      </c>
      <c r="DM161" s="419">
        <v>27</v>
      </c>
      <c r="DN161" s="421">
        <v>45</v>
      </c>
      <c r="DO161" s="420">
        <v>21</v>
      </c>
      <c r="DP161" s="419">
        <v>42</v>
      </c>
      <c r="DQ161" s="419">
        <v>26</v>
      </c>
      <c r="DR161" s="421">
        <v>27</v>
      </c>
      <c r="DS161" s="420">
        <v>20</v>
      </c>
      <c r="DT161" s="419">
        <v>1</v>
      </c>
      <c r="DU161" s="419">
        <v>19</v>
      </c>
      <c r="DV161" s="421">
        <v>40</v>
      </c>
      <c r="DW161" s="421">
        <v>18</v>
      </c>
      <c r="DX161" s="419">
        <v>27</v>
      </c>
      <c r="DY161" s="419">
        <v>15</v>
      </c>
      <c r="DZ161" s="421">
        <v>42</v>
      </c>
      <c r="EA161" s="421">
        <v>18</v>
      </c>
      <c r="EB161" s="419">
        <v>50</v>
      </c>
      <c r="EC161" s="419">
        <v>14</v>
      </c>
      <c r="ED161" s="421">
        <v>50</v>
      </c>
      <c r="EE161" s="420">
        <v>17</v>
      </c>
      <c r="EF161" s="419">
        <v>64</v>
      </c>
      <c r="EG161" s="421">
        <v>73</v>
      </c>
      <c r="EH161" s="424">
        <f t="shared" si="81"/>
        <v>337</v>
      </c>
      <c r="EI161" s="424">
        <f t="shared" si="82"/>
        <v>10</v>
      </c>
      <c r="EJ161" s="422">
        <f t="shared" si="83"/>
        <v>0.1513353115727003</v>
      </c>
      <c r="EK161" s="425">
        <f t="shared" si="84"/>
        <v>334</v>
      </c>
      <c r="EL161" s="425">
        <f t="shared" si="85"/>
        <v>10</v>
      </c>
      <c r="EM161" s="423">
        <f t="shared" si="86"/>
        <v>0.1347305389221557</v>
      </c>
      <c r="EN161" s="424">
        <f t="shared" si="87"/>
        <v>1613</v>
      </c>
      <c r="EO161" s="425">
        <f t="shared" si="88"/>
        <v>1658</v>
      </c>
      <c r="EP161" s="419">
        <v>162</v>
      </c>
      <c r="EQ161" s="421">
        <v>108</v>
      </c>
      <c r="ER161" s="419">
        <v>132</v>
      </c>
      <c r="ES161" s="421">
        <v>136</v>
      </c>
      <c r="ET161" s="419">
        <v>56</v>
      </c>
      <c r="EU161" s="420">
        <v>72</v>
      </c>
      <c r="EV161" s="419">
        <v>141</v>
      </c>
      <c r="EW161" s="421">
        <v>136</v>
      </c>
      <c r="EX161" s="419"/>
      <c r="EY161" s="421"/>
      <c r="EZ161" s="419"/>
      <c r="FA161" s="421"/>
      <c r="FB161" s="419"/>
      <c r="FC161" s="421"/>
      <c r="FD161" s="419"/>
      <c r="FE161" s="421"/>
      <c r="FF161" s="419"/>
      <c r="FG161" s="421"/>
      <c r="FH161" s="419">
        <v>131</v>
      </c>
      <c r="FI161" s="421">
        <v>134</v>
      </c>
      <c r="FJ161" s="424">
        <f t="shared" si="89"/>
        <v>622</v>
      </c>
      <c r="FK161" s="425">
        <f t="shared" si="90"/>
        <v>586</v>
      </c>
      <c r="FL161" s="419"/>
      <c r="FM161" s="421"/>
      <c r="FN161" s="424">
        <f t="shared" si="91"/>
        <v>7695</v>
      </c>
      <c r="FO161" s="425">
        <f t="shared" si="92"/>
        <v>7951</v>
      </c>
    </row>
    <row r="162" spans="1:171">
      <c r="A162" s="427" t="s">
        <v>158</v>
      </c>
      <c r="B162" s="57" t="s">
        <v>684</v>
      </c>
      <c r="C162" s="56"/>
      <c r="D162" s="55">
        <v>157289</v>
      </c>
      <c r="E162" s="55">
        <v>1</v>
      </c>
      <c r="F162" s="419">
        <v>51</v>
      </c>
      <c r="G162" s="421">
        <v>45</v>
      </c>
      <c r="H162" s="419"/>
      <c r="I162" s="421"/>
      <c r="J162" s="419">
        <v>10</v>
      </c>
      <c r="K162" s="421">
        <v>5</v>
      </c>
      <c r="L162" s="422">
        <f t="shared" si="71"/>
        <v>3.2797638570022957E-3</v>
      </c>
      <c r="M162" s="423">
        <f t="shared" si="72"/>
        <v>1.6066838046272494E-3</v>
      </c>
      <c r="N162" s="419">
        <v>3049</v>
      </c>
      <c r="O162" s="309">
        <f>0</f>
        <v>0</v>
      </c>
      <c r="P162" s="309">
        <f>0</f>
        <v>0</v>
      </c>
      <c r="Q162" s="309">
        <f>0</f>
        <v>0</v>
      </c>
      <c r="R162" s="424">
        <f t="shared" si="69"/>
        <v>0</v>
      </c>
      <c r="S162" s="421">
        <v>3112</v>
      </c>
      <c r="T162" s="301">
        <f>0</f>
        <v>0</v>
      </c>
      <c r="U162" s="301">
        <f>0</f>
        <v>0</v>
      </c>
      <c r="V162" s="301">
        <f>0</f>
        <v>0</v>
      </c>
      <c r="W162" s="425">
        <f t="shared" si="70"/>
        <v>0</v>
      </c>
      <c r="X162" s="419"/>
      <c r="Y162" s="419"/>
      <c r="Z162" s="421"/>
      <c r="AA162" s="421"/>
      <c r="AB162" s="419"/>
      <c r="AC162" s="419"/>
      <c r="AD162" s="421"/>
      <c r="AE162" s="421"/>
      <c r="AF162" s="419"/>
      <c r="AG162" s="419"/>
      <c r="AH162" s="421"/>
      <c r="AI162" s="421"/>
      <c r="AJ162" s="419"/>
      <c r="AK162" s="419"/>
      <c r="AL162" s="421"/>
      <c r="AM162" s="421"/>
      <c r="AN162" s="419"/>
      <c r="AO162" s="419"/>
      <c r="AP162" s="421"/>
      <c r="AQ162" s="421"/>
      <c r="AR162" s="424">
        <f t="shared" si="73"/>
        <v>0</v>
      </c>
      <c r="AS162" s="422">
        <f t="shared" si="74"/>
        <v>0.58398774181191337</v>
      </c>
      <c r="AT162" s="425">
        <f t="shared" si="75"/>
        <v>0</v>
      </c>
      <c r="AU162" s="423">
        <f t="shared" si="76"/>
        <v>0.58984078847611832</v>
      </c>
      <c r="AV162" s="419">
        <v>119</v>
      </c>
      <c r="AW162" s="421">
        <v>169</v>
      </c>
      <c r="AX162" s="419">
        <v>13</v>
      </c>
      <c r="AY162" s="419">
        <v>349</v>
      </c>
      <c r="AZ162" s="421">
        <v>13</v>
      </c>
      <c r="BA162" s="451">
        <v>366</v>
      </c>
      <c r="BB162" s="419">
        <v>44</v>
      </c>
      <c r="BC162" s="419">
        <v>248</v>
      </c>
      <c r="BD162" s="421">
        <v>44</v>
      </c>
      <c r="BE162" s="421">
        <v>217</v>
      </c>
      <c r="BF162" s="419">
        <v>14</v>
      </c>
      <c r="BG162" s="419">
        <v>186</v>
      </c>
      <c r="BH162" s="421">
        <v>52</v>
      </c>
      <c r="BI162" s="421">
        <v>184</v>
      </c>
      <c r="BJ162" s="419">
        <v>52</v>
      </c>
      <c r="BK162" s="419">
        <v>181</v>
      </c>
      <c r="BL162" s="421">
        <v>14</v>
      </c>
      <c r="BM162" s="421">
        <v>161</v>
      </c>
      <c r="BN162" s="419">
        <v>51</v>
      </c>
      <c r="BO162" s="419">
        <v>108</v>
      </c>
      <c r="BP162" s="421">
        <v>51</v>
      </c>
      <c r="BQ162" s="421">
        <v>95</v>
      </c>
      <c r="BR162" s="419">
        <v>26</v>
      </c>
      <c r="BS162" s="419">
        <v>81</v>
      </c>
      <c r="BT162" s="421">
        <v>26</v>
      </c>
      <c r="BU162" s="421">
        <v>67</v>
      </c>
      <c r="BV162" s="419">
        <v>15</v>
      </c>
      <c r="BW162" s="419">
        <v>73</v>
      </c>
      <c r="BX162" s="421">
        <v>15</v>
      </c>
      <c r="BY162" s="421">
        <v>57</v>
      </c>
      <c r="BZ162" s="419">
        <v>31</v>
      </c>
      <c r="CA162" s="419">
        <v>46</v>
      </c>
      <c r="CB162" s="421">
        <v>50</v>
      </c>
      <c r="CC162" s="421">
        <v>37</v>
      </c>
      <c r="CD162" s="419">
        <v>50</v>
      </c>
      <c r="CE162" s="419">
        <v>36</v>
      </c>
      <c r="CF162" s="421">
        <v>31</v>
      </c>
      <c r="CG162" s="421">
        <v>29</v>
      </c>
      <c r="CH162" s="419">
        <v>43</v>
      </c>
      <c r="CI162" s="419">
        <v>29</v>
      </c>
      <c r="CJ162" s="421">
        <v>43</v>
      </c>
      <c r="CK162" s="421">
        <v>27</v>
      </c>
      <c r="CL162" s="419">
        <v>106</v>
      </c>
      <c r="CM162" s="452">
        <v>119</v>
      </c>
      <c r="CN162" s="424">
        <f t="shared" si="77"/>
        <v>1443</v>
      </c>
      <c r="CO162" s="424">
        <f t="shared" si="78"/>
        <v>10</v>
      </c>
      <c r="CP162" s="425">
        <f t="shared" si="79"/>
        <v>1359</v>
      </c>
      <c r="CQ162" s="425">
        <f t="shared" si="80"/>
        <v>10</v>
      </c>
      <c r="CR162" s="419">
        <v>26</v>
      </c>
      <c r="CS162" s="419">
        <v>42</v>
      </c>
      <c r="CT162" s="421">
        <v>26</v>
      </c>
      <c r="CU162" s="421">
        <v>43</v>
      </c>
      <c r="CV162" s="419">
        <v>13</v>
      </c>
      <c r="CW162" s="419">
        <v>37</v>
      </c>
      <c r="CX162" s="421">
        <v>13</v>
      </c>
      <c r="CY162" s="420">
        <v>22</v>
      </c>
      <c r="CZ162" s="419">
        <v>14</v>
      </c>
      <c r="DA162" s="419">
        <v>25</v>
      </c>
      <c r="DB162" s="421">
        <v>14</v>
      </c>
      <c r="DC162" s="421">
        <v>20</v>
      </c>
      <c r="DD162" s="419">
        <v>42</v>
      </c>
      <c r="DE162" s="419">
        <v>14</v>
      </c>
      <c r="DF162" s="421">
        <v>40</v>
      </c>
      <c r="DG162" s="421">
        <v>10</v>
      </c>
      <c r="DH162" s="419">
        <v>40</v>
      </c>
      <c r="DI162" s="419">
        <v>11</v>
      </c>
      <c r="DJ162" s="421">
        <v>42</v>
      </c>
      <c r="DK162" s="421">
        <v>10</v>
      </c>
      <c r="DL162" s="419">
        <v>24</v>
      </c>
      <c r="DM162" s="419">
        <v>6</v>
      </c>
      <c r="DN162" s="421">
        <v>44</v>
      </c>
      <c r="DO162" s="421">
        <v>7</v>
      </c>
      <c r="DP162" s="419">
        <v>45</v>
      </c>
      <c r="DQ162" s="419">
        <v>5</v>
      </c>
      <c r="DR162" s="421">
        <v>45</v>
      </c>
      <c r="DS162" s="421">
        <v>6</v>
      </c>
      <c r="DT162" s="419">
        <v>52</v>
      </c>
      <c r="DU162" s="419">
        <v>5</v>
      </c>
      <c r="DV162" s="421">
        <v>23</v>
      </c>
      <c r="DW162" s="421">
        <v>5</v>
      </c>
      <c r="DX162" s="419">
        <v>23</v>
      </c>
      <c r="DY162" s="419">
        <v>5</v>
      </c>
      <c r="DZ162" s="421">
        <v>27</v>
      </c>
      <c r="EA162" s="421">
        <v>4</v>
      </c>
      <c r="EB162" s="419">
        <v>30</v>
      </c>
      <c r="EC162" s="419">
        <v>4</v>
      </c>
      <c r="ED162" s="421">
        <v>24</v>
      </c>
      <c r="EE162" s="421">
        <v>4</v>
      </c>
      <c r="EF162" s="419">
        <v>12</v>
      </c>
      <c r="EG162" s="421">
        <v>12</v>
      </c>
      <c r="EH162" s="424">
        <f t="shared" si="81"/>
        <v>166</v>
      </c>
      <c r="EI162" s="424">
        <f t="shared" si="82"/>
        <v>10</v>
      </c>
      <c r="EJ162" s="422">
        <f t="shared" si="83"/>
        <v>0.25301204819277107</v>
      </c>
      <c r="EK162" s="425">
        <f t="shared" si="84"/>
        <v>143</v>
      </c>
      <c r="EL162" s="425">
        <f t="shared" si="85"/>
        <v>10</v>
      </c>
      <c r="EM162" s="423">
        <f t="shared" si="86"/>
        <v>0.30069930069930068</v>
      </c>
      <c r="EN162" s="424">
        <f t="shared" si="87"/>
        <v>1609</v>
      </c>
      <c r="EO162" s="425">
        <f t="shared" si="88"/>
        <v>1502</v>
      </c>
      <c r="EP162" s="419">
        <v>108</v>
      </c>
      <c r="EQ162" s="421">
        <v>127</v>
      </c>
      <c r="ER162" s="419">
        <v>147</v>
      </c>
      <c r="ES162" s="421">
        <v>157</v>
      </c>
      <c r="ET162" s="419">
        <v>115</v>
      </c>
      <c r="EU162" s="421">
        <v>110</v>
      </c>
      <c r="EV162" s="419"/>
      <c r="EW162" s="421"/>
      <c r="EX162" s="419"/>
      <c r="EY162" s="421"/>
      <c r="EZ162" s="419"/>
      <c r="FA162" s="421"/>
      <c r="FB162" s="419"/>
      <c r="FC162" s="421"/>
      <c r="FD162" s="419"/>
      <c r="FE162" s="421"/>
      <c r="FF162" s="419"/>
      <c r="FG162" s="421"/>
      <c r="FH162" s="419">
        <v>13</v>
      </c>
      <c r="FI162" s="421">
        <v>49</v>
      </c>
      <c r="FJ162" s="424">
        <f t="shared" si="89"/>
        <v>383</v>
      </c>
      <c r="FK162" s="425">
        <f t="shared" si="90"/>
        <v>443</v>
      </c>
      <c r="FL162" s="419"/>
      <c r="FM162" s="421"/>
      <c r="FN162" s="424">
        <f t="shared" si="91"/>
        <v>5221</v>
      </c>
      <c r="FO162" s="425">
        <f t="shared" si="92"/>
        <v>5276</v>
      </c>
    </row>
    <row r="163" spans="1:171">
      <c r="A163" s="427" t="s">
        <v>158</v>
      </c>
      <c r="B163" s="57" t="s">
        <v>685</v>
      </c>
      <c r="C163" s="56"/>
      <c r="D163" s="55">
        <v>156620</v>
      </c>
      <c r="E163" s="55">
        <v>3</v>
      </c>
      <c r="F163" s="419">
        <v>112</v>
      </c>
      <c r="G163" s="421">
        <v>106</v>
      </c>
      <c r="H163" s="419"/>
      <c r="I163" s="421"/>
      <c r="J163" s="419">
        <v>202</v>
      </c>
      <c r="K163" s="421">
        <v>198</v>
      </c>
      <c r="L163" s="422">
        <f t="shared" si="71"/>
        <v>7.5092936802973978E-2</v>
      </c>
      <c r="M163" s="423">
        <f t="shared" si="72"/>
        <v>7.5170842824601361E-2</v>
      </c>
      <c r="N163" s="419">
        <v>2690</v>
      </c>
      <c r="O163" s="309">
        <f>0</f>
        <v>0</v>
      </c>
      <c r="P163" s="309">
        <f>0</f>
        <v>0</v>
      </c>
      <c r="Q163" s="309">
        <f>0</f>
        <v>0</v>
      </c>
      <c r="R163" s="424">
        <f t="shared" si="69"/>
        <v>0</v>
      </c>
      <c r="S163" s="421">
        <v>2634</v>
      </c>
      <c r="T163" s="301">
        <f>0</f>
        <v>0</v>
      </c>
      <c r="U163" s="301">
        <f>0</f>
        <v>0</v>
      </c>
      <c r="V163" s="301">
        <f>0</f>
        <v>0</v>
      </c>
      <c r="W163" s="425">
        <f t="shared" si="70"/>
        <v>0</v>
      </c>
      <c r="X163" s="419"/>
      <c r="Y163" s="419"/>
      <c r="Z163" s="421"/>
      <c r="AA163" s="421"/>
      <c r="AB163" s="419"/>
      <c r="AC163" s="419"/>
      <c r="AD163" s="421"/>
      <c r="AE163" s="421"/>
      <c r="AF163" s="419"/>
      <c r="AG163" s="419"/>
      <c r="AH163" s="421"/>
      <c r="AI163" s="421"/>
      <c r="AJ163" s="419"/>
      <c r="AK163" s="419"/>
      <c r="AL163" s="421"/>
      <c r="AM163" s="421"/>
      <c r="AN163" s="419"/>
      <c r="AO163" s="419"/>
      <c r="AP163" s="421"/>
      <c r="AQ163" s="421"/>
      <c r="AR163" s="424">
        <f t="shared" si="73"/>
        <v>0</v>
      </c>
      <c r="AS163" s="422">
        <f t="shared" si="74"/>
        <v>0.68015170670037928</v>
      </c>
      <c r="AT163" s="425">
        <f t="shared" si="75"/>
        <v>0</v>
      </c>
      <c r="AU163" s="423">
        <f t="shared" si="76"/>
        <v>0.69115717659406983</v>
      </c>
      <c r="AV163" s="419">
        <v>20</v>
      </c>
      <c r="AW163" s="421">
        <v>11</v>
      </c>
      <c r="AX163" s="419">
        <v>13</v>
      </c>
      <c r="AY163" s="419">
        <v>280</v>
      </c>
      <c r="AZ163" s="421">
        <v>13</v>
      </c>
      <c r="BA163" s="421">
        <v>247</v>
      </c>
      <c r="BB163" s="419">
        <v>51</v>
      </c>
      <c r="BC163" s="419">
        <v>241</v>
      </c>
      <c r="BD163" s="421">
        <v>51</v>
      </c>
      <c r="BE163" s="421">
        <v>231</v>
      </c>
      <c r="BF163" s="419">
        <v>43</v>
      </c>
      <c r="BG163" s="419">
        <v>188</v>
      </c>
      <c r="BH163" s="421">
        <v>43</v>
      </c>
      <c r="BI163" s="421">
        <v>150</v>
      </c>
      <c r="BJ163" s="419">
        <v>42</v>
      </c>
      <c r="BK163" s="419">
        <v>35</v>
      </c>
      <c r="BL163" s="421">
        <v>42</v>
      </c>
      <c r="BM163" s="420">
        <v>44</v>
      </c>
      <c r="BN163" s="419">
        <v>31</v>
      </c>
      <c r="BO163" s="419">
        <v>33</v>
      </c>
      <c r="BP163" s="421">
        <v>31</v>
      </c>
      <c r="BQ163" s="421">
        <v>35</v>
      </c>
      <c r="BR163" s="419">
        <v>44</v>
      </c>
      <c r="BS163" s="419">
        <v>27</v>
      </c>
      <c r="BT163" s="421">
        <v>44</v>
      </c>
      <c r="BU163" s="421">
        <v>29</v>
      </c>
      <c r="BV163" s="419">
        <v>15</v>
      </c>
      <c r="BW163" s="419">
        <v>20</v>
      </c>
      <c r="BX163" s="421">
        <v>23</v>
      </c>
      <c r="BY163" s="421">
        <v>21</v>
      </c>
      <c r="BZ163" s="419">
        <v>50</v>
      </c>
      <c r="CA163" s="419">
        <v>16</v>
      </c>
      <c r="CB163" s="421">
        <v>15</v>
      </c>
      <c r="CC163" s="421">
        <v>12</v>
      </c>
      <c r="CD163" s="419">
        <v>23</v>
      </c>
      <c r="CE163" s="419">
        <v>11</v>
      </c>
      <c r="CF163" s="421">
        <v>50</v>
      </c>
      <c r="CG163" s="421">
        <v>12</v>
      </c>
      <c r="CH163" s="419">
        <v>27</v>
      </c>
      <c r="CI163" s="419">
        <v>11</v>
      </c>
      <c r="CJ163" s="421">
        <v>27</v>
      </c>
      <c r="CK163" s="421">
        <v>8</v>
      </c>
      <c r="CL163" s="419">
        <v>35</v>
      </c>
      <c r="CM163" s="452">
        <v>28</v>
      </c>
      <c r="CN163" s="424">
        <f t="shared" si="77"/>
        <v>897</v>
      </c>
      <c r="CO163" s="424">
        <f t="shared" si="78"/>
        <v>10</v>
      </c>
      <c r="CP163" s="425">
        <f t="shared" si="79"/>
        <v>817</v>
      </c>
      <c r="CQ163" s="425">
        <f t="shared" si="80"/>
        <v>10</v>
      </c>
      <c r="CR163" s="419"/>
      <c r="CS163" s="419"/>
      <c r="CT163" s="421"/>
      <c r="CU163" s="421"/>
      <c r="CV163" s="419"/>
      <c r="CW163" s="419"/>
      <c r="CX163" s="421"/>
      <c r="CY163" s="421"/>
      <c r="CZ163" s="419"/>
      <c r="DA163" s="419"/>
      <c r="DB163" s="421"/>
      <c r="DC163" s="421"/>
      <c r="DD163" s="419"/>
      <c r="DE163" s="419"/>
      <c r="DF163" s="421"/>
      <c r="DG163" s="421"/>
      <c r="DH163" s="419"/>
      <c r="DI163" s="419"/>
      <c r="DJ163" s="421"/>
      <c r="DK163" s="421"/>
      <c r="DL163" s="419"/>
      <c r="DM163" s="419"/>
      <c r="DN163" s="421"/>
      <c r="DO163" s="421"/>
      <c r="DP163" s="419"/>
      <c r="DQ163" s="419"/>
      <c r="DR163" s="421"/>
      <c r="DS163" s="421"/>
      <c r="DT163" s="419"/>
      <c r="DU163" s="419"/>
      <c r="DV163" s="421"/>
      <c r="DW163" s="421"/>
      <c r="DX163" s="419"/>
      <c r="DY163" s="419"/>
      <c r="DZ163" s="421"/>
      <c r="EA163" s="421"/>
      <c r="EB163" s="419"/>
      <c r="EC163" s="419"/>
      <c r="ED163" s="421"/>
      <c r="EE163" s="421"/>
      <c r="EF163" s="419"/>
      <c r="EG163" s="421"/>
      <c r="EH163" s="424">
        <f t="shared" si="81"/>
        <v>0</v>
      </c>
      <c r="EI163" s="424">
        <f t="shared" si="82"/>
        <v>0</v>
      </c>
      <c r="EJ163" s="422">
        <f t="shared" si="83"/>
        <v>0</v>
      </c>
      <c r="EK163" s="425">
        <f t="shared" si="84"/>
        <v>0</v>
      </c>
      <c r="EL163" s="425">
        <f t="shared" si="85"/>
        <v>0</v>
      </c>
      <c r="EM163" s="423">
        <f t="shared" si="86"/>
        <v>0</v>
      </c>
      <c r="EN163" s="424">
        <f t="shared" si="87"/>
        <v>897</v>
      </c>
      <c r="EO163" s="425">
        <f t="shared" si="88"/>
        <v>817</v>
      </c>
      <c r="EP163" s="419"/>
      <c r="EQ163" s="421"/>
      <c r="ER163" s="419"/>
      <c r="ES163" s="421"/>
      <c r="ET163" s="419"/>
      <c r="EU163" s="421"/>
      <c r="EV163" s="419"/>
      <c r="EW163" s="421"/>
      <c r="EX163" s="419"/>
      <c r="EY163" s="421"/>
      <c r="EZ163" s="419"/>
      <c r="FA163" s="421"/>
      <c r="FB163" s="419"/>
      <c r="FC163" s="421"/>
      <c r="FD163" s="419"/>
      <c r="FE163" s="421"/>
      <c r="FF163" s="419"/>
      <c r="FG163" s="421"/>
      <c r="FH163" s="419">
        <v>24</v>
      </c>
      <c r="FI163" s="420">
        <v>34</v>
      </c>
      <c r="FJ163" s="424">
        <f t="shared" si="89"/>
        <v>24</v>
      </c>
      <c r="FK163" s="425">
        <f t="shared" si="90"/>
        <v>34</v>
      </c>
      <c r="FL163" s="419">
        <v>10</v>
      </c>
      <c r="FM163" s="421">
        <v>11</v>
      </c>
      <c r="FN163" s="424">
        <f t="shared" si="91"/>
        <v>3955</v>
      </c>
      <c r="FO163" s="425">
        <f t="shared" si="92"/>
        <v>3811</v>
      </c>
    </row>
    <row r="164" spans="1:171">
      <c r="A164" s="427" t="s">
        <v>158</v>
      </c>
      <c r="B164" s="57" t="s">
        <v>686</v>
      </c>
      <c r="C164" s="56"/>
      <c r="D164" s="55">
        <v>157386</v>
      </c>
      <c r="E164" s="55">
        <v>3</v>
      </c>
      <c r="F164" s="419"/>
      <c r="G164" s="421"/>
      <c r="H164" s="419"/>
      <c r="I164" s="421"/>
      <c r="J164" s="419">
        <v>158</v>
      </c>
      <c r="K164" s="421">
        <v>153</v>
      </c>
      <c r="L164" s="422">
        <f t="shared" si="71"/>
        <v>0.1253968253968254</v>
      </c>
      <c r="M164" s="423">
        <f t="shared" si="72"/>
        <v>0.13432835820895522</v>
      </c>
      <c r="N164" s="419">
        <v>1260</v>
      </c>
      <c r="O164" s="309">
        <f>0</f>
        <v>0</v>
      </c>
      <c r="P164" s="309">
        <f>0</f>
        <v>0</v>
      </c>
      <c r="Q164" s="309">
        <f>0</f>
        <v>0</v>
      </c>
      <c r="R164" s="424">
        <f t="shared" si="69"/>
        <v>0</v>
      </c>
      <c r="S164" s="421">
        <v>1139</v>
      </c>
      <c r="T164" s="301">
        <f>0</f>
        <v>0</v>
      </c>
      <c r="U164" s="301">
        <f>0</f>
        <v>0</v>
      </c>
      <c r="V164" s="301">
        <f>0</f>
        <v>0</v>
      </c>
      <c r="W164" s="425">
        <f t="shared" si="70"/>
        <v>0</v>
      </c>
      <c r="X164" s="419"/>
      <c r="Y164" s="419"/>
      <c r="Z164" s="421"/>
      <c r="AA164" s="421"/>
      <c r="AB164" s="419"/>
      <c r="AC164" s="419"/>
      <c r="AD164" s="421"/>
      <c r="AE164" s="421"/>
      <c r="AF164" s="419"/>
      <c r="AG164" s="419"/>
      <c r="AH164" s="421"/>
      <c r="AI164" s="421"/>
      <c r="AJ164" s="419"/>
      <c r="AK164" s="419"/>
      <c r="AL164" s="421"/>
      <c r="AM164" s="421"/>
      <c r="AN164" s="419"/>
      <c r="AO164" s="419"/>
      <c r="AP164" s="421"/>
      <c r="AQ164" s="421"/>
      <c r="AR164" s="424">
        <f t="shared" si="73"/>
        <v>0</v>
      </c>
      <c r="AS164" s="422">
        <f t="shared" si="74"/>
        <v>0.72832369942196529</v>
      </c>
      <c r="AT164" s="425">
        <f t="shared" si="75"/>
        <v>0</v>
      </c>
      <c r="AU164" s="423">
        <f t="shared" si="76"/>
        <v>0.71861198738170351</v>
      </c>
      <c r="AV164" s="419"/>
      <c r="AW164" s="421"/>
      <c r="AX164" s="419">
        <v>13</v>
      </c>
      <c r="AY164" s="419">
        <v>175</v>
      </c>
      <c r="AZ164" s="421">
        <v>13</v>
      </c>
      <c r="BA164" s="421">
        <v>131</v>
      </c>
      <c r="BB164" s="419">
        <v>52</v>
      </c>
      <c r="BC164" s="419">
        <v>45</v>
      </c>
      <c r="BD164" s="421">
        <v>52</v>
      </c>
      <c r="BE164" s="421">
        <v>54</v>
      </c>
      <c r="BF164" s="419">
        <v>23</v>
      </c>
      <c r="BG164" s="419">
        <v>19</v>
      </c>
      <c r="BH164" s="421">
        <v>23</v>
      </c>
      <c r="BI164" s="421">
        <v>20</v>
      </c>
      <c r="BJ164" s="419">
        <v>15</v>
      </c>
      <c r="BK164" s="419">
        <v>11</v>
      </c>
      <c r="BL164" s="421">
        <v>15</v>
      </c>
      <c r="BM164" s="421">
        <v>17</v>
      </c>
      <c r="BN164" s="419">
        <v>42</v>
      </c>
      <c r="BO164" s="419">
        <v>11</v>
      </c>
      <c r="BP164" s="421">
        <v>51</v>
      </c>
      <c r="BQ164" s="420">
        <v>14</v>
      </c>
      <c r="BR164" s="419">
        <v>50</v>
      </c>
      <c r="BS164" s="419">
        <v>9</v>
      </c>
      <c r="BT164" s="421">
        <v>45</v>
      </c>
      <c r="BU164" s="421">
        <v>8</v>
      </c>
      <c r="BV164" s="419">
        <v>9</v>
      </c>
      <c r="BW164" s="419">
        <v>9</v>
      </c>
      <c r="BX164" s="421">
        <v>9</v>
      </c>
      <c r="BY164" s="420">
        <v>7</v>
      </c>
      <c r="BZ164" s="419">
        <v>45</v>
      </c>
      <c r="CA164" s="419">
        <v>7</v>
      </c>
      <c r="CB164" s="421">
        <v>31</v>
      </c>
      <c r="CC164" s="421">
        <v>7</v>
      </c>
      <c r="CD164" s="419">
        <v>31</v>
      </c>
      <c r="CE164" s="419">
        <v>6</v>
      </c>
      <c r="CF164" s="421">
        <v>50</v>
      </c>
      <c r="CG164" s="421">
        <v>7</v>
      </c>
      <c r="CH164" s="419">
        <v>14</v>
      </c>
      <c r="CI164" s="419">
        <v>5</v>
      </c>
      <c r="CJ164" s="421">
        <v>42</v>
      </c>
      <c r="CK164" s="421">
        <v>5</v>
      </c>
      <c r="CL164" s="419">
        <v>2</v>
      </c>
      <c r="CM164" s="420">
        <v>11</v>
      </c>
      <c r="CN164" s="424">
        <f t="shared" si="77"/>
        <v>299</v>
      </c>
      <c r="CO164" s="424">
        <f t="shared" si="78"/>
        <v>10</v>
      </c>
      <c r="CP164" s="425">
        <f t="shared" si="79"/>
        <v>281</v>
      </c>
      <c r="CQ164" s="425">
        <f t="shared" si="80"/>
        <v>10</v>
      </c>
      <c r="CR164" s="419"/>
      <c r="CS164" s="419"/>
      <c r="CT164" s="421"/>
      <c r="CU164" s="421"/>
      <c r="CV164" s="419"/>
      <c r="CW164" s="419"/>
      <c r="CX164" s="421"/>
      <c r="CY164" s="421"/>
      <c r="CZ164" s="419"/>
      <c r="DA164" s="419"/>
      <c r="DB164" s="421"/>
      <c r="DC164" s="421"/>
      <c r="DD164" s="419"/>
      <c r="DE164" s="419"/>
      <c r="DF164" s="421"/>
      <c r="DG164" s="421"/>
      <c r="DH164" s="419"/>
      <c r="DI164" s="419"/>
      <c r="DJ164" s="421"/>
      <c r="DK164" s="421"/>
      <c r="DL164" s="419"/>
      <c r="DM164" s="419"/>
      <c r="DN164" s="421"/>
      <c r="DO164" s="421"/>
      <c r="DP164" s="419"/>
      <c r="DQ164" s="419"/>
      <c r="DR164" s="421"/>
      <c r="DS164" s="421"/>
      <c r="DT164" s="419"/>
      <c r="DU164" s="419"/>
      <c r="DV164" s="421"/>
      <c r="DW164" s="421"/>
      <c r="DX164" s="419"/>
      <c r="DY164" s="419"/>
      <c r="DZ164" s="421"/>
      <c r="EA164" s="421"/>
      <c r="EB164" s="419"/>
      <c r="EC164" s="419"/>
      <c r="ED164" s="421"/>
      <c r="EE164" s="421"/>
      <c r="EF164" s="419"/>
      <c r="EG164" s="421"/>
      <c r="EH164" s="424">
        <f t="shared" si="81"/>
        <v>0</v>
      </c>
      <c r="EI164" s="424">
        <f t="shared" si="82"/>
        <v>0</v>
      </c>
      <c r="EJ164" s="422">
        <f t="shared" si="83"/>
        <v>0</v>
      </c>
      <c r="EK164" s="425">
        <f t="shared" si="84"/>
        <v>0</v>
      </c>
      <c r="EL164" s="425">
        <f t="shared" si="85"/>
        <v>0</v>
      </c>
      <c r="EM164" s="423">
        <f t="shared" si="86"/>
        <v>0</v>
      </c>
      <c r="EN164" s="424">
        <f t="shared" si="87"/>
        <v>299</v>
      </c>
      <c r="EO164" s="425">
        <f t="shared" si="88"/>
        <v>281</v>
      </c>
      <c r="EP164" s="419"/>
      <c r="EQ164" s="421"/>
      <c r="ER164" s="419"/>
      <c r="ES164" s="421"/>
      <c r="ET164" s="419"/>
      <c r="EU164" s="421"/>
      <c r="EV164" s="419"/>
      <c r="EW164" s="421"/>
      <c r="EX164" s="419"/>
      <c r="EY164" s="421"/>
      <c r="EZ164" s="419"/>
      <c r="FA164" s="421"/>
      <c r="FB164" s="419"/>
      <c r="FC164" s="421"/>
      <c r="FD164" s="419"/>
      <c r="FE164" s="421"/>
      <c r="FF164" s="419"/>
      <c r="FG164" s="421"/>
      <c r="FH164" s="419"/>
      <c r="FI164" s="421"/>
      <c r="FJ164" s="424">
        <f t="shared" si="89"/>
        <v>0</v>
      </c>
      <c r="FK164" s="425">
        <f t="shared" si="90"/>
        <v>0</v>
      </c>
      <c r="FL164" s="419">
        <v>13</v>
      </c>
      <c r="FM164" s="421">
        <v>12</v>
      </c>
      <c r="FN164" s="424">
        <f t="shared" si="91"/>
        <v>1730</v>
      </c>
      <c r="FO164" s="425">
        <f t="shared" si="92"/>
        <v>1585</v>
      </c>
    </row>
    <row r="165" spans="1:171">
      <c r="A165" s="427" t="s">
        <v>158</v>
      </c>
      <c r="B165" s="57" t="s">
        <v>687</v>
      </c>
      <c r="C165" s="56"/>
      <c r="D165" s="55">
        <v>157401</v>
      </c>
      <c r="E165" s="55">
        <v>3</v>
      </c>
      <c r="F165" s="419">
        <v>12</v>
      </c>
      <c r="G165" s="421">
        <v>13</v>
      </c>
      <c r="H165" s="419"/>
      <c r="I165" s="421"/>
      <c r="J165" s="419">
        <v>14</v>
      </c>
      <c r="K165" s="421">
        <v>22</v>
      </c>
      <c r="L165" s="422">
        <f t="shared" si="71"/>
        <v>8.8776157260621429E-3</v>
      </c>
      <c r="M165" s="423">
        <f t="shared" si="72"/>
        <v>1.3261000602772756E-2</v>
      </c>
      <c r="N165" s="419">
        <v>1577</v>
      </c>
      <c r="O165" s="309">
        <f>0</f>
        <v>0</v>
      </c>
      <c r="P165" s="309">
        <f>0</f>
        <v>0</v>
      </c>
      <c r="Q165" s="309">
        <f>0</f>
        <v>0</v>
      </c>
      <c r="R165" s="424">
        <f t="shared" si="69"/>
        <v>0</v>
      </c>
      <c r="S165" s="421">
        <v>1659</v>
      </c>
      <c r="T165" s="301">
        <f>0</f>
        <v>0</v>
      </c>
      <c r="U165" s="301">
        <f>0</f>
        <v>0</v>
      </c>
      <c r="V165" s="301">
        <f>0</f>
        <v>0</v>
      </c>
      <c r="W165" s="425">
        <f t="shared" si="70"/>
        <v>0</v>
      </c>
      <c r="X165" s="419"/>
      <c r="Y165" s="419"/>
      <c r="Z165" s="421"/>
      <c r="AA165" s="421"/>
      <c r="AB165" s="419"/>
      <c r="AC165" s="419"/>
      <c r="AD165" s="421"/>
      <c r="AE165" s="421"/>
      <c r="AF165" s="419"/>
      <c r="AG165" s="419"/>
      <c r="AH165" s="421"/>
      <c r="AI165" s="421"/>
      <c r="AJ165" s="419"/>
      <c r="AK165" s="419"/>
      <c r="AL165" s="421"/>
      <c r="AM165" s="421"/>
      <c r="AN165" s="419"/>
      <c r="AO165" s="419"/>
      <c r="AP165" s="421"/>
      <c r="AQ165" s="421"/>
      <c r="AR165" s="424">
        <f t="shared" si="73"/>
        <v>0</v>
      </c>
      <c r="AS165" s="422">
        <f t="shared" si="74"/>
        <v>0.75563009103976997</v>
      </c>
      <c r="AT165" s="425">
        <f t="shared" si="75"/>
        <v>0</v>
      </c>
      <c r="AU165" s="423">
        <f t="shared" si="76"/>
        <v>0.74864620938628157</v>
      </c>
      <c r="AV165" s="419">
        <v>14</v>
      </c>
      <c r="AW165" s="421">
        <v>22</v>
      </c>
      <c r="AX165" s="419">
        <v>13</v>
      </c>
      <c r="AY165" s="419">
        <v>138</v>
      </c>
      <c r="AZ165" s="421">
        <v>13</v>
      </c>
      <c r="BA165" s="421">
        <v>128</v>
      </c>
      <c r="BB165" s="419">
        <v>52</v>
      </c>
      <c r="BC165" s="419">
        <v>63</v>
      </c>
      <c r="BD165" s="421">
        <v>52</v>
      </c>
      <c r="BE165" s="421">
        <v>61</v>
      </c>
      <c r="BF165" s="419">
        <v>44</v>
      </c>
      <c r="BG165" s="419">
        <v>48</v>
      </c>
      <c r="BH165" s="421">
        <v>1</v>
      </c>
      <c r="BI165" s="421">
        <v>61</v>
      </c>
      <c r="BJ165" s="419">
        <v>1</v>
      </c>
      <c r="BK165" s="419">
        <v>37</v>
      </c>
      <c r="BL165" s="421">
        <v>51</v>
      </c>
      <c r="BM165" s="421">
        <v>58</v>
      </c>
      <c r="BN165" s="419">
        <v>51</v>
      </c>
      <c r="BO165" s="419">
        <v>33</v>
      </c>
      <c r="BP165" s="421">
        <v>44</v>
      </c>
      <c r="BQ165" s="420">
        <v>50</v>
      </c>
      <c r="BR165" s="419">
        <v>15</v>
      </c>
      <c r="BS165" s="419">
        <v>29</v>
      </c>
      <c r="BT165" s="421">
        <v>15</v>
      </c>
      <c r="BU165" s="421">
        <v>24</v>
      </c>
      <c r="BV165" s="419">
        <v>9</v>
      </c>
      <c r="BW165" s="419">
        <v>26</v>
      </c>
      <c r="BX165" s="421">
        <v>9</v>
      </c>
      <c r="BY165" s="421">
        <v>22</v>
      </c>
      <c r="BZ165" s="419">
        <v>11</v>
      </c>
      <c r="CA165" s="419">
        <v>10</v>
      </c>
      <c r="CB165" s="421">
        <v>11</v>
      </c>
      <c r="CC165" s="421">
        <v>17</v>
      </c>
      <c r="CD165" s="419">
        <v>23</v>
      </c>
      <c r="CE165" s="419">
        <v>9</v>
      </c>
      <c r="CF165" s="421">
        <v>23</v>
      </c>
      <c r="CG165" s="421">
        <v>11</v>
      </c>
      <c r="CH165" s="419">
        <v>42</v>
      </c>
      <c r="CI165" s="419">
        <v>7</v>
      </c>
      <c r="CJ165" s="421">
        <v>42</v>
      </c>
      <c r="CK165" s="420">
        <v>10</v>
      </c>
      <c r="CL165" s="419">
        <v>22</v>
      </c>
      <c r="CM165" s="421">
        <v>10</v>
      </c>
      <c r="CN165" s="424">
        <f t="shared" si="77"/>
        <v>422</v>
      </c>
      <c r="CO165" s="424">
        <f t="shared" si="78"/>
        <v>10</v>
      </c>
      <c r="CP165" s="425">
        <f t="shared" si="79"/>
        <v>452</v>
      </c>
      <c r="CQ165" s="425">
        <f t="shared" si="80"/>
        <v>10</v>
      </c>
      <c r="CR165" s="419"/>
      <c r="CS165" s="419"/>
      <c r="CT165" s="421"/>
      <c r="CU165" s="421"/>
      <c r="CV165" s="419"/>
      <c r="CW165" s="419"/>
      <c r="CX165" s="421"/>
      <c r="CY165" s="421"/>
      <c r="CZ165" s="419"/>
      <c r="DA165" s="419"/>
      <c r="DB165" s="421"/>
      <c r="DC165" s="421"/>
      <c r="DD165" s="419"/>
      <c r="DE165" s="419"/>
      <c r="DF165" s="421"/>
      <c r="DG165" s="421"/>
      <c r="DH165" s="419"/>
      <c r="DI165" s="419"/>
      <c r="DJ165" s="421"/>
      <c r="DK165" s="421"/>
      <c r="DL165" s="419"/>
      <c r="DM165" s="419"/>
      <c r="DN165" s="421"/>
      <c r="DO165" s="421"/>
      <c r="DP165" s="419"/>
      <c r="DQ165" s="419"/>
      <c r="DR165" s="421"/>
      <c r="DS165" s="421"/>
      <c r="DT165" s="419"/>
      <c r="DU165" s="419"/>
      <c r="DV165" s="421"/>
      <c r="DW165" s="421"/>
      <c r="DX165" s="419"/>
      <c r="DY165" s="419"/>
      <c r="DZ165" s="421"/>
      <c r="EA165" s="421"/>
      <c r="EB165" s="419"/>
      <c r="EC165" s="419"/>
      <c r="ED165" s="421"/>
      <c r="EE165" s="421"/>
      <c r="EF165" s="419"/>
      <c r="EG165" s="421"/>
      <c r="EH165" s="424">
        <f t="shared" si="81"/>
        <v>0</v>
      </c>
      <c r="EI165" s="424">
        <f t="shared" si="82"/>
        <v>0</v>
      </c>
      <c r="EJ165" s="422">
        <f t="shared" si="83"/>
        <v>0</v>
      </c>
      <c r="EK165" s="425">
        <f t="shared" si="84"/>
        <v>0</v>
      </c>
      <c r="EL165" s="425">
        <f t="shared" si="85"/>
        <v>0</v>
      </c>
      <c r="EM165" s="423">
        <f t="shared" si="86"/>
        <v>0</v>
      </c>
      <c r="EN165" s="424">
        <f t="shared" si="87"/>
        <v>422</v>
      </c>
      <c r="EO165" s="425">
        <f t="shared" si="88"/>
        <v>452</v>
      </c>
      <c r="EP165" s="419"/>
      <c r="EQ165" s="421"/>
      <c r="ER165" s="419"/>
      <c r="ES165" s="421"/>
      <c r="ET165" s="419"/>
      <c r="EU165" s="421"/>
      <c r="EV165" s="419"/>
      <c r="EW165" s="421"/>
      <c r="EX165" s="419"/>
      <c r="EY165" s="421"/>
      <c r="EZ165" s="419"/>
      <c r="FA165" s="421"/>
      <c r="FB165" s="419"/>
      <c r="FC165" s="421"/>
      <c r="FD165" s="419"/>
      <c r="FE165" s="421"/>
      <c r="FF165" s="419"/>
      <c r="FG165" s="421"/>
      <c r="FH165" s="419">
        <v>27</v>
      </c>
      <c r="FI165" s="421">
        <v>28</v>
      </c>
      <c r="FJ165" s="424">
        <f t="shared" si="89"/>
        <v>27</v>
      </c>
      <c r="FK165" s="425">
        <f t="shared" si="90"/>
        <v>28</v>
      </c>
      <c r="FL165" s="419">
        <v>21</v>
      </c>
      <c r="FM165" s="421">
        <v>20</v>
      </c>
      <c r="FN165" s="424">
        <f t="shared" si="91"/>
        <v>2087</v>
      </c>
      <c r="FO165" s="425">
        <f t="shared" si="92"/>
        <v>2216</v>
      </c>
    </row>
    <row r="166" spans="1:171">
      <c r="A166" s="453" t="s">
        <v>158</v>
      </c>
      <c r="B166" s="57" t="s">
        <v>688</v>
      </c>
      <c r="C166" s="54"/>
      <c r="D166" s="55">
        <v>157447</v>
      </c>
      <c r="E166" s="55">
        <v>3</v>
      </c>
      <c r="F166" s="419">
        <v>32</v>
      </c>
      <c r="G166" s="421">
        <v>31</v>
      </c>
      <c r="H166" s="419"/>
      <c r="I166" s="421"/>
      <c r="J166" s="419">
        <v>58</v>
      </c>
      <c r="K166" s="421">
        <v>35</v>
      </c>
      <c r="L166" s="422">
        <f t="shared" si="71"/>
        <v>2.7179006560449859E-2</v>
      </c>
      <c r="M166" s="423">
        <f t="shared" si="72"/>
        <v>1.5751575157515751E-2</v>
      </c>
      <c r="N166" s="419">
        <v>2134</v>
      </c>
      <c r="O166" s="309">
        <f>0</f>
        <v>0</v>
      </c>
      <c r="P166" s="309">
        <f>0</f>
        <v>0</v>
      </c>
      <c r="Q166" s="309">
        <f>0</f>
        <v>0</v>
      </c>
      <c r="R166" s="424">
        <f t="shared" si="69"/>
        <v>0</v>
      </c>
      <c r="S166" s="421">
        <v>2222</v>
      </c>
      <c r="T166" s="301">
        <f>0</f>
        <v>0</v>
      </c>
      <c r="U166" s="301">
        <f>0</f>
        <v>0</v>
      </c>
      <c r="V166" s="301">
        <f>0</f>
        <v>0</v>
      </c>
      <c r="W166" s="425">
        <f t="shared" si="70"/>
        <v>0</v>
      </c>
      <c r="X166" s="419"/>
      <c r="Y166" s="419"/>
      <c r="Z166" s="421"/>
      <c r="AA166" s="421"/>
      <c r="AB166" s="419"/>
      <c r="AC166" s="419"/>
      <c r="AD166" s="421"/>
      <c r="AE166" s="421"/>
      <c r="AF166" s="419"/>
      <c r="AG166" s="419"/>
      <c r="AH166" s="421"/>
      <c r="AI166" s="421"/>
      <c r="AJ166" s="419"/>
      <c r="AK166" s="419"/>
      <c r="AL166" s="421"/>
      <c r="AM166" s="421"/>
      <c r="AN166" s="419"/>
      <c r="AO166" s="419"/>
      <c r="AP166" s="421"/>
      <c r="AQ166" s="421"/>
      <c r="AR166" s="424">
        <f t="shared" si="73"/>
        <v>0</v>
      </c>
      <c r="AS166" s="422">
        <f t="shared" si="74"/>
        <v>0.73611590203518451</v>
      </c>
      <c r="AT166" s="425">
        <f t="shared" si="75"/>
        <v>0</v>
      </c>
      <c r="AU166" s="423">
        <f t="shared" si="76"/>
        <v>0.72448646886208024</v>
      </c>
      <c r="AV166" s="419">
        <v>58</v>
      </c>
      <c r="AW166" s="421">
        <v>62</v>
      </c>
      <c r="AX166" s="419">
        <v>51</v>
      </c>
      <c r="AY166" s="419">
        <v>141</v>
      </c>
      <c r="AZ166" s="421">
        <v>51</v>
      </c>
      <c r="BA166" s="421">
        <v>145</v>
      </c>
      <c r="BB166" s="419">
        <v>44</v>
      </c>
      <c r="BC166" s="419">
        <v>92</v>
      </c>
      <c r="BD166" s="421">
        <v>52</v>
      </c>
      <c r="BE166" s="420">
        <v>133</v>
      </c>
      <c r="BF166" s="419">
        <v>13</v>
      </c>
      <c r="BG166" s="419">
        <v>71</v>
      </c>
      <c r="BH166" s="421">
        <v>44</v>
      </c>
      <c r="BI166" s="421">
        <v>96</v>
      </c>
      <c r="BJ166" s="419">
        <v>52</v>
      </c>
      <c r="BK166" s="419">
        <v>57</v>
      </c>
      <c r="BL166" s="421">
        <v>13</v>
      </c>
      <c r="BM166" s="421">
        <v>70</v>
      </c>
      <c r="BN166" s="419">
        <v>11</v>
      </c>
      <c r="BO166" s="419">
        <v>46</v>
      </c>
      <c r="BP166" s="421">
        <v>11</v>
      </c>
      <c r="BQ166" s="421">
        <v>28</v>
      </c>
      <c r="BR166" s="419">
        <v>42</v>
      </c>
      <c r="BS166" s="419">
        <v>19</v>
      </c>
      <c r="BT166" s="421">
        <v>23</v>
      </c>
      <c r="BU166" s="421">
        <v>11</v>
      </c>
      <c r="BV166" s="419">
        <v>23</v>
      </c>
      <c r="BW166" s="419">
        <v>18</v>
      </c>
      <c r="BX166" s="421">
        <v>24</v>
      </c>
      <c r="BY166" s="421">
        <v>11</v>
      </c>
      <c r="BZ166" s="419">
        <v>22</v>
      </c>
      <c r="CA166" s="419">
        <v>9</v>
      </c>
      <c r="CB166" s="421">
        <v>42</v>
      </c>
      <c r="CC166" s="421">
        <v>11</v>
      </c>
      <c r="CD166" s="419">
        <v>54</v>
      </c>
      <c r="CE166" s="419">
        <v>9</v>
      </c>
      <c r="CF166" s="421">
        <v>54</v>
      </c>
      <c r="CG166" s="421">
        <v>9</v>
      </c>
      <c r="CH166" s="419">
        <v>24</v>
      </c>
      <c r="CI166" s="419">
        <v>6</v>
      </c>
      <c r="CJ166" s="421">
        <v>22</v>
      </c>
      <c r="CK166" s="421">
        <v>6</v>
      </c>
      <c r="CL166" s="419">
        <v>4</v>
      </c>
      <c r="CM166" s="421">
        <v>4</v>
      </c>
      <c r="CN166" s="424">
        <f t="shared" si="77"/>
        <v>472</v>
      </c>
      <c r="CO166" s="424">
        <f t="shared" si="78"/>
        <v>10</v>
      </c>
      <c r="CP166" s="425">
        <f t="shared" si="79"/>
        <v>524</v>
      </c>
      <c r="CQ166" s="425">
        <f t="shared" si="80"/>
        <v>10</v>
      </c>
      <c r="CR166" s="419"/>
      <c r="CS166" s="419"/>
      <c r="CT166" s="421"/>
      <c r="CU166" s="421"/>
      <c r="CV166" s="419"/>
      <c r="CW166" s="419"/>
      <c r="CX166" s="421"/>
      <c r="CY166" s="421"/>
      <c r="CZ166" s="419"/>
      <c r="DA166" s="419"/>
      <c r="DB166" s="421"/>
      <c r="DC166" s="421"/>
      <c r="DD166" s="419"/>
      <c r="DE166" s="419"/>
      <c r="DF166" s="421"/>
      <c r="DG166" s="421"/>
      <c r="DH166" s="419"/>
      <c r="DI166" s="419"/>
      <c r="DJ166" s="421"/>
      <c r="DK166" s="421"/>
      <c r="DL166" s="419"/>
      <c r="DM166" s="419"/>
      <c r="DN166" s="421"/>
      <c r="DO166" s="421"/>
      <c r="DP166" s="419"/>
      <c r="DQ166" s="419"/>
      <c r="DR166" s="421"/>
      <c r="DS166" s="421"/>
      <c r="DT166" s="419"/>
      <c r="DU166" s="419"/>
      <c r="DV166" s="421"/>
      <c r="DW166" s="421"/>
      <c r="DX166" s="419"/>
      <c r="DY166" s="419"/>
      <c r="DZ166" s="421"/>
      <c r="EA166" s="421"/>
      <c r="EB166" s="419"/>
      <c r="EC166" s="419"/>
      <c r="ED166" s="421"/>
      <c r="EE166" s="421"/>
      <c r="EF166" s="419"/>
      <c r="EG166" s="421"/>
      <c r="EH166" s="424">
        <f t="shared" si="81"/>
        <v>0</v>
      </c>
      <c r="EI166" s="424">
        <f t="shared" si="82"/>
        <v>0</v>
      </c>
      <c r="EJ166" s="422">
        <f t="shared" si="83"/>
        <v>0</v>
      </c>
      <c r="EK166" s="425">
        <f t="shared" si="84"/>
        <v>0</v>
      </c>
      <c r="EL166" s="425">
        <f t="shared" si="85"/>
        <v>0</v>
      </c>
      <c r="EM166" s="423">
        <f t="shared" si="86"/>
        <v>0</v>
      </c>
      <c r="EN166" s="424">
        <f t="shared" si="87"/>
        <v>472</v>
      </c>
      <c r="EO166" s="425">
        <f t="shared" si="88"/>
        <v>524</v>
      </c>
      <c r="EP166" s="419">
        <v>119</v>
      </c>
      <c r="EQ166" s="421">
        <v>115</v>
      </c>
      <c r="ER166" s="419"/>
      <c r="ES166" s="421"/>
      <c r="ET166" s="419"/>
      <c r="EU166" s="421"/>
      <c r="EV166" s="419"/>
      <c r="EW166" s="421"/>
      <c r="EX166" s="419"/>
      <c r="EY166" s="421"/>
      <c r="EZ166" s="419"/>
      <c r="FA166" s="421"/>
      <c r="FB166" s="419"/>
      <c r="FC166" s="421"/>
      <c r="FD166" s="419"/>
      <c r="FE166" s="421"/>
      <c r="FF166" s="419"/>
      <c r="FG166" s="421"/>
      <c r="FH166" s="419">
        <v>8</v>
      </c>
      <c r="FI166" s="421">
        <v>66</v>
      </c>
      <c r="FJ166" s="424">
        <f t="shared" si="89"/>
        <v>127</v>
      </c>
      <c r="FK166" s="425">
        <f t="shared" si="90"/>
        <v>181</v>
      </c>
      <c r="FL166" s="419">
        <v>18</v>
      </c>
      <c r="FM166" s="421">
        <v>12</v>
      </c>
      <c r="FN166" s="424">
        <f t="shared" si="91"/>
        <v>2899</v>
      </c>
      <c r="FO166" s="425">
        <f t="shared" si="92"/>
        <v>3067</v>
      </c>
    </row>
    <row r="167" spans="1:171">
      <c r="A167" s="427" t="s">
        <v>158</v>
      </c>
      <c r="B167" s="57" t="s">
        <v>689</v>
      </c>
      <c r="C167" s="56"/>
      <c r="D167" s="55">
        <v>157951</v>
      </c>
      <c r="E167" s="55">
        <v>3</v>
      </c>
      <c r="F167" s="419">
        <v>329</v>
      </c>
      <c r="G167" s="421">
        <v>350</v>
      </c>
      <c r="H167" s="419"/>
      <c r="I167" s="421"/>
      <c r="J167" s="419">
        <v>208</v>
      </c>
      <c r="K167" s="421">
        <v>164</v>
      </c>
      <c r="L167" s="422">
        <f t="shared" si="71"/>
        <v>6.9705093833780166E-2</v>
      </c>
      <c r="M167" s="423">
        <f t="shared" si="72"/>
        <v>5.391190006574622E-2</v>
      </c>
      <c r="N167" s="419">
        <v>2984</v>
      </c>
      <c r="O167" s="309">
        <f>0</f>
        <v>0</v>
      </c>
      <c r="P167" s="309">
        <f>0</f>
        <v>0</v>
      </c>
      <c r="Q167" s="309">
        <f>0</f>
        <v>0</v>
      </c>
      <c r="R167" s="424">
        <f t="shared" si="69"/>
        <v>0</v>
      </c>
      <c r="S167" s="421">
        <v>3042</v>
      </c>
      <c r="T167" s="301">
        <f>0</f>
        <v>0</v>
      </c>
      <c r="U167" s="301">
        <f>0</f>
        <v>0</v>
      </c>
      <c r="V167" s="301">
        <f>0</f>
        <v>0</v>
      </c>
      <c r="W167" s="425">
        <f t="shared" si="70"/>
        <v>0</v>
      </c>
      <c r="X167" s="419"/>
      <c r="Y167" s="419"/>
      <c r="Z167" s="421"/>
      <c r="AA167" s="421"/>
      <c r="AB167" s="419"/>
      <c r="AC167" s="419"/>
      <c r="AD167" s="421"/>
      <c r="AE167" s="421"/>
      <c r="AF167" s="419"/>
      <c r="AG167" s="419"/>
      <c r="AH167" s="421"/>
      <c r="AI167" s="421"/>
      <c r="AJ167" s="419"/>
      <c r="AK167" s="419"/>
      <c r="AL167" s="421"/>
      <c r="AM167" s="421"/>
      <c r="AN167" s="419"/>
      <c r="AO167" s="419"/>
      <c r="AP167" s="421"/>
      <c r="AQ167" s="421"/>
      <c r="AR167" s="424">
        <f t="shared" si="73"/>
        <v>0</v>
      </c>
      <c r="AS167" s="422">
        <f t="shared" si="74"/>
        <v>0.66193433895297249</v>
      </c>
      <c r="AT167" s="425">
        <f t="shared" si="75"/>
        <v>0</v>
      </c>
      <c r="AU167" s="423">
        <f t="shared" si="76"/>
        <v>0.66491803278688522</v>
      </c>
      <c r="AV167" s="419">
        <v>141</v>
      </c>
      <c r="AW167" s="421">
        <v>151</v>
      </c>
      <c r="AX167" s="419">
        <v>52</v>
      </c>
      <c r="AY167" s="419">
        <v>180</v>
      </c>
      <c r="AZ167" s="421">
        <v>52</v>
      </c>
      <c r="BA167" s="421">
        <v>190</v>
      </c>
      <c r="BB167" s="419">
        <v>51</v>
      </c>
      <c r="BC167" s="419">
        <v>129</v>
      </c>
      <c r="BD167" s="421">
        <v>51</v>
      </c>
      <c r="BE167" s="421">
        <v>144</v>
      </c>
      <c r="BF167" s="419">
        <v>13</v>
      </c>
      <c r="BG167" s="419">
        <v>120</v>
      </c>
      <c r="BH167" s="421">
        <v>13</v>
      </c>
      <c r="BI167" s="421">
        <v>120</v>
      </c>
      <c r="BJ167" s="419">
        <v>44</v>
      </c>
      <c r="BK167" s="419">
        <v>67</v>
      </c>
      <c r="BL167" s="421">
        <v>44</v>
      </c>
      <c r="BM167" s="421">
        <v>70</v>
      </c>
      <c r="BN167" s="419">
        <v>31</v>
      </c>
      <c r="BO167" s="419">
        <v>66</v>
      </c>
      <c r="BP167" s="421">
        <v>31</v>
      </c>
      <c r="BQ167" s="421">
        <v>66</v>
      </c>
      <c r="BR167" s="419">
        <v>42</v>
      </c>
      <c r="BS167" s="419">
        <v>45</v>
      </c>
      <c r="BT167" s="421">
        <v>42</v>
      </c>
      <c r="BU167" s="421">
        <v>52</v>
      </c>
      <c r="BV167" s="419">
        <v>25</v>
      </c>
      <c r="BW167" s="419">
        <v>24</v>
      </c>
      <c r="BX167" s="421">
        <v>45</v>
      </c>
      <c r="BY167" s="421">
        <v>31</v>
      </c>
      <c r="BZ167" s="419">
        <v>45</v>
      </c>
      <c r="CA167" s="419">
        <v>23</v>
      </c>
      <c r="CB167" s="421">
        <v>25</v>
      </c>
      <c r="CC167" s="421">
        <v>29</v>
      </c>
      <c r="CD167" s="419">
        <v>1</v>
      </c>
      <c r="CE167" s="419">
        <v>20</v>
      </c>
      <c r="CF167" s="421">
        <v>26</v>
      </c>
      <c r="CG167" s="421">
        <v>22</v>
      </c>
      <c r="CH167" s="419">
        <v>23</v>
      </c>
      <c r="CI167" s="419">
        <v>16</v>
      </c>
      <c r="CJ167" s="421">
        <v>27</v>
      </c>
      <c r="CK167" s="420">
        <v>11</v>
      </c>
      <c r="CL167" s="419">
        <v>84</v>
      </c>
      <c r="CM167" s="421">
        <v>69</v>
      </c>
      <c r="CN167" s="424">
        <f t="shared" si="77"/>
        <v>774</v>
      </c>
      <c r="CO167" s="424">
        <f t="shared" si="78"/>
        <v>10</v>
      </c>
      <c r="CP167" s="425">
        <f t="shared" si="79"/>
        <v>804</v>
      </c>
      <c r="CQ167" s="425">
        <f t="shared" si="80"/>
        <v>10</v>
      </c>
      <c r="CR167" s="419"/>
      <c r="CS167" s="419"/>
      <c r="CT167" s="421"/>
      <c r="CU167" s="421"/>
      <c r="CV167" s="419"/>
      <c r="CW167" s="419"/>
      <c r="CX167" s="421"/>
      <c r="CY167" s="421"/>
      <c r="CZ167" s="419"/>
      <c r="DA167" s="419"/>
      <c r="DB167" s="421"/>
      <c r="DC167" s="421"/>
      <c r="DD167" s="419"/>
      <c r="DE167" s="419"/>
      <c r="DF167" s="421"/>
      <c r="DG167" s="421"/>
      <c r="DH167" s="419"/>
      <c r="DI167" s="419"/>
      <c r="DJ167" s="421"/>
      <c r="DK167" s="421"/>
      <c r="DL167" s="419"/>
      <c r="DM167" s="419"/>
      <c r="DN167" s="421"/>
      <c r="DO167" s="421"/>
      <c r="DP167" s="419"/>
      <c r="DQ167" s="419"/>
      <c r="DR167" s="421"/>
      <c r="DS167" s="421"/>
      <c r="DT167" s="419"/>
      <c r="DU167" s="419"/>
      <c r="DV167" s="421"/>
      <c r="DW167" s="421"/>
      <c r="DX167" s="419"/>
      <c r="DY167" s="419"/>
      <c r="DZ167" s="421"/>
      <c r="EA167" s="421"/>
      <c r="EB167" s="419"/>
      <c r="EC167" s="419"/>
      <c r="ED167" s="421"/>
      <c r="EE167" s="421"/>
      <c r="EF167" s="419"/>
      <c r="EG167" s="421"/>
      <c r="EH167" s="424">
        <f t="shared" si="81"/>
        <v>0</v>
      </c>
      <c r="EI167" s="424">
        <f t="shared" si="82"/>
        <v>0</v>
      </c>
      <c r="EJ167" s="422">
        <f t="shared" si="83"/>
        <v>0</v>
      </c>
      <c r="EK167" s="425">
        <f t="shared" si="84"/>
        <v>0</v>
      </c>
      <c r="EL167" s="425">
        <f t="shared" si="85"/>
        <v>0</v>
      </c>
      <c r="EM167" s="423">
        <f t="shared" si="86"/>
        <v>0</v>
      </c>
      <c r="EN167" s="424">
        <f t="shared" si="87"/>
        <v>774</v>
      </c>
      <c r="EO167" s="425">
        <f t="shared" si="88"/>
        <v>804</v>
      </c>
      <c r="EP167" s="419"/>
      <c r="EQ167" s="421"/>
      <c r="ER167" s="419"/>
      <c r="ES167" s="421"/>
      <c r="ET167" s="419"/>
      <c r="EU167" s="421"/>
      <c r="EV167" s="419"/>
      <c r="EW167" s="421"/>
      <c r="EX167" s="419"/>
      <c r="EY167" s="421"/>
      <c r="EZ167" s="419"/>
      <c r="FA167" s="421"/>
      <c r="FB167" s="419"/>
      <c r="FC167" s="421"/>
      <c r="FD167" s="419"/>
      <c r="FE167" s="421"/>
      <c r="FF167" s="419"/>
      <c r="FG167" s="421"/>
      <c r="FH167" s="419">
        <v>60</v>
      </c>
      <c r="FI167" s="421">
        <v>49</v>
      </c>
      <c r="FJ167" s="424">
        <f t="shared" si="89"/>
        <v>60</v>
      </c>
      <c r="FK167" s="425">
        <f t="shared" si="90"/>
        <v>49</v>
      </c>
      <c r="FL167" s="419">
        <v>12</v>
      </c>
      <c r="FM167" s="421">
        <v>15</v>
      </c>
      <c r="FN167" s="424">
        <f t="shared" si="91"/>
        <v>4508</v>
      </c>
      <c r="FO167" s="425">
        <f t="shared" si="92"/>
        <v>4575</v>
      </c>
    </row>
    <row r="168" spans="1:171">
      <c r="A168" s="427" t="s">
        <v>158</v>
      </c>
      <c r="B168" s="57" t="s">
        <v>690</v>
      </c>
      <c r="C168" s="56" t="s">
        <v>1210</v>
      </c>
      <c r="D168" s="55">
        <v>157058</v>
      </c>
      <c r="E168" s="116">
        <v>4</v>
      </c>
      <c r="F168" s="419">
        <v>5</v>
      </c>
      <c r="G168" s="421">
        <v>6</v>
      </c>
      <c r="H168" s="419"/>
      <c r="I168" s="421"/>
      <c r="J168" s="419">
        <v>32</v>
      </c>
      <c r="K168" s="421">
        <v>32</v>
      </c>
      <c r="L168" s="422">
        <f t="shared" si="71"/>
        <v>0.15094339622641509</v>
      </c>
      <c r="M168" s="423">
        <f t="shared" si="72"/>
        <v>0.23357664233576642</v>
      </c>
      <c r="N168" s="419">
        <v>212</v>
      </c>
      <c r="O168" s="309">
        <f>0</f>
        <v>0</v>
      </c>
      <c r="P168" s="309">
        <f>0</f>
        <v>0</v>
      </c>
      <c r="Q168" s="309">
        <f>0</f>
        <v>0</v>
      </c>
      <c r="R168" s="424">
        <f t="shared" si="69"/>
        <v>0</v>
      </c>
      <c r="S168" s="421">
        <v>137</v>
      </c>
      <c r="T168" s="301">
        <f>0</f>
        <v>0</v>
      </c>
      <c r="U168" s="301">
        <f>0</f>
        <v>0</v>
      </c>
      <c r="V168" s="301">
        <f>0</f>
        <v>0</v>
      </c>
      <c r="W168" s="425">
        <f t="shared" si="70"/>
        <v>0</v>
      </c>
      <c r="X168" s="419"/>
      <c r="Y168" s="419"/>
      <c r="Z168" s="421"/>
      <c r="AA168" s="421"/>
      <c r="AB168" s="419"/>
      <c r="AC168" s="419"/>
      <c r="AD168" s="421"/>
      <c r="AE168" s="421"/>
      <c r="AF168" s="419"/>
      <c r="AG168" s="419"/>
      <c r="AH168" s="421"/>
      <c r="AI168" s="421"/>
      <c r="AJ168" s="419"/>
      <c r="AK168" s="419"/>
      <c r="AL168" s="421"/>
      <c r="AM168" s="421"/>
      <c r="AN168" s="419"/>
      <c r="AO168" s="419"/>
      <c r="AP168" s="421"/>
      <c r="AQ168" s="421"/>
      <c r="AR168" s="424">
        <f t="shared" si="73"/>
        <v>0</v>
      </c>
      <c r="AS168" s="422">
        <f t="shared" si="74"/>
        <v>0.70666666666666667</v>
      </c>
      <c r="AT168" s="425">
        <f t="shared" si="75"/>
        <v>0</v>
      </c>
      <c r="AU168" s="423">
        <f t="shared" si="76"/>
        <v>0.66829268292682931</v>
      </c>
      <c r="AV168" s="419"/>
      <c r="AW168" s="421"/>
      <c r="AX168" s="419">
        <v>3</v>
      </c>
      <c r="AY168" s="419">
        <v>14</v>
      </c>
      <c r="AZ168" s="421">
        <v>11</v>
      </c>
      <c r="BA168" s="420">
        <v>7</v>
      </c>
      <c r="BB168" s="419">
        <v>1</v>
      </c>
      <c r="BC168" s="419">
        <v>11</v>
      </c>
      <c r="BD168" s="421">
        <v>3</v>
      </c>
      <c r="BE168" s="420">
        <v>6</v>
      </c>
      <c r="BF168" s="419">
        <v>44</v>
      </c>
      <c r="BG168" s="419">
        <v>10</v>
      </c>
      <c r="BH168" s="421">
        <v>1</v>
      </c>
      <c r="BI168" s="420">
        <v>4</v>
      </c>
      <c r="BJ168" s="419">
        <v>11</v>
      </c>
      <c r="BK168" s="419">
        <v>6</v>
      </c>
      <c r="BL168" s="421">
        <v>44</v>
      </c>
      <c r="BM168" s="421">
        <v>4</v>
      </c>
      <c r="BN168" s="419">
        <v>52</v>
      </c>
      <c r="BO168" s="419">
        <v>6</v>
      </c>
      <c r="BP168" s="421">
        <v>52</v>
      </c>
      <c r="BQ168" s="420">
        <v>4</v>
      </c>
      <c r="BR168" s="419">
        <v>13</v>
      </c>
      <c r="BS168" s="419">
        <v>2</v>
      </c>
      <c r="BT168" s="421">
        <v>13</v>
      </c>
      <c r="BU168" s="421">
        <v>2</v>
      </c>
      <c r="BV168" s="419"/>
      <c r="BW168" s="419"/>
      <c r="BX168" s="420">
        <v>42</v>
      </c>
      <c r="BY168" s="420">
        <v>1</v>
      </c>
      <c r="BZ168" s="419"/>
      <c r="CA168" s="419"/>
      <c r="CB168" s="421"/>
      <c r="CC168" s="421"/>
      <c r="CD168" s="419"/>
      <c r="CE168" s="419"/>
      <c r="CF168" s="421"/>
      <c r="CG168" s="421"/>
      <c r="CH168" s="419"/>
      <c r="CI168" s="419"/>
      <c r="CJ168" s="421"/>
      <c r="CK168" s="421"/>
      <c r="CL168" s="419"/>
      <c r="CM168" s="421"/>
      <c r="CN168" s="424">
        <f t="shared" si="77"/>
        <v>49</v>
      </c>
      <c r="CO168" s="424">
        <f t="shared" si="78"/>
        <v>6</v>
      </c>
      <c r="CP168" s="425">
        <f t="shared" si="79"/>
        <v>28</v>
      </c>
      <c r="CQ168" s="425">
        <f t="shared" si="80"/>
        <v>7</v>
      </c>
      <c r="CR168" s="419"/>
      <c r="CS168" s="419"/>
      <c r="CT168" s="421"/>
      <c r="CU168" s="421"/>
      <c r="CV168" s="419"/>
      <c r="CW168" s="419"/>
      <c r="CX168" s="421"/>
      <c r="CY168" s="421"/>
      <c r="CZ168" s="419"/>
      <c r="DA168" s="419"/>
      <c r="DB168" s="421"/>
      <c r="DC168" s="421"/>
      <c r="DD168" s="419"/>
      <c r="DE168" s="419"/>
      <c r="DF168" s="421"/>
      <c r="DG168" s="421"/>
      <c r="DH168" s="419"/>
      <c r="DI168" s="419"/>
      <c r="DJ168" s="421"/>
      <c r="DK168" s="421"/>
      <c r="DL168" s="419"/>
      <c r="DM168" s="419"/>
      <c r="DN168" s="421"/>
      <c r="DO168" s="421"/>
      <c r="DP168" s="419"/>
      <c r="DQ168" s="419"/>
      <c r="DR168" s="421"/>
      <c r="DS168" s="421"/>
      <c r="DT168" s="419"/>
      <c r="DU168" s="419"/>
      <c r="DV168" s="421"/>
      <c r="DW168" s="421"/>
      <c r="DX168" s="419"/>
      <c r="DY168" s="419"/>
      <c r="DZ168" s="421"/>
      <c r="EA168" s="421"/>
      <c r="EB168" s="419"/>
      <c r="EC168" s="419"/>
      <c r="ED168" s="421"/>
      <c r="EE168" s="421"/>
      <c r="EF168" s="419"/>
      <c r="EG168" s="421"/>
      <c r="EH168" s="424">
        <f t="shared" si="81"/>
        <v>0</v>
      </c>
      <c r="EI168" s="424">
        <f t="shared" si="82"/>
        <v>0</v>
      </c>
      <c r="EJ168" s="422">
        <f t="shared" si="83"/>
        <v>0</v>
      </c>
      <c r="EK168" s="425">
        <f t="shared" si="84"/>
        <v>0</v>
      </c>
      <c r="EL168" s="425">
        <f t="shared" si="85"/>
        <v>0</v>
      </c>
      <c r="EM168" s="423">
        <f t="shared" si="86"/>
        <v>0</v>
      </c>
      <c r="EN168" s="424">
        <f t="shared" si="87"/>
        <v>49</v>
      </c>
      <c r="EO168" s="425">
        <f t="shared" si="88"/>
        <v>28</v>
      </c>
      <c r="EP168" s="419"/>
      <c r="EQ168" s="421"/>
      <c r="ER168" s="419"/>
      <c r="ES168" s="421"/>
      <c r="ET168" s="419"/>
      <c r="EU168" s="421"/>
      <c r="EV168" s="419"/>
      <c r="EW168" s="421"/>
      <c r="EX168" s="419"/>
      <c r="EY168" s="421"/>
      <c r="EZ168" s="419"/>
      <c r="FA168" s="421"/>
      <c r="FB168" s="419"/>
      <c r="FC168" s="421"/>
      <c r="FD168" s="419"/>
      <c r="FE168" s="421"/>
      <c r="FF168" s="419"/>
      <c r="FG168" s="421"/>
      <c r="FH168" s="419">
        <v>2</v>
      </c>
      <c r="FI168" s="421">
        <v>2</v>
      </c>
      <c r="FJ168" s="424">
        <f t="shared" si="89"/>
        <v>2</v>
      </c>
      <c r="FK168" s="425">
        <f t="shared" si="90"/>
        <v>2</v>
      </c>
      <c r="FL168" s="419"/>
      <c r="FM168" s="421"/>
      <c r="FN168" s="424">
        <f t="shared" si="91"/>
        <v>300</v>
      </c>
      <c r="FO168" s="425">
        <f t="shared" si="92"/>
        <v>205</v>
      </c>
    </row>
    <row r="169" spans="1:171">
      <c r="A169" s="427" t="s">
        <v>158</v>
      </c>
      <c r="B169" s="57" t="s">
        <v>691</v>
      </c>
      <c r="C169" s="56" t="s">
        <v>1160</v>
      </c>
      <c r="D169" s="454">
        <v>156392</v>
      </c>
      <c r="E169" s="116">
        <v>8</v>
      </c>
      <c r="F169" s="419">
        <v>2881</v>
      </c>
      <c r="G169" s="452">
        <v>3239</v>
      </c>
      <c r="H169" s="419"/>
      <c r="I169" s="421"/>
      <c r="J169" s="419">
        <v>1298</v>
      </c>
      <c r="K169" s="455">
        <v>1245</v>
      </c>
      <c r="L169" s="422">
        <f t="shared" si="71"/>
        <v>0</v>
      </c>
      <c r="M169" s="423">
        <f t="shared" si="72"/>
        <v>0</v>
      </c>
      <c r="N169" s="419"/>
      <c r="O169" s="309">
        <f>0</f>
        <v>0</v>
      </c>
      <c r="P169" s="309">
        <f>0</f>
        <v>0</v>
      </c>
      <c r="Q169" s="309">
        <f>0</f>
        <v>0</v>
      </c>
      <c r="R169" s="424">
        <f t="shared" si="69"/>
        <v>0</v>
      </c>
      <c r="S169" s="421"/>
      <c r="T169" s="301">
        <f>0</f>
        <v>0</v>
      </c>
      <c r="U169" s="301">
        <f>0</f>
        <v>0</v>
      </c>
      <c r="V169" s="301">
        <f>0</f>
        <v>0</v>
      </c>
      <c r="W169" s="425">
        <f t="shared" si="70"/>
        <v>0</v>
      </c>
      <c r="X169" s="419"/>
      <c r="Y169" s="419"/>
      <c r="Z169" s="421"/>
      <c r="AA169" s="421"/>
      <c r="AB169" s="419"/>
      <c r="AC169" s="419"/>
      <c r="AD169" s="421"/>
      <c r="AE169" s="421"/>
      <c r="AF169" s="419"/>
      <c r="AG169" s="419"/>
      <c r="AH169" s="421"/>
      <c r="AI169" s="421"/>
      <c r="AJ169" s="419"/>
      <c r="AK169" s="419"/>
      <c r="AL169" s="421"/>
      <c r="AM169" s="421"/>
      <c r="AN169" s="419"/>
      <c r="AO169" s="419"/>
      <c r="AP169" s="421"/>
      <c r="AQ169" s="421"/>
      <c r="AR169" s="424">
        <f t="shared" si="73"/>
        <v>0</v>
      </c>
      <c r="AS169" s="422">
        <f t="shared" si="74"/>
        <v>0</v>
      </c>
      <c r="AT169" s="425">
        <f t="shared" si="75"/>
        <v>0</v>
      </c>
      <c r="AU169" s="423">
        <f t="shared" si="76"/>
        <v>0</v>
      </c>
      <c r="AV169" s="419"/>
      <c r="AW169" s="421"/>
      <c r="AX169" s="419"/>
      <c r="AY169" s="419"/>
      <c r="AZ169" s="421"/>
      <c r="BA169" s="421"/>
      <c r="BB169" s="419"/>
      <c r="BC169" s="419"/>
      <c r="BD169" s="421"/>
      <c r="BE169" s="421"/>
      <c r="BF169" s="419"/>
      <c r="BG169" s="419"/>
      <c r="BH169" s="421"/>
      <c r="BI169" s="421"/>
      <c r="BJ169" s="419"/>
      <c r="BK169" s="419"/>
      <c r="BL169" s="421"/>
      <c r="BM169" s="421"/>
      <c r="BN169" s="419"/>
      <c r="BO169" s="419"/>
      <c r="BP169" s="421"/>
      <c r="BQ169" s="421"/>
      <c r="BR169" s="419"/>
      <c r="BS169" s="419"/>
      <c r="BT169" s="421"/>
      <c r="BU169" s="421"/>
      <c r="BV169" s="419"/>
      <c r="BW169" s="419"/>
      <c r="BX169" s="421"/>
      <c r="BY169" s="421"/>
      <c r="BZ169" s="419"/>
      <c r="CA169" s="419"/>
      <c r="CB169" s="421"/>
      <c r="CC169" s="421"/>
      <c r="CD169" s="419"/>
      <c r="CE169" s="419"/>
      <c r="CF169" s="421"/>
      <c r="CG169" s="421"/>
      <c r="CH169" s="419"/>
      <c r="CI169" s="419"/>
      <c r="CJ169" s="421"/>
      <c r="CK169" s="421"/>
      <c r="CL169" s="419"/>
      <c r="CM169" s="421"/>
      <c r="CN169" s="424">
        <f t="shared" si="77"/>
        <v>0</v>
      </c>
      <c r="CO169" s="424">
        <f t="shared" si="78"/>
        <v>0</v>
      </c>
      <c r="CP169" s="425">
        <f t="shared" si="79"/>
        <v>0</v>
      </c>
      <c r="CQ169" s="425">
        <f t="shared" si="80"/>
        <v>0</v>
      </c>
      <c r="CR169" s="419"/>
      <c r="CS169" s="419"/>
      <c r="CT169" s="421"/>
      <c r="CU169" s="421"/>
      <c r="CV169" s="419"/>
      <c r="CW169" s="419"/>
      <c r="CX169" s="421"/>
      <c r="CY169" s="421"/>
      <c r="CZ169" s="419"/>
      <c r="DA169" s="419"/>
      <c r="DB169" s="421"/>
      <c r="DC169" s="421"/>
      <c r="DD169" s="419"/>
      <c r="DE169" s="419"/>
      <c r="DF169" s="421"/>
      <c r="DG169" s="421"/>
      <c r="DH169" s="419"/>
      <c r="DI169" s="419"/>
      <c r="DJ169" s="421"/>
      <c r="DK169" s="421"/>
      <c r="DL169" s="419"/>
      <c r="DM169" s="419"/>
      <c r="DN169" s="421"/>
      <c r="DO169" s="421"/>
      <c r="DP169" s="419"/>
      <c r="DQ169" s="419"/>
      <c r="DR169" s="421"/>
      <c r="DS169" s="421"/>
      <c r="DT169" s="419"/>
      <c r="DU169" s="419"/>
      <c r="DV169" s="421"/>
      <c r="DW169" s="421"/>
      <c r="DX169" s="419"/>
      <c r="DY169" s="419"/>
      <c r="DZ169" s="421"/>
      <c r="EA169" s="421"/>
      <c r="EB169" s="419"/>
      <c r="EC169" s="419"/>
      <c r="ED169" s="421"/>
      <c r="EE169" s="421"/>
      <c r="EF169" s="419"/>
      <c r="EG169" s="421"/>
      <c r="EH169" s="424">
        <f t="shared" si="81"/>
        <v>0</v>
      </c>
      <c r="EI169" s="424">
        <f t="shared" si="82"/>
        <v>0</v>
      </c>
      <c r="EJ169" s="422">
        <f t="shared" si="83"/>
        <v>0</v>
      </c>
      <c r="EK169" s="425">
        <f t="shared" si="84"/>
        <v>0</v>
      </c>
      <c r="EL169" s="425">
        <f t="shared" si="85"/>
        <v>0</v>
      </c>
      <c r="EM169" s="423">
        <f t="shared" si="86"/>
        <v>0</v>
      </c>
      <c r="EN169" s="424">
        <f t="shared" si="87"/>
        <v>0</v>
      </c>
      <c r="EO169" s="425">
        <f t="shared" si="88"/>
        <v>0</v>
      </c>
      <c r="EP169" s="419"/>
      <c r="EQ169" s="421"/>
      <c r="ER169" s="419"/>
      <c r="ES169" s="421"/>
      <c r="ET169" s="419"/>
      <c r="EU169" s="421"/>
      <c r="EV169" s="419"/>
      <c r="EW169" s="421"/>
      <c r="EX169" s="419"/>
      <c r="EY169" s="421"/>
      <c r="EZ169" s="419"/>
      <c r="FA169" s="421"/>
      <c r="FB169" s="419"/>
      <c r="FC169" s="421"/>
      <c r="FD169" s="419"/>
      <c r="FE169" s="421"/>
      <c r="FF169" s="419"/>
      <c r="FG169" s="421"/>
      <c r="FH169" s="419"/>
      <c r="FI169" s="421"/>
      <c r="FJ169" s="424">
        <f t="shared" si="89"/>
        <v>0</v>
      </c>
      <c r="FK169" s="425">
        <f t="shared" si="90"/>
        <v>0</v>
      </c>
      <c r="FL169" s="419"/>
      <c r="FM169" s="421"/>
      <c r="FN169" s="424">
        <f t="shared" si="91"/>
        <v>4179</v>
      </c>
      <c r="FO169" s="425">
        <f t="shared" si="92"/>
        <v>4484</v>
      </c>
    </row>
    <row r="170" spans="1:171">
      <c r="A170" s="427" t="s">
        <v>158</v>
      </c>
      <c r="B170" s="57" t="s">
        <v>692</v>
      </c>
      <c r="C170" s="56"/>
      <c r="D170" s="55">
        <v>156921</v>
      </c>
      <c r="E170" s="116">
        <v>8</v>
      </c>
      <c r="F170" s="419">
        <v>2975</v>
      </c>
      <c r="G170" s="452">
        <v>3362</v>
      </c>
      <c r="H170" s="419"/>
      <c r="I170" s="421"/>
      <c r="J170" s="419">
        <v>1429</v>
      </c>
      <c r="K170" s="455">
        <v>1369</v>
      </c>
      <c r="L170" s="422">
        <f t="shared" si="71"/>
        <v>0</v>
      </c>
      <c r="M170" s="423">
        <f t="shared" si="72"/>
        <v>0</v>
      </c>
      <c r="N170" s="419"/>
      <c r="O170" s="309">
        <f>0</f>
        <v>0</v>
      </c>
      <c r="P170" s="309">
        <f>0</f>
        <v>0</v>
      </c>
      <c r="Q170" s="309">
        <f>0</f>
        <v>0</v>
      </c>
      <c r="R170" s="424">
        <f t="shared" si="69"/>
        <v>0</v>
      </c>
      <c r="S170" s="421"/>
      <c r="T170" s="301">
        <f>0</f>
        <v>0</v>
      </c>
      <c r="U170" s="301">
        <f>0</f>
        <v>0</v>
      </c>
      <c r="V170" s="301">
        <f>0</f>
        <v>0</v>
      </c>
      <c r="W170" s="425">
        <f t="shared" si="70"/>
        <v>0</v>
      </c>
      <c r="X170" s="419"/>
      <c r="Y170" s="419"/>
      <c r="Z170" s="421"/>
      <c r="AA170" s="421"/>
      <c r="AB170" s="419"/>
      <c r="AC170" s="419"/>
      <c r="AD170" s="421"/>
      <c r="AE170" s="421"/>
      <c r="AF170" s="419"/>
      <c r="AG170" s="419"/>
      <c r="AH170" s="421"/>
      <c r="AI170" s="421"/>
      <c r="AJ170" s="419"/>
      <c r="AK170" s="419"/>
      <c r="AL170" s="421"/>
      <c r="AM170" s="421"/>
      <c r="AN170" s="419"/>
      <c r="AO170" s="419"/>
      <c r="AP170" s="421"/>
      <c r="AQ170" s="421"/>
      <c r="AR170" s="424">
        <f t="shared" si="73"/>
        <v>0</v>
      </c>
      <c r="AS170" s="422">
        <f t="shared" si="74"/>
        <v>0</v>
      </c>
      <c r="AT170" s="425">
        <f t="shared" si="75"/>
        <v>0</v>
      </c>
      <c r="AU170" s="423">
        <f t="shared" si="76"/>
        <v>0</v>
      </c>
      <c r="AV170" s="419"/>
      <c r="AW170" s="421"/>
      <c r="AX170" s="419"/>
      <c r="AY170" s="419"/>
      <c r="AZ170" s="421"/>
      <c r="BA170" s="421"/>
      <c r="BB170" s="419"/>
      <c r="BC170" s="419"/>
      <c r="BD170" s="421"/>
      <c r="BE170" s="421"/>
      <c r="BF170" s="419"/>
      <c r="BG170" s="419"/>
      <c r="BH170" s="421"/>
      <c r="BI170" s="421"/>
      <c r="BJ170" s="419"/>
      <c r="BK170" s="419"/>
      <c r="BL170" s="421"/>
      <c r="BM170" s="421"/>
      <c r="BN170" s="419"/>
      <c r="BO170" s="419"/>
      <c r="BP170" s="421"/>
      <c r="BQ170" s="421"/>
      <c r="BR170" s="419"/>
      <c r="BS170" s="419"/>
      <c r="BT170" s="421"/>
      <c r="BU170" s="421"/>
      <c r="BV170" s="419"/>
      <c r="BW170" s="419"/>
      <c r="BX170" s="421"/>
      <c r="BY170" s="421"/>
      <c r="BZ170" s="419"/>
      <c r="CA170" s="419"/>
      <c r="CB170" s="421"/>
      <c r="CC170" s="421"/>
      <c r="CD170" s="419"/>
      <c r="CE170" s="419"/>
      <c r="CF170" s="421"/>
      <c r="CG170" s="421"/>
      <c r="CH170" s="419"/>
      <c r="CI170" s="419"/>
      <c r="CJ170" s="421"/>
      <c r="CK170" s="421"/>
      <c r="CL170" s="419"/>
      <c r="CM170" s="421"/>
      <c r="CN170" s="424">
        <f t="shared" si="77"/>
        <v>0</v>
      </c>
      <c r="CO170" s="424">
        <f t="shared" si="78"/>
        <v>0</v>
      </c>
      <c r="CP170" s="425">
        <f t="shared" si="79"/>
        <v>0</v>
      </c>
      <c r="CQ170" s="425">
        <f t="shared" si="80"/>
        <v>0</v>
      </c>
      <c r="CR170" s="419"/>
      <c r="CS170" s="419"/>
      <c r="CT170" s="421"/>
      <c r="CU170" s="421"/>
      <c r="CV170" s="419"/>
      <c r="CW170" s="419"/>
      <c r="CX170" s="421"/>
      <c r="CY170" s="421"/>
      <c r="CZ170" s="419"/>
      <c r="DA170" s="419"/>
      <c r="DB170" s="421"/>
      <c r="DC170" s="421"/>
      <c r="DD170" s="419"/>
      <c r="DE170" s="419"/>
      <c r="DF170" s="421"/>
      <c r="DG170" s="421"/>
      <c r="DH170" s="419"/>
      <c r="DI170" s="419"/>
      <c r="DJ170" s="421"/>
      <c r="DK170" s="421"/>
      <c r="DL170" s="419"/>
      <c r="DM170" s="419"/>
      <c r="DN170" s="421"/>
      <c r="DO170" s="421"/>
      <c r="DP170" s="419"/>
      <c r="DQ170" s="419"/>
      <c r="DR170" s="421"/>
      <c r="DS170" s="421"/>
      <c r="DT170" s="419"/>
      <c r="DU170" s="419"/>
      <c r="DV170" s="421"/>
      <c r="DW170" s="421"/>
      <c r="DX170" s="419"/>
      <c r="DY170" s="419"/>
      <c r="DZ170" s="421"/>
      <c r="EA170" s="421"/>
      <c r="EB170" s="419"/>
      <c r="EC170" s="419"/>
      <c r="ED170" s="421"/>
      <c r="EE170" s="421"/>
      <c r="EF170" s="419"/>
      <c r="EG170" s="421"/>
      <c r="EH170" s="424">
        <f t="shared" si="81"/>
        <v>0</v>
      </c>
      <c r="EI170" s="424">
        <f t="shared" si="82"/>
        <v>0</v>
      </c>
      <c r="EJ170" s="422">
        <f t="shared" si="83"/>
        <v>0</v>
      </c>
      <c r="EK170" s="425">
        <f t="shared" si="84"/>
        <v>0</v>
      </c>
      <c r="EL170" s="425">
        <f t="shared" si="85"/>
        <v>0</v>
      </c>
      <c r="EM170" s="423">
        <f t="shared" si="86"/>
        <v>0</v>
      </c>
      <c r="EN170" s="424">
        <f t="shared" si="87"/>
        <v>0</v>
      </c>
      <c r="EO170" s="425">
        <f t="shared" si="88"/>
        <v>0</v>
      </c>
      <c r="EP170" s="419"/>
      <c r="EQ170" s="421"/>
      <c r="ER170" s="419"/>
      <c r="ES170" s="421"/>
      <c r="ET170" s="419"/>
      <c r="EU170" s="421"/>
      <c r="EV170" s="419"/>
      <c r="EW170" s="421"/>
      <c r="EX170" s="419"/>
      <c r="EY170" s="421"/>
      <c r="EZ170" s="419"/>
      <c r="FA170" s="421"/>
      <c r="FB170" s="419"/>
      <c r="FC170" s="421"/>
      <c r="FD170" s="419"/>
      <c r="FE170" s="421"/>
      <c r="FF170" s="419"/>
      <c r="FG170" s="421"/>
      <c r="FH170" s="419"/>
      <c r="FI170" s="421"/>
      <c r="FJ170" s="424">
        <f t="shared" si="89"/>
        <v>0</v>
      </c>
      <c r="FK170" s="425">
        <f t="shared" si="90"/>
        <v>0</v>
      </c>
      <c r="FL170" s="419"/>
      <c r="FM170" s="421"/>
      <c r="FN170" s="424">
        <f t="shared" si="91"/>
        <v>4404</v>
      </c>
      <c r="FO170" s="425">
        <f t="shared" si="92"/>
        <v>4731</v>
      </c>
    </row>
    <row r="171" spans="1:171">
      <c r="A171" s="427" t="s">
        <v>158</v>
      </c>
      <c r="B171" s="57" t="s">
        <v>694</v>
      </c>
      <c r="C171" s="56" t="s">
        <v>1211</v>
      </c>
      <c r="D171" s="55">
        <v>157553</v>
      </c>
      <c r="E171" s="116">
        <v>9</v>
      </c>
      <c r="F171" s="419">
        <v>915</v>
      </c>
      <c r="G171" s="452">
        <v>944</v>
      </c>
      <c r="H171" s="419"/>
      <c r="I171" s="421"/>
      <c r="J171" s="419">
        <v>454</v>
      </c>
      <c r="K171" s="455">
        <v>436</v>
      </c>
      <c r="L171" s="422">
        <f t="shared" si="71"/>
        <v>0</v>
      </c>
      <c r="M171" s="423">
        <f t="shared" si="72"/>
        <v>0</v>
      </c>
      <c r="N171" s="419"/>
      <c r="O171" s="309">
        <f>0</f>
        <v>0</v>
      </c>
      <c r="P171" s="309">
        <f>0</f>
        <v>0</v>
      </c>
      <c r="Q171" s="309">
        <f>0</f>
        <v>0</v>
      </c>
      <c r="R171" s="424">
        <f t="shared" si="69"/>
        <v>0</v>
      </c>
      <c r="S171" s="421"/>
      <c r="T171" s="301">
        <f>0</f>
        <v>0</v>
      </c>
      <c r="U171" s="301">
        <f>0</f>
        <v>0</v>
      </c>
      <c r="V171" s="301">
        <f>0</f>
        <v>0</v>
      </c>
      <c r="W171" s="425">
        <f t="shared" si="70"/>
        <v>0</v>
      </c>
      <c r="X171" s="419"/>
      <c r="Y171" s="419"/>
      <c r="Z171" s="421"/>
      <c r="AA171" s="421"/>
      <c r="AB171" s="419"/>
      <c r="AC171" s="419"/>
      <c r="AD171" s="421"/>
      <c r="AE171" s="421"/>
      <c r="AF171" s="419"/>
      <c r="AG171" s="419"/>
      <c r="AH171" s="421"/>
      <c r="AI171" s="421"/>
      <c r="AJ171" s="419"/>
      <c r="AK171" s="419"/>
      <c r="AL171" s="421"/>
      <c r="AM171" s="421"/>
      <c r="AN171" s="419"/>
      <c r="AO171" s="419"/>
      <c r="AP171" s="421"/>
      <c r="AQ171" s="421"/>
      <c r="AR171" s="424">
        <f t="shared" si="73"/>
        <v>0</v>
      </c>
      <c r="AS171" s="422">
        <f t="shared" si="74"/>
        <v>0</v>
      </c>
      <c r="AT171" s="425">
        <f t="shared" si="75"/>
        <v>0</v>
      </c>
      <c r="AU171" s="423">
        <f t="shared" si="76"/>
        <v>0</v>
      </c>
      <c r="AV171" s="419"/>
      <c r="AW171" s="421"/>
      <c r="AX171" s="419"/>
      <c r="AY171" s="419"/>
      <c r="AZ171" s="421"/>
      <c r="BA171" s="421"/>
      <c r="BB171" s="419"/>
      <c r="BC171" s="419"/>
      <c r="BD171" s="421"/>
      <c r="BE171" s="421"/>
      <c r="BF171" s="419"/>
      <c r="BG171" s="419"/>
      <c r="BH171" s="421"/>
      <c r="BI171" s="421"/>
      <c r="BJ171" s="419"/>
      <c r="BK171" s="419"/>
      <c r="BL171" s="421"/>
      <c r="BM171" s="421"/>
      <c r="BN171" s="419"/>
      <c r="BO171" s="419"/>
      <c r="BP171" s="421"/>
      <c r="BQ171" s="421"/>
      <c r="BR171" s="419"/>
      <c r="BS171" s="419"/>
      <c r="BT171" s="421"/>
      <c r="BU171" s="421"/>
      <c r="BV171" s="419"/>
      <c r="BW171" s="419"/>
      <c r="BX171" s="421"/>
      <c r="BY171" s="421"/>
      <c r="BZ171" s="419"/>
      <c r="CA171" s="419"/>
      <c r="CB171" s="421"/>
      <c r="CC171" s="421"/>
      <c r="CD171" s="419"/>
      <c r="CE171" s="419"/>
      <c r="CF171" s="421"/>
      <c r="CG171" s="421"/>
      <c r="CH171" s="419"/>
      <c r="CI171" s="419"/>
      <c r="CJ171" s="421"/>
      <c r="CK171" s="421"/>
      <c r="CL171" s="419"/>
      <c r="CM171" s="421"/>
      <c r="CN171" s="424">
        <f t="shared" si="77"/>
        <v>0</v>
      </c>
      <c r="CO171" s="424">
        <f t="shared" si="78"/>
        <v>0</v>
      </c>
      <c r="CP171" s="425">
        <f t="shared" si="79"/>
        <v>0</v>
      </c>
      <c r="CQ171" s="425">
        <f t="shared" si="80"/>
        <v>0</v>
      </c>
      <c r="CR171" s="419"/>
      <c r="CS171" s="419"/>
      <c r="CT171" s="421"/>
      <c r="CU171" s="421"/>
      <c r="CV171" s="419"/>
      <c r="CW171" s="419"/>
      <c r="CX171" s="421"/>
      <c r="CY171" s="421"/>
      <c r="CZ171" s="419"/>
      <c r="DA171" s="419"/>
      <c r="DB171" s="421"/>
      <c r="DC171" s="421"/>
      <c r="DD171" s="419"/>
      <c r="DE171" s="419"/>
      <c r="DF171" s="421"/>
      <c r="DG171" s="421"/>
      <c r="DH171" s="419"/>
      <c r="DI171" s="419"/>
      <c r="DJ171" s="421"/>
      <c r="DK171" s="421"/>
      <c r="DL171" s="419"/>
      <c r="DM171" s="419"/>
      <c r="DN171" s="421"/>
      <c r="DO171" s="421"/>
      <c r="DP171" s="419"/>
      <c r="DQ171" s="419"/>
      <c r="DR171" s="421"/>
      <c r="DS171" s="421"/>
      <c r="DT171" s="419"/>
      <c r="DU171" s="419"/>
      <c r="DV171" s="421"/>
      <c r="DW171" s="421"/>
      <c r="DX171" s="419"/>
      <c r="DY171" s="419"/>
      <c r="DZ171" s="421"/>
      <c r="EA171" s="421"/>
      <c r="EB171" s="419"/>
      <c r="EC171" s="419"/>
      <c r="ED171" s="421"/>
      <c r="EE171" s="421"/>
      <c r="EF171" s="419"/>
      <c r="EG171" s="421"/>
      <c r="EH171" s="424">
        <f t="shared" si="81"/>
        <v>0</v>
      </c>
      <c r="EI171" s="424">
        <f t="shared" si="82"/>
        <v>0</v>
      </c>
      <c r="EJ171" s="422">
        <f t="shared" si="83"/>
        <v>0</v>
      </c>
      <c r="EK171" s="425">
        <f t="shared" si="84"/>
        <v>0</v>
      </c>
      <c r="EL171" s="425">
        <f t="shared" si="85"/>
        <v>0</v>
      </c>
      <c r="EM171" s="423">
        <f t="shared" si="86"/>
        <v>0</v>
      </c>
      <c r="EN171" s="424">
        <f t="shared" si="87"/>
        <v>0</v>
      </c>
      <c r="EO171" s="425">
        <f t="shared" si="88"/>
        <v>0</v>
      </c>
      <c r="EP171" s="419"/>
      <c r="EQ171" s="421"/>
      <c r="ER171" s="419"/>
      <c r="ES171" s="421"/>
      <c r="ET171" s="419"/>
      <c r="EU171" s="421"/>
      <c r="EV171" s="419"/>
      <c r="EW171" s="421"/>
      <c r="EX171" s="419"/>
      <c r="EY171" s="421"/>
      <c r="EZ171" s="419"/>
      <c r="FA171" s="421"/>
      <c r="FB171" s="419"/>
      <c r="FC171" s="421"/>
      <c r="FD171" s="419"/>
      <c r="FE171" s="421"/>
      <c r="FF171" s="419"/>
      <c r="FG171" s="421"/>
      <c r="FH171" s="419"/>
      <c r="FI171" s="421"/>
      <c r="FJ171" s="424">
        <f t="shared" si="89"/>
        <v>0</v>
      </c>
      <c r="FK171" s="425">
        <f t="shared" si="90"/>
        <v>0</v>
      </c>
      <c r="FL171" s="419"/>
      <c r="FM171" s="421"/>
      <c r="FN171" s="424">
        <f t="shared" si="91"/>
        <v>1369</v>
      </c>
      <c r="FO171" s="425">
        <f t="shared" si="92"/>
        <v>1380</v>
      </c>
    </row>
    <row r="172" spans="1:171">
      <c r="A172" s="427" t="s">
        <v>158</v>
      </c>
      <c r="B172" s="57" t="s">
        <v>695</v>
      </c>
      <c r="C172" s="56"/>
      <c r="D172" s="55">
        <v>156648</v>
      </c>
      <c r="E172" s="116">
        <v>9</v>
      </c>
      <c r="F172" s="419">
        <v>2164</v>
      </c>
      <c r="G172" s="450">
        <v>2695</v>
      </c>
      <c r="H172" s="419"/>
      <c r="I172" s="421"/>
      <c r="J172" s="419">
        <v>688</v>
      </c>
      <c r="K172" s="455">
        <v>874</v>
      </c>
      <c r="L172" s="422">
        <f t="shared" si="71"/>
        <v>0</v>
      </c>
      <c r="M172" s="423">
        <f t="shared" si="72"/>
        <v>0</v>
      </c>
      <c r="N172" s="419"/>
      <c r="O172" s="309">
        <f>0</f>
        <v>0</v>
      </c>
      <c r="P172" s="309">
        <f>0</f>
        <v>0</v>
      </c>
      <c r="Q172" s="309">
        <f>0</f>
        <v>0</v>
      </c>
      <c r="R172" s="424">
        <f t="shared" si="69"/>
        <v>0</v>
      </c>
      <c r="S172" s="421"/>
      <c r="T172" s="301">
        <f>0</f>
        <v>0</v>
      </c>
      <c r="U172" s="301">
        <f>0</f>
        <v>0</v>
      </c>
      <c r="V172" s="301">
        <f>0</f>
        <v>0</v>
      </c>
      <c r="W172" s="425">
        <f t="shared" si="70"/>
        <v>0</v>
      </c>
      <c r="X172" s="419"/>
      <c r="Y172" s="419"/>
      <c r="Z172" s="421"/>
      <c r="AA172" s="421"/>
      <c r="AB172" s="419"/>
      <c r="AC172" s="419"/>
      <c r="AD172" s="421"/>
      <c r="AE172" s="421"/>
      <c r="AF172" s="419"/>
      <c r="AG172" s="419"/>
      <c r="AH172" s="421"/>
      <c r="AI172" s="421"/>
      <c r="AJ172" s="419"/>
      <c r="AK172" s="419"/>
      <c r="AL172" s="421"/>
      <c r="AM172" s="421"/>
      <c r="AN172" s="419"/>
      <c r="AO172" s="419"/>
      <c r="AP172" s="421"/>
      <c r="AQ172" s="421"/>
      <c r="AR172" s="424">
        <f t="shared" si="73"/>
        <v>0</v>
      </c>
      <c r="AS172" s="422">
        <f t="shared" si="74"/>
        <v>0</v>
      </c>
      <c r="AT172" s="425">
        <f t="shared" si="75"/>
        <v>0</v>
      </c>
      <c r="AU172" s="423">
        <f t="shared" si="76"/>
        <v>0</v>
      </c>
      <c r="AV172" s="419"/>
      <c r="AW172" s="421"/>
      <c r="AX172" s="419"/>
      <c r="AY172" s="419"/>
      <c r="AZ172" s="421"/>
      <c r="BA172" s="421"/>
      <c r="BB172" s="419"/>
      <c r="BC172" s="419"/>
      <c r="BD172" s="421"/>
      <c r="BE172" s="421"/>
      <c r="BF172" s="419"/>
      <c r="BG172" s="419"/>
      <c r="BH172" s="421"/>
      <c r="BI172" s="421"/>
      <c r="BJ172" s="419"/>
      <c r="BK172" s="419"/>
      <c r="BL172" s="421"/>
      <c r="BM172" s="421"/>
      <c r="BN172" s="419"/>
      <c r="BO172" s="419"/>
      <c r="BP172" s="421"/>
      <c r="BQ172" s="421"/>
      <c r="BR172" s="419"/>
      <c r="BS172" s="419"/>
      <c r="BT172" s="421"/>
      <c r="BU172" s="421"/>
      <c r="BV172" s="419"/>
      <c r="BW172" s="419"/>
      <c r="BX172" s="421"/>
      <c r="BY172" s="421"/>
      <c r="BZ172" s="419"/>
      <c r="CA172" s="419"/>
      <c r="CB172" s="421"/>
      <c r="CC172" s="421"/>
      <c r="CD172" s="419"/>
      <c r="CE172" s="419"/>
      <c r="CF172" s="421"/>
      <c r="CG172" s="421"/>
      <c r="CH172" s="419"/>
      <c r="CI172" s="419"/>
      <c r="CJ172" s="421"/>
      <c r="CK172" s="421"/>
      <c r="CL172" s="419"/>
      <c r="CM172" s="421"/>
      <c r="CN172" s="424">
        <f t="shared" si="77"/>
        <v>0</v>
      </c>
      <c r="CO172" s="424">
        <f t="shared" si="78"/>
        <v>0</v>
      </c>
      <c r="CP172" s="425">
        <f t="shared" si="79"/>
        <v>0</v>
      </c>
      <c r="CQ172" s="425">
        <f t="shared" si="80"/>
        <v>0</v>
      </c>
      <c r="CR172" s="419"/>
      <c r="CS172" s="419"/>
      <c r="CT172" s="421"/>
      <c r="CU172" s="421"/>
      <c r="CV172" s="419"/>
      <c r="CW172" s="419"/>
      <c r="CX172" s="421"/>
      <c r="CY172" s="421"/>
      <c r="CZ172" s="419"/>
      <c r="DA172" s="419"/>
      <c r="DB172" s="421"/>
      <c r="DC172" s="421"/>
      <c r="DD172" s="419"/>
      <c r="DE172" s="419"/>
      <c r="DF172" s="421"/>
      <c r="DG172" s="421"/>
      <c r="DH172" s="419"/>
      <c r="DI172" s="419"/>
      <c r="DJ172" s="421"/>
      <c r="DK172" s="421"/>
      <c r="DL172" s="419"/>
      <c r="DM172" s="419"/>
      <c r="DN172" s="421"/>
      <c r="DO172" s="421"/>
      <c r="DP172" s="419"/>
      <c r="DQ172" s="419"/>
      <c r="DR172" s="421"/>
      <c r="DS172" s="421"/>
      <c r="DT172" s="419"/>
      <c r="DU172" s="419"/>
      <c r="DV172" s="421"/>
      <c r="DW172" s="421"/>
      <c r="DX172" s="419"/>
      <c r="DY172" s="419"/>
      <c r="DZ172" s="421"/>
      <c r="EA172" s="421"/>
      <c r="EB172" s="419"/>
      <c r="EC172" s="419"/>
      <c r="ED172" s="421"/>
      <c r="EE172" s="421"/>
      <c r="EF172" s="419"/>
      <c r="EG172" s="421"/>
      <c r="EH172" s="424">
        <f t="shared" si="81"/>
        <v>0</v>
      </c>
      <c r="EI172" s="424">
        <f t="shared" si="82"/>
        <v>0</v>
      </c>
      <c r="EJ172" s="422">
        <f t="shared" si="83"/>
        <v>0</v>
      </c>
      <c r="EK172" s="425">
        <f t="shared" si="84"/>
        <v>0</v>
      </c>
      <c r="EL172" s="425">
        <f t="shared" si="85"/>
        <v>0</v>
      </c>
      <c r="EM172" s="423">
        <f t="shared" si="86"/>
        <v>0</v>
      </c>
      <c r="EN172" s="424">
        <f t="shared" si="87"/>
        <v>0</v>
      </c>
      <c r="EO172" s="425">
        <f t="shared" si="88"/>
        <v>0</v>
      </c>
      <c r="EP172" s="419"/>
      <c r="EQ172" s="421"/>
      <c r="ER172" s="419"/>
      <c r="ES172" s="421"/>
      <c r="ET172" s="419"/>
      <c r="EU172" s="421"/>
      <c r="EV172" s="419"/>
      <c r="EW172" s="421"/>
      <c r="EX172" s="419"/>
      <c r="EY172" s="421"/>
      <c r="EZ172" s="419"/>
      <c r="FA172" s="421"/>
      <c r="FB172" s="419"/>
      <c r="FC172" s="421"/>
      <c r="FD172" s="419"/>
      <c r="FE172" s="421"/>
      <c r="FF172" s="419"/>
      <c r="FG172" s="421"/>
      <c r="FH172" s="419"/>
      <c r="FI172" s="421"/>
      <c r="FJ172" s="424">
        <f t="shared" si="89"/>
        <v>0</v>
      </c>
      <c r="FK172" s="425">
        <f t="shared" si="90"/>
        <v>0</v>
      </c>
      <c r="FL172" s="419"/>
      <c r="FM172" s="421"/>
      <c r="FN172" s="424">
        <f t="shared" si="91"/>
        <v>2852</v>
      </c>
      <c r="FO172" s="425">
        <f t="shared" si="92"/>
        <v>3569</v>
      </c>
    </row>
    <row r="173" spans="1:171">
      <c r="A173" s="427" t="s">
        <v>158</v>
      </c>
      <c r="B173" s="57" t="s">
        <v>696</v>
      </c>
      <c r="C173" s="56"/>
      <c r="D173" s="55">
        <v>157331</v>
      </c>
      <c r="E173" s="116">
        <v>9</v>
      </c>
      <c r="F173" s="419">
        <v>1682</v>
      </c>
      <c r="G173" s="452">
        <v>1604</v>
      </c>
      <c r="H173" s="419"/>
      <c r="I173" s="421"/>
      <c r="J173" s="419">
        <v>451</v>
      </c>
      <c r="K173" s="455">
        <v>424</v>
      </c>
      <c r="L173" s="422">
        <f t="shared" si="71"/>
        <v>0</v>
      </c>
      <c r="M173" s="423">
        <f t="shared" si="72"/>
        <v>0</v>
      </c>
      <c r="N173" s="419"/>
      <c r="O173" s="309">
        <f>0</f>
        <v>0</v>
      </c>
      <c r="P173" s="309">
        <f>0</f>
        <v>0</v>
      </c>
      <c r="Q173" s="309">
        <f>0</f>
        <v>0</v>
      </c>
      <c r="R173" s="424">
        <f t="shared" si="69"/>
        <v>0</v>
      </c>
      <c r="S173" s="421"/>
      <c r="T173" s="301">
        <f>0</f>
        <v>0</v>
      </c>
      <c r="U173" s="301">
        <f>0</f>
        <v>0</v>
      </c>
      <c r="V173" s="301">
        <f>0</f>
        <v>0</v>
      </c>
      <c r="W173" s="425">
        <f t="shared" si="70"/>
        <v>0</v>
      </c>
      <c r="X173" s="419"/>
      <c r="Y173" s="419"/>
      <c r="Z173" s="421"/>
      <c r="AA173" s="421"/>
      <c r="AB173" s="419"/>
      <c r="AC173" s="419"/>
      <c r="AD173" s="421"/>
      <c r="AE173" s="421"/>
      <c r="AF173" s="419"/>
      <c r="AG173" s="419"/>
      <c r="AH173" s="421"/>
      <c r="AI173" s="421"/>
      <c r="AJ173" s="419"/>
      <c r="AK173" s="419"/>
      <c r="AL173" s="421"/>
      <c r="AM173" s="421"/>
      <c r="AN173" s="419"/>
      <c r="AO173" s="419"/>
      <c r="AP173" s="421"/>
      <c r="AQ173" s="421"/>
      <c r="AR173" s="424">
        <f t="shared" si="73"/>
        <v>0</v>
      </c>
      <c r="AS173" s="422">
        <f t="shared" si="74"/>
        <v>0</v>
      </c>
      <c r="AT173" s="425">
        <f t="shared" si="75"/>
        <v>0</v>
      </c>
      <c r="AU173" s="423">
        <f t="shared" si="76"/>
        <v>0</v>
      </c>
      <c r="AV173" s="419"/>
      <c r="AW173" s="421"/>
      <c r="AX173" s="419"/>
      <c r="AY173" s="419"/>
      <c r="AZ173" s="421"/>
      <c r="BA173" s="421"/>
      <c r="BB173" s="419"/>
      <c r="BC173" s="419"/>
      <c r="BD173" s="421"/>
      <c r="BE173" s="421"/>
      <c r="BF173" s="419"/>
      <c r="BG173" s="419"/>
      <c r="BH173" s="421"/>
      <c r="BI173" s="421"/>
      <c r="BJ173" s="419"/>
      <c r="BK173" s="419"/>
      <c r="BL173" s="421"/>
      <c r="BM173" s="421"/>
      <c r="BN173" s="419"/>
      <c r="BO173" s="419"/>
      <c r="BP173" s="421"/>
      <c r="BQ173" s="421"/>
      <c r="BR173" s="419"/>
      <c r="BS173" s="419"/>
      <c r="BT173" s="421"/>
      <c r="BU173" s="421"/>
      <c r="BV173" s="419"/>
      <c r="BW173" s="419"/>
      <c r="BX173" s="421"/>
      <c r="BY173" s="421"/>
      <c r="BZ173" s="419"/>
      <c r="CA173" s="419"/>
      <c r="CB173" s="421"/>
      <c r="CC173" s="421"/>
      <c r="CD173" s="419"/>
      <c r="CE173" s="419"/>
      <c r="CF173" s="421"/>
      <c r="CG173" s="421"/>
      <c r="CH173" s="419"/>
      <c r="CI173" s="419"/>
      <c r="CJ173" s="421"/>
      <c r="CK173" s="421"/>
      <c r="CL173" s="419"/>
      <c r="CM173" s="421"/>
      <c r="CN173" s="424">
        <f t="shared" si="77"/>
        <v>0</v>
      </c>
      <c r="CO173" s="424">
        <f t="shared" si="78"/>
        <v>0</v>
      </c>
      <c r="CP173" s="425">
        <f t="shared" si="79"/>
        <v>0</v>
      </c>
      <c r="CQ173" s="425">
        <f t="shared" si="80"/>
        <v>0</v>
      </c>
      <c r="CR173" s="419"/>
      <c r="CS173" s="419"/>
      <c r="CT173" s="421"/>
      <c r="CU173" s="421"/>
      <c r="CV173" s="419"/>
      <c r="CW173" s="419"/>
      <c r="CX173" s="421"/>
      <c r="CY173" s="421"/>
      <c r="CZ173" s="419"/>
      <c r="DA173" s="419"/>
      <c r="DB173" s="421"/>
      <c r="DC173" s="421"/>
      <c r="DD173" s="419"/>
      <c r="DE173" s="419"/>
      <c r="DF173" s="421"/>
      <c r="DG173" s="421"/>
      <c r="DH173" s="419"/>
      <c r="DI173" s="419"/>
      <c r="DJ173" s="421"/>
      <c r="DK173" s="421"/>
      <c r="DL173" s="419"/>
      <c r="DM173" s="419"/>
      <c r="DN173" s="421"/>
      <c r="DO173" s="421"/>
      <c r="DP173" s="419"/>
      <c r="DQ173" s="419"/>
      <c r="DR173" s="421"/>
      <c r="DS173" s="421"/>
      <c r="DT173" s="419"/>
      <c r="DU173" s="419"/>
      <c r="DV173" s="421"/>
      <c r="DW173" s="421"/>
      <c r="DX173" s="419"/>
      <c r="DY173" s="419"/>
      <c r="DZ173" s="421"/>
      <c r="EA173" s="421"/>
      <c r="EB173" s="419"/>
      <c r="EC173" s="419"/>
      <c r="ED173" s="421"/>
      <c r="EE173" s="421"/>
      <c r="EF173" s="419"/>
      <c r="EG173" s="421"/>
      <c r="EH173" s="424">
        <f t="shared" si="81"/>
        <v>0</v>
      </c>
      <c r="EI173" s="424">
        <f t="shared" si="82"/>
        <v>0</v>
      </c>
      <c r="EJ173" s="422">
        <f t="shared" si="83"/>
        <v>0</v>
      </c>
      <c r="EK173" s="425">
        <f t="shared" si="84"/>
        <v>0</v>
      </c>
      <c r="EL173" s="425">
        <f t="shared" si="85"/>
        <v>0</v>
      </c>
      <c r="EM173" s="423">
        <f t="shared" si="86"/>
        <v>0</v>
      </c>
      <c r="EN173" s="424">
        <f t="shared" si="87"/>
        <v>0</v>
      </c>
      <c r="EO173" s="425">
        <f t="shared" si="88"/>
        <v>0</v>
      </c>
      <c r="EP173" s="419"/>
      <c r="EQ173" s="421"/>
      <c r="ER173" s="419"/>
      <c r="ES173" s="421"/>
      <c r="ET173" s="419"/>
      <c r="EU173" s="421"/>
      <c r="EV173" s="419"/>
      <c r="EW173" s="421"/>
      <c r="EX173" s="419"/>
      <c r="EY173" s="421"/>
      <c r="EZ173" s="419"/>
      <c r="FA173" s="421"/>
      <c r="FB173" s="419"/>
      <c r="FC173" s="421"/>
      <c r="FD173" s="419"/>
      <c r="FE173" s="421"/>
      <c r="FF173" s="419"/>
      <c r="FG173" s="421"/>
      <c r="FH173" s="419"/>
      <c r="FI173" s="421"/>
      <c r="FJ173" s="424">
        <f t="shared" si="89"/>
        <v>0</v>
      </c>
      <c r="FK173" s="425">
        <f t="shared" si="90"/>
        <v>0</v>
      </c>
      <c r="FL173" s="419"/>
      <c r="FM173" s="421"/>
      <c r="FN173" s="424">
        <f t="shared" si="91"/>
        <v>2133</v>
      </c>
      <c r="FO173" s="425">
        <f t="shared" si="92"/>
        <v>2028</v>
      </c>
    </row>
    <row r="174" spans="1:171">
      <c r="A174" s="427" t="s">
        <v>158</v>
      </c>
      <c r="B174" s="57" t="s">
        <v>697</v>
      </c>
      <c r="C174" s="56"/>
      <c r="D174" s="55">
        <v>247940</v>
      </c>
      <c r="E174" s="116">
        <v>9</v>
      </c>
      <c r="F174" s="419">
        <v>1463</v>
      </c>
      <c r="G174" s="452">
        <v>1540</v>
      </c>
      <c r="H174" s="419"/>
      <c r="I174" s="421"/>
      <c r="J174" s="419">
        <v>698</v>
      </c>
      <c r="K174" s="455">
        <v>743</v>
      </c>
      <c r="L174" s="422">
        <f t="shared" si="71"/>
        <v>0</v>
      </c>
      <c r="M174" s="423">
        <f t="shared" si="72"/>
        <v>0</v>
      </c>
      <c r="N174" s="419"/>
      <c r="O174" s="309">
        <f>0</f>
        <v>0</v>
      </c>
      <c r="P174" s="309">
        <f>0</f>
        <v>0</v>
      </c>
      <c r="Q174" s="309">
        <f>0</f>
        <v>0</v>
      </c>
      <c r="R174" s="424">
        <f t="shared" si="69"/>
        <v>0</v>
      </c>
      <c r="S174" s="421"/>
      <c r="T174" s="301">
        <f>0</f>
        <v>0</v>
      </c>
      <c r="U174" s="301">
        <f>0</f>
        <v>0</v>
      </c>
      <c r="V174" s="301">
        <f>0</f>
        <v>0</v>
      </c>
      <c r="W174" s="425">
        <f t="shared" si="70"/>
        <v>0</v>
      </c>
      <c r="X174" s="419"/>
      <c r="Y174" s="419"/>
      <c r="Z174" s="421"/>
      <c r="AA174" s="421"/>
      <c r="AB174" s="419"/>
      <c r="AC174" s="419"/>
      <c r="AD174" s="421"/>
      <c r="AE174" s="421"/>
      <c r="AF174" s="419"/>
      <c r="AG174" s="419"/>
      <c r="AH174" s="421"/>
      <c r="AI174" s="421"/>
      <c r="AJ174" s="419"/>
      <c r="AK174" s="419"/>
      <c r="AL174" s="421"/>
      <c r="AM174" s="421"/>
      <c r="AN174" s="419"/>
      <c r="AO174" s="419"/>
      <c r="AP174" s="421"/>
      <c r="AQ174" s="421"/>
      <c r="AR174" s="424">
        <f t="shared" si="73"/>
        <v>0</v>
      </c>
      <c r="AS174" s="422">
        <f t="shared" si="74"/>
        <v>0</v>
      </c>
      <c r="AT174" s="425">
        <f t="shared" si="75"/>
        <v>0</v>
      </c>
      <c r="AU174" s="423">
        <f t="shared" si="76"/>
        <v>0</v>
      </c>
      <c r="AV174" s="419"/>
      <c r="AW174" s="421"/>
      <c r="AX174" s="419"/>
      <c r="AY174" s="419"/>
      <c r="AZ174" s="421"/>
      <c r="BA174" s="421"/>
      <c r="BB174" s="419"/>
      <c r="BC174" s="419"/>
      <c r="BD174" s="421"/>
      <c r="BE174" s="421"/>
      <c r="BF174" s="419"/>
      <c r="BG174" s="419"/>
      <c r="BH174" s="421"/>
      <c r="BI174" s="421"/>
      <c r="BJ174" s="419"/>
      <c r="BK174" s="419"/>
      <c r="BL174" s="421"/>
      <c r="BM174" s="421"/>
      <c r="BN174" s="419"/>
      <c r="BO174" s="419"/>
      <c r="BP174" s="421"/>
      <c r="BQ174" s="421"/>
      <c r="BR174" s="419"/>
      <c r="BS174" s="419"/>
      <c r="BT174" s="421"/>
      <c r="BU174" s="421"/>
      <c r="BV174" s="419"/>
      <c r="BW174" s="419"/>
      <c r="BX174" s="421"/>
      <c r="BY174" s="421"/>
      <c r="BZ174" s="419"/>
      <c r="CA174" s="419"/>
      <c r="CB174" s="421"/>
      <c r="CC174" s="421"/>
      <c r="CD174" s="419"/>
      <c r="CE174" s="419"/>
      <c r="CF174" s="421"/>
      <c r="CG174" s="421"/>
      <c r="CH174" s="419"/>
      <c r="CI174" s="419"/>
      <c r="CJ174" s="421"/>
      <c r="CK174" s="421"/>
      <c r="CL174" s="419"/>
      <c r="CM174" s="421"/>
      <c r="CN174" s="424">
        <f t="shared" si="77"/>
        <v>0</v>
      </c>
      <c r="CO174" s="424">
        <f t="shared" si="78"/>
        <v>0</v>
      </c>
      <c r="CP174" s="425">
        <f t="shared" si="79"/>
        <v>0</v>
      </c>
      <c r="CQ174" s="425">
        <f t="shared" si="80"/>
        <v>0</v>
      </c>
      <c r="CR174" s="419"/>
      <c r="CS174" s="419"/>
      <c r="CT174" s="421"/>
      <c r="CU174" s="421"/>
      <c r="CV174" s="419"/>
      <c r="CW174" s="419"/>
      <c r="CX174" s="421"/>
      <c r="CY174" s="421"/>
      <c r="CZ174" s="419"/>
      <c r="DA174" s="419"/>
      <c r="DB174" s="421"/>
      <c r="DC174" s="421"/>
      <c r="DD174" s="419"/>
      <c r="DE174" s="419"/>
      <c r="DF174" s="421"/>
      <c r="DG174" s="421"/>
      <c r="DH174" s="419"/>
      <c r="DI174" s="419"/>
      <c r="DJ174" s="421"/>
      <c r="DK174" s="421"/>
      <c r="DL174" s="419"/>
      <c r="DM174" s="419"/>
      <c r="DN174" s="421"/>
      <c r="DO174" s="421"/>
      <c r="DP174" s="419"/>
      <c r="DQ174" s="419"/>
      <c r="DR174" s="421"/>
      <c r="DS174" s="421"/>
      <c r="DT174" s="419"/>
      <c r="DU174" s="419"/>
      <c r="DV174" s="421"/>
      <c r="DW174" s="421"/>
      <c r="DX174" s="419"/>
      <c r="DY174" s="419"/>
      <c r="DZ174" s="421"/>
      <c r="EA174" s="421"/>
      <c r="EB174" s="419"/>
      <c r="EC174" s="419"/>
      <c r="ED174" s="421"/>
      <c r="EE174" s="421"/>
      <c r="EF174" s="419"/>
      <c r="EG174" s="421"/>
      <c r="EH174" s="424">
        <f t="shared" si="81"/>
        <v>0</v>
      </c>
      <c r="EI174" s="424">
        <f t="shared" si="82"/>
        <v>0</v>
      </c>
      <c r="EJ174" s="422">
        <f t="shared" si="83"/>
        <v>0</v>
      </c>
      <c r="EK174" s="425">
        <f t="shared" si="84"/>
        <v>0</v>
      </c>
      <c r="EL174" s="425">
        <f t="shared" si="85"/>
        <v>0</v>
      </c>
      <c r="EM174" s="423">
        <f t="shared" si="86"/>
        <v>0</v>
      </c>
      <c r="EN174" s="424">
        <f t="shared" si="87"/>
        <v>0</v>
      </c>
      <c r="EO174" s="425">
        <f t="shared" si="88"/>
        <v>0</v>
      </c>
      <c r="EP174" s="419"/>
      <c r="EQ174" s="421"/>
      <c r="ER174" s="419"/>
      <c r="ES174" s="421"/>
      <c r="ET174" s="419"/>
      <c r="EU174" s="421"/>
      <c r="EV174" s="419"/>
      <c r="EW174" s="421"/>
      <c r="EX174" s="419"/>
      <c r="EY174" s="421"/>
      <c r="EZ174" s="419"/>
      <c r="FA174" s="421"/>
      <c r="FB174" s="419"/>
      <c r="FC174" s="421"/>
      <c r="FD174" s="419"/>
      <c r="FE174" s="421"/>
      <c r="FF174" s="419"/>
      <c r="FG174" s="421"/>
      <c r="FH174" s="419"/>
      <c r="FI174" s="421"/>
      <c r="FJ174" s="424">
        <f t="shared" si="89"/>
        <v>0</v>
      </c>
      <c r="FK174" s="425">
        <f t="shared" si="90"/>
        <v>0</v>
      </c>
      <c r="FL174" s="419"/>
      <c r="FM174" s="421"/>
      <c r="FN174" s="424">
        <f t="shared" si="91"/>
        <v>2161</v>
      </c>
      <c r="FO174" s="425">
        <f t="shared" si="92"/>
        <v>2283</v>
      </c>
    </row>
    <row r="175" spans="1:171">
      <c r="A175" s="427" t="s">
        <v>158</v>
      </c>
      <c r="B175" s="57" t="s">
        <v>698</v>
      </c>
      <c r="C175" s="56"/>
      <c r="D175" s="55">
        <v>157711</v>
      </c>
      <c r="E175" s="116">
        <v>9</v>
      </c>
      <c r="F175" s="419">
        <v>2186</v>
      </c>
      <c r="G175" s="452">
        <v>2360</v>
      </c>
      <c r="H175" s="419"/>
      <c r="I175" s="421"/>
      <c r="J175" s="419">
        <v>697</v>
      </c>
      <c r="K175" s="455">
        <v>787</v>
      </c>
      <c r="L175" s="422">
        <f t="shared" si="71"/>
        <v>0</v>
      </c>
      <c r="M175" s="423">
        <f t="shared" si="72"/>
        <v>0</v>
      </c>
      <c r="N175" s="419"/>
      <c r="O175" s="309">
        <f>0</f>
        <v>0</v>
      </c>
      <c r="P175" s="309">
        <f>0</f>
        <v>0</v>
      </c>
      <c r="Q175" s="309">
        <f>0</f>
        <v>0</v>
      </c>
      <c r="R175" s="424">
        <f t="shared" si="69"/>
        <v>0</v>
      </c>
      <c r="S175" s="421"/>
      <c r="T175" s="301">
        <f>0</f>
        <v>0</v>
      </c>
      <c r="U175" s="301">
        <f>0</f>
        <v>0</v>
      </c>
      <c r="V175" s="301">
        <f>0</f>
        <v>0</v>
      </c>
      <c r="W175" s="425">
        <f t="shared" si="70"/>
        <v>0</v>
      </c>
      <c r="X175" s="419"/>
      <c r="Y175" s="419"/>
      <c r="Z175" s="421"/>
      <c r="AA175" s="421"/>
      <c r="AB175" s="419"/>
      <c r="AC175" s="419"/>
      <c r="AD175" s="421"/>
      <c r="AE175" s="421"/>
      <c r="AF175" s="419"/>
      <c r="AG175" s="419"/>
      <c r="AH175" s="421"/>
      <c r="AI175" s="421"/>
      <c r="AJ175" s="419"/>
      <c r="AK175" s="419"/>
      <c r="AL175" s="421"/>
      <c r="AM175" s="421"/>
      <c r="AN175" s="419"/>
      <c r="AO175" s="419"/>
      <c r="AP175" s="421"/>
      <c r="AQ175" s="421"/>
      <c r="AR175" s="424">
        <f t="shared" si="73"/>
        <v>0</v>
      </c>
      <c r="AS175" s="422">
        <f t="shared" si="74"/>
        <v>0</v>
      </c>
      <c r="AT175" s="425">
        <f t="shared" si="75"/>
        <v>0</v>
      </c>
      <c r="AU175" s="423">
        <f t="shared" si="76"/>
        <v>0</v>
      </c>
      <c r="AV175" s="419"/>
      <c r="AW175" s="421"/>
      <c r="AX175" s="419"/>
      <c r="AY175" s="419"/>
      <c r="AZ175" s="421"/>
      <c r="BA175" s="421"/>
      <c r="BB175" s="419"/>
      <c r="BC175" s="419"/>
      <c r="BD175" s="421"/>
      <c r="BE175" s="421"/>
      <c r="BF175" s="419"/>
      <c r="BG175" s="419"/>
      <c r="BH175" s="421"/>
      <c r="BI175" s="421"/>
      <c r="BJ175" s="419"/>
      <c r="BK175" s="419"/>
      <c r="BL175" s="421"/>
      <c r="BM175" s="421"/>
      <c r="BN175" s="419"/>
      <c r="BO175" s="419"/>
      <c r="BP175" s="421"/>
      <c r="BQ175" s="421"/>
      <c r="BR175" s="419"/>
      <c r="BS175" s="419"/>
      <c r="BT175" s="421"/>
      <c r="BU175" s="421"/>
      <c r="BV175" s="419"/>
      <c r="BW175" s="419"/>
      <c r="BX175" s="421"/>
      <c r="BY175" s="421"/>
      <c r="BZ175" s="419"/>
      <c r="CA175" s="419"/>
      <c r="CB175" s="421"/>
      <c r="CC175" s="421"/>
      <c r="CD175" s="419"/>
      <c r="CE175" s="419"/>
      <c r="CF175" s="421"/>
      <c r="CG175" s="421"/>
      <c r="CH175" s="419"/>
      <c r="CI175" s="419"/>
      <c r="CJ175" s="421"/>
      <c r="CK175" s="421"/>
      <c r="CL175" s="419"/>
      <c r="CM175" s="421"/>
      <c r="CN175" s="424">
        <f t="shared" si="77"/>
        <v>0</v>
      </c>
      <c r="CO175" s="424">
        <f t="shared" si="78"/>
        <v>0</v>
      </c>
      <c r="CP175" s="425">
        <f t="shared" si="79"/>
        <v>0</v>
      </c>
      <c r="CQ175" s="425">
        <f t="shared" si="80"/>
        <v>0</v>
      </c>
      <c r="CR175" s="419"/>
      <c r="CS175" s="419"/>
      <c r="CT175" s="421"/>
      <c r="CU175" s="421"/>
      <c r="CV175" s="419"/>
      <c r="CW175" s="419"/>
      <c r="CX175" s="421"/>
      <c r="CY175" s="421"/>
      <c r="CZ175" s="419"/>
      <c r="DA175" s="419"/>
      <c r="DB175" s="421"/>
      <c r="DC175" s="421"/>
      <c r="DD175" s="419"/>
      <c r="DE175" s="419"/>
      <c r="DF175" s="421"/>
      <c r="DG175" s="421"/>
      <c r="DH175" s="419"/>
      <c r="DI175" s="419"/>
      <c r="DJ175" s="421"/>
      <c r="DK175" s="421"/>
      <c r="DL175" s="419"/>
      <c r="DM175" s="419"/>
      <c r="DN175" s="421"/>
      <c r="DO175" s="421"/>
      <c r="DP175" s="419"/>
      <c r="DQ175" s="419"/>
      <c r="DR175" s="421"/>
      <c r="DS175" s="421"/>
      <c r="DT175" s="419"/>
      <c r="DU175" s="419"/>
      <c r="DV175" s="421"/>
      <c r="DW175" s="421"/>
      <c r="DX175" s="419"/>
      <c r="DY175" s="419"/>
      <c r="DZ175" s="421"/>
      <c r="EA175" s="421"/>
      <c r="EB175" s="419"/>
      <c r="EC175" s="419"/>
      <c r="ED175" s="421"/>
      <c r="EE175" s="421"/>
      <c r="EF175" s="419"/>
      <c r="EG175" s="421"/>
      <c r="EH175" s="424">
        <f t="shared" si="81"/>
        <v>0</v>
      </c>
      <c r="EI175" s="424">
        <f t="shared" si="82"/>
        <v>0</v>
      </c>
      <c r="EJ175" s="422">
        <f t="shared" si="83"/>
        <v>0</v>
      </c>
      <c r="EK175" s="425">
        <f t="shared" si="84"/>
        <v>0</v>
      </c>
      <c r="EL175" s="425">
        <f t="shared" si="85"/>
        <v>0</v>
      </c>
      <c r="EM175" s="423">
        <f t="shared" si="86"/>
        <v>0</v>
      </c>
      <c r="EN175" s="424">
        <f t="shared" si="87"/>
        <v>0</v>
      </c>
      <c r="EO175" s="425">
        <f t="shared" si="88"/>
        <v>0</v>
      </c>
      <c r="EP175" s="419"/>
      <c r="EQ175" s="421"/>
      <c r="ER175" s="419"/>
      <c r="ES175" s="421"/>
      <c r="ET175" s="419"/>
      <c r="EU175" s="421"/>
      <c r="EV175" s="419"/>
      <c r="EW175" s="421"/>
      <c r="EX175" s="419"/>
      <c r="EY175" s="421"/>
      <c r="EZ175" s="419"/>
      <c r="FA175" s="421"/>
      <c r="FB175" s="419"/>
      <c r="FC175" s="421"/>
      <c r="FD175" s="419"/>
      <c r="FE175" s="421"/>
      <c r="FF175" s="419"/>
      <c r="FG175" s="421"/>
      <c r="FH175" s="419"/>
      <c r="FI175" s="421"/>
      <c r="FJ175" s="424">
        <f t="shared" si="89"/>
        <v>0</v>
      </c>
      <c r="FK175" s="425">
        <f t="shared" si="90"/>
        <v>0</v>
      </c>
      <c r="FL175" s="419"/>
      <c r="FM175" s="421"/>
      <c r="FN175" s="424">
        <f t="shared" si="91"/>
        <v>2883</v>
      </c>
      <c r="FO175" s="425">
        <f t="shared" si="92"/>
        <v>3147</v>
      </c>
    </row>
    <row r="176" spans="1:171">
      <c r="A176" s="427" t="s">
        <v>158</v>
      </c>
      <c r="B176" s="57" t="s">
        <v>699</v>
      </c>
      <c r="C176" s="56"/>
      <c r="D176" s="55">
        <v>157483</v>
      </c>
      <c r="E176" s="116">
        <v>9</v>
      </c>
      <c r="F176" s="419">
        <v>2606</v>
      </c>
      <c r="G176" s="452">
        <v>2266</v>
      </c>
      <c r="H176" s="419"/>
      <c r="I176" s="421"/>
      <c r="J176" s="419">
        <v>717</v>
      </c>
      <c r="K176" s="455">
        <v>606</v>
      </c>
      <c r="L176" s="422">
        <f t="shared" si="71"/>
        <v>0</v>
      </c>
      <c r="M176" s="423">
        <f t="shared" si="72"/>
        <v>0</v>
      </c>
      <c r="N176" s="419"/>
      <c r="O176" s="309">
        <f>0</f>
        <v>0</v>
      </c>
      <c r="P176" s="309">
        <f>0</f>
        <v>0</v>
      </c>
      <c r="Q176" s="309">
        <f>0</f>
        <v>0</v>
      </c>
      <c r="R176" s="424">
        <f t="shared" si="69"/>
        <v>0</v>
      </c>
      <c r="S176" s="421"/>
      <c r="T176" s="301">
        <f>0</f>
        <v>0</v>
      </c>
      <c r="U176" s="301">
        <f>0</f>
        <v>0</v>
      </c>
      <c r="V176" s="301">
        <f>0</f>
        <v>0</v>
      </c>
      <c r="W176" s="425">
        <f t="shared" si="70"/>
        <v>0</v>
      </c>
      <c r="X176" s="419"/>
      <c r="Y176" s="419"/>
      <c r="Z176" s="421"/>
      <c r="AA176" s="421"/>
      <c r="AB176" s="419"/>
      <c r="AC176" s="419"/>
      <c r="AD176" s="421"/>
      <c r="AE176" s="421"/>
      <c r="AF176" s="419"/>
      <c r="AG176" s="419"/>
      <c r="AH176" s="421"/>
      <c r="AI176" s="421"/>
      <c r="AJ176" s="419"/>
      <c r="AK176" s="419"/>
      <c r="AL176" s="421"/>
      <c r="AM176" s="421"/>
      <c r="AN176" s="419"/>
      <c r="AO176" s="419"/>
      <c r="AP176" s="421"/>
      <c r="AQ176" s="421"/>
      <c r="AR176" s="424">
        <f t="shared" si="73"/>
        <v>0</v>
      </c>
      <c r="AS176" s="422">
        <f t="shared" si="74"/>
        <v>0</v>
      </c>
      <c r="AT176" s="425">
        <f t="shared" si="75"/>
        <v>0</v>
      </c>
      <c r="AU176" s="423">
        <f t="shared" si="76"/>
        <v>0</v>
      </c>
      <c r="AV176" s="419"/>
      <c r="AW176" s="421"/>
      <c r="AX176" s="419"/>
      <c r="AY176" s="419"/>
      <c r="AZ176" s="421"/>
      <c r="BA176" s="421"/>
      <c r="BB176" s="419"/>
      <c r="BC176" s="419"/>
      <c r="BD176" s="421"/>
      <c r="BE176" s="421"/>
      <c r="BF176" s="419"/>
      <c r="BG176" s="419"/>
      <c r="BH176" s="421"/>
      <c r="BI176" s="421"/>
      <c r="BJ176" s="419"/>
      <c r="BK176" s="419"/>
      <c r="BL176" s="421"/>
      <c r="BM176" s="421"/>
      <c r="BN176" s="419"/>
      <c r="BO176" s="419"/>
      <c r="BP176" s="421"/>
      <c r="BQ176" s="421"/>
      <c r="BR176" s="419"/>
      <c r="BS176" s="419"/>
      <c r="BT176" s="421"/>
      <c r="BU176" s="421"/>
      <c r="BV176" s="419"/>
      <c r="BW176" s="419"/>
      <c r="BX176" s="421"/>
      <c r="BY176" s="421"/>
      <c r="BZ176" s="419"/>
      <c r="CA176" s="419"/>
      <c r="CB176" s="421"/>
      <c r="CC176" s="421"/>
      <c r="CD176" s="419"/>
      <c r="CE176" s="419"/>
      <c r="CF176" s="421"/>
      <c r="CG176" s="421"/>
      <c r="CH176" s="419"/>
      <c r="CI176" s="419"/>
      <c r="CJ176" s="421"/>
      <c r="CK176" s="421"/>
      <c r="CL176" s="419"/>
      <c r="CM176" s="421"/>
      <c r="CN176" s="424">
        <f t="shared" si="77"/>
        <v>0</v>
      </c>
      <c r="CO176" s="424">
        <f t="shared" si="78"/>
        <v>0</v>
      </c>
      <c r="CP176" s="425">
        <f t="shared" si="79"/>
        <v>0</v>
      </c>
      <c r="CQ176" s="425">
        <f t="shared" si="80"/>
        <v>0</v>
      </c>
      <c r="CR176" s="419"/>
      <c r="CS176" s="419"/>
      <c r="CT176" s="421"/>
      <c r="CU176" s="421"/>
      <c r="CV176" s="419"/>
      <c r="CW176" s="419"/>
      <c r="CX176" s="421"/>
      <c r="CY176" s="421"/>
      <c r="CZ176" s="419"/>
      <c r="DA176" s="419"/>
      <c r="DB176" s="421"/>
      <c r="DC176" s="421"/>
      <c r="DD176" s="419"/>
      <c r="DE176" s="419"/>
      <c r="DF176" s="421"/>
      <c r="DG176" s="421"/>
      <c r="DH176" s="419"/>
      <c r="DI176" s="419"/>
      <c r="DJ176" s="421"/>
      <c r="DK176" s="421"/>
      <c r="DL176" s="419"/>
      <c r="DM176" s="419"/>
      <c r="DN176" s="421"/>
      <c r="DO176" s="421"/>
      <c r="DP176" s="419"/>
      <c r="DQ176" s="419"/>
      <c r="DR176" s="421"/>
      <c r="DS176" s="421"/>
      <c r="DT176" s="419"/>
      <c r="DU176" s="419"/>
      <c r="DV176" s="421"/>
      <c r="DW176" s="421"/>
      <c r="DX176" s="419"/>
      <c r="DY176" s="419"/>
      <c r="DZ176" s="421"/>
      <c r="EA176" s="421"/>
      <c r="EB176" s="419"/>
      <c r="EC176" s="419"/>
      <c r="ED176" s="421"/>
      <c r="EE176" s="421"/>
      <c r="EF176" s="419"/>
      <c r="EG176" s="421"/>
      <c r="EH176" s="424">
        <f t="shared" si="81"/>
        <v>0</v>
      </c>
      <c r="EI176" s="424">
        <f t="shared" si="82"/>
        <v>0</v>
      </c>
      <c r="EJ176" s="422">
        <f t="shared" si="83"/>
        <v>0</v>
      </c>
      <c r="EK176" s="425">
        <f t="shared" si="84"/>
        <v>0</v>
      </c>
      <c r="EL176" s="425">
        <f t="shared" si="85"/>
        <v>0</v>
      </c>
      <c r="EM176" s="423">
        <f t="shared" si="86"/>
        <v>0</v>
      </c>
      <c r="EN176" s="424">
        <f t="shared" si="87"/>
        <v>0</v>
      </c>
      <c r="EO176" s="425">
        <f t="shared" si="88"/>
        <v>0</v>
      </c>
      <c r="EP176" s="419"/>
      <c r="EQ176" s="421"/>
      <c r="ER176" s="419"/>
      <c r="ES176" s="421"/>
      <c r="ET176" s="419"/>
      <c r="EU176" s="421"/>
      <c r="EV176" s="419"/>
      <c r="EW176" s="421"/>
      <c r="EX176" s="419"/>
      <c r="EY176" s="421"/>
      <c r="EZ176" s="419"/>
      <c r="FA176" s="421"/>
      <c r="FB176" s="419"/>
      <c r="FC176" s="421"/>
      <c r="FD176" s="419"/>
      <c r="FE176" s="421"/>
      <c r="FF176" s="419"/>
      <c r="FG176" s="421"/>
      <c r="FH176" s="419"/>
      <c r="FI176" s="421"/>
      <c r="FJ176" s="424">
        <f t="shared" si="89"/>
        <v>0</v>
      </c>
      <c r="FK176" s="425">
        <f t="shared" si="90"/>
        <v>0</v>
      </c>
      <c r="FL176" s="419"/>
      <c r="FM176" s="421"/>
      <c r="FN176" s="424">
        <f t="shared" si="91"/>
        <v>3323</v>
      </c>
      <c r="FO176" s="425">
        <f t="shared" si="92"/>
        <v>2872</v>
      </c>
    </row>
    <row r="177" spans="1:171">
      <c r="A177" s="427" t="s">
        <v>158</v>
      </c>
      <c r="B177" s="57" t="s">
        <v>693</v>
      </c>
      <c r="C177" s="56"/>
      <c r="D177" s="55">
        <v>156231</v>
      </c>
      <c r="E177" s="116">
        <v>10</v>
      </c>
      <c r="F177" s="419">
        <v>1398</v>
      </c>
      <c r="G177" s="452">
        <v>2062</v>
      </c>
      <c r="H177" s="419"/>
      <c r="I177" s="421"/>
      <c r="J177" s="419">
        <v>401</v>
      </c>
      <c r="K177" s="455">
        <v>468</v>
      </c>
      <c r="L177" s="422">
        <f t="shared" si="71"/>
        <v>0</v>
      </c>
      <c r="M177" s="423">
        <f t="shared" si="72"/>
        <v>0</v>
      </c>
      <c r="N177" s="419"/>
      <c r="O177" s="309">
        <f>0</f>
        <v>0</v>
      </c>
      <c r="P177" s="309">
        <f>0</f>
        <v>0</v>
      </c>
      <c r="Q177" s="309">
        <f>0</f>
        <v>0</v>
      </c>
      <c r="R177" s="424">
        <f t="shared" si="69"/>
        <v>0</v>
      </c>
      <c r="S177" s="421"/>
      <c r="T177" s="301">
        <f>0</f>
        <v>0</v>
      </c>
      <c r="U177" s="301">
        <f>0</f>
        <v>0</v>
      </c>
      <c r="V177" s="301">
        <f>0</f>
        <v>0</v>
      </c>
      <c r="W177" s="425">
        <f t="shared" si="70"/>
        <v>0</v>
      </c>
      <c r="X177" s="419"/>
      <c r="Y177" s="419"/>
      <c r="Z177" s="421"/>
      <c r="AA177" s="421"/>
      <c r="AB177" s="419"/>
      <c r="AC177" s="419"/>
      <c r="AD177" s="421"/>
      <c r="AE177" s="421"/>
      <c r="AF177" s="419"/>
      <c r="AG177" s="419"/>
      <c r="AH177" s="421"/>
      <c r="AI177" s="421"/>
      <c r="AJ177" s="419"/>
      <c r="AK177" s="419"/>
      <c r="AL177" s="421"/>
      <c r="AM177" s="421"/>
      <c r="AN177" s="419"/>
      <c r="AO177" s="419"/>
      <c r="AP177" s="421"/>
      <c r="AQ177" s="421"/>
      <c r="AR177" s="424">
        <f t="shared" si="73"/>
        <v>0</v>
      </c>
      <c r="AS177" s="422">
        <f t="shared" si="74"/>
        <v>0</v>
      </c>
      <c r="AT177" s="425">
        <f t="shared" si="75"/>
        <v>0</v>
      </c>
      <c r="AU177" s="423">
        <f t="shared" si="76"/>
        <v>0</v>
      </c>
      <c r="AV177" s="419"/>
      <c r="AW177" s="421"/>
      <c r="AX177" s="419"/>
      <c r="AY177" s="419"/>
      <c r="AZ177" s="421"/>
      <c r="BA177" s="421"/>
      <c r="BB177" s="419"/>
      <c r="BC177" s="419"/>
      <c r="BD177" s="421"/>
      <c r="BE177" s="421"/>
      <c r="BF177" s="419"/>
      <c r="BG177" s="419"/>
      <c r="BH177" s="421"/>
      <c r="BI177" s="421"/>
      <c r="BJ177" s="419"/>
      <c r="BK177" s="419"/>
      <c r="BL177" s="421"/>
      <c r="BM177" s="421"/>
      <c r="BN177" s="419"/>
      <c r="BO177" s="419"/>
      <c r="BP177" s="421"/>
      <c r="BQ177" s="421"/>
      <c r="BR177" s="419"/>
      <c r="BS177" s="419"/>
      <c r="BT177" s="421"/>
      <c r="BU177" s="421"/>
      <c r="BV177" s="419"/>
      <c r="BW177" s="419"/>
      <c r="BX177" s="421"/>
      <c r="BY177" s="421"/>
      <c r="BZ177" s="419"/>
      <c r="CA177" s="419"/>
      <c r="CB177" s="421"/>
      <c r="CC177" s="421"/>
      <c r="CD177" s="419"/>
      <c r="CE177" s="419"/>
      <c r="CF177" s="421"/>
      <c r="CG177" s="421"/>
      <c r="CH177" s="419"/>
      <c r="CI177" s="419"/>
      <c r="CJ177" s="421"/>
      <c r="CK177" s="421"/>
      <c r="CL177" s="419"/>
      <c r="CM177" s="421"/>
      <c r="CN177" s="424">
        <f t="shared" si="77"/>
        <v>0</v>
      </c>
      <c r="CO177" s="424">
        <f t="shared" si="78"/>
        <v>0</v>
      </c>
      <c r="CP177" s="425">
        <f t="shared" si="79"/>
        <v>0</v>
      </c>
      <c r="CQ177" s="425">
        <f t="shared" si="80"/>
        <v>0</v>
      </c>
      <c r="CR177" s="419"/>
      <c r="CS177" s="419"/>
      <c r="CT177" s="421"/>
      <c r="CU177" s="421"/>
      <c r="CV177" s="419"/>
      <c r="CW177" s="419"/>
      <c r="CX177" s="421"/>
      <c r="CY177" s="421"/>
      <c r="CZ177" s="419"/>
      <c r="DA177" s="419"/>
      <c r="DB177" s="421"/>
      <c r="DC177" s="421"/>
      <c r="DD177" s="419"/>
      <c r="DE177" s="419"/>
      <c r="DF177" s="421"/>
      <c r="DG177" s="421"/>
      <c r="DH177" s="419"/>
      <c r="DI177" s="419"/>
      <c r="DJ177" s="421"/>
      <c r="DK177" s="421"/>
      <c r="DL177" s="419"/>
      <c r="DM177" s="419"/>
      <c r="DN177" s="421"/>
      <c r="DO177" s="421"/>
      <c r="DP177" s="419"/>
      <c r="DQ177" s="419"/>
      <c r="DR177" s="421"/>
      <c r="DS177" s="421"/>
      <c r="DT177" s="419"/>
      <c r="DU177" s="419"/>
      <c r="DV177" s="421"/>
      <c r="DW177" s="421"/>
      <c r="DX177" s="419"/>
      <c r="DY177" s="419"/>
      <c r="DZ177" s="421"/>
      <c r="EA177" s="421"/>
      <c r="EB177" s="419"/>
      <c r="EC177" s="419"/>
      <c r="ED177" s="421"/>
      <c r="EE177" s="421"/>
      <c r="EF177" s="419"/>
      <c r="EG177" s="421"/>
      <c r="EH177" s="424">
        <f t="shared" si="81"/>
        <v>0</v>
      </c>
      <c r="EI177" s="424">
        <f t="shared" si="82"/>
        <v>0</v>
      </c>
      <c r="EJ177" s="422">
        <f t="shared" si="83"/>
        <v>0</v>
      </c>
      <c r="EK177" s="425">
        <f t="shared" si="84"/>
        <v>0</v>
      </c>
      <c r="EL177" s="425">
        <f t="shared" si="85"/>
        <v>0</v>
      </c>
      <c r="EM177" s="423">
        <f t="shared" si="86"/>
        <v>0</v>
      </c>
      <c r="EN177" s="424">
        <f t="shared" si="87"/>
        <v>0</v>
      </c>
      <c r="EO177" s="425">
        <f t="shared" si="88"/>
        <v>0</v>
      </c>
      <c r="EP177" s="419"/>
      <c r="EQ177" s="421"/>
      <c r="ER177" s="419"/>
      <c r="ES177" s="421"/>
      <c r="ET177" s="419"/>
      <c r="EU177" s="421"/>
      <c r="EV177" s="419"/>
      <c r="EW177" s="421"/>
      <c r="EX177" s="419"/>
      <c r="EY177" s="421"/>
      <c r="EZ177" s="419"/>
      <c r="FA177" s="421"/>
      <c r="FB177" s="419"/>
      <c r="FC177" s="421"/>
      <c r="FD177" s="419"/>
      <c r="FE177" s="421"/>
      <c r="FF177" s="419"/>
      <c r="FG177" s="421"/>
      <c r="FH177" s="419"/>
      <c r="FI177" s="421"/>
      <c r="FJ177" s="424">
        <f t="shared" si="89"/>
        <v>0</v>
      </c>
      <c r="FK177" s="425">
        <f t="shared" si="90"/>
        <v>0</v>
      </c>
      <c r="FL177" s="419"/>
      <c r="FM177" s="421"/>
      <c r="FN177" s="424">
        <f t="shared" si="91"/>
        <v>1799</v>
      </c>
      <c r="FO177" s="425">
        <f t="shared" si="92"/>
        <v>2530</v>
      </c>
    </row>
    <row r="178" spans="1:171">
      <c r="A178" s="427" t="s">
        <v>158</v>
      </c>
      <c r="B178" s="57" t="s">
        <v>700</v>
      </c>
      <c r="C178" s="54"/>
      <c r="D178" s="55">
        <v>156790</v>
      </c>
      <c r="E178" s="116">
        <v>10</v>
      </c>
      <c r="F178" s="419">
        <v>1250</v>
      </c>
      <c r="G178" s="452">
        <v>1698</v>
      </c>
      <c r="H178" s="419"/>
      <c r="I178" s="421"/>
      <c r="J178" s="419">
        <v>412</v>
      </c>
      <c r="K178" s="455">
        <v>398</v>
      </c>
      <c r="L178" s="422">
        <f t="shared" si="71"/>
        <v>0</v>
      </c>
      <c r="M178" s="423">
        <f t="shared" si="72"/>
        <v>0</v>
      </c>
      <c r="N178" s="419"/>
      <c r="O178" s="309">
        <f>0</f>
        <v>0</v>
      </c>
      <c r="P178" s="309">
        <f>0</f>
        <v>0</v>
      </c>
      <c r="Q178" s="309">
        <f>0</f>
        <v>0</v>
      </c>
      <c r="R178" s="424">
        <f t="shared" si="69"/>
        <v>0</v>
      </c>
      <c r="S178" s="421"/>
      <c r="T178" s="301">
        <f>0</f>
        <v>0</v>
      </c>
      <c r="U178" s="301">
        <f>0</f>
        <v>0</v>
      </c>
      <c r="V178" s="301">
        <f>0</f>
        <v>0</v>
      </c>
      <c r="W178" s="425">
        <f t="shared" si="70"/>
        <v>0</v>
      </c>
      <c r="X178" s="419"/>
      <c r="Y178" s="419"/>
      <c r="Z178" s="421"/>
      <c r="AA178" s="421"/>
      <c r="AB178" s="419"/>
      <c r="AC178" s="419"/>
      <c r="AD178" s="421"/>
      <c r="AE178" s="421"/>
      <c r="AF178" s="419"/>
      <c r="AG178" s="419"/>
      <c r="AH178" s="421"/>
      <c r="AI178" s="421"/>
      <c r="AJ178" s="419"/>
      <c r="AK178" s="419"/>
      <c r="AL178" s="421"/>
      <c r="AM178" s="421"/>
      <c r="AN178" s="419"/>
      <c r="AO178" s="419"/>
      <c r="AP178" s="421"/>
      <c r="AQ178" s="421"/>
      <c r="AR178" s="424">
        <f t="shared" si="73"/>
        <v>0</v>
      </c>
      <c r="AS178" s="422">
        <f t="shared" si="74"/>
        <v>0</v>
      </c>
      <c r="AT178" s="425">
        <f t="shared" si="75"/>
        <v>0</v>
      </c>
      <c r="AU178" s="423">
        <f t="shared" si="76"/>
        <v>0</v>
      </c>
      <c r="AV178" s="419"/>
      <c r="AW178" s="421"/>
      <c r="AX178" s="419"/>
      <c r="AY178" s="419"/>
      <c r="AZ178" s="421"/>
      <c r="BA178" s="421"/>
      <c r="BB178" s="419"/>
      <c r="BC178" s="419"/>
      <c r="BD178" s="421"/>
      <c r="BE178" s="421"/>
      <c r="BF178" s="419"/>
      <c r="BG178" s="419"/>
      <c r="BH178" s="421"/>
      <c r="BI178" s="421"/>
      <c r="BJ178" s="419"/>
      <c r="BK178" s="419"/>
      <c r="BL178" s="421"/>
      <c r="BM178" s="421"/>
      <c r="BN178" s="419"/>
      <c r="BO178" s="419"/>
      <c r="BP178" s="421"/>
      <c r="BQ178" s="421"/>
      <c r="BR178" s="419"/>
      <c r="BS178" s="419"/>
      <c r="BT178" s="421"/>
      <c r="BU178" s="421"/>
      <c r="BV178" s="419"/>
      <c r="BW178" s="419"/>
      <c r="BX178" s="421"/>
      <c r="BY178" s="421"/>
      <c r="BZ178" s="419"/>
      <c r="CA178" s="419"/>
      <c r="CB178" s="421"/>
      <c r="CC178" s="421"/>
      <c r="CD178" s="419"/>
      <c r="CE178" s="419"/>
      <c r="CF178" s="421"/>
      <c r="CG178" s="421"/>
      <c r="CH178" s="419"/>
      <c r="CI178" s="419"/>
      <c r="CJ178" s="421"/>
      <c r="CK178" s="421"/>
      <c r="CL178" s="419"/>
      <c r="CM178" s="421"/>
      <c r="CN178" s="424">
        <f t="shared" si="77"/>
        <v>0</v>
      </c>
      <c r="CO178" s="424">
        <f t="shared" si="78"/>
        <v>0</v>
      </c>
      <c r="CP178" s="425">
        <f t="shared" si="79"/>
        <v>0</v>
      </c>
      <c r="CQ178" s="425">
        <f t="shared" si="80"/>
        <v>0</v>
      </c>
      <c r="CR178" s="419"/>
      <c r="CS178" s="419"/>
      <c r="CT178" s="421"/>
      <c r="CU178" s="421"/>
      <c r="CV178" s="419"/>
      <c r="CW178" s="419"/>
      <c r="CX178" s="421"/>
      <c r="CY178" s="421"/>
      <c r="CZ178" s="419"/>
      <c r="DA178" s="419"/>
      <c r="DB178" s="421"/>
      <c r="DC178" s="421"/>
      <c r="DD178" s="419"/>
      <c r="DE178" s="419"/>
      <c r="DF178" s="421"/>
      <c r="DG178" s="421"/>
      <c r="DH178" s="419"/>
      <c r="DI178" s="419"/>
      <c r="DJ178" s="421"/>
      <c r="DK178" s="421"/>
      <c r="DL178" s="419"/>
      <c r="DM178" s="419"/>
      <c r="DN178" s="421"/>
      <c r="DO178" s="421"/>
      <c r="DP178" s="419"/>
      <c r="DQ178" s="419"/>
      <c r="DR178" s="421"/>
      <c r="DS178" s="421"/>
      <c r="DT178" s="419"/>
      <c r="DU178" s="419"/>
      <c r="DV178" s="421"/>
      <c r="DW178" s="421"/>
      <c r="DX178" s="419"/>
      <c r="DY178" s="419"/>
      <c r="DZ178" s="421"/>
      <c r="EA178" s="421"/>
      <c r="EB178" s="419"/>
      <c r="EC178" s="419"/>
      <c r="ED178" s="421"/>
      <c r="EE178" s="421"/>
      <c r="EF178" s="419"/>
      <c r="EG178" s="421"/>
      <c r="EH178" s="424">
        <f t="shared" si="81"/>
        <v>0</v>
      </c>
      <c r="EI178" s="424">
        <f t="shared" si="82"/>
        <v>0</v>
      </c>
      <c r="EJ178" s="422">
        <f t="shared" si="83"/>
        <v>0</v>
      </c>
      <c r="EK178" s="425">
        <f t="shared" si="84"/>
        <v>0</v>
      </c>
      <c r="EL178" s="425">
        <f t="shared" si="85"/>
        <v>0</v>
      </c>
      <c r="EM178" s="423">
        <f t="shared" si="86"/>
        <v>0</v>
      </c>
      <c r="EN178" s="424">
        <f t="shared" si="87"/>
        <v>0</v>
      </c>
      <c r="EO178" s="425">
        <f t="shared" si="88"/>
        <v>0</v>
      </c>
      <c r="EP178" s="419"/>
      <c r="EQ178" s="421"/>
      <c r="ER178" s="419"/>
      <c r="ES178" s="421"/>
      <c r="ET178" s="419"/>
      <c r="EU178" s="421"/>
      <c r="EV178" s="419"/>
      <c r="EW178" s="421"/>
      <c r="EX178" s="419"/>
      <c r="EY178" s="421"/>
      <c r="EZ178" s="419"/>
      <c r="FA178" s="421"/>
      <c r="FB178" s="419"/>
      <c r="FC178" s="421"/>
      <c r="FD178" s="419"/>
      <c r="FE178" s="421"/>
      <c r="FF178" s="419"/>
      <c r="FG178" s="421"/>
      <c r="FH178" s="419"/>
      <c r="FI178" s="421"/>
      <c r="FJ178" s="424">
        <f t="shared" si="89"/>
        <v>0</v>
      </c>
      <c r="FK178" s="425">
        <f t="shared" si="90"/>
        <v>0</v>
      </c>
      <c r="FL178" s="419"/>
      <c r="FM178" s="421"/>
      <c r="FN178" s="424">
        <f t="shared" si="91"/>
        <v>1662</v>
      </c>
      <c r="FO178" s="425">
        <f t="shared" si="92"/>
        <v>2096</v>
      </c>
    </row>
    <row r="179" spans="1:171">
      <c r="A179" s="427" t="s">
        <v>158</v>
      </c>
      <c r="B179" s="57" t="s">
        <v>701</v>
      </c>
      <c r="C179" s="56"/>
      <c r="D179" s="55">
        <v>156851</v>
      </c>
      <c r="E179" s="116">
        <v>10</v>
      </c>
      <c r="F179" s="419">
        <v>271</v>
      </c>
      <c r="G179" s="452">
        <v>361</v>
      </c>
      <c r="H179" s="419"/>
      <c r="I179" s="421"/>
      <c r="J179" s="419">
        <v>197</v>
      </c>
      <c r="K179" s="455">
        <v>204</v>
      </c>
      <c r="L179" s="422">
        <f t="shared" si="71"/>
        <v>0</v>
      </c>
      <c r="M179" s="423">
        <f t="shared" si="72"/>
        <v>0</v>
      </c>
      <c r="N179" s="419"/>
      <c r="O179" s="309">
        <f>0</f>
        <v>0</v>
      </c>
      <c r="P179" s="309">
        <f>0</f>
        <v>0</v>
      </c>
      <c r="Q179" s="309">
        <f>0</f>
        <v>0</v>
      </c>
      <c r="R179" s="424">
        <f t="shared" si="69"/>
        <v>0</v>
      </c>
      <c r="S179" s="421"/>
      <c r="T179" s="301">
        <f>0</f>
        <v>0</v>
      </c>
      <c r="U179" s="301">
        <f>0</f>
        <v>0</v>
      </c>
      <c r="V179" s="301">
        <f>0</f>
        <v>0</v>
      </c>
      <c r="W179" s="425">
        <f t="shared" si="70"/>
        <v>0</v>
      </c>
      <c r="X179" s="419"/>
      <c r="Y179" s="419"/>
      <c r="Z179" s="421"/>
      <c r="AA179" s="421"/>
      <c r="AB179" s="419"/>
      <c r="AC179" s="419"/>
      <c r="AD179" s="421"/>
      <c r="AE179" s="421"/>
      <c r="AF179" s="419"/>
      <c r="AG179" s="419"/>
      <c r="AH179" s="421"/>
      <c r="AI179" s="421"/>
      <c r="AJ179" s="419"/>
      <c r="AK179" s="419"/>
      <c r="AL179" s="421"/>
      <c r="AM179" s="421"/>
      <c r="AN179" s="419"/>
      <c r="AO179" s="419"/>
      <c r="AP179" s="421"/>
      <c r="AQ179" s="421"/>
      <c r="AR179" s="424">
        <f t="shared" si="73"/>
        <v>0</v>
      </c>
      <c r="AS179" s="422">
        <f t="shared" si="74"/>
        <v>0</v>
      </c>
      <c r="AT179" s="425">
        <f t="shared" si="75"/>
        <v>0</v>
      </c>
      <c r="AU179" s="423">
        <f t="shared" si="76"/>
        <v>0</v>
      </c>
      <c r="AV179" s="419"/>
      <c r="AW179" s="421"/>
      <c r="AX179" s="419"/>
      <c r="AY179" s="419"/>
      <c r="AZ179" s="421"/>
      <c r="BA179" s="421"/>
      <c r="BB179" s="419"/>
      <c r="BC179" s="419"/>
      <c r="BD179" s="421"/>
      <c r="BE179" s="421"/>
      <c r="BF179" s="419"/>
      <c r="BG179" s="419"/>
      <c r="BH179" s="421"/>
      <c r="BI179" s="421"/>
      <c r="BJ179" s="419"/>
      <c r="BK179" s="419"/>
      <c r="BL179" s="421"/>
      <c r="BM179" s="421"/>
      <c r="BN179" s="419"/>
      <c r="BO179" s="419"/>
      <c r="BP179" s="421"/>
      <c r="BQ179" s="421"/>
      <c r="BR179" s="419"/>
      <c r="BS179" s="419"/>
      <c r="BT179" s="421"/>
      <c r="BU179" s="421"/>
      <c r="BV179" s="419"/>
      <c r="BW179" s="419"/>
      <c r="BX179" s="421"/>
      <c r="BY179" s="421"/>
      <c r="BZ179" s="419"/>
      <c r="CA179" s="419"/>
      <c r="CB179" s="421"/>
      <c r="CC179" s="421"/>
      <c r="CD179" s="419"/>
      <c r="CE179" s="419"/>
      <c r="CF179" s="421"/>
      <c r="CG179" s="421"/>
      <c r="CH179" s="419"/>
      <c r="CI179" s="419"/>
      <c r="CJ179" s="421"/>
      <c r="CK179" s="421"/>
      <c r="CL179" s="419"/>
      <c r="CM179" s="421"/>
      <c r="CN179" s="424">
        <f t="shared" si="77"/>
        <v>0</v>
      </c>
      <c r="CO179" s="424">
        <f t="shared" si="78"/>
        <v>0</v>
      </c>
      <c r="CP179" s="425">
        <f t="shared" si="79"/>
        <v>0</v>
      </c>
      <c r="CQ179" s="425">
        <f t="shared" si="80"/>
        <v>0</v>
      </c>
      <c r="CR179" s="419"/>
      <c r="CS179" s="419"/>
      <c r="CT179" s="421"/>
      <c r="CU179" s="421"/>
      <c r="CV179" s="419"/>
      <c r="CW179" s="419"/>
      <c r="CX179" s="421"/>
      <c r="CY179" s="421"/>
      <c r="CZ179" s="419"/>
      <c r="DA179" s="419"/>
      <c r="DB179" s="421"/>
      <c r="DC179" s="421"/>
      <c r="DD179" s="419"/>
      <c r="DE179" s="419"/>
      <c r="DF179" s="421"/>
      <c r="DG179" s="421"/>
      <c r="DH179" s="419"/>
      <c r="DI179" s="419"/>
      <c r="DJ179" s="421"/>
      <c r="DK179" s="421"/>
      <c r="DL179" s="419"/>
      <c r="DM179" s="419"/>
      <c r="DN179" s="421"/>
      <c r="DO179" s="421"/>
      <c r="DP179" s="419"/>
      <c r="DQ179" s="419"/>
      <c r="DR179" s="421"/>
      <c r="DS179" s="421"/>
      <c r="DT179" s="419"/>
      <c r="DU179" s="419"/>
      <c r="DV179" s="421"/>
      <c r="DW179" s="421"/>
      <c r="DX179" s="419"/>
      <c r="DY179" s="419"/>
      <c r="DZ179" s="421"/>
      <c r="EA179" s="421"/>
      <c r="EB179" s="419"/>
      <c r="EC179" s="419"/>
      <c r="ED179" s="421"/>
      <c r="EE179" s="421"/>
      <c r="EF179" s="419"/>
      <c r="EG179" s="421"/>
      <c r="EH179" s="424">
        <f t="shared" si="81"/>
        <v>0</v>
      </c>
      <c r="EI179" s="424">
        <f t="shared" si="82"/>
        <v>0</v>
      </c>
      <c r="EJ179" s="422">
        <f t="shared" si="83"/>
        <v>0</v>
      </c>
      <c r="EK179" s="425">
        <f t="shared" si="84"/>
        <v>0</v>
      </c>
      <c r="EL179" s="425">
        <f t="shared" si="85"/>
        <v>0</v>
      </c>
      <c r="EM179" s="423">
        <f t="shared" si="86"/>
        <v>0</v>
      </c>
      <c r="EN179" s="424">
        <f t="shared" si="87"/>
        <v>0</v>
      </c>
      <c r="EO179" s="425">
        <f t="shared" si="88"/>
        <v>0</v>
      </c>
      <c r="EP179" s="419"/>
      <c r="EQ179" s="421"/>
      <c r="ER179" s="419"/>
      <c r="ES179" s="421"/>
      <c r="ET179" s="419"/>
      <c r="EU179" s="421"/>
      <c r="EV179" s="419"/>
      <c r="EW179" s="421"/>
      <c r="EX179" s="419"/>
      <c r="EY179" s="421"/>
      <c r="EZ179" s="419"/>
      <c r="FA179" s="421"/>
      <c r="FB179" s="419"/>
      <c r="FC179" s="421"/>
      <c r="FD179" s="419"/>
      <c r="FE179" s="421"/>
      <c r="FF179" s="419"/>
      <c r="FG179" s="421"/>
      <c r="FH179" s="419"/>
      <c r="FI179" s="421"/>
      <c r="FJ179" s="424">
        <f t="shared" si="89"/>
        <v>0</v>
      </c>
      <c r="FK179" s="425">
        <f t="shared" si="90"/>
        <v>0</v>
      </c>
      <c r="FL179" s="419"/>
      <c r="FM179" s="421"/>
      <c r="FN179" s="424">
        <f t="shared" si="91"/>
        <v>468</v>
      </c>
      <c r="FO179" s="425">
        <f t="shared" si="92"/>
        <v>565</v>
      </c>
    </row>
    <row r="180" spans="1:171">
      <c r="A180" s="427" t="s">
        <v>158</v>
      </c>
      <c r="B180" s="57" t="s">
        <v>702</v>
      </c>
      <c r="C180" s="54"/>
      <c r="D180" s="55">
        <v>156860</v>
      </c>
      <c r="E180" s="116">
        <v>10</v>
      </c>
      <c r="F180" s="419">
        <v>973</v>
      </c>
      <c r="G180" s="450">
        <v>750</v>
      </c>
      <c r="H180" s="419"/>
      <c r="I180" s="421"/>
      <c r="J180" s="419">
        <v>418</v>
      </c>
      <c r="K180" s="455">
        <v>409</v>
      </c>
      <c r="L180" s="422">
        <f t="shared" si="71"/>
        <v>0</v>
      </c>
      <c r="M180" s="423">
        <f t="shared" si="72"/>
        <v>0</v>
      </c>
      <c r="N180" s="419"/>
      <c r="O180" s="309">
        <f>0</f>
        <v>0</v>
      </c>
      <c r="P180" s="309">
        <f>0</f>
        <v>0</v>
      </c>
      <c r="Q180" s="309">
        <f>0</f>
        <v>0</v>
      </c>
      <c r="R180" s="424">
        <f t="shared" si="69"/>
        <v>0</v>
      </c>
      <c r="S180" s="421"/>
      <c r="T180" s="301">
        <f>0</f>
        <v>0</v>
      </c>
      <c r="U180" s="301">
        <f>0</f>
        <v>0</v>
      </c>
      <c r="V180" s="301">
        <f>0</f>
        <v>0</v>
      </c>
      <c r="W180" s="425">
        <f t="shared" si="70"/>
        <v>0</v>
      </c>
      <c r="X180" s="419"/>
      <c r="Y180" s="419"/>
      <c r="Z180" s="421"/>
      <c r="AA180" s="421"/>
      <c r="AB180" s="419"/>
      <c r="AC180" s="419"/>
      <c r="AD180" s="421"/>
      <c r="AE180" s="421"/>
      <c r="AF180" s="419"/>
      <c r="AG180" s="419"/>
      <c r="AH180" s="421"/>
      <c r="AI180" s="421"/>
      <c r="AJ180" s="419"/>
      <c r="AK180" s="419"/>
      <c r="AL180" s="421"/>
      <c r="AM180" s="421"/>
      <c r="AN180" s="419"/>
      <c r="AO180" s="419"/>
      <c r="AP180" s="421"/>
      <c r="AQ180" s="421"/>
      <c r="AR180" s="424">
        <f t="shared" si="73"/>
        <v>0</v>
      </c>
      <c r="AS180" s="422">
        <f t="shared" si="74"/>
        <v>0</v>
      </c>
      <c r="AT180" s="425">
        <f t="shared" si="75"/>
        <v>0</v>
      </c>
      <c r="AU180" s="423">
        <f t="shared" si="76"/>
        <v>0</v>
      </c>
      <c r="AV180" s="419"/>
      <c r="AW180" s="421"/>
      <c r="AX180" s="419"/>
      <c r="AY180" s="419"/>
      <c r="AZ180" s="421"/>
      <c r="BA180" s="421"/>
      <c r="BB180" s="419"/>
      <c r="BC180" s="419"/>
      <c r="BD180" s="421"/>
      <c r="BE180" s="421"/>
      <c r="BF180" s="419"/>
      <c r="BG180" s="419"/>
      <c r="BH180" s="421"/>
      <c r="BI180" s="421"/>
      <c r="BJ180" s="419"/>
      <c r="BK180" s="419"/>
      <c r="BL180" s="421"/>
      <c r="BM180" s="421"/>
      <c r="BN180" s="419"/>
      <c r="BO180" s="419"/>
      <c r="BP180" s="421"/>
      <c r="BQ180" s="421"/>
      <c r="BR180" s="419"/>
      <c r="BS180" s="419"/>
      <c r="BT180" s="421"/>
      <c r="BU180" s="421"/>
      <c r="BV180" s="419"/>
      <c r="BW180" s="419"/>
      <c r="BX180" s="421"/>
      <c r="BY180" s="421"/>
      <c r="BZ180" s="419"/>
      <c r="CA180" s="419"/>
      <c r="CB180" s="421"/>
      <c r="CC180" s="421"/>
      <c r="CD180" s="419"/>
      <c r="CE180" s="419"/>
      <c r="CF180" s="421"/>
      <c r="CG180" s="421"/>
      <c r="CH180" s="419"/>
      <c r="CI180" s="419"/>
      <c r="CJ180" s="421"/>
      <c r="CK180" s="421"/>
      <c r="CL180" s="419"/>
      <c r="CM180" s="421"/>
      <c r="CN180" s="424">
        <f t="shared" si="77"/>
        <v>0</v>
      </c>
      <c r="CO180" s="424">
        <f t="shared" si="78"/>
        <v>0</v>
      </c>
      <c r="CP180" s="425">
        <f t="shared" si="79"/>
        <v>0</v>
      </c>
      <c r="CQ180" s="425">
        <f t="shared" si="80"/>
        <v>0</v>
      </c>
      <c r="CR180" s="419"/>
      <c r="CS180" s="419"/>
      <c r="CT180" s="421"/>
      <c r="CU180" s="421"/>
      <c r="CV180" s="419"/>
      <c r="CW180" s="419"/>
      <c r="CX180" s="421"/>
      <c r="CY180" s="421"/>
      <c r="CZ180" s="419"/>
      <c r="DA180" s="419"/>
      <c r="DB180" s="421"/>
      <c r="DC180" s="421"/>
      <c r="DD180" s="419"/>
      <c r="DE180" s="419"/>
      <c r="DF180" s="421"/>
      <c r="DG180" s="421"/>
      <c r="DH180" s="419"/>
      <c r="DI180" s="419"/>
      <c r="DJ180" s="421"/>
      <c r="DK180" s="421"/>
      <c r="DL180" s="419"/>
      <c r="DM180" s="419"/>
      <c r="DN180" s="421"/>
      <c r="DO180" s="421"/>
      <c r="DP180" s="419"/>
      <c r="DQ180" s="419"/>
      <c r="DR180" s="421"/>
      <c r="DS180" s="421"/>
      <c r="DT180" s="419"/>
      <c r="DU180" s="419"/>
      <c r="DV180" s="421"/>
      <c r="DW180" s="421"/>
      <c r="DX180" s="419"/>
      <c r="DY180" s="419"/>
      <c r="DZ180" s="421"/>
      <c r="EA180" s="421"/>
      <c r="EB180" s="419"/>
      <c r="EC180" s="419"/>
      <c r="ED180" s="421"/>
      <c r="EE180" s="421"/>
      <c r="EF180" s="419"/>
      <c r="EG180" s="421"/>
      <c r="EH180" s="424">
        <f t="shared" si="81"/>
        <v>0</v>
      </c>
      <c r="EI180" s="424">
        <f t="shared" si="82"/>
        <v>0</v>
      </c>
      <c r="EJ180" s="422">
        <f t="shared" si="83"/>
        <v>0</v>
      </c>
      <c r="EK180" s="425">
        <f t="shared" si="84"/>
        <v>0</v>
      </c>
      <c r="EL180" s="425">
        <f t="shared" si="85"/>
        <v>0</v>
      </c>
      <c r="EM180" s="423">
        <f t="shared" si="86"/>
        <v>0</v>
      </c>
      <c r="EN180" s="424">
        <f t="shared" si="87"/>
        <v>0</v>
      </c>
      <c r="EO180" s="425">
        <f t="shared" si="88"/>
        <v>0</v>
      </c>
      <c r="EP180" s="419"/>
      <c r="EQ180" s="421"/>
      <c r="ER180" s="419"/>
      <c r="ES180" s="421"/>
      <c r="ET180" s="419"/>
      <c r="EU180" s="421"/>
      <c r="EV180" s="419"/>
      <c r="EW180" s="421"/>
      <c r="EX180" s="419"/>
      <c r="EY180" s="421"/>
      <c r="EZ180" s="419"/>
      <c r="FA180" s="421"/>
      <c r="FB180" s="419"/>
      <c r="FC180" s="421"/>
      <c r="FD180" s="419"/>
      <c r="FE180" s="421"/>
      <c r="FF180" s="419"/>
      <c r="FG180" s="421"/>
      <c r="FH180" s="419"/>
      <c r="FI180" s="421"/>
      <c r="FJ180" s="424">
        <f t="shared" si="89"/>
        <v>0</v>
      </c>
      <c r="FK180" s="425">
        <f t="shared" si="90"/>
        <v>0</v>
      </c>
      <c r="FL180" s="419"/>
      <c r="FM180" s="421"/>
      <c r="FN180" s="424">
        <f t="shared" si="91"/>
        <v>1391</v>
      </c>
      <c r="FO180" s="425">
        <f t="shared" si="92"/>
        <v>1159</v>
      </c>
    </row>
    <row r="181" spans="1:171">
      <c r="A181" s="427" t="s">
        <v>158</v>
      </c>
      <c r="B181" s="57" t="s">
        <v>703</v>
      </c>
      <c r="C181" s="54"/>
      <c r="D181" s="55">
        <v>157304</v>
      </c>
      <c r="E181" s="116">
        <v>10</v>
      </c>
      <c r="F181" s="419">
        <v>1137</v>
      </c>
      <c r="G181" s="452">
        <v>1100</v>
      </c>
      <c r="H181" s="419"/>
      <c r="I181" s="421"/>
      <c r="J181" s="419">
        <v>403</v>
      </c>
      <c r="K181" s="455">
        <v>398</v>
      </c>
      <c r="L181" s="422">
        <f t="shared" si="71"/>
        <v>0</v>
      </c>
      <c r="M181" s="423">
        <f t="shared" si="72"/>
        <v>0</v>
      </c>
      <c r="N181" s="419"/>
      <c r="O181" s="309">
        <f>0</f>
        <v>0</v>
      </c>
      <c r="P181" s="309">
        <f>0</f>
        <v>0</v>
      </c>
      <c r="Q181" s="309">
        <f>0</f>
        <v>0</v>
      </c>
      <c r="R181" s="424">
        <f t="shared" si="69"/>
        <v>0</v>
      </c>
      <c r="S181" s="421"/>
      <c r="T181" s="301">
        <f>0</f>
        <v>0</v>
      </c>
      <c r="U181" s="301">
        <f>0</f>
        <v>0</v>
      </c>
      <c r="V181" s="301">
        <f>0</f>
        <v>0</v>
      </c>
      <c r="W181" s="425">
        <f t="shared" si="70"/>
        <v>0</v>
      </c>
      <c r="X181" s="419"/>
      <c r="Y181" s="419"/>
      <c r="Z181" s="421"/>
      <c r="AA181" s="421"/>
      <c r="AB181" s="419"/>
      <c r="AC181" s="419"/>
      <c r="AD181" s="421"/>
      <c r="AE181" s="421"/>
      <c r="AF181" s="419"/>
      <c r="AG181" s="419"/>
      <c r="AH181" s="421"/>
      <c r="AI181" s="421"/>
      <c r="AJ181" s="419"/>
      <c r="AK181" s="419"/>
      <c r="AL181" s="421"/>
      <c r="AM181" s="421"/>
      <c r="AN181" s="419"/>
      <c r="AO181" s="419"/>
      <c r="AP181" s="421"/>
      <c r="AQ181" s="421"/>
      <c r="AR181" s="424">
        <f t="shared" si="73"/>
        <v>0</v>
      </c>
      <c r="AS181" s="422">
        <f t="shared" si="74"/>
        <v>0</v>
      </c>
      <c r="AT181" s="425">
        <f t="shared" si="75"/>
        <v>0</v>
      </c>
      <c r="AU181" s="423">
        <f t="shared" si="76"/>
        <v>0</v>
      </c>
      <c r="AV181" s="419"/>
      <c r="AW181" s="421"/>
      <c r="AX181" s="419"/>
      <c r="AY181" s="419"/>
      <c r="AZ181" s="421"/>
      <c r="BA181" s="421"/>
      <c r="BB181" s="419"/>
      <c r="BC181" s="419"/>
      <c r="BD181" s="421"/>
      <c r="BE181" s="421"/>
      <c r="BF181" s="419"/>
      <c r="BG181" s="419"/>
      <c r="BH181" s="421"/>
      <c r="BI181" s="421"/>
      <c r="BJ181" s="419"/>
      <c r="BK181" s="419"/>
      <c r="BL181" s="421"/>
      <c r="BM181" s="421"/>
      <c r="BN181" s="419"/>
      <c r="BO181" s="419"/>
      <c r="BP181" s="421"/>
      <c r="BQ181" s="421"/>
      <c r="BR181" s="419"/>
      <c r="BS181" s="419"/>
      <c r="BT181" s="421"/>
      <c r="BU181" s="421"/>
      <c r="BV181" s="419"/>
      <c r="BW181" s="419"/>
      <c r="BX181" s="421"/>
      <c r="BY181" s="421"/>
      <c r="BZ181" s="419"/>
      <c r="CA181" s="419"/>
      <c r="CB181" s="421"/>
      <c r="CC181" s="421"/>
      <c r="CD181" s="419"/>
      <c r="CE181" s="419"/>
      <c r="CF181" s="421"/>
      <c r="CG181" s="421"/>
      <c r="CH181" s="419"/>
      <c r="CI181" s="419"/>
      <c r="CJ181" s="421"/>
      <c r="CK181" s="421"/>
      <c r="CL181" s="419"/>
      <c r="CM181" s="421"/>
      <c r="CN181" s="424">
        <f t="shared" si="77"/>
        <v>0</v>
      </c>
      <c r="CO181" s="424">
        <f t="shared" si="78"/>
        <v>0</v>
      </c>
      <c r="CP181" s="425">
        <f t="shared" si="79"/>
        <v>0</v>
      </c>
      <c r="CQ181" s="425">
        <f t="shared" si="80"/>
        <v>0</v>
      </c>
      <c r="CR181" s="419"/>
      <c r="CS181" s="419"/>
      <c r="CT181" s="421"/>
      <c r="CU181" s="421"/>
      <c r="CV181" s="419"/>
      <c r="CW181" s="419"/>
      <c r="CX181" s="421"/>
      <c r="CY181" s="421"/>
      <c r="CZ181" s="419"/>
      <c r="DA181" s="419"/>
      <c r="DB181" s="421"/>
      <c r="DC181" s="421"/>
      <c r="DD181" s="419"/>
      <c r="DE181" s="419"/>
      <c r="DF181" s="421"/>
      <c r="DG181" s="421"/>
      <c r="DH181" s="419"/>
      <c r="DI181" s="419"/>
      <c r="DJ181" s="421"/>
      <c r="DK181" s="421"/>
      <c r="DL181" s="419"/>
      <c r="DM181" s="419"/>
      <c r="DN181" s="421"/>
      <c r="DO181" s="421"/>
      <c r="DP181" s="419"/>
      <c r="DQ181" s="419"/>
      <c r="DR181" s="421"/>
      <c r="DS181" s="421"/>
      <c r="DT181" s="419"/>
      <c r="DU181" s="419"/>
      <c r="DV181" s="421"/>
      <c r="DW181" s="421"/>
      <c r="DX181" s="419"/>
      <c r="DY181" s="419"/>
      <c r="DZ181" s="421"/>
      <c r="EA181" s="421"/>
      <c r="EB181" s="419"/>
      <c r="EC181" s="419"/>
      <c r="ED181" s="421"/>
      <c r="EE181" s="421"/>
      <c r="EF181" s="419"/>
      <c r="EG181" s="421"/>
      <c r="EH181" s="424">
        <f t="shared" si="81"/>
        <v>0</v>
      </c>
      <c r="EI181" s="424">
        <f t="shared" si="82"/>
        <v>0</v>
      </c>
      <c r="EJ181" s="422">
        <f t="shared" si="83"/>
        <v>0</v>
      </c>
      <c r="EK181" s="425">
        <f t="shared" si="84"/>
        <v>0</v>
      </c>
      <c r="EL181" s="425">
        <f t="shared" si="85"/>
        <v>0</v>
      </c>
      <c r="EM181" s="423">
        <f t="shared" si="86"/>
        <v>0</v>
      </c>
      <c r="EN181" s="424">
        <f t="shared" si="87"/>
        <v>0</v>
      </c>
      <c r="EO181" s="425">
        <f t="shared" si="88"/>
        <v>0</v>
      </c>
      <c r="EP181" s="419"/>
      <c r="EQ181" s="421"/>
      <c r="ER181" s="419"/>
      <c r="ES181" s="421"/>
      <c r="ET181" s="419"/>
      <c r="EU181" s="421"/>
      <c r="EV181" s="419"/>
      <c r="EW181" s="421"/>
      <c r="EX181" s="419"/>
      <c r="EY181" s="421"/>
      <c r="EZ181" s="419"/>
      <c r="FA181" s="421"/>
      <c r="FB181" s="419"/>
      <c r="FC181" s="421"/>
      <c r="FD181" s="419"/>
      <c r="FE181" s="421"/>
      <c r="FF181" s="419"/>
      <c r="FG181" s="421"/>
      <c r="FH181" s="419"/>
      <c r="FI181" s="421"/>
      <c r="FJ181" s="424">
        <f t="shared" si="89"/>
        <v>0</v>
      </c>
      <c r="FK181" s="425">
        <f t="shared" si="90"/>
        <v>0</v>
      </c>
      <c r="FL181" s="419"/>
      <c r="FM181" s="421"/>
      <c r="FN181" s="424">
        <f t="shared" si="91"/>
        <v>1540</v>
      </c>
      <c r="FO181" s="425">
        <f t="shared" si="92"/>
        <v>1498</v>
      </c>
    </row>
    <row r="182" spans="1:171">
      <c r="A182" s="427" t="s">
        <v>158</v>
      </c>
      <c r="B182" s="57" t="s">
        <v>704</v>
      </c>
      <c r="C182" s="54"/>
      <c r="D182" s="55">
        <v>157739</v>
      </c>
      <c r="E182" s="116">
        <v>10</v>
      </c>
      <c r="F182" s="419">
        <v>648</v>
      </c>
      <c r="G182" s="452">
        <v>633</v>
      </c>
      <c r="H182" s="419"/>
      <c r="I182" s="421"/>
      <c r="J182" s="419">
        <v>399</v>
      </c>
      <c r="K182" s="455">
        <v>372</v>
      </c>
      <c r="L182" s="422">
        <f t="shared" si="71"/>
        <v>0</v>
      </c>
      <c r="M182" s="423">
        <f t="shared" si="72"/>
        <v>0</v>
      </c>
      <c r="N182" s="419"/>
      <c r="O182" s="309">
        <f>0</f>
        <v>0</v>
      </c>
      <c r="P182" s="309">
        <f>0</f>
        <v>0</v>
      </c>
      <c r="Q182" s="309">
        <f>0</f>
        <v>0</v>
      </c>
      <c r="R182" s="424">
        <f t="shared" si="69"/>
        <v>0</v>
      </c>
      <c r="S182" s="421"/>
      <c r="T182" s="301">
        <f>0</f>
        <v>0</v>
      </c>
      <c r="U182" s="301">
        <f>0</f>
        <v>0</v>
      </c>
      <c r="V182" s="301">
        <f>0</f>
        <v>0</v>
      </c>
      <c r="W182" s="425">
        <f t="shared" si="70"/>
        <v>0</v>
      </c>
      <c r="X182" s="419"/>
      <c r="Y182" s="419"/>
      <c r="Z182" s="421"/>
      <c r="AA182" s="421"/>
      <c r="AB182" s="419"/>
      <c r="AC182" s="419"/>
      <c r="AD182" s="421"/>
      <c r="AE182" s="421"/>
      <c r="AF182" s="419"/>
      <c r="AG182" s="419"/>
      <c r="AH182" s="421"/>
      <c r="AI182" s="421"/>
      <c r="AJ182" s="419"/>
      <c r="AK182" s="419"/>
      <c r="AL182" s="421"/>
      <c r="AM182" s="421"/>
      <c r="AN182" s="419"/>
      <c r="AO182" s="419"/>
      <c r="AP182" s="421"/>
      <c r="AQ182" s="421"/>
      <c r="AR182" s="424">
        <f t="shared" si="73"/>
        <v>0</v>
      </c>
      <c r="AS182" s="422">
        <f t="shared" si="74"/>
        <v>0</v>
      </c>
      <c r="AT182" s="425">
        <f t="shared" si="75"/>
        <v>0</v>
      </c>
      <c r="AU182" s="423">
        <f t="shared" si="76"/>
        <v>0</v>
      </c>
      <c r="AV182" s="419"/>
      <c r="AW182" s="421"/>
      <c r="AX182" s="419"/>
      <c r="AY182" s="419"/>
      <c r="AZ182" s="421"/>
      <c r="BA182" s="421"/>
      <c r="BB182" s="419"/>
      <c r="BC182" s="419"/>
      <c r="BD182" s="421"/>
      <c r="BE182" s="421"/>
      <c r="BF182" s="419"/>
      <c r="BG182" s="419"/>
      <c r="BH182" s="421"/>
      <c r="BI182" s="421"/>
      <c r="BJ182" s="419"/>
      <c r="BK182" s="419"/>
      <c r="BL182" s="421"/>
      <c r="BM182" s="421"/>
      <c r="BN182" s="419"/>
      <c r="BO182" s="419"/>
      <c r="BP182" s="421"/>
      <c r="BQ182" s="421"/>
      <c r="BR182" s="419"/>
      <c r="BS182" s="419"/>
      <c r="BT182" s="421"/>
      <c r="BU182" s="421"/>
      <c r="BV182" s="419"/>
      <c r="BW182" s="419"/>
      <c r="BX182" s="421"/>
      <c r="BY182" s="421"/>
      <c r="BZ182" s="419"/>
      <c r="CA182" s="419"/>
      <c r="CB182" s="421"/>
      <c r="CC182" s="421"/>
      <c r="CD182" s="419"/>
      <c r="CE182" s="419"/>
      <c r="CF182" s="421"/>
      <c r="CG182" s="421"/>
      <c r="CH182" s="419"/>
      <c r="CI182" s="419"/>
      <c r="CJ182" s="421"/>
      <c r="CK182" s="421"/>
      <c r="CL182" s="419"/>
      <c r="CM182" s="421"/>
      <c r="CN182" s="424">
        <f t="shared" si="77"/>
        <v>0</v>
      </c>
      <c r="CO182" s="424">
        <f t="shared" si="78"/>
        <v>0</v>
      </c>
      <c r="CP182" s="425">
        <f t="shared" si="79"/>
        <v>0</v>
      </c>
      <c r="CQ182" s="425">
        <f t="shared" si="80"/>
        <v>0</v>
      </c>
      <c r="CR182" s="419"/>
      <c r="CS182" s="419"/>
      <c r="CT182" s="421"/>
      <c r="CU182" s="421"/>
      <c r="CV182" s="419"/>
      <c r="CW182" s="419"/>
      <c r="CX182" s="421"/>
      <c r="CY182" s="421"/>
      <c r="CZ182" s="419"/>
      <c r="DA182" s="419"/>
      <c r="DB182" s="421"/>
      <c r="DC182" s="421"/>
      <c r="DD182" s="419"/>
      <c r="DE182" s="419"/>
      <c r="DF182" s="421"/>
      <c r="DG182" s="421"/>
      <c r="DH182" s="419"/>
      <c r="DI182" s="419"/>
      <c r="DJ182" s="421"/>
      <c r="DK182" s="421"/>
      <c r="DL182" s="419"/>
      <c r="DM182" s="419"/>
      <c r="DN182" s="421"/>
      <c r="DO182" s="421"/>
      <c r="DP182" s="419"/>
      <c r="DQ182" s="419"/>
      <c r="DR182" s="421"/>
      <c r="DS182" s="421"/>
      <c r="DT182" s="419"/>
      <c r="DU182" s="419"/>
      <c r="DV182" s="421"/>
      <c r="DW182" s="421"/>
      <c r="DX182" s="419"/>
      <c r="DY182" s="419"/>
      <c r="DZ182" s="421"/>
      <c r="EA182" s="421"/>
      <c r="EB182" s="419"/>
      <c r="EC182" s="419"/>
      <c r="ED182" s="421"/>
      <c r="EE182" s="421"/>
      <c r="EF182" s="419"/>
      <c r="EG182" s="421"/>
      <c r="EH182" s="424">
        <f t="shared" si="81"/>
        <v>0</v>
      </c>
      <c r="EI182" s="424">
        <f t="shared" si="82"/>
        <v>0</v>
      </c>
      <c r="EJ182" s="422">
        <f t="shared" si="83"/>
        <v>0</v>
      </c>
      <c r="EK182" s="425">
        <f t="shared" si="84"/>
        <v>0</v>
      </c>
      <c r="EL182" s="425">
        <f t="shared" si="85"/>
        <v>0</v>
      </c>
      <c r="EM182" s="423">
        <f t="shared" si="86"/>
        <v>0</v>
      </c>
      <c r="EN182" s="424">
        <f t="shared" si="87"/>
        <v>0</v>
      </c>
      <c r="EO182" s="425">
        <f t="shared" si="88"/>
        <v>0</v>
      </c>
      <c r="EP182" s="419"/>
      <c r="EQ182" s="421"/>
      <c r="ER182" s="419"/>
      <c r="ES182" s="421"/>
      <c r="ET182" s="419"/>
      <c r="EU182" s="421"/>
      <c r="EV182" s="419"/>
      <c r="EW182" s="421"/>
      <c r="EX182" s="419"/>
      <c r="EY182" s="421"/>
      <c r="EZ182" s="419"/>
      <c r="FA182" s="421"/>
      <c r="FB182" s="419"/>
      <c r="FC182" s="421"/>
      <c r="FD182" s="419"/>
      <c r="FE182" s="421"/>
      <c r="FF182" s="419"/>
      <c r="FG182" s="421"/>
      <c r="FH182" s="419"/>
      <c r="FI182" s="421"/>
      <c r="FJ182" s="424">
        <f t="shared" si="89"/>
        <v>0</v>
      </c>
      <c r="FK182" s="425">
        <f t="shared" si="90"/>
        <v>0</v>
      </c>
      <c r="FL182" s="419"/>
      <c r="FM182" s="421"/>
      <c r="FN182" s="424">
        <f t="shared" si="91"/>
        <v>1047</v>
      </c>
      <c r="FO182" s="425">
        <f t="shared" si="92"/>
        <v>1005</v>
      </c>
    </row>
    <row r="183" spans="1:171">
      <c r="A183" s="427" t="s">
        <v>158</v>
      </c>
      <c r="B183" s="57" t="s">
        <v>705</v>
      </c>
      <c r="C183" s="56"/>
      <c r="D183" s="55">
        <v>157438</v>
      </c>
      <c r="E183" s="116">
        <v>12</v>
      </c>
      <c r="F183" s="419">
        <v>3044</v>
      </c>
      <c r="G183" s="452">
        <v>2385</v>
      </c>
      <c r="H183" s="419"/>
      <c r="I183" s="421"/>
      <c r="J183" s="419">
        <v>500</v>
      </c>
      <c r="K183" s="455">
        <v>508</v>
      </c>
      <c r="L183" s="422">
        <f t="shared" si="71"/>
        <v>0</v>
      </c>
      <c r="M183" s="423">
        <f t="shared" si="72"/>
        <v>0</v>
      </c>
      <c r="N183" s="419"/>
      <c r="O183" s="309">
        <f>0</f>
        <v>0</v>
      </c>
      <c r="P183" s="309">
        <f>0</f>
        <v>0</v>
      </c>
      <c r="Q183" s="309">
        <f>0</f>
        <v>0</v>
      </c>
      <c r="R183" s="424">
        <f t="shared" si="69"/>
        <v>0</v>
      </c>
      <c r="S183" s="421"/>
      <c r="T183" s="301">
        <f>0</f>
        <v>0</v>
      </c>
      <c r="U183" s="301">
        <f>0</f>
        <v>0</v>
      </c>
      <c r="V183" s="301">
        <f>0</f>
        <v>0</v>
      </c>
      <c r="W183" s="425">
        <f t="shared" si="70"/>
        <v>0</v>
      </c>
      <c r="X183" s="419"/>
      <c r="Y183" s="419"/>
      <c r="Z183" s="421"/>
      <c r="AA183" s="421"/>
      <c r="AB183" s="419"/>
      <c r="AC183" s="419"/>
      <c r="AD183" s="421"/>
      <c r="AE183" s="421"/>
      <c r="AF183" s="419"/>
      <c r="AG183" s="419"/>
      <c r="AH183" s="421"/>
      <c r="AI183" s="421"/>
      <c r="AJ183" s="419"/>
      <c r="AK183" s="419"/>
      <c r="AL183" s="421"/>
      <c r="AM183" s="421"/>
      <c r="AN183" s="419"/>
      <c r="AO183" s="419"/>
      <c r="AP183" s="421"/>
      <c r="AQ183" s="421"/>
      <c r="AR183" s="424">
        <f t="shared" si="73"/>
        <v>0</v>
      </c>
      <c r="AS183" s="422">
        <f t="shared" si="74"/>
        <v>0</v>
      </c>
      <c r="AT183" s="425">
        <f t="shared" si="75"/>
        <v>0</v>
      </c>
      <c r="AU183" s="423">
        <f t="shared" si="76"/>
        <v>0</v>
      </c>
      <c r="AV183" s="419"/>
      <c r="AW183" s="421"/>
      <c r="AX183" s="419"/>
      <c r="AY183" s="419"/>
      <c r="AZ183" s="421"/>
      <c r="BA183" s="421"/>
      <c r="BB183" s="419"/>
      <c r="BC183" s="419"/>
      <c r="BD183" s="421"/>
      <c r="BE183" s="421"/>
      <c r="BF183" s="419"/>
      <c r="BG183" s="419"/>
      <c r="BH183" s="421"/>
      <c r="BI183" s="421"/>
      <c r="BJ183" s="419"/>
      <c r="BK183" s="419"/>
      <c r="BL183" s="421"/>
      <c r="BM183" s="421"/>
      <c r="BN183" s="419"/>
      <c r="BO183" s="419"/>
      <c r="BP183" s="421"/>
      <c r="BQ183" s="421"/>
      <c r="BR183" s="419"/>
      <c r="BS183" s="419"/>
      <c r="BT183" s="421"/>
      <c r="BU183" s="421"/>
      <c r="BV183" s="419"/>
      <c r="BW183" s="419"/>
      <c r="BX183" s="421"/>
      <c r="BY183" s="421"/>
      <c r="BZ183" s="419"/>
      <c r="CA183" s="419"/>
      <c r="CB183" s="421"/>
      <c r="CC183" s="421"/>
      <c r="CD183" s="419"/>
      <c r="CE183" s="419"/>
      <c r="CF183" s="421"/>
      <c r="CG183" s="421"/>
      <c r="CH183" s="419"/>
      <c r="CI183" s="419"/>
      <c r="CJ183" s="421"/>
      <c r="CK183" s="421"/>
      <c r="CL183" s="419"/>
      <c r="CM183" s="421"/>
      <c r="CN183" s="424">
        <f t="shared" si="77"/>
        <v>0</v>
      </c>
      <c r="CO183" s="424">
        <f t="shared" si="78"/>
        <v>0</v>
      </c>
      <c r="CP183" s="425">
        <f t="shared" si="79"/>
        <v>0</v>
      </c>
      <c r="CQ183" s="425">
        <f t="shared" si="80"/>
        <v>0</v>
      </c>
      <c r="CR183" s="419"/>
      <c r="CS183" s="419"/>
      <c r="CT183" s="421"/>
      <c r="CU183" s="421"/>
      <c r="CV183" s="419"/>
      <c r="CW183" s="419"/>
      <c r="CX183" s="421"/>
      <c r="CY183" s="421"/>
      <c r="CZ183" s="419"/>
      <c r="DA183" s="419"/>
      <c r="DB183" s="421"/>
      <c r="DC183" s="421"/>
      <c r="DD183" s="419"/>
      <c r="DE183" s="419"/>
      <c r="DF183" s="421"/>
      <c r="DG183" s="421"/>
      <c r="DH183" s="419"/>
      <c r="DI183" s="419"/>
      <c r="DJ183" s="421"/>
      <c r="DK183" s="421"/>
      <c r="DL183" s="419"/>
      <c r="DM183" s="419"/>
      <c r="DN183" s="421"/>
      <c r="DO183" s="421"/>
      <c r="DP183" s="419"/>
      <c r="DQ183" s="419"/>
      <c r="DR183" s="421"/>
      <c r="DS183" s="421"/>
      <c r="DT183" s="419"/>
      <c r="DU183" s="419"/>
      <c r="DV183" s="421"/>
      <c r="DW183" s="421"/>
      <c r="DX183" s="419"/>
      <c r="DY183" s="419"/>
      <c r="DZ183" s="421"/>
      <c r="EA183" s="421"/>
      <c r="EB183" s="419"/>
      <c r="EC183" s="419"/>
      <c r="ED183" s="421"/>
      <c r="EE183" s="421"/>
      <c r="EF183" s="419"/>
      <c r="EG183" s="421"/>
      <c r="EH183" s="424">
        <f t="shared" si="81"/>
        <v>0</v>
      </c>
      <c r="EI183" s="424">
        <f t="shared" si="82"/>
        <v>0</v>
      </c>
      <c r="EJ183" s="422">
        <f t="shared" si="83"/>
        <v>0</v>
      </c>
      <c r="EK183" s="425">
        <f t="shared" si="84"/>
        <v>0</v>
      </c>
      <c r="EL183" s="425">
        <f t="shared" si="85"/>
        <v>0</v>
      </c>
      <c r="EM183" s="423">
        <f t="shared" si="86"/>
        <v>0</v>
      </c>
      <c r="EN183" s="424">
        <f t="shared" si="87"/>
        <v>0</v>
      </c>
      <c r="EO183" s="425">
        <f t="shared" si="88"/>
        <v>0</v>
      </c>
      <c r="EP183" s="419"/>
      <c r="EQ183" s="421"/>
      <c r="ER183" s="419"/>
      <c r="ES183" s="421"/>
      <c r="ET183" s="419"/>
      <c r="EU183" s="421"/>
      <c r="EV183" s="419"/>
      <c r="EW183" s="421"/>
      <c r="EX183" s="419"/>
      <c r="EY183" s="421"/>
      <c r="EZ183" s="419"/>
      <c r="FA183" s="421"/>
      <c r="FB183" s="419"/>
      <c r="FC183" s="421"/>
      <c r="FD183" s="419"/>
      <c r="FE183" s="421"/>
      <c r="FF183" s="419"/>
      <c r="FG183" s="421"/>
      <c r="FH183" s="419"/>
      <c r="FI183" s="421"/>
      <c r="FJ183" s="424">
        <f t="shared" si="89"/>
        <v>0</v>
      </c>
      <c r="FK183" s="425">
        <f t="shared" si="90"/>
        <v>0</v>
      </c>
      <c r="FL183" s="419"/>
      <c r="FM183" s="421"/>
      <c r="FN183" s="424">
        <f t="shared" si="91"/>
        <v>3544</v>
      </c>
      <c r="FO183" s="425">
        <f t="shared" si="92"/>
        <v>2893</v>
      </c>
    </row>
    <row r="184" spans="1:171">
      <c r="A184" s="427" t="s">
        <v>158</v>
      </c>
      <c r="B184" s="57" t="s">
        <v>706</v>
      </c>
      <c r="C184" s="56"/>
      <c r="D184" s="55">
        <v>156338</v>
      </c>
      <c r="E184" s="116">
        <v>12</v>
      </c>
      <c r="F184" s="419">
        <v>1670</v>
      </c>
      <c r="G184" s="450">
        <v>2326</v>
      </c>
      <c r="H184" s="419"/>
      <c r="I184" s="421"/>
      <c r="J184" s="419">
        <v>703</v>
      </c>
      <c r="K184" s="455">
        <v>725</v>
      </c>
      <c r="L184" s="422">
        <f t="shared" si="71"/>
        <v>0</v>
      </c>
      <c r="M184" s="423">
        <f t="shared" si="72"/>
        <v>0</v>
      </c>
      <c r="N184" s="419"/>
      <c r="O184" s="309">
        <f>0</f>
        <v>0</v>
      </c>
      <c r="P184" s="309">
        <f>0</f>
        <v>0</v>
      </c>
      <c r="Q184" s="309">
        <f>0</f>
        <v>0</v>
      </c>
      <c r="R184" s="424">
        <f t="shared" si="69"/>
        <v>0</v>
      </c>
      <c r="S184" s="421"/>
      <c r="T184" s="301">
        <f>0</f>
        <v>0</v>
      </c>
      <c r="U184" s="301">
        <f>0</f>
        <v>0</v>
      </c>
      <c r="V184" s="301">
        <f>0</f>
        <v>0</v>
      </c>
      <c r="W184" s="425">
        <f t="shared" si="70"/>
        <v>0</v>
      </c>
      <c r="X184" s="419"/>
      <c r="Y184" s="419"/>
      <c r="Z184" s="421"/>
      <c r="AA184" s="421"/>
      <c r="AB184" s="419"/>
      <c r="AC184" s="419"/>
      <c r="AD184" s="421"/>
      <c r="AE184" s="421"/>
      <c r="AF184" s="419"/>
      <c r="AG184" s="419"/>
      <c r="AH184" s="421"/>
      <c r="AI184" s="421"/>
      <c r="AJ184" s="419"/>
      <c r="AK184" s="419"/>
      <c r="AL184" s="421"/>
      <c r="AM184" s="421"/>
      <c r="AN184" s="419"/>
      <c r="AO184" s="419"/>
      <c r="AP184" s="421"/>
      <c r="AQ184" s="421"/>
      <c r="AR184" s="424">
        <f t="shared" si="73"/>
        <v>0</v>
      </c>
      <c r="AS184" s="422">
        <f t="shared" si="74"/>
        <v>0</v>
      </c>
      <c r="AT184" s="425">
        <f t="shared" si="75"/>
        <v>0</v>
      </c>
      <c r="AU184" s="423">
        <f t="shared" si="76"/>
        <v>0</v>
      </c>
      <c r="AV184" s="419"/>
      <c r="AW184" s="421"/>
      <c r="AX184" s="419"/>
      <c r="AY184" s="419"/>
      <c r="AZ184" s="421"/>
      <c r="BA184" s="421"/>
      <c r="BB184" s="419"/>
      <c r="BC184" s="419"/>
      <c r="BD184" s="421"/>
      <c r="BE184" s="421"/>
      <c r="BF184" s="419"/>
      <c r="BG184" s="419"/>
      <c r="BH184" s="421"/>
      <c r="BI184" s="421"/>
      <c r="BJ184" s="419"/>
      <c r="BK184" s="419"/>
      <c r="BL184" s="421"/>
      <c r="BM184" s="421"/>
      <c r="BN184" s="419"/>
      <c r="BO184" s="419"/>
      <c r="BP184" s="421"/>
      <c r="BQ184" s="421"/>
      <c r="BR184" s="419"/>
      <c r="BS184" s="419"/>
      <c r="BT184" s="421"/>
      <c r="BU184" s="421"/>
      <c r="BV184" s="419"/>
      <c r="BW184" s="419"/>
      <c r="BX184" s="421"/>
      <c r="BY184" s="421"/>
      <c r="BZ184" s="419"/>
      <c r="CA184" s="419"/>
      <c r="CB184" s="421"/>
      <c r="CC184" s="421"/>
      <c r="CD184" s="419"/>
      <c r="CE184" s="419"/>
      <c r="CF184" s="421"/>
      <c r="CG184" s="421"/>
      <c r="CH184" s="419"/>
      <c r="CI184" s="419"/>
      <c r="CJ184" s="421"/>
      <c r="CK184" s="421"/>
      <c r="CL184" s="419"/>
      <c r="CM184" s="421"/>
      <c r="CN184" s="424">
        <f t="shared" si="77"/>
        <v>0</v>
      </c>
      <c r="CO184" s="424">
        <f t="shared" si="78"/>
        <v>0</v>
      </c>
      <c r="CP184" s="425">
        <f t="shared" si="79"/>
        <v>0</v>
      </c>
      <c r="CQ184" s="425">
        <f t="shared" si="80"/>
        <v>0</v>
      </c>
      <c r="CR184" s="419"/>
      <c r="CS184" s="419"/>
      <c r="CT184" s="421"/>
      <c r="CU184" s="421"/>
      <c r="CV184" s="419"/>
      <c r="CW184" s="419"/>
      <c r="CX184" s="421"/>
      <c r="CY184" s="421"/>
      <c r="CZ184" s="419"/>
      <c r="DA184" s="419"/>
      <c r="DB184" s="421"/>
      <c r="DC184" s="421"/>
      <c r="DD184" s="419"/>
      <c r="DE184" s="419"/>
      <c r="DF184" s="421"/>
      <c r="DG184" s="421"/>
      <c r="DH184" s="419"/>
      <c r="DI184" s="419"/>
      <c r="DJ184" s="421"/>
      <c r="DK184" s="421"/>
      <c r="DL184" s="419"/>
      <c r="DM184" s="419"/>
      <c r="DN184" s="421"/>
      <c r="DO184" s="421"/>
      <c r="DP184" s="419"/>
      <c r="DQ184" s="419"/>
      <c r="DR184" s="421"/>
      <c r="DS184" s="421"/>
      <c r="DT184" s="419"/>
      <c r="DU184" s="419"/>
      <c r="DV184" s="421"/>
      <c r="DW184" s="421"/>
      <c r="DX184" s="419"/>
      <c r="DY184" s="419"/>
      <c r="DZ184" s="421"/>
      <c r="EA184" s="421"/>
      <c r="EB184" s="419"/>
      <c r="EC184" s="419"/>
      <c r="ED184" s="421"/>
      <c r="EE184" s="421"/>
      <c r="EF184" s="419"/>
      <c r="EG184" s="421"/>
      <c r="EH184" s="424">
        <f t="shared" si="81"/>
        <v>0</v>
      </c>
      <c r="EI184" s="424">
        <f t="shared" si="82"/>
        <v>0</v>
      </c>
      <c r="EJ184" s="422">
        <f t="shared" si="83"/>
        <v>0</v>
      </c>
      <c r="EK184" s="425">
        <f t="shared" si="84"/>
        <v>0</v>
      </c>
      <c r="EL184" s="425">
        <f t="shared" si="85"/>
        <v>0</v>
      </c>
      <c r="EM184" s="423">
        <f t="shared" si="86"/>
        <v>0</v>
      </c>
      <c r="EN184" s="424">
        <f t="shared" si="87"/>
        <v>0</v>
      </c>
      <c r="EO184" s="425">
        <f t="shared" si="88"/>
        <v>0</v>
      </c>
      <c r="EP184" s="419"/>
      <c r="EQ184" s="421"/>
      <c r="ER184" s="419"/>
      <c r="ES184" s="421"/>
      <c r="ET184" s="419"/>
      <c r="EU184" s="421"/>
      <c r="EV184" s="419"/>
      <c r="EW184" s="421"/>
      <c r="EX184" s="419"/>
      <c r="EY184" s="421"/>
      <c r="EZ184" s="419"/>
      <c r="FA184" s="421"/>
      <c r="FB184" s="419"/>
      <c r="FC184" s="421"/>
      <c r="FD184" s="419"/>
      <c r="FE184" s="421"/>
      <c r="FF184" s="419"/>
      <c r="FG184" s="421"/>
      <c r="FH184" s="419"/>
      <c r="FI184" s="421"/>
      <c r="FJ184" s="424">
        <f t="shared" si="89"/>
        <v>0</v>
      </c>
      <c r="FK184" s="425">
        <f t="shared" si="90"/>
        <v>0</v>
      </c>
      <c r="FL184" s="419"/>
      <c r="FM184" s="421"/>
      <c r="FN184" s="424">
        <f t="shared" si="91"/>
        <v>2373</v>
      </c>
      <c r="FO184" s="425">
        <f t="shared" si="92"/>
        <v>3051</v>
      </c>
    </row>
    <row r="185" spans="1:171">
      <c r="A185" s="456" t="s">
        <v>159</v>
      </c>
      <c r="B185" s="27" t="s">
        <v>707</v>
      </c>
      <c r="C185" s="26"/>
      <c r="D185" s="25">
        <v>159391</v>
      </c>
      <c r="E185" s="25">
        <v>1</v>
      </c>
      <c r="F185" s="419"/>
      <c r="G185" s="421"/>
      <c r="H185" s="419"/>
      <c r="I185" s="421"/>
      <c r="J185" s="419"/>
      <c r="K185" s="421"/>
      <c r="L185" s="422">
        <f t="shared" si="71"/>
        <v>0</v>
      </c>
      <c r="M185" s="423">
        <f t="shared" si="72"/>
        <v>0</v>
      </c>
      <c r="N185" s="419">
        <v>5097</v>
      </c>
      <c r="O185" s="309">
        <f>0</f>
        <v>0</v>
      </c>
      <c r="P185" s="309">
        <f>0</f>
        <v>0</v>
      </c>
      <c r="Q185" s="309">
        <f>0</f>
        <v>0</v>
      </c>
      <c r="R185" s="424">
        <f t="shared" si="69"/>
        <v>0</v>
      </c>
      <c r="S185" s="431">
        <v>4971</v>
      </c>
      <c r="T185" s="301">
        <f>0</f>
        <v>0</v>
      </c>
      <c r="U185" s="301">
        <f>0</f>
        <v>0</v>
      </c>
      <c r="V185" s="301">
        <f>0</f>
        <v>0</v>
      </c>
      <c r="W185" s="425">
        <f t="shared" si="70"/>
        <v>0</v>
      </c>
      <c r="X185" s="419"/>
      <c r="Y185" s="419"/>
      <c r="Z185" s="421"/>
      <c r="AA185" s="421"/>
      <c r="AB185" s="419"/>
      <c r="AC185" s="419"/>
      <c r="AD185" s="421"/>
      <c r="AE185" s="421"/>
      <c r="AF185" s="419"/>
      <c r="AG185" s="419"/>
      <c r="AH185" s="421"/>
      <c r="AI185" s="421"/>
      <c r="AJ185" s="419"/>
      <c r="AK185" s="419"/>
      <c r="AL185" s="421"/>
      <c r="AM185" s="421"/>
      <c r="AN185" s="419"/>
      <c r="AO185" s="419"/>
      <c r="AP185" s="421"/>
      <c r="AQ185" s="421"/>
      <c r="AR185" s="424">
        <f t="shared" si="73"/>
        <v>0</v>
      </c>
      <c r="AS185" s="422">
        <f t="shared" si="74"/>
        <v>0.70929585304759257</v>
      </c>
      <c r="AT185" s="425">
        <f t="shared" si="75"/>
        <v>0</v>
      </c>
      <c r="AU185" s="423">
        <f t="shared" si="76"/>
        <v>0.70211864406779656</v>
      </c>
      <c r="AV185" s="419">
        <v>97</v>
      </c>
      <c r="AW185" s="431">
        <v>81</v>
      </c>
      <c r="AX185" s="419">
        <v>52</v>
      </c>
      <c r="AY185" s="419">
        <v>332</v>
      </c>
      <c r="AZ185" s="421">
        <v>52</v>
      </c>
      <c r="BA185" s="421">
        <v>387</v>
      </c>
      <c r="BB185" s="419">
        <v>13</v>
      </c>
      <c r="BC185" s="419">
        <v>282</v>
      </c>
      <c r="BD185" s="421">
        <v>44</v>
      </c>
      <c r="BE185" s="421">
        <v>338</v>
      </c>
      <c r="BF185" s="419">
        <v>44</v>
      </c>
      <c r="BG185" s="419">
        <v>229</v>
      </c>
      <c r="BH185" s="421">
        <v>13</v>
      </c>
      <c r="BI185" s="421">
        <v>191</v>
      </c>
      <c r="BJ185" s="419">
        <v>25</v>
      </c>
      <c r="BK185" s="419">
        <v>106</v>
      </c>
      <c r="BL185" s="421">
        <v>25</v>
      </c>
      <c r="BM185" s="420">
        <v>66</v>
      </c>
      <c r="BN185" s="419">
        <v>14</v>
      </c>
      <c r="BO185" s="419">
        <v>72</v>
      </c>
      <c r="BP185" s="421">
        <v>50</v>
      </c>
      <c r="BQ185" s="421">
        <v>61</v>
      </c>
      <c r="BR185" s="419">
        <v>50</v>
      </c>
      <c r="BS185" s="419">
        <v>53</v>
      </c>
      <c r="BT185" s="421">
        <v>51</v>
      </c>
      <c r="BU185" s="421">
        <v>54</v>
      </c>
      <c r="BV185" s="419">
        <v>45</v>
      </c>
      <c r="BW185" s="419">
        <v>53</v>
      </c>
      <c r="BX185" s="421">
        <v>14</v>
      </c>
      <c r="BY185" s="421">
        <v>52</v>
      </c>
      <c r="BZ185" s="419">
        <v>51</v>
      </c>
      <c r="CA185" s="419">
        <v>43</v>
      </c>
      <c r="CB185" s="421">
        <v>45</v>
      </c>
      <c r="CC185" s="421">
        <v>35</v>
      </c>
      <c r="CD185" s="419">
        <v>40</v>
      </c>
      <c r="CE185" s="419">
        <v>33</v>
      </c>
      <c r="CF185" s="421">
        <v>9</v>
      </c>
      <c r="CG185" s="421">
        <v>29</v>
      </c>
      <c r="CH185" s="419">
        <v>9</v>
      </c>
      <c r="CI185" s="419">
        <v>30</v>
      </c>
      <c r="CJ185" s="421">
        <v>11</v>
      </c>
      <c r="CK185" s="421">
        <v>25</v>
      </c>
      <c r="CL185" s="419">
        <v>177</v>
      </c>
      <c r="CM185" s="421">
        <v>189</v>
      </c>
      <c r="CN185" s="424">
        <f t="shared" si="77"/>
        <v>1410</v>
      </c>
      <c r="CO185" s="424">
        <f t="shared" si="78"/>
        <v>10</v>
      </c>
      <c r="CP185" s="425">
        <f t="shared" si="79"/>
        <v>1427</v>
      </c>
      <c r="CQ185" s="425">
        <f t="shared" si="80"/>
        <v>10</v>
      </c>
      <c r="CR185" s="419">
        <v>14</v>
      </c>
      <c r="CS185" s="419">
        <v>52</v>
      </c>
      <c r="CT185" s="421">
        <v>14</v>
      </c>
      <c r="CU185" s="421">
        <v>56</v>
      </c>
      <c r="CV185" s="419">
        <v>40</v>
      </c>
      <c r="CW185" s="419">
        <v>40</v>
      </c>
      <c r="CX185" s="421">
        <v>40</v>
      </c>
      <c r="CY185" s="420">
        <v>55</v>
      </c>
      <c r="CZ185" s="419">
        <v>50</v>
      </c>
      <c r="DA185" s="419">
        <v>34</v>
      </c>
      <c r="DB185" s="421">
        <v>50</v>
      </c>
      <c r="DC185" s="421">
        <v>32</v>
      </c>
      <c r="DD185" s="419">
        <v>1</v>
      </c>
      <c r="DE185" s="419">
        <v>27</v>
      </c>
      <c r="DF185" s="421">
        <v>13</v>
      </c>
      <c r="DG185" s="421">
        <v>30</v>
      </c>
      <c r="DH185" s="419">
        <v>26</v>
      </c>
      <c r="DI185" s="419">
        <v>26</v>
      </c>
      <c r="DJ185" s="421">
        <v>45</v>
      </c>
      <c r="DK185" s="421">
        <v>30</v>
      </c>
      <c r="DL185" s="419">
        <v>13</v>
      </c>
      <c r="DM185" s="419">
        <v>25</v>
      </c>
      <c r="DN185" s="421">
        <v>26</v>
      </c>
      <c r="DO185" s="421">
        <v>23</v>
      </c>
      <c r="DP185" s="419">
        <v>45</v>
      </c>
      <c r="DQ185" s="419">
        <v>21</v>
      </c>
      <c r="DR185" s="421">
        <v>1</v>
      </c>
      <c r="DS185" s="421">
        <v>23</v>
      </c>
      <c r="DT185" s="419">
        <v>23</v>
      </c>
      <c r="DU185" s="419">
        <v>13</v>
      </c>
      <c r="DV185" s="421">
        <v>42</v>
      </c>
      <c r="DW185" s="420">
        <v>20</v>
      </c>
      <c r="DX185" s="419">
        <v>3</v>
      </c>
      <c r="DY185" s="419">
        <v>13</v>
      </c>
      <c r="DZ185" s="421">
        <v>51</v>
      </c>
      <c r="EA185" s="421">
        <v>13</v>
      </c>
      <c r="EB185" s="419">
        <v>52</v>
      </c>
      <c r="EC185" s="419">
        <v>12</v>
      </c>
      <c r="ED185" s="421">
        <v>23</v>
      </c>
      <c r="EE185" s="421">
        <v>11</v>
      </c>
      <c r="EF185" s="419">
        <v>62</v>
      </c>
      <c r="EG185" s="421">
        <v>54</v>
      </c>
      <c r="EH185" s="424">
        <f t="shared" si="81"/>
        <v>325</v>
      </c>
      <c r="EI185" s="424">
        <f t="shared" si="82"/>
        <v>10</v>
      </c>
      <c r="EJ185" s="422">
        <f t="shared" si="83"/>
        <v>0.16</v>
      </c>
      <c r="EK185" s="425">
        <f t="shared" si="84"/>
        <v>347</v>
      </c>
      <c r="EL185" s="425">
        <f t="shared" si="85"/>
        <v>10</v>
      </c>
      <c r="EM185" s="423">
        <f t="shared" si="86"/>
        <v>0.16138328530259366</v>
      </c>
      <c r="EN185" s="424">
        <f t="shared" si="87"/>
        <v>1735</v>
      </c>
      <c r="EO185" s="425">
        <f t="shared" si="88"/>
        <v>1774</v>
      </c>
      <c r="EP185" s="419">
        <v>174</v>
      </c>
      <c r="EQ185" s="421">
        <v>166</v>
      </c>
      <c r="ER185" s="419"/>
      <c r="ES185" s="421"/>
      <c r="ET185" s="419"/>
      <c r="EU185" s="421"/>
      <c r="EV185" s="419"/>
      <c r="EW185" s="421"/>
      <c r="EX185" s="419"/>
      <c r="EY185" s="421"/>
      <c r="EZ185" s="419"/>
      <c r="FA185" s="421"/>
      <c r="FB185" s="419"/>
      <c r="FC185" s="421"/>
      <c r="FD185" s="419">
        <v>83</v>
      </c>
      <c r="FE185" s="421">
        <v>88</v>
      </c>
      <c r="FF185" s="419"/>
      <c r="FG185" s="421"/>
      <c r="FH185" s="419"/>
      <c r="FI185" s="421"/>
      <c r="FJ185" s="424">
        <f t="shared" si="89"/>
        <v>257</v>
      </c>
      <c r="FK185" s="425">
        <f t="shared" si="90"/>
        <v>254</v>
      </c>
      <c r="FL185" s="419"/>
      <c r="FM185" s="421"/>
      <c r="FN185" s="424">
        <f t="shared" si="91"/>
        <v>7186</v>
      </c>
      <c r="FO185" s="425">
        <f t="shared" si="92"/>
        <v>7080</v>
      </c>
    </row>
    <row r="186" spans="1:171">
      <c r="A186" s="456" t="s">
        <v>159</v>
      </c>
      <c r="B186" s="27" t="s">
        <v>708</v>
      </c>
      <c r="C186" s="26"/>
      <c r="D186" s="25">
        <v>159647</v>
      </c>
      <c r="E186" s="25">
        <v>2</v>
      </c>
      <c r="F186" s="419"/>
      <c r="G186" s="420">
        <v>1</v>
      </c>
      <c r="H186" s="419"/>
      <c r="I186" s="421"/>
      <c r="J186" s="419">
        <v>61</v>
      </c>
      <c r="K186" s="421">
        <v>62</v>
      </c>
      <c r="L186" s="422">
        <f t="shared" si="71"/>
        <v>4.0802675585284283E-2</v>
      </c>
      <c r="M186" s="423">
        <f t="shared" si="72"/>
        <v>4.044357469015003E-2</v>
      </c>
      <c r="N186" s="419">
        <v>1495</v>
      </c>
      <c r="O186" s="309">
        <f>0</f>
        <v>0</v>
      </c>
      <c r="P186" s="309">
        <f>0</f>
        <v>0</v>
      </c>
      <c r="Q186" s="309">
        <f>0</f>
        <v>0</v>
      </c>
      <c r="R186" s="424">
        <f t="shared" si="69"/>
        <v>0</v>
      </c>
      <c r="S186" s="431">
        <v>1533</v>
      </c>
      <c r="T186" s="301">
        <f>0</f>
        <v>0</v>
      </c>
      <c r="U186" s="301">
        <f>0</f>
        <v>0</v>
      </c>
      <c r="V186" s="301">
        <f>0</f>
        <v>0</v>
      </c>
      <c r="W186" s="425">
        <f t="shared" si="70"/>
        <v>0</v>
      </c>
      <c r="X186" s="419"/>
      <c r="Y186" s="419"/>
      <c r="Z186" s="421"/>
      <c r="AA186" s="421"/>
      <c r="AB186" s="419"/>
      <c r="AC186" s="419"/>
      <c r="AD186" s="421"/>
      <c r="AE186" s="421"/>
      <c r="AF186" s="419"/>
      <c r="AG186" s="419"/>
      <c r="AH186" s="421"/>
      <c r="AI186" s="421"/>
      <c r="AJ186" s="419"/>
      <c r="AK186" s="419"/>
      <c r="AL186" s="421"/>
      <c r="AM186" s="421"/>
      <c r="AN186" s="419"/>
      <c r="AO186" s="419"/>
      <c r="AP186" s="421"/>
      <c r="AQ186" s="421"/>
      <c r="AR186" s="424">
        <f t="shared" si="73"/>
        <v>0</v>
      </c>
      <c r="AS186" s="422">
        <f t="shared" si="74"/>
        <v>0.66950291088222125</v>
      </c>
      <c r="AT186" s="425">
        <f t="shared" si="75"/>
        <v>0</v>
      </c>
      <c r="AU186" s="423">
        <f t="shared" si="76"/>
        <v>0.72550875532418357</v>
      </c>
      <c r="AV186" s="419"/>
      <c r="AW186" s="431"/>
      <c r="AX186" s="419">
        <v>13</v>
      </c>
      <c r="AY186" s="419">
        <v>196</v>
      </c>
      <c r="AZ186" s="421">
        <v>52</v>
      </c>
      <c r="BA186" s="420">
        <v>135</v>
      </c>
      <c r="BB186" s="419">
        <v>52</v>
      </c>
      <c r="BC186" s="419">
        <v>184</v>
      </c>
      <c r="BD186" s="421">
        <v>13</v>
      </c>
      <c r="BE186" s="420">
        <v>90</v>
      </c>
      <c r="BF186" s="419">
        <v>51</v>
      </c>
      <c r="BG186" s="419">
        <v>61</v>
      </c>
      <c r="BH186" s="421">
        <v>51</v>
      </c>
      <c r="BI186" s="420">
        <v>46</v>
      </c>
      <c r="BJ186" s="419">
        <v>14</v>
      </c>
      <c r="BK186" s="419">
        <v>49</v>
      </c>
      <c r="BL186" s="421">
        <v>14</v>
      </c>
      <c r="BM186" s="421">
        <v>46</v>
      </c>
      <c r="BN186" s="419">
        <v>15</v>
      </c>
      <c r="BO186" s="419">
        <v>33</v>
      </c>
      <c r="BP186" s="421">
        <v>15</v>
      </c>
      <c r="BQ186" s="420">
        <v>43</v>
      </c>
      <c r="BR186" s="419">
        <v>42</v>
      </c>
      <c r="BS186" s="419">
        <v>25</v>
      </c>
      <c r="BT186" s="421">
        <v>42</v>
      </c>
      <c r="BU186" s="420">
        <v>19</v>
      </c>
      <c r="BV186" s="419">
        <v>26</v>
      </c>
      <c r="BW186" s="419">
        <v>13</v>
      </c>
      <c r="BX186" s="421">
        <v>4</v>
      </c>
      <c r="BY186" s="420">
        <v>19</v>
      </c>
      <c r="BZ186" s="419">
        <v>4</v>
      </c>
      <c r="CA186" s="419">
        <v>12</v>
      </c>
      <c r="CB186" s="421">
        <v>23</v>
      </c>
      <c r="CC186" s="420">
        <v>17</v>
      </c>
      <c r="CD186" s="419">
        <v>27</v>
      </c>
      <c r="CE186" s="419">
        <v>10</v>
      </c>
      <c r="CF186" s="421">
        <v>11</v>
      </c>
      <c r="CG186" s="420">
        <v>14</v>
      </c>
      <c r="CH186" s="419">
        <v>23</v>
      </c>
      <c r="CI186" s="419">
        <v>9</v>
      </c>
      <c r="CJ186" s="421">
        <v>26</v>
      </c>
      <c r="CK186" s="420">
        <v>7</v>
      </c>
      <c r="CL186" s="419">
        <v>35</v>
      </c>
      <c r="CM186" s="421">
        <v>30</v>
      </c>
      <c r="CN186" s="424">
        <f t="shared" si="77"/>
        <v>627</v>
      </c>
      <c r="CO186" s="424">
        <f t="shared" si="78"/>
        <v>10</v>
      </c>
      <c r="CP186" s="425">
        <f t="shared" si="79"/>
        <v>466</v>
      </c>
      <c r="CQ186" s="425">
        <f t="shared" si="80"/>
        <v>10</v>
      </c>
      <c r="CR186" s="419">
        <v>14</v>
      </c>
      <c r="CS186" s="419">
        <v>20</v>
      </c>
      <c r="CT186" s="421">
        <v>14</v>
      </c>
      <c r="CU186" s="420">
        <v>10</v>
      </c>
      <c r="CV186" s="419">
        <v>13</v>
      </c>
      <c r="CW186" s="419">
        <v>11</v>
      </c>
      <c r="CX186" s="421">
        <v>30</v>
      </c>
      <c r="CY186" s="421">
        <v>9</v>
      </c>
      <c r="CZ186" s="419">
        <v>42</v>
      </c>
      <c r="DA186" s="419">
        <v>7</v>
      </c>
      <c r="DB186" s="421">
        <v>13</v>
      </c>
      <c r="DC186" s="421">
        <v>8</v>
      </c>
      <c r="DD186" s="419">
        <v>52</v>
      </c>
      <c r="DE186" s="419">
        <v>5</v>
      </c>
      <c r="DF186" s="421">
        <v>11</v>
      </c>
      <c r="DG186" s="420">
        <v>7</v>
      </c>
      <c r="DH186" s="419">
        <v>11</v>
      </c>
      <c r="DI186" s="419">
        <v>3</v>
      </c>
      <c r="DJ186" s="421">
        <v>42</v>
      </c>
      <c r="DK186" s="420">
        <v>7</v>
      </c>
      <c r="DL186" s="419">
        <v>30</v>
      </c>
      <c r="DM186" s="419">
        <v>1</v>
      </c>
      <c r="DN186" s="421">
        <v>52</v>
      </c>
      <c r="DO186" s="420">
        <v>6</v>
      </c>
      <c r="DP186" s="419"/>
      <c r="DQ186" s="419"/>
      <c r="DR186" s="421"/>
      <c r="DS186" s="421"/>
      <c r="DT186" s="419"/>
      <c r="DU186" s="419"/>
      <c r="DV186" s="421"/>
      <c r="DW186" s="421"/>
      <c r="DX186" s="419"/>
      <c r="DY186" s="419"/>
      <c r="DZ186" s="421"/>
      <c r="EA186" s="421"/>
      <c r="EB186" s="419"/>
      <c r="EC186" s="419"/>
      <c r="ED186" s="421"/>
      <c r="EE186" s="421"/>
      <c r="EF186" s="419"/>
      <c r="EG186" s="421"/>
      <c r="EH186" s="424">
        <f t="shared" si="81"/>
        <v>47</v>
      </c>
      <c r="EI186" s="424">
        <f t="shared" si="82"/>
        <v>6</v>
      </c>
      <c r="EJ186" s="422">
        <f t="shared" si="83"/>
        <v>0.42553191489361702</v>
      </c>
      <c r="EK186" s="425">
        <f t="shared" si="84"/>
        <v>47</v>
      </c>
      <c r="EL186" s="425">
        <f t="shared" si="85"/>
        <v>6</v>
      </c>
      <c r="EM186" s="423">
        <f t="shared" si="86"/>
        <v>0.21276595744680851</v>
      </c>
      <c r="EN186" s="424">
        <f t="shared" si="87"/>
        <v>674</v>
      </c>
      <c r="EO186" s="425">
        <f t="shared" si="88"/>
        <v>513</v>
      </c>
      <c r="EP186" s="419"/>
      <c r="EQ186" s="421"/>
      <c r="ER186" s="419"/>
      <c r="ES186" s="421"/>
      <c r="ET186" s="419"/>
      <c r="EU186" s="421"/>
      <c r="EV186" s="419"/>
      <c r="EW186" s="421"/>
      <c r="EX186" s="419"/>
      <c r="EY186" s="421"/>
      <c r="EZ186" s="419"/>
      <c r="FA186" s="421"/>
      <c r="FB186" s="419"/>
      <c r="FC186" s="421"/>
      <c r="FD186" s="419"/>
      <c r="FE186" s="421"/>
      <c r="FF186" s="419"/>
      <c r="FG186" s="421"/>
      <c r="FH186" s="419">
        <v>3</v>
      </c>
      <c r="FI186" s="420">
        <v>4</v>
      </c>
      <c r="FJ186" s="424">
        <f t="shared" si="89"/>
        <v>3</v>
      </c>
      <c r="FK186" s="425">
        <f t="shared" si="90"/>
        <v>4</v>
      </c>
      <c r="FL186" s="419"/>
      <c r="FM186" s="421"/>
      <c r="FN186" s="424">
        <f t="shared" si="91"/>
        <v>2233</v>
      </c>
      <c r="FO186" s="425">
        <f t="shared" si="92"/>
        <v>2113</v>
      </c>
    </row>
    <row r="187" spans="1:171">
      <c r="A187" s="456" t="s">
        <v>159</v>
      </c>
      <c r="B187" s="27" t="s">
        <v>709</v>
      </c>
      <c r="C187" s="26"/>
      <c r="D187" s="25">
        <v>160658</v>
      </c>
      <c r="E187" s="25">
        <v>2</v>
      </c>
      <c r="F187" s="419"/>
      <c r="G187" s="421"/>
      <c r="H187" s="419"/>
      <c r="I187" s="421"/>
      <c r="J187" s="419"/>
      <c r="K187" s="421"/>
      <c r="L187" s="422">
        <f t="shared" si="71"/>
        <v>0</v>
      </c>
      <c r="M187" s="423">
        <f t="shared" si="72"/>
        <v>0</v>
      </c>
      <c r="N187" s="419">
        <v>2888</v>
      </c>
      <c r="O187" s="309">
        <f>0</f>
        <v>0</v>
      </c>
      <c r="P187" s="309">
        <f>0</f>
        <v>0</v>
      </c>
      <c r="Q187" s="309">
        <f>0</f>
        <v>0</v>
      </c>
      <c r="R187" s="424">
        <f t="shared" si="69"/>
        <v>0</v>
      </c>
      <c r="S187" s="431">
        <v>2906</v>
      </c>
      <c r="T187" s="301">
        <f>0</f>
        <v>0</v>
      </c>
      <c r="U187" s="301">
        <f>0</f>
        <v>0</v>
      </c>
      <c r="V187" s="301">
        <f>0</f>
        <v>0</v>
      </c>
      <c r="W187" s="425">
        <f t="shared" si="70"/>
        <v>0</v>
      </c>
      <c r="X187" s="419"/>
      <c r="Y187" s="419"/>
      <c r="Z187" s="421"/>
      <c r="AA187" s="421"/>
      <c r="AB187" s="419"/>
      <c r="AC187" s="419"/>
      <c r="AD187" s="421"/>
      <c r="AE187" s="421"/>
      <c r="AF187" s="419"/>
      <c r="AG187" s="419"/>
      <c r="AH187" s="421"/>
      <c r="AI187" s="421"/>
      <c r="AJ187" s="419"/>
      <c r="AK187" s="419"/>
      <c r="AL187" s="421"/>
      <c r="AM187" s="421"/>
      <c r="AN187" s="419"/>
      <c r="AO187" s="419"/>
      <c r="AP187" s="421"/>
      <c r="AQ187" s="421"/>
      <c r="AR187" s="424">
        <f t="shared" si="73"/>
        <v>0</v>
      </c>
      <c r="AS187" s="422">
        <f t="shared" si="74"/>
        <v>0.84124672298281389</v>
      </c>
      <c r="AT187" s="425">
        <f t="shared" si="75"/>
        <v>0</v>
      </c>
      <c r="AU187" s="423">
        <f t="shared" si="76"/>
        <v>0.80099228224917307</v>
      </c>
      <c r="AV187" s="419">
        <v>27</v>
      </c>
      <c r="AW187" s="444">
        <v>20</v>
      </c>
      <c r="AX187" s="419">
        <v>52</v>
      </c>
      <c r="AY187" s="419">
        <v>115</v>
      </c>
      <c r="AZ187" s="421">
        <v>52</v>
      </c>
      <c r="BA187" s="420">
        <v>283</v>
      </c>
      <c r="BB187" s="419">
        <v>51</v>
      </c>
      <c r="BC187" s="419">
        <v>81</v>
      </c>
      <c r="BD187" s="421">
        <v>51</v>
      </c>
      <c r="BE187" s="420">
        <v>98</v>
      </c>
      <c r="BF187" s="419">
        <v>13</v>
      </c>
      <c r="BG187" s="419">
        <v>65</v>
      </c>
      <c r="BH187" s="421">
        <v>13</v>
      </c>
      <c r="BI187" s="420">
        <v>84</v>
      </c>
      <c r="BJ187" s="419">
        <v>14</v>
      </c>
      <c r="BK187" s="419">
        <v>35</v>
      </c>
      <c r="BL187" s="421">
        <v>11</v>
      </c>
      <c r="BM187" s="421">
        <v>35</v>
      </c>
      <c r="BN187" s="419">
        <v>11</v>
      </c>
      <c r="BO187" s="419">
        <v>34</v>
      </c>
      <c r="BP187" s="421">
        <v>40</v>
      </c>
      <c r="BQ187" s="421">
        <v>32</v>
      </c>
      <c r="BR187" s="419">
        <v>40</v>
      </c>
      <c r="BS187" s="419">
        <v>33</v>
      </c>
      <c r="BT187" s="421">
        <v>14</v>
      </c>
      <c r="BU187" s="421">
        <v>30</v>
      </c>
      <c r="BV187" s="419">
        <v>4</v>
      </c>
      <c r="BW187" s="419">
        <v>21</v>
      </c>
      <c r="BX187" s="421">
        <v>23</v>
      </c>
      <c r="BY187" s="420">
        <v>12</v>
      </c>
      <c r="BZ187" s="419">
        <v>42</v>
      </c>
      <c r="CA187" s="419">
        <v>11</v>
      </c>
      <c r="CB187" s="421">
        <v>27</v>
      </c>
      <c r="CC187" s="421">
        <v>11</v>
      </c>
      <c r="CD187" s="419">
        <v>50</v>
      </c>
      <c r="CE187" s="419">
        <v>10</v>
      </c>
      <c r="CF187" s="421">
        <v>4</v>
      </c>
      <c r="CG187" s="421">
        <v>10</v>
      </c>
      <c r="CH187" s="419">
        <v>23</v>
      </c>
      <c r="CI187" s="419">
        <v>9</v>
      </c>
      <c r="CJ187" s="421">
        <v>9</v>
      </c>
      <c r="CK187" s="421">
        <v>9</v>
      </c>
      <c r="CL187" s="419">
        <v>40</v>
      </c>
      <c r="CM187" s="421">
        <v>38</v>
      </c>
      <c r="CN187" s="424">
        <f t="shared" si="77"/>
        <v>454</v>
      </c>
      <c r="CO187" s="424">
        <f t="shared" si="78"/>
        <v>10</v>
      </c>
      <c r="CP187" s="425">
        <f t="shared" si="79"/>
        <v>642</v>
      </c>
      <c r="CQ187" s="425">
        <f t="shared" si="80"/>
        <v>10</v>
      </c>
      <c r="CR187" s="419">
        <v>13</v>
      </c>
      <c r="CS187" s="419">
        <v>17</v>
      </c>
      <c r="CT187" s="421">
        <v>13</v>
      </c>
      <c r="CU187" s="421">
        <v>14</v>
      </c>
      <c r="CV187" s="419">
        <v>23</v>
      </c>
      <c r="CW187" s="419">
        <v>12</v>
      </c>
      <c r="CX187" s="421">
        <v>23</v>
      </c>
      <c r="CY187" s="421">
        <v>12</v>
      </c>
      <c r="CZ187" s="419">
        <v>14</v>
      </c>
      <c r="DA187" s="419">
        <v>10</v>
      </c>
      <c r="DB187" s="421">
        <v>14</v>
      </c>
      <c r="DC187" s="421">
        <v>11</v>
      </c>
      <c r="DD187" s="419">
        <v>26</v>
      </c>
      <c r="DE187" s="419">
        <v>7</v>
      </c>
      <c r="DF187" s="421">
        <v>51</v>
      </c>
      <c r="DG187" s="420">
        <v>5</v>
      </c>
      <c r="DH187" s="419">
        <v>11</v>
      </c>
      <c r="DI187" s="419">
        <v>5</v>
      </c>
      <c r="DJ187" s="421">
        <v>11</v>
      </c>
      <c r="DK187" s="421">
        <v>5</v>
      </c>
      <c r="DL187" s="419">
        <v>27</v>
      </c>
      <c r="DM187" s="419">
        <v>4</v>
      </c>
      <c r="DN187" s="421">
        <v>27</v>
      </c>
      <c r="DO187" s="420">
        <v>5</v>
      </c>
      <c r="DP187" s="419">
        <v>51</v>
      </c>
      <c r="DQ187" s="419">
        <v>4</v>
      </c>
      <c r="DR187" s="421">
        <v>26</v>
      </c>
      <c r="DS187" s="420">
        <v>3</v>
      </c>
      <c r="DT187" s="419">
        <v>5</v>
      </c>
      <c r="DU187" s="419">
        <v>3</v>
      </c>
      <c r="DV187" s="421">
        <v>5</v>
      </c>
      <c r="DW187" s="420">
        <v>1</v>
      </c>
      <c r="DX187" s="419"/>
      <c r="DY187" s="419"/>
      <c r="DZ187" s="421"/>
      <c r="EA187" s="421"/>
      <c r="EB187" s="419"/>
      <c r="EC187" s="419"/>
      <c r="ED187" s="421"/>
      <c r="EE187" s="421"/>
      <c r="EF187" s="419"/>
      <c r="EG187" s="421"/>
      <c r="EH187" s="424">
        <f t="shared" si="81"/>
        <v>62</v>
      </c>
      <c r="EI187" s="424">
        <f t="shared" si="82"/>
        <v>8</v>
      </c>
      <c r="EJ187" s="422">
        <f t="shared" si="83"/>
        <v>0.27419354838709675</v>
      </c>
      <c r="EK187" s="425">
        <f t="shared" si="84"/>
        <v>56</v>
      </c>
      <c r="EL187" s="425">
        <f t="shared" si="85"/>
        <v>8</v>
      </c>
      <c r="EM187" s="423">
        <f t="shared" si="86"/>
        <v>0.25</v>
      </c>
      <c r="EN187" s="424">
        <f t="shared" si="87"/>
        <v>516</v>
      </c>
      <c r="EO187" s="425">
        <f t="shared" si="88"/>
        <v>698</v>
      </c>
      <c r="EP187" s="419"/>
      <c r="EQ187" s="421"/>
      <c r="ER187" s="419"/>
      <c r="ES187" s="421"/>
      <c r="ET187" s="419"/>
      <c r="EU187" s="421"/>
      <c r="EV187" s="419"/>
      <c r="EW187" s="421"/>
      <c r="EX187" s="419"/>
      <c r="EY187" s="421"/>
      <c r="EZ187" s="419"/>
      <c r="FA187" s="421"/>
      <c r="FB187" s="419"/>
      <c r="FC187" s="421"/>
      <c r="FD187" s="419"/>
      <c r="FE187" s="421"/>
      <c r="FF187" s="419"/>
      <c r="FG187" s="421"/>
      <c r="FH187" s="419">
        <v>2</v>
      </c>
      <c r="FI187" s="420">
        <v>4</v>
      </c>
      <c r="FJ187" s="424">
        <f t="shared" si="89"/>
        <v>2</v>
      </c>
      <c r="FK187" s="425">
        <f t="shared" si="90"/>
        <v>4</v>
      </c>
      <c r="FL187" s="419"/>
      <c r="FM187" s="421"/>
      <c r="FN187" s="424">
        <f t="shared" si="91"/>
        <v>3433</v>
      </c>
      <c r="FO187" s="425">
        <f t="shared" si="92"/>
        <v>3628</v>
      </c>
    </row>
    <row r="188" spans="1:171">
      <c r="A188" s="456" t="s">
        <v>159</v>
      </c>
      <c r="B188" s="27" t="s">
        <v>710</v>
      </c>
      <c r="C188" s="26"/>
      <c r="D188" s="25">
        <v>159939</v>
      </c>
      <c r="E188" s="25">
        <v>2</v>
      </c>
      <c r="F188" s="419"/>
      <c r="G188" s="421"/>
      <c r="H188" s="419"/>
      <c r="I188" s="421"/>
      <c r="J188" s="419"/>
      <c r="K188" s="421"/>
      <c r="L188" s="422">
        <f t="shared" si="71"/>
        <v>0</v>
      </c>
      <c r="M188" s="423">
        <f t="shared" si="72"/>
        <v>0</v>
      </c>
      <c r="N188" s="419">
        <v>1087</v>
      </c>
      <c r="O188" s="309">
        <f>0</f>
        <v>0</v>
      </c>
      <c r="P188" s="309">
        <f>0</f>
        <v>0</v>
      </c>
      <c r="Q188" s="309">
        <f>0</f>
        <v>0</v>
      </c>
      <c r="R188" s="424">
        <f t="shared" si="69"/>
        <v>0</v>
      </c>
      <c r="S188" s="431">
        <v>1101</v>
      </c>
      <c r="T188" s="301">
        <f>0</f>
        <v>0</v>
      </c>
      <c r="U188" s="301">
        <f>0</f>
        <v>0</v>
      </c>
      <c r="V188" s="301">
        <f>0</f>
        <v>0</v>
      </c>
      <c r="W188" s="425">
        <f t="shared" si="70"/>
        <v>0</v>
      </c>
      <c r="X188" s="419"/>
      <c r="Y188" s="419"/>
      <c r="Z188" s="421"/>
      <c r="AA188" s="421"/>
      <c r="AB188" s="419"/>
      <c r="AC188" s="419"/>
      <c r="AD188" s="421"/>
      <c r="AE188" s="421"/>
      <c r="AF188" s="419"/>
      <c r="AG188" s="419"/>
      <c r="AH188" s="421"/>
      <c r="AI188" s="421"/>
      <c r="AJ188" s="419"/>
      <c r="AK188" s="419"/>
      <c r="AL188" s="421"/>
      <c r="AM188" s="421"/>
      <c r="AN188" s="419"/>
      <c r="AO188" s="419"/>
      <c r="AP188" s="421"/>
      <c r="AQ188" s="421"/>
      <c r="AR188" s="424">
        <f t="shared" si="73"/>
        <v>0</v>
      </c>
      <c r="AS188" s="422">
        <f t="shared" si="74"/>
        <v>0.68022528160200246</v>
      </c>
      <c r="AT188" s="425">
        <f t="shared" si="75"/>
        <v>0</v>
      </c>
      <c r="AU188" s="423">
        <f t="shared" si="76"/>
        <v>0.70038167938931295</v>
      </c>
      <c r="AV188" s="419"/>
      <c r="AW188" s="431"/>
      <c r="AX188" s="419">
        <v>52</v>
      </c>
      <c r="AY188" s="419">
        <v>111</v>
      </c>
      <c r="AZ188" s="421">
        <v>52</v>
      </c>
      <c r="BA188" s="421">
        <v>122</v>
      </c>
      <c r="BB188" s="419">
        <v>13</v>
      </c>
      <c r="BC188" s="419">
        <v>67</v>
      </c>
      <c r="BD188" s="421">
        <v>13</v>
      </c>
      <c r="BE188" s="421">
        <v>54</v>
      </c>
      <c r="BF188" s="419">
        <v>23</v>
      </c>
      <c r="BG188" s="419">
        <v>42</v>
      </c>
      <c r="BH188" s="421">
        <v>23</v>
      </c>
      <c r="BI188" s="421">
        <v>48</v>
      </c>
      <c r="BJ188" s="419">
        <v>50</v>
      </c>
      <c r="BK188" s="419">
        <v>41</v>
      </c>
      <c r="BL188" s="421">
        <v>16</v>
      </c>
      <c r="BM188" s="420">
        <v>26</v>
      </c>
      <c r="BN188" s="419">
        <v>40</v>
      </c>
      <c r="BO188" s="419">
        <v>32</v>
      </c>
      <c r="BP188" s="421">
        <v>14</v>
      </c>
      <c r="BQ188" s="420">
        <v>24</v>
      </c>
      <c r="BR188" s="419">
        <v>14</v>
      </c>
      <c r="BS188" s="419">
        <v>31</v>
      </c>
      <c r="BT188" s="421">
        <v>50</v>
      </c>
      <c r="BU188" s="420">
        <v>21</v>
      </c>
      <c r="BV188" s="419">
        <v>16</v>
      </c>
      <c r="BW188" s="419">
        <v>21</v>
      </c>
      <c r="BX188" s="421">
        <v>40</v>
      </c>
      <c r="BY188" s="421">
        <v>20</v>
      </c>
      <c r="BZ188" s="419">
        <v>51</v>
      </c>
      <c r="CA188" s="419">
        <v>21</v>
      </c>
      <c r="CB188" s="421">
        <v>51</v>
      </c>
      <c r="CC188" s="421">
        <v>17</v>
      </c>
      <c r="CD188" s="419">
        <v>11</v>
      </c>
      <c r="CE188" s="419">
        <v>20</v>
      </c>
      <c r="CF188" s="421">
        <v>54</v>
      </c>
      <c r="CG188" s="421">
        <v>16</v>
      </c>
      <c r="CH188" s="419">
        <v>54</v>
      </c>
      <c r="CI188" s="419">
        <v>18</v>
      </c>
      <c r="CJ188" s="421">
        <v>4</v>
      </c>
      <c r="CK188" s="421">
        <v>16</v>
      </c>
      <c r="CL188" s="419">
        <v>67</v>
      </c>
      <c r="CM188" s="421">
        <v>70</v>
      </c>
      <c r="CN188" s="424">
        <f t="shared" si="77"/>
        <v>471</v>
      </c>
      <c r="CO188" s="424">
        <f t="shared" si="78"/>
        <v>10</v>
      </c>
      <c r="CP188" s="425">
        <f t="shared" si="79"/>
        <v>434</v>
      </c>
      <c r="CQ188" s="425">
        <f t="shared" si="80"/>
        <v>10</v>
      </c>
      <c r="CR188" s="419">
        <v>13</v>
      </c>
      <c r="CS188" s="419">
        <v>14</v>
      </c>
      <c r="CT188" s="421">
        <v>14</v>
      </c>
      <c r="CU188" s="420">
        <v>10</v>
      </c>
      <c r="CV188" s="419">
        <v>52</v>
      </c>
      <c r="CW188" s="419">
        <v>8</v>
      </c>
      <c r="CX188" s="421">
        <v>52</v>
      </c>
      <c r="CY188" s="420">
        <v>10</v>
      </c>
      <c r="CZ188" s="419">
        <v>14</v>
      </c>
      <c r="DA188" s="419">
        <v>8</v>
      </c>
      <c r="DB188" s="421">
        <v>13</v>
      </c>
      <c r="DC188" s="421">
        <v>7</v>
      </c>
      <c r="DD188" s="419">
        <v>45</v>
      </c>
      <c r="DE188" s="419">
        <v>6</v>
      </c>
      <c r="DF188" s="421">
        <v>42</v>
      </c>
      <c r="DG188" s="420">
        <v>4</v>
      </c>
      <c r="DH188" s="419">
        <v>40</v>
      </c>
      <c r="DI188" s="419">
        <v>2</v>
      </c>
      <c r="DJ188" s="421">
        <v>45</v>
      </c>
      <c r="DK188" s="421">
        <v>2</v>
      </c>
      <c r="DL188" s="419">
        <v>42</v>
      </c>
      <c r="DM188" s="419">
        <v>1</v>
      </c>
      <c r="DN188" s="421">
        <v>26</v>
      </c>
      <c r="DO188" s="420">
        <v>2</v>
      </c>
      <c r="DP188" s="419">
        <v>26</v>
      </c>
      <c r="DQ188" s="419">
        <v>1</v>
      </c>
      <c r="DR188" s="421">
        <v>40</v>
      </c>
      <c r="DS188" s="420">
        <v>2</v>
      </c>
      <c r="DT188" s="419"/>
      <c r="DU188" s="419"/>
      <c r="DV188" s="421"/>
      <c r="DW188" s="421"/>
      <c r="DX188" s="419"/>
      <c r="DY188" s="419"/>
      <c r="DZ188" s="421"/>
      <c r="EA188" s="421"/>
      <c r="EB188" s="419"/>
      <c r="EC188" s="419"/>
      <c r="ED188" s="421"/>
      <c r="EE188" s="421"/>
      <c r="EF188" s="419"/>
      <c r="EG188" s="421"/>
      <c r="EH188" s="424">
        <f t="shared" si="81"/>
        <v>40</v>
      </c>
      <c r="EI188" s="424">
        <f t="shared" si="82"/>
        <v>7</v>
      </c>
      <c r="EJ188" s="422">
        <f t="shared" si="83"/>
        <v>0.35</v>
      </c>
      <c r="EK188" s="425">
        <f t="shared" si="84"/>
        <v>37</v>
      </c>
      <c r="EL188" s="425">
        <f t="shared" si="85"/>
        <v>7</v>
      </c>
      <c r="EM188" s="423">
        <f t="shared" si="86"/>
        <v>0.27027027027027029</v>
      </c>
      <c r="EN188" s="424">
        <f t="shared" si="87"/>
        <v>511</v>
      </c>
      <c r="EO188" s="425">
        <f t="shared" si="88"/>
        <v>471</v>
      </c>
      <c r="EP188" s="419"/>
      <c r="EQ188" s="421"/>
      <c r="ER188" s="419"/>
      <c r="ES188" s="421"/>
      <c r="ET188" s="419"/>
      <c r="EU188" s="421"/>
      <c r="EV188" s="419"/>
      <c r="EW188" s="421"/>
      <c r="EX188" s="419"/>
      <c r="EY188" s="421"/>
      <c r="EZ188" s="419"/>
      <c r="FA188" s="421"/>
      <c r="FB188" s="419"/>
      <c r="FC188" s="421"/>
      <c r="FD188" s="419"/>
      <c r="FE188" s="421"/>
      <c r="FF188" s="419"/>
      <c r="FG188" s="421"/>
      <c r="FH188" s="419"/>
      <c r="FI188" s="421"/>
      <c r="FJ188" s="424">
        <f t="shared" si="89"/>
        <v>0</v>
      </c>
      <c r="FK188" s="425">
        <f t="shared" si="90"/>
        <v>0</v>
      </c>
      <c r="FL188" s="419"/>
      <c r="FM188" s="421"/>
      <c r="FN188" s="424">
        <f t="shared" si="91"/>
        <v>1598</v>
      </c>
      <c r="FO188" s="425">
        <f t="shared" si="92"/>
        <v>1572</v>
      </c>
    </row>
    <row r="189" spans="1:171">
      <c r="A189" s="456" t="s">
        <v>159</v>
      </c>
      <c r="B189" s="27" t="s">
        <v>711</v>
      </c>
      <c r="C189" s="23"/>
      <c r="D189" s="25">
        <v>159717</v>
      </c>
      <c r="E189" s="25">
        <v>3</v>
      </c>
      <c r="F189" s="419"/>
      <c r="G189" s="421"/>
      <c r="H189" s="419"/>
      <c r="I189" s="421"/>
      <c r="J189" s="419">
        <v>97</v>
      </c>
      <c r="K189" s="420">
        <v>146</v>
      </c>
      <c r="L189" s="422">
        <f t="shared" si="71"/>
        <v>9.3448940269749523E-2</v>
      </c>
      <c r="M189" s="423">
        <f t="shared" si="72"/>
        <v>0.14092664092664092</v>
      </c>
      <c r="N189" s="419">
        <v>1038</v>
      </c>
      <c r="O189" s="309">
        <f>0</f>
        <v>0</v>
      </c>
      <c r="P189" s="309">
        <f>0</f>
        <v>0</v>
      </c>
      <c r="Q189" s="309">
        <f>0</f>
        <v>0</v>
      </c>
      <c r="R189" s="424">
        <f t="shared" si="69"/>
        <v>0</v>
      </c>
      <c r="S189" s="431">
        <v>1036</v>
      </c>
      <c r="T189" s="301">
        <f>0</f>
        <v>0</v>
      </c>
      <c r="U189" s="301">
        <f>0</f>
        <v>0</v>
      </c>
      <c r="V189" s="301">
        <f>0</f>
        <v>0</v>
      </c>
      <c r="W189" s="425">
        <f t="shared" si="70"/>
        <v>0</v>
      </c>
      <c r="X189" s="419"/>
      <c r="Y189" s="419"/>
      <c r="Z189" s="421"/>
      <c r="AA189" s="421"/>
      <c r="AB189" s="419"/>
      <c r="AC189" s="419"/>
      <c r="AD189" s="421"/>
      <c r="AE189" s="421"/>
      <c r="AF189" s="419"/>
      <c r="AG189" s="419"/>
      <c r="AH189" s="421"/>
      <c r="AI189" s="421"/>
      <c r="AJ189" s="419"/>
      <c r="AK189" s="419"/>
      <c r="AL189" s="421"/>
      <c r="AM189" s="421"/>
      <c r="AN189" s="419"/>
      <c r="AO189" s="419"/>
      <c r="AP189" s="421"/>
      <c r="AQ189" s="421"/>
      <c r="AR189" s="424">
        <f t="shared" si="73"/>
        <v>0</v>
      </c>
      <c r="AS189" s="422">
        <f t="shared" si="74"/>
        <v>0.75162925416364956</v>
      </c>
      <c r="AT189" s="425">
        <f t="shared" si="75"/>
        <v>0</v>
      </c>
      <c r="AU189" s="423">
        <f t="shared" si="76"/>
        <v>0.72957746478873242</v>
      </c>
      <c r="AV189" s="419">
        <v>22</v>
      </c>
      <c r="AW189" s="431">
        <v>21</v>
      </c>
      <c r="AX189" s="419">
        <v>51</v>
      </c>
      <c r="AY189" s="419">
        <v>50</v>
      </c>
      <c r="AZ189" s="421">
        <v>51</v>
      </c>
      <c r="BA189" s="421">
        <v>54</v>
      </c>
      <c r="BB189" s="419">
        <v>13</v>
      </c>
      <c r="BC189" s="419">
        <v>36</v>
      </c>
      <c r="BD189" s="421">
        <v>42</v>
      </c>
      <c r="BE189" s="421">
        <v>29</v>
      </c>
      <c r="BF189" s="419">
        <v>31</v>
      </c>
      <c r="BG189" s="419">
        <v>28</v>
      </c>
      <c r="BH189" s="421">
        <v>43</v>
      </c>
      <c r="BI189" s="421">
        <v>26</v>
      </c>
      <c r="BJ189" s="419">
        <v>52</v>
      </c>
      <c r="BK189" s="419">
        <v>27</v>
      </c>
      <c r="BL189" s="421">
        <v>52</v>
      </c>
      <c r="BM189" s="421">
        <v>25</v>
      </c>
      <c r="BN189" s="419">
        <v>42</v>
      </c>
      <c r="BO189" s="419">
        <v>22</v>
      </c>
      <c r="BP189" s="421">
        <v>13</v>
      </c>
      <c r="BQ189" s="421">
        <v>24</v>
      </c>
      <c r="BR189" s="419">
        <v>23</v>
      </c>
      <c r="BS189" s="419">
        <v>21</v>
      </c>
      <c r="BT189" s="421">
        <v>31</v>
      </c>
      <c r="BU189" s="421">
        <v>24</v>
      </c>
      <c r="BV189" s="419">
        <v>43</v>
      </c>
      <c r="BW189" s="419">
        <v>16</v>
      </c>
      <c r="BX189" s="421">
        <v>23</v>
      </c>
      <c r="BY189" s="421">
        <v>14</v>
      </c>
      <c r="BZ189" s="419">
        <v>40</v>
      </c>
      <c r="CA189" s="419">
        <v>11</v>
      </c>
      <c r="CB189" s="421">
        <v>40</v>
      </c>
      <c r="CC189" s="421">
        <v>11</v>
      </c>
      <c r="CD189" s="419">
        <v>14</v>
      </c>
      <c r="CE189" s="419">
        <v>8</v>
      </c>
      <c r="CF189" s="421">
        <v>14</v>
      </c>
      <c r="CG189" s="420">
        <v>5</v>
      </c>
      <c r="CH189" s="419">
        <v>27</v>
      </c>
      <c r="CI189" s="419">
        <v>5</v>
      </c>
      <c r="CJ189" s="421">
        <v>27</v>
      </c>
      <c r="CK189" s="421">
        <v>5</v>
      </c>
      <c r="CL189" s="419"/>
      <c r="CM189" s="421"/>
      <c r="CN189" s="424">
        <f t="shared" si="77"/>
        <v>224</v>
      </c>
      <c r="CO189" s="424">
        <f t="shared" si="78"/>
        <v>10</v>
      </c>
      <c r="CP189" s="425">
        <f t="shared" si="79"/>
        <v>217</v>
      </c>
      <c r="CQ189" s="425">
        <f t="shared" si="80"/>
        <v>10</v>
      </c>
      <c r="CR189" s="419"/>
      <c r="CS189" s="419"/>
      <c r="CT189" s="421"/>
      <c r="CU189" s="421"/>
      <c r="CV189" s="419"/>
      <c r="CW189" s="419"/>
      <c r="CX189" s="421"/>
      <c r="CY189" s="421"/>
      <c r="CZ189" s="419"/>
      <c r="DA189" s="419"/>
      <c r="DB189" s="421"/>
      <c r="DC189" s="421"/>
      <c r="DD189" s="419"/>
      <c r="DE189" s="419"/>
      <c r="DF189" s="421"/>
      <c r="DG189" s="421"/>
      <c r="DH189" s="419"/>
      <c r="DI189" s="419"/>
      <c r="DJ189" s="421"/>
      <c r="DK189" s="421"/>
      <c r="DL189" s="419"/>
      <c r="DM189" s="419"/>
      <c r="DN189" s="421"/>
      <c r="DO189" s="421"/>
      <c r="DP189" s="419"/>
      <c r="DQ189" s="419"/>
      <c r="DR189" s="421"/>
      <c r="DS189" s="421"/>
      <c r="DT189" s="419"/>
      <c r="DU189" s="419"/>
      <c r="DV189" s="421"/>
      <c r="DW189" s="421"/>
      <c r="DX189" s="419"/>
      <c r="DY189" s="419"/>
      <c r="DZ189" s="421"/>
      <c r="EA189" s="421"/>
      <c r="EB189" s="419"/>
      <c r="EC189" s="419"/>
      <c r="ED189" s="421"/>
      <c r="EE189" s="421"/>
      <c r="EF189" s="419"/>
      <c r="EG189" s="421"/>
      <c r="EH189" s="424">
        <f t="shared" si="81"/>
        <v>0</v>
      </c>
      <c r="EI189" s="424">
        <f t="shared" si="82"/>
        <v>0</v>
      </c>
      <c r="EJ189" s="422">
        <f t="shared" si="83"/>
        <v>0</v>
      </c>
      <c r="EK189" s="425">
        <f t="shared" si="84"/>
        <v>0</v>
      </c>
      <c r="EL189" s="425">
        <f t="shared" si="85"/>
        <v>0</v>
      </c>
      <c r="EM189" s="423">
        <f t="shared" si="86"/>
        <v>0</v>
      </c>
      <c r="EN189" s="424">
        <f t="shared" si="87"/>
        <v>224</v>
      </c>
      <c r="EO189" s="425">
        <f t="shared" si="88"/>
        <v>217</v>
      </c>
      <c r="EP189" s="419"/>
      <c r="EQ189" s="421"/>
      <c r="ER189" s="419"/>
      <c r="ES189" s="421"/>
      <c r="ET189" s="419"/>
      <c r="EU189" s="421"/>
      <c r="EV189" s="419"/>
      <c r="EW189" s="421"/>
      <c r="EX189" s="419"/>
      <c r="EY189" s="421"/>
      <c r="EZ189" s="419"/>
      <c r="FA189" s="421"/>
      <c r="FB189" s="419"/>
      <c r="FC189" s="421"/>
      <c r="FD189" s="419"/>
      <c r="FE189" s="421"/>
      <c r="FF189" s="419"/>
      <c r="FG189" s="421"/>
      <c r="FH189" s="419"/>
      <c r="FI189" s="421"/>
      <c r="FJ189" s="424">
        <f t="shared" si="89"/>
        <v>0</v>
      </c>
      <c r="FK189" s="425">
        <f t="shared" si="90"/>
        <v>0</v>
      </c>
      <c r="FL189" s="419"/>
      <c r="FM189" s="421"/>
      <c r="FN189" s="424">
        <f t="shared" si="91"/>
        <v>1381</v>
      </c>
      <c r="FO189" s="425">
        <f t="shared" si="92"/>
        <v>1420</v>
      </c>
    </row>
    <row r="190" spans="1:171">
      <c r="A190" s="456" t="s">
        <v>159</v>
      </c>
      <c r="B190" s="27" t="s">
        <v>712</v>
      </c>
      <c r="C190" s="26"/>
      <c r="D190" s="25">
        <v>160612</v>
      </c>
      <c r="E190" s="25">
        <v>3</v>
      </c>
      <c r="F190" s="419"/>
      <c r="G190" s="421"/>
      <c r="H190" s="419"/>
      <c r="I190" s="421"/>
      <c r="J190" s="419">
        <v>10</v>
      </c>
      <c r="K190" s="421">
        <v>12</v>
      </c>
      <c r="L190" s="422">
        <f t="shared" si="71"/>
        <v>5.6882821387940841E-3</v>
      </c>
      <c r="M190" s="423">
        <f t="shared" si="72"/>
        <v>6.7720090293453723E-3</v>
      </c>
      <c r="N190" s="419">
        <v>1758</v>
      </c>
      <c r="O190" s="309">
        <f>0</f>
        <v>0</v>
      </c>
      <c r="P190" s="309">
        <f>0</f>
        <v>0</v>
      </c>
      <c r="Q190" s="309">
        <f>0</f>
        <v>0</v>
      </c>
      <c r="R190" s="424">
        <f t="shared" si="69"/>
        <v>0</v>
      </c>
      <c r="S190" s="431">
        <v>1772</v>
      </c>
      <c r="T190" s="301">
        <f>0</f>
        <v>0</v>
      </c>
      <c r="U190" s="301">
        <f>0</f>
        <v>0</v>
      </c>
      <c r="V190" s="301">
        <f>0</f>
        <v>0</v>
      </c>
      <c r="W190" s="425">
        <f t="shared" si="70"/>
        <v>0</v>
      </c>
      <c r="X190" s="419"/>
      <c r="Y190" s="419"/>
      <c r="Z190" s="421"/>
      <c r="AA190" s="421"/>
      <c r="AB190" s="419"/>
      <c r="AC190" s="419"/>
      <c r="AD190" s="421"/>
      <c r="AE190" s="421"/>
      <c r="AF190" s="419"/>
      <c r="AG190" s="419"/>
      <c r="AH190" s="421"/>
      <c r="AI190" s="421"/>
      <c r="AJ190" s="419"/>
      <c r="AK190" s="419"/>
      <c r="AL190" s="421"/>
      <c r="AM190" s="421"/>
      <c r="AN190" s="419"/>
      <c r="AO190" s="419"/>
      <c r="AP190" s="421"/>
      <c r="AQ190" s="421"/>
      <c r="AR190" s="424">
        <f t="shared" si="73"/>
        <v>0</v>
      </c>
      <c r="AS190" s="422">
        <f t="shared" si="74"/>
        <v>0.84559884559884557</v>
      </c>
      <c r="AT190" s="425">
        <f t="shared" si="75"/>
        <v>0</v>
      </c>
      <c r="AU190" s="423">
        <f t="shared" si="76"/>
        <v>0.82958801498127344</v>
      </c>
      <c r="AV190" s="419">
        <v>2</v>
      </c>
      <c r="AW190" s="444"/>
      <c r="AX190" s="419">
        <v>13</v>
      </c>
      <c r="AY190" s="419">
        <v>77</v>
      </c>
      <c r="AZ190" s="421">
        <v>13</v>
      </c>
      <c r="BA190" s="420">
        <v>105</v>
      </c>
      <c r="BB190" s="419">
        <v>51</v>
      </c>
      <c r="BC190" s="419">
        <v>76</v>
      </c>
      <c r="BD190" s="421">
        <v>51</v>
      </c>
      <c r="BE190" s="421">
        <v>73</v>
      </c>
      <c r="BF190" s="419">
        <v>52</v>
      </c>
      <c r="BG190" s="419">
        <v>71</v>
      </c>
      <c r="BH190" s="421">
        <v>52</v>
      </c>
      <c r="BI190" s="421">
        <v>59</v>
      </c>
      <c r="BJ190" s="419">
        <v>31</v>
      </c>
      <c r="BK190" s="419">
        <v>15</v>
      </c>
      <c r="BL190" s="421">
        <v>31</v>
      </c>
      <c r="BM190" s="420">
        <v>26</v>
      </c>
      <c r="BN190" s="419">
        <v>26</v>
      </c>
      <c r="BO190" s="419">
        <v>11</v>
      </c>
      <c r="BP190" s="421">
        <v>23</v>
      </c>
      <c r="BQ190" s="421">
        <v>13</v>
      </c>
      <c r="BR190" s="419">
        <v>54</v>
      </c>
      <c r="BS190" s="419">
        <v>10</v>
      </c>
      <c r="BT190" s="421">
        <v>26</v>
      </c>
      <c r="BU190" s="421">
        <v>10</v>
      </c>
      <c r="BV190" s="419">
        <v>23</v>
      </c>
      <c r="BW190" s="419">
        <v>10</v>
      </c>
      <c r="BX190" s="421">
        <v>9</v>
      </c>
      <c r="BY190" s="421">
        <v>9</v>
      </c>
      <c r="BZ190" s="419">
        <v>42</v>
      </c>
      <c r="CA190" s="419">
        <v>9</v>
      </c>
      <c r="CB190" s="421">
        <v>50</v>
      </c>
      <c r="CC190" s="421">
        <v>8</v>
      </c>
      <c r="CD190" s="419">
        <v>50</v>
      </c>
      <c r="CE190" s="419">
        <v>5</v>
      </c>
      <c r="CF190" s="421">
        <v>54</v>
      </c>
      <c r="CG190" s="420">
        <v>8</v>
      </c>
      <c r="CH190" s="419">
        <v>9</v>
      </c>
      <c r="CI190" s="419">
        <v>3</v>
      </c>
      <c r="CJ190" s="421">
        <v>30</v>
      </c>
      <c r="CK190" s="420">
        <v>8</v>
      </c>
      <c r="CL190" s="419">
        <v>6</v>
      </c>
      <c r="CM190" s="420">
        <v>14</v>
      </c>
      <c r="CN190" s="424">
        <f t="shared" si="77"/>
        <v>293</v>
      </c>
      <c r="CO190" s="424">
        <f t="shared" si="78"/>
        <v>10</v>
      </c>
      <c r="CP190" s="425">
        <f t="shared" si="79"/>
        <v>333</v>
      </c>
      <c r="CQ190" s="425">
        <f t="shared" si="80"/>
        <v>10</v>
      </c>
      <c r="CR190" s="419">
        <v>13</v>
      </c>
      <c r="CS190" s="419">
        <v>7</v>
      </c>
      <c r="CT190" s="421">
        <v>13</v>
      </c>
      <c r="CU190" s="420">
        <v>9</v>
      </c>
      <c r="CV190" s="419"/>
      <c r="CW190" s="419"/>
      <c r="CX190" s="421"/>
      <c r="CY190" s="421"/>
      <c r="CZ190" s="419"/>
      <c r="DA190" s="419"/>
      <c r="DB190" s="421"/>
      <c r="DC190" s="421"/>
      <c r="DD190" s="419"/>
      <c r="DE190" s="419"/>
      <c r="DF190" s="421"/>
      <c r="DG190" s="421"/>
      <c r="DH190" s="419"/>
      <c r="DI190" s="419"/>
      <c r="DJ190" s="421"/>
      <c r="DK190" s="421"/>
      <c r="DL190" s="419"/>
      <c r="DM190" s="419"/>
      <c r="DN190" s="421"/>
      <c r="DO190" s="421"/>
      <c r="DP190" s="419"/>
      <c r="DQ190" s="419"/>
      <c r="DR190" s="421"/>
      <c r="DS190" s="421"/>
      <c r="DT190" s="419"/>
      <c r="DU190" s="419"/>
      <c r="DV190" s="421"/>
      <c r="DW190" s="421"/>
      <c r="DX190" s="419"/>
      <c r="DY190" s="419"/>
      <c r="DZ190" s="421"/>
      <c r="EA190" s="421"/>
      <c r="EB190" s="419"/>
      <c r="EC190" s="419"/>
      <c r="ED190" s="421"/>
      <c r="EE190" s="421"/>
      <c r="EF190" s="419"/>
      <c r="EG190" s="421"/>
      <c r="EH190" s="424">
        <f t="shared" si="81"/>
        <v>7</v>
      </c>
      <c r="EI190" s="424">
        <f t="shared" si="82"/>
        <v>1</v>
      </c>
      <c r="EJ190" s="422">
        <f t="shared" si="83"/>
        <v>1</v>
      </c>
      <c r="EK190" s="425">
        <f t="shared" si="84"/>
        <v>9</v>
      </c>
      <c r="EL190" s="425">
        <f t="shared" si="85"/>
        <v>1</v>
      </c>
      <c r="EM190" s="423">
        <f t="shared" si="86"/>
        <v>1</v>
      </c>
      <c r="EN190" s="424">
        <f t="shared" si="87"/>
        <v>300</v>
      </c>
      <c r="EO190" s="425">
        <f t="shared" si="88"/>
        <v>342</v>
      </c>
      <c r="EP190" s="419"/>
      <c r="EQ190" s="421"/>
      <c r="ER190" s="419"/>
      <c r="ES190" s="421"/>
      <c r="ET190" s="419"/>
      <c r="EU190" s="421"/>
      <c r="EV190" s="419"/>
      <c r="EW190" s="421"/>
      <c r="EX190" s="419"/>
      <c r="EY190" s="421"/>
      <c r="EZ190" s="419"/>
      <c r="FA190" s="421"/>
      <c r="FB190" s="419"/>
      <c r="FC190" s="421"/>
      <c r="FD190" s="419"/>
      <c r="FE190" s="421"/>
      <c r="FF190" s="419"/>
      <c r="FG190" s="421"/>
      <c r="FH190" s="419">
        <v>9</v>
      </c>
      <c r="FI190" s="421">
        <v>10</v>
      </c>
      <c r="FJ190" s="424">
        <f t="shared" si="89"/>
        <v>9</v>
      </c>
      <c r="FK190" s="425">
        <f t="shared" si="90"/>
        <v>10</v>
      </c>
      <c r="FL190" s="419"/>
      <c r="FM190" s="421"/>
      <c r="FN190" s="424">
        <f t="shared" si="91"/>
        <v>2079</v>
      </c>
      <c r="FO190" s="425">
        <f t="shared" si="92"/>
        <v>2136</v>
      </c>
    </row>
    <row r="191" spans="1:171">
      <c r="A191" s="456" t="s">
        <v>159</v>
      </c>
      <c r="B191" s="27" t="s">
        <v>713</v>
      </c>
      <c r="C191" s="26"/>
      <c r="D191" s="25">
        <v>160621</v>
      </c>
      <c r="E191" s="25">
        <v>3</v>
      </c>
      <c r="F191" s="419"/>
      <c r="G191" s="421"/>
      <c r="H191" s="419"/>
      <c r="I191" s="421"/>
      <c r="J191" s="419"/>
      <c r="K191" s="421"/>
      <c r="L191" s="422">
        <f t="shared" si="71"/>
        <v>0</v>
      </c>
      <c r="M191" s="423">
        <f t="shared" si="72"/>
        <v>0</v>
      </c>
      <c r="N191" s="419">
        <v>730</v>
      </c>
      <c r="O191" s="309">
        <f>0</f>
        <v>0</v>
      </c>
      <c r="P191" s="309">
        <f>0</f>
        <v>0</v>
      </c>
      <c r="Q191" s="309">
        <f>0</f>
        <v>0</v>
      </c>
      <c r="R191" s="424">
        <f t="shared" si="69"/>
        <v>0</v>
      </c>
      <c r="S191" s="431">
        <v>726</v>
      </c>
      <c r="T191" s="301">
        <f>0</f>
        <v>0</v>
      </c>
      <c r="U191" s="301">
        <f>0</f>
        <v>0</v>
      </c>
      <c r="V191" s="301">
        <f>0</f>
        <v>0</v>
      </c>
      <c r="W191" s="425">
        <f t="shared" si="70"/>
        <v>0</v>
      </c>
      <c r="X191" s="419"/>
      <c r="Y191" s="419"/>
      <c r="Z191" s="421"/>
      <c r="AA191" s="421"/>
      <c r="AB191" s="419"/>
      <c r="AC191" s="419"/>
      <c r="AD191" s="421"/>
      <c r="AE191" s="421"/>
      <c r="AF191" s="419"/>
      <c r="AG191" s="419"/>
      <c r="AH191" s="421"/>
      <c r="AI191" s="421"/>
      <c r="AJ191" s="419"/>
      <c r="AK191" s="419"/>
      <c r="AL191" s="421"/>
      <c r="AM191" s="421"/>
      <c r="AN191" s="419"/>
      <c r="AO191" s="419"/>
      <c r="AP191" s="421"/>
      <c r="AQ191" s="421"/>
      <c r="AR191" s="424">
        <f t="shared" si="73"/>
        <v>0</v>
      </c>
      <c r="AS191" s="422">
        <f t="shared" si="74"/>
        <v>0.72205736894164196</v>
      </c>
      <c r="AT191" s="425">
        <f t="shared" si="75"/>
        <v>0</v>
      </c>
      <c r="AU191" s="423">
        <f t="shared" si="76"/>
        <v>0.75233160621761663</v>
      </c>
      <c r="AV191" s="419"/>
      <c r="AW191" s="431"/>
      <c r="AX191" s="419">
        <v>51</v>
      </c>
      <c r="AY191" s="419">
        <v>64</v>
      </c>
      <c r="AZ191" s="421">
        <v>51</v>
      </c>
      <c r="BA191" s="420">
        <v>51</v>
      </c>
      <c r="BB191" s="419">
        <v>44</v>
      </c>
      <c r="BC191" s="419">
        <v>36</v>
      </c>
      <c r="BD191" s="421">
        <v>43</v>
      </c>
      <c r="BE191" s="421">
        <v>32</v>
      </c>
      <c r="BF191" s="419">
        <v>43</v>
      </c>
      <c r="BG191" s="419">
        <v>35</v>
      </c>
      <c r="BH191" s="421">
        <v>44</v>
      </c>
      <c r="BI191" s="421">
        <v>32</v>
      </c>
      <c r="BJ191" s="419">
        <v>13</v>
      </c>
      <c r="BK191" s="419">
        <v>26</v>
      </c>
      <c r="BL191" s="421">
        <v>52</v>
      </c>
      <c r="BM191" s="421">
        <v>30</v>
      </c>
      <c r="BN191" s="419">
        <v>11</v>
      </c>
      <c r="BO191" s="419">
        <v>23</v>
      </c>
      <c r="BP191" s="421">
        <v>11</v>
      </c>
      <c r="BQ191" s="421">
        <v>21</v>
      </c>
      <c r="BR191" s="419">
        <v>52</v>
      </c>
      <c r="BS191" s="419">
        <v>21</v>
      </c>
      <c r="BT191" s="421">
        <v>42</v>
      </c>
      <c r="BU191" s="420">
        <v>12</v>
      </c>
      <c r="BV191" s="419">
        <v>42</v>
      </c>
      <c r="BW191" s="419">
        <v>14</v>
      </c>
      <c r="BX191" s="421">
        <v>14</v>
      </c>
      <c r="BY191" s="420">
        <v>10</v>
      </c>
      <c r="BZ191" s="419">
        <v>26</v>
      </c>
      <c r="CA191" s="419">
        <v>12</v>
      </c>
      <c r="CB191" s="421">
        <v>13</v>
      </c>
      <c r="CC191" s="420">
        <v>9</v>
      </c>
      <c r="CD191" s="419">
        <v>45</v>
      </c>
      <c r="CE191" s="419">
        <v>7</v>
      </c>
      <c r="CF191" s="421">
        <v>45</v>
      </c>
      <c r="CG191" s="421">
        <v>6</v>
      </c>
      <c r="CH191" s="419">
        <v>3</v>
      </c>
      <c r="CI191" s="419">
        <v>6</v>
      </c>
      <c r="CJ191" s="421">
        <v>26</v>
      </c>
      <c r="CK191" s="420">
        <v>4</v>
      </c>
      <c r="CL191" s="419">
        <v>9</v>
      </c>
      <c r="CM191" s="420">
        <v>5</v>
      </c>
      <c r="CN191" s="424">
        <f t="shared" si="77"/>
        <v>253</v>
      </c>
      <c r="CO191" s="424">
        <f t="shared" si="78"/>
        <v>10</v>
      </c>
      <c r="CP191" s="425">
        <f t="shared" si="79"/>
        <v>212</v>
      </c>
      <c r="CQ191" s="425">
        <f t="shared" si="80"/>
        <v>10</v>
      </c>
      <c r="CR191" s="419">
        <v>44</v>
      </c>
      <c r="CS191" s="419">
        <v>9</v>
      </c>
      <c r="CT191" s="421">
        <v>3</v>
      </c>
      <c r="CU191" s="420">
        <v>5</v>
      </c>
      <c r="CV191" s="419">
        <v>3</v>
      </c>
      <c r="CW191" s="419">
        <v>5</v>
      </c>
      <c r="CX191" s="421">
        <v>13</v>
      </c>
      <c r="CY191" s="421">
        <v>5</v>
      </c>
      <c r="CZ191" s="419">
        <v>13</v>
      </c>
      <c r="DA191" s="419">
        <v>4</v>
      </c>
      <c r="DB191" s="421">
        <v>44</v>
      </c>
      <c r="DC191" s="420">
        <v>5</v>
      </c>
      <c r="DD191" s="419">
        <v>26</v>
      </c>
      <c r="DE191" s="419">
        <v>3</v>
      </c>
      <c r="DF191" s="421">
        <v>26</v>
      </c>
      <c r="DG191" s="420">
        <v>5</v>
      </c>
      <c r="DH191" s="419">
        <v>51</v>
      </c>
      <c r="DI191" s="419">
        <v>2</v>
      </c>
      <c r="DJ191" s="421">
        <v>51</v>
      </c>
      <c r="DK191" s="421">
        <v>2</v>
      </c>
      <c r="DL191" s="419"/>
      <c r="DM191" s="419"/>
      <c r="DN191" s="421"/>
      <c r="DO191" s="421"/>
      <c r="DP191" s="419"/>
      <c r="DQ191" s="419"/>
      <c r="DR191" s="421"/>
      <c r="DS191" s="421"/>
      <c r="DT191" s="419"/>
      <c r="DU191" s="419"/>
      <c r="DV191" s="421"/>
      <c r="DW191" s="421"/>
      <c r="DX191" s="419"/>
      <c r="DY191" s="419"/>
      <c r="DZ191" s="421"/>
      <c r="EA191" s="421"/>
      <c r="EB191" s="419"/>
      <c r="EC191" s="419"/>
      <c r="ED191" s="421"/>
      <c r="EE191" s="421"/>
      <c r="EF191" s="419"/>
      <c r="EG191" s="421"/>
      <c r="EH191" s="424">
        <f t="shared" si="81"/>
        <v>23</v>
      </c>
      <c r="EI191" s="424">
        <f t="shared" si="82"/>
        <v>5</v>
      </c>
      <c r="EJ191" s="422">
        <f t="shared" si="83"/>
        <v>0.39130434782608697</v>
      </c>
      <c r="EK191" s="425">
        <f t="shared" si="84"/>
        <v>22</v>
      </c>
      <c r="EL191" s="425">
        <f t="shared" si="85"/>
        <v>5</v>
      </c>
      <c r="EM191" s="423">
        <f t="shared" si="86"/>
        <v>0.22727272727272727</v>
      </c>
      <c r="EN191" s="424">
        <f t="shared" si="87"/>
        <v>276</v>
      </c>
      <c r="EO191" s="425">
        <f t="shared" si="88"/>
        <v>234</v>
      </c>
      <c r="EP191" s="419"/>
      <c r="EQ191" s="421"/>
      <c r="ER191" s="419"/>
      <c r="ES191" s="421"/>
      <c r="ET191" s="419"/>
      <c r="EU191" s="421"/>
      <c r="EV191" s="419"/>
      <c r="EW191" s="421"/>
      <c r="EX191" s="419"/>
      <c r="EY191" s="421"/>
      <c r="EZ191" s="419"/>
      <c r="FA191" s="421"/>
      <c r="FB191" s="419"/>
      <c r="FC191" s="421"/>
      <c r="FD191" s="419"/>
      <c r="FE191" s="421"/>
      <c r="FF191" s="419"/>
      <c r="FG191" s="421"/>
      <c r="FH191" s="419">
        <v>5</v>
      </c>
      <c r="FI191" s="421">
        <v>5</v>
      </c>
      <c r="FJ191" s="424">
        <f t="shared" si="89"/>
        <v>5</v>
      </c>
      <c r="FK191" s="425">
        <f t="shared" si="90"/>
        <v>5</v>
      </c>
      <c r="FL191" s="419"/>
      <c r="FM191" s="421"/>
      <c r="FN191" s="424">
        <f t="shared" si="91"/>
        <v>1011</v>
      </c>
      <c r="FO191" s="425">
        <f t="shared" si="92"/>
        <v>965</v>
      </c>
    </row>
    <row r="192" spans="1:171">
      <c r="A192" s="456" t="s">
        <v>159</v>
      </c>
      <c r="B192" s="27" t="s">
        <v>714</v>
      </c>
      <c r="C192" s="26"/>
      <c r="D192" s="25">
        <v>159993</v>
      </c>
      <c r="E192" s="25">
        <v>3</v>
      </c>
      <c r="F192" s="419"/>
      <c r="G192" s="421"/>
      <c r="H192" s="419"/>
      <c r="I192" s="421"/>
      <c r="J192" s="419">
        <v>49</v>
      </c>
      <c r="K192" s="421">
        <v>46</v>
      </c>
      <c r="L192" s="422">
        <f t="shared" si="71"/>
        <v>3.9676113360323888E-2</v>
      </c>
      <c r="M192" s="423">
        <f t="shared" si="72"/>
        <v>3.7037037037037035E-2</v>
      </c>
      <c r="N192" s="419">
        <v>1235</v>
      </c>
      <c r="O192" s="309">
        <f>0</f>
        <v>0</v>
      </c>
      <c r="P192" s="309">
        <f>0</f>
        <v>0</v>
      </c>
      <c r="Q192" s="309">
        <f>0</f>
        <v>0</v>
      </c>
      <c r="R192" s="424">
        <f t="shared" si="69"/>
        <v>0</v>
      </c>
      <c r="S192" s="431">
        <v>1242</v>
      </c>
      <c r="T192" s="301">
        <f>0</f>
        <v>0</v>
      </c>
      <c r="U192" s="301">
        <f>0</f>
        <v>0</v>
      </c>
      <c r="V192" s="301">
        <f>0</f>
        <v>0</v>
      </c>
      <c r="W192" s="425">
        <f t="shared" si="70"/>
        <v>0</v>
      </c>
      <c r="X192" s="419"/>
      <c r="Y192" s="419"/>
      <c r="Z192" s="421"/>
      <c r="AA192" s="421"/>
      <c r="AB192" s="419"/>
      <c r="AC192" s="419"/>
      <c r="AD192" s="421"/>
      <c r="AE192" s="421"/>
      <c r="AF192" s="419"/>
      <c r="AG192" s="419"/>
      <c r="AH192" s="421"/>
      <c r="AI192" s="421"/>
      <c r="AJ192" s="419"/>
      <c r="AK192" s="419"/>
      <c r="AL192" s="421"/>
      <c r="AM192" s="421"/>
      <c r="AN192" s="419"/>
      <c r="AO192" s="419"/>
      <c r="AP192" s="421"/>
      <c r="AQ192" s="421"/>
      <c r="AR192" s="424">
        <f t="shared" si="73"/>
        <v>0</v>
      </c>
      <c r="AS192" s="422">
        <f t="shared" si="74"/>
        <v>0.73819485953377162</v>
      </c>
      <c r="AT192" s="425">
        <f t="shared" si="75"/>
        <v>0</v>
      </c>
      <c r="AU192" s="423">
        <f t="shared" si="76"/>
        <v>0.68505239933811357</v>
      </c>
      <c r="AV192" s="419">
        <v>2</v>
      </c>
      <c r="AW192" s="444">
        <v>18</v>
      </c>
      <c r="AX192" s="419">
        <v>51</v>
      </c>
      <c r="AY192" s="419">
        <v>71</v>
      </c>
      <c r="AZ192" s="421">
        <v>51</v>
      </c>
      <c r="BA192" s="420">
        <v>126</v>
      </c>
      <c r="BB192" s="419">
        <v>13</v>
      </c>
      <c r="BC192" s="419">
        <v>68</v>
      </c>
      <c r="BD192" s="421">
        <v>13</v>
      </c>
      <c r="BE192" s="420">
        <v>102</v>
      </c>
      <c r="BF192" s="419">
        <v>52</v>
      </c>
      <c r="BG192" s="419">
        <v>28</v>
      </c>
      <c r="BH192" s="421">
        <v>44</v>
      </c>
      <c r="BI192" s="420">
        <v>39</v>
      </c>
      <c r="BJ192" s="419">
        <v>44</v>
      </c>
      <c r="BK192" s="419">
        <v>22</v>
      </c>
      <c r="BL192" s="421">
        <v>52</v>
      </c>
      <c r="BM192" s="420">
        <v>32</v>
      </c>
      <c r="BN192" s="419">
        <v>31</v>
      </c>
      <c r="BO192" s="419">
        <v>22</v>
      </c>
      <c r="BP192" s="421">
        <v>42</v>
      </c>
      <c r="BQ192" s="421">
        <v>26</v>
      </c>
      <c r="BR192" s="419">
        <v>42</v>
      </c>
      <c r="BS192" s="419">
        <v>20</v>
      </c>
      <c r="BT192" s="421">
        <v>31</v>
      </c>
      <c r="BU192" s="420">
        <v>25</v>
      </c>
      <c r="BV192" s="419">
        <v>43</v>
      </c>
      <c r="BW192" s="419">
        <v>13</v>
      </c>
      <c r="BX192" s="421">
        <v>26</v>
      </c>
      <c r="BY192" s="421">
        <v>14</v>
      </c>
      <c r="BZ192" s="419">
        <v>26</v>
      </c>
      <c r="CA192" s="419">
        <v>10</v>
      </c>
      <c r="CB192" s="421">
        <v>43</v>
      </c>
      <c r="CC192" s="421">
        <v>12</v>
      </c>
      <c r="CD192" s="419">
        <v>9</v>
      </c>
      <c r="CE192" s="419">
        <v>7</v>
      </c>
      <c r="CF192" s="421">
        <v>54</v>
      </c>
      <c r="CG192" s="421">
        <v>7</v>
      </c>
      <c r="CH192" s="419">
        <v>23</v>
      </c>
      <c r="CI192" s="419">
        <v>7</v>
      </c>
      <c r="CJ192" s="421">
        <v>30</v>
      </c>
      <c r="CK192" s="420">
        <v>5</v>
      </c>
      <c r="CL192" s="419">
        <v>6</v>
      </c>
      <c r="CM192" s="421">
        <v>5</v>
      </c>
      <c r="CN192" s="424">
        <f t="shared" si="77"/>
        <v>274</v>
      </c>
      <c r="CO192" s="424">
        <f t="shared" si="78"/>
        <v>10</v>
      </c>
      <c r="CP192" s="425">
        <f t="shared" si="79"/>
        <v>393</v>
      </c>
      <c r="CQ192" s="425">
        <f t="shared" si="80"/>
        <v>10</v>
      </c>
      <c r="CR192" s="419">
        <v>51</v>
      </c>
      <c r="CS192" s="419">
        <v>13</v>
      </c>
      <c r="CT192" s="421">
        <v>51</v>
      </c>
      <c r="CU192" s="420">
        <v>16</v>
      </c>
      <c r="CV192" s="419">
        <v>13</v>
      </c>
      <c r="CW192" s="419">
        <v>7</v>
      </c>
      <c r="CX192" s="421">
        <v>13</v>
      </c>
      <c r="CY192" s="420">
        <v>11</v>
      </c>
      <c r="CZ192" s="419"/>
      <c r="DA192" s="419"/>
      <c r="DB192" s="421"/>
      <c r="DC192" s="421"/>
      <c r="DD192" s="419"/>
      <c r="DE192" s="419"/>
      <c r="DF192" s="421"/>
      <c r="DG192" s="421"/>
      <c r="DH192" s="419"/>
      <c r="DI192" s="419"/>
      <c r="DJ192" s="421"/>
      <c r="DK192" s="421"/>
      <c r="DL192" s="419"/>
      <c r="DM192" s="419"/>
      <c r="DN192" s="421"/>
      <c r="DO192" s="421"/>
      <c r="DP192" s="419"/>
      <c r="DQ192" s="419"/>
      <c r="DR192" s="421"/>
      <c r="DS192" s="421"/>
      <c r="DT192" s="419"/>
      <c r="DU192" s="419"/>
      <c r="DV192" s="421"/>
      <c r="DW192" s="421"/>
      <c r="DX192" s="419"/>
      <c r="DY192" s="419"/>
      <c r="DZ192" s="421"/>
      <c r="EA192" s="421"/>
      <c r="EB192" s="419"/>
      <c r="EC192" s="419"/>
      <c r="ED192" s="421"/>
      <c r="EE192" s="421"/>
      <c r="EF192" s="419"/>
      <c r="EG192" s="421"/>
      <c r="EH192" s="424">
        <f t="shared" si="81"/>
        <v>20</v>
      </c>
      <c r="EI192" s="424">
        <f t="shared" si="82"/>
        <v>2</v>
      </c>
      <c r="EJ192" s="422">
        <f t="shared" si="83"/>
        <v>0.65</v>
      </c>
      <c r="EK192" s="425">
        <f t="shared" si="84"/>
        <v>27</v>
      </c>
      <c r="EL192" s="425">
        <f t="shared" si="85"/>
        <v>2</v>
      </c>
      <c r="EM192" s="423">
        <f t="shared" si="86"/>
        <v>0.59259259259259256</v>
      </c>
      <c r="EN192" s="424">
        <f t="shared" si="87"/>
        <v>294</v>
      </c>
      <c r="EO192" s="425">
        <f t="shared" si="88"/>
        <v>420</v>
      </c>
      <c r="EP192" s="419"/>
      <c r="EQ192" s="421"/>
      <c r="ER192" s="419"/>
      <c r="ES192" s="421"/>
      <c r="ET192" s="419"/>
      <c r="EU192" s="421"/>
      <c r="EV192" s="419">
        <v>93</v>
      </c>
      <c r="EW192" s="421">
        <v>87</v>
      </c>
      <c r="EX192" s="419"/>
      <c r="EY192" s="421"/>
      <c r="EZ192" s="419"/>
      <c r="FA192" s="421"/>
      <c r="FB192" s="419"/>
      <c r="FC192" s="421"/>
      <c r="FD192" s="419"/>
      <c r="FE192" s="421"/>
      <c r="FF192" s="419"/>
      <c r="FG192" s="421"/>
      <c r="FH192" s="419"/>
      <c r="FI192" s="421"/>
      <c r="FJ192" s="424">
        <f t="shared" si="89"/>
        <v>93</v>
      </c>
      <c r="FK192" s="425">
        <f t="shared" si="90"/>
        <v>87</v>
      </c>
      <c r="FL192" s="419"/>
      <c r="FM192" s="421"/>
      <c r="FN192" s="424">
        <f t="shared" si="91"/>
        <v>1673</v>
      </c>
      <c r="FO192" s="425">
        <f t="shared" si="92"/>
        <v>1813</v>
      </c>
    </row>
    <row r="193" spans="1:171">
      <c r="A193" s="456" t="s">
        <v>159</v>
      </c>
      <c r="B193" s="27" t="s">
        <v>715</v>
      </c>
      <c r="C193" s="26"/>
      <c r="D193" s="25">
        <v>159009</v>
      </c>
      <c r="E193" s="25">
        <v>4</v>
      </c>
      <c r="F193" s="419"/>
      <c r="G193" s="421"/>
      <c r="H193" s="419"/>
      <c r="I193" s="421"/>
      <c r="J193" s="419"/>
      <c r="K193" s="421"/>
      <c r="L193" s="422">
        <f t="shared" si="71"/>
        <v>0</v>
      </c>
      <c r="M193" s="423">
        <f t="shared" si="72"/>
        <v>0</v>
      </c>
      <c r="N193" s="419">
        <v>569</v>
      </c>
      <c r="O193" s="309">
        <f>0</f>
        <v>0</v>
      </c>
      <c r="P193" s="309">
        <f>0</f>
        <v>0</v>
      </c>
      <c r="Q193" s="309">
        <f>0</f>
        <v>0</v>
      </c>
      <c r="R193" s="424">
        <f t="shared" si="69"/>
        <v>0</v>
      </c>
      <c r="S193" s="431">
        <v>528</v>
      </c>
      <c r="T193" s="301">
        <f>0</f>
        <v>0</v>
      </c>
      <c r="U193" s="301">
        <f>0</f>
        <v>0</v>
      </c>
      <c r="V193" s="301">
        <f>0</f>
        <v>0</v>
      </c>
      <c r="W193" s="425">
        <f t="shared" si="70"/>
        <v>0</v>
      </c>
      <c r="X193" s="419"/>
      <c r="Y193" s="419"/>
      <c r="Z193" s="421"/>
      <c r="AA193" s="421"/>
      <c r="AB193" s="419"/>
      <c r="AC193" s="419"/>
      <c r="AD193" s="421"/>
      <c r="AE193" s="421"/>
      <c r="AF193" s="419"/>
      <c r="AG193" s="419"/>
      <c r="AH193" s="421"/>
      <c r="AI193" s="421"/>
      <c r="AJ193" s="419"/>
      <c r="AK193" s="419"/>
      <c r="AL193" s="421"/>
      <c r="AM193" s="421"/>
      <c r="AN193" s="419"/>
      <c r="AO193" s="419"/>
      <c r="AP193" s="421"/>
      <c r="AQ193" s="421"/>
      <c r="AR193" s="424">
        <f t="shared" si="73"/>
        <v>0</v>
      </c>
      <c r="AS193" s="422">
        <f t="shared" si="74"/>
        <v>0.66394399066511089</v>
      </c>
      <c r="AT193" s="425">
        <f t="shared" si="75"/>
        <v>0</v>
      </c>
      <c r="AU193" s="423">
        <f t="shared" si="76"/>
        <v>0.6875</v>
      </c>
      <c r="AV193" s="419"/>
      <c r="AW193" s="431"/>
      <c r="AX193" s="419">
        <v>43</v>
      </c>
      <c r="AY193" s="419">
        <v>136</v>
      </c>
      <c r="AZ193" s="421">
        <v>43</v>
      </c>
      <c r="BA193" s="420">
        <v>99</v>
      </c>
      <c r="BB193" s="419">
        <v>44</v>
      </c>
      <c r="BC193" s="419">
        <v>47</v>
      </c>
      <c r="BD193" s="421">
        <v>31</v>
      </c>
      <c r="BE193" s="421">
        <v>44</v>
      </c>
      <c r="BF193" s="419">
        <v>31</v>
      </c>
      <c r="BG193" s="419">
        <v>31</v>
      </c>
      <c r="BH193" s="421">
        <v>44</v>
      </c>
      <c r="BI193" s="420">
        <v>40</v>
      </c>
      <c r="BJ193" s="419">
        <v>45</v>
      </c>
      <c r="BK193" s="419">
        <v>30</v>
      </c>
      <c r="BL193" s="421">
        <v>45</v>
      </c>
      <c r="BM193" s="421">
        <v>30</v>
      </c>
      <c r="BN193" s="419">
        <v>51</v>
      </c>
      <c r="BO193" s="419">
        <v>16</v>
      </c>
      <c r="BP193" s="421">
        <v>13</v>
      </c>
      <c r="BQ193" s="420">
        <v>12</v>
      </c>
      <c r="BR193" s="419">
        <v>9</v>
      </c>
      <c r="BS193" s="419">
        <v>12</v>
      </c>
      <c r="BT193" s="421">
        <v>51</v>
      </c>
      <c r="BU193" s="421">
        <v>10</v>
      </c>
      <c r="BV193" s="419">
        <v>13</v>
      </c>
      <c r="BW193" s="419">
        <v>7</v>
      </c>
      <c r="BX193" s="421"/>
      <c r="BY193" s="420"/>
      <c r="BZ193" s="419"/>
      <c r="CA193" s="419"/>
      <c r="CB193" s="421"/>
      <c r="CC193" s="421"/>
      <c r="CD193" s="419"/>
      <c r="CE193" s="419"/>
      <c r="CF193" s="421"/>
      <c r="CG193" s="421"/>
      <c r="CH193" s="419"/>
      <c r="CI193" s="419"/>
      <c r="CJ193" s="421"/>
      <c r="CK193" s="421"/>
      <c r="CL193" s="419"/>
      <c r="CM193" s="421"/>
      <c r="CN193" s="424">
        <f t="shared" si="77"/>
        <v>279</v>
      </c>
      <c r="CO193" s="424">
        <f t="shared" si="78"/>
        <v>7</v>
      </c>
      <c r="CP193" s="425">
        <f t="shared" si="79"/>
        <v>235</v>
      </c>
      <c r="CQ193" s="425">
        <f t="shared" si="80"/>
        <v>6</v>
      </c>
      <c r="CR193" s="419">
        <v>13</v>
      </c>
      <c r="CS193" s="419">
        <v>9</v>
      </c>
      <c r="CT193" s="421">
        <v>13</v>
      </c>
      <c r="CU193" s="420">
        <v>5</v>
      </c>
      <c r="CV193" s="419"/>
      <c r="CW193" s="419"/>
      <c r="CX193" s="421"/>
      <c r="CY193" s="421"/>
      <c r="CZ193" s="419"/>
      <c r="DA193" s="419"/>
      <c r="DB193" s="421"/>
      <c r="DC193" s="421"/>
      <c r="DD193" s="419"/>
      <c r="DE193" s="419"/>
      <c r="DF193" s="421"/>
      <c r="DG193" s="421"/>
      <c r="DH193" s="419"/>
      <c r="DI193" s="419"/>
      <c r="DJ193" s="421"/>
      <c r="DK193" s="421"/>
      <c r="DL193" s="419"/>
      <c r="DM193" s="419"/>
      <c r="DN193" s="421"/>
      <c r="DO193" s="421"/>
      <c r="DP193" s="419"/>
      <c r="DQ193" s="419"/>
      <c r="DR193" s="421"/>
      <c r="DS193" s="421"/>
      <c r="DT193" s="419"/>
      <c r="DU193" s="419"/>
      <c r="DV193" s="421"/>
      <c r="DW193" s="421"/>
      <c r="DX193" s="419"/>
      <c r="DY193" s="419"/>
      <c r="DZ193" s="421"/>
      <c r="EA193" s="421"/>
      <c r="EB193" s="419"/>
      <c r="EC193" s="419"/>
      <c r="ED193" s="421"/>
      <c r="EE193" s="421"/>
      <c r="EF193" s="419"/>
      <c r="EG193" s="421"/>
      <c r="EH193" s="424">
        <f t="shared" si="81"/>
        <v>9</v>
      </c>
      <c r="EI193" s="424">
        <f t="shared" si="82"/>
        <v>1</v>
      </c>
      <c r="EJ193" s="422">
        <f t="shared" si="83"/>
        <v>1</v>
      </c>
      <c r="EK193" s="425">
        <f t="shared" si="84"/>
        <v>5</v>
      </c>
      <c r="EL193" s="425">
        <f t="shared" si="85"/>
        <v>1</v>
      </c>
      <c r="EM193" s="423">
        <f t="shared" si="86"/>
        <v>1</v>
      </c>
      <c r="EN193" s="424">
        <f t="shared" si="87"/>
        <v>288</v>
      </c>
      <c r="EO193" s="425">
        <f t="shared" si="88"/>
        <v>240</v>
      </c>
      <c r="EP193" s="419"/>
      <c r="EQ193" s="421"/>
      <c r="ER193" s="419"/>
      <c r="ES193" s="421"/>
      <c r="ET193" s="419"/>
      <c r="EU193" s="421"/>
      <c r="EV193" s="419"/>
      <c r="EW193" s="421"/>
      <c r="EX193" s="419"/>
      <c r="EY193" s="421"/>
      <c r="EZ193" s="419"/>
      <c r="FA193" s="421"/>
      <c r="FB193" s="419"/>
      <c r="FC193" s="421"/>
      <c r="FD193" s="419"/>
      <c r="FE193" s="421"/>
      <c r="FF193" s="419"/>
      <c r="FG193" s="421"/>
      <c r="FH193" s="419"/>
      <c r="FI193" s="421"/>
      <c r="FJ193" s="424">
        <f t="shared" si="89"/>
        <v>0</v>
      </c>
      <c r="FK193" s="425">
        <f t="shared" si="90"/>
        <v>0</v>
      </c>
      <c r="FL193" s="419"/>
      <c r="FM193" s="421"/>
      <c r="FN193" s="424">
        <f t="shared" si="91"/>
        <v>857</v>
      </c>
      <c r="FO193" s="425">
        <f t="shared" si="92"/>
        <v>768</v>
      </c>
    </row>
    <row r="194" spans="1:171">
      <c r="A194" s="456" t="s">
        <v>159</v>
      </c>
      <c r="B194" s="27" t="s">
        <v>716</v>
      </c>
      <c r="C194" s="26"/>
      <c r="D194" s="25">
        <v>159416</v>
      </c>
      <c r="E194" s="25">
        <v>4</v>
      </c>
      <c r="F194" s="419"/>
      <c r="G194" s="421"/>
      <c r="H194" s="419"/>
      <c r="I194" s="421"/>
      <c r="J194" s="419"/>
      <c r="K194" s="421"/>
      <c r="L194" s="422">
        <f t="shared" si="71"/>
        <v>0</v>
      </c>
      <c r="M194" s="423">
        <f t="shared" si="72"/>
        <v>0</v>
      </c>
      <c r="N194" s="419">
        <v>425</v>
      </c>
      <c r="O194" s="309">
        <f>0</f>
        <v>0</v>
      </c>
      <c r="P194" s="309">
        <f>0</f>
        <v>0</v>
      </c>
      <c r="Q194" s="309">
        <f>0</f>
        <v>0</v>
      </c>
      <c r="R194" s="424">
        <f t="shared" si="69"/>
        <v>0</v>
      </c>
      <c r="S194" s="431">
        <v>400</v>
      </c>
      <c r="T194" s="301">
        <f>0</f>
        <v>0</v>
      </c>
      <c r="U194" s="301">
        <f>0</f>
        <v>0</v>
      </c>
      <c r="V194" s="301">
        <f>0</f>
        <v>0</v>
      </c>
      <c r="W194" s="425">
        <f t="shared" si="70"/>
        <v>0</v>
      </c>
      <c r="X194" s="419"/>
      <c r="Y194" s="419"/>
      <c r="Z194" s="421"/>
      <c r="AA194" s="421"/>
      <c r="AB194" s="419"/>
      <c r="AC194" s="419"/>
      <c r="AD194" s="421"/>
      <c r="AE194" s="421"/>
      <c r="AF194" s="419"/>
      <c r="AG194" s="419"/>
      <c r="AH194" s="421"/>
      <c r="AI194" s="421"/>
      <c r="AJ194" s="419"/>
      <c r="AK194" s="419"/>
      <c r="AL194" s="421"/>
      <c r="AM194" s="421"/>
      <c r="AN194" s="419"/>
      <c r="AO194" s="419"/>
      <c r="AP194" s="421"/>
      <c r="AQ194" s="421"/>
      <c r="AR194" s="424">
        <f t="shared" si="73"/>
        <v>0</v>
      </c>
      <c r="AS194" s="422">
        <f t="shared" si="74"/>
        <v>0.19832011199253383</v>
      </c>
      <c r="AT194" s="425">
        <f t="shared" si="75"/>
        <v>0</v>
      </c>
      <c r="AU194" s="423">
        <f t="shared" si="76"/>
        <v>0.14925373134328357</v>
      </c>
      <c r="AV194" s="419"/>
      <c r="AW194" s="431"/>
      <c r="AX194" s="419">
        <v>52</v>
      </c>
      <c r="AY194" s="419">
        <v>1126</v>
      </c>
      <c r="AZ194" s="421">
        <v>52</v>
      </c>
      <c r="BA194" s="420">
        <v>1577</v>
      </c>
      <c r="BB194" s="419">
        <v>51</v>
      </c>
      <c r="BC194" s="419">
        <v>322</v>
      </c>
      <c r="BD194" s="421">
        <v>51</v>
      </c>
      <c r="BE194" s="421">
        <v>324</v>
      </c>
      <c r="BF194" s="419">
        <v>13</v>
      </c>
      <c r="BG194" s="419">
        <v>151</v>
      </c>
      <c r="BH194" s="421">
        <v>13</v>
      </c>
      <c r="BI194" s="420">
        <v>214</v>
      </c>
      <c r="BJ194" s="419">
        <v>44</v>
      </c>
      <c r="BK194" s="419">
        <v>70</v>
      </c>
      <c r="BL194" s="421">
        <v>44</v>
      </c>
      <c r="BM194" s="420">
        <v>100</v>
      </c>
      <c r="BN194" s="419">
        <v>42</v>
      </c>
      <c r="BO194" s="419">
        <v>16</v>
      </c>
      <c r="BP194" s="421">
        <v>42</v>
      </c>
      <c r="BQ194" s="420">
        <v>22</v>
      </c>
      <c r="BR194" s="419">
        <v>26</v>
      </c>
      <c r="BS194" s="419">
        <v>16</v>
      </c>
      <c r="BT194" s="421">
        <v>26</v>
      </c>
      <c r="BU194" s="421">
        <v>17</v>
      </c>
      <c r="BV194" s="419">
        <v>11</v>
      </c>
      <c r="BW194" s="419">
        <v>14</v>
      </c>
      <c r="BX194" s="421">
        <v>11</v>
      </c>
      <c r="BY194" s="421">
        <v>12</v>
      </c>
      <c r="BZ194" s="419">
        <v>24</v>
      </c>
      <c r="CA194" s="419">
        <v>1</v>
      </c>
      <c r="CB194" s="421">
        <v>24</v>
      </c>
      <c r="CC194" s="420">
        <v>3</v>
      </c>
      <c r="CD194" s="419"/>
      <c r="CE194" s="419"/>
      <c r="CF194" s="421"/>
      <c r="CG194" s="421"/>
      <c r="CH194" s="419"/>
      <c r="CI194" s="419"/>
      <c r="CJ194" s="421"/>
      <c r="CK194" s="421"/>
      <c r="CL194" s="419"/>
      <c r="CM194" s="421"/>
      <c r="CN194" s="424">
        <f t="shared" si="77"/>
        <v>1716</v>
      </c>
      <c r="CO194" s="424">
        <f t="shared" si="78"/>
        <v>8</v>
      </c>
      <c r="CP194" s="425">
        <f t="shared" si="79"/>
        <v>2269</v>
      </c>
      <c r="CQ194" s="425">
        <f t="shared" si="80"/>
        <v>8</v>
      </c>
      <c r="CR194" s="419">
        <v>52</v>
      </c>
      <c r="CS194" s="419">
        <v>2</v>
      </c>
      <c r="CT194" s="421">
        <v>52</v>
      </c>
      <c r="CU194" s="420">
        <v>11</v>
      </c>
      <c r="CV194" s="419"/>
      <c r="CW194" s="419"/>
      <c r="CX194" s="421"/>
      <c r="CY194" s="421"/>
      <c r="CZ194" s="419"/>
      <c r="DA194" s="419"/>
      <c r="DB194" s="421"/>
      <c r="DC194" s="421"/>
      <c r="DD194" s="419"/>
      <c r="DE194" s="419"/>
      <c r="DF194" s="421"/>
      <c r="DG194" s="421"/>
      <c r="DH194" s="419"/>
      <c r="DI194" s="419"/>
      <c r="DJ194" s="421"/>
      <c r="DK194" s="421"/>
      <c r="DL194" s="419"/>
      <c r="DM194" s="419"/>
      <c r="DN194" s="421"/>
      <c r="DO194" s="421"/>
      <c r="DP194" s="419"/>
      <c r="DQ194" s="419"/>
      <c r="DR194" s="421"/>
      <c r="DS194" s="421"/>
      <c r="DT194" s="419"/>
      <c r="DU194" s="419"/>
      <c r="DV194" s="421"/>
      <c r="DW194" s="421"/>
      <c r="DX194" s="419"/>
      <c r="DY194" s="419"/>
      <c r="DZ194" s="421"/>
      <c r="EA194" s="421"/>
      <c r="EB194" s="419"/>
      <c r="EC194" s="419"/>
      <c r="ED194" s="421"/>
      <c r="EE194" s="421"/>
      <c r="EF194" s="419"/>
      <c r="EG194" s="421"/>
      <c r="EH194" s="424">
        <f t="shared" si="81"/>
        <v>2</v>
      </c>
      <c r="EI194" s="424">
        <f t="shared" si="82"/>
        <v>1</v>
      </c>
      <c r="EJ194" s="422">
        <f t="shared" si="83"/>
        <v>1</v>
      </c>
      <c r="EK194" s="425">
        <f t="shared" si="84"/>
        <v>11</v>
      </c>
      <c r="EL194" s="425">
        <f t="shared" si="85"/>
        <v>1</v>
      </c>
      <c r="EM194" s="423">
        <f t="shared" si="86"/>
        <v>1</v>
      </c>
      <c r="EN194" s="424">
        <f t="shared" si="87"/>
        <v>1718</v>
      </c>
      <c r="EO194" s="425">
        <f t="shared" si="88"/>
        <v>2280</v>
      </c>
      <c r="EP194" s="419"/>
      <c r="EQ194" s="421"/>
      <c r="ER194" s="419"/>
      <c r="ES194" s="421"/>
      <c r="ET194" s="419"/>
      <c r="EU194" s="421"/>
      <c r="EV194" s="419"/>
      <c r="EW194" s="421"/>
      <c r="EX194" s="419"/>
      <c r="EY194" s="421"/>
      <c r="EZ194" s="419"/>
      <c r="FA194" s="421"/>
      <c r="FB194" s="419"/>
      <c r="FC194" s="421"/>
      <c r="FD194" s="419"/>
      <c r="FE194" s="421"/>
      <c r="FF194" s="419"/>
      <c r="FG194" s="421"/>
      <c r="FH194" s="419"/>
      <c r="FI194" s="421"/>
      <c r="FJ194" s="424">
        <f t="shared" si="89"/>
        <v>0</v>
      </c>
      <c r="FK194" s="425">
        <f t="shared" si="90"/>
        <v>0</v>
      </c>
      <c r="FL194" s="419"/>
      <c r="FM194" s="421"/>
      <c r="FN194" s="424">
        <f t="shared" si="91"/>
        <v>2143</v>
      </c>
      <c r="FO194" s="425">
        <f t="shared" si="92"/>
        <v>2680</v>
      </c>
    </row>
    <row r="195" spans="1:171">
      <c r="A195" s="456" t="s">
        <v>159</v>
      </c>
      <c r="B195" s="27" t="s">
        <v>717</v>
      </c>
      <c r="C195" s="26"/>
      <c r="D195" s="25">
        <v>159966</v>
      </c>
      <c r="E195" s="25">
        <v>4</v>
      </c>
      <c r="F195" s="419"/>
      <c r="G195" s="421"/>
      <c r="H195" s="419"/>
      <c r="I195" s="421"/>
      <c r="J195" s="419">
        <v>196</v>
      </c>
      <c r="K195" s="431">
        <v>171</v>
      </c>
      <c r="L195" s="422">
        <f t="shared" si="71"/>
        <v>0.20020429009193055</v>
      </c>
      <c r="M195" s="423">
        <f t="shared" si="72"/>
        <v>0.18308351177730192</v>
      </c>
      <c r="N195" s="419">
        <v>979</v>
      </c>
      <c r="O195" s="309">
        <f>0</f>
        <v>0</v>
      </c>
      <c r="P195" s="309">
        <f>0</f>
        <v>0</v>
      </c>
      <c r="Q195" s="309">
        <f>0</f>
        <v>0</v>
      </c>
      <c r="R195" s="424">
        <f t="shared" si="69"/>
        <v>0</v>
      </c>
      <c r="S195" s="431">
        <v>934</v>
      </c>
      <c r="T195" s="301">
        <f>0</f>
        <v>0</v>
      </c>
      <c r="U195" s="301">
        <f>0</f>
        <v>0</v>
      </c>
      <c r="V195" s="301">
        <f>0</f>
        <v>0</v>
      </c>
      <c r="W195" s="425">
        <f t="shared" si="70"/>
        <v>0</v>
      </c>
      <c r="X195" s="419"/>
      <c r="Y195" s="419"/>
      <c r="Z195" s="421"/>
      <c r="AA195" s="421"/>
      <c r="AB195" s="419"/>
      <c r="AC195" s="419"/>
      <c r="AD195" s="421"/>
      <c r="AE195" s="421"/>
      <c r="AF195" s="419"/>
      <c r="AG195" s="419"/>
      <c r="AH195" s="421"/>
      <c r="AI195" s="421"/>
      <c r="AJ195" s="419"/>
      <c r="AK195" s="419"/>
      <c r="AL195" s="421"/>
      <c r="AM195" s="421"/>
      <c r="AN195" s="419"/>
      <c r="AO195" s="419"/>
      <c r="AP195" s="421"/>
      <c r="AQ195" s="421"/>
      <c r="AR195" s="424">
        <f t="shared" si="73"/>
        <v>0</v>
      </c>
      <c r="AS195" s="422">
        <f t="shared" si="74"/>
        <v>0.71251819505094616</v>
      </c>
      <c r="AT195" s="425">
        <f t="shared" si="75"/>
        <v>0</v>
      </c>
      <c r="AU195" s="423">
        <f t="shared" si="76"/>
        <v>0.72291021671826627</v>
      </c>
      <c r="AV195" s="419">
        <v>1</v>
      </c>
      <c r="AW195" s="444"/>
      <c r="AX195" s="419">
        <v>13</v>
      </c>
      <c r="AY195" s="419">
        <v>91</v>
      </c>
      <c r="AZ195" s="421">
        <v>13</v>
      </c>
      <c r="BA195" s="421">
        <v>83</v>
      </c>
      <c r="BB195" s="419">
        <v>51</v>
      </c>
      <c r="BC195" s="419">
        <v>41</v>
      </c>
      <c r="BD195" s="421">
        <v>51</v>
      </c>
      <c r="BE195" s="421">
        <v>43</v>
      </c>
      <c r="BF195" s="419">
        <v>52</v>
      </c>
      <c r="BG195" s="419">
        <v>33</v>
      </c>
      <c r="BH195" s="421">
        <v>52</v>
      </c>
      <c r="BI195" s="420">
        <v>24</v>
      </c>
      <c r="BJ195" s="419">
        <v>42</v>
      </c>
      <c r="BK195" s="419">
        <v>24</v>
      </c>
      <c r="BL195" s="421">
        <v>42</v>
      </c>
      <c r="BM195" s="420">
        <v>19</v>
      </c>
      <c r="BN195" s="419">
        <v>26</v>
      </c>
      <c r="BO195" s="419">
        <v>5</v>
      </c>
      <c r="BP195" s="421">
        <v>27</v>
      </c>
      <c r="BQ195" s="420">
        <v>11</v>
      </c>
      <c r="BR195" s="419">
        <v>27</v>
      </c>
      <c r="BS195" s="419">
        <v>4</v>
      </c>
      <c r="BT195" s="421">
        <v>26</v>
      </c>
      <c r="BU195" s="420">
        <v>7</v>
      </c>
      <c r="BV195" s="419"/>
      <c r="BW195" s="419"/>
      <c r="BX195" s="421"/>
      <c r="BY195" s="421"/>
      <c r="BZ195" s="419"/>
      <c r="CA195" s="419"/>
      <c r="CB195" s="421"/>
      <c r="CC195" s="421"/>
      <c r="CD195" s="419"/>
      <c r="CE195" s="419"/>
      <c r="CF195" s="421"/>
      <c r="CG195" s="421"/>
      <c r="CH195" s="419"/>
      <c r="CI195" s="419"/>
      <c r="CJ195" s="421"/>
      <c r="CK195" s="421"/>
      <c r="CL195" s="419"/>
      <c r="CM195" s="421"/>
      <c r="CN195" s="424">
        <f t="shared" si="77"/>
        <v>198</v>
      </c>
      <c r="CO195" s="424">
        <f t="shared" si="78"/>
        <v>6</v>
      </c>
      <c r="CP195" s="425">
        <f t="shared" si="79"/>
        <v>187</v>
      </c>
      <c r="CQ195" s="425">
        <f t="shared" si="80"/>
        <v>6</v>
      </c>
      <c r="CR195" s="419"/>
      <c r="CS195" s="419"/>
      <c r="CT195" s="421"/>
      <c r="CU195" s="421"/>
      <c r="CV195" s="419"/>
      <c r="CW195" s="419"/>
      <c r="CX195" s="421"/>
      <c r="CY195" s="421"/>
      <c r="CZ195" s="419"/>
      <c r="DA195" s="419"/>
      <c r="DB195" s="421"/>
      <c r="DC195" s="421"/>
      <c r="DD195" s="419"/>
      <c r="DE195" s="419"/>
      <c r="DF195" s="421"/>
      <c r="DG195" s="421"/>
      <c r="DH195" s="419"/>
      <c r="DI195" s="419"/>
      <c r="DJ195" s="421"/>
      <c r="DK195" s="421"/>
      <c r="DL195" s="419"/>
      <c r="DM195" s="419"/>
      <c r="DN195" s="421"/>
      <c r="DO195" s="421"/>
      <c r="DP195" s="419"/>
      <c r="DQ195" s="419"/>
      <c r="DR195" s="421"/>
      <c r="DS195" s="421"/>
      <c r="DT195" s="419"/>
      <c r="DU195" s="419"/>
      <c r="DV195" s="421"/>
      <c r="DW195" s="421"/>
      <c r="DX195" s="419"/>
      <c r="DY195" s="419"/>
      <c r="DZ195" s="421"/>
      <c r="EA195" s="421"/>
      <c r="EB195" s="419"/>
      <c r="EC195" s="419"/>
      <c r="ED195" s="421"/>
      <c r="EE195" s="421"/>
      <c r="EF195" s="419"/>
      <c r="EG195" s="421"/>
      <c r="EH195" s="424">
        <f t="shared" si="81"/>
        <v>0</v>
      </c>
      <c r="EI195" s="424">
        <f t="shared" si="82"/>
        <v>0</v>
      </c>
      <c r="EJ195" s="422">
        <f t="shared" si="83"/>
        <v>0</v>
      </c>
      <c r="EK195" s="425">
        <f t="shared" si="84"/>
        <v>0</v>
      </c>
      <c r="EL195" s="425">
        <f t="shared" si="85"/>
        <v>0</v>
      </c>
      <c r="EM195" s="423">
        <f t="shared" si="86"/>
        <v>0</v>
      </c>
      <c r="EN195" s="424">
        <f t="shared" si="87"/>
        <v>198</v>
      </c>
      <c r="EO195" s="425">
        <f t="shared" si="88"/>
        <v>187</v>
      </c>
      <c r="EP195" s="419"/>
      <c r="EQ195" s="421"/>
      <c r="ER195" s="419"/>
      <c r="ES195" s="421"/>
      <c r="ET195" s="419"/>
      <c r="EU195" s="421"/>
      <c r="EV195" s="419"/>
      <c r="EW195" s="421"/>
      <c r="EX195" s="419"/>
      <c r="EY195" s="421"/>
      <c r="EZ195" s="419"/>
      <c r="FA195" s="421"/>
      <c r="FB195" s="419"/>
      <c r="FC195" s="421"/>
      <c r="FD195" s="419"/>
      <c r="FE195" s="421"/>
      <c r="FF195" s="419"/>
      <c r="FG195" s="421"/>
      <c r="FH195" s="419"/>
      <c r="FI195" s="421"/>
      <c r="FJ195" s="424">
        <f t="shared" si="89"/>
        <v>0</v>
      </c>
      <c r="FK195" s="425">
        <f t="shared" si="90"/>
        <v>0</v>
      </c>
      <c r="FL195" s="419"/>
      <c r="FM195" s="421"/>
      <c r="FN195" s="424">
        <f t="shared" si="91"/>
        <v>1374</v>
      </c>
      <c r="FO195" s="425">
        <f t="shared" si="92"/>
        <v>1292</v>
      </c>
    </row>
    <row r="196" spans="1:171">
      <c r="A196" s="456" t="s">
        <v>159</v>
      </c>
      <c r="B196" s="27" t="s">
        <v>718</v>
      </c>
      <c r="C196" s="26"/>
      <c r="D196" s="25">
        <v>160038</v>
      </c>
      <c r="E196" s="25">
        <v>4</v>
      </c>
      <c r="F196" s="419"/>
      <c r="G196" s="421"/>
      <c r="H196" s="419"/>
      <c r="I196" s="421"/>
      <c r="J196" s="419">
        <v>368</v>
      </c>
      <c r="K196" s="431">
        <v>360</v>
      </c>
      <c r="L196" s="422">
        <f t="shared" si="71"/>
        <v>0.30363036303630364</v>
      </c>
      <c r="M196" s="423">
        <f t="shared" si="72"/>
        <v>0.26548672566371684</v>
      </c>
      <c r="N196" s="419">
        <v>1212</v>
      </c>
      <c r="O196" s="309">
        <f>0</f>
        <v>0</v>
      </c>
      <c r="P196" s="309">
        <f>0</f>
        <v>0</v>
      </c>
      <c r="Q196" s="309">
        <f>0</f>
        <v>0</v>
      </c>
      <c r="R196" s="424">
        <f t="shared" si="69"/>
        <v>0</v>
      </c>
      <c r="S196" s="431">
        <v>1356</v>
      </c>
      <c r="T196" s="301">
        <f>0</f>
        <v>0</v>
      </c>
      <c r="U196" s="301">
        <f>0</f>
        <v>0</v>
      </c>
      <c r="V196" s="301">
        <f>0</f>
        <v>0</v>
      </c>
      <c r="W196" s="425">
        <f t="shared" si="70"/>
        <v>0</v>
      </c>
      <c r="X196" s="419"/>
      <c r="Y196" s="419"/>
      <c r="Z196" s="421"/>
      <c r="AA196" s="421"/>
      <c r="AB196" s="419"/>
      <c r="AC196" s="419"/>
      <c r="AD196" s="421"/>
      <c r="AE196" s="421"/>
      <c r="AF196" s="419"/>
      <c r="AG196" s="419"/>
      <c r="AH196" s="421"/>
      <c r="AI196" s="421"/>
      <c r="AJ196" s="419"/>
      <c r="AK196" s="419"/>
      <c r="AL196" s="421"/>
      <c r="AM196" s="421"/>
      <c r="AN196" s="419"/>
      <c r="AO196" s="419"/>
      <c r="AP196" s="421"/>
      <c r="AQ196" s="421"/>
      <c r="AR196" s="424">
        <f t="shared" si="73"/>
        <v>0</v>
      </c>
      <c r="AS196" s="422">
        <f t="shared" si="74"/>
        <v>0.62377766340710239</v>
      </c>
      <c r="AT196" s="425">
        <f t="shared" si="75"/>
        <v>0</v>
      </c>
      <c r="AU196" s="423">
        <f t="shared" si="76"/>
        <v>0.6598540145985401</v>
      </c>
      <c r="AV196" s="419">
        <v>59</v>
      </c>
      <c r="AW196" s="444">
        <v>46</v>
      </c>
      <c r="AX196" s="419">
        <v>13</v>
      </c>
      <c r="AY196" s="419">
        <v>148</v>
      </c>
      <c r="AZ196" s="421">
        <v>13</v>
      </c>
      <c r="BA196" s="421">
        <v>136</v>
      </c>
      <c r="BB196" s="419">
        <v>51</v>
      </c>
      <c r="BC196" s="419">
        <v>92</v>
      </c>
      <c r="BD196" s="421">
        <v>51</v>
      </c>
      <c r="BE196" s="421">
        <v>90</v>
      </c>
      <c r="BF196" s="419">
        <v>31</v>
      </c>
      <c r="BG196" s="419">
        <v>22</v>
      </c>
      <c r="BH196" s="421">
        <v>31</v>
      </c>
      <c r="BI196" s="420">
        <v>16</v>
      </c>
      <c r="BJ196" s="419">
        <v>50</v>
      </c>
      <c r="BK196" s="419">
        <v>12</v>
      </c>
      <c r="BL196" s="421">
        <v>42</v>
      </c>
      <c r="BM196" s="421">
        <v>13</v>
      </c>
      <c r="BN196" s="419">
        <v>43</v>
      </c>
      <c r="BO196" s="419">
        <v>12</v>
      </c>
      <c r="BP196" s="421">
        <v>50</v>
      </c>
      <c r="BQ196" s="421">
        <v>12</v>
      </c>
      <c r="BR196" s="419">
        <v>23</v>
      </c>
      <c r="BS196" s="419">
        <v>8</v>
      </c>
      <c r="BT196" s="421">
        <v>23</v>
      </c>
      <c r="BU196" s="421">
        <v>8</v>
      </c>
      <c r="BV196" s="419">
        <v>42</v>
      </c>
      <c r="BW196" s="419">
        <v>3</v>
      </c>
      <c r="BX196" s="421">
        <v>43</v>
      </c>
      <c r="BY196" s="420">
        <v>7</v>
      </c>
      <c r="BZ196" s="419"/>
      <c r="CA196" s="419"/>
      <c r="CB196" s="421"/>
      <c r="CC196" s="421"/>
      <c r="CD196" s="419"/>
      <c r="CE196" s="419"/>
      <c r="CF196" s="421"/>
      <c r="CG196" s="421"/>
      <c r="CH196" s="419"/>
      <c r="CI196" s="419"/>
      <c r="CJ196" s="421"/>
      <c r="CK196" s="421"/>
      <c r="CL196" s="419"/>
      <c r="CM196" s="421"/>
      <c r="CN196" s="424">
        <f t="shared" si="77"/>
        <v>297</v>
      </c>
      <c r="CO196" s="424">
        <f t="shared" si="78"/>
        <v>7</v>
      </c>
      <c r="CP196" s="425">
        <f t="shared" si="79"/>
        <v>282</v>
      </c>
      <c r="CQ196" s="425">
        <f t="shared" si="80"/>
        <v>7</v>
      </c>
      <c r="CR196" s="419"/>
      <c r="CS196" s="419"/>
      <c r="CT196" s="421"/>
      <c r="CU196" s="421"/>
      <c r="CV196" s="419"/>
      <c r="CW196" s="419"/>
      <c r="CX196" s="421"/>
      <c r="CY196" s="421"/>
      <c r="CZ196" s="419"/>
      <c r="DA196" s="419"/>
      <c r="DB196" s="421"/>
      <c r="DC196" s="421"/>
      <c r="DD196" s="419"/>
      <c r="DE196" s="419"/>
      <c r="DF196" s="421"/>
      <c r="DG196" s="421"/>
      <c r="DH196" s="419"/>
      <c r="DI196" s="419"/>
      <c r="DJ196" s="421"/>
      <c r="DK196" s="421"/>
      <c r="DL196" s="419"/>
      <c r="DM196" s="419"/>
      <c r="DN196" s="421"/>
      <c r="DO196" s="421"/>
      <c r="DP196" s="419"/>
      <c r="DQ196" s="419"/>
      <c r="DR196" s="421"/>
      <c r="DS196" s="421"/>
      <c r="DT196" s="419"/>
      <c r="DU196" s="419"/>
      <c r="DV196" s="421"/>
      <c r="DW196" s="421"/>
      <c r="DX196" s="419"/>
      <c r="DY196" s="419"/>
      <c r="DZ196" s="421"/>
      <c r="EA196" s="421"/>
      <c r="EB196" s="419"/>
      <c r="EC196" s="419"/>
      <c r="ED196" s="421"/>
      <c r="EE196" s="421"/>
      <c r="EF196" s="419"/>
      <c r="EG196" s="421"/>
      <c r="EH196" s="424">
        <f t="shared" si="81"/>
        <v>0</v>
      </c>
      <c r="EI196" s="424">
        <f t="shared" si="82"/>
        <v>0</v>
      </c>
      <c r="EJ196" s="422">
        <f t="shared" si="83"/>
        <v>0</v>
      </c>
      <c r="EK196" s="425">
        <f t="shared" si="84"/>
        <v>0</v>
      </c>
      <c r="EL196" s="425">
        <f t="shared" si="85"/>
        <v>0</v>
      </c>
      <c r="EM196" s="423">
        <f t="shared" si="86"/>
        <v>0</v>
      </c>
      <c r="EN196" s="424">
        <f t="shared" si="87"/>
        <v>297</v>
      </c>
      <c r="EO196" s="425">
        <f t="shared" si="88"/>
        <v>282</v>
      </c>
      <c r="EP196" s="419"/>
      <c r="EQ196" s="421"/>
      <c r="ER196" s="419"/>
      <c r="ES196" s="421"/>
      <c r="ET196" s="419"/>
      <c r="EU196" s="421"/>
      <c r="EV196" s="419"/>
      <c r="EW196" s="421"/>
      <c r="EX196" s="419"/>
      <c r="EY196" s="421"/>
      <c r="EZ196" s="419"/>
      <c r="FA196" s="421"/>
      <c r="FB196" s="419"/>
      <c r="FC196" s="421"/>
      <c r="FD196" s="419"/>
      <c r="FE196" s="421"/>
      <c r="FF196" s="419"/>
      <c r="FG196" s="421"/>
      <c r="FH196" s="419">
        <v>7</v>
      </c>
      <c r="FI196" s="420">
        <v>11</v>
      </c>
      <c r="FJ196" s="424">
        <f t="shared" si="89"/>
        <v>7</v>
      </c>
      <c r="FK196" s="425">
        <f t="shared" si="90"/>
        <v>11</v>
      </c>
      <c r="FL196" s="419"/>
      <c r="FM196" s="421"/>
      <c r="FN196" s="424">
        <f t="shared" si="91"/>
        <v>1943</v>
      </c>
      <c r="FO196" s="425">
        <f t="shared" si="92"/>
        <v>2055</v>
      </c>
    </row>
    <row r="197" spans="1:171">
      <c r="A197" s="24" t="s">
        <v>159</v>
      </c>
      <c r="B197" s="27" t="s">
        <v>719</v>
      </c>
      <c r="C197" s="23"/>
      <c r="D197" s="25">
        <v>160630</v>
      </c>
      <c r="E197" s="25">
        <v>5</v>
      </c>
      <c r="F197" s="419"/>
      <c r="G197" s="421"/>
      <c r="H197" s="419"/>
      <c r="I197" s="421"/>
      <c r="J197" s="419">
        <v>12</v>
      </c>
      <c r="K197" s="444">
        <v>15</v>
      </c>
      <c r="L197" s="422">
        <f t="shared" si="71"/>
        <v>4.1666666666666664E-2</v>
      </c>
      <c r="M197" s="423">
        <f t="shared" si="72"/>
        <v>5.7034220532319393E-2</v>
      </c>
      <c r="N197" s="419">
        <v>288</v>
      </c>
      <c r="O197" s="309">
        <f>0</f>
        <v>0</v>
      </c>
      <c r="P197" s="309">
        <f>0</f>
        <v>0</v>
      </c>
      <c r="Q197" s="309">
        <f>0</f>
        <v>0</v>
      </c>
      <c r="R197" s="424">
        <f t="shared" si="69"/>
        <v>0</v>
      </c>
      <c r="S197" s="431">
        <v>263</v>
      </c>
      <c r="T197" s="301">
        <f>0</f>
        <v>0</v>
      </c>
      <c r="U197" s="301">
        <f>0</f>
        <v>0</v>
      </c>
      <c r="V197" s="301">
        <f>0</f>
        <v>0</v>
      </c>
      <c r="W197" s="425">
        <f t="shared" si="70"/>
        <v>0</v>
      </c>
      <c r="X197" s="419"/>
      <c r="Y197" s="419"/>
      <c r="Z197" s="421"/>
      <c r="AA197" s="421"/>
      <c r="AB197" s="419"/>
      <c r="AC197" s="419"/>
      <c r="AD197" s="421"/>
      <c r="AE197" s="421"/>
      <c r="AF197" s="419"/>
      <c r="AG197" s="419"/>
      <c r="AH197" s="421"/>
      <c r="AI197" s="421"/>
      <c r="AJ197" s="419"/>
      <c r="AK197" s="419"/>
      <c r="AL197" s="421"/>
      <c r="AM197" s="421"/>
      <c r="AN197" s="419"/>
      <c r="AO197" s="419"/>
      <c r="AP197" s="421"/>
      <c r="AQ197" s="421"/>
      <c r="AR197" s="424">
        <f t="shared" si="73"/>
        <v>0</v>
      </c>
      <c r="AS197" s="422">
        <f t="shared" si="74"/>
        <v>0.61276595744680851</v>
      </c>
      <c r="AT197" s="425">
        <f t="shared" si="75"/>
        <v>0</v>
      </c>
      <c r="AU197" s="423">
        <f t="shared" si="76"/>
        <v>0.62174940898345155</v>
      </c>
      <c r="AV197" s="419"/>
      <c r="AW197" s="431"/>
      <c r="AX197" s="419">
        <v>44</v>
      </c>
      <c r="AY197" s="419">
        <v>118</v>
      </c>
      <c r="AZ197" s="421">
        <v>44</v>
      </c>
      <c r="BA197" s="420">
        <v>76</v>
      </c>
      <c r="BB197" s="419">
        <v>43</v>
      </c>
      <c r="BC197" s="419">
        <v>33</v>
      </c>
      <c r="BD197" s="421">
        <v>43</v>
      </c>
      <c r="BE197" s="420">
        <v>41</v>
      </c>
      <c r="BF197" s="419">
        <v>11</v>
      </c>
      <c r="BG197" s="419">
        <v>15</v>
      </c>
      <c r="BH197" s="421">
        <v>11</v>
      </c>
      <c r="BI197" s="421">
        <v>18</v>
      </c>
      <c r="BJ197" s="419">
        <v>30</v>
      </c>
      <c r="BK197" s="419">
        <v>4</v>
      </c>
      <c r="BL197" s="421">
        <v>30</v>
      </c>
      <c r="BM197" s="420">
        <v>10</v>
      </c>
      <c r="BN197" s="419"/>
      <c r="BO197" s="419"/>
      <c r="BP197" s="421"/>
      <c r="BQ197" s="421"/>
      <c r="BR197" s="419"/>
      <c r="BS197" s="419"/>
      <c r="BT197" s="421"/>
      <c r="BU197" s="421"/>
      <c r="BV197" s="419"/>
      <c r="BW197" s="419"/>
      <c r="BX197" s="421"/>
      <c r="BY197" s="421"/>
      <c r="BZ197" s="419"/>
      <c r="CA197" s="419"/>
      <c r="CB197" s="421"/>
      <c r="CC197" s="421"/>
      <c r="CD197" s="419"/>
      <c r="CE197" s="419"/>
      <c r="CF197" s="421"/>
      <c r="CG197" s="421"/>
      <c r="CH197" s="419"/>
      <c r="CI197" s="419"/>
      <c r="CJ197" s="421"/>
      <c r="CK197" s="421"/>
      <c r="CL197" s="419"/>
      <c r="CM197" s="421"/>
      <c r="CN197" s="424">
        <f t="shared" si="77"/>
        <v>170</v>
      </c>
      <c r="CO197" s="424">
        <f t="shared" si="78"/>
        <v>4</v>
      </c>
      <c r="CP197" s="425">
        <f t="shared" si="79"/>
        <v>145</v>
      </c>
      <c r="CQ197" s="425">
        <f t="shared" si="80"/>
        <v>4</v>
      </c>
      <c r="CR197" s="419"/>
      <c r="CS197" s="419"/>
      <c r="CT197" s="421"/>
      <c r="CU197" s="421"/>
      <c r="CV197" s="419"/>
      <c r="CW197" s="419"/>
      <c r="CX197" s="421"/>
      <c r="CY197" s="421"/>
      <c r="CZ197" s="419"/>
      <c r="DA197" s="419"/>
      <c r="DB197" s="421"/>
      <c r="DC197" s="421"/>
      <c r="DD197" s="419"/>
      <c r="DE197" s="419"/>
      <c r="DF197" s="421"/>
      <c r="DG197" s="421"/>
      <c r="DH197" s="419"/>
      <c r="DI197" s="419"/>
      <c r="DJ197" s="421"/>
      <c r="DK197" s="421"/>
      <c r="DL197" s="419"/>
      <c r="DM197" s="419"/>
      <c r="DN197" s="421"/>
      <c r="DO197" s="421"/>
      <c r="DP197" s="419"/>
      <c r="DQ197" s="419"/>
      <c r="DR197" s="421"/>
      <c r="DS197" s="421"/>
      <c r="DT197" s="419"/>
      <c r="DU197" s="419"/>
      <c r="DV197" s="421"/>
      <c r="DW197" s="421"/>
      <c r="DX197" s="419"/>
      <c r="DY197" s="419"/>
      <c r="DZ197" s="421"/>
      <c r="EA197" s="421"/>
      <c r="EB197" s="419"/>
      <c r="EC197" s="419"/>
      <c r="ED197" s="421"/>
      <c r="EE197" s="421"/>
      <c r="EF197" s="419"/>
      <c r="EG197" s="421"/>
      <c r="EH197" s="424">
        <f t="shared" si="81"/>
        <v>0</v>
      </c>
      <c r="EI197" s="424">
        <f t="shared" si="82"/>
        <v>0</v>
      </c>
      <c r="EJ197" s="422">
        <f t="shared" si="83"/>
        <v>0</v>
      </c>
      <c r="EK197" s="425">
        <f t="shared" si="84"/>
        <v>0</v>
      </c>
      <c r="EL197" s="425">
        <f t="shared" si="85"/>
        <v>0</v>
      </c>
      <c r="EM197" s="423">
        <f t="shared" si="86"/>
        <v>0</v>
      </c>
      <c r="EN197" s="424">
        <f t="shared" si="87"/>
        <v>170</v>
      </c>
      <c r="EO197" s="425">
        <f t="shared" si="88"/>
        <v>145</v>
      </c>
      <c r="EP197" s="419"/>
      <c r="EQ197" s="421"/>
      <c r="ER197" s="419"/>
      <c r="ES197" s="421"/>
      <c r="ET197" s="419"/>
      <c r="EU197" s="421"/>
      <c r="EV197" s="419"/>
      <c r="EW197" s="421"/>
      <c r="EX197" s="419"/>
      <c r="EY197" s="421"/>
      <c r="EZ197" s="419"/>
      <c r="FA197" s="421"/>
      <c r="FB197" s="419"/>
      <c r="FC197" s="421"/>
      <c r="FD197" s="419"/>
      <c r="FE197" s="421"/>
      <c r="FF197" s="419"/>
      <c r="FG197" s="421"/>
      <c r="FH197" s="419"/>
      <c r="FI197" s="421"/>
      <c r="FJ197" s="424">
        <f t="shared" si="89"/>
        <v>0</v>
      </c>
      <c r="FK197" s="425">
        <f t="shared" si="90"/>
        <v>0</v>
      </c>
      <c r="FL197" s="419"/>
      <c r="FM197" s="421"/>
      <c r="FN197" s="424">
        <f t="shared" si="91"/>
        <v>470</v>
      </c>
      <c r="FO197" s="425">
        <f t="shared" si="92"/>
        <v>423</v>
      </c>
    </row>
    <row r="198" spans="1:171">
      <c r="A198" s="456" t="s">
        <v>159</v>
      </c>
      <c r="B198" s="27" t="s">
        <v>720</v>
      </c>
      <c r="C198" s="23"/>
      <c r="D198" s="25">
        <v>159382</v>
      </c>
      <c r="E198" s="20">
        <v>6</v>
      </c>
      <c r="F198" s="419">
        <v>7</v>
      </c>
      <c r="G198" s="444">
        <v>4</v>
      </c>
      <c r="H198" s="419"/>
      <c r="I198" s="421"/>
      <c r="J198" s="419">
        <v>125</v>
      </c>
      <c r="K198" s="431">
        <v>125</v>
      </c>
      <c r="L198" s="422">
        <f t="shared" si="71"/>
        <v>0.32051282051282054</v>
      </c>
      <c r="M198" s="423">
        <f t="shared" si="72"/>
        <v>0.28216704288939054</v>
      </c>
      <c r="N198" s="419">
        <v>390</v>
      </c>
      <c r="O198" s="309">
        <f>0</f>
        <v>0</v>
      </c>
      <c r="P198" s="309">
        <f>0</f>
        <v>0</v>
      </c>
      <c r="Q198" s="309">
        <f>0</f>
        <v>0</v>
      </c>
      <c r="R198" s="424">
        <f t="shared" si="69"/>
        <v>0</v>
      </c>
      <c r="S198" s="431">
        <v>443</v>
      </c>
      <c r="T198" s="301">
        <f>0</f>
        <v>0</v>
      </c>
      <c r="U198" s="301">
        <f>0</f>
        <v>0</v>
      </c>
      <c r="V198" s="301">
        <f>0</f>
        <v>0</v>
      </c>
      <c r="W198" s="425">
        <f t="shared" si="70"/>
        <v>0</v>
      </c>
      <c r="X198" s="419"/>
      <c r="Y198" s="419"/>
      <c r="Z198" s="421"/>
      <c r="AA198" s="421"/>
      <c r="AB198" s="419"/>
      <c r="AC198" s="419"/>
      <c r="AD198" s="421"/>
      <c r="AE198" s="421"/>
      <c r="AF198" s="419"/>
      <c r="AG198" s="419"/>
      <c r="AH198" s="421"/>
      <c r="AI198" s="421"/>
      <c r="AJ198" s="419"/>
      <c r="AK198" s="419"/>
      <c r="AL198" s="421"/>
      <c r="AM198" s="421"/>
      <c r="AN198" s="419"/>
      <c r="AO198" s="419"/>
      <c r="AP198" s="421"/>
      <c r="AQ198" s="421"/>
      <c r="AR198" s="424">
        <f t="shared" si="73"/>
        <v>0</v>
      </c>
      <c r="AS198" s="422">
        <f t="shared" si="74"/>
        <v>0.72222222222222221</v>
      </c>
      <c r="AT198" s="425">
        <f t="shared" si="75"/>
        <v>0</v>
      </c>
      <c r="AU198" s="423">
        <f t="shared" si="76"/>
        <v>0.74831081081081086</v>
      </c>
      <c r="AV198" s="419">
        <v>18</v>
      </c>
      <c r="AW198" s="431">
        <v>20</v>
      </c>
      <c r="AX198" s="419"/>
      <c r="AY198" s="419"/>
      <c r="AZ198" s="421"/>
      <c r="BA198" s="421"/>
      <c r="BB198" s="419"/>
      <c r="BC198" s="419"/>
      <c r="BD198" s="421"/>
      <c r="BE198" s="421"/>
      <c r="BF198" s="419"/>
      <c r="BG198" s="419"/>
      <c r="BH198" s="421"/>
      <c r="BI198" s="421"/>
      <c r="BJ198" s="419"/>
      <c r="BK198" s="419"/>
      <c r="BL198" s="421"/>
      <c r="BM198" s="421"/>
      <c r="BN198" s="419"/>
      <c r="BO198" s="419"/>
      <c r="BP198" s="421"/>
      <c r="BQ198" s="421"/>
      <c r="BR198" s="419"/>
      <c r="BS198" s="419"/>
      <c r="BT198" s="421"/>
      <c r="BU198" s="421"/>
      <c r="BV198" s="419"/>
      <c r="BW198" s="419"/>
      <c r="BX198" s="421"/>
      <c r="BY198" s="421"/>
      <c r="BZ198" s="419"/>
      <c r="CA198" s="419"/>
      <c r="CB198" s="421"/>
      <c r="CC198" s="421"/>
      <c r="CD198" s="419"/>
      <c r="CE198" s="419"/>
      <c r="CF198" s="421"/>
      <c r="CG198" s="421"/>
      <c r="CH198" s="419"/>
      <c r="CI198" s="419"/>
      <c r="CJ198" s="421"/>
      <c r="CK198" s="421"/>
      <c r="CL198" s="419"/>
      <c r="CM198" s="421"/>
      <c r="CN198" s="424">
        <f t="shared" si="77"/>
        <v>0</v>
      </c>
      <c r="CO198" s="424">
        <f t="shared" si="78"/>
        <v>0</v>
      </c>
      <c r="CP198" s="425">
        <f t="shared" si="79"/>
        <v>0</v>
      </c>
      <c r="CQ198" s="425">
        <f t="shared" si="80"/>
        <v>0</v>
      </c>
      <c r="CR198" s="419"/>
      <c r="CS198" s="419"/>
      <c r="CT198" s="421"/>
      <c r="CU198" s="421"/>
      <c r="CV198" s="419"/>
      <c r="CW198" s="419"/>
      <c r="CX198" s="421"/>
      <c r="CY198" s="421"/>
      <c r="CZ198" s="419"/>
      <c r="DA198" s="419"/>
      <c r="DB198" s="421"/>
      <c r="DC198" s="421"/>
      <c r="DD198" s="419"/>
      <c r="DE198" s="419"/>
      <c r="DF198" s="421"/>
      <c r="DG198" s="421"/>
      <c r="DH198" s="419"/>
      <c r="DI198" s="419"/>
      <c r="DJ198" s="421"/>
      <c r="DK198" s="421"/>
      <c r="DL198" s="419"/>
      <c r="DM198" s="419"/>
      <c r="DN198" s="421"/>
      <c r="DO198" s="421"/>
      <c r="DP198" s="419"/>
      <c r="DQ198" s="419"/>
      <c r="DR198" s="421"/>
      <c r="DS198" s="421"/>
      <c r="DT198" s="419"/>
      <c r="DU198" s="419"/>
      <c r="DV198" s="421"/>
      <c r="DW198" s="421"/>
      <c r="DX198" s="419"/>
      <c r="DY198" s="419"/>
      <c r="DZ198" s="421"/>
      <c r="EA198" s="421"/>
      <c r="EB198" s="419"/>
      <c r="EC198" s="419"/>
      <c r="ED198" s="421"/>
      <c r="EE198" s="421"/>
      <c r="EF198" s="419"/>
      <c r="EG198" s="421"/>
      <c r="EH198" s="424">
        <f t="shared" si="81"/>
        <v>0</v>
      </c>
      <c r="EI198" s="424">
        <f t="shared" si="82"/>
        <v>0</v>
      </c>
      <c r="EJ198" s="422">
        <f t="shared" si="83"/>
        <v>0</v>
      </c>
      <c r="EK198" s="425">
        <f t="shared" si="84"/>
        <v>0</v>
      </c>
      <c r="EL198" s="425">
        <f t="shared" si="85"/>
        <v>0</v>
      </c>
      <c r="EM198" s="423">
        <f t="shared" si="86"/>
        <v>0</v>
      </c>
      <c r="EN198" s="424">
        <f t="shared" si="87"/>
        <v>0</v>
      </c>
      <c r="EO198" s="425">
        <f t="shared" si="88"/>
        <v>0</v>
      </c>
      <c r="EP198" s="419"/>
      <c r="EQ198" s="421"/>
      <c r="ER198" s="419"/>
      <c r="ES198" s="421"/>
      <c r="ET198" s="419"/>
      <c r="EU198" s="421"/>
      <c r="EV198" s="419"/>
      <c r="EW198" s="421"/>
      <c r="EX198" s="419"/>
      <c r="EY198" s="421"/>
      <c r="EZ198" s="419"/>
      <c r="FA198" s="421"/>
      <c r="FB198" s="419"/>
      <c r="FC198" s="421"/>
      <c r="FD198" s="419"/>
      <c r="FE198" s="421"/>
      <c r="FF198" s="419"/>
      <c r="FG198" s="421"/>
      <c r="FH198" s="419"/>
      <c r="FI198" s="421"/>
      <c r="FJ198" s="424">
        <f t="shared" si="89"/>
        <v>0</v>
      </c>
      <c r="FK198" s="425">
        <f t="shared" si="90"/>
        <v>0</v>
      </c>
      <c r="FL198" s="419"/>
      <c r="FM198" s="421"/>
      <c r="FN198" s="424">
        <f t="shared" si="91"/>
        <v>540</v>
      </c>
      <c r="FO198" s="425">
        <f t="shared" si="92"/>
        <v>592</v>
      </c>
    </row>
    <row r="199" spans="1:171">
      <c r="A199" s="456" t="s">
        <v>159</v>
      </c>
      <c r="B199" s="22" t="s">
        <v>721</v>
      </c>
      <c r="C199" s="21"/>
      <c r="D199" s="25">
        <v>437103</v>
      </c>
      <c r="E199" s="20">
        <v>8</v>
      </c>
      <c r="F199" s="419">
        <v>1492</v>
      </c>
      <c r="G199" s="444">
        <v>1989</v>
      </c>
      <c r="H199" s="419"/>
      <c r="I199" s="421"/>
      <c r="J199" s="419">
        <v>533</v>
      </c>
      <c r="K199" s="431">
        <v>502</v>
      </c>
      <c r="L199" s="422">
        <f t="shared" si="71"/>
        <v>0</v>
      </c>
      <c r="M199" s="423">
        <f t="shared" si="72"/>
        <v>0</v>
      </c>
      <c r="N199" s="419"/>
      <c r="O199" s="309">
        <f>0</f>
        <v>0</v>
      </c>
      <c r="P199" s="309">
        <f>0</f>
        <v>0</v>
      </c>
      <c r="Q199" s="309">
        <f>0</f>
        <v>0</v>
      </c>
      <c r="R199" s="424">
        <f t="shared" si="69"/>
        <v>0</v>
      </c>
      <c r="S199" s="421"/>
      <c r="T199" s="301">
        <f>0</f>
        <v>0</v>
      </c>
      <c r="U199" s="301">
        <f>0</f>
        <v>0</v>
      </c>
      <c r="V199" s="301">
        <f>0</f>
        <v>0</v>
      </c>
      <c r="W199" s="425">
        <f t="shared" si="70"/>
        <v>0</v>
      </c>
      <c r="X199" s="419"/>
      <c r="Y199" s="419"/>
      <c r="Z199" s="421"/>
      <c r="AA199" s="421"/>
      <c r="AB199" s="419"/>
      <c r="AC199" s="419"/>
      <c r="AD199" s="421"/>
      <c r="AE199" s="421"/>
      <c r="AF199" s="419"/>
      <c r="AG199" s="419"/>
      <c r="AH199" s="421"/>
      <c r="AI199" s="421"/>
      <c r="AJ199" s="419"/>
      <c r="AK199" s="419"/>
      <c r="AL199" s="421"/>
      <c r="AM199" s="421"/>
      <c r="AN199" s="419"/>
      <c r="AO199" s="419"/>
      <c r="AP199" s="421"/>
      <c r="AQ199" s="421"/>
      <c r="AR199" s="424">
        <f t="shared" si="73"/>
        <v>0</v>
      </c>
      <c r="AS199" s="422">
        <f t="shared" si="74"/>
        <v>0</v>
      </c>
      <c r="AT199" s="425">
        <f t="shared" si="75"/>
        <v>0</v>
      </c>
      <c r="AU199" s="423">
        <f t="shared" si="76"/>
        <v>0</v>
      </c>
      <c r="AV199" s="419"/>
      <c r="AW199" s="421"/>
      <c r="AX199" s="419"/>
      <c r="AY199" s="419"/>
      <c r="AZ199" s="421"/>
      <c r="BA199" s="421"/>
      <c r="BB199" s="419"/>
      <c r="BC199" s="419"/>
      <c r="BD199" s="421"/>
      <c r="BE199" s="421"/>
      <c r="BF199" s="419"/>
      <c r="BG199" s="419"/>
      <c r="BH199" s="421"/>
      <c r="BI199" s="421"/>
      <c r="BJ199" s="419"/>
      <c r="BK199" s="419"/>
      <c r="BL199" s="421"/>
      <c r="BM199" s="421"/>
      <c r="BN199" s="419"/>
      <c r="BO199" s="419"/>
      <c r="BP199" s="421"/>
      <c r="BQ199" s="421"/>
      <c r="BR199" s="419"/>
      <c r="BS199" s="419"/>
      <c r="BT199" s="421"/>
      <c r="BU199" s="421"/>
      <c r="BV199" s="419"/>
      <c r="BW199" s="419"/>
      <c r="BX199" s="421"/>
      <c r="BY199" s="421"/>
      <c r="BZ199" s="419"/>
      <c r="CA199" s="419"/>
      <c r="CB199" s="421"/>
      <c r="CC199" s="421"/>
      <c r="CD199" s="419"/>
      <c r="CE199" s="419"/>
      <c r="CF199" s="421"/>
      <c r="CG199" s="421"/>
      <c r="CH199" s="419"/>
      <c r="CI199" s="419"/>
      <c r="CJ199" s="421"/>
      <c r="CK199" s="421"/>
      <c r="CL199" s="419"/>
      <c r="CM199" s="421"/>
      <c r="CN199" s="424">
        <f t="shared" si="77"/>
        <v>0</v>
      </c>
      <c r="CO199" s="424">
        <f t="shared" si="78"/>
        <v>0</v>
      </c>
      <c r="CP199" s="425">
        <f t="shared" si="79"/>
        <v>0</v>
      </c>
      <c r="CQ199" s="425">
        <f t="shared" si="80"/>
        <v>0</v>
      </c>
      <c r="CR199" s="419"/>
      <c r="CS199" s="419"/>
      <c r="CT199" s="421"/>
      <c r="CU199" s="421"/>
      <c r="CV199" s="419"/>
      <c r="CW199" s="419"/>
      <c r="CX199" s="421"/>
      <c r="CY199" s="421"/>
      <c r="CZ199" s="419"/>
      <c r="DA199" s="419"/>
      <c r="DB199" s="421"/>
      <c r="DC199" s="421"/>
      <c r="DD199" s="419"/>
      <c r="DE199" s="419"/>
      <c r="DF199" s="421"/>
      <c r="DG199" s="421"/>
      <c r="DH199" s="419"/>
      <c r="DI199" s="419"/>
      <c r="DJ199" s="421"/>
      <c r="DK199" s="421"/>
      <c r="DL199" s="419"/>
      <c r="DM199" s="419"/>
      <c r="DN199" s="421"/>
      <c r="DO199" s="421"/>
      <c r="DP199" s="419"/>
      <c r="DQ199" s="419"/>
      <c r="DR199" s="421"/>
      <c r="DS199" s="421"/>
      <c r="DT199" s="419"/>
      <c r="DU199" s="419"/>
      <c r="DV199" s="421"/>
      <c r="DW199" s="421"/>
      <c r="DX199" s="419"/>
      <c r="DY199" s="419"/>
      <c r="DZ199" s="421"/>
      <c r="EA199" s="421"/>
      <c r="EB199" s="419"/>
      <c r="EC199" s="419"/>
      <c r="ED199" s="421"/>
      <c r="EE199" s="421"/>
      <c r="EF199" s="419"/>
      <c r="EG199" s="421"/>
      <c r="EH199" s="424">
        <f t="shared" si="81"/>
        <v>0</v>
      </c>
      <c r="EI199" s="424">
        <f t="shared" si="82"/>
        <v>0</v>
      </c>
      <c r="EJ199" s="422">
        <f t="shared" si="83"/>
        <v>0</v>
      </c>
      <c r="EK199" s="425">
        <f t="shared" si="84"/>
        <v>0</v>
      </c>
      <c r="EL199" s="425">
        <f t="shared" si="85"/>
        <v>0</v>
      </c>
      <c r="EM199" s="423">
        <f t="shared" si="86"/>
        <v>0</v>
      </c>
      <c r="EN199" s="424">
        <f t="shared" si="87"/>
        <v>0</v>
      </c>
      <c r="EO199" s="425">
        <f t="shared" si="88"/>
        <v>0</v>
      </c>
      <c r="EP199" s="419"/>
      <c r="EQ199" s="421"/>
      <c r="ER199" s="419"/>
      <c r="ES199" s="421"/>
      <c r="ET199" s="419"/>
      <c r="EU199" s="421"/>
      <c r="EV199" s="419"/>
      <c r="EW199" s="421"/>
      <c r="EX199" s="419"/>
      <c r="EY199" s="421"/>
      <c r="EZ199" s="419"/>
      <c r="FA199" s="421"/>
      <c r="FB199" s="419"/>
      <c r="FC199" s="421"/>
      <c r="FD199" s="419"/>
      <c r="FE199" s="421"/>
      <c r="FF199" s="419"/>
      <c r="FG199" s="421"/>
      <c r="FH199" s="419"/>
      <c r="FI199" s="421"/>
      <c r="FJ199" s="424">
        <f t="shared" si="89"/>
        <v>0</v>
      </c>
      <c r="FK199" s="425">
        <f t="shared" si="90"/>
        <v>0</v>
      </c>
      <c r="FL199" s="419"/>
      <c r="FM199" s="421"/>
      <c r="FN199" s="424">
        <f t="shared" si="91"/>
        <v>2025</v>
      </c>
      <c r="FO199" s="425">
        <f t="shared" si="92"/>
        <v>2491</v>
      </c>
    </row>
    <row r="200" spans="1:171">
      <c r="A200" s="456" t="s">
        <v>159</v>
      </c>
      <c r="B200" s="22" t="s">
        <v>723</v>
      </c>
      <c r="C200" s="21"/>
      <c r="D200" s="25">
        <v>158662</v>
      </c>
      <c r="E200" s="20">
        <v>8</v>
      </c>
      <c r="F200" s="419">
        <v>1868</v>
      </c>
      <c r="G200" s="431">
        <v>1578</v>
      </c>
      <c r="H200" s="419"/>
      <c r="I200" s="421"/>
      <c r="J200" s="419">
        <v>1168</v>
      </c>
      <c r="K200" s="431">
        <v>1201</v>
      </c>
      <c r="L200" s="422">
        <f t="shared" si="71"/>
        <v>0</v>
      </c>
      <c r="M200" s="423">
        <f t="shared" si="72"/>
        <v>0</v>
      </c>
      <c r="N200" s="419"/>
      <c r="O200" s="309">
        <f>0</f>
        <v>0</v>
      </c>
      <c r="P200" s="309">
        <f>0</f>
        <v>0</v>
      </c>
      <c r="Q200" s="309">
        <f>0</f>
        <v>0</v>
      </c>
      <c r="R200" s="424">
        <f t="shared" si="69"/>
        <v>0</v>
      </c>
      <c r="S200" s="421"/>
      <c r="T200" s="301">
        <f>0</f>
        <v>0</v>
      </c>
      <c r="U200" s="301">
        <f>0</f>
        <v>0</v>
      </c>
      <c r="V200" s="301">
        <f>0</f>
        <v>0</v>
      </c>
      <c r="W200" s="425">
        <f t="shared" si="70"/>
        <v>0</v>
      </c>
      <c r="X200" s="419"/>
      <c r="Y200" s="419"/>
      <c r="Z200" s="421"/>
      <c r="AA200" s="421"/>
      <c r="AB200" s="419"/>
      <c r="AC200" s="419"/>
      <c r="AD200" s="421"/>
      <c r="AE200" s="421"/>
      <c r="AF200" s="419"/>
      <c r="AG200" s="419"/>
      <c r="AH200" s="421"/>
      <c r="AI200" s="421"/>
      <c r="AJ200" s="419"/>
      <c r="AK200" s="419"/>
      <c r="AL200" s="421"/>
      <c r="AM200" s="421"/>
      <c r="AN200" s="419"/>
      <c r="AO200" s="419"/>
      <c r="AP200" s="421"/>
      <c r="AQ200" s="421"/>
      <c r="AR200" s="424">
        <f t="shared" si="73"/>
        <v>0</v>
      </c>
      <c r="AS200" s="422">
        <f t="shared" si="74"/>
        <v>0</v>
      </c>
      <c r="AT200" s="425">
        <f t="shared" si="75"/>
        <v>0</v>
      </c>
      <c r="AU200" s="423">
        <f t="shared" si="76"/>
        <v>0</v>
      </c>
      <c r="AV200" s="419"/>
      <c r="AW200" s="421"/>
      <c r="AX200" s="419"/>
      <c r="AY200" s="419"/>
      <c r="AZ200" s="421"/>
      <c r="BA200" s="421"/>
      <c r="BB200" s="419"/>
      <c r="BC200" s="419"/>
      <c r="BD200" s="421"/>
      <c r="BE200" s="421"/>
      <c r="BF200" s="419"/>
      <c r="BG200" s="419"/>
      <c r="BH200" s="421"/>
      <c r="BI200" s="421"/>
      <c r="BJ200" s="419"/>
      <c r="BK200" s="419"/>
      <c r="BL200" s="421"/>
      <c r="BM200" s="421"/>
      <c r="BN200" s="419"/>
      <c r="BO200" s="419"/>
      <c r="BP200" s="421"/>
      <c r="BQ200" s="421"/>
      <c r="BR200" s="419"/>
      <c r="BS200" s="419"/>
      <c r="BT200" s="421"/>
      <c r="BU200" s="421"/>
      <c r="BV200" s="419"/>
      <c r="BW200" s="419"/>
      <c r="BX200" s="421"/>
      <c r="BY200" s="421"/>
      <c r="BZ200" s="419"/>
      <c r="CA200" s="419"/>
      <c r="CB200" s="421"/>
      <c r="CC200" s="421"/>
      <c r="CD200" s="419"/>
      <c r="CE200" s="419"/>
      <c r="CF200" s="421"/>
      <c r="CG200" s="421"/>
      <c r="CH200" s="419"/>
      <c r="CI200" s="419"/>
      <c r="CJ200" s="421"/>
      <c r="CK200" s="421"/>
      <c r="CL200" s="419"/>
      <c r="CM200" s="421"/>
      <c r="CN200" s="424">
        <f t="shared" si="77"/>
        <v>0</v>
      </c>
      <c r="CO200" s="424">
        <f t="shared" si="78"/>
        <v>0</v>
      </c>
      <c r="CP200" s="425">
        <f t="shared" si="79"/>
        <v>0</v>
      </c>
      <c r="CQ200" s="425">
        <f t="shared" si="80"/>
        <v>0</v>
      </c>
      <c r="CR200" s="419"/>
      <c r="CS200" s="419"/>
      <c r="CT200" s="421"/>
      <c r="CU200" s="421"/>
      <c r="CV200" s="419"/>
      <c r="CW200" s="419"/>
      <c r="CX200" s="421"/>
      <c r="CY200" s="421"/>
      <c r="CZ200" s="419"/>
      <c r="DA200" s="419"/>
      <c r="DB200" s="421"/>
      <c r="DC200" s="421"/>
      <c r="DD200" s="419"/>
      <c r="DE200" s="419"/>
      <c r="DF200" s="421"/>
      <c r="DG200" s="421"/>
      <c r="DH200" s="419"/>
      <c r="DI200" s="419"/>
      <c r="DJ200" s="421"/>
      <c r="DK200" s="421"/>
      <c r="DL200" s="419"/>
      <c r="DM200" s="419"/>
      <c r="DN200" s="421"/>
      <c r="DO200" s="421"/>
      <c r="DP200" s="419"/>
      <c r="DQ200" s="419"/>
      <c r="DR200" s="421"/>
      <c r="DS200" s="421"/>
      <c r="DT200" s="419"/>
      <c r="DU200" s="419"/>
      <c r="DV200" s="421"/>
      <c r="DW200" s="421"/>
      <c r="DX200" s="419"/>
      <c r="DY200" s="419"/>
      <c r="DZ200" s="421"/>
      <c r="EA200" s="421"/>
      <c r="EB200" s="419"/>
      <c r="EC200" s="419"/>
      <c r="ED200" s="421"/>
      <c r="EE200" s="421"/>
      <c r="EF200" s="419"/>
      <c r="EG200" s="421"/>
      <c r="EH200" s="424">
        <f t="shared" si="81"/>
        <v>0</v>
      </c>
      <c r="EI200" s="424">
        <f t="shared" si="82"/>
        <v>0</v>
      </c>
      <c r="EJ200" s="422">
        <f t="shared" si="83"/>
        <v>0</v>
      </c>
      <c r="EK200" s="425">
        <f t="shared" si="84"/>
        <v>0</v>
      </c>
      <c r="EL200" s="425">
        <f t="shared" si="85"/>
        <v>0</v>
      </c>
      <c r="EM200" s="423">
        <f t="shared" si="86"/>
        <v>0</v>
      </c>
      <c r="EN200" s="424">
        <f t="shared" si="87"/>
        <v>0</v>
      </c>
      <c r="EO200" s="425">
        <f t="shared" si="88"/>
        <v>0</v>
      </c>
      <c r="EP200" s="419"/>
      <c r="EQ200" s="421"/>
      <c r="ER200" s="419"/>
      <c r="ES200" s="421"/>
      <c r="ET200" s="419"/>
      <c r="EU200" s="421"/>
      <c r="EV200" s="419"/>
      <c r="EW200" s="421"/>
      <c r="EX200" s="419"/>
      <c r="EY200" s="421"/>
      <c r="EZ200" s="419"/>
      <c r="FA200" s="421"/>
      <c r="FB200" s="419"/>
      <c r="FC200" s="421"/>
      <c r="FD200" s="419"/>
      <c r="FE200" s="421"/>
      <c r="FF200" s="419"/>
      <c r="FG200" s="421"/>
      <c r="FH200" s="419"/>
      <c r="FI200" s="421"/>
      <c r="FJ200" s="424">
        <f t="shared" si="89"/>
        <v>0</v>
      </c>
      <c r="FK200" s="425">
        <f t="shared" si="90"/>
        <v>0</v>
      </c>
      <c r="FL200" s="419"/>
      <c r="FM200" s="421"/>
      <c r="FN200" s="424">
        <f t="shared" si="91"/>
        <v>3036</v>
      </c>
      <c r="FO200" s="425">
        <f t="shared" si="92"/>
        <v>2779</v>
      </c>
    </row>
    <row r="201" spans="1:171">
      <c r="A201" s="456" t="s">
        <v>159</v>
      </c>
      <c r="B201" s="27" t="s">
        <v>722</v>
      </c>
      <c r="C201" s="26"/>
      <c r="D201" s="25">
        <v>158431</v>
      </c>
      <c r="E201" s="20">
        <v>9</v>
      </c>
      <c r="F201" s="419">
        <v>948</v>
      </c>
      <c r="G201" s="444">
        <v>1423</v>
      </c>
      <c r="H201" s="419"/>
      <c r="I201" s="421"/>
      <c r="J201" s="419">
        <v>632</v>
      </c>
      <c r="K201" s="431">
        <v>624</v>
      </c>
      <c r="L201" s="422">
        <f t="shared" si="71"/>
        <v>0</v>
      </c>
      <c r="M201" s="423">
        <f t="shared" si="72"/>
        <v>0</v>
      </c>
      <c r="N201" s="419"/>
      <c r="O201" s="309">
        <f>0</f>
        <v>0</v>
      </c>
      <c r="P201" s="309">
        <f>0</f>
        <v>0</v>
      </c>
      <c r="Q201" s="309">
        <f>0</f>
        <v>0</v>
      </c>
      <c r="R201" s="424">
        <f t="shared" si="69"/>
        <v>0</v>
      </c>
      <c r="S201" s="421"/>
      <c r="T201" s="301">
        <f>0</f>
        <v>0</v>
      </c>
      <c r="U201" s="301">
        <f>0</f>
        <v>0</v>
      </c>
      <c r="V201" s="301">
        <f>0</f>
        <v>0</v>
      </c>
      <c r="W201" s="425">
        <f t="shared" si="70"/>
        <v>0</v>
      </c>
      <c r="X201" s="419"/>
      <c r="Y201" s="419"/>
      <c r="Z201" s="421"/>
      <c r="AA201" s="421"/>
      <c r="AB201" s="419"/>
      <c r="AC201" s="419"/>
      <c r="AD201" s="421"/>
      <c r="AE201" s="421"/>
      <c r="AF201" s="419"/>
      <c r="AG201" s="419"/>
      <c r="AH201" s="421"/>
      <c r="AI201" s="421"/>
      <c r="AJ201" s="419"/>
      <c r="AK201" s="419"/>
      <c r="AL201" s="421"/>
      <c r="AM201" s="421"/>
      <c r="AN201" s="419"/>
      <c r="AO201" s="419"/>
      <c r="AP201" s="421"/>
      <c r="AQ201" s="421"/>
      <c r="AR201" s="424">
        <f t="shared" si="73"/>
        <v>0</v>
      </c>
      <c r="AS201" s="422">
        <f t="shared" si="74"/>
        <v>0</v>
      </c>
      <c r="AT201" s="425">
        <f t="shared" si="75"/>
        <v>0</v>
      </c>
      <c r="AU201" s="423">
        <f t="shared" si="76"/>
        <v>0</v>
      </c>
      <c r="AV201" s="419"/>
      <c r="AW201" s="421"/>
      <c r="AX201" s="419"/>
      <c r="AY201" s="419"/>
      <c r="AZ201" s="421"/>
      <c r="BA201" s="421"/>
      <c r="BB201" s="419"/>
      <c r="BC201" s="419"/>
      <c r="BD201" s="421"/>
      <c r="BE201" s="421"/>
      <c r="BF201" s="419"/>
      <c r="BG201" s="419"/>
      <c r="BH201" s="421"/>
      <c r="BI201" s="421"/>
      <c r="BJ201" s="419"/>
      <c r="BK201" s="419"/>
      <c r="BL201" s="421"/>
      <c r="BM201" s="421"/>
      <c r="BN201" s="419"/>
      <c r="BO201" s="419"/>
      <c r="BP201" s="421"/>
      <c r="BQ201" s="421"/>
      <c r="BR201" s="419"/>
      <c r="BS201" s="419"/>
      <c r="BT201" s="421"/>
      <c r="BU201" s="421"/>
      <c r="BV201" s="419"/>
      <c r="BW201" s="419"/>
      <c r="BX201" s="421"/>
      <c r="BY201" s="421"/>
      <c r="BZ201" s="419"/>
      <c r="CA201" s="419"/>
      <c r="CB201" s="421"/>
      <c r="CC201" s="421"/>
      <c r="CD201" s="419"/>
      <c r="CE201" s="419"/>
      <c r="CF201" s="421"/>
      <c r="CG201" s="421"/>
      <c r="CH201" s="419"/>
      <c r="CI201" s="419"/>
      <c r="CJ201" s="421"/>
      <c r="CK201" s="421"/>
      <c r="CL201" s="419"/>
      <c r="CM201" s="421"/>
      <c r="CN201" s="424">
        <f t="shared" si="77"/>
        <v>0</v>
      </c>
      <c r="CO201" s="424">
        <f t="shared" si="78"/>
        <v>0</v>
      </c>
      <c r="CP201" s="425">
        <f t="shared" si="79"/>
        <v>0</v>
      </c>
      <c r="CQ201" s="425">
        <f t="shared" si="80"/>
        <v>0</v>
      </c>
      <c r="CR201" s="419"/>
      <c r="CS201" s="419"/>
      <c r="CT201" s="421"/>
      <c r="CU201" s="421"/>
      <c r="CV201" s="419"/>
      <c r="CW201" s="419"/>
      <c r="CX201" s="421"/>
      <c r="CY201" s="421"/>
      <c r="CZ201" s="419"/>
      <c r="DA201" s="419"/>
      <c r="DB201" s="421"/>
      <c r="DC201" s="421"/>
      <c r="DD201" s="419"/>
      <c r="DE201" s="419"/>
      <c r="DF201" s="421"/>
      <c r="DG201" s="421"/>
      <c r="DH201" s="419"/>
      <c r="DI201" s="419"/>
      <c r="DJ201" s="421"/>
      <c r="DK201" s="421"/>
      <c r="DL201" s="419"/>
      <c r="DM201" s="419"/>
      <c r="DN201" s="421"/>
      <c r="DO201" s="421"/>
      <c r="DP201" s="419"/>
      <c r="DQ201" s="419"/>
      <c r="DR201" s="421"/>
      <c r="DS201" s="421"/>
      <c r="DT201" s="419"/>
      <c r="DU201" s="419"/>
      <c r="DV201" s="421"/>
      <c r="DW201" s="421"/>
      <c r="DX201" s="419"/>
      <c r="DY201" s="419"/>
      <c r="DZ201" s="421"/>
      <c r="EA201" s="421"/>
      <c r="EB201" s="419"/>
      <c r="EC201" s="419"/>
      <c r="ED201" s="421"/>
      <c r="EE201" s="421"/>
      <c r="EF201" s="419"/>
      <c r="EG201" s="421"/>
      <c r="EH201" s="424">
        <f t="shared" si="81"/>
        <v>0</v>
      </c>
      <c r="EI201" s="424">
        <f t="shared" si="82"/>
        <v>0</v>
      </c>
      <c r="EJ201" s="422">
        <f t="shared" si="83"/>
        <v>0</v>
      </c>
      <c r="EK201" s="425">
        <f t="shared" si="84"/>
        <v>0</v>
      </c>
      <c r="EL201" s="425">
        <f t="shared" si="85"/>
        <v>0</v>
      </c>
      <c r="EM201" s="423">
        <f t="shared" si="86"/>
        <v>0</v>
      </c>
      <c r="EN201" s="424">
        <f t="shared" si="87"/>
        <v>0</v>
      </c>
      <c r="EO201" s="425">
        <f t="shared" si="88"/>
        <v>0</v>
      </c>
      <c r="EP201" s="419"/>
      <c r="EQ201" s="421"/>
      <c r="ER201" s="419"/>
      <c r="ES201" s="421"/>
      <c r="ET201" s="419"/>
      <c r="EU201" s="421"/>
      <c r="EV201" s="419"/>
      <c r="EW201" s="421"/>
      <c r="EX201" s="419"/>
      <c r="EY201" s="421"/>
      <c r="EZ201" s="419"/>
      <c r="FA201" s="421"/>
      <c r="FB201" s="419"/>
      <c r="FC201" s="421"/>
      <c r="FD201" s="419"/>
      <c r="FE201" s="421"/>
      <c r="FF201" s="419"/>
      <c r="FG201" s="421"/>
      <c r="FH201" s="419"/>
      <c r="FI201" s="421"/>
      <c r="FJ201" s="424">
        <f t="shared" si="89"/>
        <v>0</v>
      </c>
      <c r="FK201" s="425">
        <f t="shared" si="90"/>
        <v>0</v>
      </c>
      <c r="FL201" s="419"/>
      <c r="FM201" s="421"/>
      <c r="FN201" s="424">
        <f t="shared" si="91"/>
        <v>1580</v>
      </c>
      <c r="FO201" s="425">
        <f t="shared" si="92"/>
        <v>2047</v>
      </c>
    </row>
    <row r="202" spans="1:171">
      <c r="A202" s="456" t="s">
        <v>159</v>
      </c>
      <c r="B202" s="27" t="s">
        <v>724</v>
      </c>
      <c r="C202" s="23"/>
      <c r="D202" s="25">
        <v>483212</v>
      </c>
      <c r="E202" s="20">
        <v>9</v>
      </c>
      <c r="F202" s="419">
        <v>458</v>
      </c>
      <c r="G202" s="444">
        <v>658</v>
      </c>
      <c r="H202" s="419"/>
      <c r="I202" s="421"/>
      <c r="J202" s="419">
        <v>176</v>
      </c>
      <c r="K202" s="444">
        <v>226</v>
      </c>
      <c r="L202" s="422">
        <f t="shared" si="71"/>
        <v>0</v>
      </c>
      <c r="M202" s="423">
        <f t="shared" si="72"/>
        <v>0</v>
      </c>
      <c r="N202" s="419"/>
      <c r="O202" s="309">
        <f>0</f>
        <v>0</v>
      </c>
      <c r="P202" s="309">
        <f>0</f>
        <v>0</v>
      </c>
      <c r="Q202" s="309">
        <f>0</f>
        <v>0</v>
      </c>
      <c r="R202" s="424">
        <f t="shared" ref="R202:R265" si="93">SUM(O202:Q202)</f>
        <v>0</v>
      </c>
      <c r="S202" s="421"/>
      <c r="T202" s="301">
        <f>0</f>
        <v>0</v>
      </c>
      <c r="U202" s="301">
        <f>0</f>
        <v>0</v>
      </c>
      <c r="V202" s="301">
        <f>0</f>
        <v>0</v>
      </c>
      <c r="W202" s="425">
        <f t="shared" ref="W202:W265" si="94">SUM(T202:V202)</f>
        <v>0</v>
      </c>
      <c r="X202" s="419"/>
      <c r="Y202" s="419"/>
      <c r="Z202" s="421"/>
      <c r="AA202" s="421"/>
      <c r="AB202" s="419"/>
      <c r="AC202" s="419"/>
      <c r="AD202" s="421"/>
      <c r="AE202" s="421"/>
      <c r="AF202" s="419"/>
      <c r="AG202" s="419"/>
      <c r="AH202" s="421"/>
      <c r="AI202" s="421"/>
      <c r="AJ202" s="419"/>
      <c r="AK202" s="419"/>
      <c r="AL202" s="421"/>
      <c r="AM202" s="421"/>
      <c r="AN202" s="419"/>
      <c r="AO202" s="419"/>
      <c r="AP202" s="421"/>
      <c r="AQ202" s="421"/>
      <c r="AR202" s="424">
        <f t="shared" si="73"/>
        <v>0</v>
      </c>
      <c r="AS202" s="422">
        <f t="shared" si="74"/>
        <v>0</v>
      </c>
      <c r="AT202" s="425">
        <f t="shared" si="75"/>
        <v>0</v>
      </c>
      <c r="AU202" s="423">
        <f t="shared" si="76"/>
        <v>0</v>
      </c>
      <c r="AV202" s="419"/>
      <c r="AW202" s="421"/>
      <c r="AX202" s="419"/>
      <c r="AY202" s="419"/>
      <c r="AZ202" s="421"/>
      <c r="BA202" s="421"/>
      <c r="BB202" s="419"/>
      <c r="BC202" s="419"/>
      <c r="BD202" s="421"/>
      <c r="BE202" s="421"/>
      <c r="BF202" s="419"/>
      <c r="BG202" s="419"/>
      <c r="BH202" s="421"/>
      <c r="BI202" s="421"/>
      <c r="BJ202" s="419"/>
      <c r="BK202" s="419"/>
      <c r="BL202" s="421"/>
      <c r="BM202" s="421"/>
      <c r="BN202" s="419"/>
      <c r="BO202" s="419"/>
      <c r="BP202" s="421"/>
      <c r="BQ202" s="421"/>
      <c r="BR202" s="419"/>
      <c r="BS202" s="419"/>
      <c r="BT202" s="421"/>
      <c r="BU202" s="421"/>
      <c r="BV202" s="419"/>
      <c r="BW202" s="419"/>
      <c r="BX202" s="421"/>
      <c r="BY202" s="421"/>
      <c r="BZ202" s="419"/>
      <c r="CA202" s="419"/>
      <c r="CB202" s="421"/>
      <c r="CC202" s="421"/>
      <c r="CD202" s="419"/>
      <c r="CE202" s="419"/>
      <c r="CF202" s="421"/>
      <c r="CG202" s="421"/>
      <c r="CH202" s="419"/>
      <c r="CI202" s="419"/>
      <c r="CJ202" s="421"/>
      <c r="CK202" s="421"/>
      <c r="CL202" s="419"/>
      <c r="CM202" s="421"/>
      <c r="CN202" s="424">
        <f t="shared" si="77"/>
        <v>0</v>
      </c>
      <c r="CO202" s="424">
        <f t="shared" si="78"/>
        <v>0</v>
      </c>
      <c r="CP202" s="425">
        <f t="shared" si="79"/>
        <v>0</v>
      </c>
      <c r="CQ202" s="425">
        <f t="shared" si="80"/>
        <v>0</v>
      </c>
      <c r="CR202" s="419"/>
      <c r="CS202" s="419"/>
      <c r="CT202" s="421"/>
      <c r="CU202" s="421"/>
      <c r="CV202" s="419"/>
      <c r="CW202" s="419"/>
      <c r="CX202" s="421"/>
      <c r="CY202" s="421"/>
      <c r="CZ202" s="419"/>
      <c r="DA202" s="419"/>
      <c r="DB202" s="421"/>
      <c r="DC202" s="421"/>
      <c r="DD202" s="419"/>
      <c r="DE202" s="419"/>
      <c r="DF202" s="421"/>
      <c r="DG202" s="421"/>
      <c r="DH202" s="419"/>
      <c r="DI202" s="419"/>
      <c r="DJ202" s="421"/>
      <c r="DK202" s="421"/>
      <c r="DL202" s="419"/>
      <c r="DM202" s="419"/>
      <c r="DN202" s="421"/>
      <c r="DO202" s="421"/>
      <c r="DP202" s="419"/>
      <c r="DQ202" s="419"/>
      <c r="DR202" s="421"/>
      <c r="DS202" s="421"/>
      <c r="DT202" s="419"/>
      <c r="DU202" s="419"/>
      <c r="DV202" s="421"/>
      <c r="DW202" s="421"/>
      <c r="DX202" s="419"/>
      <c r="DY202" s="419"/>
      <c r="DZ202" s="421"/>
      <c r="EA202" s="421"/>
      <c r="EB202" s="419"/>
      <c r="EC202" s="419"/>
      <c r="ED202" s="421"/>
      <c r="EE202" s="421"/>
      <c r="EF202" s="419"/>
      <c r="EG202" s="421"/>
      <c r="EH202" s="424">
        <f t="shared" si="81"/>
        <v>0</v>
      </c>
      <c r="EI202" s="424">
        <f t="shared" si="82"/>
        <v>0</v>
      </c>
      <c r="EJ202" s="422">
        <f t="shared" si="83"/>
        <v>0</v>
      </c>
      <c r="EK202" s="425">
        <f t="shared" si="84"/>
        <v>0</v>
      </c>
      <c r="EL202" s="425">
        <f t="shared" si="85"/>
        <v>0</v>
      </c>
      <c r="EM202" s="423">
        <f t="shared" si="86"/>
        <v>0</v>
      </c>
      <c r="EN202" s="424">
        <f t="shared" si="87"/>
        <v>0</v>
      </c>
      <c r="EO202" s="425">
        <f t="shared" si="88"/>
        <v>0</v>
      </c>
      <c r="EP202" s="419"/>
      <c r="EQ202" s="421"/>
      <c r="ER202" s="419"/>
      <c r="ES202" s="421"/>
      <c r="ET202" s="419"/>
      <c r="EU202" s="421"/>
      <c r="EV202" s="419"/>
      <c r="EW202" s="421"/>
      <c r="EX202" s="419"/>
      <c r="EY202" s="421"/>
      <c r="EZ202" s="419"/>
      <c r="FA202" s="421"/>
      <c r="FB202" s="419"/>
      <c r="FC202" s="421"/>
      <c r="FD202" s="419"/>
      <c r="FE202" s="421"/>
      <c r="FF202" s="419"/>
      <c r="FG202" s="421"/>
      <c r="FH202" s="419"/>
      <c r="FI202" s="421"/>
      <c r="FJ202" s="424">
        <f t="shared" si="89"/>
        <v>0</v>
      </c>
      <c r="FK202" s="425">
        <f t="shared" si="90"/>
        <v>0</v>
      </c>
      <c r="FL202" s="419"/>
      <c r="FM202" s="421"/>
      <c r="FN202" s="424">
        <f t="shared" si="91"/>
        <v>634</v>
      </c>
      <c r="FO202" s="425">
        <f t="shared" si="92"/>
        <v>884</v>
      </c>
    </row>
    <row r="203" spans="1:171">
      <c r="A203" s="456" t="s">
        <v>159</v>
      </c>
      <c r="B203" s="27" t="s">
        <v>725</v>
      </c>
      <c r="C203" s="21"/>
      <c r="D203" s="25">
        <v>434061</v>
      </c>
      <c r="E203" s="20">
        <v>9</v>
      </c>
      <c r="F203" s="419">
        <v>1296</v>
      </c>
      <c r="G203" s="444">
        <v>1679</v>
      </c>
      <c r="H203" s="419"/>
      <c r="I203" s="421"/>
      <c r="J203" s="419">
        <v>614</v>
      </c>
      <c r="K203" s="431">
        <v>631</v>
      </c>
      <c r="L203" s="422">
        <f t="shared" ref="L203:L266" si="95">IF(N203&gt;0,J203/N203, )</f>
        <v>0</v>
      </c>
      <c r="M203" s="423">
        <f t="shared" ref="M203:M266" si="96">IF(S203&gt;0,K203/S203, )</f>
        <v>0</v>
      </c>
      <c r="N203" s="419"/>
      <c r="O203" s="309">
        <f>0</f>
        <v>0</v>
      </c>
      <c r="P203" s="309">
        <f>0</f>
        <v>0</v>
      </c>
      <c r="Q203" s="309">
        <f>0</f>
        <v>0</v>
      </c>
      <c r="R203" s="424">
        <f t="shared" si="93"/>
        <v>0</v>
      </c>
      <c r="S203" s="421"/>
      <c r="T203" s="301">
        <f>0</f>
        <v>0</v>
      </c>
      <c r="U203" s="301">
        <f>0</f>
        <v>0</v>
      </c>
      <c r="V203" s="301">
        <f>0</f>
        <v>0</v>
      </c>
      <c r="W203" s="425">
        <f t="shared" si="94"/>
        <v>0</v>
      </c>
      <c r="X203" s="419"/>
      <c r="Y203" s="419"/>
      <c r="Z203" s="421"/>
      <c r="AA203" s="421"/>
      <c r="AB203" s="419"/>
      <c r="AC203" s="419"/>
      <c r="AD203" s="421"/>
      <c r="AE203" s="421"/>
      <c r="AF203" s="419"/>
      <c r="AG203" s="419"/>
      <c r="AH203" s="421"/>
      <c r="AI203" s="421"/>
      <c r="AJ203" s="419"/>
      <c r="AK203" s="419"/>
      <c r="AL203" s="421"/>
      <c r="AM203" s="421"/>
      <c r="AN203" s="419"/>
      <c r="AO203" s="419"/>
      <c r="AP203" s="421"/>
      <c r="AQ203" s="421"/>
      <c r="AR203" s="424">
        <f t="shared" ref="AR203:AR266" si="97">COUNTA(X203,AB203,AF203,AJ203,AN203)</f>
        <v>0</v>
      </c>
      <c r="AS203" s="422">
        <f t="shared" ref="AS203:AS266" si="98">IF(FN203&gt;0,N203/FN203,)</f>
        <v>0</v>
      </c>
      <c r="AT203" s="425">
        <f t="shared" ref="AT203:AT266" si="99">COUNTA(Z203,AD203,AH203,AL203,AP203)</f>
        <v>0</v>
      </c>
      <c r="AU203" s="423">
        <f t="shared" ref="AU203:AU266" si="100">IF(FO203&gt;0,S203/FO203,)</f>
        <v>0</v>
      </c>
      <c r="AV203" s="419"/>
      <c r="AW203" s="421"/>
      <c r="AX203" s="419"/>
      <c r="AY203" s="419"/>
      <c r="AZ203" s="421"/>
      <c r="BA203" s="421"/>
      <c r="BB203" s="419"/>
      <c r="BC203" s="419"/>
      <c r="BD203" s="421"/>
      <c r="BE203" s="421"/>
      <c r="BF203" s="419"/>
      <c r="BG203" s="419"/>
      <c r="BH203" s="421"/>
      <c r="BI203" s="421"/>
      <c r="BJ203" s="419"/>
      <c r="BK203" s="419"/>
      <c r="BL203" s="421"/>
      <c r="BM203" s="421"/>
      <c r="BN203" s="419"/>
      <c r="BO203" s="419"/>
      <c r="BP203" s="421"/>
      <c r="BQ203" s="421"/>
      <c r="BR203" s="419"/>
      <c r="BS203" s="419"/>
      <c r="BT203" s="421"/>
      <c r="BU203" s="421"/>
      <c r="BV203" s="419"/>
      <c r="BW203" s="419"/>
      <c r="BX203" s="421"/>
      <c r="BY203" s="421"/>
      <c r="BZ203" s="419"/>
      <c r="CA203" s="419"/>
      <c r="CB203" s="421"/>
      <c r="CC203" s="421"/>
      <c r="CD203" s="419"/>
      <c r="CE203" s="419"/>
      <c r="CF203" s="421"/>
      <c r="CG203" s="421"/>
      <c r="CH203" s="419"/>
      <c r="CI203" s="419"/>
      <c r="CJ203" s="421"/>
      <c r="CK203" s="421"/>
      <c r="CL203" s="419"/>
      <c r="CM203" s="421"/>
      <c r="CN203" s="424">
        <f t="shared" ref="CN203:CN266" si="101">AY203+BC203+BG203+BK203+BO203+BS203+BW203+CA203+CE203+CI203+CL203</f>
        <v>0</v>
      </c>
      <c r="CO203" s="424">
        <f t="shared" ref="CO203:CO266" si="102">COUNTA(AX203,BB203,BF203,BJ203,BN203,BR203,BV203,BZ203,CD203,CH203)</f>
        <v>0</v>
      </c>
      <c r="CP203" s="425">
        <f t="shared" ref="CP203:CP266" si="103">BA203+BE203+BI203+BM203+BQ203+BU203+BY203+CC203+CG203+CK203+CM203</f>
        <v>0</v>
      </c>
      <c r="CQ203" s="425">
        <f t="shared" ref="CQ203:CQ266" si="104">COUNTA(AZ203,BD203,BH203,BL203,BP203,BT203,BX203,CB203,CF203,CJ203)</f>
        <v>0</v>
      </c>
      <c r="CR203" s="419"/>
      <c r="CS203" s="419"/>
      <c r="CT203" s="421"/>
      <c r="CU203" s="421"/>
      <c r="CV203" s="419"/>
      <c r="CW203" s="419"/>
      <c r="CX203" s="421"/>
      <c r="CY203" s="421"/>
      <c r="CZ203" s="419"/>
      <c r="DA203" s="419"/>
      <c r="DB203" s="421"/>
      <c r="DC203" s="421"/>
      <c r="DD203" s="419"/>
      <c r="DE203" s="419"/>
      <c r="DF203" s="421"/>
      <c r="DG203" s="421"/>
      <c r="DH203" s="419"/>
      <c r="DI203" s="419"/>
      <c r="DJ203" s="421"/>
      <c r="DK203" s="421"/>
      <c r="DL203" s="419"/>
      <c r="DM203" s="419"/>
      <c r="DN203" s="421"/>
      <c r="DO203" s="421"/>
      <c r="DP203" s="419"/>
      <c r="DQ203" s="419"/>
      <c r="DR203" s="421"/>
      <c r="DS203" s="421"/>
      <c r="DT203" s="419"/>
      <c r="DU203" s="419"/>
      <c r="DV203" s="421"/>
      <c r="DW203" s="421"/>
      <c r="DX203" s="419"/>
      <c r="DY203" s="419"/>
      <c r="DZ203" s="421"/>
      <c r="EA203" s="421"/>
      <c r="EB203" s="419"/>
      <c r="EC203" s="419"/>
      <c r="ED203" s="421"/>
      <c r="EE203" s="421"/>
      <c r="EF203" s="419"/>
      <c r="EG203" s="421"/>
      <c r="EH203" s="424">
        <f t="shared" ref="EH203:EH266" si="105">CS203+CW203+DA203+DE203+DI203+DM203+DQ203+DU203+DY203+EC203+EF203</f>
        <v>0</v>
      </c>
      <c r="EI203" s="424">
        <f t="shared" ref="EI203:EI266" si="106">COUNTA(CR203,CV203,CZ203,DD203,DH203,DL203,DP203,DT203,DX203,EB203)</f>
        <v>0</v>
      </c>
      <c r="EJ203" s="422">
        <f t="shared" ref="EJ203:EJ266" si="107">IF(EH203&gt;0,CS203/EH203,)</f>
        <v>0</v>
      </c>
      <c r="EK203" s="425">
        <f t="shared" ref="EK203:EK266" si="108">CU203+CY203+DC203+DG203+DK203+DO203+DS203+DW203+EA203+EE203+EG203</f>
        <v>0</v>
      </c>
      <c r="EL203" s="425">
        <f t="shared" ref="EL203:EL266" si="109">COUNTA(CT203,CX203,DB203,DF203,DJ203,DN203,DR203,DV203,DZ203,ED203)</f>
        <v>0</v>
      </c>
      <c r="EM203" s="423">
        <f t="shared" ref="EM203:EM266" si="110">IF(EK203&gt;0,CU203/EK203,)</f>
        <v>0</v>
      </c>
      <c r="EN203" s="424">
        <f t="shared" ref="EN203:EN266" si="111">CN203+EH203</f>
        <v>0</v>
      </c>
      <c r="EO203" s="425">
        <f t="shared" ref="EO203:EO266" si="112">CP203+EK203</f>
        <v>0</v>
      </c>
      <c r="EP203" s="419"/>
      <c r="EQ203" s="421"/>
      <c r="ER203" s="419"/>
      <c r="ES203" s="421"/>
      <c r="ET203" s="419"/>
      <c r="EU203" s="421"/>
      <c r="EV203" s="419"/>
      <c r="EW203" s="421"/>
      <c r="EX203" s="419"/>
      <c r="EY203" s="421"/>
      <c r="EZ203" s="419"/>
      <c r="FA203" s="421"/>
      <c r="FB203" s="419"/>
      <c r="FC203" s="421"/>
      <c r="FD203" s="419"/>
      <c r="FE203" s="421"/>
      <c r="FF203" s="419"/>
      <c r="FG203" s="421"/>
      <c r="FH203" s="419"/>
      <c r="FI203" s="421"/>
      <c r="FJ203" s="424">
        <f t="shared" ref="FJ203:FJ266" si="113">EP203+ER203+ET203+EV203+EX203+EZ203+FB203+FD203+FF203+FH203</f>
        <v>0</v>
      </c>
      <c r="FK203" s="425">
        <f t="shared" ref="FK203:FK266" si="114">EQ203+ES203+EU203+EW203+EY203+FA203+FC203+FE203+FG203+FI203</f>
        <v>0</v>
      </c>
      <c r="FL203" s="419"/>
      <c r="FM203" s="421"/>
      <c r="FN203" s="424">
        <f t="shared" ref="FN203:FN266" si="115">F203+H203+J203+N203+AV203+EN203+FJ203+FL203</f>
        <v>1910</v>
      </c>
      <c r="FO203" s="425">
        <f t="shared" ref="FO203:FO266" si="116">G203+I203+K203+S203+AW203+EO203+FK203+FM203</f>
        <v>2310</v>
      </c>
    </row>
    <row r="204" spans="1:171">
      <c r="A204" s="456" t="s">
        <v>159</v>
      </c>
      <c r="B204" s="27" t="s">
        <v>726</v>
      </c>
      <c r="C204" s="23"/>
      <c r="D204" s="25">
        <v>160649</v>
      </c>
      <c r="E204" s="20">
        <v>9</v>
      </c>
      <c r="F204" s="419">
        <v>81</v>
      </c>
      <c r="G204" s="444">
        <v>55</v>
      </c>
      <c r="H204" s="419"/>
      <c r="I204" s="421"/>
      <c r="J204" s="419">
        <v>222</v>
      </c>
      <c r="K204" s="431">
        <v>200</v>
      </c>
      <c r="L204" s="422">
        <f t="shared" si="95"/>
        <v>0</v>
      </c>
      <c r="M204" s="423">
        <f t="shared" si="96"/>
        <v>0</v>
      </c>
      <c r="N204" s="419"/>
      <c r="O204" s="309">
        <f>0</f>
        <v>0</v>
      </c>
      <c r="P204" s="309">
        <f>0</f>
        <v>0</v>
      </c>
      <c r="Q204" s="309">
        <f>0</f>
        <v>0</v>
      </c>
      <c r="R204" s="424">
        <f t="shared" si="93"/>
        <v>0</v>
      </c>
      <c r="S204" s="421"/>
      <c r="T204" s="301">
        <f>0</f>
        <v>0</v>
      </c>
      <c r="U204" s="301">
        <f>0</f>
        <v>0</v>
      </c>
      <c r="V204" s="301">
        <f>0</f>
        <v>0</v>
      </c>
      <c r="W204" s="425">
        <f t="shared" si="94"/>
        <v>0</v>
      </c>
      <c r="X204" s="419"/>
      <c r="Y204" s="419"/>
      <c r="Z204" s="421"/>
      <c r="AA204" s="421"/>
      <c r="AB204" s="419"/>
      <c r="AC204" s="419"/>
      <c r="AD204" s="421"/>
      <c r="AE204" s="421"/>
      <c r="AF204" s="419"/>
      <c r="AG204" s="419"/>
      <c r="AH204" s="421"/>
      <c r="AI204" s="421"/>
      <c r="AJ204" s="419"/>
      <c r="AK204" s="419"/>
      <c r="AL204" s="421"/>
      <c r="AM204" s="421"/>
      <c r="AN204" s="419"/>
      <c r="AO204" s="419"/>
      <c r="AP204" s="421"/>
      <c r="AQ204" s="421"/>
      <c r="AR204" s="424">
        <f t="shared" si="97"/>
        <v>0</v>
      </c>
      <c r="AS204" s="422">
        <f t="shared" si="98"/>
        <v>0</v>
      </c>
      <c r="AT204" s="425">
        <f t="shared" si="99"/>
        <v>0</v>
      </c>
      <c r="AU204" s="423">
        <f t="shared" si="100"/>
        <v>0</v>
      </c>
      <c r="AV204" s="419"/>
      <c r="AW204" s="421"/>
      <c r="AX204" s="419"/>
      <c r="AY204" s="419"/>
      <c r="AZ204" s="421"/>
      <c r="BA204" s="421"/>
      <c r="BB204" s="419"/>
      <c r="BC204" s="419"/>
      <c r="BD204" s="421"/>
      <c r="BE204" s="421"/>
      <c r="BF204" s="419"/>
      <c r="BG204" s="419"/>
      <c r="BH204" s="421"/>
      <c r="BI204" s="421"/>
      <c r="BJ204" s="419"/>
      <c r="BK204" s="419"/>
      <c r="BL204" s="421"/>
      <c r="BM204" s="421"/>
      <c r="BN204" s="419"/>
      <c r="BO204" s="419"/>
      <c r="BP204" s="421"/>
      <c r="BQ204" s="421"/>
      <c r="BR204" s="419"/>
      <c r="BS204" s="419"/>
      <c r="BT204" s="421"/>
      <c r="BU204" s="421"/>
      <c r="BV204" s="419"/>
      <c r="BW204" s="419"/>
      <c r="BX204" s="421"/>
      <c r="BY204" s="421"/>
      <c r="BZ204" s="419"/>
      <c r="CA204" s="419"/>
      <c r="CB204" s="421"/>
      <c r="CC204" s="421"/>
      <c r="CD204" s="419"/>
      <c r="CE204" s="419"/>
      <c r="CF204" s="421"/>
      <c r="CG204" s="421"/>
      <c r="CH204" s="419"/>
      <c r="CI204" s="419"/>
      <c r="CJ204" s="421"/>
      <c r="CK204" s="421"/>
      <c r="CL204" s="419"/>
      <c r="CM204" s="421"/>
      <c r="CN204" s="424">
        <f t="shared" si="101"/>
        <v>0</v>
      </c>
      <c r="CO204" s="424">
        <f t="shared" si="102"/>
        <v>0</v>
      </c>
      <c r="CP204" s="425">
        <f t="shared" si="103"/>
        <v>0</v>
      </c>
      <c r="CQ204" s="425">
        <f t="shared" si="104"/>
        <v>0</v>
      </c>
      <c r="CR204" s="419"/>
      <c r="CS204" s="419"/>
      <c r="CT204" s="421"/>
      <c r="CU204" s="421"/>
      <c r="CV204" s="419"/>
      <c r="CW204" s="419"/>
      <c r="CX204" s="421"/>
      <c r="CY204" s="421"/>
      <c r="CZ204" s="419"/>
      <c r="DA204" s="419"/>
      <c r="DB204" s="421"/>
      <c r="DC204" s="421"/>
      <c r="DD204" s="419"/>
      <c r="DE204" s="419"/>
      <c r="DF204" s="421"/>
      <c r="DG204" s="421"/>
      <c r="DH204" s="419"/>
      <c r="DI204" s="419"/>
      <c r="DJ204" s="421"/>
      <c r="DK204" s="421"/>
      <c r="DL204" s="419"/>
      <c r="DM204" s="419"/>
      <c r="DN204" s="421"/>
      <c r="DO204" s="421"/>
      <c r="DP204" s="419"/>
      <c r="DQ204" s="419"/>
      <c r="DR204" s="421"/>
      <c r="DS204" s="421"/>
      <c r="DT204" s="419"/>
      <c r="DU204" s="419"/>
      <c r="DV204" s="421"/>
      <c r="DW204" s="421"/>
      <c r="DX204" s="419"/>
      <c r="DY204" s="419"/>
      <c r="DZ204" s="421"/>
      <c r="EA204" s="421"/>
      <c r="EB204" s="419"/>
      <c r="EC204" s="419"/>
      <c r="ED204" s="421"/>
      <c r="EE204" s="421"/>
      <c r="EF204" s="419"/>
      <c r="EG204" s="421"/>
      <c r="EH204" s="424">
        <f t="shared" si="105"/>
        <v>0</v>
      </c>
      <c r="EI204" s="424">
        <f t="shared" si="106"/>
        <v>0</v>
      </c>
      <c r="EJ204" s="422">
        <f t="shared" si="107"/>
        <v>0</v>
      </c>
      <c r="EK204" s="425">
        <f t="shared" si="108"/>
        <v>0</v>
      </c>
      <c r="EL204" s="425">
        <f t="shared" si="109"/>
        <v>0</v>
      </c>
      <c r="EM204" s="423">
        <f t="shared" si="110"/>
        <v>0</v>
      </c>
      <c r="EN204" s="424">
        <f t="shared" si="111"/>
        <v>0</v>
      </c>
      <c r="EO204" s="425">
        <f t="shared" si="112"/>
        <v>0</v>
      </c>
      <c r="EP204" s="419"/>
      <c r="EQ204" s="421"/>
      <c r="ER204" s="419"/>
      <c r="ES204" s="421"/>
      <c r="ET204" s="419"/>
      <c r="EU204" s="421"/>
      <c r="EV204" s="419"/>
      <c r="EW204" s="421"/>
      <c r="EX204" s="419"/>
      <c r="EY204" s="421"/>
      <c r="EZ204" s="419"/>
      <c r="FA204" s="421"/>
      <c r="FB204" s="419"/>
      <c r="FC204" s="421"/>
      <c r="FD204" s="419"/>
      <c r="FE204" s="421"/>
      <c r="FF204" s="419"/>
      <c r="FG204" s="421"/>
      <c r="FH204" s="419"/>
      <c r="FI204" s="421"/>
      <c r="FJ204" s="424">
        <f t="shared" si="113"/>
        <v>0</v>
      </c>
      <c r="FK204" s="425">
        <f t="shared" si="114"/>
        <v>0</v>
      </c>
      <c r="FL204" s="419"/>
      <c r="FM204" s="421"/>
      <c r="FN204" s="424">
        <f t="shared" si="115"/>
        <v>303</v>
      </c>
      <c r="FO204" s="425">
        <f t="shared" si="116"/>
        <v>255</v>
      </c>
    </row>
    <row r="205" spans="1:171">
      <c r="A205" s="456" t="s">
        <v>159</v>
      </c>
      <c r="B205" s="27" t="s">
        <v>727</v>
      </c>
      <c r="C205" s="23" t="s">
        <v>1197</v>
      </c>
      <c r="D205" s="25">
        <v>159407</v>
      </c>
      <c r="E205" s="486">
        <v>9</v>
      </c>
      <c r="F205" s="419">
        <v>44</v>
      </c>
      <c r="G205" s="431">
        <v>47</v>
      </c>
      <c r="H205" s="419"/>
      <c r="I205" s="421"/>
      <c r="J205" s="419">
        <v>302</v>
      </c>
      <c r="K205" s="431">
        <v>342</v>
      </c>
      <c r="L205" s="422">
        <f t="shared" si="95"/>
        <v>0</v>
      </c>
      <c r="M205" s="423">
        <f t="shared" si="96"/>
        <v>0</v>
      </c>
      <c r="N205" s="419"/>
      <c r="O205" s="309">
        <f>0</f>
        <v>0</v>
      </c>
      <c r="P205" s="309">
        <f>0</f>
        <v>0</v>
      </c>
      <c r="Q205" s="309">
        <f>0</f>
        <v>0</v>
      </c>
      <c r="R205" s="424">
        <f t="shared" si="93"/>
        <v>0</v>
      </c>
      <c r="S205" s="421"/>
      <c r="T205" s="301">
        <f>0</f>
        <v>0</v>
      </c>
      <c r="U205" s="301">
        <f>0</f>
        <v>0</v>
      </c>
      <c r="V205" s="301">
        <f>0</f>
        <v>0</v>
      </c>
      <c r="W205" s="425">
        <f t="shared" si="94"/>
        <v>0</v>
      </c>
      <c r="X205" s="419"/>
      <c r="Y205" s="419"/>
      <c r="Z205" s="421"/>
      <c r="AA205" s="421"/>
      <c r="AB205" s="419"/>
      <c r="AC205" s="419"/>
      <c r="AD205" s="421"/>
      <c r="AE205" s="421"/>
      <c r="AF205" s="419"/>
      <c r="AG205" s="419"/>
      <c r="AH205" s="421"/>
      <c r="AI205" s="421"/>
      <c r="AJ205" s="419"/>
      <c r="AK205" s="419"/>
      <c r="AL205" s="421"/>
      <c r="AM205" s="421"/>
      <c r="AN205" s="419"/>
      <c r="AO205" s="419"/>
      <c r="AP205" s="421"/>
      <c r="AQ205" s="421"/>
      <c r="AR205" s="424">
        <f t="shared" si="97"/>
        <v>0</v>
      </c>
      <c r="AS205" s="422">
        <f t="shared" si="98"/>
        <v>0</v>
      </c>
      <c r="AT205" s="425">
        <f t="shared" si="99"/>
        <v>0</v>
      </c>
      <c r="AU205" s="423">
        <f t="shared" si="100"/>
        <v>0</v>
      </c>
      <c r="AV205" s="419"/>
      <c r="AW205" s="421"/>
      <c r="AX205" s="419"/>
      <c r="AY205" s="419"/>
      <c r="AZ205" s="421"/>
      <c r="BA205" s="421"/>
      <c r="BB205" s="419"/>
      <c r="BC205" s="419"/>
      <c r="BD205" s="421"/>
      <c r="BE205" s="421"/>
      <c r="BF205" s="419"/>
      <c r="BG205" s="419"/>
      <c r="BH205" s="421"/>
      <c r="BI205" s="421"/>
      <c r="BJ205" s="419"/>
      <c r="BK205" s="419"/>
      <c r="BL205" s="421"/>
      <c r="BM205" s="421"/>
      <c r="BN205" s="419"/>
      <c r="BO205" s="419"/>
      <c r="BP205" s="421"/>
      <c r="BQ205" s="421"/>
      <c r="BR205" s="419"/>
      <c r="BS205" s="419"/>
      <c r="BT205" s="421"/>
      <c r="BU205" s="421"/>
      <c r="BV205" s="419"/>
      <c r="BW205" s="419"/>
      <c r="BX205" s="421"/>
      <c r="BY205" s="421"/>
      <c r="BZ205" s="419"/>
      <c r="CA205" s="419"/>
      <c r="CB205" s="421"/>
      <c r="CC205" s="421"/>
      <c r="CD205" s="419"/>
      <c r="CE205" s="419"/>
      <c r="CF205" s="421"/>
      <c r="CG205" s="421"/>
      <c r="CH205" s="419"/>
      <c r="CI205" s="419"/>
      <c r="CJ205" s="421"/>
      <c r="CK205" s="421"/>
      <c r="CL205" s="419"/>
      <c r="CM205" s="421"/>
      <c r="CN205" s="424">
        <f t="shared" si="101"/>
        <v>0</v>
      </c>
      <c r="CO205" s="424">
        <f t="shared" si="102"/>
        <v>0</v>
      </c>
      <c r="CP205" s="425">
        <f t="shared" si="103"/>
        <v>0</v>
      </c>
      <c r="CQ205" s="425">
        <f t="shared" si="104"/>
        <v>0</v>
      </c>
      <c r="CR205" s="419"/>
      <c r="CS205" s="419"/>
      <c r="CT205" s="421"/>
      <c r="CU205" s="421"/>
      <c r="CV205" s="419"/>
      <c r="CW205" s="419"/>
      <c r="CX205" s="421"/>
      <c r="CY205" s="421"/>
      <c r="CZ205" s="419"/>
      <c r="DA205" s="419"/>
      <c r="DB205" s="421"/>
      <c r="DC205" s="421"/>
      <c r="DD205" s="419"/>
      <c r="DE205" s="419"/>
      <c r="DF205" s="421"/>
      <c r="DG205" s="421"/>
      <c r="DH205" s="419"/>
      <c r="DI205" s="419"/>
      <c r="DJ205" s="421"/>
      <c r="DK205" s="421"/>
      <c r="DL205" s="419"/>
      <c r="DM205" s="419"/>
      <c r="DN205" s="421"/>
      <c r="DO205" s="421"/>
      <c r="DP205" s="419"/>
      <c r="DQ205" s="419"/>
      <c r="DR205" s="421"/>
      <c r="DS205" s="421"/>
      <c r="DT205" s="419"/>
      <c r="DU205" s="419"/>
      <c r="DV205" s="421"/>
      <c r="DW205" s="421"/>
      <c r="DX205" s="419"/>
      <c r="DY205" s="419"/>
      <c r="DZ205" s="421"/>
      <c r="EA205" s="421"/>
      <c r="EB205" s="419"/>
      <c r="EC205" s="419"/>
      <c r="ED205" s="421"/>
      <c r="EE205" s="421"/>
      <c r="EF205" s="419"/>
      <c r="EG205" s="421"/>
      <c r="EH205" s="424">
        <f t="shared" si="105"/>
        <v>0</v>
      </c>
      <c r="EI205" s="424">
        <f t="shared" si="106"/>
        <v>0</v>
      </c>
      <c r="EJ205" s="422">
        <f t="shared" si="107"/>
        <v>0</v>
      </c>
      <c r="EK205" s="425">
        <f t="shared" si="108"/>
        <v>0</v>
      </c>
      <c r="EL205" s="425">
        <f t="shared" si="109"/>
        <v>0</v>
      </c>
      <c r="EM205" s="423">
        <f t="shared" si="110"/>
        <v>0</v>
      </c>
      <c r="EN205" s="424">
        <f t="shared" si="111"/>
        <v>0</v>
      </c>
      <c r="EO205" s="425">
        <f t="shared" si="112"/>
        <v>0</v>
      </c>
      <c r="EP205" s="419"/>
      <c r="EQ205" s="421"/>
      <c r="ER205" s="419"/>
      <c r="ES205" s="421"/>
      <c r="ET205" s="419"/>
      <c r="EU205" s="421"/>
      <c r="EV205" s="419"/>
      <c r="EW205" s="421"/>
      <c r="EX205" s="419"/>
      <c r="EY205" s="421"/>
      <c r="EZ205" s="419"/>
      <c r="FA205" s="421"/>
      <c r="FB205" s="419"/>
      <c r="FC205" s="421"/>
      <c r="FD205" s="419"/>
      <c r="FE205" s="421"/>
      <c r="FF205" s="419"/>
      <c r="FG205" s="421"/>
      <c r="FH205" s="419"/>
      <c r="FI205" s="421"/>
      <c r="FJ205" s="424">
        <f t="shared" si="113"/>
        <v>0</v>
      </c>
      <c r="FK205" s="425">
        <f t="shared" si="114"/>
        <v>0</v>
      </c>
      <c r="FL205" s="419"/>
      <c r="FM205" s="421"/>
      <c r="FN205" s="424">
        <f t="shared" si="115"/>
        <v>346</v>
      </c>
      <c r="FO205" s="425">
        <f t="shared" si="116"/>
        <v>389</v>
      </c>
    </row>
    <row r="206" spans="1:171">
      <c r="A206" s="456" t="s">
        <v>159</v>
      </c>
      <c r="B206" s="27" t="s">
        <v>728</v>
      </c>
      <c r="C206" s="26"/>
      <c r="D206" s="25">
        <v>158884</v>
      </c>
      <c r="E206" s="20">
        <v>10</v>
      </c>
      <c r="F206" s="419">
        <v>286</v>
      </c>
      <c r="G206" s="444">
        <v>453</v>
      </c>
      <c r="H206" s="419"/>
      <c r="I206" s="421"/>
      <c r="J206" s="419">
        <v>238</v>
      </c>
      <c r="K206" s="431">
        <v>194</v>
      </c>
      <c r="L206" s="422">
        <f t="shared" si="95"/>
        <v>0</v>
      </c>
      <c r="M206" s="423">
        <f t="shared" si="96"/>
        <v>0</v>
      </c>
      <c r="N206" s="419"/>
      <c r="O206" s="309">
        <f>0</f>
        <v>0</v>
      </c>
      <c r="P206" s="309">
        <f>0</f>
        <v>0</v>
      </c>
      <c r="Q206" s="309">
        <f>0</f>
        <v>0</v>
      </c>
      <c r="R206" s="424">
        <f t="shared" si="93"/>
        <v>0</v>
      </c>
      <c r="S206" s="421"/>
      <c r="T206" s="301">
        <f>0</f>
        <v>0</v>
      </c>
      <c r="U206" s="301">
        <f>0</f>
        <v>0</v>
      </c>
      <c r="V206" s="301">
        <f>0</f>
        <v>0</v>
      </c>
      <c r="W206" s="425">
        <f t="shared" si="94"/>
        <v>0</v>
      </c>
      <c r="X206" s="419"/>
      <c r="Y206" s="419"/>
      <c r="Z206" s="421"/>
      <c r="AA206" s="421"/>
      <c r="AB206" s="419"/>
      <c r="AC206" s="419"/>
      <c r="AD206" s="421"/>
      <c r="AE206" s="421"/>
      <c r="AF206" s="419"/>
      <c r="AG206" s="419"/>
      <c r="AH206" s="421"/>
      <c r="AI206" s="421"/>
      <c r="AJ206" s="419"/>
      <c r="AK206" s="419"/>
      <c r="AL206" s="421"/>
      <c r="AM206" s="421"/>
      <c r="AN206" s="419"/>
      <c r="AO206" s="419"/>
      <c r="AP206" s="421"/>
      <c r="AQ206" s="421"/>
      <c r="AR206" s="424">
        <f t="shared" si="97"/>
        <v>0</v>
      </c>
      <c r="AS206" s="422">
        <f t="shared" si="98"/>
        <v>0</v>
      </c>
      <c r="AT206" s="425">
        <f t="shared" si="99"/>
        <v>0</v>
      </c>
      <c r="AU206" s="423">
        <f t="shared" si="100"/>
        <v>0</v>
      </c>
      <c r="AV206" s="419"/>
      <c r="AW206" s="421"/>
      <c r="AX206" s="419"/>
      <c r="AY206" s="419"/>
      <c r="AZ206" s="421"/>
      <c r="BA206" s="421"/>
      <c r="BB206" s="419"/>
      <c r="BC206" s="419"/>
      <c r="BD206" s="421"/>
      <c r="BE206" s="421"/>
      <c r="BF206" s="419"/>
      <c r="BG206" s="419"/>
      <c r="BH206" s="421"/>
      <c r="BI206" s="421"/>
      <c r="BJ206" s="419"/>
      <c r="BK206" s="419"/>
      <c r="BL206" s="421"/>
      <c r="BM206" s="421"/>
      <c r="BN206" s="419"/>
      <c r="BO206" s="419"/>
      <c r="BP206" s="421"/>
      <c r="BQ206" s="421"/>
      <c r="BR206" s="419"/>
      <c r="BS206" s="419"/>
      <c r="BT206" s="421"/>
      <c r="BU206" s="421"/>
      <c r="BV206" s="419"/>
      <c r="BW206" s="419"/>
      <c r="BX206" s="421"/>
      <c r="BY206" s="421"/>
      <c r="BZ206" s="419"/>
      <c r="CA206" s="419"/>
      <c r="CB206" s="421"/>
      <c r="CC206" s="421"/>
      <c r="CD206" s="419"/>
      <c r="CE206" s="419"/>
      <c r="CF206" s="421"/>
      <c r="CG206" s="421"/>
      <c r="CH206" s="419"/>
      <c r="CI206" s="419"/>
      <c r="CJ206" s="421"/>
      <c r="CK206" s="421"/>
      <c r="CL206" s="419"/>
      <c r="CM206" s="421"/>
      <c r="CN206" s="424">
        <f t="shared" si="101"/>
        <v>0</v>
      </c>
      <c r="CO206" s="424">
        <f t="shared" si="102"/>
        <v>0</v>
      </c>
      <c r="CP206" s="425">
        <f t="shared" si="103"/>
        <v>0</v>
      </c>
      <c r="CQ206" s="425">
        <f t="shared" si="104"/>
        <v>0</v>
      </c>
      <c r="CR206" s="419"/>
      <c r="CS206" s="419"/>
      <c r="CT206" s="421"/>
      <c r="CU206" s="421"/>
      <c r="CV206" s="419"/>
      <c r="CW206" s="419"/>
      <c r="CX206" s="421"/>
      <c r="CY206" s="421"/>
      <c r="CZ206" s="419"/>
      <c r="DA206" s="419"/>
      <c r="DB206" s="421"/>
      <c r="DC206" s="421"/>
      <c r="DD206" s="419"/>
      <c r="DE206" s="419"/>
      <c r="DF206" s="421"/>
      <c r="DG206" s="421"/>
      <c r="DH206" s="419"/>
      <c r="DI206" s="419"/>
      <c r="DJ206" s="421"/>
      <c r="DK206" s="421"/>
      <c r="DL206" s="419"/>
      <c r="DM206" s="419"/>
      <c r="DN206" s="421"/>
      <c r="DO206" s="421"/>
      <c r="DP206" s="419"/>
      <c r="DQ206" s="419"/>
      <c r="DR206" s="421"/>
      <c r="DS206" s="421"/>
      <c r="DT206" s="419"/>
      <c r="DU206" s="419"/>
      <c r="DV206" s="421"/>
      <c r="DW206" s="421"/>
      <c r="DX206" s="419"/>
      <c r="DY206" s="419"/>
      <c r="DZ206" s="421"/>
      <c r="EA206" s="421"/>
      <c r="EB206" s="419"/>
      <c r="EC206" s="419"/>
      <c r="ED206" s="421"/>
      <c r="EE206" s="421"/>
      <c r="EF206" s="419"/>
      <c r="EG206" s="421"/>
      <c r="EH206" s="424">
        <f t="shared" si="105"/>
        <v>0</v>
      </c>
      <c r="EI206" s="424">
        <f t="shared" si="106"/>
        <v>0</v>
      </c>
      <c r="EJ206" s="422">
        <f t="shared" si="107"/>
        <v>0</v>
      </c>
      <c r="EK206" s="425">
        <f t="shared" si="108"/>
        <v>0</v>
      </c>
      <c r="EL206" s="425">
        <f t="shared" si="109"/>
        <v>0</v>
      </c>
      <c r="EM206" s="423">
        <f t="shared" si="110"/>
        <v>0</v>
      </c>
      <c r="EN206" s="424">
        <f t="shared" si="111"/>
        <v>0</v>
      </c>
      <c r="EO206" s="425">
        <f t="shared" si="112"/>
        <v>0</v>
      </c>
      <c r="EP206" s="419"/>
      <c r="EQ206" s="421"/>
      <c r="ER206" s="419"/>
      <c r="ES206" s="421"/>
      <c r="ET206" s="419"/>
      <c r="EU206" s="421"/>
      <c r="EV206" s="419"/>
      <c r="EW206" s="421"/>
      <c r="EX206" s="419"/>
      <c r="EY206" s="421"/>
      <c r="EZ206" s="419"/>
      <c r="FA206" s="421"/>
      <c r="FB206" s="419"/>
      <c r="FC206" s="421"/>
      <c r="FD206" s="419"/>
      <c r="FE206" s="421"/>
      <c r="FF206" s="419"/>
      <c r="FG206" s="421"/>
      <c r="FH206" s="419"/>
      <c r="FI206" s="421"/>
      <c r="FJ206" s="424">
        <f t="shared" si="113"/>
        <v>0</v>
      </c>
      <c r="FK206" s="425">
        <f t="shared" si="114"/>
        <v>0</v>
      </c>
      <c r="FL206" s="419"/>
      <c r="FM206" s="421"/>
      <c r="FN206" s="424">
        <f t="shared" si="115"/>
        <v>524</v>
      </c>
      <c r="FO206" s="425">
        <f t="shared" si="116"/>
        <v>647</v>
      </c>
    </row>
    <row r="207" spans="1:171">
      <c r="A207" s="24" t="s">
        <v>159</v>
      </c>
      <c r="B207" s="22" t="s">
        <v>729</v>
      </c>
      <c r="C207" s="26" t="s">
        <v>535</v>
      </c>
      <c r="D207" s="25">
        <v>436304</v>
      </c>
      <c r="E207" s="20">
        <v>10</v>
      </c>
      <c r="F207" s="419">
        <v>892</v>
      </c>
      <c r="G207" s="431">
        <v>882</v>
      </c>
      <c r="H207" s="419"/>
      <c r="I207" s="421"/>
      <c r="J207" s="419">
        <v>375</v>
      </c>
      <c r="K207" s="431">
        <v>325</v>
      </c>
      <c r="L207" s="422">
        <f t="shared" si="95"/>
        <v>0</v>
      </c>
      <c r="M207" s="423">
        <f t="shared" si="96"/>
        <v>0</v>
      </c>
      <c r="N207" s="419"/>
      <c r="O207" s="309">
        <f>0</f>
        <v>0</v>
      </c>
      <c r="P207" s="309">
        <f>0</f>
        <v>0</v>
      </c>
      <c r="Q207" s="309">
        <f>0</f>
        <v>0</v>
      </c>
      <c r="R207" s="424">
        <f t="shared" si="93"/>
        <v>0</v>
      </c>
      <c r="S207" s="421"/>
      <c r="T207" s="301">
        <f>0</f>
        <v>0</v>
      </c>
      <c r="U207" s="301">
        <f>0</f>
        <v>0</v>
      </c>
      <c r="V207" s="301">
        <f>0</f>
        <v>0</v>
      </c>
      <c r="W207" s="425">
        <f t="shared" si="94"/>
        <v>0</v>
      </c>
      <c r="X207" s="419"/>
      <c r="Y207" s="419"/>
      <c r="Z207" s="421"/>
      <c r="AA207" s="421"/>
      <c r="AB207" s="419"/>
      <c r="AC207" s="419"/>
      <c r="AD207" s="421"/>
      <c r="AE207" s="421"/>
      <c r="AF207" s="419"/>
      <c r="AG207" s="419"/>
      <c r="AH207" s="421"/>
      <c r="AI207" s="421"/>
      <c r="AJ207" s="419"/>
      <c r="AK207" s="419"/>
      <c r="AL207" s="421"/>
      <c r="AM207" s="421"/>
      <c r="AN207" s="419"/>
      <c r="AO207" s="419"/>
      <c r="AP207" s="421"/>
      <c r="AQ207" s="421"/>
      <c r="AR207" s="424">
        <f t="shared" si="97"/>
        <v>0</v>
      </c>
      <c r="AS207" s="422">
        <f t="shared" si="98"/>
        <v>0</v>
      </c>
      <c r="AT207" s="425">
        <f t="shared" si="99"/>
        <v>0</v>
      </c>
      <c r="AU207" s="423">
        <f t="shared" si="100"/>
        <v>0</v>
      </c>
      <c r="AV207" s="419"/>
      <c r="AW207" s="421"/>
      <c r="AX207" s="419"/>
      <c r="AY207" s="419"/>
      <c r="AZ207" s="421"/>
      <c r="BA207" s="421"/>
      <c r="BB207" s="419"/>
      <c r="BC207" s="419"/>
      <c r="BD207" s="421"/>
      <c r="BE207" s="421"/>
      <c r="BF207" s="419"/>
      <c r="BG207" s="419"/>
      <c r="BH207" s="421"/>
      <c r="BI207" s="421"/>
      <c r="BJ207" s="419"/>
      <c r="BK207" s="419"/>
      <c r="BL207" s="421"/>
      <c r="BM207" s="421"/>
      <c r="BN207" s="419"/>
      <c r="BO207" s="419"/>
      <c r="BP207" s="421"/>
      <c r="BQ207" s="421"/>
      <c r="BR207" s="419"/>
      <c r="BS207" s="419"/>
      <c r="BT207" s="421"/>
      <c r="BU207" s="421"/>
      <c r="BV207" s="419"/>
      <c r="BW207" s="419"/>
      <c r="BX207" s="421"/>
      <c r="BY207" s="421"/>
      <c r="BZ207" s="419"/>
      <c r="CA207" s="419"/>
      <c r="CB207" s="421"/>
      <c r="CC207" s="421"/>
      <c r="CD207" s="419"/>
      <c r="CE207" s="419"/>
      <c r="CF207" s="421"/>
      <c r="CG207" s="421"/>
      <c r="CH207" s="419"/>
      <c r="CI207" s="419"/>
      <c r="CJ207" s="421"/>
      <c r="CK207" s="421"/>
      <c r="CL207" s="419"/>
      <c r="CM207" s="421"/>
      <c r="CN207" s="424">
        <f t="shared" si="101"/>
        <v>0</v>
      </c>
      <c r="CO207" s="424">
        <f t="shared" si="102"/>
        <v>0</v>
      </c>
      <c r="CP207" s="425">
        <f t="shared" si="103"/>
        <v>0</v>
      </c>
      <c r="CQ207" s="425">
        <f t="shared" si="104"/>
        <v>0</v>
      </c>
      <c r="CR207" s="419"/>
      <c r="CS207" s="419"/>
      <c r="CT207" s="421"/>
      <c r="CU207" s="421"/>
      <c r="CV207" s="419"/>
      <c r="CW207" s="419"/>
      <c r="CX207" s="421"/>
      <c r="CY207" s="421"/>
      <c r="CZ207" s="419"/>
      <c r="DA207" s="419"/>
      <c r="DB207" s="421"/>
      <c r="DC207" s="421"/>
      <c r="DD207" s="419"/>
      <c r="DE207" s="419"/>
      <c r="DF207" s="421"/>
      <c r="DG207" s="421"/>
      <c r="DH207" s="419"/>
      <c r="DI207" s="419"/>
      <c r="DJ207" s="421"/>
      <c r="DK207" s="421"/>
      <c r="DL207" s="419"/>
      <c r="DM207" s="419"/>
      <c r="DN207" s="421"/>
      <c r="DO207" s="421"/>
      <c r="DP207" s="419"/>
      <c r="DQ207" s="419"/>
      <c r="DR207" s="421"/>
      <c r="DS207" s="421"/>
      <c r="DT207" s="419"/>
      <c r="DU207" s="419"/>
      <c r="DV207" s="421"/>
      <c r="DW207" s="421"/>
      <c r="DX207" s="419"/>
      <c r="DY207" s="419"/>
      <c r="DZ207" s="421"/>
      <c r="EA207" s="421"/>
      <c r="EB207" s="419"/>
      <c r="EC207" s="419"/>
      <c r="ED207" s="421"/>
      <c r="EE207" s="421"/>
      <c r="EF207" s="419"/>
      <c r="EG207" s="421"/>
      <c r="EH207" s="424">
        <f t="shared" si="105"/>
        <v>0</v>
      </c>
      <c r="EI207" s="424">
        <f t="shared" si="106"/>
        <v>0</v>
      </c>
      <c r="EJ207" s="422">
        <f t="shared" si="107"/>
        <v>0</v>
      </c>
      <c r="EK207" s="425">
        <f t="shared" si="108"/>
        <v>0</v>
      </c>
      <c r="EL207" s="425">
        <f t="shared" si="109"/>
        <v>0</v>
      </c>
      <c r="EM207" s="423">
        <f t="shared" si="110"/>
        <v>0</v>
      </c>
      <c r="EN207" s="424">
        <f t="shared" si="111"/>
        <v>0</v>
      </c>
      <c r="EO207" s="425">
        <f t="shared" si="112"/>
        <v>0</v>
      </c>
      <c r="EP207" s="419"/>
      <c r="EQ207" s="421"/>
      <c r="ER207" s="419"/>
      <c r="ES207" s="421"/>
      <c r="ET207" s="419"/>
      <c r="EU207" s="421"/>
      <c r="EV207" s="419"/>
      <c r="EW207" s="421"/>
      <c r="EX207" s="419"/>
      <c r="EY207" s="421"/>
      <c r="EZ207" s="419"/>
      <c r="FA207" s="421"/>
      <c r="FB207" s="419"/>
      <c r="FC207" s="421"/>
      <c r="FD207" s="419"/>
      <c r="FE207" s="421"/>
      <c r="FF207" s="419"/>
      <c r="FG207" s="421"/>
      <c r="FH207" s="419"/>
      <c r="FI207" s="421"/>
      <c r="FJ207" s="424">
        <f t="shared" si="113"/>
        <v>0</v>
      </c>
      <c r="FK207" s="425">
        <f t="shared" si="114"/>
        <v>0</v>
      </c>
      <c r="FL207" s="419"/>
      <c r="FM207" s="421"/>
      <c r="FN207" s="424">
        <f t="shared" si="115"/>
        <v>1267</v>
      </c>
      <c r="FO207" s="425">
        <f t="shared" si="116"/>
        <v>1207</v>
      </c>
    </row>
    <row r="208" spans="1:171">
      <c r="A208" s="24" t="s">
        <v>159</v>
      </c>
      <c r="B208" s="19" t="s">
        <v>730</v>
      </c>
      <c r="C208" s="18"/>
      <c r="D208" s="25">
        <v>158088</v>
      </c>
      <c r="E208" s="20">
        <v>12</v>
      </c>
      <c r="F208" s="419">
        <v>1217</v>
      </c>
      <c r="G208" s="444">
        <v>1492</v>
      </c>
      <c r="H208" s="419"/>
      <c r="I208" s="421"/>
      <c r="J208" s="419">
        <v>27</v>
      </c>
      <c r="K208" s="431">
        <v>22</v>
      </c>
      <c r="L208" s="422">
        <f t="shared" si="95"/>
        <v>0</v>
      </c>
      <c r="M208" s="423">
        <f t="shared" si="96"/>
        <v>0</v>
      </c>
      <c r="N208" s="419"/>
      <c r="O208" s="309">
        <f>0</f>
        <v>0</v>
      </c>
      <c r="P208" s="309">
        <f>0</f>
        <v>0</v>
      </c>
      <c r="Q208" s="309">
        <f>0</f>
        <v>0</v>
      </c>
      <c r="R208" s="424">
        <f t="shared" si="93"/>
        <v>0</v>
      </c>
      <c r="S208" s="421"/>
      <c r="T208" s="301">
        <f>0</f>
        <v>0</v>
      </c>
      <c r="U208" s="301">
        <f>0</f>
        <v>0</v>
      </c>
      <c r="V208" s="301">
        <f>0</f>
        <v>0</v>
      </c>
      <c r="W208" s="425">
        <f t="shared" si="94"/>
        <v>0</v>
      </c>
      <c r="X208" s="419"/>
      <c r="Y208" s="419"/>
      <c r="Z208" s="421"/>
      <c r="AA208" s="421"/>
      <c r="AB208" s="419"/>
      <c r="AC208" s="419"/>
      <c r="AD208" s="421"/>
      <c r="AE208" s="421"/>
      <c r="AF208" s="419"/>
      <c r="AG208" s="419"/>
      <c r="AH208" s="421"/>
      <c r="AI208" s="421"/>
      <c r="AJ208" s="419"/>
      <c r="AK208" s="419"/>
      <c r="AL208" s="421"/>
      <c r="AM208" s="421"/>
      <c r="AN208" s="419"/>
      <c r="AO208" s="419"/>
      <c r="AP208" s="421"/>
      <c r="AQ208" s="421"/>
      <c r="AR208" s="424">
        <f t="shared" si="97"/>
        <v>0</v>
      </c>
      <c r="AS208" s="422">
        <f t="shared" si="98"/>
        <v>0</v>
      </c>
      <c r="AT208" s="425">
        <f t="shared" si="99"/>
        <v>0</v>
      </c>
      <c r="AU208" s="423">
        <f t="shared" si="100"/>
        <v>0</v>
      </c>
      <c r="AV208" s="419"/>
      <c r="AW208" s="421"/>
      <c r="AX208" s="419"/>
      <c r="AY208" s="419"/>
      <c r="AZ208" s="421"/>
      <c r="BA208" s="421"/>
      <c r="BB208" s="419"/>
      <c r="BC208" s="419"/>
      <c r="BD208" s="421"/>
      <c r="BE208" s="421"/>
      <c r="BF208" s="419"/>
      <c r="BG208" s="419"/>
      <c r="BH208" s="421"/>
      <c r="BI208" s="421"/>
      <c r="BJ208" s="419"/>
      <c r="BK208" s="419"/>
      <c r="BL208" s="421"/>
      <c r="BM208" s="421"/>
      <c r="BN208" s="419"/>
      <c r="BO208" s="419"/>
      <c r="BP208" s="421"/>
      <c r="BQ208" s="421"/>
      <c r="BR208" s="419"/>
      <c r="BS208" s="419"/>
      <c r="BT208" s="421"/>
      <c r="BU208" s="421"/>
      <c r="BV208" s="419"/>
      <c r="BW208" s="419"/>
      <c r="BX208" s="421"/>
      <c r="BY208" s="421"/>
      <c r="BZ208" s="419"/>
      <c r="CA208" s="419"/>
      <c r="CB208" s="421"/>
      <c r="CC208" s="421"/>
      <c r="CD208" s="419"/>
      <c r="CE208" s="419"/>
      <c r="CF208" s="421"/>
      <c r="CG208" s="421"/>
      <c r="CH208" s="419"/>
      <c r="CI208" s="419"/>
      <c r="CJ208" s="421"/>
      <c r="CK208" s="421"/>
      <c r="CL208" s="419"/>
      <c r="CM208" s="421"/>
      <c r="CN208" s="424">
        <f t="shared" si="101"/>
        <v>0</v>
      </c>
      <c r="CO208" s="424">
        <f t="shared" si="102"/>
        <v>0</v>
      </c>
      <c r="CP208" s="425">
        <f t="shared" si="103"/>
        <v>0</v>
      </c>
      <c r="CQ208" s="425">
        <f t="shared" si="104"/>
        <v>0</v>
      </c>
      <c r="CR208" s="419"/>
      <c r="CS208" s="419"/>
      <c r="CT208" s="421"/>
      <c r="CU208" s="421"/>
      <c r="CV208" s="419"/>
      <c r="CW208" s="419"/>
      <c r="CX208" s="421"/>
      <c r="CY208" s="421"/>
      <c r="CZ208" s="419"/>
      <c r="DA208" s="419"/>
      <c r="DB208" s="421"/>
      <c r="DC208" s="421"/>
      <c r="DD208" s="419"/>
      <c r="DE208" s="419"/>
      <c r="DF208" s="421"/>
      <c r="DG208" s="421"/>
      <c r="DH208" s="419"/>
      <c r="DI208" s="419"/>
      <c r="DJ208" s="421"/>
      <c r="DK208" s="421"/>
      <c r="DL208" s="419"/>
      <c r="DM208" s="419"/>
      <c r="DN208" s="421"/>
      <c r="DO208" s="421"/>
      <c r="DP208" s="419"/>
      <c r="DQ208" s="419"/>
      <c r="DR208" s="421"/>
      <c r="DS208" s="421"/>
      <c r="DT208" s="419"/>
      <c r="DU208" s="419"/>
      <c r="DV208" s="421"/>
      <c r="DW208" s="421"/>
      <c r="DX208" s="419"/>
      <c r="DY208" s="419"/>
      <c r="DZ208" s="421"/>
      <c r="EA208" s="421"/>
      <c r="EB208" s="419"/>
      <c r="EC208" s="419"/>
      <c r="ED208" s="421"/>
      <c r="EE208" s="421"/>
      <c r="EF208" s="419"/>
      <c r="EG208" s="421"/>
      <c r="EH208" s="424">
        <f t="shared" si="105"/>
        <v>0</v>
      </c>
      <c r="EI208" s="424">
        <f t="shared" si="106"/>
        <v>0</v>
      </c>
      <c r="EJ208" s="422">
        <f t="shared" si="107"/>
        <v>0</v>
      </c>
      <c r="EK208" s="425">
        <f t="shared" si="108"/>
        <v>0</v>
      </c>
      <c r="EL208" s="425">
        <f t="shared" si="109"/>
        <v>0</v>
      </c>
      <c r="EM208" s="423">
        <f t="shared" si="110"/>
        <v>0</v>
      </c>
      <c r="EN208" s="424">
        <f t="shared" si="111"/>
        <v>0</v>
      </c>
      <c r="EO208" s="425">
        <f t="shared" si="112"/>
        <v>0</v>
      </c>
      <c r="EP208" s="419"/>
      <c r="EQ208" s="421"/>
      <c r="ER208" s="419"/>
      <c r="ES208" s="421"/>
      <c r="ET208" s="419"/>
      <c r="EU208" s="421"/>
      <c r="EV208" s="419"/>
      <c r="EW208" s="421"/>
      <c r="EX208" s="419"/>
      <c r="EY208" s="421"/>
      <c r="EZ208" s="419"/>
      <c r="FA208" s="421"/>
      <c r="FB208" s="419"/>
      <c r="FC208" s="421"/>
      <c r="FD208" s="419"/>
      <c r="FE208" s="421"/>
      <c r="FF208" s="419"/>
      <c r="FG208" s="421"/>
      <c r="FH208" s="419"/>
      <c r="FI208" s="421"/>
      <c r="FJ208" s="424">
        <f t="shared" si="113"/>
        <v>0</v>
      </c>
      <c r="FK208" s="425">
        <f t="shared" si="114"/>
        <v>0</v>
      </c>
      <c r="FL208" s="419"/>
      <c r="FM208" s="421"/>
      <c r="FN208" s="424">
        <f t="shared" si="115"/>
        <v>1244</v>
      </c>
      <c r="FO208" s="425">
        <f t="shared" si="116"/>
        <v>1514</v>
      </c>
    </row>
    <row r="209" spans="1:171">
      <c r="A209" s="24" t="s">
        <v>159</v>
      </c>
      <c r="B209" s="27" t="s">
        <v>731</v>
      </c>
      <c r="C209" s="23"/>
      <c r="D209" s="25">
        <v>160481</v>
      </c>
      <c r="E209" s="20">
        <v>12</v>
      </c>
      <c r="F209" s="419">
        <v>455</v>
      </c>
      <c r="G209" s="444">
        <v>736</v>
      </c>
      <c r="H209" s="419"/>
      <c r="I209" s="421"/>
      <c r="J209" s="419">
        <v>210</v>
      </c>
      <c r="K209" s="431">
        <v>186</v>
      </c>
      <c r="L209" s="422">
        <f t="shared" si="95"/>
        <v>0</v>
      </c>
      <c r="M209" s="423">
        <f t="shared" si="96"/>
        <v>0</v>
      </c>
      <c r="N209" s="419"/>
      <c r="O209" s="309">
        <f>0</f>
        <v>0</v>
      </c>
      <c r="P209" s="309">
        <f>0</f>
        <v>0</v>
      </c>
      <c r="Q209" s="309">
        <f>0</f>
        <v>0</v>
      </c>
      <c r="R209" s="424">
        <f t="shared" si="93"/>
        <v>0</v>
      </c>
      <c r="S209" s="421"/>
      <c r="T209" s="301">
        <f>0</f>
        <v>0</v>
      </c>
      <c r="U209" s="301">
        <f>0</f>
        <v>0</v>
      </c>
      <c r="V209" s="301">
        <f>0</f>
        <v>0</v>
      </c>
      <c r="W209" s="425">
        <f t="shared" si="94"/>
        <v>0</v>
      </c>
      <c r="X209" s="419"/>
      <c r="Y209" s="419"/>
      <c r="Z209" s="421"/>
      <c r="AA209" s="421"/>
      <c r="AB209" s="419"/>
      <c r="AC209" s="419"/>
      <c r="AD209" s="421"/>
      <c r="AE209" s="421"/>
      <c r="AF209" s="419"/>
      <c r="AG209" s="419"/>
      <c r="AH209" s="421"/>
      <c r="AI209" s="421"/>
      <c r="AJ209" s="419"/>
      <c r="AK209" s="419"/>
      <c r="AL209" s="421"/>
      <c r="AM209" s="421"/>
      <c r="AN209" s="419"/>
      <c r="AO209" s="419"/>
      <c r="AP209" s="421"/>
      <c r="AQ209" s="421"/>
      <c r="AR209" s="424">
        <f t="shared" si="97"/>
        <v>0</v>
      </c>
      <c r="AS209" s="422">
        <f t="shared" si="98"/>
        <v>0</v>
      </c>
      <c r="AT209" s="425">
        <f t="shared" si="99"/>
        <v>0</v>
      </c>
      <c r="AU209" s="423">
        <f t="shared" si="100"/>
        <v>0</v>
      </c>
      <c r="AV209" s="419"/>
      <c r="AW209" s="421"/>
      <c r="AX209" s="419"/>
      <c r="AY209" s="419"/>
      <c r="AZ209" s="421"/>
      <c r="BA209" s="421"/>
      <c r="BB209" s="419"/>
      <c r="BC209" s="419"/>
      <c r="BD209" s="421"/>
      <c r="BE209" s="421"/>
      <c r="BF209" s="419"/>
      <c r="BG209" s="419"/>
      <c r="BH209" s="421"/>
      <c r="BI209" s="421"/>
      <c r="BJ209" s="419"/>
      <c r="BK209" s="419"/>
      <c r="BL209" s="421"/>
      <c r="BM209" s="421"/>
      <c r="BN209" s="419"/>
      <c r="BO209" s="419"/>
      <c r="BP209" s="421"/>
      <c r="BQ209" s="421"/>
      <c r="BR209" s="419"/>
      <c r="BS209" s="419"/>
      <c r="BT209" s="421"/>
      <c r="BU209" s="421"/>
      <c r="BV209" s="419"/>
      <c r="BW209" s="419"/>
      <c r="BX209" s="421"/>
      <c r="BY209" s="421"/>
      <c r="BZ209" s="419"/>
      <c r="CA209" s="419"/>
      <c r="CB209" s="421"/>
      <c r="CC209" s="421"/>
      <c r="CD209" s="419"/>
      <c r="CE209" s="419"/>
      <c r="CF209" s="421"/>
      <c r="CG209" s="421"/>
      <c r="CH209" s="419"/>
      <c r="CI209" s="419"/>
      <c r="CJ209" s="421"/>
      <c r="CK209" s="421"/>
      <c r="CL209" s="419"/>
      <c r="CM209" s="421"/>
      <c r="CN209" s="424">
        <f t="shared" si="101"/>
        <v>0</v>
      </c>
      <c r="CO209" s="424">
        <f t="shared" si="102"/>
        <v>0</v>
      </c>
      <c r="CP209" s="425">
        <f t="shared" si="103"/>
        <v>0</v>
      </c>
      <c r="CQ209" s="425">
        <f t="shared" si="104"/>
        <v>0</v>
      </c>
      <c r="CR209" s="419"/>
      <c r="CS209" s="419"/>
      <c r="CT209" s="421"/>
      <c r="CU209" s="421"/>
      <c r="CV209" s="419"/>
      <c r="CW209" s="419"/>
      <c r="CX209" s="421"/>
      <c r="CY209" s="421"/>
      <c r="CZ209" s="419"/>
      <c r="DA209" s="419"/>
      <c r="DB209" s="421"/>
      <c r="DC209" s="421"/>
      <c r="DD209" s="419"/>
      <c r="DE209" s="419"/>
      <c r="DF209" s="421"/>
      <c r="DG209" s="421"/>
      <c r="DH209" s="419"/>
      <c r="DI209" s="419"/>
      <c r="DJ209" s="421"/>
      <c r="DK209" s="421"/>
      <c r="DL209" s="419"/>
      <c r="DM209" s="419"/>
      <c r="DN209" s="421"/>
      <c r="DO209" s="421"/>
      <c r="DP209" s="419"/>
      <c r="DQ209" s="419"/>
      <c r="DR209" s="421"/>
      <c r="DS209" s="421"/>
      <c r="DT209" s="419"/>
      <c r="DU209" s="419"/>
      <c r="DV209" s="421"/>
      <c r="DW209" s="421"/>
      <c r="DX209" s="419"/>
      <c r="DY209" s="419"/>
      <c r="DZ209" s="421"/>
      <c r="EA209" s="421"/>
      <c r="EB209" s="419"/>
      <c r="EC209" s="419"/>
      <c r="ED209" s="421"/>
      <c r="EE209" s="421"/>
      <c r="EF209" s="419"/>
      <c r="EG209" s="421"/>
      <c r="EH209" s="424">
        <f t="shared" si="105"/>
        <v>0</v>
      </c>
      <c r="EI209" s="424">
        <f t="shared" si="106"/>
        <v>0</v>
      </c>
      <c r="EJ209" s="422">
        <f t="shared" si="107"/>
        <v>0</v>
      </c>
      <c r="EK209" s="425">
        <f t="shared" si="108"/>
        <v>0</v>
      </c>
      <c r="EL209" s="425">
        <f t="shared" si="109"/>
        <v>0</v>
      </c>
      <c r="EM209" s="423">
        <f t="shared" si="110"/>
        <v>0</v>
      </c>
      <c r="EN209" s="424">
        <f t="shared" si="111"/>
        <v>0</v>
      </c>
      <c r="EO209" s="425">
        <f t="shared" si="112"/>
        <v>0</v>
      </c>
      <c r="EP209" s="419"/>
      <c r="EQ209" s="421"/>
      <c r="ER209" s="419"/>
      <c r="ES209" s="421"/>
      <c r="ET209" s="419"/>
      <c r="EU209" s="421"/>
      <c r="EV209" s="419"/>
      <c r="EW209" s="421"/>
      <c r="EX209" s="419"/>
      <c r="EY209" s="421"/>
      <c r="EZ209" s="419"/>
      <c r="FA209" s="421"/>
      <c r="FB209" s="419"/>
      <c r="FC209" s="421"/>
      <c r="FD209" s="419"/>
      <c r="FE209" s="421"/>
      <c r="FF209" s="419"/>
      <c r="FG209" s="421"/>
      <c r="FH209" s="419"/>
      <c r="FI209" s="421"/>
      <c r="FJ209" s="424">
        <f t="shared" si="113"/>
        <v>0</v>
      </c>
      <c r="FK209" s="425">
        <f t="shared" si="114"/>
        <v>0</v>
      </c>
      <c r="FL209" s="419"/>
      <c r="FM209" s="421"/>
      <c r="FN209" s="424">
        <f t="shared" si="115"/>
        <v>665</v>
      </c>
      <c r="FO209" s="425">
        <f t="shared" si="116"/>
        <v>922</v>
      </c>
    </row>
    <row r="210" spans="1:171">
      <c r="A210" s="24" t="s">
        <v>159</v>
      </c>
      <c r="B210" s="19" t="s">
        <v>732</v>
      </c>
      <c r="C210" s="18"/>
      <c r="D210" s="25">
        <v>160667</v>
      </c>
      <c r="E210" s="20">
        <v>12</v>
      </c>
      <c r="F210" s="419">
        <v>1126</v>
      </c>
      <c r="G210" s="444">
        <v>1788</v>
      </c>
      <c r="H210" s="419"/>
      <c r="I210" s="421"/>
      <c r="J210" s="419">
        <v>124</v>
      </c>
      <c r="K210" s="431">
        <v>119</v>
      </c>
      <c r="L210" s="422">
        <f t="shared" si="95"/>
        <v>0</v>
      </c>
      <c r="M210" s="423">
        <f t="shared" si="96"/>
        <v>0</v>
      </c>
      <c r="N210" s="419"/>
      <c r="O210" s="309">
        <f>0</f>
        <v>0</v>
      </c>
      <c r="P210" s="309">
        <f>0</f>
        <v>0</v>
      </c>
      <c r="Q210" s="309">
        <f>0</f>
        <v>0</v>
      </c>
      <c r="R210" s="424">
        <f t="shared" si="93"/>
        <v>0</v>
      </c>
      <c r="S210" s="421"/>
      <c r="T210" s="301">
        <f>0</f>
        <v>0</v>
      </c>
      <c r="U210" s="301">
        <f>0</f>
        <v>0</v>
      </c>
      <c r="V210" s="301">
        <f>0</f>
        <v>0</v>
      </c>
      <c r="W210" s="425">
        <f t="shared" si="94"/>
        <v>0</v>
      </c>
      <c r="X210" s="419"/>
      <c r="Y210" s="419"/>
      <c r="Z210" s="421"/>
      <c r="AA210" s="421"/>
      <c r="AB210" s="419"/>
      <c r="AC210" s="419"/>
      <c r="AD210" s="421"/>
      <c r="AE210" s="421"/>
      <c r="AF210" s="419"/>
      <c r="AG210" s="419"/>
      <c r="AH210" s="421"/>
      <c r="AI210" s="421"/>
      <c r="AJ210" s="419"/>
      <c r="AK210" s="419"/>
      <c r="AL210" s="421"/>
      <c r="AM210" s="421"/>
      <c r="AN210" s="419"/>
      <c r="AO210" s="419"/>
      <c r="AP210" s="421"/>
      <c r="AQ210" s="421"/>
      <c r="AR210" s="424">
        <f t="shared" si="97"/>
        <v>0</v>
      </c>
      <c r="AS210" s="422">
        <f t="shared" si="98"/>
        <v>0</v>
      </c>
      <c r="AT210" s="425">
        <f t="shared" si="99"/>
        <v>0</v>
      </c>
      <c r="AU210" s="423">
        <f t="shared" si="100"/>
        <v>0</v>
      </c>
      <c r="AV210" s="419"/>
      <c r="AW210" s="421"/>
      <c r="AX210" s="419"/>
      <c r="AY210" s="419"/>
      <c r="AZ210" s="421"/>
      <c r="BA210" s="421"/>
      <c r="BB210" s="419"/>
      <c r="BC210" s="419"/>
      <c r="BD210" s="421"/>
      <c r="BE210" s="421"/>
      <c r="BF210" s="419"/>
      <c r="BG210" s="419"/>
      <c r="BH210" s="421"/>
      <c r="BI210" s="421"/>
      <c r="BJ210" s="419"/>
      <c r="BK210" s="419"/>
      <c r="BL210" s="421"/>
      <c r="BM210" s="421"/>
      <c r="BN210" s="419"/>
      <c r="BO210" s="419"/>
      <c r="BP210" s="421"/>
      <c r="BQ210" s="421"/>
      <c r="BR210" s="419"/>
      <c r="BS210" s="419"/>
      <c r="BT210" s="421"/>
      <c r="BU210" s="421"/>
      <c r="BV210" s="419"/>
      <c r="BW210" s="419"/>
      <c r="BX210" s="421"/>
      <c r="BY210" s="421"/>
      <c r="BZ210" s="419"/>
      <c r="CA210" s="419"/>
      <c r="CB210" s="421"/>
      <c r="CC210" s="421"/>
      <c r="CD210" s="419"/>
      <c r="CE210" s="419"/>
      <c r="CF210" s="421"/>
      <c r="CG210" s="421"/>
      <c r="CH210" s="419"/>
      <c r="CI210" s="419"/>
      <c r="CJ210" s="421"/>
      <c r="CK210" s="421"/>
      <c r="CL210" s="419"/>
      <c r="CM210" s="421"/>
      <c r="CN210" s="424">
        <f t="shared" si="101"/>
        <v>0</v>
      </c>
      <c r="CO210" s="424">
        <f t="shared" si="102"/>
        <v>0</v>
      </c>
      <c r="CP210" s="425">
        <f t="shared" si="103"/>
        <v>0</v>
      </c>
      <c r="CQ210" s="425">
        <f t="shared" si="104"/>
        <v>0</v>
      </c>
      <c r="CR210" s="419"/>
      <c r="CS210" s="419"/>
      <c r="CT210" s="421"/>
      <c r="CU210" s="421"/>
      <c r="CV210" s="419"/>
      <c r="CW210" s="419"/>
      <c r="CX210" s="421"/>
      <c r="CY210" s="421"/>
      <c r="CZ210" s="419"/>
      <c r="DA210" s="419"/>
      <c r="DB210" s="421"/>
      <c r="DC210" s="421"/>
      <c r="DD210" s="419"/>
      <c r="DE210" s="419"/>
      <c r="DF210" s="421"/>
      <c r="DG210" s="421"/>
      <c r="DH210" s="419"/>
      <c r="DI210" s="419"/>
      <c r="DJ210" s="421"/>
      <c r="DK210" s="421"/>
      <c r="DL210" s="419"/>
      <c r="DM210" s="419"/>
      <c r="DN210" s="421"/>
      <c r="DO210" s="421"/>
      <c r="DP210" s="419"/>
      <c r="DQ210" s="419"/>
      <c r="DR210" s="421"/>
      <c r="DS210" s="421"/>
      <c r="DT210" s="419"/>
      <c r="DU210" s="419"/>
      <c r="DV210" s="421"/>
      <c r="DW210" s="421"/>
      <c r="DX210" s="419"/>
      <c r="DY210" s="419"/>
      <c r="DZ210" s="421"/>
      <c r="EA210" s="421"/>
      <c r="EB210" s="419"/>
      <c r="EC210" s="419"/>
      <c r="ED210" s="421"/>
      <c r="EE210" s="421"/>
      <c r="EF210" s="419"/>
      <c r="EG210" s="421"/>
      <c r="EH210" s="424">
        <f t="shared" si="105"/>
        <v>0</v>
      </c>
      <c r="EI210" s="424">
        <f t="shared" si="106"/>
        <v>0</v>
      </c>
      <c r="EJ210" s="422">
        <f t="shared" si="107"/>
        <v>0</v>
      </c>
      <c r="EK210" s="425">
        <f t="shared" si="108"/>
        <v>0</v>
      </c>
      <c r="EL210" s="425">
        <f t="shared" si="109"/>
        <v>0</v>
      </c>
      <c r="EM210" s="423">
        <f t="shared" si="110"/>
        <v>0</v>
      </c>
      <c r="EN210" s="424">
        <f t="shared" si="111"/>
        <v>0</v>
      </c>
      <c r="EO210" s="425">
        <f t="shared" si="112"/>
        <v>0</v>
      </c>
      <c r="EP210" s="419"/>
      <c r="EQ210" s="421"/>
      <c r="ER210" s="419"/>
      <c r="ES210" s="421"/>
      <c r="ET210" s="419"/>
      <c r="EU210" s="421"/>
      <c r="EV210" s="419"/>
      <c r="EW210" s="421"/>
      <c r="EX210" s="419"/>
      <c r="EY210" s="421"/>
      <c r="EZ210" s="419"/>
      <c r="FA210" s="421"/>
      <c r="FB210" s="419"/>
      <c r="FC210" s="421"/>
      <c r="FD210" s="419"/>
      <c r="FE210" s="421"/>
      <c r="FF210" s="419"/>
      <c r="FG210" s="421"/>
      <c r="FH210" s="419"/>
      <c r="FI210" s="421"/>
      <c r="FJ210" s="424">
        <f t="shared" si="113"/>
        <v>0</v>
      </c>
      <c r="FK210" s="425">
        <f t="shared" si="114"/>
        <v>0</v>
      </c>
      <c r="FL210" s="419"/>
      <c r="FM210" s="421"/>
      <c r="FN210" s="424">
        <f t="shared" si="115"/>
        <v>1250</v>
      </c>
      <c r="FO210" s="425">
        <f t="shared" si="116"/>
        <v>1907</v>
      </c>
    </row>
    <row r="211" spans="1:171">
      <c r="A211" s="24" t="s">
        <v>159</v>
      </c>
      <c r="B211" s="27" t="s">
        <v>734</v>
      </c>
      <c r="C211" s="26"/>
      <c r="D211" s="25">
        <v>160579</v>
      </c>
      <c r="E211" s="20">
        <v>12</v>
      </c>
      <c r="F211" s="419">
        <v>1131</v>
      </c>
      <c r="G211" s="444">
        <v>1625</v>
      </c>
      <c r="H211" s="419"/>
      <c r="I211" s="421"/>
      <c r="J211" s="419">
        <v>425</v>
      </c>
      <c r="K211" s="431">
        <v>442</v>
      </c>
      <c r="L211" s="422">
        <f t="shared" si="95"/>
        <v>0</v>
      </c>
      <c r="M211" s="423">
        <f t="shared" si="96"/>
        <v>0</v>
      </c>
      <c r="N211" s="419"/>
      <c r="O211" s="309">
        <f>0</f>
        <v>0</v>
      </c>
      <c r="P211" s="309">
        <f>0</f>
        <v>0</v>
      </c>
      <c r="Q211" s="309">
        <f>0</f>
        <v>0</v>
      </c>
      <c r="R211" s="424">
        <f t="shared" si="93"/>
        <v>0</v>
      </c>
      <c r="S211" s="421"/>
      <c r="T211" s="301">
        <f>0</f>
        <v>0</v>
      </c>
      <c r="U211" s="301">
        <f>0</f>
        <v>0</v>
      </c>
      <c r="V211" s="301">
        <f>0</f>
        <v>0</v>
      </c>
      <c r="W211" s="425">
        <f t="shared" si="94"/>
        <v>0</v>
      </c>
      <c r="X211" s="419"/>
      <c r="Y211" s="419"/>
      <c r="Z211" s="421"/>
      <c r="AA211" s="421"/>
      <c r="AB211" s="419"/>
      <c r="AC211" s="419"/>
      <c r="AD211" s="421"/>
      <c r="AE211" s="421"/>
      <c r="AF211" s="419"/>
      <c r="AG211" s="419"/>
      <c r="AH211" s="421"/>
      <c r="AI211" s="421"/>
      <c r="AJ211" s="419"/>
      <c r="AK211" s="419"/>
      <c r="AL211" s="421"/>
      <c r="AM211" s="421"/>
      <c r="AN211" s="419"/>
      <c r="AO211" s="419"/>
      <c r="AP211" s="421"/>
      <c r="AQ211" s="421"/>
      <c r="AR211" s="424">
        <f t="shared" si="97"/>
        <v>0</v>
      </c>
      <c r="AS211" s="422">
        <f t="shared" si="98"/>
        <v>0</v>
      </c>
      <c r="AT211" s="425">
        <f t="shared" si="99"/>
        <v>0</v>
      </c>
      <c r="AU211" s="423">
        <f t="shared" si="100"/>
        <v>0</v>
      </c>
      <c r="AV211" s="419"/>
      <c r="AW211" s="421"/>
      <c r="AX211" s="419"/>
      <c r="AY211" s="419"/>
      <c r="AZ211" s="421"/>
      <c r="BA211" s="421"/>
      <c r="BB211" s="419"/>
      <c r="BC211" s="419"/>
      <c r="BD211" s="421"/>
      <c r="BE211" s="421"/>
      <c r="BF211" s="419"/>
      <c r="BG211" s="419"/>
      <c r="BH211" s="421"/>
      <c r="BI211" s="421"/>
      <c r="BJ211" s="419"/>
      <c r="BK211" s="419"/>
      <c r="BL211" s="421"/>
      <c r="BM211" s="421"/>
      <c r="BN211" s="419"/>
      <c r="BO211" s="419"/>
      <c r="BP211" s="421"/>
      <c r="BQ211" s="421"/>
      <c r="BR211" s="419"/>
      <c r="BS211" s="419"/>
      <c r="BT211" s="421"/>
      <c r="BU211" s="421"/>
      <c r="BV211" s="419"/>
      <c r="BW211" s="419"/>
      <c r="BX211" s="421"/>
      <c r="BY211" s="421"/>
      <c r="BZ211" s="419"/>
      <c r="CA211" s="419"/>
      <c r="CB211" s="421"/>
      <c r="CC211" s="421"/>
      <c r="CD211" s="419"/>
      <c r="CE211" s="419"/>
      <c r="CF211" s="421"/>
      <c r="CG211" s="421"/>
      <c r="CH211" s="419"/>
      <c r="CI211" s="419"/>
      <c r="CJ211" s="421"/>
      <c r="CK211" s="421"/>
      <c r="CL211" s="419"/>
      <c r="CM211" s="421"/>
      <c r="CN211" s="424">
        <f t="shared" si="101"/>
        <v>0</v>
      </c>
      <c r="CO211" s="424">
        <f t="shared" si="102"/>
        <v>0</v>
      </c>
      <c r="CP211" s="425">
        <f t="shared" si="103"/>
        <v>0</v>
      </c>
      <c r="CQ211" s="425">
        <f t="shared" si="104"/>
        <v>0</v>
      </c>
      <c r="CR211" s="419"/>
      <c r="CS211" s="419"/>
      <c r="CT211" s="421"/>
      <c r="CU211" s="421"/>
      <c r="CV211" s="419"/>
      <c r="CW211" s="419"/>
      <c r="CX211" s="421"/>
      <c r="CY211" s="421"/>
      <c r="CZ211" s="419"/>
      <c r="DA211" s="419"/>
      <c r="DB211" s="421"/>
      <c r="DC211" s="421"/>
      <c r="DD211" s="419"/>
      <c r="DE211" s="419"/>
      <c r="DF211" s="421"/>
      <c r="DG211" s="421"/>
      <c r="DH211" s="419"/>
      <c r="DI211" s="419"/>
      <c r="DJ211" s="421"/>
      <c r="DK211" s="421"/>
      <c r="DL211" s="419"/>
      <c r="DM211" s="419"/>
      <c r="DN211" s="421"/>
      <c r="DO211" s="421"/>
      <c r="DP211" s="419"/>
      <c r="DQ211" s="419"/>
      <c r="DR211" s="421"/>
      <c r="DS211" s="421"/>
      <c r="DT211" s="419"/>
      <c r="DU211" s="419"/>
      <c r="DV211" s="421"/>
      <c r="DW211" s="421"/>
      <c r="DX211" s="419"/>
      <c r="DY211" s="419"/>
      <c r="DZ211" s="421"/>
      <c r="EA211" s="421"/>
      <c r="EB211" s="419"/>
      <c r="EC211" s="419"/>
      <c r="ED211" s="421"/>
      <c r="EE211" s="421"/>
      <c r="EF211" s="419"/>
      <c r="EG211" s="421"/>
      <c r="EH211" s="424">
        <f t="shared" si="105"/>
        <v>0</v>
      </c>
      <c r="EI211" s="424">
        <f t="shared" si="106"/>
        <v>0</v>
      </c>
      <c r="EJ211" s="422">
        <f t="shared" si="107"/>
        <v>0</v>
      </c>
      <c r="EK211" s="425">
        <f t="shared" si="108"/>
        <v>0</v>
      </c>
      <c r="EL211" s="425">
        <f t="shared" si="109"/>
        <v>0</v>
      </c>
      <c r="EM211" s="423">
        <f t="shared" si="110"/>
        <v>0</v>
      </c>
      <c r="EN211" s="424">
        <f t="shared" si="111"/>
        <v>0</v>
      </c>
      <c r="EO211" s="425">
        <f t="shared" si="112"/>
        <v>0</v>
      </c>
      <c r="EP211" s="419"/>
      <c r="EQ211" s="421"/>
      <c r="ER211" s="419"/>
      <c r="ES211" s="421"/>
      <c r="ET211" s="419"/>
      <c r="EU211" s="421"/>
      <c r="EV211" s="419"/>
      <c r="EW211" s="421"/>
      <c r="EX211" s="419"/>
      <c r="EY211" s="421"/>
      <c r="EZ211" s="419"/>
      <c r="FA211" s="421"/>
      <c r="FB211" s="419"/>
      <c r="FC211" s="421"/>
      <c r="FD211" s="419"/>
      <c r="FE211" s="421"/>
      <c r="FF211" s="419"/>
      <c r="FG211" s="421"/>
      <c r="FH211" s="419"/>
      <c r="FI211" s="421"/>
      <c r="FJ211" s="424">
        <f t="shared" si="113"/>
        <v>0</v>
      </c>
      <c r="FK211" s="425">
        <f t="shared" si="114"/>
        <v>0</v>
      </c>
      <c r="FL211" s="419"/>
      <c r="FM211" s="421"/>
      <c r="FN211" s="424">
        <f t="shared" si="115"/>
        <v>1556</v>
      </c>
      <c r="FO211" s="425">
        <f t="shared" si="116"/>
        <v>2067</v>
      </c>
    </row>
    <row r="212" spans="1:171">
      <c r="A212" s="24" t="s">
        <v>159</v>
      </c>
      <c r="B212" s="19" t="s">
        <v>733</v>
      </c>
      <c r="C212" s="26"/>
      <c r="D212" s="25">
        <v>160010</v>
      </c>
      <c r="E212" s="20">
        <v>13</v>
      </c>
      <c r="F212" s="419">
        <v>575</v>
      </c>
      <c r="G212" s="444">
        <v>860</v>
      </c>
      <c r="H212" s="419"/>
      <c r="I212" s="421"/>
      <c r="J212" s="419">
        <v>18</v>
      </c>
      <c r="K212" s="444">
        <v>9</v>
      </c>
      <c r="L212" s="422">
        <f t="shared" si="95"/>
        <v>0</v>
      </c>
      <c r="M212" s="423">
        <f t="shared" si="96"/>
        <v>0</v>
      </c>
      <c r="N212" s="419"/>
      <c r="O212" s="309">
        <f>0</f>
        <v>0</v>
      </c>
      <c r="P212" s="309">
        <f>0</f>
        <v>0</v>
      </c>
      <c r="Q212" s="309">
        <f>0</f>
        <v>0</v>
      </c>
      <c r="R212" s="424">
        <f t="shared" si="93"/>
        <v>0</v>
      </c>
      <c r="S212" s="421"/>
      <c r="T212" s="301">
        <f>0</f>
        <v>0</v>
      </c>
      <c r="U212" s="301">
        <f>0</f>
        <v>0</v>
      </c>
      <c r="V212" s="301">
        <f>0</f>
        <v>0</v>
      </c>
      <c r="W212" s="425">
        <f t="shared" si="94"/>
        <v>0</v>
      </c>
      <c r="X212" s="419"/>
      <c r="Y212" s="419"/>
      <c r="Z212" s="421"/>
      <c r="AA212" s="421"/>
      <c r="AB212" s="419"/>
      <c r="AC212" s="419"/>
      <c r="AD212" s="421"/>
      <c r="AE212" s="421"/>
      <c r="AF212" s="419"/>
      <c r="AG212" s="419"/>
      <c r="AH212" s="421"/>
      <c r="AI212" s="421"/>
      <c r="AJ212" s="419"/>
      <c r="AK212" s="419"/>
      <c r="AL212" s="421"/>
      <c r="AM212" s="421"/>
      <c r="AN212" s="419"/>
      <c r="AO212" s="419"/>
      <c r="AP212" s="421"/>
      <c r="AQ212" s="421"/>
      <c r="AR212" s="424">
        <f t="shared" si="97"/>
        <v>0</v>
      </c>
      <c r="AS212" s="422">
        <f t="shared" si="98"/>
        <v>0</v>
      </c>
      <c r="AT212" s="425">
        <f t="shared" si="99"/>
        <v>0</v>
      </c>
      <c r="AU212" s="423">
        <f t="shared" si="100"/>
        <v>0</v>
      </c>
      <c r="AV212" s="419"/>
      <c r="AW212" s="421"/>
      <c r="AX212" s="419"/>
      <c r="AY212" s="419"/>
      <c r="AZ212" s="421"/>
      <c r="BA212" s="421"/>
      <c r="BB212" s="419"/>
      <c r="BC212" s="419"/>
      <c r="BD212" s="421"/>
      <c r="BE212" s="421"/>
      <c r="BF212" s="419"/>
      <c r="BG212" s="419"/>
      <c r="BH212" s="421"/>
      <c r="BI212" s="421"/>
      <c r="BJ212" s="419"/>
      <c r="BK212" s="419"/>
      <c r="BL212" s="421"/>
      <c r="BM212" s="421"/>
      <c r="BN212" s="419"/>
      <c r="BO212" s="419"/>
      <c r="BP212" s="421"/>
      <c r="BQ212" s="421"/>
      <c r="BR212" s="419"/>
      <c r="BS212" s="419"/>
      <c r="BT212" s="421"/>
      <c r="BU212" s="421"/>
      <c r="BV212" s="419"/>
      <c r="BW212" s="419"/>
      <c r="BX212" s="421"/>
      <c r="BY212" s="421"/>
      <c r="BZ212" s="419"/>
      <c r="CA212" s="419"/>
      <c r="CB212" s="421"/>
      <c r="CC212" s="421"/>
      <c r="CD212" s="419"/>
      <c r="CE212" s="419"/>
      <c r="CF212" s="421"/>
      <c r="CG212" s="421"/>
      <c r="CH212" s="419"/>
      <c r="CI212" s="419"/>
      <c r="CJ212" s="421"/>
      <c r="CK212" s="421"/>
      <c r="CL212" s="419"/>
      <c r="CM212" s="421"/>
      <c r="CN212" s="424">
        <f t="shared" si="101"/>
        <v>0</v>
      </c>
      <c r="CO212" s="424">
        <f t="shared" si="102"/>
        <v>0</v>
      </c>
      <c r="CP212" s="425">
        <f t="shared" si="103"/>
        <v>0</v>
      </c>
      <c r="CQ212" s="425">
        <f t="shared" si="104"/>
        <v>0</v>
      </c>
      <c r="CR212" s="419"/>
      <c r="CS212" s="419"/>
      <c r="CT212" s="421"/>
      <c r="CU212" s="421"/>
      <c r="CV212" s="419"/>
      <c r="CW212" s="419"/>
      <c r="CX212" s="421"/>
      <c r="CY212" s="421"/>
      <c r="CZ212" s="419"/>
      <c r="DA212" s="419"/>
      <c r="DB212" s="421"/>
      <c r="DC212" s="421"/>
      <c r="DD212" s="419"/>
      <c r="DE212" s="419"/>
      <c r="DF212" s="421"/>
      <c r="DG212" s="421"/>
      <c r="DH212" s="419"/>
      <c r="DI212" s="419"/>
      <c r="DJ212" s="421"/>
      <c r="DK212" s="421"/>
      <c r="DL212" s="419"/>
      <c r="DM212" s="419"/>
      <c r="DN212" s="421"/>
      <c r="DO212" s="421"/>
      <c r="DP212" s="419"/>
      <c r="DQ212" s="419"/>
      <c r="DR212" s="421"/>
      <c r="DS212" s="421"/>
      <c r="DT212" s="419"/>
      <c r="DU212" s="419"/>
      <c r="DV212" s="421"/>
      <c r="DW212" s="421"/>
      <c r="DX212" s="419"/>
      <c r="DY212" s="419"/>
      <c r="DZ212" s="421"/>
      <c r="EA212" s="421"/>
      <c r="EB212" s="419"/>
      <c r="EC212" s="419"/>
      <c r="ED212" s="421"/>
      <c r="EE212" s="421"/>
      <c r="EF212" s="419"/>
      <c r="EG212" s="421"/>
      <c r="EH212" s="424">
        <f t="shared" si="105"/>
        <v>0</v>
      </c>
      <c r="EI212" s="424">
        <f t="shared" si="106"/>
        <v>0</v>
      </c>
      <c r="EJ212" s="422">
        <f t="shared" si="107"/>
        <v>0</v>
      </c>
      <c r="EK212" s="425">
        <f t="shared" si="108"/>
        <v>0</v>
      </c>
      <c r="EL212" s="425">
        <f t="shared" si="109"/>
        <v>0</v>
      </c>
      <c r="EM212" s="423">
        <f t="shared" si="110"/>
        <v>0</v>
      </c>
      <c r="EN212" s="424">
        <f t="shared" si="111"/>
        <v>0</v>
      </c>
      <c r="EO212" s="425">
        <f t="shared" si="112"/>
        <v>0</v>
      </c>
      <c r="EP212" s="419"/>
      <c r="EQ212" s="421"/>
      <c r="ER212" s="419"/>
      <c r="ES212" s="421"/>
      <c r="ET212" s="419"/>
      <c r="EU212" s="421"/>
      <c r="EV212" s="419"/>
      <c r="EW212" s="421"/>
      <c r="EX212" s="419"/>
      <c r="EY212" s="421"/>
      <c r="EZ212" s="419"/>
      <c r="FA212" s="421"/>
      <c r="FB212" s="419"/>
      <c r="FC212" s="421"/>
      <c r="FD212" s="419"/>
      <c r="FE212" s="421"/>
      <c r="FF212" s="419"/>
      <c r="FG212" s="421"/>
      <c r="FH212" s="419"/>
      <c r="FI212" s="421"/>
      <c r="FJ212" s="424">
        <f t="shared" si="113"/>
        <v>0</v>
      </c>
      <c r="FK212" s="425">
        <f t="shared" si="114"/>
        <v>0</v>
      </c>
      <c r="FL212" s="419"/>
      <c r="FM212" s="421"/>
      <c r="FN212" s="424">
        <f t="shared" si="115"/>
        <v>593</v>
      </c>
      <c r="FO212" s="425">
        <f t="shared" si="116"/>
        <v>869</v>
      </c>
    </row>
    <row r="213" spans="1:171">
      <c r="A213" s="24" t="s">
        <v>159</v>
      </c>
      <c r="B213" s="27" t="s">
        <v>735</v>
      </c>
      <c r="C213" s="26"/>
      <c r="D213" s="25">
        <v>159373</v>
      </c>
      <c r="E213" s="20">
        <v>15</v>
      </c>
      <c r="F213" s="419"/>
      <c r="G213" s="421"/>
      <c r="H213" s="419"/>
      <c r="I213" s="421"/>
      <c r="J213" s="419">
        <v>2</v>
      </c>
      <c r="K213" s="444">
        <v>5</v>
      </c>
      <c r="L213" s="422">
        <f t="shared" si="95"/>
        <v>6.1919504643962852E-3</v>
      </c>
      <c r="M213" s="423">
        <f t="shared" si="96"/>
        <v>1.5105740181268883E-2</v>
      </c>
      <c r="N213" s="419">
        <v>323</v>
      </c>
      <c r="O213" s="309">
        <f>0</f>
        <v>0</v>
      </c>
      <c r="P213" s="309">
        <f>0</f>
        <v>0</v>
      </c>
      <c r="Q213" s="309">
        <f>0</f>
        <v>0</v>
      </c>
      <c r="R213" s="424">
        <f t="shared" si="93"/>
        <v>0</v>
      </c>
      <c r="S213" s="431">
        <v>331</v>
      </c>
      <c r="T213" s="301">
        <f>0</f>
        <v>0</v>
      </c>
      <c r="U213" s="301">
        <f>0</f>
        <v>0</v>
      </c>
      <c r="V213" s="301">
        <f>0</f>
        <v>0</v>
      </c>
      <c r="W213" s="425">
        <f t="shared" si="94"/>
        <v>0</v>
      </c>
      <c r="X213" s="419"/>
      <c r="Y213" s="419"/>
      <c r="Z213" s="421"/>
      <c r="AA213" s="421"/>
      <c r="AB213" s="419"/>
      <c r="AC213" s="419"/>
      <c r="AD213" s="421"/>
      <c r="AE213" s="421"/>
      <c r="AF213" s="419"/>
      <c r="AG213" s="419"/>
      <c r="AH213" s="421"/>
      <c r="AI213" s="421"/>
      <c r="AJ213" s="419"/>
      <c r="AK213" s="419"/>
      <c r="AL213" s="421"/>
      <c r="AM213" s="421"/>
      <c r="AN213" s="419"/>
      <c r="AO213" s="419"/>
      <c r="AP213" s="421"/>
      <c r="AQ213" s="421"/>
      <c r="AR213" s="424">
        <f t="shared" si="97"/>
        <v>0</v>
      </c>
      <c r="AS213" s="422">
        <f t="shared" si="98"/>
        <v>0.38270142180094785</v>
      </c>
      <c r="AT213" s="425">
        <f t="shared" si="99"/>
        <v>0</v>
      </c>
      <c r="AU213" s="423">
        <f t="shared" si="100"/>
        <v>0.3813364055299539</v>
      </c>
      <c r="AV213" s="419"/>
      <c r="AW213" s="421"/>
      <c r="AX213" s="419">
        <v>51</v>
      </c>
      <c r="AY213" s="419">
        <v>125</v>
      </c>
      <c r="AZ213" s="421">
        <v>51</v>
      </c>
      <c r="BA213" s="420">
        <v>155</v>
      </c>
      <c r="BB213" s="419">
        <v>26</v>
      </c>
      <c r="BC213" s="419">
        <v>5</v>
      </c>
      <c r="BD213" s="421">
        <v>26</v>
      </c>
      <c r="BE213" s="421">
        <v>4</v>
      </c>
      <c r="BF213" s="419"/>
      <c r="BG213" s="419"/>
      <c r="BH213" s="421"/>
      <c r="BI213" s="421"/>
      <c r="BJ213" s="419"/>
      <c r="BK213" s="419"/>
      <c r="BL213" s="421"/>
      <c r="BM213" s="421"/>
      <c r="BN213" s="419"/>
      <c r="BO213" s="419"/>
      <c r="BP213" s="421"/>
      <c r="BQ213" s="421"/>
      <c r="BR213" s="419"/>
      <c r="BS213" s="419"/>
      <c r="BT213" s="421"/>
      <c r="BU213" s="421"/>
      <c r="BV213" s="419"/>
      <c r="BW213" s="419"/>
      <c r="BX213" s="421"/>
      <c r="BY213" s="421"/>
      <c r="BZ213" s="419"/>
      <c r="CA213" s="419"/>
      <c r="CB213" s="421"/>
      <c r="CC213" s="421"/>
      <c r="CD213" s="419"/>
      <c r="CE213" s="419"/>
      <c r="CF213" s="421"/>
      <c r="CG213" s="421"/>
      <c r="CH213" s="419"/>
      <c r="CI213" s="419"/>
      <c r="CJ213" s="421"/>
      <c r="CK213" s="421"/>
      <c r="CL213" s="419"/>
      <c r="CM213" s="421"/>
      <c r="CN213" s="424">
        <f t="shared" si="101"/>
        <v>130</v>
      </c>
      <c r="CO213" s="424">
        <f t="shared" si="102"/>
        <v>2</v>
      </c>
      <c r="CP213" s="425">
        <f t="shared" si="103"/>
        <v>159</v>
      </c>
      <c r="CQ213" s="425">
        <f t="shared" si="104"/>
        <v>2</v>
      </c>
      <c r="CR213" s="419">
        <v>26</v>
      </c>
      <c r="CS213" s="419">
        <v>20</v>
      </c>
      <c r="CT213" s="421">
        <v>26</v>
      </c>
      <c r="CU213" s="420">
        <v>15</v>
      </c>
      <c r="CV213" s="419">
        <v>51</v>
      </c>
      <c r="CW213" s="419">
        <v>2</v>
      </c>
      <c r="CX213" s="421"/>
      <c r="CY213" s="420"/>
      <c r="CZ213" s="419"/>
      <c r="DA213" s="419"/>
      <c r="DB213" s="421"/>
      <c r="DC213" s="421"/>
      <c r="DD213" s="419"/>
      <c r="DE213" s="419"/>
      <c r="DF213" s="421"/>
      <c r="DG213" s="421"/>
      <c r="DH213" s="419"/>
      <c r="DI213" s="419"/>
      <c r="DJ213" s="421"/>
      <c r="DK213" s="421"/>
      <c r="DL213" s="419"/>
      <c r="DM213" s="419"/>
      <c r="DN213" s="421"/>
      <c r="DO213" s="421"/>
      <c r="DP213" s="419"/>
      <c r="DQ213" s="419"/>
      <c r="DR213" s="421"/>
      <c r="DS213" s="421"/>
      <c r="DT213" s="419"/>
      <c r="DU213" s="419"/>
      <c r="DV213" s="421"/>
      <c r="DW213" s="421"/>
      <c r="DX213" s="419"/>
      <c r="DY213" s="419"/>
      <c r="DZ213" s="421"/>
      <c r="EA213" s="421"/>
      <c r="EB213" s="419"/>
      <c r="EC213" s="419"/>
      <c r="ED213" s="421"/>
      <c r="EE213" s="421"/>
      <c r="EF213" s="419"/>
      <c r="EG213" s="421"/>
      <c r="EH213" s="424">
        <f t="shared" si="105"/>
        <v>22</v>
      </c>
      <c r="EI213" s="424">
        <f t="shared" si="106"/>
        <v>2</v>
      </c>
      <c r="EJ213" s="422">
        <f t="shared" si="107"/>
        <v>0.90909090909090906</v>
      </c>
      <c r="EK213" s="425">
        <f t="shared" si="108"/>
        <v>15</v>
      </c>
      <c r="EL213" s="425">
        <f t="shared" si="109"/>
        <v>1</v>
      </c>
      <c r="EM213" s="423">
        <f t="shared" si="110"/>
        <v>1</v>
      </c>
      <c r="EN213" s="424">
        <f t="shared" si="111"/>
        <v>152</v>
      </c>
      <c r="EO213" s="425">
        <f t="shared" si="112"/>
        <v>174</v>
      </c>
      <c r="EP213" s="419"/>
      <c r="EQ213" s="421"/>
      <c r="ER213" s="419">
        <v>189</v>
      </c>
      <c r="ES213" s="421">
        <v>192</v>
      </c>
      <c r="ET213" s="419">
        <v>59</v>
      </c>
      <c r="EU213" s="421">
        <v>66</v>
      </c>
      <c r="EV213" s="419"/>
      <c r="EW213" s="421"/>
      <c r="EX213" s="419"/>
      <c r="EY213" s="421"/>
      <c r="EZ213" s="419"/>
      <c r="FA213" s="421"/>
      <c r="FB213" s="419"/>
      <c r="FC213" s="421"/>
      <c r="FD213" s="419"/>
      <c r="FE213" s="421"/>
      <c r="FF213" s="419"/>
      <c r="FG213" s="421"/>
      <c r="FH213" s="419">
        <v>119</v>
      </c>
      <c r="FI213" s="421">
        <v>100</v>
      </c>
      <c r="FJ213" s="424">
        <f t="shared" si="113"/>
        <v>367</v>
      </c>
      <c r="FK213" s="425">
        <f t="shared" si="114"/>
        <v>358</v>
      </c>
      <c r="FL213" s="419"/>
      <c r="FM213" s="421"/>
      <c r="FN213" s="424">
        <f t="shared" si="115"/>
        <v>844</v>
      </c>
      <c r="FO213" s="425">
        <f t="shared" si="116"/>
        <v>868</v>
      </c>
    </row>
    <row r="214" spans="1:171">
      <c r="A214" s="24" t="s">
        <v>159</v>
      </c>
      <c r="B214" s="27" t="s">
        <v>736</v>
      </c>
      <c r="C214" s="26"/>
      <c r="D214" s="25">
        <v>435000</v>
      </c>
      <c r="E214" s="20">
        <v>15</v>
      </c>
      <c r="F214" s="419"/>
      <c r="G214" s="421"/>
      <c r="H214" s="419"/>
      <c r="I214" s="421"/>
      <c r="J214" s="419"/>
      <c r="K214" s="421"/>
      <c r="L214" s="422">
        <f t="shared" si="95"/>
        <v>0</v>
      </c>
      <c r="M214" s="423">
        <f t="shared" si="96"/>
        <v>0</v>
      </c>
      <c r="N214" s="419">
        <v>18</v>
      </c>
      <c r="O214" s="309">
        <f>0</f>
        <v>0</v>
      </c>
      <c r="P214" s="309">
        <f>0</f>
        <v>0</v>
      </c>
      <c r="Q214" s="309">
        <f>0</f>
        <v>0</v>
      </c>
      <c r="R214" s="424">
        <f t="shared" si="93"/>
        <v>0</v>
      </c>
      <c r="S214" s="431">
        <v>15</v>
      </c>
      <c r="T214" s="301">
        <f>0</f>
        <v>0</v>
      </c>
      <c r="U214" s="301">
        <f>0</f>
        <v>0</v>
      </c>
      <c r="V214" s="301">
        <f>0</f>
        <v>0</v>
      </c>
      <c r="W214" s="425">
        <f t="shared" si="94"/>
        <v>0</v>
      </c>
      <c r="X214" s="419"/>
      <c r="Y214" s="419"/>
      <c r="Z214" s="421"/>
      <c r="AA214" s="421"/>
      <c r="AB214" s="419"/>
      <c r="AC214" s="419"/>
      <c r="AD214" s="421"/>
      <c r="AE214" s="421"/>
      <c r="AF214" s="419"/>
      <c r="AG214" s="419"/>
      <c r="AH214" s="421"/>
      <c r="AI214" s="421"/>
      <c r="AJ214" s="419"/>
      <c r="AK214" s="419"/>
      <c r="AL214" s="421"/>
      <c r="AM214" s="421"/>
      <c r="AN214" s="419"/>
      <c r="AO214" s="419"/>
      <c r="AP214" s="421"/>
      <c r="AQ214" s="421"/>
      <c r="AR214" s="424">
        <f t="shared" si="97"/>
        <v>0</v>
      </c>
      <c r="AS214" s="422">
        <f t="shared" si="98"/>
        <v>6.9767441860465115E-2</v>
      </c>
      <c r="AT214" s="425">
        <f t="shared" si="99"/>
        <v>0</v>
      </c>
      <c r="AU214" s="423">
        <f t="shared" si="100"/>
        <v>5.9288537549407112E-2</v>
      </c>
      <c r="AV214" s="419"/>
      <c r="AW214" s="421"/>
      <c r="AX214" s="419">
        <v>51</v>
      </c>
      <c r="AY214" s="419">
        <v>72</v>
      </c>
      <c r="AZ214" s="421">
        <v>51</v>
      </c>
      <c r="BA214" s="421">
        <v>70</v>
      </c>
      <c r="BB214" s="419"/>
      <c r="BC214" s="419"/>
      <c r="BD214" s="421">
        <v>26</v>
      </c>
      <c r="BE214" s="420">
        <v>1</v>
      </c>
      <c r="BF214" s="419"/>
      <c r="BG214" s="419"/>
      <c r="BH214" s="421"/>
      <c r="BI214" s="421"/>
      <c r="BJ214" s="419"/>
      <c r="BK214" s="419"/>
      <c r="BL214" s="421"/>
      <c r="BM214" s="421"/>
      <c r="BN214" s="419"/>
      <c r="BO214" s="419"/>
      <c r="BP214" s="421"/>
      <c r="BQ214" s="421"/>
      <c r="BR214" s="419"/>
      <c r="BS214" s="419"/>
      <c r="BT214" s="421"/>
      <c r="BU214" s="421"/>
      <c r="BV214" s="419"/>
      <c r="BW214" s="419"/>
      <c r="BX214" s="421"/>
      <c r="BY214" s="421"/>
      <c r="BZ214" s="419"/>
      <c r="CA214" s="419"/>
      <c r="CB214" s="421"/>
      <c r="CC214" s="421"/>
      <c r="CD214" s="419"/>
      <c r="CE214" s="419"/>
      <c r="CF214" s="421"/>
      <c r="CG214" s="421"/>
      <c r="CH214" s="419"/>
      <c r="CI214" s="419"/>
      <c r="CJ214" s="421"/>
      <c r="CK214" s="421"/>
      <c r="CL214" s="419"/>
      <c r="CM214" s="421"/>
      <c r="CN214" s="424">
        <f t="shared" si="101"/>
        <v>72</v>
      </c>
      <c r="CO214" s="424">
        <f t="shared" si="102"/>
        <v>1</v>
      </c>
      <c r="CP214" s="425">
        <f t="shared" si="103"/>
        <v>71</v>
      </c>
      <c r="CQ214" s="425">
        <f t="shared" si="104"/>
        <v>2</v>
      </c>
      <c r="CR214" s="419">
        <v>26</v>
      </c>
      <c r="CS214" s="419">
        <v>15</v>
      </c>
      <c r="CT214" s="420">
        <v>26</v>
      </c>
      <c r="CU214" s="420">
        <v>7</v>
      </c>
      <c r="CV214" s="419"/>
      <c r="CW214" s="419"/>
      <c r="CX214" s="421"/>
      <c r="CY214" s="421"/>
      <c r="CZ214" s="419"/>
      <c r="DA214" s="419"/>
      <c r="DB214" s="421"/>
      <c r="DC214" s="421"/>
      <c r="DD214" s="419"/>
      <c r="DE214" s="419"/>
      <c r="DF214" s="421"/>
      <c r="DG214" s="421"/>
      <c r="DH214" s="419"/>
      <c r="DI214" s="419"/>
      <c r="DJ214" s="421"/>
      <c r="DK214" s="421"/>
      <c r="DL214" s="419"/>
      <c r="DM214" s="419"/>
      <c r="DN214" s="421"/>
      <c r="DO214" s="421"/>
      <c r="DP214" s="419"/>
      <c r="DQ214" s="419"/>
      <c r="DR214" s="421"/>
      <c r="DS214" s="421"/>
      <c r="DT214" s="419"/>
      <c r="DU214" s="419"/>
      <c r="DV214" s="421"/>
      <c r="DW214" s="421"/>
      <c r="DX214" s="419"/>
      <c r="DY214" s="419"/>
      <c r="DZ214" s="421"/>
      <c r="EA214" s="421"/>
      <c r="EB214" s="419"/>
      <c r="EC214" s="419"/>
      <c r="ED214" s="421"/>
      <c r="EE214" s="421"/>
      <c r="EF214" s="419"/>
      <c r="EG214" s="421"/>
      <c r="EH214" s="424">
        <f t="shared" si="105"/>
        <v>15</v>
      </c>
      <c r="EI214" s="424">
        <f t="shared" si="106"/>
        <v>1</v>
      </c>
      <c r="EJ214" s="422">
        <f t="shared" si="107"/>
        <v>1</v>
      </c>
      <c r="EK214" s="425">
        <f t="shared" si="108"/>
        <v>7</v>
      </c>
      <c r="EL214" s="425">
        <f t="shared" si="109"/>
        <v>1</v>
      </c>
      <c r="EM214" s="423">
        <f t="shared" si="110"/>
        <v>1</v>
      </c>
      <c r="EN214" s="424">
        <f t="shared" si="111"/>
        <v>87</v>
      </c>
      <c r="EO214" s="425">
        <f t="shared" si="112"/>
        <v>78</v>
      </c>
      <c r="EP214" s="419"/>
      <c r="EQ214" s="421"/>
      <c r="ER214" s="419">
        <v>119</v>
      </c>
      <c r="ES214" s="421">
        <v>124</v>
      </c>
      <c r="ET214" s="419"/>
      <c r="EU214" s="421"/>
      <c r="EV214" s="419"/>
      <c r="EW214" s="421"/>
      <c r="EX214" s="419"/>
      <c r="EY214" s="421"/>
      <c r="EZ214" s="419"/>
      <c r="FA214" s="421"/>
      <c r="FB214" s="419"/>
      <c r="FC214" s="421"/>
      <c r="FD214" s="419"/>
      <c r="FE214" s="421"/>
      <c r="FF214" s="419"/>
      <c r="FG214" s="421"/>
      <c r="FH214" s="419">
        <v>34</v>
      </c>
      <c r="FI214" s="421">
        <v>36</v>
      </c>
      <c r="FJ214" s="424">
        <f t="shared" si="113"/>
        <v>153</v>
      </c>
      <c r="FK214" s="425">
        <f t="shared" si="114"/>
        <v>160</v>
      </c>
      <c r="FL214" s="419"/>
      <c r="FM214" s="421"/>
      <c r="FN214" s="424">
        <f t="shared" si="115"/>
        <v>258</v>
      </c>
      <c r="FO214" s="425">
        <f t="shared" si="116"/>
        <v>253</v>
      </c>
    </row>
    <row r="215" spans="1:171">
      <c r="A215" s="24" t="s">
        <v>159</v>
      </c>
      <c r="B215" s="307" t="s">
        <v>737</v>
      </c>
      <c r="C215" s="26"/>
      <c r="D215" s="308">
        <v>440916</v>
      </c>
      <c r="E215" s="20">
        <v>15</v>
      </c>
      <c r="F215" s="419"/>
      <c r="G215" s="421"/>
      <c r="H215" s="419"/>
      <c r="I215" s="421"/>
      <c r="J215" s="419"/>
      <c r="K215" s="421"/>
      <c r="L215" s="422">
        <f t="shared" si="95"/>
        <v>0</v>
      </c>
      <c r="M215" s="423">
        <f t="shared" si="96"/>
        <v>0</v>
      </c>
      <c r="N215" s="419"/>
      <c r="O215" s="309">
        <f>0</f>
        <v>0</v>
      </c>
      <c r="P215" s="309">
        <f>0</f>
        <v>0</v>
      </c>
      <c r="Q215" s="309">
        <f>0</f>
        <v>0</v>
      </c>
      <c r="R215" s="424">
        <f t="shared" si="93"/>
        <v>0</v>
      </c>
      <c r="S215" s="421"/>
      <c r="T215" s="301">
        <f>0</f>
        <v>0</v>
      </c>
      <c r="U215" s="301">
        <f>0</f>
        <v>0</v>
      </c>
      <c r="V215" s="301">
        <f>0</f>
        <v>0</v>
      </c>
      <c r="W215" s="425">
        <f t="shared" si="94"/>
        <v>0</v>
      </c>
      <c r="X215" s="419"/>
      <c r="Y215" s="419"/>
      <c r="Z215" s="421"/>
      <c r="AA215" s="421"/>
      <c r="AB215" s="419"/>
      <c r="AC215" s="419"/>
      <c r="AD215" s="421"/>
      <c r="AE215" s="421"/>
      <c r="AF215" s="419"/>
      <c r="AG215" s="419"/>
      <c r="AH215" s="421"/>
      <c r="AI215" s="421"/>
      <c r="AJ215" s="419"/>
      <c r="AK215" s="419"/>
      <c r="AL215" s="421"/>
      <c r="AM215" s="421"/>
      <c r="AN215" s="419"/>
      <c r="AO215" s="419"/>
      <c r="AP215" s="421"/>
      <c r="AQ215" s="421"/>
      <c r="AR215" s="424">
        <f t="shared" si="97"/>
        <v>0</v>
      </c>
      <c r="AS215" s="422">
        <f t="shared" si="98"/>
        <v>0</v>
      </c>
      <c r="AT215" s="425">
        <f t="shared" si="99"/>
        <v>0</v>
      </c>
      <c r="AU215" s="423">
        <f t="shared" si="100"/>
        <v>0</v>
      </c>
      <c r="AV215" s="419"/>
      <c r="AW215" s="421"/>
      <c r="AX215" s="419"/>
      <c r="AY215" s="419"/>
      <c r="AZ215" s="421"/>
      <c r="BA215" s="421"/>
      <c r="BB215" s="419"/>
      <c r="BC215" s="419"/>
      <c r="BD215" s="421"/>
      <c r="BE215" s="421"/>
      <c r="BF215" s="419"/>
      <c r="BG215" s="419"/>
      <c r="BH215" s="421"/>
      <c r="BI215" s="421"/>
      <c r="BJ215" s="419"/>
      <c r="BK215" s="419"/>
      <c r="BL215" s="421"/>
      <c r="BM215" s="421"/>
      <c r="BN215" s="419"/>
      <c r="BO215" s="419"/>
      <c r="BP215" s="421"/>
      <c r="BQ215" s="421"/>
      <c r="BR215" s="419"/>
      <c r="BS215" s="419"/>
      <c r="BT215" s="421"/>
      <c r="BU215" s="421"/>
      <c r="BV215" s="419"/>
      <c r="BW215" s="419"/>
      <c r="BX215" s="421"/>
      <c r="BY215" s="421"/>
      <c r="BZ215" s="419"/>
      <c r="CA215" s="419"/>
      <c r="CB215" s="421"/>
      <c r="CC215" s="421"/>
      <c r="CD215" s="419"/>
      <c r="CE215" s="419"/>
      <c r="CF215" s="421"/>
      <c r="CG215" s="421"/>
      <c r="CH215" s="419"/>
      <c r="CI215" s="419"/>
      <c r="CJ215" s="421"/>
      <c r="CK215" s="421"/>
      <c r="CL215" s="419"/>
      <c r="CM215" s="421"/>
      <c r="CN215" s="424">
        <f t="shared" si="101"/>
        <v>0</v>
      </c>
      <c r="CO215" s="424">
        <f t="shared" si="102"/>
        <v>0</v>
      </c>
      <c r="CP215" s="425">
        <f t="shared" si="103"/>
        <v>0</v>
      </c>
      <c r="CQ215" s="425">
        <f t="shared" si="104"/>
        <v>0</v>
      </c>
      <c r="CR215" s="419"/>
      <c r="CS215" s="419"/>
      <c r="CT215" s="421"/>
      <c r="CU215" s="421"/>
      <c r="CV215" s="419"/>
      <c r="CW215" s="419"/>
      <c r="CX215" s="421"/>
      <c r="CY215" s="421"/>
      <c r="CZ215" s="419"/>
      <c r="DA215" s="419"/>
      <c r="DB215" s="421"/>
      <c r="DC215" s="421"/>
      <c r="DD215" s="419"/>
      <c r="DE215" s="419"/>
      <c r="DF215" s="421"/>
      <c r="DG215" s="421"/>
      <c r="DH215" s="419"/>
      <c r="DI215" s="419"/>
      <c r="DJ215" s="421"/>
      <c r="DK215" s="421"/>
      <c r="DL215" s="419"/>
      <c r="DM215" s="419"/>
      <c r="DN215" s="421"/>
      <c r="DO215" s="421"/>
      <c r="DP215" s="419"/>
      <c r="DQ215" s="419"/>
      <c r="DR215" s="421"/>
      <c r="DS215" s="421"/>
      <c r="DT215" s="419"/>
      <c r="DU215" s="419"/>
      <c r="DV215" s="421"/>
      <c r="DW215" s="421"/>
      <c r="DX215" s="419"/>
      <c r="DY215" s="419"/>
      <c r="DZ215" s="421"/>
      <c r="EA215" s="421"/>
      <c r="EB215" s="419"/>
      <c r="EC215" s="419"/>
      <c r="ED215" s="421"/>
      <c r="EE215" s="421"/>
      <c r="EF215" s="419"/>
      <c r="EG215" s="421"/>
      <c r="EH215" s="424">
        <f t="shared" si="105"/>
        <v>0</v>
      </c>
      <c r="EI215" s="424">
        <f t="shared" si="106"/>
        <v>0</v>
      </c>
      <c r="EJ215" s="422">
        <f t="shared" si="107"/>
        <v>0</v>
      </c>
      <c r="EK215" s="425">
        <f t="shared" si="108"/>
        <v>0</v>
      </c>
      <c r="EL215" s="425">
        <f t="shared" si="109"/>
        <v>0</v>
      </c>
      <c r="EM215" s="423">
        <f t="shared" si="110"/>
        <v>0</v>
      </c>
      <c r="EN215" s="424">
        <f t="shared" si="111"/>
        <v>0</v>
      </c>
      <c r="EO215" s="425">
        <f t="shared" si="112"/>
        <v>0</v>
      </c>
      <c r="EP215" s="419">
        <v>159</v>
      </c>
      <c r="EQ215" s="421">
        <v>157</v>
      </c>
      <c r="ER215" s="419"/>
      <c r="ES215" s="421"/>
      <c r="ET215" s="419"/>
      <c r="EU215" s="421"/>
      <c r="EV215" s="419"/>
      <c r="EW215" s="421"/>
      <c r="EX215" s="419"/>
      <c r="EY215" s="421"/>
      <c r="EZ215" s="419"/>
      <c r="FA215" s="421"/>
      <c r="FB215" s="419"/>
      <c r="FC215" s="421"/>
      <c r="FD215" s="419"/>
      <c r="FE215" s="421"/>
      <c r="FF215" s="419"/>
      <c r="FG215" s="421"/>
      <c r="FH215" s="419"/>
      <c r="FI215" s="421"/>
      <c r="FJ215" s="424">
        <f t="shared" si="113"/>
        <v>159</v>
      </c>
      <c r="FK215" s="425">
        <f t="shared" si="114"/>
        <v>157</v>
      </c>
      <c r="FL215" s="419"/>
      <c r="FM215" s="421"/>
      <c r="FN215" s="424">
        <f t="shared" si="115"/>
        <v>159</v>
      </c>
      <c r="FO215" s="425">
        <f t="shared" si="116"/>
        <v>157</v>
      </c>
    </row>
    <row r="216" spans="1:171">
      <c r="A216" s="428" t="s">
        <v>160</v>
      </c>
      <c r="B216" s="50"/>
      <c r="C216" s="49"/>
      <c r="D216" s="48"/>
      <c r="E216" s="48"/>
      <c r="F216" s="299"/>
      <c r="G216" s="300"/>
      <c r="H216" s="299"/>
      <c r="I216" s="302"/>
      <c r="J216" s="299"/>
      <c r="K216" s="300"/>
      <c r="L216" s="422">
        <f t="shared" si="95"/>
        <v>0</v>
      </c>
      <c r="M216" s="423">
        <f t="shared" si="96"/>
        <v>0</v>
      </c>
      <c r="N216" s="299"/>
      <c r="O216" s="299"/>
      <c r="P216" s="299"/>
      <c r="Q216" s="299"/>
      <c r="R216" s="424">
        <f t="shared" si="93"/>
        <v>0</v>
      </c>
      <c r="S216" s="300"/>
      <c r="T216" s="301"/>
      <c r="U216" s="301"/>
      <c r="V216" s="301"/>
      <c r="W216" s="425">
        <f t="shared" si="94"/>
        <v>0</v>
      </c>
      <c r="X216" s="299"/>
      <c r="Y216" s="299"/>
      <c r="Z216" s="300"/>
      <c r="AA216" s="300"/>
      <c r="AB216" s="299"/>
      <c r="AC216" s="299"/>
      <c r="AD216" s="300"/>
      <c r="AE216" s="300"/>
      <c r="AF216" s="299"/>
      <c r="AG216" s="299"/>
      <c r="AH216" s="300"/>
      <c r="AI216" s="300"/>
      <c r="AJ216" s="299"/>
      <c r="AK216" s="299"/>
      <c r="AL216" s="300"/>
      <c r="AM216" s="300"/>
      <c r="AN216" s="299"/>
      <c r="AO216" s="299"/>
      <c r="AP216" s="300"/>
      <c r="AQ216" s="300"/>
      <c r="AR216" s="424">
        <f t="shared" si="97"/>
        <v>0</v>
      </c>
      <c r="AS216" s="422">
        <f t="shared" si="98"/>
        <v>0</v>
      </c>
      <c r="AT216" s="425">
        <f t="shared" si="99"/>
        <v>0</v>
      </c>
      <c r="AU216" s="423">
        <f t="shared" si="100"/>
        <v>0</v>
      </c>
      <c r="AV216" s="299"/>
      <c r="AW216" s="302"/>
      <c r="AX216" s="299"/>
      <c r="AY216" s="299"/>
      <c r="AZ216" s="300"/>
      <c r="BA216" s="300"/>
      <c r="BB216" s="299"/>
      <c r="BC216" s="299"/>
      <c r="BD216" s="300"/>
      <c r="BE216" s="300"/>
      <c r="BF216" s="299"/>
      <c r="BG216" s="299"/>
      <c r="BH216" s="300"/>
      <c r="BI216" s="300"/>
      <c r="BJ216" s="299"/>
      <c r="BK216" s="299"/>
      <c r="BL216" s="300"/>
      <c r="BM216" s="300"/>
      <c r="BN216" s="299"/>
      <c r="BO216" s="299"/>
      <c r="BP216" s="300"/>
      <c r="BQ216" s="300"/>
      <c r="BR216" s="299"/>
      <c r="BS216" s="299"/>
      <c r="BT216" s="300"/>
      <c r="BU216" s="300"/>
      <c r="BV216" s="299"/>
      <c r="BW216" s="299"/>
      <c r="BX216" s="300"/>
      <c r="BY216" s="300"/>
      <c r="BZ216" s="299"/>
      <c r="CA216" s="299"/>
      <c r="CB216" s="300"/>
      <c r="CC216" s="300"/>
      <c r="CD216" s="299"/>
      <c r="CE216" s="299"/>
      <c r="CF216" s="300"/>
      <c r="CG216" s="300"/>
      <c r="CH216" s="299"/>
      <c r="CI216" s="299"/>
      <c r="CJ216" s="300"/>
      <c r="CK216" s="302"/>
      <c r="CL216" s="299"/>
      <c r="CM216" s="300"/>
      <c r="CN216" s="424">
        <f t="shared" si="101"/>
        <v>0</v>
      </c>
      <c r="CO216" s="424">
        <f t="shared" si="102"/>
        <v>0</v>
      </c>
      <c r="CP216" s="425">
        <f t="shared" si="103"/>
        <v>0</v>
      </c>
      <c r="CQ216" s="425">
        <f t="shared" si="104"/>
        <v>0</v>
      </c>
      <c r="CR216" s="299"/>
      <c r="CS216" s="299"/>
      <c r="CT216" s="300"/>
      <c r="CU216" s="300"/>
      <c r="CV216" s="299"/>
      <c r="CW216" s="299"/>
      <c r="CX216" s="300"/>
      <c r="CY216" s="300"/>
      <c r="CZ216" s="299"/>
      <c r="DA216" s="299"/>
      <c r="DB216" s="300"/>
      <c r="DC216" s="300"/>
      <c r="DD216" s="299"/>
      <c r="DE216" s="299"/>
      <c r="DF216" s="300"/>
      <c r="DG216" s="302"/>
      <c r="DH216" s="299"/>
      <c r="DI216" s="299"/>
      <c r="DJ216" s="300"/>
      <c r="DK216" s="302"/>
      <c r="DL216" s="299"/>
      <c r="DM216" s="299"/>
      <c r="DN216" s="300"/>
      <c r="DO216" s="300"/>
      <c r="DP216" s="299"/>
      <c r="DQ216" s="299"/>
      <c r="DR216" s="300"/>
      <c r="DS216" s="300"/>
      <c r="DT216" s="299"/>
      <c r="DU216" s="299"/>
      <c r="DV216" s="300"/>
      <c r="DW216" s="300"/>
      <c r="DX216" s="299"/>
      <c r="DY216" s="299"/>
      <c r="DZ216" s="300"/>
      <c r="EA216" s="300"/>
      <c r="EB216" s="299"/>
      <c r="EC216" s="299"/>
      <c r="ED216" s="300"/>
      <c r="EE216" s="300"/>
      <c r="EF216" s="299"/>
      <c r="EG216" s="300"/>
      <c r="EH216" s="424">
        <f t="shared" si="105"/>
        <v>0</v>
      </c>
      <c r="EI216" s="424">
        <f t="shared" si="106"/>
        <v>0</v>
      </c>
      <c r="EJ216" s="422">
        <f t="shared" si="107"/>
        <v>0</v>
      </c>
      <c r="EK216" s="425">
        <f t="shared" si="108"/>
        <v>0</v>
      </c>
      <c r="EL216" s="425">
        <f t="shared" si="109"/>
        <v>0</v>
      </c>
      <c r="EM216" s="423">
        <f t="shared" si="110"/>
        <v>0</v>
      </c>
      <c r="EN216" s="424">
        <f t="shared" si="111"/>
        <v>0</v>
      </c>
      <c r="EO216" s="425">
        <f t="shared" si="112"/>
        <v>0</v>
      </c>
      <c r="EP216" s="299"/>
      <c r="EQ216" s="300"/>
      <c r="ER216" s="299"/>
      <c r="ES216" s="300"/>
      <c r="ET216" s="299"/>
      <c r="EU216" s="300"/>
      <c r="EV216" s="299"/>
      <c r="EW216" s="300"/>
      <c r="EX216" s="299"/>
      <c r="EY216" s="300"/>
      <c r="EZ216" s="299"/>
      <c r="FA216" s="300"/>
      <c r="FB216" s="299"/>
      <c r="FC216" s="300"/>
      <c r="FD216" s="299"/>
      <c r="FE216" s="300"/>
      <c r="FF216" s="299"/>
      <c r="FG216" s="300"/>
      <c r="FH216" s="299"/>
      <c r="FI216" s="300"/>
      <c r="FJ216" s="424">
        <f t="shared" si="113"/>
        <v>0</v>
      </c>
      <c r="FK216" s="425">
        <f t="shared" si="114"/>
        <v>0</v>
      </c>
      <c r="FL216" s="299"/>
      <c r="FM216" s="300"/>
      <c r="FN216" s="424">
        <f t="shared" si="115"/>
        <v>0</v>
      </c>
      <c r="FO216" s="425">
        <f t="shared" si="116"/>
        <v>0</v>
      </c>
    </row>
    <row r="217" spans="1:171">
      <c r="A217" s="17" t="s">
        <v>161</v>
      </c>
      <c r="B217" s="46" t="s">
        <v>738</v>
      </c>
      <c r="C217" s="16"/>
      <c r="D217" s="44">
        <v>176080</v>
      </c>
      <c r="E217" s="44">
        <v>1</v>
      </c>
      <c r="F217" s="419"/>
      <c r="G217" s="421"/>
      <c r="H217" s="419"/>
      <c r="I217" s="421"/>
      <c r="J217" s="419"/>
      <c r="K217" s="421"/>
      <c r="L217" s="422">
        <f t="shared" si="95"/>
        <v>0</v>
      </c>
      <c r="M217" s="423">
        <f t="shared" si="96"/>
        <v>0</v>
      </c>
      <c r="N217" s="419">
        <v>3923</v>
      </c>
      <c r="O217" s="309">
        <f>0</f>
        <v>0</v>
      </c>
      <c r="P217" s="309">
        <f>0</f>
        <v>0</v>
      </c>
      <c r="Q217" s="309">
        <f>0</f>
        <v>0</v>
      </c>
      <c r="R217" s="424">
        <f t="shared" si="93"/>
        <v>0</v>
      </c>
      <c r="S217" s="421">
        <v>4110</v>
      </c>
      <c r="T217" s="301">
        <f>0</f>
        <v>0</v>
      </c>
      <c r="U217" s="301">
        <f>0</f>
        <v>0</v>
      </c>
      <c r="V217" s="301">
        <f>0</f>
        <v>0</v>
      </c>
      <c r="W217" s="425">
        <f t="shared" si="94"/>
        <v>0</v>
      </c>
      <c r="X217" s="419"/>
      <c r="Y217" s="419"/>
      <c r="Z217" s="421"/>
      <c r="AA217" s="421"/>
      <c r="AB217" s="419"/>
      <c r="AC217" s="419"/>
      <c r="AD217" s="421"/>
      <c r="AE217" s="421"/>
      <c r="AF217" s="419"/>
      <c r="AG217" s="419"/>
      <c r="AH217" s="421"/>
      <c r="AI217" s="421"/>
      <c r="AJ217" s="419"/>
      <c r="AK217" s="419"/>
      <c r="AL217" s="421"/>
      <c r="AM217" s="421"/>
      <c r="AN217" s="419"/>
      <c r="AO217" s="419"/>
      <c r="AP217" s="421"/>
      <c r="AQ217" s="421"/>
      <c r="AR217" s="424">
        <f t="shared" si="97"/>
        <v>0</v>
      </c>
      <c r="AS217" s="422">
        <f t="shared" si="98"/>
        <v>0.78901850362027348</v>
      </c>
      <c r="AT217" s="425">
        <f t="shared" si="99"/>
        <v>0</v>
      </c>
      <c r="AU217" s="423">
        <f t="shared" si="100"/>
        <v>0.79589465530596437</v>
      </c>
      <c r="AV217" s="419"/>
      <c r="AW217" s="421"/>
      <c r="AX217" s="419">
        <v>13</v>
      </c>
      <c r="AY217" s="419">
        <v>172</v>
      </c>
      <c r="AZ217" s="421">
        <v>13</v>
      </c>
      <c r="BA217" s="421">
        <v>194</v>
      </c>
      <c r="BB217" s="419">
        <v>52</v>
      </c>
      <c r="BC217" s="419">
        <v>166</v>
      </c>
      <c r="BD217" s="421">
        <v>52</v>
      </c>
      <c r="BE217" s="421">
        <v>172</v>
      </c>
      <c r="BF217" s="419">
        <v>14</v>
      </c>
      <c r="BG217" s="419">
        <v>109</v>
      </c>
      <c r="BH217" s="421">
        <v>14</v>
      </c>
      <c r="BI217" s="421">
        <v>109</v>
      </c>
      <c r="BJ217" s="419">
        <v>40</v>
      </c>
      <c r="BK217" s="419">
        <v>85</v>
      </c>
      <c r="BL217" s="421">
        <v>40</v>
      </c>
      <c r="BM217" s="421">
        <v>88</v>
      </c>
      <c r="BN217" s="419">
        <v>26</v>
      </c>
      <c r="BO217" s="419">
        <v>45</v>
      </c>
      <c r="BP217" s="421">
        <v>26</v>
      </c>
      <c r="BQ217" s="421">
        <v>38</v>
      </c>
      <c r="BR217" s="419">
        <v>3</v>
      </c>
      <c r="BS217" s="419">
        <v>36</v>
      </c>
      <c r="BT217" s="421">
        <v>30</v>
      </c>
      <c r="BU217" s="421">
        <v>32</v>
      </c>
      <c r="BV217" s="419">
        <v>30</v>
      </c>
      <c r="BW217" s="419">
        <v>22</v>
      </c>
      <c r="BX217" s="421">
        <v>31</v>
      </c>
      <c r="BY217" s="421">
        <v>26</v>
      </c>
      <c r="BZ217" s="419">
        <v>31</v>
      </c>
      <c r="CA217" s="419">
        <v>22</v>
      </c>
      <c r="CB217" s="421">
        <v>3</v>
      </c>
      <c r="CC217" s="421">
        <v>23</v>
      </c>
      <c r="CD217" s="419">
        <v>1</v>
      </c>
      <c r="CE217" s="419">
        <v>16</v>
      </c>
      <c r="CF217" s="421">
        <v>11</v>
      </c>
      <c r="CG217" s="420">
        <v>23</v>
      </c>
      <c r="CH217" s="419">
        <v>11</v>
      </c>
      <c r="CI217" s="419">
        <v>16</v>
      </c>
      <c r="CJ217" s="421">
        <v>45</v>
      </c>
      <c r="CK217" s="421">
        <v>15</v>
      </c>
      <c r="CL217" s="419">
        <v>90</v>
      </c>
      <c r="CM217" s="421">
        <v>87</v>
      </c>
      <c r="CN217" s="424">
        <f t="shared" si="101"/>
        <v>779</v>
      </c>
      <c r="CO217" s="424">
        <f t="shared" si="102"/>
        <v>10</v>
      </c>
      <c r="CP217" s="425">
        <f t="shared" si="103"/>
        <v>807</v>
      </c>
      <c r="CQ217" s="425">
        <f t="shared" si="104"/>
        <v>10</v>
      </c>
      <c r="CR217" s="419">
        <v>14</v>
      </c>
      <c r="CS217" s="419">
        <v>42</v>
      </c>
      <c r="CT217" s="421">
        <v>14</v>
      </c>
      <c r="CU217" s="421">
        <v>43</v>
      </c>
      <c r="CV217" s="419">
        <v>26</v>
      </c>
      <c r="CW217" s="419">
        <v>28</v>
      </c>
      <c r="CX217" s="421">
        <v>13</v>
      </c>
      <c r="CY217" s="421">
        <v>26</v>
      </c>
      <c r="CZ217" s="419">
        <v>13</v>
      </c>
      <c r="DA217" s="419">
        <v>23</v>
      </c>
      <c r="DB217" s="421">
        <v>26</v>
      </c>
      <c r="DC217" s="421">
        <v>21</v>
      </c>
      <c r="DD217" s="419">
        <v>3</v>
      </c>
      <c r="DE217" s="419">
        <v>19</v>
      </c>
      <c r="DF217" s="421">
        <v>40</v>
      </c>
      <c r="DG217" s="421">
        <v>18</v>
      </c>
      <c r="DH217" s="419">
        <v>42</v>
      </c>
      <c r="DI217" s="419">
        <v>12</v>
      </c>
      <c r="DJ217" s="421">
        <v>3</v>
      </c>
      <c r="DK217" s="421">
        <v>10</v>
      </c>
      <c r="DL217" s="419">
        <v>40</v>
      </c>
      <c r="DM217" s="419">
        <v>11</v>
      </c>
      <c r="DN217" s="421">
        <v>1</v>
      </c>
      <c r="DO217" s="421">
        <v>10</v>
      </c>
      <c r="DP217" s="419">
        <v>1</v>
      </c>
      <c r="DQ217" s="419">
        <v>10</v>
      </c>
      <c r="DR217" s="421">
        <v>42</v>
      </c>
      <c r="DS217" s="420">
        <v>6</v>
      </c>
      <c r="DT217" s="419">
        <v>51</v>
      </c>
      <c r="DU217" s="419">
        <v>6</v>
      </c>
      <c r="DV217" s="421">
        <v>51</v>
      </c>
      <c r="DW217" s="421">
        <v>5</v>
      </c>
      <c r="DX217" s="419">
        <v>45</v>
      </c>
      <c r="DY217" s="419">
        <v>6</v>
      </c>
      <c r="DZ217" s="421">
        <v>52</v>
      </c>
      <c r="EA217" s="420">
        <v>4</v>
      </c>
      <c r="EB217" s="419">
        <v>52</v>
      </c>
      <c r="EC217" s="419">
        <v>6</v>
      </c>
      <c r="ED217" s="421">
        <v>54</v>
      </c>
      <c r="EE217" s="420">
        <v>4</v>
      </c>
      <c r="EF217" s="419">
        <v>16</v>
      </c>
      <c r="EG217" s="421">
        <v>13</v>
      </c>
      <c r="EH217" s="424">
        <f t="shared" si="105"/>
        <v>179</v>
      </c>
      <c r="EI217" s="424">
        <f t="shared" si="106"/>
        <v>10</v>
      </c>
      <c r="EJ217" s="422">
        <f t="shared" si="107"/>
        <v>0.23463687150837989</v>
      </c>
      <c r="EK217" s="425">
        <f t="shared" si="108"/>
        <v>160</v>
      </c>
      <c r="EL217" s="425">
        <f t="shared" si="109"/>
        <v>10</v>
      </c>
      <c r="EM217" s="423">
        <f t="shared" si="110"/>
        <v>0.26874999999999999</v>
      </c>
      <c r="EN217" s="424">
        <f t="shared" si="111"/>
        <v>958</v>
      </c>
      <c r="EO217" s="425">
        <f t="shared" si="112"/>
        <v>967</v>
      </c>
      <c r="EP217" s="419"/>
      <c r="EQ217" s="421"/>
      <c r="ER217" s="419"/>
      <c r="ES217" s="421"/>
      <c r="ET217" s="419"/>
      <c r="EU217" s="421"/>
      <c r="EV217" s="419"/>
      <c r="EW217" s="421"/>
      <c r="EX217" s="419"/>
      <c r="EY217" s="421"/>
      <c r="EZ217" s="419"/>
      <c r="FA217" s="421"/>
      <c r="FB217" s="419"/>
      <c r="FC217" s="421"/>
      <c r="FD217" s="419">
        <v>91</v>
      </c>
      <c r="FE217" s="421">
        <v>87</v>
      </c>
      <c r="FF217" s="419"/>
      <c r="FG217" s="421"/>
      <c r="FH217" s="419"/>
      <c r="FI217" s="421"/>
      <c r="FJ217" s="424">
        <f t="shared" si="113"/>
        <v>91</v>
      </c>
      <c r="FK217" s="425">
        <f t="shared" si="114"/>
        <v>87</v>
      </c>
      <c r="FL217" s="419"/>
      <c r="FM217" s="421"/>
      <c r="FN217" s="424">
        <f t="shared" si="115"/>
        <v>4972</v>
      </c>
      <c r="FO217" s="425">
        <f t="shared" si="116"/>
        <v>5164</v>
      </c>
    </row>
    <row r="218" spans="1:171" s="272" customFormat="1" ht="15" customHeight="1">
      <c r="A218" s="17" t="s">
        <v>161</v>
      </c>
      <c r="B218" s="46" t="s">
        <v>739</v>
      </c>
      <c r="C218" s="4"/>
      <c r="D218" s="44">
        <v>176017</v>
      </c>
      <c r="E218" s="44">
        <v>1</v>
      </c>
      <c r="F218" s="419"/>
      <c r="G218" s="421"/>
      <c r="H218" s="419"/>
      <c r="I218" s="421"/>
      <c r="J218" s="419"/>
      <c r="K218" s="421"/>
      <c r="L218" s="422">
        <f t="shared" si="95"/>
        <v>0</v>
      </c>
      <c r="M218" s="423">
        <f t="shared" si="96"/>
        <v>0</v>
      </c>
      <c r="N218" s="419">
        <v>4610</v>
      </c>
      <c r="O218" s="309">
        <f>0</f>
        <v>0</v>
      </c>
      <c r="P218" s="309">
        <f>0</f>
        <v>0</v>
      </c>
      <c r="Q218" s="309">
        <f>0</f>
        <v>0</v>
      </c>
      <c r="R218" s="424">
        <f t="shared" si="93"/>
        <v>0</v>
      </c>
      <c r="S218" s="421">
        <v>4588</v>
      </c>
      <c r="T218" s="301">
        <f>0</f>
        <v>0</v>
      </c>
      <c r="U218" s="301">
        <f>0</f>
        <v>0</v>
      </c>
      <c r="V218" s="301">
        <f>0</f>
        <v>0</v>
      </c>
      <c r="W218" s="425">
        <f t="shared" si="94"/>
        <v>0</v>
      </c>
      <c r="X218" s="419"/>
      <c r="Y218" s="419"/>
      <c r="Z218" s="421"/>
      <c r="AA218" s="421"/>
      <c r="AB218" s="419"/>
      <c r="AC218" s="419"/>
      <c r="AD218" s="421"/>
      <c r="AE218" s="421"/>
      <c r="AF218" s="419"/>
      <c r="AG218" s="419"/>
      <c r="AH218" s="421"/>
      <c r="AI218" s="421"/>
      <c r="AJ218" s="419"/>
      <c r="AK218" s="419"/>
      <c r="AL218" s="421"/>
      <c r="AM218" s="421"/>
      <c r="AN218" s="419"/>
      <c r="AO218" s="419"/>
      <c r="AP218" s="421"/>
      <c r="AQ218" s="421"/>
      <c r="AR218" s="424">
        <f t="shared" si="97"/>
        <v>0</v>
      </c>
      <c r="AS218" s="422">
        <f t="shared" si="98"/>
        <v>0.74486993052189365</v>
      </c>
      <c r="AT218" s="425">
        <f t="shared" si="99"/>
        <v>0</v>
      </c>
      <c r="AU218" s="423">
        <f t="shared" si="100"/>
        <v>0.7404777275661717</v>
      </c>
      <c r="AV218" s="419"/>
      <c r="AW218" s="421"/>
      <c r="AX218" s="419">
        <v>51</v>
      </c>
      <c r="AY218" s="419">
        <v>223</v>
      </c>
      <c r="AZ218" s="421">
        <v>52</v>
      </c>
      <c r="BA218" s="421">
        <v>263</v>
      </c>
      <c r="BB218" s="419">
        <v>13</v>
      </c>
      <c r="BC218" s="419">
        <v>217</v>
      </c>
      <c r="BD218" s="421">
        <v>51</v>
      </c>
      <c r="BE218" s="421">
        <v>241</v>
      </c>
      <c r="BF218" s="419">
        <v>52</v>
      </c>
      <c r="BG218" s="419">
        <v>214</v>
      </c>
      <c r="BH218" s="421">
        <v>13</v>
      </c>
      <c r="BI218" s="421">
        <v>214</v>
      </c>
      <c r="BJ218" s="419">
        <v>26</v>
      </c>
      <c r="BK218" s="419">
        <v>82</v>
      </c>
      <c r="BL218" s="421">
        <v>26</v>
      </c>
      <c r="BM218" s="420">
        <v>113</v>
      </c>
      <c r="BN218" s="419">
        <v>14</v>
      </c>
      <c r="BO218" s="419">
        <v>37</v>
      </c>
      <c r="BP218" s="421">
        <v>14</v>
      </c>
      <c r="BQ218" s="421">
        <v>33</v>
      </c>
      <c r="BR218" s="419">
        <v>45</v>
      </c>
      <c r="BS218" s="419">
        <v>20</v>
      </c>
      <c r="BT218" s="421">
        <v>9</v>
      </c>
      <c r="BU218" s="420">
        <v>27</v>
      </c>
      <c r="BV218" s="419">
        <v>9</v>
      </c>
      <c r="BW218" s="419">
        <v>18</v>
      </c>
      <c r="BX218" s="421">
        <v>43</v>
      </c>
      <c r="BY218" s="421">
        <v>19</v>
      </c>
      <c r="BZ218" s="419">
        <v>16</v>
      </c>
      <c r="CA218" s="419">
        <v>17</v>
      </c>
      <c r="CB218" s="421">
        <v>16</v>
      </c>
      <c r="CC218" s="421">
        <v>15</v>
      </c>
      <c r="CD218" s="419">
        <v>50</v>
      </c>
      <c r="CE218" s="419">
        <v>16</v>
      </c>
      <c r="CF218" s="421">
        <v>45</v>
      </c>
      <c r="CG218" s="420">
        <v>12</v>
      </c>
      <c r="CH218" s="419">
        <v>40</v>
      </c>
      <c r="CI218" s="419">
        <v>14</v>
      </c>
      <c r="CJ218" s="421">
        <v>31</v>
      </c>
      <c r="CK218" s="420">
        <v>11</v>
      </c>
      <c r="CL218" s="419">
        <v>79</v>
      </c>
      <c r="CM218" s="421">
        <v>67</v>
      </c>
      <c r="CN218" s="424">
        <f t="shared" si="101"/>
        <v>937</v>
      </c>
      <c r="CO218" s="424">
        <f t="shared" si="102"/>
        <v>10</v>
      </c>
      <c r="CP218" s="425">
        <f t="shared" si="103"/>
        <v>1015</v>
      </c>
      <c r="CQ218" s="425">
        <f t="shared" si="104"/>
        <v>10</v>
      </c>
      <c r="CR218" s="419">
        <v>13</v>
      </c>
      <c r="CS218" s="419">
        <v>57</v>
      </c>
      <c r="CT218" s="421">
        <v>13</v>
      </c>
      <c r="CU218" s="420">
        <v>36</v>
      </c>
      <c r="CV218" s="419">
        <v>51</v>
      </c>
      <c r="CW218" s="419">
        <v>38</v>
      </c>
      <c r="CX218" s="421">
        <v>51</v>
      </c>
      <c r="CY218" s="421">
        <v>33</v>
      </c>
      <c r="CZ218" s="419">
        <v>14</v>
      </c>
      <c r="DA218" s="419">
        <v>18</v>
      </c>
      <c r="DB218" s="421">
        <v>26</v>
      </c>
      <c r="DC218" s="421">
        <v>20</v>
      </c>
      <c r="DD218" s="419">
        <v>26</v>
      </c>
      <c r="DE218" s="419">
        <v>18</v>
      </c>
      <c r="DF218" s="421">
        <v>40</v>
      </c>
      <c r="DG218" s="420">
        <v>13</v>
      </c>
      <c r="DH218" s="419">
        <v>40</v>
      </c>
      <c r="DI218" s="419">
        <v>17</v>
      </c>
      <c r="DJ218" s="421">
        <v>42</v>
      </c>
      <c r="DK218" s="420">
        <v>11</v>
      </c>
      <c r="DL218" s="419">
        <v>52</v>
      </c>
      <c r="DM218" s="419">
        <v>13</v>
      </c>
      <c r="DN218" s="421">
        <v>52</v>
      </c>
      <c r="DO218" s="420">
        <v>7</v>
      </c>
      <c r="DP218" s="419">
        <v>42</v>
      </c>
      <c r="DQ218" s="419">
        <v>10</v>
      </c>
      <c r="DR218" s="421">
        <v>14</v>
      </c>
      <c r="DS218" s="420">
        <v>6</v>
      </c>
      <c r="DT218" s="419">
        <v>23</v>
      </c>
      <c r="DU218" s="419">
        <v>6</v>
      </c>
      <c r="DV218" s="421">
        <v>23</v>
      </c>
      <c r="DW218" s="420">
        <v>4</v>
      </c>
      <c r="DX218" s="419">
        <v>31</v>
      </c>
      <c r="DY218" s="419">
        <v>5</v>
      </c>
      <c r="DZ218" s="421">
        <v>45</v>
      </c>
      <c r="EA218" s="421">
        <v>4</v>
      </c>
      <c r="EB218" s="419">
        <v>54</v>
      </c>
      <c r="EC218" s="419">
        <v>5</v>
      </c>
      <c r="ED218" s="421">
        <v>50</v>
      </c>
      <c r="EE218" s="421">
        <v>4</v>
      </c>
      <c r="EF218" s="419">
        <v>9</v>
      </c>
      <c r="EG218" s="420">
        <v>6</v>
      </c>
      <c r="EH218" s="424">
        <f t="shared" si="105"/>
        <v>196</v>
      </c>
      <c r="EI218" s="424">
        <f t="shared" si="106"/>
        <v>10</v>
      </c>
      <c r="EJ218" s="422">
        <f t="shared" si="107"/>
        <v>0.29081632653061223</v>
      </c>
      <c r="EK218" s="425">
        <f t="shared" si="108"/>
        <v>144</v>
      </c>
      <c r="EL218" s="425">
        <f t="shared" si="109"/>
        <v>10</v>
      </c>
      <c r="EM218" s="423">
        <f t="shared" si="110"/>
        <v>0.25</v>
      </c>
      <c r="EN218" s="424">
        <f t="shared" si="111"/>
        <v>1133</v>
      </c>
      <c r="EO218" s="425">
        <f t="shared" si="112"/>
        <v>1159</v>
      </c>
      <c r="EP218" s="419">
        <v>108</v>
      </c>
      <c r="EQ218" s="421">
        <v>112</v>
      </c>
      <c r="ER218" s="419">
        <v>147</v>
      </c>
      <c r="ES218" s="421">
        <v>146</v>
      </c>
      <c r="ET218" s="419">
        <v>30</v>
      </c>
      <c r="EU218" s="420">
        <v>44</v>
      </c>
      <c r="EV218" s="419">
        <v>115</v>
      </c>
      <c r="EW218" s="421">
        <v>100</v>
      </c>
      <c r="EX218" s="419"/>
      <c r="EY218" s="421"/>
      <c r="EZ218" s="419"/>
      <c r="FA218" s="421"/>
      <c r="FB218" s="419"/>
      <c r="FC218" s="421"/>
      <c r="FD218" s="419"/>
      <c r="FE218" s="421"/>
      <c r="FF218" s="419"/>
      <c r="FG218" s="421"/>
      <c r="FH218" s="419">
        <v>46</v>
      </c>
      <c r="FI218" s="421">
        <v>47</v>
      </c>
      <c r="FJ218" s="424">
        <f t="shared" si="113"/>
        <v>446</v>
      </c>
      <c r="FK218" s="425">
        <f t="shared" si="114"/>
        <v>449</v>
      </c>
      <c r="FL218" s="419"/>
      <c r="FM218" s="421"/>
      <c r="FN218" s="424">
        <f t="shared" si="115"/>
        <v>6189</v>
      </c>
      <c r="FO218" s="425">
        <f t="shared" si="116"/>
        <v>6196</v>
      </c>
    </row>
    <row r="219" spans="1:171">
      <c r="A219" s="17" t="s">
        <v>161</v>
      </c>
      <c r="B219" s="46" t="s">
        <v>740</v>
      </c>
      <c r="C219" s="16"/>
      <c r="D219" s="44">
        <v>176372</v>
      </c>
      <c r="E219" s="44">
        <v>1</v>
      </c>
      <c r="F219" s="419"/>
      <c r="G219" s="421"/>
      <c r="H219" s="419"/>
      <c r="I219" s="421"/>
      <c r="J219" s="419"/>
      <c r="K219" s="421"/>
      <c r="L219" s="422">
        <f t="shared" si="95"/>
        <v>0</v>
      </c>
      <c r="M219" s="423">
        <f t="shared" si="96"/>
        <v>0</v>
      </c>
      <c r="N219" s="419">
        <v>2448</v>
      </c>
      <c r="O219" s="309">
        <f>0</f>
        <v>0</v>
      </c>
      <c r="P219" s="309">
        <f>0</f>
        <v>0</v>
      </c>
      <c r="Q219" s="309">
        <f>0</f>
        <v>0</v>
      </c>
      <c r="R219" s="424">
        <f t="shared" si="93"/>
        <v>0</v>
      </c>
      <c r="S219" s="421">
        <v>2474</v>
      </c>
      <c r="T219" s="301">
        <f>0</f>
        <v>0</v>
      </c>
      <c r="U219" s="301">
        <f>0</f>
        <v>0</v>
      </c>
      <c r="V219" s="301">
        <f>0</f>
        <v>0</v>
      </c>
      <c r="W219" s="425">
        <f t="shared" si="94"/>
        <v>0</v>
      </c>
      <c r="X219" s="419"/>
      <c r="Y219" s="419"/>
      <c r="Z219" s="421"/>
      <c r="AA219" s="421"/>
      <c r="AB219" s="419"/>
      <c r="AC219" s="419"/>
      <c r="AD219" s="421"/>
      <c r="AE219" s="421"/>
      <c r="AF219" s="419"/>
      <c r="AG219" s="419"/>
      <c r="AH219" s="421"/>
      <c r="AI219" s="421"/>
      <c r="AJ219" s="419"/>
      <c r="AK219" s="419"/>
      <c r="AL219" s="421"/>
      <c r="AM219" s="421"/>
      <c r="AN219" s="419"/>
      <c r="AO219" s="419"/>
      <c r="AP219" s="421"/>
      <c r="AQ219" s="421"/>
      <c r="AR219" s="424">
        <f t="shared" si="97"/>
        <v>0</v>
      </c>
      <c r="AS219" s="422">
        <f t="shared" si="98"/>
        <v>0.7384615384615385</v>
      </c>
      <c r="AT219" s="425">
        <f t="shared" si="99"/>
        <v>0</v>
      </c>
      <c r="AU219" s="423">
        <f t="shared" si="100"/>
        <v>0.75403840292593727</v>
      </c>
      <c r="AV219" s="419"/>
      <c r="AW219" s="421"/>
      <c r="AX219" s="419">
        <v>13</v>
      </c>
      <c r="AY219" s="419">
        <v>140</v>
      </c>
      <c r="AZ219" s="421">
        <v>13</v>
      </c>
      <c r="BA219" s="421">
        <v>140</v>
      </c>
      <c r="BB219" s="419">
        <v>51</v>
      </c>
      <c r="BC219" s="419">
        <v>130</v>
      </c>
      <c r="BD219" s="421">
        <v>51</v>
      </c>
      <c r="BE219" s="421">
        <v>116</v>
      </c>
      <c r="BF219" s="419">
        <v>52</v>
      </c>
      <c r="BG219" s="419">
        <v>116</v>
      </c>
      <c r="BH219" s="421">
        <v>52</v>
      </c>
      <c r="BI219" s="420">
        <v>87</v>
      </c>
      <c r="BJ219" s="419">
        <v>25</v>
      </c>
      <c r="BK219" s="419">
        <v>54</v>
      </c>
      <c r="BL219" s="421">
        <v>25</v>
      </c>
      <c r="BM219" s="421">
        <v>49</v>
      </c>
      <c r="BN219" s="419">
        <v>44</v>
      </c>
      <c r="BO219" s="419">
        <v>52</v>
      </c>
      <c r="BP219" s="421">
        <v>44</v>
      </c>
      <c r="BQ219" s="421">
        <v>46</v>
      </c>
      <c r="BR219" s="419">
        <v>19</v>
      </c>
      <c r="BS219" s="419">
        <v>37</v>
      </c>
      <c r="BT219" s="421">
        <v>31</v>
      </c>
      <c r="BU219" s="421">
        <v>41</v>
      </c>
      <c r="BV219" s="419">
        <v>42</v>
      </c>
      <c r="BW219" s="419">
        <v>30</v>
      </c>
      <c r="BX219" s="421">
        <v>19</v>
      </c>
      <c r="BY219" s="421">
        <v>32</v>
      </c>
      <c r="BZ219" s="419">
        <v>50</v>
      </c>
      <c r="CA219" s="419">
        <v>23</v>
      </c>
      <c r="CB219" s="421">
        <v>50</v>
      </c>
      <c r="CC219" s="421">
        <v>25</v>
      </c>
      <c r="CD219" s="419">
        <v>31</v>
      </c>
      <c r="CE219" s="419">
        <v>22</v>
      </c>
      <c r="CF219" s="421">
        <v>42</v>
      </c>
      <c r="CG219" s="421">
        <v>23</v>
      </c>
      <c r="CH219" s="419">
        <v>11</v>
      </c>
      <c r="CI219" s="419">
        <v>21</v>
      </c>
      <c r="CJ219" s="421">
        <v>40</v>
      </c>
      <c r="CK219" s="421">
        <v>20</v>
      </c>
      <c r="CL219" s="419">
        <v>72</v>
      </c>
      <c r="CM219" s="421">
        <v>67</v>
      </c>
      <c r="CN219" s="424">
        <f t="shared" si="101"/>
        <v>697</v>
      </c>
      <c r="CO219" s="424">
        <f t="shared" si="102"/>
        <v>10</v>
      </c>
      <c r="CP219" s="425">
        <f t="shared" si="103"/>
        <v>646</v>
      </c>
      <c r="CQ219" s="425">
        <f t="shared" si="104"/>
        <v>10</v>
      </c>
      <c r="CR219" s="419">
        <v>13</v>
      </c>
      <c r="CS219" s="419">
        <v>40</v>
      </c>
      <c r="CT219" s="421">
        <v>51</v>
      </c>
      <c r="CU219" s="421">
        <v>35</v>
      </c>
      <c r="CV219" s="419">
        <v>51</v>
      </c>
      <c r="CW219" s="419">
        <v>39</v>
      </c>
      <c r="CX219" s="421">
        <v>13</v>
      </c>
      <c r="CY219" s="420">
        <v>31</v>
      </c>
      <c r="CZ219" s="419">
        <v>42</v>
      </c>
      <c r="DA219" s="419">
        <v>20</v>
      </c>
      <c r="DB219" s="421">
        <v>42</v>
      </c>
      <c r="DC219" s="421">
        <v>17</v>
      </c>
      <c r="DD219" s="419">
        <v>14</v>
      </c>
      <c r="DE219" s="419">
        <v>14</v>
      </c>
      <c r="DF219" s="421">
        <v>23</v>
      </c>
      <c r="DG219" s="421">
        <v>13</v>
      </c>
      <c r="DH219" s="419">
        <v>23</v>
      </c>
      <c r="DI219" s="419">
        <v>12</v>
      </c>
      <c r="DJ219" s="421">
        <v>14</v>
      </c>
      <c r="DK219" s="421">
        <v>11</v>
      </c>
      <c r="DL219" s="419">
        <v>50</v>
      </c>
      <c r="DM219" s="419">
        <v>9</v>
      </c>
      <c r="DN219" s="421">
        <v>52</v>
      </c>
      <c r="DO219" s="420">
        <v>11</v>
      </c>
      <c r="DP219" s="419">
        <v>52</v>
      </c>
      <c r="DQ219" s="419">
        <v>8</v>
      </c>
      <c r="DR219" s="421">
        <v>45</v>
      </c>
      <c r="DS219" s="420">
        <v>10</v>
      </c>
      <c r="DT219" s="419">
        <v>45</v>
      </c>
      <c r="DU219" s="419">
        <v>7</v>
      </c>
      <c r="DV219" s="421">
        <v>50</v>
      </c>
      <c r="DW219" s="420">
        <v>10</v>
      </c>
      <c r="DX219" s="419">
        <v>9</v>
      </c>
      <c r="DY219" s="419">
        <v>7</v>
      </c>
      <c r="DZ219" s="421">
        <v>9</v>
      </c>
      <c r="EA219" s="421">
        <v>7</v>
      </c>
      <c r="EB219" s="419">
        <v>40</v>
      </c>
      <c r="EC219" s="419">
        <v>6</v>
      </c>
      <c r="ED219" s="421">
        <v>26</v>
      </c>
      <c r="EE219" s="421">
        <v>5</v>
      </c>
      <c r="EF219" s="419">
        <v>8</v>
      </c>
      <c r="EG219" s="420">
        <v>11</v>
      </c>
      <c r="EH219" s="424">
        <f t="shared" si="105"/>
        <v>170</v>
      </c>
      <c r="EI219" s="424">
        <f t="shared" si="106"/>
        <v>10</v>
      </c>
      <c r="EJ219" s="422">
        <f t="shared" si="107"/>
        <v>0.23529411764705882</v>
      </c>
      <c r="EK219" s="425">
        <f t="shared" si="108"/>
        <v>161</v>
      </c>
      <c r="EL219" s="425">
        <f t="shared" si="109"/>
        <v>10</v>
      </c>
      <c r="EM219" s="423">
        <f t="shared" si="110"/>
        <v>0.21739130434782608</v>
      </c>
      <c r="EN219" s="424">
        <f t="shared" si="111"/>
        <v>867</v>
      </c>
      <c r="EO219" s="425">
        <f t="shared" si="112"/>
        <v>807</v>
      </c>
      <c r="EP219" s="419"/>
      <c r="EQ219" s="421"/>
      <c r="ER219" s="419"/>
      <c r="ES219" s="421"/>
      <c r="ET219" s="419"/>
      <c r="EU219" s="421"/>
      <c r="EV219" s="419"/>
      <c r="EW219" s="421"/>
      <c r="EX219" s="419"/>
      <c r="EY219" s="421"/>
      <c r="EZ219" s="419"/>
      <c r="FA219" s="421"/>
      <c r="FB219" s="419"/>
      <c r="FC219" s="421"/>
      <c r="FD219" s="419"/>
      <c r="FE219" s="421"/>
      <c r="FF219" s="419"/>
      <c r="FG219" s="421"/>
      <c r="FH219" s="419"/>
      <c r="FI219" s="421"/>
      <c r="FJ219" s="424">
        <f t="shared" si="113"/>
        <v>0</v>
      </c>
      <c r="FK219" s="425">
        <f t="shared" si="114"/>
        <v>0</v>
      </c>
      <c r="FL219" s="419"/>
      <c r="FM219" s="421"/>
      <c r="FN219" s="424">
        <f t="shared" si="115"/>
        <v>3315</v>
      </c>
      <c r="FO219" s="425">
        <f t="shared" si="116"/>
        <v>3281</v>
      </c>
    </row>
    <row r="220" spans="1:171">
      <c r="A220" s="17" t="s">
        <v>161</v>
      </c>
      <c r="B220" s="46" t="s">
        <v>741</v>
      </c>
      <c r="C220" s="16"/>
      <c r="D220" s="44">
        <v>175856</v>
      </c>
      <c r="E220" s="44">
        <v>2</v>
      </c>
      <c r="F220" s="419"/>
      <c r="G220" s="421"/>
      <c r="H220" s="419"/>
      <c r="I220" s="421"/>
      <c r="J220" s="419"/>
      <c r="K220" s="421"/>
      <c r="L220" s="422">
        <f t="shared" si="95"/>
        <v>0</v>
      </c>
      <c r="M220" s="423">
        <f t="shared" si="96"/>
        <v>0</v>
      </c>
      <c r="N220" s="419">
        <v>1155</v>
      </c>
      <c r="O220" s="309">
        <f>0</f>
        <v>0</v>
      </c>
      <c r="P220" s="309">
        <f>0</f>
        <v>0</v>
      </c>
      <c r="Q220" s="309">
        <f>0</f>
        <v>0</v>
      </c>
      <c r="R220" s="424">
        <f t="shared" si="93"/>
        <v>0</v>
      </c>
      <c r="S220" s="421">
        <v>1082</v>
      </c>
      <c r="T220" s="301">
        <f>0</f>
        <v>0</v>
      </c>
      <c r="U220" s="301">
        <f>0</f>
        <v>0</v>
      </c>
      <c r="V220" s="301">
        <f>0</f>
        <v>0</v>
      </c>
      <c r="W220" s="425">
        <f t="shared" si="94"/>
        <v>0</v>
      </c>
      <c r="X220" s="419"/>
      <c r="Y220" s="419"/>
      <c r="Z220" s="421"/>
      <c r="AA220" s="421"/>
      <c r="AB220" s="419"/>
      <c r="AC220" s="419"/>
      <c r="AD220" s="421"/>
      <c r="AE220" s="421"/>
      <c r="AF220" s="419"/>
      <c r="AG220" s="419"/>
      <c r="AH220" s="421"/>
      <c r="AI220" s="421"/>
      <c r="AJ220" s="419"/>
      <c r="AK220" s="419"/>
      <c r="AL220" s="421"/>
      <c r="AM220" s="421"/>
      <c r="AN220" s="419"/>
      <c r="AO220" s="419"/>
      <c r="AP220" s="421"/>
      <c r="AQ220" s="421"/>
      <c r="AR220" s="424">
        <f t="shared" si="97"/>
        <v>0</v>
      </c>
      <c r="AS220" s="422">
        <f t="shared" si="98"/>
        <v>0.67622950819672134</v>
      </c>
      <c r="AT220" s="425">
        <f t="shared" si="99"/>
        <v>0</v>
      </c>
      <c r="AU220" s="423">
        <f t="shared" si="100"/>
        <v>0.67752035065748273</v>
      </c>
      <c r="AV220" s="419"/>
      <c r="AW220" s="421"/>
      <c r="AX220" s="419">
        <v>13</v>
      </c>
      <c r="AY220" s="419">
        <v>199</v>
      </c>
      <c r="AZ220" s="421">
        <v>13</v>
      </c>
      <c r="BA220" s="421">
        <v>198</v>
      </c>
      <c r="BB220" s="419">
        <v>44</v>
      </c>
      <c r="BC220" s="419">
        <v>81</v>
      </c>
      <c r="BD220" s="421">
        <v>44</v>
      </c>
      <c r="BE220" s="420">
        <v>59</v>
      </c>
      <c r="BF220" s="419">
        <v>51</v>
      </c>
      <c r="BG220" s="419">
        <v>46</v>
      </c>
      <c r="BH220" s="421">
        <v>51</v>
      </c>
      <c r="BI220" s="420">
        <v>56</v>
      </c>
      <c r="BJ220" s="419">
        <v>52</v>
      </c>
      <c r="BK220" s="419">
        <v>39</v>
      </c>
      <c r="BL220" s="421">
        <v>52</v>
      </c>
      <c r="BM220" s="421">
        <v>34</v>
      </c>
      <c r="BN220" s="419">
        <v>31</v>
      </c>
      <c r="BO220" s="419">
        <v>15</v>
      </c>
      <c r="BP220" s="421">
        <v>31</v>
      </c>
      <c r="BQ220" s="420">
        <v>22</v>
      </c>
      <c r="BR220" s="419">
        <v>14</v>
      </c>
      <c r="BS220" s="419">
        <v>13</v>
      </c>
      <c r="BT220" s="421">
        <v>11</v>
      </c>
      <c r="BU220" s="421">
        <v>12</v>
      </c>
      <c r="BV220" s="419">
        <v>4</v>
      </c>
      <c r="BW220" s="419">
        <v>9</v>
      </c>
      <c r="BX220" s="421">
        <v>14</v>
      </c>
      <c r="BY220" s="421">
        <v>8</v>
      </c>
      <c r="BZ220" s="419">
        <v>15</v>
      </c>
      <c r="CA220" s="419">
        <v>9</v>
      </c>
      <c r="CB220" s="421">
        <v>15</v>
      </c>
      <c r="CC220" s="421">
        <v>7</v>
      </c>
      <c r="CD220" s="419">
        <v>11</v>
      </c>
      <c r="CE220" s="419">
        <v>8</v>
      </c>
      <c r="CF220" s="421">
        <v>23</v>
      </c>
      <c r="CG220" s="421">
        <v>5</v>
      </c>
      <c r="CH220" s="419">
        <v>40</v>
      </c>
      <c r="CI220" s="419">
        <v>8</v>
      </c>
      <c r="CJ220" s="421">
        <v>4</v>
      </c>
      <c r="CK220" s="421">
        <v>5</v>
      </c>
      <c r="CL220" s="419">
        <v>28</v>
      </c>
      <c r="CM220" s="421">
        <v>19</v>
      </c>
      <c r="CN220" s="424">
        <f t="shared" si="101"/>
        <v>455</v>
      </c>
      <c r="CO220" s="424">
        <f t="shared" si="102"/>
        <v>10</v>
      </c>
      <c r="CP220" s="425">
        <f t="shared" si="103"/>
        <v>425</v>
      </c>
      <c r="CQ220" s="425">
        <f t="shared" si="104"/>
        <v>10</v>
      </c>
      <c r="CR220" s="419">
        <v>13</v>
      </c>
      <c r="CS220" s="419">
        <v>49</v>
      </c>
      <c r="CT220" s="421">
        <v>13</v>
      </c>
      <c r="CU220" s="421">
        <v>43</v>
      </c>
      <c r="CV220" s="419">
        <v>44</v>
      </c>
      <c r="CW220" s="419">
        <v>10</v>
      </c>
      <c r="CX220" s="421">
        <v>51</v>
      </c>
      <c r="CY220" s="421">
        <v>10</v>
      </c>
      <c r="CZ220" s="419">
        <v>51</v>
      </c>
      <c r="DA220" s="419">
        <v>9</v>
      </c>
      <c r="DB220" s="421">
        <v>40</v>
      </c>
      <c r="DC220" s="421">
        <v>7</v>
      </c>
      <c r="DD220" s="419">
        <v>4</v>
      </c>
      <c r="DE220" s="419">
        <v>9</v>
      </c>
      <c r="DF220" s="421">
        <v>44</v>
      </c>
      <c r="DG220" s="421">
        <v>7</v>
      </c>
      <c r="DH220" s="419">
        <v>40</v>
      </c>
      <c r="DI220" s="419">
        <v>5</v>
      </c>
      <c r="DJ220" s="421">
        <v>42</v>
      </c>
      <c r="DK220" s="421">
        <v>6</v>
      </c>
      <c r="DL220" s="419">
        <v>3</v>
      </c>
      <c r="DM220" s="419">
        <v>5</v>
      </c>
      <c r="DN220" s="421">
        <v>11</v>
      </c>
      <c r="DO220" s="421">
        <v>4</v>
      </c>
      <c r="DP220" s="419">
        <v>14</v>
      </c>
      <c r="DQ220" s="419">
        <v>4</v>
      </c>
      <c r="DR220" s="421">
        <v>4</v>
      </c>
      <c r="DS220" s="421">
        <v>4</v>
      </c>
      <c r="DT220" s="419">
        <v>42</v>
      </c>
      <c r="DU220" s="419">
        <v>3</v>
      </c>
      <c r="DV220" s="421">
        <v>3</v>
      </c>
      <c r="DW220" s="421">
        <v>3</v>
      </c>
      <c r="DX220" s="419">
        <v>11</v>
      </c>
      <c r="DY220" s="419">
        <v>2</v>
      </c>
      <c r="DZ220" s="421">
        <v>52</v>
      </c>
      <c r="EA220" s="421">
        <v>3</v>
      </c>
      <c r="EB220" s="419">
        <v>52</v>
      </c>
      <c r="EC220" s="419">
        <v>2</v>
      </c>
      <c r="ED220" s="421">
        <v>14</v>
      </c>
      <c r="EE220" s="421">
        <v>3</v>
      </c>
      <c r="EF220" s="419"/>
      <c r="EG220" s="421"/>
      <c r="EH220" s="424">
        <f t="shared" si="105"/>
        <v>98</v>
      </c>
      <c r="EI220" s="424">
        <f t="shared" si="106"/>
        <v>10</v>
      </c>
      <c r="EJ220" s="422">
        <f t="shared" si="107"/>
        <v>0.5</v>
      </c>
      <c r="EK220" s="425">
        <f t="shared" si="108"/>
        <v>90</v>
      </c>
      <c r="EL220" s="425">
        <f t="shared" si="109"/>
        <v>10</v>
      </c>
      <c r="EM220" s="423">
        <f t="shared" si="110"/>
        <v>0.4777777777777778</v>
      </c>
      <c r="EN220" s="424">
        <f t="shared" si="111"/>
        <v>553</v>
      </c>
      <c r="EO220" s="425">
        <f t="shared" si="112"/>
        <v>515</v>
      </c>
      <c r="EP220" s="419"/>
      <c r="EQ220" s="421"/>
      <c r="ER220" s="419"/>
      <c r="ES220" s="421"/>
      <c r="ET220" s="419"/>
      <c r="EU220" s="421"/>
      <c r="EV220" s="419"/>
      <c r="EW220" s="421"/>
      <c r="EX220" s="419"/>
      <c r="EY220" s="421"/>
      <c r="EZ220" s="419"/>
      <c r="FA220" s="421"/>
      <c r="FB220" s="419"/>
      <c r="FC220" s="421"/>
      <c r="FD220" s="419"/>
      <c r="FE220" s="421"/>
      <c r="FF220" s="419"/>
      <c r="FG220" s="421"/>
      <c r="FH220" s="419"/>
      <c r="FI220" s="421"/>
      <c r="FJ220" s="424">
        <f t="shared" si="113"/>
        <v>0</v>
      </c>
      <c r="FK220" s="425">
        <f t="shared" si="114"/>
        <v>0</v>
      </c>
      <c r="FL220" s="419"/>
      <c r="FM220" s="421"/>
      <c r="FN220" s="424">
        <f t="shared" si="115"/>
        <v>1708</v>
      </c>
      <c r="FO220" s="425">
        <f t="shared" si="116"/>
        <v>1597</v>
      </c>
    </row>
    <row r="221" spans="1:171">
      <c r="A221" s="457" t="s">
        <v>161</v>
      </c>
      <c r="B221" s="46" t="s">
        <v>742</v>
      </c>
      <c r="C221" s="16"/>
      <c r="D221" s="44">
        <v>175342</v>
      </c>
      <c r="E221" s="44">
        <v>4</v>
      </c>
      <c r="F221" s="419"/>
      <c r="G221" s="421"/>
      <c r="H221" s="419"/>
      <c r="I221" s="421"/>
      <c r="J221" s="419">
        <v>10</v>
      </c>
      <c r="K221" s="421">
        <v>18</v>
      </c>
      <c r="L221" s="422">
        <f t="shared" si="95"/>
        <v>1.9880715705765408E-2</v>
      </c>
      <c r="M221" s="423">
        <f t="shared" si="96"/>
        <v>3.4615384615384617E-2</v>
      </c>
      <c r="N221" s="419">
        <v>503</v>
      </c>
      <c r="O221" s="309">
        <f>0</f>
        <v>0</v>
      </c>
      <c r="P221" s="309">
        <f>0</f>
        <v>0</v>
      </c>
      <c r="Q221" s="309">
        <f>0</f>
        <v>0</v>
      </c>
      <c r="R221" s="424">
        <f t="shared" si="93"/>
        <v>0</v>
      </c>
      <c r="S221" s="421">
        <v>520</v>
      </c>
      <c r="T221" s="301">
        <f>0</f>
        <v>0</v>
      </c>
      <c r="U221" s="301">
        <f>0</f>
        <v>0</v>
      </c>
      <c r="V221" s="301">
        <f>0</f>
        <v>0</v>
      </c>
      <c r="W221" s="425">
        <f t="shared" si="94"/>
        <v>0</v>
      </c>
      <c r="X221" s="419"/>
      <c r="Y221" s="419"/>
      <c r="Z221" s="421"/>
      <c r="AA221" s="421"/>
      <c r="AB221" s="419"/>
      <c r="AC221" s="419"/>
      <c r="AD221" s="421"/>
      <c r="AE221" s="421"/>
      <c r="AF221" s="419"/>
      <c r="AG221" s="419"/>
      <c r="AH221" s="421"/>
      <c r="AI221" s="421"/>
      <c r="AJ221" s="419"/>
      <c r="AK221" s="419"/>
      <c r="AL221" s="421"/>
      <c r="AM221" s="421"/>
      <c r="AN221" s="419"/>
      <c r="AO221" s="419"/>
      <c r="AP221" s="421"/>
      <c r="AQ221" s="421"/>
      <c r="AR221" s="424">
        <f t="shared" si="97"/>
        <v>0</v>
      </c>
      <c r="AS221" s="422">
        <f t="shared" si="98"/>
        <v>0.78348909657320875</v>
      </c>
      <c r="AT221" s="425">
        <f t="shared" si="99"/>
        <v>0</v>
      </c>
      <c r="AU221" s="423">
        <f t="shared" si="100"/>
        <v>0.82148499210110582</v>
      </c>
      <c r="AV221" s="419"/>
      <c r="AW221" s="421"/>
      <c r="AX221" s="419">
        <v>13</v>
      </c>
      <c r="AY221" s="419">
        <v>65</v>
      </c>
      <c r="AZ221" s="421">
        <v>13</v>
      </c>
      <c r="BA221" s="421">
        <v>46</v>
      </c>
      <c r="BB221" s="419">
        <v>52</v>
      </c>
      <c r="BC221" s="419">
        <v>19</v>
      </c>
      <c r="BD221" s="421">
        <v>52</v>
      </c>
      <c r="BE221" s="421">
        <v>18</v>
      </c>
      <c r="BF221" s="419">
        <v>26</v>
      </c>
      <c r="BG221" s="419">
        <v>14</v>
      </c>
      <c r="BH221" s="421">
        <v>11</v>
      </c>
      <c r="BI221" s="421">
        <v>10</v>
      </c>
      <c r="BJ221" s="419">
        <v>29</v>
      </c>
      <c r="BK221" s="419">
        <v>12</v>
      </c>
      <c r="BL221" s="421">
        <v>51</v>
      </c>
      <c r="BM221" s="421">
        <v>7</v>
      </c>
      <c r="BN221" s="419">
        <v>11</v>
      </c>
      <c r="BO221" s="419">
        <v>11</v>
      </c>
      <c r="BP221" s="421">
        <v>26</v>
      </c>
      <c r="BQ221" s="421">
        <v>6</v>
      </c>
      <c r="BR221" s="419">
        <v>51</v>
      </c>
      <c r="BS221" s="419">
        <v>5</v>
      </c>
      <c r="BT221" s="421">
        <v>24</v>
      </c>
      <c r="BU221" s="421">
        <v>3</v>
      </c>
      <c r="BV221" s="419">
        <v>1</v>
      </c>
      <c r="BW221" s="419">
        <v>2</v>
      </c>
      <c r="BX221" s="421">
        <v>1</v>
      </c>
      <c r="BY221" s="421">
        <v>3</v>
      </c>
      <c r="BZ221" s="419">
        <v>24</v>
      </c>
      <c r="CA221" s="419">
        <v>1</v>
      </c>
      <c r="CB221" s="421">
        <v>29</v>
      </c>
      <c r="CC221" s="421">
        <v>2</v>
      </c>
      <c r="CD221" s="419"/>
      <c r="CE221" s="419"/>
      <c r="CF221" s="421"/>
      <c r="CG221" s="421"/>
      <c r="CH221" s="419"/>
      <c r="CI221" s="419"/>
      <c r="CJ221" s="421"/>
      <c r="CK221" s="421"/>
      <c r="CL221" s="419"/>
      <c r="CM221" s="421"/>
      <c r="CN221" s="424">
        <f t="shared" si="101"/>
        <v>129</v>
      </c>
      <c r="CO221" s="424">
        <f t="shared" si="102"/>
        <v>8</v>
      </c>
      <c r="CP221" s="425">
        <f t="shared" si="103"/>
        <v>95</v>
      </c>
      <c r="CQ221" s="425">
        <f t="shared" si="104"/>
        <v>8</v>
      </c>
      <c r="CR221" s="419"/>
      <c r="CS221" s="419"/>
      <c r="CT221" s="421"/>
      <c r="CU221" s="421"/>
      <c r="CV221" s="419"/>
      <c r="CW221" s="419"/>
      <c r="CX221" s="421"/>
      <c r="CY221" s="421"/>
      <c r="CZ221" s="419"/>
      <c r="DA221" s="419"/>
      <c r="DB221" s="421"/>
      <c r="DC221" s="421"/>
      <c r="DD221" s="419"/>
      <c r="DE221" s="419"/>
      <c r="DF221" s="421"/>
      <c r="DG221" s="421"/>
      <c r="DH221" s="419"/>
      <c r="DI221" s="419"/>
      <c r="DJ221" s="421"/>
      <c r="DK221" s="421"/>
      <c r="DL221" s="419"/>
      <c r="DM221" s="419"/>
      <c r="DN221" s="421"/>
      <c r="DO221" s="421"/>
      <c r="DP221" s="419"/>
      <c r="DQ221" s="419"/>
      <c r="DR221" s="421"/>
      <c r="DS221" s="421"/>
      <c r="DT221" s="419"/>
      <c r="DU221" s="419"/>
      <c r="DV221" s="421"/>
      <c r="DW221" s="421"/>
      <c r="DX221" s="419"/>
      <c r="DY221" s="419"/>
      <c r="DZ221" s="421"/>
      <c r="EA221" s="421"/>
      <c r="EB221" s="419"/>
      <c r="EC221" s="419"/>
      <c r="ED221" s="421"/>
      <c r="EE221" s="421"/>
      <c r="EF221" s="419"/>
      <c r="EG221" s="421"/>
      <c r="EH221" s="424">
        <f t="shared" si="105"/>
        <v>0</v>
      </c>
      <c r="EI221" s="424">
        <f t="shared" si="106"/>
        <v>0</v>
      </c>
      <c r="EJ221" s="422">
        <f t="shared" si="107"/>
        <v>0</v>
      </c>
      <c r="EK221" s="425">
        <f t="shared" si="108"/>
        <v>0</v>
      </c>
      <c r="EL221" s="425">
        <f t="shared" si="109"/>
        <v>0</v>
      </c>
      <c r="EM221" s="423">
        <f t="shared" si="110"/>
        <v>0</v>
      </c>
      <c r="EN221" s="424">
        <f t="shared" si="111"/>
        <v>129</v>
      </c>
      <c r="EO221" s="425">
        <f t="shared" si="112"/>
        <v>95</v>
      </c>
      <c r="EP221" s="419"/>
      <c r="EQ221" s="421"/>
      <c r="ER221" s="419"/>
      <c r="ES221" s="421"/>
      <c r="ET221" s="419"/>
      <c r="EU221" s="421"/>
      <c r="EV221" s="419"/>
      <c r="EW221" s="421"/>
      <c r="EX221" s="419"/>
      <c r="EY221" s="421"/>
      <c r="EZ221" s="419"/>
      <c r="FA221" s="421"/>
      <c r="FB221" s="419"/>
      <c r="FC221" s="421"/>
      <c r="FD221" s="419"/>
      <c r="FE221" s="421"/>
      <c r="FF221" s="419"/>
      <c r="FG221" s="421"/>
      <c r="FH221" s="419"/>
      <c r="FI221" s="421"/>
      <c r="FJ221" s="424">
        <f t="shared" si="113"/>
        <v>0</v>
      </c>
      <c r="FK221" s="425">
        <f t="shared" si="114"/>
        <v>0</v>
      </c>
      <c r="FL221" s="419"/>
      <c r="FM221" s="421"/>
      <c r="FN221" s="424">
        <f t="shared" si="115"/>
        <v>642</v>
      </c>
      <c r="FO221" s="425">
        <f t="shared" si="116"/>
        <v>633</v>
      </c>
    </row>
    <row r="222" spans="1:171">
      <c r="A222" s="17" t="s">
        <v>161</v>
      </c>
      <c r="B222" s="46" t="s">
        <v>743</v>
      </c>
      <c r="C222" s="16"/>
      <c r="D222" s="44">
        <v>175616</v>
      </c>
      <c r="E222" s="44">
        <v>4</v>
      </c>
      <c r="F222" s="419"/>
      <c r="G222" s="421"/>
      <c r="H222" s="419"/>
      <c r="I222" s="421"/>
      <c r="J222" s="419"/>
      <c r="K222" s="421"/>
      <c r="L222" s="422">
        <f t="shared" si="95"/>
        <v>0</v>
      </c>
      <c r="M222" s="423">
        <f t="shared" si="96"/>
        <v>0</v>
      </c>
      <c r="N222" s="419">
        <v>592</v>
      </c>
      <c r="O222" s="309">
        <f>0</f>
        <v>0</v>
      </c>
      <c r="P222" s="309">
        <f>0</f>
        <v>0</v>
      </c>
      <c r="Q222" s="309">
        <f>0</f>
        <v>0</v>
      </c>
      <c r="R222" s="424">
        <f t="shared" si="93"/>
        <v>0</v>
      </c>
      <c r="S222" s="421">
        <v>599</v>
      </c>
      <c r="T222" s="301">
        <f>0</f>
        <v>0</v>
      </c>
      <c r="U222" s="301">
        <f>0</f>
        <v>0</v>
      </c>
      <c r="V222" s="301">
        <f>0</f>
        <v>0</v>
      </c>
      <c r="W222" s="425">
        <f t="shared" si="94"/>
        <v>0</v>
      </c>
      <c r="X222" s="419"/>
      <c r="Y222" s="419"/>
      <c r="Z222" s="421"/>
      <c r="AA222" s="421"/>
      <c r="AB222" s="419"/>
      <c r="AC222" s="419"/>
      <c r="AD222" s="421"/>
      <c r="AE222" s="421"/>
      <c r="AF222" s="419"/>
      <c r="AG222" s="419"/>
      <c r="AH222" s="421"/>
      <c r="AI222" s="421"/>
      <c r="AJ222" s="419"/>
      <c r="AK222" s="419"/>
      <c r="AL222" s="421"/>
      <c r="AM222" s="421"/>
      <c r="AN222" s="419"/>
      <c r="AO222" s="419"/>
      <c r="AP222" s="421"/>
      <c r="AQ222" s="421"/>
      <c r="AR222" s="424">
        <f t="shared" si="97"/>
        <v>0</v>
      </c>
      <c r="AS222" s="422">
        <f t="shared" si="98"/>
        <v>0.65850945494994439</v>
      </c>
      <c r="AT222" s="425">
        <f t="shared" si="99"/>
        <v>0</v>
      </c>
      <c r="AU222" s="423">
        <f t="shared" si="100"/>
        <v>0.6440860215053763</v>
      </c>
      <c r="AV222" s="419"/>
      <c r="AW222" s="421"/>
      <c r="AX222" s="419">
        <v>13</v>
      </c>
      <c r="AY222" s="419">
        <v>156</v>
      </c>
      <c r="AZ222" s="421">
        <v>13</v>
      </c>
      <c r="BA222" s="421">
        <v>167</v>
      </c>
      <c r="BB222" s="419">
        <v>52</v>
      </c>
      <c r="BC222" s="419">
        <v>85</v>
      </c>
      <c r="BD222" s="421">
        <v>52</v>
      </c>
      <c r="BE222" s="421">
        <v>91</v>
      </c>
      <c r="BF222" s="419">
        <v>49</v>
      </c>
      <c r="BG222" s="419">
        <v>20</v>
      </c>
      <c r="BH222" s="421">
        <v>49</v>
      </c>
      <c r="BI222" s="421">
        <v>26</v>
      </c>
      <c r="BJ222" s="419">
        <v>51</v>
      </c>
      <c r="BK222" s="419">
        <v>7</v>
      </c>
      <c r="BL222" s="421">
        <v>44</v>
      </c>
      <c r="BM222" s="421">
        <v>10</v>
      </c>
      <c r="BN222" s="419">
        <v>41</v>
      </c>
      <c r="BO222" s="419">
        <v>6</v>
      </c>
      <c r="BP222" s="421">
        <v>51</v>
      </c>
      <c r="BQ222" s="421">
        <v>6</v>
      </c>
      <c r="BR222" s="419">
        <v>43</v>
      </c>
      <c r="BS222" s="419">
        <v>6</v>
      </c>
      <c r="BT222" s="421">
        <v>30</v>
      </c>
      <c r="BU222" s="421">
        <v>6</v>
      </c>
      <c r="BV222" s="419">
        <v>24</v>
      </c>
      <c r="BW222" s="419">
        <v>4</v>
      </c>
      <c r="BX222" s="421">
        <v>43</v>
      </c>
      <c r="BY222" s="421">
        <v>5</v>
      </c>
      <c r="BZ222" s="419">
        <v>30</v>
      </c>
      <c r="CA222" s="419">
        <v>4</v>
      </c>
      <c r="CB222" s="421">
        <v>41</v>
      </c>
      <c r="CC222" s="421">
        <v>5</v>
      </c>
      <c r="CD222" s="419">
        <v>44</v>
      </c>
      <c r="CE222" s="419">
        <v>3</v>
      </c>
      <c r="CF222" s="421"/>
      <c r="CG222" s="421"/>
      <c r="CH222" s="419"/>
      <c r="CI222" s="419"/>
      <c r="CJ222" s="421"/>
      <c r="CK222" s="421"/>
      <c r="CL222" s="419"/>
      <c r="CM222" s="421"/>
      <c r="CN222" s="424">
        <f t="shared" si="101"/>
        <v>291</v>
      </c>
      <c r="CO222" s="424">
        <f t="shared" si="102"/>
        <v>9</v>
      </c>
      <c r="CP222" s="425">
        <f t="shared" si="103"/>
        <v>316</v>
      </c>
      <c r="CQ222" s="425">
        <f t="shared" si="104"/>
        <v>8</v>
      </c>
      <c r="CR222" s="419">
        <v>13</v>
      </c>
      <c r="CS222" s="419">
        <v>12</v>
      </c>
      <c r="CT222" s="421">
        <v>13</v>
      </c>
      <c r="CU222" s="421">
        <v>13</v>
      </c>
      <c r="CV222" s="419"/>
      <c r="CW222" s="419"/>
      <c r="CX222" s="421"/>
      <c r="CY222" s="421"/>
      <c r="CZ222" s="419"/>
      <c r="DA222" s="419"/>
      <c r="DB222" s="421"/>
      <c r="DC222" s="421"/>
      <c r="DD222" s="419"/>
      <c r="DE222" s="419"/>
      <c r="DF222" s="421"/>
      <c r="DG222" s="421"/>
      <c r="DH222" s="419"/>
      <c r="DI222" s="419"/>
      <c r="DJ222" s="421"/>
      <c r="DK222" s="421"/>
      <c r="DL222" s="419"/>
      <c r="DM222" s="419"/>
      <c r="DN222" s="421"/>
      <c r="DO222" s="421"/>
      <c r="DP222" s="419"/>
      <c r="DQ222" s="419"/>
      <c r="DR222" s="421"/>
      <c r="DS222" s="421"/>
      <c r="DT222" s="419"/>
      <c r="DU222" s="419"/>
      <c r="DV222" s="421"/>
      <c r="DW222" s="421"/>
      <c r="DX222" s="419"/>
      <c r="DY222" s="419"/>
      <c r="DZ222" s="421"/>
      <c r="EA222" s="421"/>
      <c r="EB222" s="419"/>
      <c r="EC222" s="419"/>
      <c r="ED222" s="421"/>
      <c r="EE222" s="421"/>
      <c r="EF222" s="419"/>
      <c r="EG222" s="421"/>
      <c r="EH222" s="424">
        <f t="shared" si="105"/>
        <v>12</v>
      </c>
      <c r="EI222" s="424">
        <f t="shared" si="106"/>
        <v>1</v>
      </c>
      <c r="EJ222" s="422">
        <f t="shared" si="107"/>
        <v>1</v>
      </c>
      <c r="EK222" s="425">
        <f t="shared" si="108"/>
        <v>13</v>
      </c>
      <c r="EL222" s="425">
        <f t="shared" si="109"/>
        <v>1</v>
      </c>
      <c r="EM222" s="423">
        <f t="shared" si="110"/>
        <v>1</v>
      </c>
      <c r="EN222" s="424">
        <f t="shared" si="111"/>
        <v>303</v>
      </c>
      <c r="EO222" s="425">
        <f t="shared" si="112"/>
        <v>329</v>
      </c>
      <c r="EP222" s="419"/>
      <c r="EQ222" s="421"/>
      <c r="ER222" s="419"/>
      <c r="ES222" s="421"/>
      <c r="ET222" s="419"/>
      <c r="EU222" s="421"/>
      <c r="EV222" s="419"/>
      <c r="EW222" s="421"/>
      <c r="EX222" s="419"/>
      <c r="EY222" s="421"/>
      <c r="EZ222" s="419"/>
      <c r="FA222" s="421"/>
      <c r="FB222" s="419"/>
      <c r="FC222" s="421"/>
      <c r="FD222" s="419"/>
      <c r="FE222" s="421"/>
      <c r="FF222" s="419"/>
      <c r="FG222" s="421"/>
      <c r="FH222" s="419">
        <v>4</v>
      </c>
      <c r="FI222" s="421">
        <v>2</v>
      </c>
      <c r="FJ222" s="424">
        <f t="shared" si="113"/>
        <v>4</v>
      </c>
      <c r="FK222" s="425">
        <f t="shared" si="114"/>
        <v>2</v>
      </c>
      <c r="FL222" s="419"/>
      <c r="FM222" s="421"/>
      <c r="FN222" s="424">
        <f t="shared" si="115"/>
        <v>899</v>
      </c>
      <c r="FO222" s="425">
        <f t="shared" si="116"/>
        <v>930</v>
      </c>
    </row>
    <row r="223" spans="1:171">
      <c r="A223" s="17" t="s">
        <v>161</v>
      </c>
      <c r="B223" s="46" t="s">
        <v>745</v>
      </c>
      <c r="C223" s="16"/>
      <c r="D223" s="44">
        <v>176035</v>
      </c>
      <c r="E223" s="44">
        <v>4</v>
      </c>
      <c r="F223" s="419"/>
      <c r="G223" s="421"/>
      <c r="H223" s="419"/>
      <c r="I223" s="421"/>
      <c r="J223" s="419">
        <v>55</v>
      </c>
      <c r="K223" s="421">
        <v>47</v>
      </c>
      <c r="L223" s="422">
        <f t="shared" si="95"/>
        <v>7.2751322751322747E-2</v>
      </c>
      <c r="M223" s="423">
        <f t="shared" si="96"/>
        <v>6.0645161290322581E-2</v>
      </c>
      <c r="N223" s="419">
        <v>756</v>
      </c>
      <c r="O223" s="309">
        <f>0</f>
        <v>0</v>
      </c>
      <c r="P223" s="309">
        <f>0</f>
        <v>0</v>
      </c>
      <c r="Q223" s="309">
        <f>0</f>
        <v>0</v>
      </c>
      <c r="R223" s="424">
        <f t="shared" si="93"/>
        <v>0</v>
      </c>
      <c r="S223" s="421">
        <v>775</v>
      </c>
      <c r="T223" s="301">
        <f>0</f>
        <v>0</v>
      </c>
      <c r="U223" s="301">
        <f>0</f>
        <v>0</v>
      </c>
      <c r="V223" s="301">
        <f>0</f>
        <v>0</v>
      </c>
      <c r="W223" s="425">
        <f t="shared" si="94"/>
        <v>0</v>
      </c>
      <c r="X223" s="419"/>
      <c r="Y223" s="419"/>
      <c r="Z223" s="421"/>
      <c r="AA223" s="421"/>
      <c r="AB223" s="419"/>
      <c r="AC223" s="419"/>
      <c r="AD223" s="421"/>
      <c r="AE223" s="421"/>
      <c r="AF223" s="419"/>
      <c r="AG223" s="419"/>
      <c r="AH223" s="421"/>
      <c r="AI223" s="421"/>
      <c r="AJ223" s="419"/>
      <c r="AK223" s="419"/>
      <c r="AL223" s="421"/>
      <c r="AM223" s="421"/>
      <c r="AN223" s="419"/>
      <c r="AO223" s="419"/>
      <c r="AP223" s="421"/>
      <c r="AQ223" s="421"/>
      <c r="AR223" s="424">
        <f t="shared" si="97"/>
        <v>0</v>
      </c>
      <c r="AS223" s="422">
        <f t="shared" si="98"/>
        <v>0.82985729967069155</v>
      </c>
      <c r="AT223" s="425">
        <f t="shared" si="99"/>
        <v>0</v>
      </c>
      <c r="AU223" s="423">
        <f t="shared" si="100"/>
        <v>0.84514721919302072</v>
      </c>
      <c r="AV223" s="419"/>
      <c r="AW223" s="421"/>
      <c r="AX223" s="419">
        <v>51</v>
      </c>
      <c r="AY223" s="419">
        <v>62</v>
      </c>
      <c r="AZ223" s="421">
        <v>51</v>
      </c>
      <c r="BA223" s="421">
        <v>60</v>
      </c>
      <c r="BB223" s="419">
        <v>13</v>
      </c>
      <c r="BC223" s="419">
        <v>12</v>
      </c>
      <c r="BD223" s="421">
        <v>23</v>
      </c>
      <c r="BE223" s="421">
        <v>8</v>
      </c>
      <c r="BF223" s="419">
        <v>23</v>
      </c>
      <c r="BG223" s="419">
        <v>8</v>
      </c>
      <c r="BH223" s="421">
        <v>13</v>
      </c>
      <c r="BI223" s="421">
        <v>7</v>
      </c>
      <c r="BJ223" s="419">
        <v>52</v>
      </c>
      <c r="BK223" s="419">
        <v>8</v>
      </c>
      <c r="BL223" s="421">
        <v>52</v>
      </c>
      <c r="BM223" s="421">
        <v>6</v>
      </c>
      <c r="BN223" s="419">
        <v>50</v>
      </c>
      <c r="BO223" s="419">
        <v>7</v>
      </c>
      <c r="BP223" s="421">
        <v>5</v>
      </c>
      <c r="BQ223" s="421">
        <v>5</v>
      </c>
      <c r="BR223" s="419"/>
      <c r="BS223" s="419"/>
      <c r="BT223" s="421">
        <v>50</v>
      </c>
      <c r="BU223" s="421">
        <v>2</v>
      </c>
      <c r="BV223" s="419"/>
      <c r="BW223" s="419"/>
      <c r="BX223" s="421"/>
      <c r="BY223" s="421"/>
      <c r="BZ223" s="419"/>
      <c r="CA223" s="419"/>
      <c r="CB223" s="421"/>
      <c r="CC223" s="421"/>
      <c r="CD223" s="419"/>
      <c r="CE223" s="419"/>
      <c r="CF223" s="421"/>
      <c r="CG223" s="421"/>
      <c r="CH223" s="419"/>
      <c r="CI223" s="419"/>
      <c r="CJ223" s="421"/>
      <c r="CK223" s="421"/>
      <c r="CL223" s="419"/>
      <c r="CM223" s="421"/>
      <c r="CN223" s="424">
        <f t="shared" si="101"/>
        <v>97</v>
      </c>
      <c r="CO223" s="424">
        <f t="shared" si="102"/>
        <v>5</v>
      </c>
      <c r="CP223" s="425">
        <f t="shared" si="103"/>
        <v>88</v>
      </c>
      <c r="CQ223" s="425">
        <f t="shared" si="104"/>
        <v>6</v>
      </c>
      <c r="CR223" s="419"/>
      <c r="CS223" s="419"/>
      <c r="CT223" s="421"/>
      <c r="CU223" s="421"/>
      <c r="CV223" s="419"/>
      <c r="CW223" s="419"/>
      <c r="CX223" s="421"/>
      <c r="CY223" s="421"/>
      <c r="CZ223" s="419"/>
      <c r="DA223" s="419"/>
      <c r="DB223" s="421"/>
      <c r="DC223" s="421"/>
      <c r="DD223" s="419"/>
      <c r="DE223" s="419"/>
      <c r="DF223" s="421"/>
      <c r="DG223" s="421"/>
      <c r="DH223" s="419"/>
      <c r="DI223" s="419"/>
      <c r="DJ223" s="421"/>
      <c r="DK223" s="421"/>
      <c r="DL223" s="419"/>
      <c r="DM223" s="419"/>
      <c r="DN223" s="421"/>
      <c r="DO223" s="421"/>
      <c r="DP223" s="419"/>
      <c r="DQ223" s="419"/>
      <c r="DR223" s="421"/>
      <c r="DS223" s="421"/>
      <c r="DT223" s="419"/>
      <c r="DU223" s="419"/>
      <c r="DV223" s="421"/>
      <c r="DW223" s="421"/>
      <c r="DX223" s="419"/>
      <c r="DY223" s="419"/>
      <c r="DZ223" s="421"/>
      <c r="EA223" s="421"/>
      <c r="EB223" s="419"/>
      <c r="EC223" s="419"/>
      <c r="ED223" s="421"/>
      <c r="EE223" s="421"/>
      <c r="EF223" s="419"/>
      <c r="EG223" s="421"/>
      <c r="EH223" s="424">
        <f t="shared" si="105"/>
        <v>0</v>
      </c>
      <c r="EI223" s="424">
        <f t="shared" si="106"/>
        <v>0</v>
      </c>
      <c r="EJ223" s="422">
        <f t="shared" si="107"/>
        <v>0</v>
      </c>
      <c r="EK223" s="425">
        <f t="shared" si="108"/>
        <v>0</v>
      </c>
      <c r="EL223" s="425">
        <f t="shared" si="109"/>
        <v>0</v>
      </c>
      <c r="EM223" s="423">
        <f t="shared" si="110"/>
        <v>0</v>
      </c>
      <c r="EN223" s="424">
        <f t="shared" si="111"/>
        <v>97</v>
      </c>
      <c r="EO223" s="425">
        <f t="shared" si="112"/>
        <v>88</v>
      </c>
      <c r="EP223" s="419"/>
      <c r="EQ223" s="421"/>
      <c r="ER223" s="419"/>
      <c r="ES223" s="421"/>
      <c r="ET223" s="419"/>
      <c r="EU223" s="421"/>
      <c r="EV223" s="419"/>
      <c r="EW223" s="421"/>
      <c r="EX223" s="419"/>
      <c r="EY223" s="421"/>
      <c r="EZ223" s="419"/>
      <c r="FA223" s="421"/>
      <c r="FB223" s="419"/>
      <c r="FC223" s="421"/>
      <c r="FD223" s="419"/>
      <c r="FE223" s="421"/>
      <c r="FF223" s="419"/>
      <c r="FG223" s="421"/>
      <c r="FH223" s="419">
        <v>3</v>
      </c>
      <c r="FI223" s="421">
        <v>7</v>
      </c>
      <c r="FJ223" s="424">
        <f t="shared" si="113"/>
        <v>3</v>
      </c>
      <c r="FK223" s="425">
        <f t="shared" si="114"/>
        <v>7</v>
      </c>
      <c r="FL223" s="419"/>
      <c r="FM223" s="421"/>
      <c r="FN223" s="424">
        <f t="shared" si="115"/>
        <v>911</v>
      </c>
      <c r="FO223" s="425">
        <f t="shared" si="116"/>
        <v>917</v>
      </c>
    </row>
    <row r="224" spans="1:171">
      <c r="A224" s="17" t="s">
        <v>161</v>
      </c>
      <c r="B224" s="46" t="s">
        <v>744</v>
      </c>
      <c r="C224" s="16"/>
      <c r="D224" s="44">
        <v>176044</v>
      </c>
      <c r="E224" s="44">
        <v>4</v>
      </c>
      <c r="F224" s="419"/>
      <c r="G224" s="421"/>
      <c r="H224" s="419"/>
      <c r="I224" s="421"/>
      <c r="J224" s="419"/>
      <c r="K224" s="421"/>
      <c r="L224" s="422">
        <f t="shared" si="95"/>
        <v>0</v>
      </c>
      <c r="M224" s="423">
        <f t="shared" si="96"/>
        <v>0</v>
      </c>
      <c r="N224" s="419">
        <v>287</v>
      </c>
      <c r="O224" s="309">
        <f>0</f>
        <v>0</v>
      </c>
      <c r="P224" s="309">
        <f>0</f>
        <v>0</v>
      </c>
      <c r="Q224" s="309">
        <f>0</f>
        <v>0</v>
      </c>
      <c r="R224" s="424">
        <f t="shared" si="93"/>
        <v>0</v>
      </c>
      <c r="S224" s="421">
        <v>246</v>
      </c>
      <c r="T224" s="301">
        <f>0</f>
        <v>0</v>
      </c>
      <c r="U224" s="301">
        <f>0</f>
        <v>0</v>
      </c>
      <c r="V224" s="301">
        <f>0</f>
        <v>0</v>
      </c>
      <c r="W224" s="425">
        <f t="shared" si="94"/>
        <v>0</v>
      </c>
      <c r="X224" s="419"/>
      <c r="Y224" s="419"/>
      <c r="Z224" s="421"/>
      <c r="AA224" s="421"/>
      <c r="AB224" s="419"/>
      <c r="AC224" s="419"/>
      <c r="AD224" s="421"/>
      <c r="AE224" s="421"/>
      <c r="AF224" s="419"/>
      <c r="AG224" s="419"/>
      <c r="AH224" s="421"/>
      <c r="AI224" s="421"/>
      <c r="AJ224" s="419"/>
      <c r="AK224" s="419"/>
      <c r="AL224" s="421"/>
      <c r="AM224" s="421"/>
      <c r="AN224" s="419"/>
      <c r="AO224" s="419"/>
      <c r="AP224" s="421"/>
      <c r="AQ224" s="421"/>
      <c r="AR224" s="424">
        <f t="shared" si="97"/>
        <v>0</v>
      </c>
      <c r="AS224" s="422">
        <f t="shared" si="98"/>
        <v>0.73589743589743595</v>
      </c>
      <c r="AT224" s="425">
        <f t="shared" si="99"/>
        <v>0</v>
      </c>
      <c r="AU224" s="423">
        <f t="shared" si="100"/>
        <v>0.75229357798165142</v>
      </c>
      <c r="AV224" s="419"/>
      <c r="AW224" s="421"/>
      <c r="AX224" s="419">
        <v>31</v>
      </c>
      <c r="AY224" s="419">
        <v>28</v>
      </c>
      <c r="AZ224" s="421">
        <v>31</v>
      </c>
      <c r="BA224" s="421">
        <v>24</v>
      </c>
      <c r="BB224" s="419">
        <v>44</v>
      </c>
      <c r="BC224" s="419">
        <v>27</v>
      </c>
      <c r="BD224" s="421">
        <v>52</v>
      </c>
      <c r="BE224" s="421">
        <v>22</v>
      </c>
      <c r="BF224" s="419">
        <v>52</v>
      </c>
      <c r="BG224" s="419">
        <v>20</v>
      </c>
      <c r="BH224" s="421">
        <v>44</v>
      </c>
      <c r="BI224" s="421">
        <v>13</v>
      </c>
      <c r="BJ224" s="419">
        <v>13</v>
      </c>
      <c r="BK224" s="419">
        <v>12</v>
      </c>
      <c r="BL224" s="421">
        <v>13</v>
      </c>
      <c r="BM224" s="421">
        <v>9</v>
      </c>
      <c r="BN224" s="419">
        <v>43</v>
      </c>
      <c r="BO224" s="419">
        <v>10</v>
      </c>
      <c r="BP224" s="421">
        <v>9</v>
      </c>
      <c r="BQ224" s="421">
        <v>5</v>
      </c>
      <c r="BR224" s="419">
        <v>9</v>
      </c>
      <c r="BS224" s="419">
        <v>2</v>
      </c>
      <c r="BT224" s="421">
        <v>43</v>
      </c>
      <c r="BU224" s="421">
        <v>3</v>
      </c>
      <c r="BV224" s="419">
        <v>26</v>
      </c>
      <c r="BW224" s="419">
        <v>2</v>
      </c>
      <c r="BX224" s="421">
        <v>51</v>
      </c>
      <c r="BY224" s="421">
        <v>3</v>
      </c>
      <c r="BZ224" s="419">
        <v>51</v>
      </c>
      <c r="CA224" s="419">
        <v>2</v>
      </c>
      <c r="CB224" s="421">
        <v>26</v>
      </c>
      <c r="CC224" s="421">
        <v>2</v>
      </c>
      <c r="CD224" s="419"/>
      <c r="CE224" s="419"/>
      <c r="CF224" s="421"/>
      <c r="CG224" s="421"/>
      <c r="CH224" s="419"/>
      <c r="CI224" s="419"/>
      <c r="CJ224" s="421"/>
      <c r="CK224" s="421"/>
      <c r="CL224" s="419"/>
      <c r="CM224" s="421"/>
      <c r="CN224" s="424">
        <f t="shared" si="101"/>
        <v>103</v>
      </c>
      <c r="CO224" s="424">
        <f t="shared" si="102"/>
        <v>8</v>
      </c>
      <c r="CP224" s="425">
        <f t="shared" si="103"/>
        <v>81</v>
      </c>
      <c r="CQ224" s="425">
        <f t="shared" si="104"/>
        <v>8</v>
      </c>
      <c r="CR224" s="419"/>
      <c r="CS224" s="419"/>
      <c r="CT224" s="421"/>
      <c r="CU224" s="421"/>
      <c r="CV224" s="419"/>
      <c r="CW224" s="419"/>
      <c r="CX224" s="421"/>
      <c r="CY224" s="421"/>
      <c r="CZ224" s="419"/>
      <c r="DA224" s="419"/>
      <c r="DB224" s="421"/>
      <c r="DC224" s="421"/>
      <c r="DD224" s="419"/>
      <c r="DE224" s="419"/>
      <c r="DF224" s="421"/>
      <c r="DG224" s="421"/>
      <c r="DH224" s="419"/>
      <c r="DI224" s="419"/>
      <c r="DJ224" s="421"/>
      <c r="DK224" s="421"/>
      <c r="DL224" s="419"/>
      <c r="DM224" s="419"/>
      <c r="DN224" s="421"/>
      <c r="DO224" s="421"/>
      <c r="DP224" s="419"/>
      <c r="DQ224" s="419"/>
      <c r="DR224" s="421"/>
      <c r="DS224" s="421"/>
      <c r="DT224" s="419"/>
      <c r="DU224" s="419"/>
      <c r="DV224" s="421"/>
      <c r="DW224" s="421"/>
      <c r="DX224" s="419"/>
      <c r="DY224" s="419"/>
      <c r="DZ224" s="421"/>
      <c r="EA224" s="421"/>
      <c r="EB224" s="419"/>
      <c r="EC224" s="419"/>
      <c r="ED224" s="421"/>
      <c r="EE224" s="421"/>
      <c r="EF224" s="419"/>
      <c r="EG224" s="421"/>
      <c r="EH224" s="424">
        <f t="shared" si="105"/>
        <v>0</v>
      </c>
      <c r="EI224" s="424">
        <f t="shared" si="106"/>
        <v>0</v>
      </c>
      <c r="EJ224" s="422">
        <f t="shared" si="107"/>
        <v>0</v>
      </c>
      <c r="EK224" s="425">
        <f t="shared" si="108"/>
        <v>0</v>
      </c>
      <c r="EL224" s="425">
        <f t="shared" si="109"/>
        <v>0</v>
      </c>
      <c r="EM224" s="423">
        <f t="shared" si="110"/>
        <v>0</v>
      </c>
      <c r="EN224" s="424">
        <f t="shared" si="111"/>
        <v>103</v>
      </c>
      <c r="EO224" s="425">
        <f t="shared" si="112"/>
        <v>81</v>
      </c>
      <c r="EP224" s="419"/>
      <c r="EQ224" s="421"/>
      <c r="ER224" s="419"/>
      <c r="ES224" s="421"/>
      <c r="ET224" s="419"/>
      <c r="EU224" s="421"/>
      <c r="EV224" s="419"/>
      <c r="EW224" s="421"/>
      <c r="EX224" s="419"/>
      <c r="EY224" s="421"/>
      <c r="EZ224" s="419"/>
      <c r="FA224" s="421"/>
      <c r="FB224" s="419"/>
      <c r="FC224" s="421"/>
      <c r="FD224" s="419"/>
      <c r="FE224" s="421"/>
      <c r="FF224" s="419"/>
      <c r="FG224" s="421"/>
      <c r="FH224" s="419"/>
      <c r="FI224" s="421"/>
      <c r="FJ224" s="424">
        <f t="shared" si="113"/>
        <v>0</v>
      </c>
      <c r="FK224" s="425">
        <f t="shared" si="114"/>
        <v>0</v>
      </c>
      <c r="FL224" s="419"/>
      <c r="FM224" s="421"/>
      <c r="FN224" s="424">
        <f t="shared" si="115"/>
        <v>390</v>
      </c>
      <c r="FO224" s="425">
        <f t="shared" si="116"/>
        <v>327</v>
      </c>
    </row>
    <row r="225" spans="1:171">
      <c r="A225" s="487" t="s">
        <v>161</v>
      </c>
      <c r="B225" s="42"/>
      <c r="C225" s="41"/>
      <c r="D225" s="40"/>
      <c r="E225" s="118"/>
      <c r="F225" s="299"/>
      <c r="G225" s="300"/>
      <c r="H225" s="299"/>
      <c r="I225" s="300"/>
      <c r="J225" s="299"/>
      <c r="K225" s="300"/>
      <c r="L225" s="422">
        <f t="shared" si="95"/>
        <v>0</v>
      </c>
      <c r="M225" s="423">
        <f t="shared" si="96"/>
        <v>0</v>
      </c>
      <c r="N225" s="299"/>
      <c r="O225" s="309"/>
      <c r="P225" s="309"/>
      <c r="Q225" s="309"/>
      <c r="R225" s="424">
        <f t="shared" si="93"/>
        <v>0</v>
      </c>
      <c r="S225" s="300"/>
      <c r="T225" s="301"/>
      <c r="U225" s="301"/>
      <c r="V225" s="301"/>
      <c r="W225" s="425">
        <f t="shared" si="94"/>
        <v>0</v>
      </c>
      <c r="X225" s="299"/>
      <c r="Y225" s="299"/>
      <c r="Z225" s="300"/>
      <c r="AA225" s="300"/>
      <c r="AB225" s="299"/>
      <c r="AC225" s="299"/>
      <c r="AD225" s="300"/>
      <c r="AE225" s="300"/>
      <c r="AF225" s="299"/>
      <c r="AG225" s="299"/>
      <c r="AH225" s="300"/>
      <c r="AI225" s="300"/>
      <c r="AJ225" s="299"/>
      <c r="AK225" s="299"/>
      <c r="AL225" s="300"/>
      <c r="AM225" s="300"/>
      <c r="AN225" s="299"/>
      <c r="AO225" s="299"/>
      <c r="AP225" s="300"/>
      <c r="AQ225" s="300"/>
      <c r="AR225" s="424">
        <f t="shared" si="97"/>
        <v>0</v>
      </c>
      <c r="AS225" s="422">
        <f t="shared" si="98"/>
        <v>0</v>
      </c>
      <c r="AT225" s="425">
        <f t="shared" si="99"/>
        <v>0</v>
      </c>
      <c r="AU225" s="423">
        <f t="shared" si="100"/>
        <v>0</v>
      </c>
      <c r="AV225" s="299"/>
      <c r="AW225" s="300"/>
      <c r="AX225" s="299"/>
      <c r="AY225" s="299"/>
      <c r="AZ225" s="300"/>
      <c r="BA225" s="300"/>
      <c r="BB225" s="299"/>
      <c r="BC225" s="299"/>
      <c r="BD225" s="300"/>
      <c r="BE225" s="300"/>
      <c r="BF225" s="299"/>
      <c r="BG225" s="299"/>
      <c r="BH225" s="300"/>
      <c r="BI225" s="300"/>
      <c r="BJ225" s="299"/>
      <c r="BK225" s="299"/>
      <c r="BL225" s="300"/>
      <c r="BM225" s="300"/>
      <c r="BN225" s="299"/>
      <c r="BO225" s="299"/>
      <c r="BP225" s="300"/>
      <c r="BQ225" s="300"/>
      <c r="BR225" s="299"/>
      <c r="BS225" s="299"/>
      <c r="BT225" s="300"/>
      <c r="BU225" s="300"/>
      <c r="BV225" s="299"/>
      <c r="BW225" s="299"/>
      <c r="BX225" s="300"/>
      <c r="BY225" s="300"/>
      <c r="BZ225" s="299"/>
      <c r="CA225" s="299"/>
      <c r="CB225" s="300"/>
      <c r="CC225" s="300"/>
      <c r="CD225" s="299"/>
      <c r="CE225" s="299"/>
      <c r="CF225" s="300"/>
      <c r="CG225" s="300"/>
      <c r="CH225" s="299"/>
      <c r="CI225" s="299"/>
      <c r="CJ225" s="300"/>
      <c r="CK225" s="300"/>
      <c r="CL225" s="299"/>
      <c r="CM225" s="300"/>
      <c r="CN225" s="424">
        <f t="shared" si="101"/>
        <v>0</v>
      </c>
      <c r="CO225" s="424">
        <f t="shared" si="102"/>
        <v>0</v>
      </c>
      <c r="CP225" s="425">
        <f t="shared" si="103"/>
        <v>0</v>
      </c>
      <c r="CQ225" s="425">
        <f t="shared" si="104"/>
        <v>0</v>
      </c>
      <c r="CR225" s="299"/>
      <c r="CS225" s="299"/>
      <c r="CT225" s="300"/>
      <c r="CU225" s="300"/>
      <c r="CV225" s="299"/>
      <c r="CW225" s="299"/>
      <c r="CX225" s="300"/>
      <c r="CY225" s="300"/>
      <c r="CZ225" s="299"/>
      <c r="DA225" s="299"/>
      <c r="DB225" s="300"/>
      <c r="DC225" s="300"/>
      <c r="DD225" s="299"/>
      <c r="DE225" s="299"/>
      <c r="DF225" s="300"/>
      <c r="DG225" s="300"/>
      <c r="DH225" s="299"/>
      <c r="DI225" s="299"/>
      <c r="DJ225" s="300"/>
      <c r="DK225" s="300"/>
      <c r="DL225" s="299"/>
      <c r="DM225" s="299"/>
      <c r="DN225" s="300"/>
      <c r="DO225" s="300"/>
      <c r="DP225" s="299"/>
      <c r="DQ225" s="299"/>
      <c r="DR225" s="300"/>
      <c r="DS225" s="300"/>
      <c r="DT225" s="299"/>
      <c r="DU225" s="299"/>
      <c r="DV225" s="300"/>
      <c r="DW225" s="300"/>
      <c r="DX225" s="299"/>
      <c r="DY225" s="299"/>
      <c r="DZ225" s="300"/>
      <c r="EA225" s="300"/>
      <c r="EB225" s="299"/>
      <c r="EC225" s="299"/>
      <c r="ED225" s="300"/>
      <c r="EE225" s="300"/>
      <c r="EF225" s="299"/>
      <c r="EG225" s="300"/>
      <c r="EH225" s="424">
        <f t="shared" si="105"/>
        <v>0</v>
      </c>
      <c r="EI225" s="424">
        <f t="shared" si="106"/>
        <v>0</v>
      </c>
      <c r="EJ225" s="422">
        <f t="shared" si="107"/>
        <v>0</v>
      </c>
      <c r="EK225" s="425">
        <f t="shared" si="108"/>
        <v>0</v>
      </c>
      <c r="EL225" s="425">
        <f t="shared" si="109"/>
        <v>0</v>
      </c>
      <c r="EM225" s="423">
        <f t="shared" si="110"/>
        <v>0</v>
      </c>
      <c r="EN225" s="424">
        <f t="shared" si="111"/>
        <v>0</v>
      </c>
      <c r="EO225" s="425">
        <f t="shared" si="112"/>
        <v>0</v>
      </c>
      <c r="EP225" s="299"/>
      <c r="EQ225" s="300"/>
      <c r="ER225" s="299"/>
      <c r="ES225" s="300"/>
      <c r="ET225" s="299"/>
      <c r="EU225" s="300"/>
      <c r="EV225" s="299"/>
      <c r="EW225" s="300"/>
      <c r="EX225" s="299"/>
      <c r="EY225" s="300"/>
      <c r="EZ225" s="299"/>
      <c r="FA225" s="300"/>
      <c r="FB225" s="299"/>
      <c r="FC225" s="300"/>
      <c r="FD225" s="299"/>
      <c r="FE225" s="300"/>
      <c r="FF225" s="299"/>
      <c r="FG225" s="300"/>
      <c r="FH225" s="299"/>
      <c r="FI225" s="300"/>
      <c r="FJ225" s="424">
        <f t="shared" si="113"/>
        <v>0</v>
      </c>
      <c r="FK225" s="425">
        <f t="shared" si="114"/>
        <v>0</v>
      </c>
      <c r="FL225" s="299"/>
      <c r="FM225" s="300"/>
      <c r="FN225" s="424">
        <f t="shared" si="115"/>
        <v>0</v>
      </c>
      <c r="FO225" s="425">
        <f t="shared" si="116"/>
        <v>0</v>
      </c>
    </row>
    <row r="226" spans="1:171">
      <c r="A226" s="458" t="s">
        <v>162</v>
      </c>
      <c r="B226" s="14" t="s">
        <v>746</v>
      </c>
      <c r="C226" s="13"/>
      <c r="D226" s="12">
        <v>199193</v>
      </c>
      <c r="E226" s="12">
        <v>1</v>
      </c>
      <c r="F226" s="419"/>
      <c r="G226" s="420">
        <v>106</v>
      </c>
      <c r="H226" s="419"/>
      <c r="I226" s="421"/>
      <c r="J226" s="419">
        <v>143</v>
      </c>
      <c r="K226" s="421">
        <v>165</v>
      </c>
      <c r="L226" s="422">
        <f t="shared" si="95"/>
        <v>2.4025537634408602E-2</v>
      </c>
      <c r="M226" s="423">
        <f t="shared" si="96"/>
        <v>2.7541311967951929E-2</v>
      </c>
      <c r="N226" s="459">
        <v>5952</v>
      </c>
      <c r="O226" s="309">
        <f>0</f>
        <v>0</v>
      </c>
      <c r="P226" s="309">
        <f>0</f>
        <v>0</v>
      </c>
      <c r="Q226" s="309">
        <f>0</f>
        <v>0</v>
      </c>
      <c r="R226" s="424">
        <f t="shared" si="93"/>
        <v>0</v>
      </c>
      <c r="S226" s="421" t="s">
        <v>1161</v>
      </c>
      <c r="T226" s="301">
        <f>0</f>
        <v>0</v>
      </c>
      <c r="U226" s="301">
        <f>0</f>
        <v>0</v>
      </c>
      <c r="V226" s="301">
        <f>0</f>
        <v>0</v>
      </c>
      <c r="W226" s="425">
        <f t="shared" si="94"/>
        <v>0</v>
      </c>
      <c r="X226" s="419"/>
      <c r="Y226" s="419"/>
      <c r="Z226" s="421"/>
      <c r="AA226" s="421"/>
      <c r="AB226" s="419"/>
      <c r="AC226" s="419"/>
      <c r="AD226" s="421"/>
      <c r="AE226" s="421"/>
      <c r="AF226" s="419"/>
      <c r="AG226" s="419"/>
      <c r="AH226" s="421"/>
      <c r="AI226" s="421"/>
      <c r="AJ226" s="419"/>
      <c r="AK226" s="419"/>
      <c r="AL226" s="421"/>
      <c r="AM226" s="421"/>
      <c r="AN226" s="419"/>
      <c r="AO226" s="419"/>
      <c r="AP226" s="421"/>
      <c r="AQ226" s="421"/>
      <c r="AR226" s="424">
        <f t="shared" si="97"/>
        <v>0</v>
      </c>
      <c r="AS226" s="422">
        <f t="shared" si="98"/>
        <v>0.62527576426095177</v>
      </c>
      <c r="AT226" s="425">
        <f t="shared" si="99"/>
        <v>0</v>
      </c>
      <c r="AU226" s="423">
        <f t="shared" si="100"/>
        <v>0.59428628112290449</v>
      </c>
      <c r="AV226" s="419"/>
      <c r="AW226" s="420">
        <v>425</v>
      </c>
      <c r="AX226" s="419">
        <v>14</v>
      </c>
      <c r="AY226" s="419">
        <v>772</v>
      </c>
      <c r="AZ226" s="421">
        <v>14</v>
      </c>
      <c r="BA226" s="421">
        <v>717</v>
      </c>
      <c r="BB226" s="419">
        <v>11</v>
      </c>
      <c r="BC226" s="419">
        <v>411</v>
      </c>
      <c r="BD226" s="421">
        <v>11</v>
      </c>
      <c r="BE226" s="421">
        <v>456</v>
      </c>
      <c r="BF226" s="419">
        <v>52</v>
      </c>
      <c r="BG226" s="419">
        <v>363</v>
      </c>
      <c r="BH226" s="421">
        <v>52</v>
      </c>
      <c r="BI226" s="421">
        <v>361</v>
      </c>
      <c r="BJ226" s="419">
        <v>13</v>
      </c>
      <c r="BK226" s="419">
        <v>285</v>
      </c>
      <c r="BL226" s="421">
        <v>13</v>
      </c>
      <c r="BM226" s="421">
        <v>302</v>
      </c>
      <c r="BN226" s="419">
        <v>26</v>
      </c>
      <c r="BO226" s="419">
        <v>172</v>
      </c>
      <c r="BP226" s="421">
        <v>26</v>
      </c>
      <c r="BQ226" s="421">
        <v>149</v>
      </c>
      <c r="BR226" s="419">
        <v>44</v>
      </c>
      <c r="BS226" s="419">
        <v>134</v>
      </c>
      <c r="BT226" s="421">
        <v>27</v>
      </c>
      <c r="BU226" s="421">
        <v>120</v>
      </c>
      <c r="BV226" s="419">
        <v>27</v>
      </c>
      <c r="BW226" s="419">
        <v>132</v>
      </c>
      <c r="BX226" s="421">
        <v>44</v>
      </c>
      <c r="BY226" s="421">
        <v>111</v>
      </c>
      <c r="BZ226" s="419">
        <v>1</v>
      </c>
      <c r="CA226" s="419">
        <v>79</v>
      </c>
      <c r="CB226" s="421">
        <v>1</v>
      </c>
      <c r="CC226" s="421">
        <v>78</v>
      </c>
      <c r="CD226" s="419">
        <v>45</v>
      </c>
      <c r="CE226" s="419">
        <v>57</v>
      </c>
      <c r="CF226" s="421">
        <v>45</v>
      </c>
      <c r="CG226" s="421">
        <v>62</v>
      </c>
      <c r="CH226" s="419">
        <v>4</v>
      </c>
      <c r="CI226" s="419">
        <v>54</v>
      </c>
      <c r="CJ226" s="421">
        <v>30</v>
      </c>
      <c r="CK226" s="421">
        <v>52</v>
      </c>
      <c r="CL226" s="419">
        <v>302</v>
      </c>
      <c r="CM226" s="421">
        <v>324</v>
      </c>
      <c r="CN226" s="424">
        <f t="shared" si="101"/>
        <v>2761</v>
      </c>
      <c r="CO226" s="424">
        <f t="shared" si="102"/>
        <v>10</v>
      </c>
      <c r="CP226" s="425">
        <f t="shared" si="103"/>
        <v>2732</v>
      </c>
      <c r="CQ226" s="425">
        <f t="shared" si="104"/>
        <v>10</v>
      </c>
      <c r="CR226" s="419">
        <v>14</v>
      </c>
      <c r="CS226" s="419">
        <v>195</v>
      </c>
      <c r="CT226" s="421">
        <v>14</v>
      </c>
      <c r="CU226" s="421">
        <v>222</v>
      </c>
      <c r="CV226" s="419">
        <v>13</v>
      </c>
      <c r="CW226" s="419">
        <v>76</v>
      </c>
      <c r="CX226" s="421">
        <v>13</v>
      </c>
      <c r="CY226" s="421">
        <v>67</v>
      </c>
      <c r="CZ226" s="419">
        <v>26</v>
      </c>
      <c r="DA226" s="419">
        <v>49</v>
      </c>
      <c r="DB226" s="421">
        <v>27</v>
      </c>
      <c r="DC226" s="421">
        <v>48</v>
      </c>
      <c r="DD226" s="419">
        <v>40</v>
      </c>
      <c r="DE226" s="419">
        <v>48</v>
      </c>
      <c r="DF226" s="421">
        <v>26</v>
      </c>
      <c r="DG226" s="421">
        <v>41</v>
      </c>
      <c r="DH226" s="419">
        <v>27</v>
      </c>
      <c r="DI226" s="419">
        <v>42</v>
      </c>
      <c r="DJ226" s="421">
        <v>1</v>
      </c>
      <c r="DK226" s="421">
        <v>37</v>
      </c>
      <c r="DL226" s="419">
        <v>11</v>
      </c>
      <c r="DM226" s="419">
        <v>30</v>
      </c>
      <c r="DN226" s="421">
        <v>40</v>
      </c>
      <c r="DO226" s="421">
        <v>32</v>
      </c>
      <c r="DP226" s="419">
        <v>1</v>
      </c>
      <c r="DQ226" s="419">
        <v>30</v>
      </c>
      <c r="DR226" s="421">
        <v>11</v>
      </c>
      <c r="DS226" s="421">
        <v>28</v>
      </c>
      <c r="DT226" s="419">
        <v>45</v>
      </c>
      <c r="DU226" s="419">
        <v>26</v>
      </c>
      <c r="DV226" s="421">
        <v>42</v>
      </c>
      <c r="DW226" s="421">
        <v>22</v>
      </c>
      <c r="DX226" s="419">
        <v>3</v>
      </c>
      <c r="DY226" s="419">
        <v>19</v>
      </c>
      <c r="DZ226" s="421">
        <v>45</v>
      </c>
      <c r="EA226" s="421">
        <v>20</v>
      </c>
      <c r="EB226" s="419">
        <v>42</v>
      </c>
      <c r="EC226" s="419">
        <v>13</v>
      </c>
      <c r="ED226" s="421">
        <v>3</v>
      </c>
      <c r="EE226" s="420">
        <v>16</v>
      </c>
      <c r="EF226" s="419">
        <v>36</v>
      </c>
      <c r="EG226" s="421">
        <v>29</v>
      </c>
      <c r="EH226" s="424">
        <f t="shared" si="105"/>
        <v>564</v>
      </c>
      <c r="EI226" s="424">
        <f t="shared" si="106"/>
        <v>10</v>
      </c>
      <c r="EJ226" s="422">
        <f t="shared" si="107"/>
        <v>0.34574468085106386</v>
      </c>
      <c r="EK226" s="425">
        <f t="shared" si="108"/>
        <v>562</v>
      </c>
      <c r="EL226" s="425">
        <f t="shared" si="109"/>
        <v>10</v>
      </c>
      <c r="EM226" s="423">
        <f t="shared" si="110"/>
        <v>0.39501779359430605</v>
      </c>
      <c r="EN226" s="424">
        <f t="shared" si="111"/>
        <v>3325</v>
      </c>
      <c r="EO226" s="425">
        <f t="shared" si="112"/>
        <v>3294</v>
      </c>
      <c r="EP226" s="419"/>
      <c r="EQ226" s="421"/>
      <c r="ER226" s="419"/>
      <c r="ES226" s="421"/>
      <c r="ET226" s="419"/>
      <c r="EU226" s="421"/>
      <c r="EV226" s="419"/>
      <c r="EW226" s="421"/>
      <c r="EX226" s="419"/>
      <c r="EY226" s="421"/>
      <c r="EZ226" s="419"/>
      <c r="FA226" s="421"/>
      <c r="FB226" s="419"/>
      <c r="FC226" s="421"/>
      <c r="FD226" s="419">
        <v>99</v>
      </c>
      <c r="FE226" s="421">
        <v>100</v>
      </c>
      <c r="FF226" s="419"/>
      <c r="FG226" s="421"/>
      <c r="FH226" s="419"/>
      <c r="FI226" s="421"/>
      <c r="FJ226" s="424">
        <f t="shared" si="113"/>
        <v>99</v>
      </c>
      <c r="FK226" s="425">
        <f t="shared" si="114"/>
        <v>100</v>
      </c>
      <c r="FL226" s="419"/>
      <c r="FM226" s="421"/>
      <c r="FN226" s="424">
        <f t="shared" si="115"/>
        <v>9519</v>
      </c>
      <c r="FO226" s="425">
        <f t="shared" si="116"/>
        <v>10081</v>
      </c>
    </row>
    <row r="227" spans="1:171">
      <c r="A227" s="458" t="s">
        <v>162</v>
      </c>
      <c r="B227" s="14" t="s">
        <v>747</v>
      </c>
      <c r="C227" s="13"/>
      <c r="D227" s="12">
        <v>199120</v>
      </c>
      <c r="E227" s="12">
        <v>1</v>
      </c>
      <c r="F227" s="419">
        <v>1</v>
      </c>
      <c r="G227" s="420">
        <v>4</v>
      </c>
      <c r="H227" s="419"/>
      <c r="I227" s="421"/>
      <c r="J227" s="419"/>
      <c r="K227" s="421"/>
      <c r="L227" s="422">
        <f t="shared" si="95"/>
        <v>0</v>
      </c>
      <c r="M227" s="423">
        <f t="shared" si="96"/>
        <v>0</v>
      </c>
      <c r="N227" s="459">
        <v>4662</v>
      </c>
      <c r="O227" s="309">
        <f>0</f>
        <v>0</v>
      </c>
      <c r="P227" s="309">
        <f>0</f>
        <v>0</v>
      </c>
      <c r="Q227" s="309">
        <f>0</f>
        <v>0</v>
      </c>
      <c r="R227" s="424">
        <f t="shared" si="93"/>
        <v>0</v>
      </c>
      <c r="S227" s="421" t="s">
        <v>1162</v>
      </c>
      <c r="T227" s="301">
        <f>0</f>
        <v>0</v>
      </c>
      <c r="U227" s="301">
        <f>0</f>
        <v>0</v>
      </c>
      <c r="V227" s="301">
        <f>0</f>
        <v>0</v>
      </c>
      <c r="W227" s="425">
        <f t="shared" si="94"/>
        <v>0</v>
      </c>
      <c r="X227" s="419"/>
      <c r="Y227" s="419"/>
      <c r="Z227" s="421"/>
      <c r="AA227" s="421"/>
      <c r="AB227" s="419"/>
      <c r="AC227" s="419"/>
      <c r="AD227" s="421"/>
      <c r="AE227" s="421"/>
      <c r="AF227" s="419"/>
      <c r="AG227" s="419"/>
      <c r="AH227" s="421"/>
      <c r="AI227" s="421"/>
      <c r="AJ227" s="419"/>
      <c r="AK227" s="419"/>
      <c r="AL227" s="421"/>
      <c r="AM227" s="421"/>
      <c r="AN227" s="419"/>
      <c r="AO227" s="419"/>
      <c r="AP227" s="421"/>
      <c r="AQ227" s="421"/>
      <c r="AR227" s="424">
        <f t="shared" si="97"/>
        <v>0</v>
      </c>
      <c r="AS227" s="422">
        <f t="shared" si="98"/>
        <v>0.56536502546689305</v>
      </c>
      <c r="AT227" s="425">
        <f t="shared" si="99"/>
        <v>0</v>
      </c>
      <c r="AU227" s="423">
        <f t="shared" si="100"/>
        <v>0.56673318464608524</v>
      </c>
      <c r="AV227" s="419"/>
      <c r="AW227" s="421"/>
      <c r="AX227" s="419">
        <v>52</v>
      </c>
      <c r="AY227" s="419">
        <v>1148</v>
      </c>
      <c r="AZ227" s="421">
        <v>52</v>
      </c>
      <c r="BA227" s="421">
        <v>1036</v>
      </c>
      <c r="BB227" s="419">
        <v>51</v>
      </c>
      <c r="BC227" s="419">
        <v>478</v>
      </c>
      <c r="BD227" s="421">
        <v>51</v>
      </c>
      <c r="BE227" s="421">
        <v>538</v>
      </c>
      <c r="BF227" s="419">
        <v>44</v>
      </c>
      <c r="BG227" s="419">
        <v>212</v>
      </c>
      <c r="BH227" s="421">
        <v>44</v>
      </c>
      <c r="BI227" s="421">
        <v>222</v>
      </c>
      <c r="BJ227" s="419">
        <v>13</v>
      </c>
      <c r="BK227" s="419">
        <v>81</v>
      </c>
      <c r="BL227" s="421">
        <v>13</v>
      </c>
      <c r="BM227" s="420">
        <v>108</v>
      </c>
      <c r="BN227" s="419">
        <v>11</v>
      </c>
      <c r="BO227" s="419">
        <v>74</v>
      </c>
      <c r="BP227" s="421">
        <v>11</v>
      </c>
      <c r="BQ227" s="421">
        <v>76</v>
      </c>
      <c r="BR227" s="419">
        <v>25</v>
      </c>
      <c r="BS227" s="419">
        <v>53</v>
      </c>
      <c r="BT227" s="421">
        <v>25</v>
      </c>
      <c r="BU227" s="421">
        <v>56</v>
      </c>
      <c r="BV227" s="419">
        <v>30</v>
      </c>
      <c r="BW227" s="419">
        <v>46</v>
      </c>
      <c r="BX227" s="421">
        <v>45</v>
      </c>
      <c r="BY227" s="421">
        <v>51</v>
      </c>
      <c r="BZ227" s="419">
        <v>45</v>
      </c>
      <c r="CA227" s="419">
        <v>42</v>
      </c>
      <c r="CB227" s="421">
        <v>30</v>
      </c>
      <c r="CC227" s="421">
        <v>44</v>
      </c>
      <c r="CD227" s="419">
        <v>26</v>
      </c>
      <c r="CE227" s="419">
        <v>39</v>
      </c>
      <c r="CF227" s="421">
        <v>26</v>
      </c>
      <c r="CG227" s="421">
        <v>43</v>
      </c>
      <c r="CH227" s="419">
        <v>9</v>
      </c>
      <c r="CI227" s="419">
        <v>35</v>
      </c>
      <c r="CJ227" s="421">
        <v>9</v>
      </c>
      <c r="CK227" s="421">
        <v>40</v>
      </c>
      <c r="CL227" s="419">
        <v>196</v>
      </c>
      <c r="CM227" s="421">
        <v>231</v>
      </c>
      <c r="CN227" s="424">
        <f t="shared" si="101"/>
        <v>2404</v>
      </c>
      <c r="CO227" s="424">
        <f t="shared" si="102"/>
        <v>10</v>
      </c>
      <c r="CP227" s="425">
        <f t="shared" si="103"/>
        <v>2445</v>
      </c>
      <c r="CQ227" s="425">
        <f t="shared" si="104"/>
        <v>10</v>
      </c>
      <c r="CR227" s="419">
        <v>26</v>
      </c>
      <c r="CS227" s="419">
        <v>109</v>
      </c>
      <c r="CT227" s="421">
        <v>26</v>
      </c>
      <c r="CU227" s="420">
        <v>135</v>
      </c>
      <c r="CV227" s="419">
        <v>51</v>
      </c>
      <c r="CW227" s="419">
        <v>72</v>
      </c>
      <c r="CX227" s="421">
        <v>51</v>
      </c>
      <c r="CY227" s="421">
        <v>86</v>
      </c>
      <c r="CZ227" s="419">
        <v>40</v>
      </c>
      <c r="DA227" s="419">
        <v>72</v>
      </c>
      <c r="DB227" s="421">
        <v>40</v>
      </c>
      <c r="DC227" s="421">
        <v>69</v>
      </c>
      <c r="DD227" s="419">
        <v>45</v>
      </c>
      <c r="DE227" s="419">
        <v>47</v>
      </c>
      <c r="DF227" s="421">
        <v>45</v>
      </c>
      <c r="DG227" s="421">
        <v>38</v>
      </c>
      <c r="DH227" s="419">
        <v>13</v>
      </c>
      <c r="DI227" s="419">
        <v>31</v>
      </c>
      <c r="DJ227" s="421">
        <v>11</v>
      </c>
      <c r="DK227" s="421">
        <v>31</v>
      </c>
      <c r="DL227" s="419">
        <v>42</v>
      </c>
      <c r="DM227" s="419">
        <v>24</v>
      </c>
      <c r="DN227" s="421">
        <v>42</v>
      </c>
      <c r="DO227" s="421">
        <v>27</v>
      </c>
      <c r="DP227" s="419">
        <v>11</v>
      </c>
      <c r="DQ227" s="419">
        <v>24</v>
      </c>
      <c r="DR227" s="421">
        <v>13</v>
      </c>
      <c r="DS227" s="421">
        <v>24</v>
      </c>
      <c r="DT227" s="419">
        <v>27</v>
      </c>
      <c r="DU227" s="419">
        <v>22</v>
      </c>
      <c r="DV227" s="421">
        <v>23</v>
      </c>
      <c r="DW227" s="421">
        <v>19</v>
      </c>
      <c r="DX227" s="419">
        <v>23</v>
      </c>
      <c r="DY227" s="419">
        <v>18</v>
      </c>
      <c r="DZ227" s="421">
        <v>54</v>
      </c>
      <c r="EA227" s="421">
        <v>18</v>
      </c>
      <c r="EB227" s="419">
        <v>16</v>
      </c>
      <c r="EC227" s="419">
        <v>16</v>
      </c>
      <c r="ED227" s="421">
        <v>52</v>
      </c>
      <c r="EE227" s="421">
        <v>17</v>
      </c>
      <c r="EF227" s="419">
        <v>79</v>
      </c>
      <c r="EG227" s="420">
        <v>118</v>
      </c>
      <c r="EH227" s="424">
        <f t="shared" si="105"/>
        <v>514</v>
      </c>
      <c r="EI227" s="424">
        <f t="shared" si="106"/>
        <v>10</v>
      </c>
      <c r="EJ227" s="422">
        <f t="shared" si="107"/>
        <v>0.21206225680933852</v>
      </c>
      <c r="EK227" s="425">
        <f t="shared" si="108"/>
        <v>582</v>
      </c>
      <c r="EL227" s="425">
        <f t="shared" si="109"/>
        <v>10</v>
      </c>
      <c r="EM227" s="423">
        <f t="shared" si="110"/>
        <v>0.23195876288659795</v>
      </c>
      <c r="EN227" s="424">
        <f t="shared" si="111"/>
        <v>2918</v>
      </c>
      <c r="EO227" s="425">
        <f t="shared" si="112"/>
        <v>3027</v>
      </c>
      <c r="EP227" s="419">
        <v>206</v>
      </c>
      <c r="EQ227" s="421">
        <v>199</v>
      </c>
      <c r="ER227" s="419">
        <v>171</v>
      </c>
      <c r="ES227" s="421">
        <v>170</v>
      </c>
      <c r="ET227" s="419">
        <v>84</v>
      </c>
      <c r="EU227" s="421">
        <v>83</v>
      </c>
      <c r="EV227" s="419">
        <v>137</v>
      </c>
      <c r="EW227" s="421">
        <v>148</v>
      </c>
      <c r="EX227" s="419"/>
      <c r="EY227" s="421"/>
      <c r="EZ227" s="419"/>
      <c r="FA227" s="421"/>
      <c r="FB227" s="419"/>
      <c r="FC227" s="421"/>
      <c r="FD227" s="419"/>
      <c r="FE227" s="421"/>
      <c r="FF227" s="419"/>
      <c r="FG227" s="421"/>
      <c r="FH227" s="419">
        <v>67</v>
      </c>
      <c r="FI227" s="421">
        <v>60</v>
      </c>
      <c r="FJ227" s="424">
        <f t="shared" si="113"/>
        <v>665</v>
      </c>
      <c r="FK227" s="425">
        <f t="shared" si="114"/>
        <v>660</v>
      </c>
      <c r="FL227" s="419"/>
      <c r="FM227" s="421"/>
      <c r="FN227" s="424">
        <f t="shared" si="115"/>
        <v>8246</v>
      </c>
      <c r="FO227" s="425">
        <f t="shared" si="116"/>
        <v>8519</v>
      </c>
    </row>
    <row r="228" spans="1:171">
      <c r="A228" s="458" t="s">
        <v>162</v>
      </c>
      <c r="B228" s="14" t="s">
        <v>748</v>
      </c>
      <c r="C228" s="11"/>
      <c r="D228" s="12">
        <v>199139</v>
      </c>
      <c r="E228" s="12">
        <v>1</v>
      </c>
      <c r="F228" s="419"/>
      <c r="G228" s="421"/>
      <c r="H228" s="419"/>
      <c r="I228" s="421"/>
      <c r="J228" s="419"/>
      <c r="K228" s="421"/>
      <c r="L228" s="422">
        <f t="shared" si="95"/>
        <v>0</v>
      </c>
      <c r="M228" s="423">
        <f t="shared" si="96"/>
        <v>0</v>
      </c>
      <c r="N228" s="459">
        <v>5792</v>
      </c>
      <c r="O228" s="309">
        <f>0</f>
        <v>0</v>
      </c>
      <c r="P228" s="309">
        <f>0</f>
        <v>0</v>
      </c>
      <c r="Q228" s="309">
        <f>0</f>
        <v>0</v>
      </c>
      <c r="R228" s="424">
        <f t="shared" si="93"/>
        <v>0</v>
      </c>
      <c r="S228" s="421" t="s">
        <v>1163</v>
      </c>
      <c r="T228" s="301">
        <f>0</f>
        <v>0</v>
      </c>
      <c r="U228" s="301">
        <f>0</f>
        <v>0</v>
      </c>
      <c r="V228" s="301">
        <f>0</f>
        <v>0</v>
      </c>
      <c r="W228" s="425">
        <f t="shared" si="94"/>
        <v>0</v>
      </c>
      <c r="X228" s="419"/>
      <c r="Y228" s="419"/>
      <c r="Z228" s="421"/>
      <c r="AA228" s="421"/>
      <c r="AB228" s="419"/>
      <c r="AC228" s="419"/>
      <c r="AD228" s="421"/>
      <c r="AE228" s="421"/>
      <c r="AF228" s="419"/>
      <c r="AG228" s="419"/>
      <c r="AH228" s="421"/>
      <c r="AI228" s="421"/>
      <c r="AJ228" s="419"/>
      <c r="AK228" s="419"/>
      <c r="AL228" s="421"/>
      <c r="AM228" s="421"/>
      <c r="AN228" s="419"/>
      <c r="AO228" s="419"/>
      <c r="AP228" s="421"/>
      <c r="AQ228" s="421"/>
      <c r="AR228" s="424">
        <f t="shared" si="97"/>
        <v>0</v>
      </c>
      <c r="AS228" s="422">
        <f t="shared" si="98"/>
        <v>0.73755252769642177</v>
      </c>
      <c r="AT228" s="425">
        <f t="shared" si="99"/>
        <v>0</v>
      </c>
      <c r="AU228" s="423">
        <f t="shared" si="100"/>
        <v>0.75077922077922077</v>
      </c>
      <c r="AV228" s="419">
        <v>192</v>
      </c>
      <c r="AW228" s="421">
        <v>177</v>
      </c>
      <c r="AX228" s="419">
        <v>52</v>
      </c>
      <c r="AY228" s="419">
        <v>282</v>
      </c>
      <c r="AZ228" s="421">
        <v>11</v>
      </c>
      <c r="BA228" s="420">
        <v>422</v>
      </c>
      <c r="BB228" s="419">
        <v>11</v>
      </c>
      <c r="BC228" s="419">
        <v>280</v>
      </c>
      <c r="BD228" s="421">
        <v>13</v>
      </c>
      <c r="BE228" s="421">
        <v>279</v>
      </c>
      <c r="BF228" s="419">
        <v>13</v>
      </c>
      <c r="BG228" s="419">
        <v>266</v>
      </c>
      <c r="BH228" s="421">
        <v>52</v>
      </c>
      <c r="BI228" s="421">
        <v>254</v>
      </c>
      <c r="BJ228" s="419">
        <v>51</v>
      </c>
      <c r="BK228" s="419">
        <v>189</v>
      </c>
      <c r="BL228" s="421">
        <v>51</v>
      </c>
      <c r="BM228" s="421">
        <v>175</v>
      </c>
      <c r="BN228" s="419">
        <v>14</v>
      </c>
      <c r="BO228" s="419">
        <v>132</v>
      </c>
      <c r="BP228" s="421">
        <v>44</v>
      </c>
      <c r="BQ228" s="421">
        <v>109</v>
      </c>
      <c r="BR228" s="419">
        <v>44</v>
      </c>
      <c r="BS228" s="419">
        <v>107</v>
      </c>
      <c r="BT228" s="421">
        <v>14</v>
      </c>
      <c r="BU228" s="421">
        <v>107</v>
      </c>
      <c r="BV228" s="419">
        <v>27</v>
      </c>
      <c r="BW228" s="419">
        <v>80</v>
      </c>
      <c r="BX228" s="421">
        <v>27</v>
      </c>
      <c r="BY228" s="420">
        <v>49</v>
      </c>
      <c r="BZ228" s="419">
        <v>15</v>
      </c>
      <c r="CA228" s="419">
        <v>77</v>
      </c>
      <c r="CB228" s="421">
        <v>4</v>
      </c>
      <c r="CC228" s="420">
        <v>36</v>
      </c>
      <c r="CD228" s="419">
        <v>4</v>
      </c>
      <c r="CE228" s="419">
        <v>62</v>
      </c>
      <c r="CF228" s="421">
        <v>15</v>
      </c>
      <c r="CG228" s="420">
        <v>34</v>
      </c>
      <c r="CH228" s="419">
        <v>45</v>
      </c>
      <c r="CI228" s="419">
        <v>44</v>
      </c>
      <c r="CJ228" s="421">
        <v>45</v>
      </c>
      <c r="CK228" s="420">
        <v>26</v>
      </c>
      <c r="CL228" s="419">
        <v>173</v>
      </c>
      <c r="CM228" s="420">
        <v>122</v>
      </c>
      <c r="CN228" s="424">
        <f t="shared" si="101"/>
        <v>1692</v>
      </c>
      <c r="CO228" s="424">
        <f t="shared" si="102"/>
        <v>10</v>
      </c>
      <c r="CP228" s="425">
        <f t="shared" si="103"/>
        <v>1613</v>
      </c>
      <c r="CQ228" s="425">
        <f t="shared" si="104"/>
        <v>10</v>
      </c>
      <c r="CR228" s="419">
        <v>13</v>
      </c>
      <c r="CS228" s="419">
        <v>42</v>
      </c>
      <c r="CT228" s="421">
        <v>13</v>
      </c>
      <c r="CU228" s="420">
        <v>27</v>
      </c>
      <c r="CV228" s="419">
        <v>14</v>
      </c>
      <c r="CW228" s="419">
        <v>32</v>
      </c>
      <c r="CX228" s="421">
        <v>14</v>
      </c>
      <c r="CY228" s="420">
        <v>21</v>
      </c>
      <c r="CZ228" s="419">
        <v>11</v>
      </c>
      <c r="DA228" s="419">
        <v>20</v>
      </c>
      <c r="DB228" s="421">
        <v>11</v>
      </c>
      <c r="DC228" s="420">
        <v>12</v>
      </c>
      <c r="DD228" s="419">
        <v>26</v>
      </c>
      <c r="DE228" s="419">
        <v>16</v>
      </c>
      <c r="DF228" s="421">
        <v>30</v>
      </c>
      <c r="DG228" s="420">
        <v>9</v>
      </c>
      <c r="DH228" s="419">
        <v>40</v>
      </c>
      <c r="DI228" s="419">
        <v>13</v>
      </c>
      <c r="DJ228" s="421">
        <v>26</v>
      </c>
      <c r="DK228" s="420">
        <v>7</v>
      </c>
      <c r="DL228" s="419">
        <v>27</v>
      </c>
      <c r="DM228" s="419">
        <v>13</v>
      </c>
      <c r="DN228" s="421">
        <v>45</v>
      </c>
      <c r="DO228" s="420">
        <v>6</v>
      </c>
      <c r="DP228" s="419">
        <v>30</v>
      </c>
      <c r="DQ228" s="419">
        <v>10</v>
      </c>
      <c r="DR228" s="421">
        <v>40</v>
      </c>
      <c r="DS228" s="420">
        <v>6</v>
      </c>
      <c r="DT228" s="419">
        <v>51</v>
      </c>
      <c r="DU228" s="419">
        <v>7</v>
      </c>
      <c r="DV228" s="421">
        <v>42</v>
      </c>
      <c r="DW228" s="420">
        <v>4</v>
      </c>
      <c r="DX228" s="419">
        <v>52</v>
      </c>
      <c r="DY228" s="419">
        <v>5</v>
      </c>
      <c r="DZ228" s="421">
        <v>44</v>
      </c>
      <c r="EA228" s="420">
        <v>3</v>
      </c>
      <c r="EB228" s="419">
        <v>42</v>
      </c>
      <c r="EC228" s="419">
        <v>5</v>
      </c>
      <c r="ED228" s="421">
        <v>27</v>
      </c>
      <c r="EE228" s="420">
        <v>3</v>
      </c>
      <c r="EF228" s="419">
        <v>4</v>
      </c>
      <c r="EG228" s="420">
        <v>3</v>
      </c>
      <c r="EH228" s="424">
        <f t="shared" si="105"/>
        <v>167</v>
      </c>
      <c r="EI228" s="424">
        <f t="shared" si="106"/>
        <v>10</v>
      </c>
      <c r="EJ228" s="422">
        <f t="shared" si="107"/>
        <v>0.25149700598802394</v>
      </c>
      <c r="EK228" s="425">
        <f t="shared" si="108"/>
        <v>101</v>
      </c>
      <c r="EL228" s="425">
        <f t="shared" si="109"/>
        <v>10</v>
      </c>
      <c r="EM228" s="423">
        <f t="shared" si="110"/>
        <v>0.26732673267326734</v>
      </c>
      <c r="EN228" s="424">
        <f t="shared" si="111"/>
        <v>1859</v>
      </c>
      <c r="EO228" s="425">
        <f t="shared" si="112"/>
        <v>1714</v>
      </c>
      <c r="EP228" s="419"/>
      <c r="EQ228" s="421"/>
      <c r="ER228" s="419"/>
      <c r="ES228" s="421"/>
      <c r="ET228" s="419"/>
      <c r="EU228" s="421"/>
      <c r="EV228" s="419"/>
      <c r="EW228" s="421"/>
      <c r="EX228" s="419"/>
      <c r="EY228" s="421"/>
      <c r="EZ228" s="419"/>
      <c r="FA228" s="421"/>
      <c r="FB228" s="419"/>
      <c r="FC228" s="421"/>
      <c r="FD228" s="419"/>
      <c r="FE228" s="421"/>
      <c r="FF228" s="419"/>
      <c r="FG228" s="421"/>
      <c r="FH228" s="419">
        <v>10</v>
      </c>
      <c r="FI228" s="420">
        <v>28</v>
      </c>
      <c r="FJ228" s="424">
        <f t="shared" si="113"/>
        <v>10</v>
      </c>
      <c r="FK228" s="425">
        <f t="shared" si="114"/>
        <v>28</v>
      </c>
      <c r="FL228" s="419"/>
      <c r="FM228" s="421"/>
      <c r="FN228" s="424">
        <f t="shared" si="115"/>
        <v>7853</v>
      </c>
      <c r="FO228" s="425">
        <f t="shared" si="116"/>
        <v>7700</v>
      </c>
    </row>
    <row r="229" spans="1:171">
      <c r="A229" s="458" t="s">
        <v>162</v>
      </c>
      <c r="B229" s="14" t="s">
        <v>749</v>
      </c>
      <c r="C229" s="13"/>
      <c r="D229" s="12">
        <v>199148</v>
      </c>
      <c r="E229" s="12">
        <v>1</v>
      </c>
      <c r="F229" s="419"/>
      <c r="G229" s="421"/>
      <c r="H229" s="419"/>
      <c r="I229" s="421"/>
      <c r="J229" s="419"/>
      <c r="K229" s="421"/>
      <c r="L229" s="422">
        <f t="shared" si="95"/>
        <v>0</v>
      </c>
      <c r="M229" s="423">
        <f t="shared" si="96"/>
        <v>0</v>
      </c>
      <c r="N229" s="459">
        <v>3361</v>
      </c>
      <c r="O229" s="309">
        <f>0</f>
        <v>0</v>
      </c>
      <c r="P229" s="309">
        <f>0</f>
        <v>0</v>
      </c>
      <c r="Q229" s="309">
        <f>0</f>
        <v>0</v>
      </c>
      <c r="R229" s="424">
        <f t="shared" si="93"/>
        <v>0</v>
      </c>
      <c r="S229" s="421" t="s">
        <v>1164</v>
      </c>
      <c r="T229" s="301">
        <f>0</f>
        <v>0</v>
      </c>
      <c r="U229" s="301">
        <f>0</f>
        <v>0</v>
      </c>
      <c r="V229" s="301">
        <f>0</f>
        <v>0</v>
      </c>
      <c r="W229" s="425">
        <f t="shared" si="94"/>
        <v>0</v>
      </c>
      <c r="X229" s="419"/>
      <c r="Y229" s="419"/>
      <c r="Z229" s="421"/>
      <c r="AA229" s="421"/>
      <c r="AB229" s="419"/>
      <c r="AC229" s="419"/>
      <c r="AD229" s="421"/>
      <c r="AE229" s="421"/>
      <c r="AF229" s="419"/>
      <c r="AG229" s="419"/>
      <c r="AH229" s="421"/>
      <c r="AI229" s="421"/>
      <c r="AJ229" s="419"/>
      <c r="AK229" s="419"/>
      <c r="AL229" s="421"/>
      <c r="AM229" s="421"/>
      <c r="AN229" s="419"/>
      <c r="AO229" s="419"/>
      <c r="AP229" s="421"/>
      <c r="AQ229" s="421"/>
      <c r="AR229" s="424">
        <f t="shared" si="97"/>
        <v>0</v>
      </c>
      <c r="AS229" s="422">
        <f t="shared" si="98"/>
        <v>0.74821905609973283</v>
      </c>
      <c r="AT229" s="425">
        <f t="shared" si="99"/>
        <v>0</v>
      </c>
      <c r="AU229" s="423">
        <f t="shared" si="100"/>
        <v>0.73576642335766418</v>
      </c>
      <c r="AV229" s="419">
        <v>16</v>
      </c>
      <c r="AW229" s="420">
        <v>81</v>
      </c>
      <c r="AX229" s="419">
        <v>13</v>
      </c>
      <c r="AY229" s="419">
        <v>200</v>
      </c>
      <c r="AZ229" s="421">
        <v>13</v>
      </c>
      <c r="BA229" s="421">
        <v>225</v>
      </c>
      <c r="BB229" s="419">
        <v>25</v>
      </c>
      <c r="BC229" s="419">
        <v>116</v>
      </c>
      <c r="BD229" s="421">
        <v>25</v>
      </c>
      <c r="BE229" s="421">
        <v>135</v>
      </c>
      <c r="BF229" s="419">
        <v>52</v>
      </c>
      <c r="BG229" s="419">
        <v>100</v>
      </c>
      <c r="BH229" s="421">
        <v>52</v>
      </c>
      <c r="BI229" s="421">
        <v>99</v>
      </c>
      <c r="BJ229" s="419">
        <v>51</v>
      </c>
      <c r="BK229" s="419">
        <v>85</v>
      </c>
      <c r="BL229" s="421">
        <v>51</v>
      </c>
      <c r="BM229" s="421">
        <v>92</v>
      </c>
      <c r="BN229" s="419">
        <v>50</v>
      </c>
      <c r="BO229" s="419">
        <v>48</v>
      </c>
      <c r="BP229" s="421">
        <v>11</v>
      </c>
      <c r="BQ229" s="420">
        <v>78</v>
      </c>
      <c r="BR229" s="419">
        <v>30</v>
      </c>
      <c r="BS229" s="419">
        <v>44</v>
      </c>
      <c r="BT229" s="421">
        <v>50</v>
      </c>
      <c r="BU229" s="421">
        <v>49</v>
      </c>
      <c r="BV229" s="419">
        <v>44</v>
      </c>
      <c r="BW229" s="419">
        <v>43</v>
      </c>
      <c r="BX229" s="421">
        <v>44</v>
      </c>
      <c r="BY229" s="421">
        <v>40</v>
      </c>
      <c r="BZ229" s="419">
        <v>11</v>
      </c>
      <c r="CA229" s="419">
        <v>40</v>
      </c>
      <c r="CB229" s="421">
        <v>30</v>
      </c>
      <c r="CC229" s="421">
        <v>40</v>
      </c>
      <c r="CD229" s="419">
        <v>24</v>
      </c>
      <c r="CE229" s="419">
        <v>37</v>
      </c>
      <c r="CF229" s="421">
        <v>31</v>
      </c>
      <c r="CG229" s="421">
        <v>31</v>
      </c>
      <c r="CH229" s="419">
        <v>26</v>
      </c>
      <c r="CI229" s="419">
        <v>25</v>
      </c>
      <c r="CJ229" s="421">
        <v>24</v>
      </c>
      <c r="CK229" s="421">
        <v>28</v>
      </c>
      <c r="CL229" s="419">
        <v>155</v>
      </c>
      <c r="CM229" s="421">
        <v>127</v>
      </c>
      <c r="CN229" s="424">
        <f t="shared" si="101"/>
        <v>893</v>
      </c>
      <c r="CO229" s="424">
        <f t="shared" si="102"/>
        <v>10</v>
      </c>
      <c r="CP229" s="425">
        <f t="shared" si="103"/>
        <v>944</v>
      </c>
      <c r="CQ229" s="425">
        <f t="shared" si="104"/>
        <v>10</v>
      </c>
      <c r="CR229" s="419">
        <v>13</v>
      </c>
      <c r="CS229" s="419">
        <v>48</v>
      </c>
      <c r="CT229" s="421">
        <v>13</v>
      </c>
      <c r="CU229" s="421">
        <v>49</v>
      </c>
      <c r="CV229" s="419">
        <v>31</v>
      </c>
      <c r="CW229" s="419">
        <v>28</v>
      </c>
      <c r="CX229" s="421">
        <v>51</v>
      </c>
      <c r="CY229" s="421">
        <v>23</v>
      </c>
      <c r="CZ229" s="419">
        <v>50</v>
      </c>
      <c r="DA229" s="419">
        <v>12</v>
      </c>
      <c r="DB229" s="421">
        <v>50</v>
      </c>
      <c r="DC229" s="420">
        <v>17</v>
      </c>
      <c r="DD229" s="419">
        <v>51</v>
      </c>
      <c r="DE229" s="419">
        <v>10</v>
      </c>
      <c r="DF229" s="421">
        <v>31</v>
      </c>
      <c r="DG229" s="421">
        <v>12</v>
      </c>
      <c r="DH229" s="419">
        <v>40</v>
      </c>
      <c r="DI229" s="419">
        <v>10</v>
      </c>
      <c r="DJ229" s="421">
        <v>26</v>
      </c>
      <c r="DK229" s="421">
        <v>11</v>
      </c>
      <c r="DL229" s="419">
        <v>42</v>
      </c>
      <c r="DM229" s="419">
        <v>7</v>
      </c>
      <c r="DN229" s="421">
        <v>42</v>
      </c>
      <c r="DO229" s="421">
        <v>8</v>
      </c>
      <c r="DP229" s="419">
        <v>23</v>
      </c>
      <c r="DQ229" s="419">
        <v>7</v>
      </c>
      <c r="DR229" s="421">
        <v>40</v>
      </c>
      <c r="DS229" s="421">
        <v>8</v>
      </c>
      <c r="DT229" s="419">
        <v>19</v>
      </c>
      <c r="DU229" s="419">
        <v>7</v>
      </c>
      <c r="DV229" s="421">
        <v>19</v>
      </c>
      <c r="DW229" s="421">
        <v>8</v>
      </c>
      <c r="DX229" s="419">
        <v>45</v>
      </c>
      <c r="DY229" s="419">
        <v>4</v>
      </c>
      <c r="DZ229" s="421">
        <v>30</v>
      </c>
      <c r="EA229" s="420">
        <v>5</v>
      </c>
      <c r="EB229" s="419">
        <v>26</v>
      </c>
      <c r="EC229" s="419">
        <v>4</v>
      </c>
      <c r="ED229" s="421">
        <v>54</v>
      </c>
      <c r="EE229" s="421">
        <v>4</v>
      </c>
      <c r="EF229" s="419">
        <v>8</v>
      </c>
      <c r="EG229" s="420">
        <v>11</v>
      </c>
      <c r="EH229" s="424">
        <f t="shared" si="105"/>
        <v>145</v>
      </c>
      <c r="EI229" s="424">
        <f t="shared" si="106"/>
        <v>10</v>
      </c>
      <c r="EJ229" s="422">
        <f t="shared" si="107"/>
        <v>0.33103448275862069</v>
      </c>
      <c r="EK229" s="425">
        <f t="shared" si="108"/>
        <v>156</v>
      </c>
      <c r="EL229" s="425">
        <f t="shared" si="109"/>
        <v>10</v>
      </c>
      <c r="EM229" s="423">
        <f t="shared" si="110"/>
        <v>0.3141025641025641</v>
      </c>
      <c r="EN229" s="424">
        <f t="shared" si="111"/>
        <v>1038</v>
      </c>
      <c r="EO229" s="425">
        <f t="shared" si="112"/>
        <v>1100</v>
      </c>
      <c r="EP229" s="419"/>
      <c r="EQ229" s="421"/>
      <c r="ER229" s="419"/>
      <c r="ES229" s="421"/>
      <c r="ET229" s="419"/>
      <c r="EU229" s="421"/>
      <c r="EV229" s="419"/>
      <c r="EW229" s="421"/>
      <c r="EX229" s="419"/>
      <c r="EY229" s="421"/>
      <c r="EZ229" s="419"/>
      <c r="FA229" s="421"/>
      <c r="FB229" s="419"/>
      <c r="FC229" s="421"/>
      <c r="FD229" s="419"/>
      <c r="FE229" s="421"/>
      <c r="FF229" s="419"/>
      <c r="FG229" s="421"/>
      <c r="FH229" s="419">
        <v>77</v>
      </c>
      <c r="FI229" s="421">
        <v>86</v>
      </c>
      <c r="FJ229" s="424">
        <f t="shared" si="113"/>
        <v>77</v>
      </c>
      <c r="FK229" s="425">
        <f t="shared" si="114"/>
        <v>86</v>
      </c>
      <c r="FL229" s="419"/>
      <c r="FM229" s="421"/>
      <c r="FN229" s="424">
        <f t="shared" si="115"/>
        <v>4492</v>
      </c>
      <c r="FO229" s="425">
        <f t="shared" si="116"/>
        <v>4795</v>
      </c>
    </row>
    <row r="230" spans="1:171">
      <c r="A230" s="458" t="s">
        <v>162</v>
      </c>
      <c r="B230" s="14" t="s">
        <v>750</v>
      </c>
      <c r="C230" s="11"/>
      <c r="D230" s="12">
        <v>198464</v>
      </c>
      <c r="E230" s="12">
        <v>2</v>
      </c>
      <c r="F230" s="419"/>
      <c r="G230" s="421"/>
      <c r="H230" s="419"/>
      <c r="I230" s="421"/>
      <c r="J230" s="419"/>
      <c r="K230" s="421"/>
      <c r="L230" s="422">
        <f t="shared" si="95"/>
        <v>0</v>
      </c>
      <c r="M230" s="423">
        <f t="shared" si="96"/>
        <v>0</v>
      </c>
      <c r="N230" s="459">
        <v>5045</v>
      </c>
      <c r="O230" s="309">
        <f>0</f>
        <v>0</v>
      </c>
      <c r="P230" s="309">
        <f>0</f>
        <v>0</v>
      </c>
      <c r="Q230" s="309">
        <f>0</f>
        <v>0</v>
      </c>
      <c r="R230" s="424">
        <f t="shared" si="93"/>
        <v>0</v>
      </c>
      <c r="S230" s="421" t="s">
        <v>1165</v>
      </c>
      <c r="T230" s="301">
        <f>0</f>
        <v>0</v>
      </c>
      <c r="U230" s="301">
        <f>0</f>
        <v>0</v>
      </c>
      <c r="V230" s="301">
        <f>0</f>
        <v>0</v>
      </c>
      <c r="W230" s="425">
        <f t="shared" si="94"/>
        <v>0</v>
      </c>
      <c r="X230" s="419"/>
      <c r="Y230" s="419"/>
      <c r="Z230" s="421"/>
      <c r="AA230" s="421"/>
      <c r="AB230" s="419"/>
      <c r="AC230" s="419"/>
      <c r="AD230" s="421"/>
      <c r="AE230" s="421"/>
      <c r="AF230" s="419"/>
      <c r="AG230" s="419"/>
      <c r="AH230" s="421"/>
      <c r="AI230" s="421"/>
      <c r="AJ230" s="419"/>
      <c r="AK230" s="419"/>
      <c r="AL230" s="421"/>
      <c r="AM230" s="421"/>
      <c r="AN230" s="419"/>
      <c r="AO230" s="419"/>
      <c r="AP230" s="421"/>
      <c r="AQ230" s="421"/>
      <c r="AR230" s="424">
        <f t="shared" si="97"/>
        <v>0</v>
      </c>
      <c r="AS230" s="422">
        <f t="shared" si="98"/>
        <v>0.73789673833552727</v>
      </c>
      <c r="AT230" s="425">
        <f t="shared" si="99"/>
        <v>0</v>
      </c>
      <c r="AU230" s="423">
        <f t="shared" si="100"/>
        <v>0.69971594751792232</v>
      </c>
      <c r="AV230" s="419">
        <v>46</v>
      </c>
      <c r="AW230" s="420">
        <v>516</v>
      </c>
      <c r="AX230" s="419">
        <v>51</v>
      </c>
      <c r="AY230" s="419">
        <v>327</v>
      </c>
      <c r="AZ230" s="421">
        <v>51</v>
      </c>
      <c r="BA230" s="421">
        <v>326</v>
      </c>
      <c r="BB230" s="419">
        <v>13</v>
      </c>
      <c r="BC230" s="419">
        <v>316</v>
      </c>
      <c r="BD230" s="421">
        <v>52</v>
      </c>
      <c r="BE230" s="421">
        <v>278</v>
      </c>
      <c r="BF230" s="419">
        <v>52</v>
      </c>
      <c r="BG230" s="419">
        <v>237</v>
      </c>
      <c r="BH230" s="421">
        <v>13</v>
      </c>
      <c r="BI230" s="421">
        <v>268</v>
      </c>
      <c r="BJ230" s="419">
        <v>44</v>
      </c>
      <c r="BK230" s="419">
        <v>86</v>
      </c>
      <c r="BL230" s="421">
        <v>25</v>
      </c>
      <c r="BM230" s="421">
        <v>83</v>
      </c>
      <c r="BN230" s="419">
        <v>25</v>
      </c>
      <c r="BO230" s="419">
        <v>76</v>
      </c>
      <c r="BP230" s="421">
        <v>44</v>
      </c>
      <c r="BQ230" s="421">
        <v>79</v>
      </c>
      <c r="BR230" s="419">
        <v>45</v>
      </c>
      <c r="BS230" s="419">
        <v>42</v>
      </c>
      <c r="BT230" s="421">
        <v>45</v>
      </c>
      <c r="BU230" s="421">
        <v>50</v>
      </c>
      <c r="BV230" s="419">
        <v>42</v>
      </c>
      <c r="BW230" s="419">
        <v>38</v>
      </c>
      <c r="BX230" s="421">
        <v>31</v>
      </c>
      <c r="BY230" s="420">
        <v>46</v>
      </c>
      <c r="BZ230" s="419">
        <v>31</v>
      </c>
      <c r="CA230" s="419">
        <v>35</v>
      </c>
      <c r="CB230" s="421">
        <v>11</v>
      </c>
      <c r="CC230" s="421">
        <v>38</v>
      </c>
      <c r="CD230" s="419">
        <v>23</v>
      </c>
      <c r="CE230" s="419">
        <v>31</v>
      </c>
      <c r="CF230" s="421">
        <v>50</v>
      </c>
      <c r="CG230" s="421">
        <v>28</v>
      </c>
      <c r="CH230" s="419">
        <v>43</v>
      </c>
      <c r="CI230" s="419">
        <v>30</v>
      </c>
      <c r="CJ230" s="421">
        <v>30</v>
      </c>
      <c r="CK230" s="421">
        <v>25</v>
      </c>
      <c r="CL230" s="419">
        <v>222</v>
      </c>
      <c r="CM230" s="421">
        <v>193</v>
      </c>
      <c r="CN230" s="424">
        <f t="shared" si="101"/>
        <v>1440</v>
      </c>
      <c r="CO230" s="424">
        <f t="shared" si="102"/>
        <v>10</v>
      </c>
      <c r="CP230" s="425">
        <f t="shared" si="103"/>
        <v>1414</v>
      </c>
      <c r="CQ230" s="425">
        <f t="shared" si="104"/>
        <v>10</v>
      </c>
      <c r="CR230" s="419">
        <v>13</v>
      </c>
      <c r="CS230" s="419">
        <v>39</v>
      </c>
      <c r="CT230" s="421">
        <v>26</v>
      </c>
      <c r="CU230" s="420">
        <v>22</v>
      </c>
      <c r="CV230" s="419">
        <v>26</v>
      </c>
      <c r="CW230" s="419">
        <v>25</v>
      </c>
      <c r="CX230" s="421">
        <v>13</v>
      </c>
      <c r="CY230" s="420">
        <v>18</v>
      </c>
      <c r="CZ230" s="419">
        <v>51</v>
      </c>
      <c r="DA230" s="419">
        <v>13</v>
      </c>
      <c r="DB230" s="421">
        <v>51</v>
      </c>
      <c r="DC230" s="421">
        <v>14</v>
      </c>
      <c r="DD230" s="419">
        <v>30</v>
      </c>
      <c r="DE230" s="419">
        <v>7</v>
      </c>
      <c r="DF230" s="421">
        <v>42</v>
      </c>
      <c r="DG230" s="420">
        <v>9</v>
      </c>
      <c r="DH230" s="419">
        <v>42</v>
      </c>
      <c r="DI230" s="419">
        <v>6</v>
      </c>
      <c r="DJ230" s="421">
        <v>23</v>
      </c>
      <c r="DK230" s="421">
        <v>7</v>
      </c>
      <c r="DL230" s="419">
        <v>23</v>
      </c>
      <c r="DM230" s="419">
        <v>2</v>
      </c>
      <c r="DN230" s="421">
        <v>30</v>
      </c>
      <c r="DO230" s="420">
        <v>4</v>
      </c>
      <c r="DP230" s="419"/>
      <c r="DQ230" s="419"/>
      <c r="DR230" s="421"/>
      <c r="DS230" s="421"/>
      <c r="DT230" s="419"/>
      <c r="DU230" s="419"/>
      <c r="DV230" s="421"/>
      <c r="DW230" s="421"/>
      <c r="DX230" s="419"/>
      <c r="DY230" s="419"/>
      <c r="DZ230" s="421"/>
      <c r="EA230" s="421"/>
      <c r="EB230" s="419"/>
      <c r="EC230" s="419"/>
      <c r="ED230" s="421"/>
      <c r="EE230" s="421"/>
      <c r="EF230" s="419"/>
      <c r="EG230" s="421"/>
      <c r="EH230" s="424">
        <f t="shared" si="105"/>
        <v>92</v>
      </c>
      <c r="EI230" s="424">
        <f t="shared" si="106"/>
        <v>6</v>
      </c>
      <c r="EJ230" s="422">
        <f t="shared" si="107"/>
        <v>0.42391304347826086</v>
      </c>
      <c r="EK230" s="425">
        <f t="shared" si="108"/>
        <v>74</v>
      </c>
      <c r="EL230" s="425">
        <f t="shared" si="109"/>
        <v>6</v>
      </c>
      <c r="EM230" s="423">
        <f t="shared" si="110"/>
        <v>0.29729729729729731</v>
      </c>
      <c r="EN230" s="424">
        <f t="shared" si="111"/>
        <v>1532</v>
      </c>
      <c r="EO230" s="425">
        <f t="shared" si="112"/>
        <v>1488</v>
      </c>
      <c r="EP230" s="419"/>
      <c r="EQ230" s="421"/>
      <c r="ER230" s="419">
        <v>73</v>
      </c>
      <c r="ES230" s="421">
        <v>74</v>
      </c>
      <c r="ET230" s="419">
        <v>50</v>
      </c>
      <c r="EU230" s="421">
        <v>52</v>
      </c>
      <c r="EV230" s="419"/>
      <c r="EW230" s="421"/>
      <c r="EX230" s="419"/>
      <c r="EY230" s="421"/>
      <c r="EZ230" s="419"/>
      <c r="FA230" s="421"/>
      <c r="FB230" s="419"/>
      <c r="FC230" s="421"/>
      <c r="FD230" s="419"/>
      <c r="FE230" s="421"/>
      <c r="FF230" s="419"/>
      <c r="FG230" s="421"/>
      <c r="FH230" s="419">
        <v>91</v>
      </c>
      <c r="FI230" s="421">
        <v>90</v>
      </c>
      <c r="FJ230" s="424">
        <f t="shared" si="113"/>
        <v>214</v>
      </c>
      <c r="FK230" s="425">
        <f t="shared" si="114"/>
        <v>216</v>
      </c>
      <c r="FL230" s="419"/>
      <c r="FM230" s="421"/>
      <c r="FN230" s="424">
        <f t="shared" si="115"/>
        <v>6837</v>
      </c>
      <c r="FO230" s="425">
        <f t="shared" si="116"/>
        <v>7393</v>
      </c>
    </row>
    <row r="231" spans="1:171">
      <c r="A231" s="458" t="s">
        <v>162</v>
      </c>
      <c r="B231" s="14" t="s">
        <v>751</v>
      </c>
      <c r="C231" s="13"/>
      <c r="D231" s="12">
        <v>197869</v>
      </c>
      <c r="E231" s="12">
        <v>3</v>
      </c>
      <c r="F231" s="419"/>
      <c r="G231" s="421"/>
      <c r="H231" s="419"/>
      <c r="I231" s="421"/>
      <c r="J231" s="419"/>
      <c r="K231" s="421"/>
      <c r="L231" s="422">
        <f t="shared" si="95"/>
        <v>0</v>
      </c>
      <c r="M231" s="423">
        <f t="shared" si="96"/>
        <v>0</v>
      </c>
      <c r="N231" s="459">
        <v>4028</v>
      </c>
      <c r="O231" s="309">
        <f>0</f>
        <v>0</v>
      </c>
      <c r="P231" s="309">
        <f>0</f>
        <v>0</v>
      </c>
      <c r="Q231" s="309">
        <f>0</f>
        <v>0</v>
      </c>
      <c r="R231" s="424">
        <f t="shared" si="93"/>
        <v>0</v>
      </c>
      <c r="S231" s="421" t="s">
        <v>1166</v>
      </c>
      <c r="T231" s="301">
        <f>0</f>
        <v>0</v>
      </c>
      <c r="U231" s="301">
        <f>0</f>
        <v>0</v>
      </c>
      <c r="V231" s="301">
        <f>0</f>
        <v>0</v>
      </c>
      <c r="W231" s="425">
        <f t="shared" si="94"/>
        <v>0</v>
      </c>
      <c r="X231" s="419"/>
      <c r="Y231" s="419"/>
      <c r="Z231" s="421"/>
      <c r="AA231" s="421"/>
      <c r="AB231" s="419"/>
      <c r="AC231" s="419"/>
      <c r="AD231" s="421"/>
      <c r="AE231" s="421"/>
      <c r="AF231" s="419"/>
      <c r="AG231" s="419"/>
      <c r="AH231" s="421"/>
      <c r="AI231" s="421"/>
      <c r="AJ231" s="419"/>
      <c r="AK231" s="419"/>
      <c r="AL231" s="421"/>
      <c r="AM231" s="421"/>
      <c r="AN231" s="419"/>
      <c r="AO231" s="419"/>
      <c r="AP231" s="421"/>
      <c r="AQ231" s="421"/>
      <c r="AR231" s="424">
        <f t="shared" si="97"/>
        <v>0</v>
      </c>
      <c r="AS231" s="422">
        <f t="shared" si="98"/>
        <v>0.83707398171238567</v>
      </c>
      <c r="AT231" s="425">
        <f t="shared" si="99"/>
        <v>0</v>
      </c>
      <c r="AU231" s="423">
        <f t="shared" si="100"/>
        <v>0.80913508260447031</v>
      </c>
      <c r="AV231" s="419">
        <v>32</v>
      </c>
      <c r="AW231" s="420">
        <v>181</v>
      </c>
      <c r="AX231" s="419">
        <v>13</v>
      </c>
      <c r="AY231" s="419">
        <v>256</v>
      </c>
      <c r="AZ231" s="421">
        <v>13</v>
      </c>
      <c r="BA231" s="421">
        <v>255</v>
      </c>
      <c r="BB231" s="419">
        <v>52</v>
      </c>
      <c r="BC231" s="419">
        <v>99</v>
      </c>
      <c r="BD231" s="421">
        <v>51</v>
      </c>
      <c r="BE231" s="421">
        <v>118</v>
      </c>
      <c r="BF231" s="419">
        <v>51</v>
      </c>
      <c r="BG231" s="419">
        <v>97</v>
      </c>
      <c r="BH231" s="421">
        <v>52</v>
      </c>
      <c r="BI231" s="421">
        <v>97</v>
      </c>
      <c r="BJ231" s="419">
        <v>44</v>
      </c>
      <c r="BK231" s="419">
        <v>62</v>
      </c>
      <c r="BL231" s="421">
        <v>44</v>
      </c>
      <c r="BM231" s="420">
        <v>87</v>
      </c>
      <c r="BN231" s="419">
        <v>42</v>
      </c>
      <c r="BO231" s="419">
        <v>43</v>
      </c>
      <c r="BP231" s="421">
        <v>42</v>
      </c>
      <c r="BQ231" s="421">
        <v>37</v>
      </c>
      <c r="BR231" s="419">
        <v>11</v>
      </c>
      <c r="BS231" s="419">
        <v>28</v>
      </c>
      <c r="BT231" s="421">
        <v>31</v>
      </c>
      <c r="BU231" s="421">
        <v>26</v>
      </c>
      <c r="BV231" s="419">
        <v>45</v>
      </c>
      <c r="BW231" s="419">
        <v>26</v>
      </c>
      <c r="BX231" s="421">
        <v>25</v>
      </c>
      <c r="BY231" s="421">
        <v>24</v>
      </c>
      <c r="BZ231" s="419">
        <v>31</v>
      </c>
      <c r="CA231" s="419">
        <v>23</v>
      </c>
      <c r="CB231" s="421">
        <v>26</v>
      </c>
      <c r="CC231" s="421">
        <v>24</v>
      </c>
      <c r="CD231" s="419">
        <v>25</v>
      </c>
      <c r="CE231" s="419">
        <v>19</v>
      </c>
      <c r="CF231" s="421">
        <v>11</v>
      </c>
      <c r="CG231" s="420">
        <v>24</v>
      </c>
      <c r="CH231" s="419">
        <v>26</v>
      </c>
      <c r="CI231" s="419">
        <v>17</v>
      </c>
      <c r="CJ231" s="421">
        <v>40</v>
      </c>
      <c r="CK231" s="421">
        <v>20</v>
      </c>
      <c r="CL231" s="419">
        <v>66</v>
      </c>
      <c r="CM231" s="421">
        <v>76</v>
      </c>
      <c r="CN231" s="424">
        <f t="shared" si="101"/>
        <v>736</v>
      </c>
      <c r="CO231" s="424">
        <f t="shared" si="102"/>
        <v>10</v>
      </c>
      <c r="CP231" s="425">
        <f t="shared" si="103"/>
        <v>788</v>
      </c>
      <c r="CQ231" s="425">
        <f t="shared" si="104"/>
        <v>10</v>
      </c>
      <c r="CR231" s="419">
        <v>13</v>
      </c>
      <c r="CS231" s="419">
        <v>16</v>
      </c>
      <c r="CT231" s="421">
        <v>13</v>
      </c>
      <c r="CU231" s="421">
        <v>13</v>
      </c>
      <c r="CV231" s="419"/>
      <c r="CW231" s="419"/>
      <c r="CX231" s="421"/>
      <c r="CY231" s="421"/>
      <c r="CZ231" s="419"/>
      <c r="DA231" s="419"/>
      <c r="DB231" s="421"/>
      <c r="DC231" s="421"/>
      <c r="DD231" s="419"/>
      <c r="DE231" s="419"/>
      <c r="DF231" s="421"/>
      <c r="DG231" s="421"/>
      <c r="DH231" s="419"/>
      <c r="DI231" s="419"/>
      <c r="DJ231" s="421"/>
      <c r="DK231" s="421"/>
      <c r="DL231" s="419"/>
      <c r="DM231" s="419"/>
      <c r="DN231" s="421"/>
      <c r="DO231" s="421"/>
      <c r="DP231" s="419"/>
      <c r="DQ231" s="419"/>
      <c r="DR231" s="421"/>
      <c r="DS231" s="421"/>
      <c r="DT231" s="419"/>
      <c r="DU231" s="419"/>
      <c r="DV231" s="421"/>
      <c r="DW231" s="421"/>
      <c r="DX231" s="419"/>
      <c r="DY231" s="419"/>
      <c r="DZ231" s="421"/>
      <c r="EA231" s="421"/>
      <c r="EB231" s="419"/>
      <c r="EC231" s="419"/>
      <c r="ED231" s="421"/>
      <c r="EE231" s="421"/>
      <c r="EF231" s="419"/>
      <c r="EG231" s="421"/>
      <c r="EH231" s="424">
        <f t="shared" si="105"/>
        <v>16</v>
      </c>
      <c r="EI231" s="424">
        <f t="shared" si="106"/>
        <v>1</v>
      </c>
      <c r="EJ231" s="422">
        <f t="shared" si="107"/>
        <v>1</v>
      </c>
      <c r="EK231" s="425">
        <f t="shared" si="108"/>
        <v>13</v>
      </c>
      <c r="EL231" s="425">
        <f t="shared" si="109"/>
        <v>1</v>
      </c>
      <c r="EM231" s="423">
        <f t="shared" si="110"/>
        <v>1</v>
      </c>
      <c r="EN231" s="424">
        <f t="shared" si="111"/>
        <v>752</v>
      </c>
      <c r="EO231" s="425">
        <f t="shared" si="112"/>
        <v>801</v>
      </c>
      <c r="EP231" s="419"/>
      <c r="EQ231" s="421"/>
      <c r="ER231" s="419"/>
      <c r="ES231" s="421"/>
      <c r="ET231" s="419"/>
      <c r="EU231" s="421"/>
      <c r="EV231" s="419"/>
      <c r="EW231" s="421"/>
      <c r="EX231" s="419"/>
      <c r="EY231" s="421"/>
      <c r="EZ231" s="419"/>
      <c r="FA231" s="421"/>
      <c r="FB231" s="419"/>
      <c r="FC231" s="421"/>
      <c r="FD231" s="419"/>
      <c r="FE231" s="421"/>
      <c r="FF231" s="419"/>
      <c r="FG231" s="421"/>
      <c r="FH231" s="419"/>
      <c r="FI231" s="421"/>
      <c r="FJ231" s="424">
        <f t="shared" si="113"/>
        <v>0</v>
      </c>
      <c r="FK231" s="425">
        <f t="shared" si="114"/>
        <v>0</v>
      </c>
      <c r="FL231" s="419"/>
      <c r="FM231" s="421"/>
      <c r="FN231" s="424">
        <f t="shared" si="115"/>
        <v>4812</v>
      </c>
      <c r="FO231" s="425">
        <f t="shared" si="116"/>
        <v>5145</v>
      </c>
    </row>
    <row r="232" spans="1:171">
      <c r="A232" s="458" t="s">
        <v>162</v>
      </c>
      <c r="B232" s="14" t="s">
        <v>752</v>
      </c>
      <c r="C232" s="13" t="s">
        <v>1212</v>
      </c>
      <c r="D232" s="12">
        <v>199102</v>
      </c>
      <c r="E232" s="12">
        <v>3</v>
      </c>
      <c r="F232" s="419"/>
      <c r="G232" s="421"/>
      <c r="H232" s="419"/>
      <c r="I232" s="421"/>
      <c r="J232" s="419"/>
      <c r="K232" s="421"/>
      <c r="L232" s="422">
        <f t="shared" si="95"/>
        <v>0</v>
      </c>
      <c r="M232" s="423">
        <f t="shared" si="96"/>
        <v>0</v>
      </c>
      <c r="N232" s="459">
        <v>1670</v>
      </c>
      <c r="O232" s="309">
        <f>0</f>
        <v>0</v>
      </c>
      <c r="P232" s="309">
        <f>0</f>
        <v>0</v>
      </c>
      <c r="Q232" s="309">
        <f>0</f>
        <v>0</v>
      </c>
      <c r="R232" s="424">
        <f t="shared" si="93"/>
        <v>0</v>
      </c>
      <c r="S232" s="421" t="s">
        <v>1167</v>
      </c>
      <c r="T232" s="301">
        <f>0</f>
        <v>0</v>
      </c>
      <c r="U232" s="301">
        <f>0</f>
        <v>0</v>
      </c>
      <c r="V232" s="301">
        <f>0</f>
        <v>0</v>
      </c>
      <c r="W232" s="425">
        <f t="shared" si="94"/>
        <v>0</v>
      </c>
      <c r="X232" s="419"/>
      <c r="Y232" s="419"/>
      <c r="Z232" s="421"/>
      <c r="AA232" s="421"/>
      <c r="AB232" s="419"/>
      <c r="AC232" s="419"/>
      <c r="AD232" s="421"/>
      <c r="AE232" s="421"/>
      <c r="AF232" s="419"/>
      <c r="AG232" s="419"/>
      <c r="AH232" s="421"/>
      <c r="AI232" s="421"/>
      <c r="AJ232" s="419"/>
      <c r="AK232" s="419"/>
      <c r="AL232" s="421"/>
      <c r="AM232" s="421"/>
      <c r="AN232" s="419"/>
      <c r="AO232" s="419"/>
      <c r="AP232" s="421"/>
      <c r="AQ232" s="421"/>
      <c r="AR232" s="424">
        <f t="shared" si="97"/>
        <v>0</v>
      </c>
      <c r="AS232" s="422">
        <f t="shared" si="98"/>
        <v>0.78073866292660121</v>
      </c>
      <c r="AT232" s="425">
        <f t="shared" si="99"/>
        <v>0</v>
      </c>
      <c r="AU232" s="423">
        <f t="shared" si="100"/>
        <v>0.80606312292358806</v>
      </c>
      <c r="AV232" s="419"/>
      <c r="AW232" s="420">
        <v>14</v>
      </c>
      <c r="AX232" s="419">
        <v>13</v>
      </c>
      <c r="AY232" s="419">
        <v>142</v>
      </c>
      <c r="AZ232" s="421">
        <v>13</v>
      </c>
      <c r="BA232" s="421">
        <v>130</v>
      </c>
      <c r="BB232" s="419">
        <v>11</v>
      </c>
      <c r="BC232" s="419">
        <v>73</v>
      </c>
      <c r="BD232" s="421">
        <v>11</v>
      </c>
      <c r="BE232" s="421">
        <v>63</v>
      </c>
      <c r="BF232" s="419">
        <v>14</v>
      </c>
      <c r="BG232" s="419">
        <v>61</v>
      </c>
      <c r="BH232" s="421">
        <v>14</v>
      </c>
      <c r="BI232" s="421">
        <v>54</v>
      </c>
      <c r="BJ232" s="419">
        <v>52</v>
      </c>
      <c r="BK232" s="419">
        <v>31</v>
      </c>
      <c r="BL232" s="421">
        <v>52</v>
      </c>
      <c r="BM232" s="420">
        <v>43</v>
      </c>
      <c r="BN232" s="419">
        <v>44</v>
      </c>
      <c r="BO232" s="419">
        <v>31</v>
      </c>
      <c r="BP232" s="421">
        <v>44</v>
      </c>
      <c r="BQ232" s="421">
        <v>27</v>
      </c>
      <c r="BR232" s="419">
        <v>1</v>
      </c>
      <c r="BS232" s="419">
        <v>23</v>
      </c>
      <c r="BT232" s="421">
        <v>15</v>
      </c>
      <c r="BU232" s="421">
        <v>20</v>
      </c>
      <c r="BV232" s="419">
        <v>26</v>
      </c>
      <c r="BW232" s="419">
        <v>14</v>
      </c>
      <c r="BX232" s="421">
        <v>1</v>
      </c>
      <c r="BY232" s="420">
        <v>17</v>
      </c>
      <c r="BZ232" s="419">
        <v>27</v>
      </c>
      <c r="CA232" s="419">
        <v>10</v>
      </c>
      <c r="CB232" s="421">
        <v>40</v>
      </c>
      <c r="CC232" s="421">
        <v>9</v>
      </c>
      <c r="CD232" s="419">
        <v>15</v>
      </c>
      <c r="CE232" s="419">
        <v>10</v>
      </c>
      <c r="CF232" s="421">
        <v>26</v>
      </c>
      <c r="CG232" s="421">
        <v>9</v>
      </c>
      <c r="CH232" s="419">
        <v>23</v>
      </c>
      <c r="CI232" s="419">
        <v>6</v>
      </c>
      <c r="CJ232" s="421">
        <v>19</v>
      </c>
      <c r="CK232" s="420">
        <v>8</v>
      </c>
      <c r="CL232" s="419">
        <v>9</v>
      </c>
      <c r="CM232" s="420">
        <v>7</v>
      </c>
      <c r="CN232" s="424">
        <f t="shared" si="101"/>
        <v>410</v>
      </c>
      <c r="CO232" s="424">
        <f t="shared" si="102"/>
        <v>10</v>
      </c>
      <c r="CP232" s="425">
        <f t="shared" si="103"/>
        <v>387</v>
      </c>
      <c r="CQ232" s="425">
        <f t="shared" si="104"/>
        <v>10</v>
      </c>
      <c r="CR232" s="419">
        <v>14</v>
      </c>
      <c r="CS232" s="419">
        <v>22</v>
      </c>
      <c r="CT232" s="421">
        <v>14</v>
      </c>
      <c r="CU232" s="420">
        <v>31</v>
      </c>
      <c r="CV232" s="419">
        <v>30</v>
      </c>
      <c r="CW232" s="419">
        <v>18</v>
      </c>
      <c r="CX232" s="421">
        <v>30</v>
      </c>
      <c r="CY232" s="421">
        <v>18</v>
      </c>
      <c r="CZ232" s="419">
        <v>51</v>
      </c>
      <c r="DA232" s="419">
        <v>6</v>
      </c>
      <c r="DB232" s="421">
        <v>40</v>
      </c>
      <c r="DC232" s="421">
        <v>6</v>
      </c>
      <c r="DD232" s="419">
        <v>40</v>
      </c>
      <c r="DE232" s="419">
        <v>6</v>
      </c>
      <c r="DF232" s="421">
        <v>51</v>
      </c>
      <c r="DG232" s="421">
        <v>5</v>
      </c>
      <c r="DH232" s="419">
        <v>11</v>
      </c>
      <c r="DI232" s="419">
        <v>4</v>
      </c>
      <c r="DJ232" s="421">
        <v>11</v>
      </c>
      <c r="DK232" s="420">
        <v>5</v>
      </c>
      <c r="DL232" s="419">
        <v>3</v>
      </c>
      <c r="DM232" s="419">
        <v>3</v>
      </c>
      <c r="DN232" s="421">
        <v>3</v>
      </c>
      <c r="DO232" s="420">
        <v>1</v>
      </c>
      <c r="DP232" s="419"/>
      <c r="DQ232" s="419"/>
      <c r="DR232" s="421"/>
      <c r="DS232" s="421"/>
      <c r="DT232" s="419"/>
      <c r="DU232" s="419"/>
      <c r="DV232" s="421"/>
      <c r="DW232" s="421"/>
      <c r="DX232" s="419"/>
      <c r="DY232" s="419"/>
      <c r="DZ232" s="421"/>
      <c r="EA232" s="421"/>
      <c r="EB232" s="419"/>
      <c r="EC232" s="419"/>
      <c r="ED232" s="421"/>
      <c r="EE232" s="421"/>
      <c r="EF232" s="419"/>
      <c r="EG232" s="421"/>
      <c r="EH232" s="424">
        <f t="shared" si="105"/>
        <v>59</v>
      </c>
      <c r="EI232" s="424">
        <f t="shared" si="106"/>
        <v>6</v>
      </c>
      <c r="EJ232" s="422">
        <f t="shared" si="107"/>
        <v>0.3728813559322034</v>
      </c>
      <c r="EK232" s="425">
        <f t="shared" si="108"/>
        <v>66</v>
      </c>
      <c r="EL232" s="425">
        <f t="shared" si="109"/>
        <v>6</v>
      </c>
      <c r="EM232" s="423">
        <f t="shared" si="110"/>
        <v>0.46969696969696972</v>
      </c>
      <c r="EN232" s="424">
        <f t="shared" si="111"/>
        <v>469</v>
      </c>
      <c r="EO232" s="425">
        <f t="shared" si="112"/>
        <v>453</v>
      </c>
      <c r="EP232" s="419"/>
      <c r="EQ232" s="421"/>
      <c r="ER232" s="419"/>
      <c r="ES232" s="421"/>
      <c r="ET232" s="419"/>
      <c r="EU232" s="421"/>
      <c r="EV232" s="419"/>
      <c r="EW232" s="421"/>
      <c r="EX232" s="419"/>
      <c r="EY232" s="421"/>
      <c r="EZ232" s="419"/>
      <c r="FA232" s="421"/>
      <c r="FB232" s="419"/>
      <c r="FC232" s="421"/>
      <c r="FD232" s="419"/>
      <c r="FE232" s="421"/>
      <c r="FF232" s="419"/>
      <c r="FG232" s="421"/>
      <c r="FH232" s="419"/>
      <c r="FI232" s="421"/>
      <c r="FJ232" s="424">
        <f t="shared" si="113"/>
        <v>0</v>
      </c>
      <c r="FK232" s="425">
        <f t="shared" si="114"/>
        <v>0</v>
      </c>
      <c r="FL232" s="419"/>
      <c r="FM232" s="421"/>
      <c r="FN232" s="424">
        <f t="shared" si="115"/>
        <v>2139</v>
      </c>
      <c r="FO232" s="425">
        <f t="shared" si="116"/>
        <v>2408</v>
      </c>
    </row>
    <row r="233" spans="1:171">
      <c r="A233" s="458" t="s">
        <v>162</v>
      </c>
      <c r="B233" s="14" t="s">
        <v>753</v>
      </c>
      <c r="C233" s="13"/>
      <c r="D233" s="12">
        <v>199157</v>
      </c>
      <c r="E233" s="12">
        <v>3</v>
      </c>
      <c r="F233" s="419"/>
      <c r="G233" s="421"/>
      <c r="H233" s="419"/>
      <c r="I233" s="421"/>
      <c r="J233" s="419"/>
      <c r="K233" s="421"/>
      <c r="L233" s="422">
        <f t="shared" si="95"/>
        <v>0</v>
      </c>
      <c r="M233" s="423">
        <f t="shared" si="96"/>
        <v>0</v>
      </c>
      <c r="N233" s="459">
        <v>1138</v>
      </c>
      <c r="O233" s="309">
        <f>0</f>
        <v>0</v>
      </c>
      <c r="P233" s="309">
        <f>0</f>
        <v>0</v>
      </c>
      <c r="Q233" s="309">
        <f>0</f>
        <v>0</v>
      </c>
      <c r="R233" s="424">
        <f t="shared" si="93"/>
        <v>0</v>
      </c>
      <c r="S233" s="421" t="s">
        <v>1168</v>
      </c>
      <c r="T233" s="301">
        <f>0</f>
        <v>0</v>
      </c>
      <c r="U233" s="301">
        <f>0</f>
        <v>0</v>
      </c>
      <c r="V233" s="301">
        <f>0</f>
        <v>0</v>
      </c>
      <c r="W233" s="425">
        <f t="shared" si="94"/>
        <v>0</v>
      </c>
      <c r="X233" s="419"/>
      <c r="Y233" s="419"/>
      <c r="Z233" s="421"/>
      <c r="AA233" s="421"/>
      <c r="AB233" s="419"/>
      <c r="AC233" s="419"/>
      <c r="AD233" s="421"/>
      <c r="AE233" s="421"/>
      <c r="AF233" s="419"/>
      <c r="AG233" s="419"/>
      <c r="AH233" s="421"/>
      <c r="AI233" s="421"/>
      <c r="AJ233" s="419"/>
      <c r="AK233" s="419"/>
      <c r="AL233" s="421"/>
      <c r="AM233" s="421"/>
      <c r="AN233" s="419"/>
      <c r="AO233" s="419"/>
      <c r="AP233" s="421"/>
      <c r="AQ233" s="421"/>
      <c r="AR233" s="424">
        <f t="shared" si="97"/>
        <v>0</v>
      </c>
      <c r="AS233" s="422">
        <f t="shared" si="98"/>
        <v>0.66047591410330819</v>
      </c>
      <c r="AT233" s="425">
        <f t="shared" si="99"/>
        <v>0</v>
      </c>
      <c r="AU233" s="423">
        <f t="shared" si="100"/>
        <v>0.62742857142857145</v>
      </c>
      <c r="AV233" s="419"/>
      <c r="AW233" s="421"/>
      <c r="AX233" s="419">
        <v>44</v>
      </c>
      <c r="AY233" s="419">
        <v>107</v>
      </c>
      <c r="AZ233" s="421">
        <v>44</v>
      </c>
      <c r="BA233" s="420">
        <v>140</v>
      </c>
      <c r="BB233" s="419">
        <v>13</v>
      </c>
      <c r="BC233" s="419">
        <v>74</v>
      </c>
      <c r="BD233" s="421">
        <v>51</v>
      </c>
      <c r="BE233" s="421">
        <v>80</v>
      </c>
      <c r="BF233" s="419">
        <v>51</v>
      </c>
      <c r="BG233" s="419">
        <v>64</v>
      </c>
      <c r="BH233" s="421">
        <v>13</v>
      </c>
      <c r="BI233" s="421">
        <v>74</v>
      </c>
      <c r="BJ233" s="419">
        <v>19</v>
      </c>
      <c r="BK233" s="419">
        <v>36</v>
      </c>
      <c r="BL233" s="421">
        <v>25</v>
      </c>
      <c r="BM233" s="421">
        <v>38</v>
      </c>
      <c r="BN233" s="419">
        <v>11</v>
      </c>
      <c r="BO233" s="419">
        <v>29</v>
      </c>
      <c r="BP233" s="421">
        <v>19</v>
      </c>
      <c r="BQ233" s="421">
        <v>33</v>
      </c>
      <c r="BR233" s="419">
        <v>25</v>
      </c>
      <c r="BS233" s="419">
        <v>28</v>
      </c>
      <c r="BT233" s="421">
        <v>31</v>
      </c>
      <c r="BU233" s="421">
        <v>31</v>
      </c>
      <c r="BV233" s="419">
        <v>42</v>
      </c>
      <c r="BW233" s="419">
        <v>20</v>
      </c>
      <c r="BX233" s="421">
        <v>11</v>
      </c>
      <c r="BY233" s="420">
        <v>26</v>
      </c>
      <c r="BZ233" s="419">
        <v>43</v>
      </c>
      <c r="CA233" s="419">
        <v>20</v>
      </c>
      <c r="CB233" s="421">
        <v>43</v>
      </c>
      <c r="CC233" s="421">
        <v>22</v>
      </c>
      <c r="CD233" s="419">
        <v>52</v>
      </c>
      <c r="CE233" s="419">
        <v>19</v>
      </c>
      <c r="CF233" s="421">
        <v>42</v>
      </c>
      <c r="CG233" s="421">
        <v>19</v>
      </c>
      <c r="CH233" s="419">
        <v>26</v>
      </c>
      <c r="CI233" s="419">
        <v>19</v>
      </c>
      <c r="CJ233" s="421">
        <v>26</v>
      </c>
      <c r="CK233" s="421">
        <v>19</v>
      </c>
      <c r="CL233" s="419">
        <v>38</v>
      </c>
      <c r="CM233" s="420">
        <v>49</v>
      </c>
      <c r="CN233" s="424">
        <f t="shared" si="101"/>
        <v>454</v>
      </c>
      <c r="CO233" s="424">
        <f t="shared" si="102"/>
        <v>10</v>
      </c>
      <c r="CP233" s="425">
        <f t="shared" si="103"/>
        <v>531</v>
      </c>
      <c r="CQ233" s="425">
        <f t="shared" si="104"/>
        <v>10</v>
      </c>
      <c r="CR233" s="419">
        <v>26</v>
      </c>
      <c r="CS233" s="419">
        <v>2</v>
      </c>
      <c r="CT233" s="421">
        <v>26</v>
      </c>
      <c r="CU233" s="421">
        <v>2</v>
      </c>
      <c r="CV233" s="419"/>
      <c r="CW233" s="419"/>
      <c r="CX233" s="421"/>
      <c r="CY233" s="421"/>
      <c r="CZ233" s="419"/>
      <c r="DA233" s="419"/>
      <c r="DB233" s="421"/>
      <c r="DC233" s="421"/>
      <c r="DD233" s="419"/>
      <c r="DE233" s="419"/>
      <c r="DF233" s="421"/>
      <c r="DG233" s="421"/>
      <c r="DH233" s="419"/>
      <c r="DI233" s="419"/>
      <c r="DJ233" s="421"/>
      <c r="DK233" s="421"/>
      <c r="DL233" s="419"/>
      <c r="DM233" s="419"/>
      <c r="DN233" s="421"/>
      <c r="DO233" s="421"/>
      <c r="DP233" s="419"/>
      <c r="DQ233" s="419"/>
      <c r="DR233" s="421"/>
      <c r="DS233" s="421"/>
      <c r="DT233" s="419"/>
      <c r="DU233" s="419"/>
      <c r="DV233" s="421"/>
      <c r="DW233" s="421"/>
      <c r="DX233" s="419"/>
      <c r="DY233" s="419"/>
      <c r="DZ233" s="421"/>
      <c r="EA233" s="421"/>
      <c r="EB233" s="419"/>
      <c r="EC233" s="419"/>
      <c r="ED233" s="421"/>
      <c r="EE233" s="421"/>
      <c r="EF233" s="419"/>
      <c r="EG233" s="421"/>
      <c r="EH233" s="424">
        <f t="shared" si="105"/>
        <v>2</v>
      </c>
      <c r="EI233" s="424">
        <f t="shared" si="106"/>
        <v>1</v>
      </c>
      <c r="EJ233" s="422">
        <f t="shared" si="107"/>
        <v>1</v>
      </c>
      <c r="EK233" s="425">
        <f t="shared" si="108"/>
        <v>2</v>
      </c>
      <c r="EL233" s="425">
        <f t="shared" si="109"/>
        <v>1</v>
      </c>
      <c r="EM233" s="423">
        <f t="shared" si="110"/>
        <v>1</v>
      </c>
      <c r="EN233" s="424">
        <f t="shared" si="111"/>
        <v>456</v>
      </c>
      <c r="EO233" s="425">
        <f t="shared" si="112"/>
        <v>533</v>
      </c>
      <c r="EP233" s="419">
        <v>129</v>
      </c>
      <c r="EQ233" s="421">
        <v>119</v>
      </c>
      <c r="ER233" s="419"/>
      <c r="ES233" s="421"/>
      <c r="ET233" s="419"/>
      <c r="EU233" s="421"/>
      <c r="EV233" s="419"/>
      <c r="EW233" s="421"/>
      <c r="EX233" s="419"/>
      <c r="EY233" s="421"/>
      <c r="EZ233" s="419"/>
      <c r="FA233" s="421"/>
      <c r="FB233" s="419"/>
      <c r="FC233" s="421"/>
      <c r="FD233" s="419"/>
      <c r="FE233" s="421"/>
      <c r="FF233" s="419"/>
      <c r="FG233" s="421"/>
      <c r="FH233" s="419"/>
      <c r="FI233" s="421"/>
      <c r="FJ233" s="424">
        <f t="shared" si="113"/>
        <v>129</v>
      </c>
      <c r="FK233" s="425">
        <f t="shared" si="114"/>
        <v>119</v>
      </c>
      <c r="FL233" s="419"/>
      <c r="FM233" s="421"/>
      <c r="FN233" s="424">
        <f t="shared" si="115"/>
        <v>1723</v>
      </c>
      <c r="FO233" s="425">
        <f t="shared" si="116"/>
        <v>1750</v>
      </c>
    </row>
    <row r="234" spans="1:171">
      <c r="A234" s="458" t="s">
        <v>162</v>
      </c>
      <c r="B234" s="14" t="s">
        <v>754</v>
      </c>
      <c r="C234" s="13"/>
      <c r="D234" s="12">
        <v>199218</v>
      </c>
      <c r="E234" s="12">
        <v>3</v>
      </c>
      <c r="F234" s="419"/>
      <c r="G234" s="421"/>
      <c r="H234" s="419"/>
      <c r="I234" s="421"/>
      <c r="J234" s="419"/>
      <c r="K234" s="421"/>
      <c r="L234" s="422">
        <f t="shared" si="95"/>
        <v>0</v>
      </c>
      <c r="M234" s="423">
        <f t="shared" si="96"/>
        <v>0</v>
      </c>
      <c r="N234" s="459">
        <v>3833</v>
      </c>
      <c r="O234" s="309">
        <f>0</f>
        <v>0</v>
      </c>
      <c r="P234" s="309">
        <f>0</f>
        <v>0</v>
      </c>
      <c r="Q234" s="309">
        <f>0</f>
        <v>0</v>
      </c>
      <c r="R234" s="424">
        <f t="shared" si="93"/>
        <v>0</v>
      </c>
      <c r="S234" s="421" t="s">
        <v>1169</v>
      </c>
      <c r="T234" s="301">
        <f>0</f>
        <v>0</v>
      </c>
      <c r="U234" s="301">
        <f>0</f>
        <v>0</v>
      </c>
      <c r="V234" s="301">
        <f>0</f>
        <v>0</v>
      </c>
      <c r="W234" s="425">
        <f t="shared" si="94"/>
        <v>0</v>
      </c>
      <c r="X234" s="419"/>
      <c r="Y234" s="419"/>
      <c r="Z234" s="421"/>
      <c r="AA234" s="421"/>
      <c r="AB234" s="419"/>
      <c r="AC234" s="419"/>
      <c r="AD234" s="421"/>
      <c r="AE234" s="421"/>
      <c r="AF234" s="419"/>
      <c r="AG234" s="419"/>
      <c r="AH234" s="421"/>
      <c r="AI234" s="421"/>
      <c r="AJ234" s="419"/>
      <c r="AK234" s="419"/>
      <c r="AL234" s="421"/>
      <c r="AM234" s="421"/>
      <c r="AN234" s="419"/>
      <c r="AO234" s="419"/>
      <c r="AP234" s="421"/>
      <c r="AQ234" s="421"/>
      <c r="AR234" s="424">
        <f t="shared" si="97"/>
        <v>0</v>
      </c>
      <c r="AS234" s="422">
        <f t="shared" si="98"/>
        <v>0.82893598615916952</v>
      </c>
      <c r="AT234" s="425">
        <f t="shared" si="99"/>
        <v>0</v>
      </c>
      <c r="AU234" s="423">
        <f t="shared" si="100"/>
        <v>0.79675135360266558</v>
      </c>
      <c r="AV234" s="419">
        <v>27</v>
      </c>
      <c r="AW234" s="420">
        <v>43</v>
      </c>
      <c r="AX234" s="419">
        <v>13</v>
      </c>
      <c r="AY234" s="419">
        <v>166</v>
      </c>
      <c r="AZ234" s="421">
        <v>52</v>
      </c>
      <c r="BA234" s="420">
        <v>222</v>
      </c>
      <c r="BB234" s="419">
        <v>51</v>
      </c>
      <c r="BC234" s="419">
        <v>143</v>
      </c>
      <c r="BD234" s="421">
        <v>51</v>
      </c>
      <c r="BE234" s="420">
        <v>186</v>
      </c>
      <c r="BF234" s="419">
        <v>52</v>
      </c>
      <c r="BG234" s="419">
        <v>124</v>
      </c>
      <c r="BH234" s="421">
        <v>13</v>
      </c>
      <c r="BI234" s="420">
        <v>184</v>
      </c>
      <c r="BJ234" s="419">
        <v>44</v>
      </c>
      <c r="BK234" s="419">
        <v>87</v>
      </c>
      <c r="BL234" s="421">
        <v>44</v>
      </c>
      <c r="BM234" s="421">
        <v>97</v>
      </c>
      <c r="BN234" s="419">
        <v>40</v>
      </c>
      <c r="BO234" s="419">
        <v>44</v>
      </c>
      <c r="BP234" s="421">
        <v>40</v>
      </c>
      <c r="BQ234" s="421">
        <v>38</v>
      </c>
      <c r="BR234" s="419">
        <v>30</v>
      </c>
      <c r="BS234" s="419">
        <v>25</v>
      </c>
      <c r="BT234" s="421">
        <v>11</v>
      </c>
      <c r="BU234" s="421">
        <v>29</v>
      </c>
      <c r="BV234" s="419">
        <v>11</v>
      </c>
      <c r="BW234" s="419">
        <v>25</v>
      </c>
      <c r="BX234" s="421">
        <v>23</v>
      </c>
      <c r="BY234" s="421">
        <v>23</v>
      </c>
      <c r="BZ234" s="419">
        <v>23</v>
      </c>
      <c r="CA234" s="419">
        <v>24</v>
      </c>
      <c r="CB234" s="421">
        <v>26</v>
      </c>
      <c r="CC234" s="421">
        <v>21</v>
      </c>
      <c r="CD234" s="419">
        <v>3</v>
      </c>
      <c r="CE234" s="419">
        <v>20</v>
      </c>
      <c r="CF234" s="421">
        <v>30</v>
      </c>
      <c r="CG234" s="421">
        <v>20</v>
      </c>
      <c r="CH234" s="419">
        <v>54</v>
      </c>
      <c r="CI234" s="419">
        <v>19</v>
      </c>
      <c r="CJ234" s="421">
        <v>42</v>
      </c>
      <c r="CK234" s="421">
        <v>19</v>
      </c>
      <c r="CL234" s="419">
        <v>59</v>
      </c>
      <c r="CM234" s="421">
        <v>56</v>
      </c>
      <c r="CN234" s="424">
        <f t="shared" si="101"/>
        <v>736</v>
      </c>
      <c r="CO234" s="424">
        <f t="shared" si="102"/>
        <v>10</v>
      </c>
      <c r="CP234" s="425">
        <f t="shared" si="103"/>
        <v>895</v>
      </c>
      <c r="CQ234" s="425">
        <f t="shared" si="104"/>
        <v>10</v>
      </c>
      <c r="CR234" s="419">
        <v>13</v>
      </c>
      <c r="CS234" s="419">
        <v>17</v>
      </c>
      <c r="CT234" s="421">
        <v>13</v>
      </c>
      <c r="CU234" s="420">
        <v>22</v>
      </c>
      <c r="CV234" s="419">
        <v>26</v>
      </c>
      <c r="CW234" s="419">
        <v>2</v>
      </c>
      <c r="CX234" s="421">
        <v>26</v>
      </c>
      <c r="CY234" s="421">
        <v>2</v>
      </c>
      <c r="CZ234" s="419"/>
      <c r="DA234" s="419"/>
      <c r="DB234" s="421"/>
      <c r="DC234" s="421"/>
      <c r="DD234" s="419"/>
      <c r="DE234" s="419"/>
      <c r="DF234" s="421"/>
      <c r="DG234" s="421"/>
      <c r="DH234" s="419"/>
      <c r="DI234" s="419"/>
      <c r="DJ234" s="421"/>
      <c r="DK234" s="421"/>
      <c r="DL234" s="419"/>
      <c r="DM234" s="419"/>
      <c r="DN234" s="421"/>
      <c r="DO234" s="421"/>
      <c r="DP234" s="419"/>
      <c r="DQ234" s="419"/>
      <c r="DR234" s="421"/>
      <c r="DS234" s="421"/>
      <c r="DT234" s="419"/>
      <c r="DU234" s="419"/>
      <c r="DV234" s="421"/>
      <c r="DW234" s="421"/>
      <c r="DX234" s="419"/>
      <c r="DY234" s="419"/>
      <c r="DZ234" s="421"/>
      <c r="EA234" s="421"/>
      <c r="EB234" s="419"/>
      <c r="EC234" s="419"/>
      <c r="ED234" s="421"/>
      <c r="EE234" s="421"/>
      <c r="EF234" s="419"/>
      <c r="EG234" s="421"/>
      <c r="EH234" s="424">
        <f t="shared" si="105"/>
        <v>19</v>
      </c>
      <c r="EI234" s="424">
        <f t="shared" si="106"/>
        <v>2</v>
      </c>
      <c r="EJ234" s="422">
        <f t="shared" si="107"/>
        <v>0.89473684210526316</v>
      </c>
      <c r="EK234" s="425">
        <f t="shared" si="108"/>
        <v>24</v>
      </c>
      <c r="EL234" s="425">
        <f t="shared" si="109"/>
        <v>2</v>
      </c>
      <c r="EM234" s="423">
        <f t="shared" si="110"/>
        <v>0.91666666666666663</v>
      </c>
      <c r="EN234" s="424">
        <f t="shared" si="111"/>
        <v>755</v>
      </c>
      <c r="EO234" s="425">
        <f t="shared" si="112"/>
        <v>919</v>
      </c>
      <c r="EP234" s="419"/>
      <c r="EQ234" s="421"/>
      <c r="ER234" s="419"/>
      <c r="ES234" s="421"/>
      <c r="ET234" s="419"/>
      <c r="EU234" s="421"/>
      <c r="EV234" s="419"/>
      <c r="EW234" s="421"/>
      <c r="EX234" s="419"/>
      <c r="EY234" s="421"/>
      <c r="EZ234" s="419"/>
      <c r="FA234" s="421"/>
      <c r="FB234" s="419"/>
      <c r="FC234" s="421"/>
      <c r="FD234" s="419"/>
      <c r="FE234" s="421"/>
      <c r="FF234" s="419"/>
      <c r="FG234" s="421"/>
      <c r="FH234" s="419">
        <v>9</v>
      </c>
      <c r="FI234" s="420">
        <v>14</v>
      </c>
      <c r="FJ234" s="424">
        <f t="shared" si="113"/>
        <v>9</v>
      </c>
      <c r="FK234" s="425">
        <f t="shared" si="114"/>
        <v>14</v>
      </c>
      <c r="FL234" s="419"/>
      <c r="FM234" s="421"/>
      <c r="FN234" s="424">
        <f t="shared" si="115"/>
        <v>4624</v>
      </c>
      <c r="FO234" s="425">
        <f t="shared" si="116"/>
        <v>4802</v>
      </c>
    </row>
    <row r="235" spans="1:171">
      <c r="A235" s="458" t="s">
        <v>162</v>
      </c>
      <c r="B235" s="14" t="s">
        <v>755</v>
      </c>
      <c r="C235" s="13"/>
      <c r="D235" s="12">
        <v>200004</v>
      </c>
      <c r="E235" s="12">
        <v>3</v>
      </c>
      <c r="F235" s="419"/>
      <c r="G235" s="421"/>
      <c r="H235" s="419"/>
      <c r="I235" s="421"/>
      <c r="J235" s="419"/>
      <c r="K235" s="421"/>
      <c r="L235" s="422">
        <f t="shared" si="95"/>
        <v>0</v>
      </c>
      <c r="M235" s="423">
        <f t="shared" si="96"/>
        <v>0</v>
      </c>
      <c r="N235" s="459">
        <v>2140</v>
      </c>
      <c r="O235" s="309">
        <f>0</f>
        <v>0</v>
      </c>
      <c r="P235" s="309">
        <f>0</f>
        <v>0</v>
      </c>
      <c r="Q235" s="309">
        <f>0</f>
        <v>0</v>
      </c>
      <c r="R235" s="424">
        <f t="shared" si="93"/>
        <v>0</v>
      </c>
      <c r="S235" s="421" t="s">
        <v>1170</v>
      </c>
      <c r="T235" s="301">
        <f>0</f>
        <v>0</v>
      </c>
      <c r="U235" s="301">
        <f>0</f>
        <v>0</v>
      </c>
      <c r="V235" s="301">
        <f>0</f>
        <v>0</v>
      </c>
      <c r="W235" s="425">
        <f t="shared" si="94"/>
        <v>0</v>
      </c>
      <c r="X235" s="419"/>
      <c r="Y235" s="419"/>
      <c r="Z235" s="421"/>
      <c r="AA235" s="421"/>
      <c r="AB235" s="419"/>
      <c r="AC235" s="419"/>
      <c r="AD235" s="421"/>
      <c r="AE235" s="421"/>
      <c r="AF235" s="419"/>
      <c r="AG235" s="419"/>
      <c r="AH235" s="421"/>
      <c r="AI235" s="421"/>
      <c r="AJ235" s="419"/>
      <c r="AK235" s="419"/>
      <c r="AL235" s="421"/>
      <c r="AM235" s="421"/>
      <c r="AN235" s="419"/>
      <c r="AO235" s="419"/>
      <c r="AP235" s="421"/>
      <c r="AQ235" s="421"/>
      <c r="AR235" s="424">
        <f t="shared" si="97"/>
        <v>0</v>
      </c>
      <c r="AS235" s="422">
        <f t="shared" si="98"/>
        <v>0.774800868935554</v>
      </c>
      <c r="AT235" s="425">
        <f t="shared" si="99"/>
        <v>0</v>
      </c>
      <c r="AU235" s="423">
        <f t="shared" si="100"/>
        <v>0.76553867403314912</v>
      </c>
      <c r="AV235" s="419"/>
      <c r="AW235" s="420">
        <v>36</v>
      </c>
      <c r="AX235" s="419">
        <v>13</v>
      </c>
      <c r="AY235" s="419">
        <v>150</v>
      </c>
      <c r="AZ235" s="421">
        <v>13</v>
      </c>
      <c r="BA235" s="421">
        <v>171</v>
      </c>
      <c r="BB235" s="419">
        <v>52</v>
      </c>
      <c r="BC235" s="419">
        <v>141</v>
      </c>
      <c r="BD235" s="421">
        <v>52</v>
      </c>
      <c r="BE235" s="421">
        <v>133</v>
      </c>
      <c r="BF235" s="419">
        <v>51</v>
      </c>
      <c r="BG235" s="419">
        <v>140</v>
      </c>
      <c r="BH235" s="421">
        <v>51</v>
      </c>
      <c r="BI235" s="421">
        <v>113</v>
      </c>
      <c r="BJ235" s="419">
        <v>44</v>
      </c>
      <c r="BK235" s="419">
        <v>57</v>
      </c>
      <c r="BL235" s="421">
        <v>44</v>
      </c>
      <c r="BM235" s="421">
        <v>68</v>
      </c>
      <c r="BN235" s="419">
        <v>31</v>
      </c>
      <c r="BO235" s="419">
        <v>20</v>
      </c>
      <c r="BP235" s="421">
        <v>15</v>
      </c>
      <c r="BQ235" s="420">
        <v>35</v>
      </c>
      <c r="BR235" s="419">
        <v>15</v>
      </c>
      <c r="BS235" s="419">
        <v>20</v>
      </c>
      <c r="BT235" s="421">
        <v>31</v>
      </c>
      <c r="BU235" s="421">
        <v>24</v>
      </c>
      <c r="BV235" s="419">
        <v>42</v>
      </c>
      <c r="BW235" s="419">
        <v>17</v>
      </c>
      <c r="BX235" s="421">
        <v>42</v>
      </c>
      <c r="BY235" s="421">
        <v>15</v>
      </c>
      <c r="BZ235" s="419">
        <v>23</v>
      </c>
      <c r="CA235" s="419">
        <v>13</v>
      </c>
      <c r="CB235" s="421">
        <v>26</v>
      </c>
      <c r="CC235" s="421">
        <v>12</v>
      </c>
      <c r="CD235" s="419">
        <v>26</v>
      </c>
      <c r="CE235" s="419">
        <v>10</v>
      </c>
      <c r="CF235" s="421">
        <v>23</v>
      </c>
      <c r="CG235" s="421">
        <v>10</v>
      </c>
      <c r="CH235" s="419">
        <v>40</v>
      </c>
      <c r="CI235" s="419">
        <v>4</v>
      </c>
      <c r="CJ235" s="421">
        <v>40</v>
      </c>
      <c r="CK235" s="420">
        <v>9</v>
      </c>
      <c r="CL235" s="419">
        <v>8</v>
      </c>
      <c r="CM235" s="420">
        <v>10</v>
      </c>
      <c r="CN235" s="424">
        <f t="shared" si="101"/>
        <v>580</v>
      </c>
      <c r="CO235" s="424">
        <f t="shared" si="102"/>
        <v>10</v>
      </c>
      <c r="CP235" s="425">
        <f t="shared" si="103"/>
        <v>600</v>
      </c>
      <c r="CQ235" s="425">
        <f t="shared" si="104"/>
        <v>10</v>
      </c>
      <c r="CR235" s="419">
        <v>13</v>
      </c>
      <c r="CS235" s="419">
        <v>6</v>
      </c>
      <c r="CT235" s="421">
        <v>13</v>
      </c>
      <c r="CU235" s="420">
        <v>11</v>
      </c>
      <c r="CV235" s="419"/>
      <c r="CW235" s="419"/>
      <c r="CX235" s="421"/>
      <c r="CY235" s="421"/>
      <c r="CZ235" s="419"/>
      <c r="DA235" s="419"/>
      <c r="DB235" s="421"/>
      <c r="DC235" s="421"/>
      <c r="DD235" s="419"/>
      <c r="DE235" s="419"/>
      <c r="DF235" s="421"/>
      <c r="DG235" s="421"/>
      <c r="DH235" s="419"/>
      <c r="DI235" s="419"/>
      <c r="DJ235" s="421"/>
      <c r="DK235" s="421"/>
      <c r="DL235" s="419"/>
      <c r="DM235" s="419"/>
      <c r="DN235" s="421"/>
      <c r="DO235" s="421"/>
      <c r="DP235" s="419"/>
      <c r="DQ235" s="419"/>
      <c r="DR235" s="421"/>
      <c r="DS235" s="421"/>
      <c r="DT235" s="419"/>
      <c r="DU235" s="419"/>
      <c r="DV235" s="421"/>
      <c r="DW235" s="421"/>
      <c r="DX235" s="419"/>
      <c r="DY235" s="419"/>
      <c r="DZ235" s="421"/>
      <c r="EA235" s="421"/>
      <c r="EB235" s="419"/>
      <c r="EC235" s="419"/>
      <c r="ED235" s="421"/>
      <c r="EE235" s="421"/>
      <c r="EF235" s="419"/>
      <c r="EG235" s="421"/>
      <c r="EH235" s="424">
        <f t="shared" si="105"/>
        <v>6</v>
      </c>
      <c r="EI235" s="424">
        <f t="shared" si="106"/>
        <v>1</v>
      </c>
      <c r="EJ235" s="422">
        <f t="shared" si="107"/>
        <v>1</v>
      </c>
      <c r="EK235" s="425">
        <f t="shared" si="108"/>
        <v>11</v>
      </c>
      <c r="EL235" s="425">
        <f t="shared" si="109"/>
        <v>1</v>
      </c>
      <c r="EM235" s="423">
        <f t="shared" si="110"/>
        <v>1</v>
      </c>
      <c r="EN235" s="424">
        <f t="shared" si="111"/>
        <v>586</v>
      </c>
      <c r="EO235" s="425">
        <f t="shared" si="112"/>
        <v>611</v>
      </c>
      <c r="EP235" s="419"/>
      <c r="EQ235" s="421"/>
      <c r="ER235" s="419"/>
      <c r="ES235" s="421"/>
      <c r="ET235" s="419"/>
      <c r="EU235" s="421"/>
      <c r="EV235" s="419"/>
      <c r="EW235" s="421"/>
      <c r="EX235" s="419"/>
      <c r="EY235" s="421"/>
      <c r="EZ235" s="419"/>
      <c r="FA235" s="421"/>
      <c r="FB235" s="419"/>
      <c r="FC235" s="421"/>
      <c r="FD235" s="419"/>
      <c r="FE235" s="421"/>
      <c r="FF235" s="419"/>
      <c r="FG235" s="421"/>
      <c r="FH235" s="419">
        <v>36</v>
      </c>
      <c r="FI235" s="421">
        <v>32</v>
      </c>
      <c r="FJ235" s="424">
        <f t="shared" si="113"/>
        <v>36</v>
      </c>
      <c r="FK235" s="425">
        <f t="shared" si="114"/>
        <v>32</v>
      </c>
      <c r="FL235" s="419"/>
      <c r="FM235" s="421"/>
      <c r="FN235" s="424">
        <f t="shared" si="115"/>
        <v>2762</v>
      </c>
      <c r="FO235" s="425">
        <f t="shared" si="116"/>
        <v>2896</v>
      </c>
    </row>
    <row r="236" spans="1:171">
      <c r="A236" s="458" t="s">
        <v>162</v>
      </c>
      <c r="B236" s="14" t="s">
        <v>756</v>
      </c>
      <c r="C236" s="13"/>
      <c r="D236" s="12">
        <v>198543</v>
      </c>
      <c r="E236" s="12">
        <v>4</v>
      </c>
      <c r="F236" s="419"/>
      <c r="G236" s="421"/>
      <c r="H236" s="419"/>
      <c r="I236" s="421"/>
      <c r="J236" s="419"/>
      <c r="K236" s="421"/>
      <c r="L236" s="422">
        <f t="shared" si="95"/>
        <v>0</v>
      </c>
      <c r="M236" s="423">
        <f t="shared" si="96"/>
        <v>0</v>
      </c>
      <c r="N236" s="459">
        <v>1006</v>
      </c>
      <c r="O236" s="309">
        <f>0</f>
        <v>0</v>
      </c>
      <c r="P236" s="309">
        <f>0</f>
        <v>0</v>
      </c>
      <c r="Q236" s="309">
        <f>0</f>
        <v>0</v>
      </c>
      <c r="R236" s="424">
        <f t="shared" si="93"/>
        <v>0</v>
      </c>
      <c r="S236" s="421" t="s">
        <v>1171</v>
      </c>
      <c r="T236" s="301">
        <f>0</f>
        <v>0</v>
      </c>
      <c r="U236" s="301">
        <f>0</f>
        <v>0</v>
      </c>
      <c r="V236" s="301">
        <f>0</f>
        <v>0</v>
      </c>
      <c r="W236" s="425">
        <f t="shared" si="94"/>
        <v>0</v>
      </c>
      <c r="X236" s="419"/>
      <c r="Y236" s="419"/>
      <c r="Z236" s="421"/>
      <c r="AA236" s="421"/>
      <c r="AB236" s="419"/>
      <c r="AC236" s="419"/>
      <c r="AD236" s="421"/>
      <c r="AE236" s="421"/>
      <c r="AF236" s="419"/>
      <c r="AG236" s="419"/>
      <c r="AH236" s="421"/>
      <c r="AI236" s="421"/>
      <c r="AJ236" s="419"/>
      <c r="AK236" s="419"/>
      <c r="AL236" s="421"/>
      <c r="AM236" s="421"/>
      <c r="AN236" s="419"/>
      <c r="AO236" s="419"/>
      <c r="AP236" s="421"/>
      <c r="AQ236" s="421"/>
      <c r="AR236" s="424">
        <f t="shared" si="97"/>
        <v>0</v>
      </c>
      <c r="AS236" s="422">
        <f t="shared" si="98"/>
        <v>0.83347141673570835</v>
      </c>
      <c r="AT236" s="425">
        <f t="shared" si="99"/>
        <v>0</v>
      </c>
      <c r="AU236" s="423">
        <f t="shared" si="100"/>
        <v>0.82663514578408193</v>
      </c>
      <c r="AV236" s="419">
        <v>1</v>
      </c>
      <c r="AW236" s="420">
        <v>37</v>
      </c>
      <c r="AX236" s="419">
        <v>52</v>
      </c>
      <c r="AY236" s="419">
        <v>105</v>
      </c>
      <c r="AZ236" s="421">
        <v>52</v>
      </c>
      <c r="BA236" s="421">
        <v>99</v>
      </c>
      <c r="BB236" s="419">
        <v>44</v>
      </c>
      <c r="BC236" s="419">
        <v>39</v>
      </c>
      <c r="BD236" s="421">
        <v>44</v>
      </c>
      <c r="BE236" s="421">
        <v>32</v>
      </c>
      <c r="BF236" s="419">
        <v>13</v>
      </c>
      <c r="BG236" s="419">
        <v>19</v>
      </c>
      <c r="BH236" s="421">
        <v>13</v>
      </c>
      <c r="BI236" s="421">
        <v>18</v>
      </c>
      <c r="BJ236" s="419">
        <v>42</v>
      </c>
      <c r="BK236" s="419">
        <v>12</v>
      </c>
      <c r="BL236" s="421">
        <v>43</v>
      </c>
      <c r="BM236" s="420">
        <v>8</v>
      </c>
      <c r="BN236" s="419">
        <v>43</v>
      </c>
      <c r="BO236" s="419">
        <v>9</v>
      </c>
      <c r="BP236" s="421">
        <v>45</v>
      </c>
      <c r="BQ236" s="420">
        <v>6</v>
      </c>
      <c r="BR236" s="419">
        <v>45</v>
      </c>
      <c r="BS236" s="419">
        <v>7</v>
      </c>
      <c r="BT236" s="421">
        <v>42</v>
      </c>
      <c r="BU236" s="420">
        <v>1</v>
      </c>
      <c r="BV236" s="419"/>
      <c r="BW236" s="419"/>
      <c r="BX236" s="421"/>
      <c r="BY236" s="421"/>
      <c r="BZ236" s="419"/>
      <c r="CA236" s="419"/>
      <c r="CB236" s="421"/>
      <c r="CC236" s="421"/>
      <c r="CD236" s="419"/>
      <c r="CE236" s="419"/>
      <c r="CF236" s="421"/>
      <c r="CG236" s="421"/>
      <c r="CH236" s="419"/>
      <c r="CI236" s="419"/>
      <c r="CJ236" s="421"/>
      <c r="CK236" s="421"/>
      <c r="CL236" s="419"/>
      <c r="CM236" s="421"/>
      <c r="CN236" s="424">
        <f t="shared" si="101"/>
        <v>191</v>
      </c>
      <c r="CO236" s="424">
        <f t="shared" si="102"/>
        <v>6</v>
      </c>
      <c r="CP236" s="425">
        <f t="shared" si="103"/>
        <v>164</v>
      </c>
      <c r="CQ236" s="425">
        <f t="shared" si="104"/>
        <v>6</v>
      </c>
      <c r="CR236" s="419">
        <v>13</v>
      </c>
      <c r="CS236" s="419">
        <v>9</v>
      </c>
      <c r="CT236" s="421">
        <v>13</v>
      </c>
      <c r="CU236" s="420">
        <v>19</v>
      </c>
      <c r="CV236" s="419"/>
      <c r="CW236" s="419"/>
      <c r="CX236" s="421"/>
      <c r="CY236" s="421"/>
      <c r="CZ236" s="419"/>
      <c r="DA236" s="419"/>
      <c r="DB236" s="421"/>
      <c r="DC236" s="421"/>
      <c r="DD236" s="419"/>
      <c r="DE236" s="419"/>
      <c r="DF236" s="421"/>
      <c r="DG236" s="421"/>
      <c r="DH236" s="419"/>
      <c r="DI236" s="419"/>
      <c r="DJ236" s="421"/>
      <c r="DK236" s="421"/>
      <c r="DL236" s="419"/>
      <c r="DM236" s="419"/>
      <c r="DN236" s="421"/>
      <c r="DO236" s="421"/>
      <c r="DP236" s="419"/>
      <c r="DQ236" s="419"/>
      <c r="DR236" s="421"/>
      <c r="DS236" s="421"/>
      <c r="DT236" s="419"/>
      <c r="DU236" s="419"/>
      <c r="DV236" s="421"/>
      <c r="DW236" s="421"/>
      <c r="DX236" s="419"/>
      <c r="DY236" s="419"/>
      <c r="DZ236" s="421"/>
      <c r="EA236" s="421"/>
      <c r="EB236" s="419"/>
      <c r="EC236" s="419"/>
      <c r="ED236" s="421"/>
      <c r="EE236" s="421"/>
      <c r="EF236" s="419"/>
      <c r="EG236" s="421"/>
      <c r="EH236" s="424">
        <f t="shared" si="105"/>
        <v>9</v>
      </c>
      <c r="EI236" s="424">
        <f t="shared" si="106"/>
        <v>1</v>
      </c>
      <c r="EJ236" s="422">
        <f t="shared" si="107"/>
        <v>1</v>
      </c>
      <c r="EK236" s="425">
        <f t="shared" si="108"/>
        <v>19</v>
      </c>
      <c r="EL236" s="425">
        <f t="shared" si="109"/>
        <v>1</v>
      </c>
      <c r="EM236" s="423">
        <f t="shared" si="110"/>
        <v>1</v>
      </c>
      <c r="EN236" s="424">
        <f t="shared" si="111"/>
        <v>200</v>
      </c>
      <c r="EO236" s="425">
        <f t="shared" si="112"/>
        <v>183</v>
      </c>
      <c r="EP236" s="419"/>
      <c r="EQ236" s="421"/>
      <c r="ER236" s="419"/>
      <c r="ES236" s="421"/>
      <c r="ET236" s="419"/>
      <c r="EU236" s="421"/>
      <c r="EV236" s="419"/>
      <c r="EW236" s="421"/>
      <c r="EX236" s="419"/>
      <c r="EY236" s="421"/>
      <c r="EZ236" s="419"/>
      <c r="FA236" s="421"/>
      <c r="FB236" s="419"/>
      <c r="FC236" s="421"/>
      <c r="FD236" s="419"/>
      <c r="FE236" s="421"/>
      <c r="FF236" s="419"/>
      <c r="FG236" s="421"/>
      <c r="FH236" s="419"/>
      <c r="FI236" s="421"/>
      <c r="FJ236" s="424">
        <f t="shared" si="113"/>
        <v>0</v>
      </c>
      <c r="FK236" s="425">
        <f t="shared" si="114"/>
        <v>0</v>
      </c>
      <c r="FL236" s="419"/>
      <c r="FM236" s="421"/>
      <c r="FN236" s="424">
        <f t="shared" si="115"/>
        <v>1207</v>
      </c>
      <c r="FO236" s="425">
        <f t="shared" si="116"/>
        <v>1269</v>
      </c>
    </row>
    <row r="237" spans="1:171">
      <c r="A237" s="458" t="s">
        <v>162</v>
      </c>
      <c r="B237" s="14" t="s">
        <v>757</v>
      </c>
      <c r="C237" s="13"/>
      <c r="D237" s="12">
        <v>199281</v>
      </c>
      <c r="E237" s="12">
        <v>5</v>
      </c>
      <c r="F237" s="419"/>
      <c r="G237" s="421"/>
      <c r="H237" s="419"/>
      <c r="I237" s="421"/>
      <c r="J237" s="419"/>
      <c r="K237" s="421"/>
      <c r="L237" s="422">
        <f t="shared" si="95"/>
        <v>0</v>
      </c>
      <c r="M237" s="423">
        <f t="shared" si="96"/>
        <v>0</v>
      </c>
      <c r="N237" s="419">
        <v>990</v>
      </c>
      <c r="O237" s="309">
        <f>0</f>
        <v>0</v>
      </c>
      <c r="P237" s="309">
        <f>0</f>
        <v>0</v>
      </c>
      <c r="Q237" s="309">
        <f>0</f>
        <v>0</v>
      </c>
      <c r="R237" s="424">
        <f t="shared" si="93"/>
        <v>0</v>
      </c>
      <c r="S237" s="421" t="s">
        <v>1172</v>
      </c>
      <c r="T237" s="301">
        <f>0</f>
        <v>0</v>
      </c>
      <c r="U237" s="301">
        <f>0</f>
        <v>0</v>
      </c>
      <c r="V237" s="301">
        <f>0</f>
        <v>0</v>
      </c>
      <c r="W237" s="425">
        <f t="shared" si="94"/>
        <v>0</v>
      </c>
      <c r="X237" s="419"/>
      <c r="Y237" s="419"/>
      <c r="Z237" s="421"/>
      <c r="AA237" s="421"/>
      <c r="AB237" s="419"/>
      <c r="AC237" s="419"/>
      <c r="AD237" s="421"/>
      <c r="AE237" s="421"/>
      <c r="AF237" s="419"/>
      <c r="AG237" s="419"/>
      <c r="AH237" s="421"/>
      <c r="AI237" s="421"/>
      <c r="AJ237" s="419"/>
      <c r="AK237" s="419"/>
      <c r="AL237" s="421"/>
      <c r="AM237" s="421"/>
      <c r="AN237" s="419"/>
      <c r="AO237" s="419"/>
      <c r="AP237" s="421"/>
      <c r="AQ237" s="421"/>
      <c r="AR237" s="424">
        <f t="shared" si="97"/>
        <v>0</v>
      </c>
      <c r="AS237" s="422">
        <f t="shared" si="98"/>
        <v>0.80553295362082999</v>
      </c>
      <c r="AT237" s="425">
        <f t="shared" si="99"/>
        <v>0</v>
      </c>
      <c r="AU237" s="423">
        <f t="shared" si="100"/>
        <v>0.75582215949188425</v>
      </c>
      <c r="AV237" s="419"/>
      <c r="AW237" s="421"/>
      <c r="AX237" s="419">
        <v>13</v>
      </c>
      <c r="AY237" s="419">
        <v>103</v>
      </c>
      <c r="AZ237" s="421">
        <v>13</v>
      </c>
      <c r="BA237" s="420">
        <v>153</v>
      </c>
      <c r="BB237" s="419">
        <v>44</v>
      </c>
      <c r="BC237" s="419">
        <v>73</v>
      </c>
      <c r="BD237" s="421">
        <v>52</v>
      </c>
      <c r="BE237" s="420">
        <v>125</v>
      </c>
      <c r="BF237" s="419">
        <v>52</v>
      </c>
      <c r="BG237" s="419">
        <v>48</v>
      </c>
      <c r="BH237" s="421">
        <v>44</v>
      </c>
      <c r="BI237" s="420">
        <v>61</v>
      </c>
      <c r="BJ237" s="419">
        <v>51</v>
      </c>
      <c r="BK237" s="419">
        <v>15</v>
      </c>
      <c r="BL237" s="421">
        <v>51</v>
      </c>
      <c r="BM237" s="420">
        <v>7</v>
      </c>
      <c r="BN237" s="419"/>
      <c r="BO237" s="419"/>
      <c r="BP237" s="421"/>
      <c r="BQ237" s="421"/>
      <c r="BR237" s="419"/>
      <c r="BS237" s="419"/>
      <c r="BT237" s="421"/>
      <c r="BU237" s="421"/>
      <c r="BV237" s="419"/>
      <c r="BW237" s="419"/>
      <c r="BX237" s="421"/>
      <c r="BY237" s="421"/>
      <c r="BZ237" s="419"/>
      <c r="CA237" s="419"/>
      <c r="CB237" s="421"/>
      <c r="CC237" s="421"/>
      <c r="CD237" s="419"/>
      <c r="CE237" s="419"/>
      <c r="CF237" s="421"/>
      <c r="CG237" s="421"/>
      <c r="CH237" s="419"/>
      <c r="CI237" s="419"/>
      <c r="CJ237" s="421"/>
      <c r="CK237" s="421"/>
      <c r="CL237" s="419"/>
      <c r="CM237" s="421"/>
      <c r="CN237" s="424">
        <f t="shared" si="101"/>
        <v>239</v>
      </c>
      <c r="CO237" s="424">
        <f t="shared" si="102"/>
        <v>4</v>
      </c>
      <c r="CP237" s="425">
        <f t="shared" si="103"/>
        <v>346</v>
      </c>
      <c r="CQ237" s="425">
        <f t="shared" si="104"/>
        <v>4</v>
      </c>
      <c r="CR237" s="419"/>
      <c r="CS237" s="419"/>
      <c r="CT237" s="421"/>
      <c r="CU237" s="421"/>
      <c r="CV237" s="419"/>
      <c r="CW237" s="419"/>
      <c r="CX237" s="421"/>
      <c r="CY237" s="421"/>
      <c r="CZ237" s="419"/>
      <c r="DA237" s="419"/>
      <c r="DB237" s="421"/>
      <c r="DC237" s="421"/>
      <c r="DD237" s="419"/>
      <c r="DE237" s="419"/>
      <c r="DF237" s="421"/>
      <c r="DG237" s="421"/>
      <c r="DH237" s="419"/>
      <c r="DI237" s="419"/>
      <c r="DJ237" s="421"/>
      <c r="DK237" s="421"/>
      <c r="DL237" s="419"/>
      <c r="DM237" s="419"/>
      <c r="DN237" s="421"/>
      <c r="DO237" s="421"/>
      <c r="DP237" s="419"/>
      <c r="DQ237" s="419"/>
      <c r="DR237" s="421"/>
      <c r="DS237" s="421"/>
      <c r="DT237" s="419"/>
      <c r="DU237" s="419"/>
      <c r="DV237" s="421"/>
      <c r="DW237" s="421"/>
      <c r="DX237" s="419"/>
      <c r="DY237" s="419"/>
      <c r="DZ237" s="421"/>
      <c r="EA237" s="421"/>
      <c r="EB237" s="419"/>
      <c r="EC237" s="419"/>
      <c r="ED237" s="421"/>
      <c r="EE237" s="421"/>
      <c r="EF237" s="419"/>
      <c r="EG237" s="421"/>
      <c r="EH237" s="424">
        <f t="shared" si="105"/>
        <v>0</v>
      </c>
      <c r="EI237" s="424">
        <f t="shared" si="106"/>
        <v>0</v>
      </c>
      <c r="EJ237" s="422">
        <f t="shared" si="107"/>
        <v>0</v>
      </c>
      <c r="EK237" s="425">
        <f t="shared" si="108"/>
        <v>0</v>
      </c>
      <c r="EL237" s="425">
        <f t="shared" si="109"/>
        <v>0</v>
      </c>
      <c r="EM237" s="423">
        <f t="shared" si="110"/>
        <v>0</v>
      </c>
      <c r="EN237" s="424">
        <f t="shared" si="111"/>
        <v>239</v>
      </c>
      <c r="EO237" s="425">
        <f t="shared" si="112"/>
        <v>346</v>
      </c>
      <c r="EP237" s="419"/>
      <c r="EQ237" s="421"/>
      <c r="ER237" s="419"/>
      <c r="ES237" s="421"/>
      <c r="ET237" s="419"/>
      <c r="EU237" s="421"/>
      <c r="EV237" s="419"/>
      <c r="EW237" s="421"/>
      <c r="EX237" s="419"/>
      <c r="EY237" s="421"/>
      <c r="EZ237" s="419"/>
      <c r="FA237" s="421"/>
      <c r="FB237" s="419"/>
      <c r="FC237" s="421"/>
      <c r="FD237" s="419"/>
      <c r="FE237" s="421"/>
      <c r="FF237" s="419"/>
      <c r="FG237" s="421"/>
      <c r="FH237" s="419"/>
      <c r="FI237" s="421"/>
      <c r="FJ237" s="424">
        <f t="shared" si="113"/>
        <v>0</v>
      </c>
      <c r="FK237" s="425">
        <f t="shared" si="114"/>
        <v>0</v>
      </c>
      <c r="FL237" s="419"/>
      <c r="FM237" s="421"/>
      <c r="FN237" s="424">
        <f t="shared" si="115"/>
        <v>1229</v>
      </c>
      <c r="FO237" s="425">
        <f t="shared" si="116"/>
        <v>1417</v>
      </c>
    </row>
    <row r="238" spans="1:171">
      <c r="A238" s="458" t="s">
        <v>162</v>
      </c>
      <c r="B238" s="14" t="s">
        <v>758</v>
      </c>
      <c r="C238" s="13"/>
      <c r="D238" s="12">
        <v>199999</v>
      </c>
      <c r="E238" s="12">
        <v>5</v>
      </c>
      <c r="F238" s="419"/>
      <c r="G238" s="421"/>
      <c r="H238" s="419"/>
      <c r="I238" s="421"/>
      <c r="J238" s="419"/>
      <c r="K238" s="421"/>
      <c r="L238" s="422">
        <f t="shared" si="95"/>
        <v>0</v>
      </c>
      <c r="M238" s="423">
        <f t="shared" si="96"/>
        <v>0</v>
      </c>
      <c r="N238" s="459">
        <v>1022</v>
      </c>
      <c r="O238" s="309">
        <f>0</f>
        <v>0</v>
      </c>
      <c r="P238" s="309">
        <f>0</f>
        <v>0</v>
      </c>
      <c r="Q238" s="309">
        <f>0</f>
        <v>0</v>
      </c>
      <c r="R238" s="424">
        <f t="shared" si="93"/>
        <v>0</v>
      </c>
      <c r="S238" s="421" t="s">
        <v>1173</v>
      </c>
      <c r="T238" s="301">
        <f>0</f>
        <v>0</v>
      </c>
      <c r="U238" s="301">
        <f>0</f>
        <v>0</v>
      </c>
      <c r="V238" s="301">
        <f>0</f>
        <v>0</v>
      </c>
      <c r="W238" s="425">
        <f t="shared" si="94"/>
        <v>0</v>
      </c>
      <c r="X238" s="419"/>
      <c r="Y238" s="419"/>
      <c r="Z238" s="421"/>
      <c r="AA238" s="421"/>
      <c r="AB238" s="419"/>
      <c r="AC238" s="419"/>
      <c r="AD238" s="421"/>
      <c r="AE238" s="421"/>
      <c r="AF238" s="419"/>
      <c r="AG238" s="419"/>
      <c r="AH238" s="421"/>
      <c r="AI238" s="421"/>
      <c r="AJ238" s="419"/>
      <c r="AK238" s="419"/>
      <c r="AL238" s="421"/>
      <c r="AM238" s="421"/>
      <c r="AN238" s="419"/>
      <c r="AO238" s="419"/>
      <c r="AP238" s="421"/>
      <c r="AQ238" s="421"/>
      <c r="AR238" s="424">
        <f t="shared" si="97"/>
        <v>0</v>
      </c>
      <c r="AS238" s="422">
        <f t="shared" si="98"/>
        <v>0.87052810902896083</v>
      </c>
      <c r="AT238" s="425">
        <f t="shared" si="99"/>
        <v>0</v>
      </c>
      <c r="AU238" s="423">
        <f t="shared" si="100"/>
        <v>0.84876033057851241</v>
      </c>
      <c r="AV238" s="419"/>
      <c r="AW238" s="421"/>
      <c r="AX238" s="419">
        <v>51</v>
      </c>
      <c r="AY238" s="419">
        <v>86</v>
      </c>
      <c r="AZ238" s="421">
        <v>51</v>
      </c>
      <c r="BA238" s="420">
        <v>105</v>
      </c>
      <c r="BB238" s="419">
        <v>52</v>
      </c>
      <c r="BC238" s="419">
        <v>17</v>
      </c>
      <c r="BD238" s="421">
        <v>52</v>
      </c>
      <c r="BE238" s="420">
        <v>10</v>
      </c>
      <c r="BF238" s="419">
        <v>13</v>
      </c>
      <c r="BG238" s="419">
        <v>5</v>
      </c>
      <c r="BH238" s="421">
        <v>11</v>
      </c>
      <c r="BI238" s="420">
        <v>7</v>
      </c>
      <c r="BJ238" s="419">
        <v>11</v>
      </c>
      <c r="BK238" s="419">
        <v>4</v>
      </c>
      <c r="BL238" s="421">
        <v>13</v>
      </c>
      <c r="BM238" s="420">
        <v>3</v>
      </c>
      <c r="BN238" s="419"/>
      <c r="BO238" s="419"/>
      <c r="BP238" s="421"/>
      <c r="BQ238" s="421"/>
      <c r="BR238" s="419"/>
      <c r="BS238" s="419"/>
      <c r="BT238" s="421"/>
      <c r="BU238" s="421"/>
      <c r="BV238" s="419"/>
      <c r="BW238" s="419"/>
      <c r="BX238" s="421"/>
      <c r="BY238" s="421"/>
      <c r="BZ238" s="419"/>
      <c r="CA238" s="419"/>
      <c r="CB238" s="421"/>
      <c r="CC238" s="421"/>
      <c r="CD238" s="419"/>
      <c r="CE238" s="419"/>
      <c r="CF238" s="421"/>
      <c r="CG238" s="421"/>
      <c r="CH238" s="419"/>
      <c r="CI238" s="419"/>
      <c r="CJ238" s="421"/>
      <c r="CK238" s="421"/>
      <c r="CL238" s="419"/>
      <c r="CM238" s="421"/>
      <c r="CN238" s="424">
        <f t="shared" si="101"/>
        <v>112</v>
      </c>
      <c r="CO238" s="424">
        <f t="shared" si="102"/>
        <v>4</v>
      </c>
      <c r="CP238" s="425">
        <f t="shared" si="103"/>
        <v>125</v>
      </c>
      <c r="CQ238" s="425">
        <f t="shared" si="104"/>
        <v>4</v>
      </c>
      <c r="CR238" s="419"/>
      <c r="CS238" s="419"/>
      <c r="CT238" s="421"/>
      <c r="CU238" s="421"/>
      <c r="CV238" s="419"/>
      <c r="CW238" s="419"/>
      <c r="CX238" s="421"/>
      <c r="CY238" s="421"/>
      <c r="CZ238" s="419"/>
      <c r="DA238" s="419"/>
      <c r="DB238" s="421"/>
      <c r="DC238" s="421"/>
      <c r="DD238" s="419"/>
      <c r="DE238" s="419"/>
      <c r="DF238" s="421"/>
      <c r="DG238" s="421"/>
      <c r="DH238" s="419"/>
      <c r="DI238" s="419"/>
      <c r="DJ238" s="421"/>
      <c r="DK238" s="421"/>
      <c r="DL238" s="419"/>
      <c r="DM238" s="419"/>
      <c r="DN238" s="421"/>
      <c r="DO238" s="421"/>
      <c r="DP238" s="419"/>
      <c r="DQ238" s="419"/>
      <c r="DR238" s="421"/>
      <c r="DS238" s="421"/>
      <c r="DT238" s="419"/>
      <c r="DU238" s="419"/>
      <c r="DV238" s="421"/>
      <c r="DW238" s="421"/>
      <c r="DX238" s="419"/>
      <c r="DY238" s="419"/>
      <c r="DZ238" s="421"/>
      <c r="EA238" s="421"/>
      <c r="EB238" s="419"/>
      <c r="EC238" s="419"/>
      <c r="ED238" s="421"/>
      <c r="EE238" s="421"/>
      <c r="EF238" s="419"/>
      <c r="EG238" s="421"/>
      <c r="EH238" s="424">
        <f t="shared" si="105"/>
        <v>0</v>
      </c>
      <c r="EI238" s="424">
        <f t="shared" si="106"/>
        <v>0</v>
      </c>
      <c r="EJ238" s="422">
        <f t="shared" si="107"/>
        <v>0</v>
      </c>
      <c r="EK238" s="425">
        <f t="shared" si="108"/>
        <v>0</v>
      </c>
      <c r="EL238" s="425">
        <f t="shared" si="109"/>
        <v>0</v>
      </c>
      <c r="EM238" s="423">
        <f t="shared" si="110"/>
        <v>0</v>
      </c>
      <c r="EN238" s="424">
        <f t="shared" si="111"/>
        <v>112</v>
      </c>
      <c r="EO238" s="425">
        <f t="shared" si="112"/>
        <v>125</v>
      </c>
      <c r="EP238" s="419"/>
      <c r="EQ238" s="421"/>
      <c r="ER238" s="419"/>
      <c r="ES238" s="421"/>
      <c r="ET238" s="419"/>
      <c r="EU238" s="421"/>
      <c r="EV238" s="419"/>
      <c r="EW238" s="421"/>
      <c r="EX238" s="419"/>
      <c r="EY238" s="421"/>
      <c r="EZ238" s="419"/>
      <c r="FA238" s="421"/>
      <c r="FB238" s="419"/>
      <c r="FC238" s="421"/>
      <c r="FD238" s="419"/>
      <c r="FE238" s="421"/>
      <c r="FF238" s="419"/>
      <c r="FG238" s="421"/>
      <c r="FH238" s="419">
        <v>40</v>
      </c>
      <c r="FI238" s="420">
        <v>58</v>
      </c>
      <c r="FJ238" s="424">
        <f t="shared" si="113"/>
        <v>40</v>
      </c>
      <c r="FK238" s="425">
        <f t="shared" si="114"/>
        <v>58</v>
      </c>
      <c r="FL238" s="419"/>
      <c r="FM238" s="421"/>
      <c r="FN238" s="424">
        <f t="shared" si="115"/>
        <v>1174</v>
      </c>
      <c r="FO238" s="425">
        <f t="shared" si="116"/>
        <v>1210</v>
      </c>
    </row>
    <row r="239" spans="1:171">
      <c r="A239" s="458" t="s">
        <v>162</v>
      </c>
      <c r="B239" s="14" t="s">
        <v>759</v>
      </c>
      <c r="C239" s="13"/>
      <c r="D239" s="12">
        <v>198507</v>
      </c>
      <c r="E239" s="12">
        <v>6</v>
      </c>
      <c r="F239" s="419"/>
      <c r="G239" s="421"/>
      <c r="H239" s="419"/>
      <c r="I239" s="421"/>
      <c r="J239" s="419"/>
      <c r="K239" s="421"/>
      <c r="L239" s="422">
        <f t="shared" si="95"/>
        <v>0</v>
      </c>
      <c r="M239" s="423">
        <f t="shared" si="96"/>
        <v>0</v>
      </c>
      <c r="N239" s="419">
        <v>222</v>
      </c>
      <c r="O239" s="309">
        <f>0</f>
        <v>0</v>
      </c>
      <c r="P239" s="309">
        <f>0</f>
        <v>0</v>
      </c>
      <c r="Q239" s="309">
        <f>0</f>
        <v>0</v>
      </c>
      <c r="R239" s="424">
        <f t="shared" si="93"/>
        <v>0</v>
      </c>
      <c r="S239" s="421">
        <v>214</v>
      </c>
      <c r="T239" s="301">
        <f>0</f>
        <v>0</v>
      </c>
      <c r="U239" s="301">
        <f>0</f>
        <v>0</v>
      </c>
      <c r="V239" s="301">
        <f>0</f>
        <v>0</v>
      </c>
      <c r="W239" s="425">
        <f t="shared" si="94"/>
        <v>0</v>
      </c>
      <c r="X239" s="419"/>
      <c r="Y239" s="419"/>
      <c r="Z239" s="421"/>
      <c r="AA239" s="421"/>
      <c r="AB239" s="419"/>
      <c r="AC239" s="419"/>
      <c r="AD239" s="421"/>
      <c r="AE239" s="421"/>
      <c r="AF239" s="419"/>
      <c r="AG239" s="419"/>
      <c r="AH239" s="421"/>
      <c r="AI239" s="421"/>
      <c r="AJ239" s="419"/>
      <c r="AK239" s="419"/>
      <c r="AL239" s="421"/>
      <c r="AM239" s="421"/>
      <c r="AN239" s="419"/>
      <c r="AO239" s="419"/>
      <c r="AP239" s="421"/>
      <c r="AQ239" s="421"/>
      <c r="AR239" s="424">
        <f t="shared" si="97"/>
        <v>0</v>
      </c>
      <c r="AS239" s="422">
        <f t="shared" si="98"/>
        <v>0.92500000000000004</v>
      </c>
      <c r="AT239" s="425">
        <f t="shared" si="99"/>
        <v>0</v>
      </c>
      <c r="AU239" s="423">
        <f t="shared" si="100"/>
        <v>0.90295358649789026</v>
      </c>
      <c r="AV239" s="419"/>
      <c r="AW239" s="421"/>
      <c r="AX239" s="419">
        <v>13</v>
      </c>
      <c r="AY239" s="419">
        <v>12</v>
      </c>
      <c r="AZ239" s="421">
        <v>13</v>
      </c>
      <c r="BA239" s="421">
        <v>10</v>
      </c>
      <c r="BB239" s="419">
        <v>26</v>
      </c>
      <c r="BC239" s="419">
        <v>3</v>
      </c>
      <c r="BD239" s="421">
        <v>27</v>
      </c>
      <c r="BE239" s="420">
        <v>8</v>
      </c>
      <c r="BF239" s="419">
        <v>27</v>
      </c>
      <c r="BG239" s="419">
        <v>3</v>
      </c>
      <c r="BH239" s="421">
        <v>26</v>
      </c>
      <c r="BI239" s="420">
        <v>5</v>
      </c>
      <c r="BJ239" s="419"/>
      <c r="BK239" s="419"/>
      <c r="BL239" s="421"/>
      <c r="BM239" s="421"/>
      <c r="BN239" s="419"/>
      <c r="BO239" s="419"/>
      <c r="BP239" s="421"/>
      <c r="BQ239" s="421"/>
      <c r="BR239" s="419"/>
      <c r="BS239" s="419"/>
      <c r="BT239" s="421"/>
      <c r="BU239" s="421"/>
      <c r="BV239" s="419"/>
      <c r="BW239" s="419"/>
      <c r="BX239" s="421"/>
      <c r="BY239" s="421"/>
      <c r="BZ239" s="419"/>
      <c r="CA239" s="419"/>
      <c r="CB239" s="421"/>
      <c r="CC239" s="421"/>
      <c r="CD239" s="419"/>
      <c r="CE239" s="419"/>
      <c r="CF239" s="421"/>
      <c r="CG239" s="421"/>
      <c r="CH239" s="419"/>
      <c r="CI239" s="419"/>
      <c r="CJ239" s="421"/>
      <c r="CK239" s="421"/>
      <c r="CL239" s="419"/>
      <c r="CM239" s="421"/>
      <c r="CN239" s="424">
        <f t="shared" si="101"/>
        <v>18</v>
      </c>
      <c r="CO239" s="424">
        <f t="shared" si="102"/>
        <v>3</v>
      </c>
      <c r="CP239" s="425">
        <f t="shared" si="103"/>
        <v>23</v>
      </c>
      <c r="CQ239" s="425">
        <f t="shared" si="104"/>
        <v>3</v>
      </c>
      <c r="CR239" s="419"/>
      <c r="CS239" s="419"/>
      <c r="CT239" s="421"/>
      <c r="CU239" s="421"/>
      <c r="CV239" s="419"/>
      <c r="CW239" s="419"/>
      <c r="CX239" s="421"/>
      <c r="CY239" s="421"/>
      <c r="CZ239" s="419"/>
      <c r="DA239" s="419"/>
      <c r="DB239" s="421"/>
      <c r="DC239" s="421"/>
      <c r="DD239" s="419"/>
      <c r="DE239" s="419"/>
      <c r="DF239" s="421"/>
      <c r="DG239" s="421"/>
      <c r="DH239" s="419"/>
      <c r="DI239" s="419"/>
      <c r="DJ239" s="421"/>
      <c r="DK239" s="421"/>
      <c r="DL239" s="419"/>
      <c r="DM239" s="419"/>
      <c r="DN239" s="421"/>
      <c r="DO239" s="421"/>
      <c r="DP239" s="419"/>
      <c r="DQ239" s="419"/>
      <c r="DR239" s="421"/>
      <c r="DS239" s="421"/>
      <c r="DT239" s="419"/>
      <c r="DU239" s="419"/>
      <c r="DV239" s="421"/>
      <c r="DW239" s="421"/>
      <c r="DX239" s="419"/>
      <c r="DY239" s="419"/>
      <c r="DZ239" s="421"/>
      <c r="EA239" s="421"/>
      <c r="EB239" s="419"/>
      <c r="EC239" s="419"/>
      <c r="ED239" s="421"/>
      <c r="EE239" s="421"/>
      <c r="EF239" s="419"/>
      <c r="EG239" s="421"/>
      <c r="EH239" s="424">
        <f t="shared" si="105"/>
        <v>0</v>
      </c>
      <c r="EI239" s="424">
        <f t="shared" si="106"/>
        <v>0</v>
      </c>
      <c r="EJ239" s="422">
        <f t="shared" si="107"/>
        <v>0</v>
      </c>
      <c r="EK239" s="425">
        <f t="shared" si="108"/>
        <v>0</v>
      </c>
      <c r="EL239" s="425">
        <f t="shared" si="109"/>
        <v>0</v>
      </c>
      <c r="EM239" s="423">
        <f t="shared" si="110"/>
        <v>0</v>
      </c>
      <c r="EN239" s="424">
        <f t="shared" si="111"/>
        <v>18</v>
      </c>
      <c r="EO239" s="425">
        <f t="shared" si="112"/>
        <v>23</v>
      </c>
      <c r="EP239" s="419"/>
      <c r="EQ239" s="421"/>
      <c r="ER239" s="419"/>
      <c r="ES239" s="421"/>
      <c r="ET239" s="419"/>
      <c r="EU239" s="421"/>
      <c r="EV239" s="419"/>
      <c r="EW239" s="421"/>
      <c r="EX239" s="419"/>
      <c r="EY239" s="421"/>
      <c r="EZ239" s="419"/>
      <c r="FA239" s="421"/>
      <c r="FB239" s="419"/>
      <c r="FC239" s="421"/>
      <c r="FD239" s="419"/>
      <c r="FE239" s="421"/>
      <c r="FF239" s="419"/>
      <c r="FG239" s="421"/>
      <c r="FH239" s="419"/>
      <c r="FI239" s="421"/>
      <c r="FJ239" s="424">
        <f t="shared" si="113"/>
        <v>0</v>
      </c>
      <c r="FK239" s="425">
        <f t="shared" si="114"/>
        <v>0</v>
      </c>
      <c r="FL239" s="419"/>
      <c r="FM239" s="421"/>
      <c r="FN239" s="424">
        <f t="shared" si="115"/>
        <v>240</v>
      </c>
      <c r="FO239" s="425">
        <f t="shared" si="116"/>
        <v>237</v>
      </c>
    </row>
    <row r="240" spans="1:171">
      <c r="A240" s="458" t="s">
        <v>162</v>
      </c>
      <c r="B240" s="14" t="s">
        <v>760</v>
      </c>
      <c r="C240" s="13"/>
      <c r="D240" s="12">
        <v>199111</v>
      </c>
      <c r="E240" s="12">
        <v>6</v>
      </c>
      <c r="F240" s="419"/>
      <c r="G240" s="421"/>
      <c r="H240" s="419"/>
      <c r="I240" s="421"/>
      <c r="J240" s="419"/>
      <c r="K240" s="421"/>
      <c r="L240" s="422">
        <f t="shared" si="95"/>
        <v>0</v>
      </c>
      <c r="M240" s="423">
        <f t="shared" si="96"/>
        <v>0</v>
      </c>
      <c r="N240" s="419">
        <v>827</v>
      </c>
      <c r="O240" s="309">
        <f>0</f>
        <v>0</v>
      </c>
      <c r="P240" s="309">
        <f>0</f>
        <v>0</v>
      </c>
      <c r="Q240" s="309">
        <f>0</f>
        <v>0</v>
      </c>
      <c r="R240" s="424">
        <f t="shared" si="93"/>
        <v>0</v>
      </c>
      <c r="S240" s="421">
        <v>785</v>
      </c>
      <c r="T240" s="301">
        <f>0</f>
        <v>0</v>
      </c>
      <c r="U240" s="301">
        <f>0</f>
        <v>0</v>
      </c>
      <c r="V240" s="301">
        <f>0</f>
        <v>0</v>
      </c>
      <c r="W240" s="425">
        <f t="shared" si="94"/>
        <v>0</v>
      </c>
      <c r="X240" s="419"/>
      <c r="Y240" s="419"/>
      <c r="Z240" s="421"/>
      <c r="AA240" s="421"/>
      <c r="AB240" s="419"/>
      <c r="AC240" s="419"/>
      <c r="AD240" s="421"/>
      <c r="AE240" s="421"/>
      <c r="AF240" s="419"/>
      <c r="AG240" s="419"/>
      <c r="AH240" s="421"/>
      <c r="AI240" s="421"/>
      <c r="AJ240" s="419"/>
      <c r="AK240" s="419"/>
      <c r="AL240" s="421"/>
      <c r="AM240" s="421"/>
      <c r="AN240" s="419"/>
      <c r="AO240" s="419"/>
      <c r="AP240" s="421"/>
      <c r="AQ240" s="421"/>
      <c r="AR240" s="424">
        <f t="shared" si="97"/>
        <v>0</v>
      </c>
      <c r="AS240" s="422">
        <f t="shared" si="98"/>
        <v>0.99041916167664668</v>
      </c>
      <c r="AT240" s="425">
        <f t="shared" si="99"/>
        <v>0</v>
      </c>
      <c r="AU240" s="423">
        <f t="shared" si="100"/>
        <v>0.99493029150823831</v>
      </c>
      <c r="AV240" s="419"/>
      <c r="AW240" s="421"/>
      <c r="AX240" s="419">
        <v>24</v>
      </c>
      <c r="AY240" s="419">
        <v>8</v>
      </c>
      <c r="AZ240" s="421">
        <v>24</v>
      </c>
      <c r="BA240" s="420">
        <v>4</v>
      </c>
      <c r="BB240" s="419"/>
      <c r="BC240" s="419"/>
      <c r="BD240" s="421"/>
      <c r="BE240" s="421"/>
      <c r="BF240" s="419"/>
      <c r="BG240" s="419"/>
      <c r="BH240" s="421"/>
      <c r="BI240" s="421"/>
      <c r="BJ240" s="419"/>
      <c r="BK240" s="419"/>
      <c r="BL240" s="421"/>
      <c r="BM240" s="421"/>
      <c r="BN240" s="419"/>
      <c r="BO240" s="419"/>
      <c r="BP240" s="421"/>
      <c r="BQ240" s="421"/>
      <c r="BR240" s="419"/>
      <c r="BS240" s="419"/>
      <c r="BT240" s="421"/>
      <c r="BU240" s="421"/>
      <c r="BV240" s="419"/>
      <c r="BW240" s="419"/>
      <c r="BX240" s="421"/>
      <c r="BY240" s="421"/>
      <c r="BZ240" s="419"/>
      <c r="CA240" s="419"/>
      <c r="CB240" s="421"/>
      <c r="CC240" s="421"/>
      <c r="CD240" s="419"/>
      <c r="CE240" s="419"/>
      <c r="CF240" s="421"/>
      <c r="CG240" s="421"/>
      <c r="CH240" s="419"/>
      <c r="CI240" s="419"/>
      <c r="CJ240" s="421"/>
      <c r="CK240" s="421"/>
      <c r="CL240" s="419"/>
      <c r="CM240" s="421"/>
      <c r="CN240" s="424">
        <f t="shared" si="101"/>
        <v>8</v>
      </c>
      <c r="CO240" s="424">
        <f t="shared" si="102"/>
        <v>1</v>
      </c>
      <c r="CP240" s="425">
        <f t="shared" si="103"/>
        <v>4</v>
      </c>
      <c r="CQ240" s="425">
        <f t="shared" si="104"/>
        <v>1</v>
      </c>
      <c r="CR240" s="419"/>
      <c r="CS240" s="419"/>
      <c r="CT240" s="421"/>
      <c r="CU240" s="421"/>
      <c r="CV240" s="419"/>
      <c r="CW240" s="419"/>
      <c r="CX240" s="421"/>
      <c r="CY240" s="421"/>
      <c r="CZ240" s="419"/>
      <c r="DA240" s="419"/>
      <c r="DB240" s="421"/>
      <c r="DC240" s="421"/>
      <c r="DD240" s="419"/>
      <c r="DE240" s="419"/>
      <c r="DF240" s="421"/>
      <c r="DG240" s="421"/>
      <c r="DH240" s="419"/>
      <c r="DI240" s="419"/>
      <c r="DJ240" s="421"/>
      <c r="DK240" s="421"/>
      <c r="DL240" s="419"/>
      <c r="DM240" s="419"/>
      <c r="DN240" s="421"/>
      <c r="DO240" s="421"/>
      <c r="DP240" s="419"/>
      <c r="DQ240" s="419"/>
      <c r="DR240" s="421"/>
      <c r="DS240" s="421"/>
      <c r="DT240" s="419"/>
      <c r="DU240" s="419"/>
      <c r="DV240" s="421"/>
      <c r="DW240" s="421"/>
      <c r="DX240" s="419"/>
      <c r="DY240" s="419"/>
      <c r="DZ240" s="421"/>
      <c r="EA240" s="421"/>
      <c r="EB240" s="419"/>
      <c r="EC240" s="419"/>
      <c r="ED240" s="421"/>
      <c r="EE240" s="421"/>
      <c r="EF240" s="419"/>
      <c r="EG240" s="421"/>
      <c r="EH240" s="424">
        <f t="shared" si="105"/>
        <v>0</v>
      </c>
      <c r="EI240" s="424">
        <f t="shared" si="106"/>
        <v>0</v>
      </c>
      <c r="EJ240" s="422">
        <f t="shared" si="107"/>
        <v>0</v>
      </c>
      <c r="EK240" s="425">
        <f t="shared" si="108"/>
        <v>0</v>
      </c>
      <c r="EL240" s="425">
        <f t="shared" si="109"/>
        <v>0</v>
      </c>
      <c r="EM240" s="423">
        <f t="shared" si="110"/>
        <v>0</v>
      </c>
      <c r="EN240" s="424">
        <f t="shared" si="111"/>
        <v>8</v>
      </c>
      <c r="EO240" s="425">
        <f t="shared" si="112"/>
        <v>4</v>
      </c>
      <c r="EP240" s="419"/>
      <c r="EQ240" s="421"/>
      <c r="ER240" s="419"/>
      <c r="ES240" s="421"/>
      <c r="ET240" s="419"/>
      <c r="EU240" s="421"/>
      <c r="EV240" s="419"/>
      <c r="EW240" s="421"/>
      <c r="EX240" s="419"/>
      <c r="EY240" s="421"/>
      <c r="EZ240" s="419"/>
      <c r="FA240" s="421"/>
      <c r="FB240" s="419"/>
      <c r="FC240" s="421"/>
      <c r="FD240" s="419"/>
      <c r="FE240" s="421"/>
      <c r="FF240" s="419"/>
      <c r="FG240" s="421"/>
      <c r="FH240" s="419"/>
      <c r="FI240" s="421"/>
      <c r="FJ240" s="424">
        <f t="shared" si="113"/>
        <v>0</v>
      </c>
      <c r="FK240" s="425">
        <f t="shared" si="114"/>
        <v>0</v>
      </c>
      <c r="FL240" s="419"/>
      <c r="FM240" s="421"/>
      <c r="FN240" s="424">
        <f t="shared" si="115"/>
        <v>835</v>
      </c>
      <c r="FO240" s="425">
        <f t="shared" si="116"/>
        <v>789</v>
      </c>
    </row>
    <row r="241" spans="1:171">
      <c r="A241" s="458" t="s">
        <v>162</v>
      </c>
      <c r="B241" s="14" t="s">
        <v>761</v>
      </c>
      <c r="C241" s="13"/>
      <c r="D241" s="12">
        <v>199184</v>
      </c>
      <c r="E241" s="12">
        <v>15</v>
      </c>
      <c r="F241" s="419"/>
      <c r="G241" s="421"/>
      <c r="H241" s="419"/>
      <c r="I241" s="421"/>
      <c r="J241" s="419"/>
      <c r="K241" s="421"/>
      <c r="L241" s="422">
        <f t="shared" si="95"/>
        <v>0</v>
      </c>
      <c r="M241" s="423">
        <f t="shared" si="96"/>
        <v>0</v>
      </c>
      <c r="N241" s="419">
        <v>196</v>
      </c>
      <c r="O241" s="309">
        <f>0</f>
        <v>0</v>
      </c>
      <c r="P241" s="309">
        <f>0</f>
        <v>0</v>
      </c>
      <c r="Q241" s="309">
        <f>0</f>
        <v>0</v>
      </c>
      <c r="R241" s="424">
        <f t="shared" si="93"/>
        <v>0</v>
      </c>
      <c r="S241" s="421">
        <v>223</v>
      </c>
      <c r="T241" s="301">
        <f>0</f>
        <v>0</v>
      </c>
      <c r="U241" s="301">
        <f>0</f>
        <v>0</v>
      </c>
      <c r="V241" s="301">
        <f>0</f>
        <v>0</v>
      </c>
      <c r="W241" s="425">
        <f t="shared" si="94"/>
        <v>0</v>
      </c>
      <c r="X241" s="419"/>
      <c r="Y241" s="419"/>
      <c r="Z241" s="421"/>
      <c r="AA241" s="421"/>
      <c r="AB241" s="419"/>
      <c r="AC241" s="419"/>
      <c r="AD241" s="421"/>
      <c r="AE241" s="421"/>
      <c r="AF241" s="419"/>
      <c r="AG241" s="419"/>
      <c r="AH241" s="421"/>
      <c r="AI241" s="421"/>
      <c r="AJ241" s="419"/>
      <c r="AK241" s="419"/>
      <c r="AL241" s="421"/>
      <c r="AM241" s="421"/>
      <c r="AN241" s="419"/>
      <c r="AO241" s="419"/>
      <c r="AP241" s="421"/>
      <c r="AQ241" s="421"/>
      <c r="AR241" s="424">
        <f t="shared" si="97"/>
        <v>0</v>
      </c>
      <c r="AS241" s="422">
        <f t="shared" si="98"/>
        <v>0.79352226720647778</v>
      </c>
      <c r="AT241" s="425">
        <f t="shared" si="99"/>
        <v>0</v>
      </c>
      <c r="AU241" s="423">
        <f t="shared" si="100"/>
        <v>0.79359430604982206</v>
      </c>
      <c r="AV241" s="419"/>
      <c r="AW241" s="421"/>
      <c r="AX241" s="419">
        <v>50</v>
      </c>
      <c r="AY241" s="419">
        <v>51</v>
      </c>
      <c r="AZ241" s="421">
        <v>50</v>
      </c>
      <c r="BA241" s="421">
        <v>58</v>
      </c>
      <c r="BB241" s="419"/>
      <c r="BC241" s="419"/>
      <c r="BD241" s="421"/>
      <c r="BE241" s="421"/>
      <c r="BF241" s="419"/>
      <c r="BG241" s="419"/>
      <c r="BH241" s="421"/>
      <c r="BI241" s="421"/>
      <c r="BJ241" s="419"/>
      <c r="BK241" s="419"/>
      <c r="BL241" s="421"/>
      <c r="BM241" s="421"/>
      <c r="BN241" s="419"/>
      <c r="BO241" s="419"/>
      <c r="BP241" s="421"/>
      <c r="BQ241" s="421"/>
      <c r="BR241" s="419"/>
      <c r="BS241" s="419"/>
      <c r="BT241" s="421"/>
      <c r="BU241" s="421"/>
      <c r="BV241" s="419"/>
      <c r="BW241" s="419"/>
      <c r="BX241" s="421"/>
      <c r="BY241" s="421"/>
      <c r="BZ241" s="419"/>
      <c r="CA241" s="419"/>
      <c r="CB241" s="421"/>
      <c r="CC241" s="421"/>
      <c r="CD241" s="419"/>
      <c r="CE241" s="419"/>
      <c r="CF241" s="421"/>
      <c r="CG241" s="421"/>
      <c r="CH241" s="419"/>
      <c r="CI241" s="419"/>
      <c r="CJ241" s="421"/>
      <c r="CK241" s="421"/>
      <c r="CL241" s="419"/>
      <c r="CM241" s="421"/>
      <c r="CN241" s="424">
        <f t="shared" si="101"/>
        <v>51</v>
      </c>
      <c r="CO241" s="424">
        <f t="shared" si="102"/>
        <v>1</v>
      </c>
      <c r="CP241" s="425">
        <f t="shared" si="103"/>
        <v>58</v>
      </c>
      <c r="CQ241" s="425">
        <f t="shared" si="104"/>
        <v>1</v>
      </c>
      <c r="CR241" s="419"/>
      <c r="CS241" s="419"/>
      <c r="CT241" s="421"/>
      <c r="CU241" s="421"/>
      <c r="CV241" s="419"/>
      <c r="CW241" s="419"/>
      <c r="CX241" s="421"/>
      <c r="CY241" s="421"/>
      <c r="CZ241" s="419"/>
      <c r="DA241" s="419"/>
      <c r="DB241" s="421"/>
      <c r="DC241" s="421"/>
      <c r="DD241" s="419"/>
      <c r="DE241" s="419"/>
      <c r="DF241" s="421"/>
      <c r="DG241" s="421"/>
      <c r="DH241" s="419"/>
      <c r="DI241" s="419"/>
      <c r="DJ241" s="421"/>
      <c r="DK241" s="421"/>
      <c r="DL241" s="419"/>
      <c r="DM241" s="419"/>
      <c r="DN241" s="421"/>
      <c r="DO241" s="421"/>
      <c r="DP241" s="419"/>
      <c r="DQ241" s="419"/>
      <c r="DR241" s="421"/>
      <c r="DS241" s="421"/>
      <c r="DT241" s="419"/>
      <c r="DU241" s="419"/>
      <c r="DV241" s="421"/>
      <c r="DW241" s="421"/>
      <c r="DX241" s="419"/>
      <c r="DY241" s="419"/>
      <c r="DZ241" s="421"/>
      <c r="EA241" s="421"/>
      <c r="EB241" s="419"/>
      <c r="EC241" s="419"/>
      <c r="ED241" s="421"/>
      <c r="EE241" s="421"/>
      <c r="EF241" s="419"/>
      <c r="EG241" s="421"/>
      <c r="EH241" s="424">
        <f t="shared" si="105"/>
        <v>0</v>
      </c>
      <c r="EI241" s="424">
        <f t="shared" si="106"/>
        <v>0</v>
      </c>
      <c r="EJ241" s="422">
        <f t="shared" si="107"/>
        <v>0</v>
      </c>
      <c r="EK241" s="425">
        <f t="shared" si="108"/>
        <v>0</v>
      </c>
      <c r="EL241" s="425">
        <f t="shared" si="109"/>
        <v>0</v>
      </c>
      <c r="EM241" s="423">
        <f t="shared" si="110"/>
        <v>0</v>
      </c>
      <c r="EN241" s="424">
        <f t="shared" si="111"/>
        <v>51</v>
      </c>
      <c r="EO241" s="425">
        <f t="shared" si="112"/>
        <v>58</v>
      </c>
      <c r="EP241" s="419"/>
      <c r="EQ241" s="421"/>
      <c r="ER241" s="419"/>
      <c r="ES241" s="421"/>
      <c r="ET241" s="419"/>
      <c r="EU241" s="421"/>
      <c r="EV241" s="419"/>
      <c r="EW241" s="421"/>
      <c r="EX241" s="419"/>
      <c r="EY241" s="421"/>
      <c r="EZ241" s="419"/>
      <c r="FA241" s="421"/>
      <c r="FB241" s="419"/>
      <c r="FC241" s="421"/>
      <c r="FD241" s="419"/>
      <c r="FE241" s="421"/>
      <c r="FF241" s="419"/>
      <c r="FG241" s="421"/>
      <c r="FH241" s="419"/>
      <c r="FI241" s="421"/>
      <c r="FJ241" s="424">
        <f t="shared" si="113"/>
        <v>0</v>
      </c>
      <c r="FK241" s="425">
        <f t="shared" si="114"/>
        <v>0</v>
      </c>
      <c r="FL241" s="419"/>
      <c r="FM241" s="421"/>
      <c r="FN241" s="424">
        <f t="shared" si="115"/>
        <v>247</v>
      </c>
      <c r="FO241" s="425">
        <f t="shared" si="116"/>
        <v>281</v>
      </c>
    </row>
    <row r="242" spans="1:171" customFormat="1" ht="15" customHeight="1">
      <c r="A242" s="460" t="s">
        <v>162</v>
      </c>
      <c r="B242" s="36" t="s">
        <v>762</v>
      </c>
      <c r="C242" s="121"/>
      <c r="D242" s="34">
        <v>197887</v>
      </c>
      <c r="E242" s="124">
        <v>8</v>
      </c>
      <c r="F242" s="419">
        <v>593</v>
      </c>
      <c r="G242" s="311">
        <v>540</v>
      </c>
      <c r="H242" s="419"/>
      <c r="I242" s="421"/>
      <c r="J242" s="419">
        <v>1016</v>
      </c>
      <c r="K242" s="311">
        <v>864</v>
      </c>
      <c r="L242" s="422">
        <f t="shared" si="95"/>
        <v>0</v>
      </c>
      <c r="M242" s="423">
        <f t="shared" si="96"/>
        <v>0</v>
      </c>
      <c r="N242" s="419"/>
      <c r="O242" s="309">
        <f>0</f>
        <v>0</v>
      </c>
      <c r="P242" s="309">
        <f>0</f>
        <v>0</v>
      </c>
      <c r="Q242" s="309">
        <f>0</f>
        <v>0</v>
      </c>
      <c r="R242" s="424">
        <f t="shared" si="93"/>
        <v>0</v>
      </c>
      <c r="S242" s="421"/>
      <c r="T242" s="301">
        <f>0</f>
        <v>0</v>
      </c>
      <c r="U242" s="301">
        <f>0</f>
        <v>0</v>
      </c>
      <c r="V242" s="301">
        <f>0</f>
        <v>0</v>
      </c>
      <c r="W242" s="425">
        <f t="shared" si="94"/>
        <v>0</v>
      </c>
      <c r="X242" s="419"/>
      <c r="Y242" s="419"/>
      <c r="Z242" s="421"/>
      <c r="AA242" s="421"/>
      <c r="AB242" s="419"/>
      <c r="AC242" s="419"/>
      <c r="AD242" s="421"/>
      <c r="AE242" s="421"/>
      <c r="AF242" s="419"/>
      <c r="AG242" s="419"/>
      <c r="AH242" s="421"/>
      <c r="AI242" s="421"/>
      <c r="AJ242" s="419"/>
      <c r="AK242" s="419"/>
      <c r="AL242" s="421"/>
      <c r="AM242" s="421"/>
      <c r="AN242" s="419"/>
      <c r="AO242" s="419"/>
      <c r="AP242" s="421"/>
      <c r="AQ242" s="421"/>
      <c r="AR242" s="424">
        <f t="shared" si="97"/>
        <v>0</v>
      </c>
      <c r="AS242" s="422">
        <f t="shared" si="98"/>
        <v>0</v>
      </c>
      <c r="AT242" s="425">
        <f t="shared" si="99"/>
        <v>0</v>
      </c>
      <c r="AU242" s="423">
        <f t="shared" si="100"/>
        <v>0</v>
      </c>
      <c r="AV242" s="419"/>
      <c r="AW242" s="421"/>
      <c r="AX242" s="419"/>
      <c r="AY242" s="419"/>
      <c r="AZ242" s="421"/>
      <c r="BA242" s="421"/>
      <c r="BB242" s="419"/>
      <c r="BC242" s="419"/>
      <c r="BD242" s="421"/>
      <c r="BE242" s="421"/>
      <c r="BF242" s="419"/>
      <c r="BG242" s="419"/>
      <c r="BH242" s="421"/>
      <c r="BI242" s="421"/>
      <c r="BJ242" s="419"/>
      <c r="BK242" s="419"/>
      <c r="BL242" s="421"/>
      <c r="BM242" s="421"/>
      <c r="BN242" s="419"/>
      <c r="BO242" s="419"/>
      <c r="BP242" s="421"/>
      <c r="BQ242" s="421"/>
      <c r="BR242" s="419"/>
      <c r="BS242" s="419"/>
      <c r="BT242" s="421"/>
      <c r="BU242" s="421"/>
      <c r="BV242" s="419"/>
      <c r="BW242" s="419"/>
      <c r="BX242" s="421"/>
      <c r="BY242" s="421"/>
      <c r="BZ242" s="419"/>
      <c r="CA242" s="419"/>
      <c r="CB242" s="421"/>
      <c r="CC242" s="421"/>
      <c r="CD242" s="419"/>
      <c r="CE242" s="419"/>
      <c r="CF242" s="421"/>
      <c r="CG242" s="421"/>
      <c r="CH242" s="419"/>
      <c r="CI242" s="419"/>
      <c r="CJ242" s="421"/>
      <c r="CK242" s="421"/>
      <c r="CL242" s="419"/>
      <c r="CM242" s="421"/>
      <c r="CN242" s="424">
        <f t="shared" si="101"/>
        <v>0</v>
      </c>
      <c r="CO242" s="424">
        <f t="shared" si="102"/>
        <v>0</v>
      </c>
      <c r="CP242" s="425">
        <f t="shared" si="103"/>
        <v>0</v>
      </c>
      <c r="CQ242" s="425">
        <f t="shared" si="104"/>
        <v>0</v>
      </c>
      <c r="CR242" s="419"/>
      <c r="CS242" s="419"/>
      <c r="CT242" s="421"/>
      <c r="CU242" s="421"/>
      <c r="CV242" s="419"/>
      <c r="CW242" s="419"/>
      <c r="CX242" s="421"/>
      <c r="CY242" s="421"/>
      <c r="CZ242" s="419"/>
      <c r="DA242" s="419"/>
      <c r="DB242" s="421"/>
      <c r="DC242" s="421"/>
      <c r="DD242" s="419"/>
      <c r="DE242" s="419"/>
      <c r="DF242" s="421"/>
      <c r="DG242" s="421"/>
      <c r="DH242" s="419"/>
      <c r="DI242" s="419"/>
      <c r="DJ242" s="421"/>
      <c r="DK242" s="421"/>
      <c r="DL242" s="419"/>
      <c r="DM242" s="419"/>
      <c r="DN242" s="421"/>
      <c r="DO242" s="421"/>
      <c r="DP242" s="419"/>
      <c r="DQ242" s="419"/>
      <c r="DR242" s="421"/>
      <c r="DS242" s="421"/>
      <c r="DT242" s="419"/>
      <c r="DU242" s="419"/>
      <c r="DV242" s="421"/>
      <c r="DW242" s="421"/>
      <c r="DX242" s="419"/>
      <c r="DY242" s="419"/>
      <c r="DZ242" s="421"/>
      <c r="EA242" s="421"/>
      <c r="EB242" s="419"/>
      <c r="EC242" s="419"/>
      <c r="ED242" s="421"/>
      <c r="EE242" s="421"/>
      <c r="EF242" s="419"/>
      <c r="EG242" s="421"/>
      <c r="EH242" s="424">
        <f t="shared" si="105"/>
        <v>0</v>
      </c>
      <c r="EI242" s="424">
        <f t="shared" si="106"/>
        <v>0</v>
      </c>
      <c r="EJ242" s="422">
        <f t="shared" si="107"/>
        <v>0</v>
      </c>
      <c r="EK242" s="425">
        <f t="shared" si="108"/>
        <v>0</v>
      </c>
      <c r="EL242" s="425">
        <f t="shared" si="109"/>
        <v>0</v>
      </c>
      <c r="EM242" s="423">
        <f t="shared" si="110"/>
        <v>0</v>
      </c>
      <c r="EN242" s="424">
        <f t="shared" si="111"/>
        <v>0</v>
      </c>
      <c r="EO242" s="425">
        <f t="shared" si="112"/>
        <v>0</v>
      </c>
      <c r="EP242" s="419"/>
      <c r="EQ242" s="421"/>
      <c r="ER242" s="419"/>
      <c r="ES242" s="421"/>
      <c r="ET242" s="419"/>
      <c r="EU242" s="421"/>
      <c r="EV242" s="419"/>
      <c r="EW242" s="421"/>
      <c r="EX242" s="419"/>
      <c r="EY242" s="421"/>
      <c r="EZ242" s="419"/>
      <c r="FA242" s="421"/>
      <c r="FB242" s="419"/>
      <c r="FC242" s="421"/>
      <c r="FD242" s="419"/>
      <c r="FE242" s="421"/>
      <c r="FF242" s="419"/>
      <c r="FG242" s="421"/>
      <c r="FH242" s="419"/>
      <c r="FI242" s="421"/>
      <c r="FJ242" s="424">
        <f t="shared" si="113"/>
        <v>0</v>
      </c>
      <c r="FK242" s="425">
        <f t="shared" si="114"/>
        <v>0</v>
      </c>
      <c r="FL242" s="419"/>
      <c r="FM242" s="421"/>
      <c r="FN242" s="424">
        <f t="shared" si="115"/>
        <v>1609</v>
      </c>
      <c r="FO242" s="425">
        <f t="shared" si="116"/>
        <v>1404</v>
      </c>
    </row>
    <row r="243" spans="1:171" customFormat="1" ht="15" customHeight="1">
      <c r="A243" s="460" t="s">
        <v>162</v>
      </c>
      <c r="B243" s="36" t="s">
        <v>763</v>
      </c>
      <c r="C243" s="121"/>
      <c r="D243" s="34">
        <v>198154</v>
      </c>
      <c r="E243" s="124">
        <v>8</v>
      </c>
      <c r="F243" s="419">
        <v>570</v>
      </c>
      <c r="G243" s="310">
        <v>791</v>
      </c>
      <c r="H243" s="419"/>
      <c r="I243" s="421"/>
      <c r="J243" s="419">
        <v>1334</v>
      </c>
      <c r="K243" s="311">
        <v>1493</v>
      </c>
      <c r="L243" s="422">
        <f t="shared" si="95"/>
        <v>0</v>
      </c>
      <c r="M243" s="423">
        <f t="shared" si="96"/>
        <v>0</v>
      </c>
      <c r="N243" s="419"/>
      <c r="O243" s="309">
        <f>0</f>
        <v>0</v>
      </c>
      <c r="P243" s="309">
        <f>0</f>
        <v>0</v>
      </c>
      <c r="Q243" s="309">
        <f>0</f>
        <v>0</v>
      </c>
      <c r="R243" s="424">
        <f t="shared" si="93"/>
        <v>0</v>
      </c>
      <c r="S243" s="421"/>
      <c r="T243" s="301">
        <f>0</f>
        <v>0</v>
      </c>
      <c r="U243" s="301">
        <f>0</f>
        <v>0</v>
      </c>
      <c r="V243" s="301">
        <f>0</f>
        <v>0</v>
      </c>
      <c r="W243" s="425">
        <f t="shared" si="94"/>
        <v>0</v>
      </c>
      <c r="X243" s="419"/>
      <c r="Y243" s="419"/>
      <c r="Z243" s="421"/>
      <c r="AA243" s="421"/>
      <c r="AB243" s="419"/>
      <c r="AC243" s="419"/>
      <c r="AD243" s="421"/>
      <c r="AE243" s="421"/>
      <c r="AF243" s="419"/>
      <c r="AG243" s="419"/>
      <c r="AH243" s="421"/>
      <c r="AI243" s="421"/>
      <c r="AJ243" s="419"/>
      <c r="AK243" s="419"/>
      <c r="AL243" s="421"/>
      <c r="AM243" s="421"/>
      <c r="AN243" s="419"/>
      <c r="AO243" s="419"/>
      <c r="AP243" s="421"/>
      <c r="AQ243" s="421"/>
      <c r="AR243" s="424">
        <f t="shared" si="97"/>
        <v>0</v>
      </c>
      <c r="AS243" s="422">
        <f t="shared" si="98"/>
        <v>0</v>
      </c>
      <c r="AT243" s="425">
        <f t="shared" si="99"/>
        <v>0</v>
      </c>
      <c r="AU243" s="423">
        <f t="shared" si="100"/>
        <v>0</v>
      </c>
      <c r="AV243" s="419"/>
      <c r="AW243" s="421"/>
      <c r="AX243" s="419"/>
      <c r="AY243" s="419"/>
      <c r="AZ243" s="421"/>
      <c r="BA243" s="421"/>
      <c r="BB243" s="419"/>
      <c r="BC243" s="419"/>
      <c r="BD243" s="421"/>
      <c r="BE243" s="421"/>
      <c r="BF243" s="419"/>
      <c r="BG243" s="419"/>
      <c r="BH243" s="421"/>
      <c r="BI243" s="421"/>
      <c r="BJ243" s="419"/>
      <c r="BK243" s="419"/>
      <c r="BL243" s="421"/>
      <c r="BM243" s="421"/>
      <c r="BN243" s="419"/>
      <c r="BO243" s="419"/>
      <c r="BP243" s="421"/>
      <c r="BQ243" s="421"/>
      <c r="BR243" s="419"/>
      <c r="BS243" s="419"/>
      <c r="BT243" s="421"/>
      <c r="BU243" s="421"/>
      <c r="BV243" s="419"/>
      <c r="BW243" s="419"/>
      <c r="BX243" s="421"/>
      <c r="BY243" s="421"/>
      <c r="BZ243" s="419"/>
      <c r="CA243" s="419"/>
      <c r="CB243" s="421"/>
      <c r="CC243" s="421"/>
      <c r="CD243" s="419"/>
      <c r="CE243" s="419"/>
      <c r="CF243" s="421"/>
      <c r="CG243" s="421"/>
      <c r="CH243" s="419"/>
      <c r="CI243" s="419"/>
      <c r="CJ243" s="421"/>
      <c r="CK243" s="421"/>
      <c r="CL243" s="419"/>
      <c r="CM243" s="421"/>
      <c r="CN243" s="424">
        <f t="shared" si="101"/>
        <v>0</v>
      </c>
      <c r="CO243" s="424">
        <f t="shared" si="102"/>
        <v>0</v>
      </c>
      <c r="CP243" s="425">
        <f t="shared" si="103"/>
        <v>0</v>
      </c>
      <c r="CQ243" s="425">
        <f t="shared" si="104"/>
        <v>0</v>
      </c>
      <c r="CR243" s="419"/>
      <c r="CS243" s="419"/>
      <c r="CT243" s="421"/>
      <c r="CU243" s="421"/>
      <c r="CV243" s="419"/>
      <c r="CW243" s="419"/>
      <c r="CX243" s="421"/>
      <c r="CY243" s="421"/>
      <c r="CZ243" s="419"/>
      <c r="DA243" s="419"/>
      <c r="DB243" s="421"/>
      <c r="DC243" s="421"/>
      <c r="DD243" s="419"/>
      <c r="DE243" s="419"/>
      <c r="DF243" s="421"/>
      <c r="DG243" s="421"/>
      <c r="DH243" s="419"/>
      <c r="DI243" s="419"/>
      <c r="DJ243" s="421"/>
      <c r="DK243" s="421"/>
      <c r="DL243" s="419"/>
      <c r="DM243" s="419"/>
      <c r="DN243" s="421"/>
      <c r="DO243" s="421"/>
      <c r="DP243" s="419"/>
      <c r="DQ243" s="419"/>
      <c r="DR243" s="421"/>
      <c r="DS243" s="421"/>
      <c r="DT243" s="419"/>
      <c r="DU243" s="419"/>
      <c r="DV243" s="421"/>
      <c r="DW243" s="421"/>
      <c r="DX243" s="419"/>
      <c r="DY243" s="419"/>
      <c r="DZ243" s="421"/>
      <c r="EA243" s="421"/>
      <c r="EB243" s="419"/>
      <c r="EC243" s="419"/>
      <c r="ED243" s="421"/>
      <c r="EE243" s="421"/>
      <c r="EF243" s="419"/>
      <c r="EG243" s="421"/>
      <c r="EH243" s="424">
        <f t="shared" si="105"/>
        <v>0</v>
      </c>
      <c r="EI243" s="424">
        <f t="shared" si="106"/>
        <v>0</v>
      </c>
      <c r="EJ243" s="422">
        <f t="shared" si="107"/>
        <v>0</v>
      </c>
      <c r="EK243" s="425">
        <f t="shared" si="108"/>
        <v>0</v>
      </c>
      <c r="EL243" s="425">
        <f t="shared" si="109"/>
        <v>0</v>
      </c>
      <c r="EM243" s="423">
        <f t="shared" si="110"/>
        <v>0</v>
      </c>
      <c r="EN243" s="424">
        <f t="shared" si="111"/>
        <v>0</v>
      </c>
      <c r="EO243" s="425">
        <f t="shared" si="112"/>
        <v>0</v>
      </c>
      <c r="EP243" s="419"/>
      <c r="EQ243" s="421"/>
      <c r="ER243" s="419"/>
      <c r="ES243" s="421"/>
      <c r="ET243" s="419"/>
      <c r="EU243" s="421"/>
      <c r="EV243" s="419"/>
      <c r="EW243" s="421"/>
      <c r="EX243" s="419"/>
      <c r="EY243" s="421"/>
      <c r="EZ243" s="419"/>
      <c r="FA243" s="421"/>
      <c r="FB243" s="419"/>
      <c r="FC243" s="421"/>
      <c r="FD243" s="419"/>
      <c r="FE243" s="421"/>
      <c r="FF243" s="419"/>
      <c r="FG243" s="421"/>
      <c r="FH243" s="419"/>
      <c r="FI243" s="421"/>
      <c r="FJ243" s="424">
        <f t="shared" si="113"/>
        <v>0</v>
      </c>
      <c r="FK243" s="425">
        <f t="shared" si="114"/>
        <v>0</v>
      </c>
      <c r="FL243" s="419"/>
      <c r="FM243" s="421"/>
      <c r="FN243" s="424">
        <f t="shared" si="115"/>
        <v>1904</v>
      </c>
      <c r="FO243" s="425">
        <f t="shared" si="116"/>
        <v>2284</v>
      </c>
    </row>
    <row r="244" spans="1:171" customFormat="1" ht="15" customHeight="1">
      <c r="A244" s="460" t="s">
        <v>162</v>
      </c>
      <c r="B244" s="36" t="s">
        <v>764</v>
      </c>
      <c r="C244" s="121"/>
      <c r="D244" s="34">
        <v>198260</v>
      </c>
      <c r="E244" s="124">
        <v>8</v>
      </c>
      <c r="F244" s="419">
        <v>1541</v>
      </c>
      <c r="G244" s="310">
        <v>786</v>
      </c>
      <c r="H244" s="419"/>
      <c r="I244" s="421"/>
      <c r="J244" s="419">
        <v>2374</v>
      </c>
      <c r="K244" s="311">
        <v>2393</v>
      </c>
      <c r="L244" s="422">
        <f t="shared" si="95"/>
        <v>0</v>
      </c>
      <c r="M244" s="423">
        <f t="shared" si="96"/>
        <v>0</v>
      </c>
      <c r="N244" s="419"/>
      <c r="O244" s="309">
        <f>0</f>
        <v>0</v>
      </c>
      <c r="P244" s="309">
        <f>0</f>
        <v>0</v>
      </c>
      <c r="Q244" s="309">
        <f>0</f>
        <v>0</v>
      </c>
      <c r="R244" s="424">
        <f t="shared" si="93"/>
        <v>0</v>
      </c>
      <c r="S244" s="421"/>
      <c r="T244" s="301">
        <f>0</f>
        <v>0</v>
      </c>
      <c r="U244" s="301">
        <f>0</f>
        <v>0</v>
      </c>
      <c r="V244" s="301">
        <f>0</f>
        <v>0</v>
      </c>
      <c r="W244" s="425">
        <f t="shared" si="94"/>
        <v>0</v>
      </c>
      <c r="X244" s="419"/>
      <c r="Y244" s="419"/>
      <c r="Z244" s="421"/>
      <c r="AA244" s="421"/>
      <c r="AB244" s="419"/>
      <c r="AC244" s="419"/>
      <c r="AD244" s="421"/>
      <c r="AE244" s="421"/>
      <c r="AF244" s="419"/>
      <c r="AG244" s="419"/>
      <c r="AH244" s="421"/>
      <c r="AI244" s="421"/>
      <c r="AJ244" s="419"/>
      <c r="AK244" s="419"/>
      <c r="AL244" s="421"/>
      <c r="AM244" s="421"/>
      <c r="AN244" s="419"/>
      <c r="AO244" s="419"/>
      <c r="AP244" s="421"/>
      <c r="AQ244" s="421"/>
      <c r="AR244" s="424">
        <f t="shared" si="97"/>
        <v>0</v>
      </c>
      <c r="AS244" s="422">
        <f t="shared" si="98"/>
        <v>0</v>
      </c>
      <c r="AT244" s="425">
        <f t="shared" si="99"/>
        <v>0</v>
      </c>
      <c r="AU244" s="423">
        <f t="shared" si="100"/>
        <v>0</v>
      </c>
      <c r="AV244" s="419"/>
      <c r="AW244" s="421"/>
      <c r="AX244" s="419"/>
      <c r="AY244" s="419"/>
      <c r="AZ244" s="421"/>
      <c r="BA244" s="421"/>
      <c r="BB244" s="419"/>
      <c r="BC244" s="419"/>
      <c r="BD244" s="421"/>
      <c r="BE244" s="421"/>
      <c r="BF244" s="419"/>
      <c r="BG244" s="419"/>
      <c r="BH244" s="421"/>
      <c r="BI244" s="421"/>
      <c r="BJ244" s="419"/>
      <c r="BK244" s="419"/>
      <c r="BL244" s="421"/>
      <c r="BM244" s="421"/>
      <c r="BN244" s="419"/>
      <c r="BO244" s="419"/>
      <c r="BP244" s="421"/>
      <c r="BQ244" s="421"/>
      <c r="BR244" s="419"/>
      <c r="BS244" s="419"/>
      <c r="BT244" s="421"/>
      <c r="BU244" s="421"/>
      <c r="BV244" s="419"/>
      <c r="BW244" s="419"/>
      <c r="BX244" s="421"/>
      <c r="BY244" s="421"/>
      <c r="BZ244" s="419"/>
      <c r="CA244" s="419"/>
      <c r="CB244" s="421"/>
      <c r="CC244" s="421"/>
      <c r="CD244" s="419"/>
      <c r="CE244" s="419"/>
      <c r="CF244" s="421"/>
      <c r="CG244" s="421"/>
      <c r="CH244" s="419"/>
      <c r="CI244" s="419"/>
      <c r="CJ244" s="421"/>
      <c r="CK244" s="421"/>
      <c r="CL244" s="419"/>
      <c r="CM244" s="421"/>
      <c r="CN244" s="424">
        <f t="shared" si="101"/>
        <v>0</v>
      </c>
      <c r="CO244" s="424">
        <f t="shared" si="102"/>
        <v>0</v>
      </c>
      <c r="CP244" s="425">
        <f t="shared" si="103"/>
        <v>0</v>
      </c>
      <c r="CQ244" s="425">
        <f t="shared" si="104"/>
        <v>0</v>
      </c>
      <c r="CR244" s="419"/>
      <c r="CS244" s="419"/>
      <c r="CT244" s="421"/>
      <c r="CU244" s="421"/>
      <c r="CV244" s="419"/>
      <c r="CW244" s="419"/>
      <c r="CX244" s="421"/>
      <c r="CY244" s="421"/>
      <c r="CZ244" s="419"/>
      <c r="DA244" s="419"/>
      <c r="DB244" s="421"/>
      <c r="DC244" s="421"/>
      <c r="DD244" s="419"/>
      <c r="DE244" s="419"/>
      <c r="DF244" s="421"/>
      <c r="DG244" s="421"/>
      <c r="DH244" s="419"/>
      <c r="DI244" s="419"/>
      <c r="DJ244" s="421"/>
      <c r="DK244" s="421"/>
      <c r="DL244" s="419"/>
      <c r="DM244" s="419"/>
      <c r="DN244" s="421"/>
      <c r="DO244" s="421"/>
      <c r="DP244" s="419"/>
      <c r="DQ244" s="419"/>
      <c r="DR244" s="421"/>
      <c r="DS244" s="421"/>
      <c r="DT244" s="419"/>
      <c r="DU244" s="419"/>
      <c r="DV244" s="421"/>
      <c r="DW244" s="421"/>
      <c r="DX244" s="419"/>
      <c r="DY244" s="419"/>
      <c r="DZ244" s="421"/>
      <c r="EA244" s="421"/>
      <c r="EB244" s="419"/>
      <c r="EC244" s="419"/>
      <c r="ED244" s="421"/>
      <c r="EE244" s="421"/>
      <c r="EF244" s="419"/>
      <c r="EG244" s="421"/>
      <c r="EH244" s="424">
        <f t="shared" si="105"/>
        <v>0</v>
      </c>
      <c r="EI244" s="424">
        <f t="shared" si="106"/>
        <v>0</v>
      </c>
      <c r="EJ244" s="422">
        <f t="shared" si="107"/>
        <v>0</v>
      </c>
      <c r="EK244" s="425">
        <f t="shared" si="108"/>
        <v>0</v>
      </c>
      <c r="EL244" s="425">
        <f t="shared" si="109"/>
        <v>0</v>
      </c>
      <c r="EM244" s="423">
        <f t="shared" si="110"/>
        <v>0</v>
      </c>
      <c r="EN244" s="424">
        <f t="shared" si="111"/>
        <v>0</v>
      </c>
      <c r="EO244" s="425">
        <f t="shared" si="112"/>
        <v>0</v>
      </c>
      <c r="EP244" s="419"/>
      <c r="EQ244" s="421"/>
      <c r="ER244" s="419"/>
      <c r="ES244" s="421"/>
      <c r="ET244" s="419"/>
      <c r="EU244" s="421"/>
      <c r="EV244" s="419"/>
      <c r="EW244" s="421"/>
      <c r="EX244" s="419"/>
      <c r="EY244" s="421"/>
      <c r="EZ244" s="419"/>
      <c r="FA244" s="421"/>
      <c r="FB244" s="419"/>
      <c r="FC244" s="421"/>
      <c r="FD244" s="419"/>
      <c r="FE244" s="421"/>
      <c r="FF244" s="419"/>
      <c r="FG244" s="421"/>
      <c r="FH244" s="419"/>
      <c r="FI244" s="421"/>
      <c r="FJ244" s="424">
        <f t="shared" si="113"/>
        <v>0</v>
      </c>
      <c r="FK244" s="425">
        <f t="shared" si="114"/>
        <v>0</v>
      </c>
      <c r="FL244" s="419"/>
      <c r="FM244" s="421"/>
      <c r="FN244" s="424">
        <f t="shared" si="115"/>
        <v>3915</v>
      </c>
      <c r="FO244" s="425">
        <f t="shared" si="116"/>
        <v>3179</v>
      </c>
    </row>
    <row r="245" spans="1:171" customFormat="1" ht="15" customHeight="1">
      <c r="A245" s="460" t="s">
        <v>162</v>
      </c>
      <c r="B245" s="36" t="s">
        <v>765</v>
      </c>
      <c r="C245" s="121"/>
      <c r="D245" s="34">
        <v>198534</v>
      </c>
      <c r="E245" s="124">
        <v>8</v>
      </c>
      <c r="F245" s="419">
        <v>2605</v>
      </c>
      <c r="G245" s="310">
        <v>1841</v>
      </c>
      <c r="H245" s="419"/>
      <c r="I245" s="421"/>
      <c r="J245" s="419">
        <v>1847</v>
      </c>
      <c r="K245" s="311">
        <v>1650</v>
      </c>
      <c r="L245" s="422">
        <f t="shared" si="95"/>
        <v>0</v>
      </c>
      <c r="M245" s="423">
        <f t="shared" si="96"/>
        <v>0</v>
      </c>
      <c r="N245" s="419"/>
      <c r="O245" s="309">
        <f>0</f>
        <v>0</v>
      </c>
      <c r="P245" s="309">
        <f>0</f>
        <v>0</v>
      </c>
      <c r="Q245" s="309">
        <f>0</f>
        <v>0</v>
      </c>
      <c r="R245" s="424">
        <f t="shared" si="93"/>
        <v>0</v>
      </c>
      <c r="S245" s="421"/>
      <c r="T245" s="301">
        <f>0</f>
        <v>0</v>
      </c>
      <c r="U245" s="301">
        <f>0</f>
        <v>0</v>
      </c>
      <c r="V245" s="301">
        <f>0</f>
        <v>0</v>
      </c>
      <c r="W245" s="425">
        <f t="shared" si="94"/>
        <v>0</v>
      </c>
      <c r="X245" s="419"/>
      <c r="Y245" s="419"/>
      <c r="Z245" s="421"/>
      <c r="AA245" s="421"/>
      <c r="AB245" s="419"/>
      <c r="AC245" s="419"/>
      <c r="AD245" s="421"/>
      <c r="AE245" s="421"/>
      <c r="AF245" s="419"/>
      <c r="AG245" s="419"/>
      <c r="AH245" s="421"/>
      <c r="AI245" s="421"/>
      <c r="AJ245" s="419"/>
      <c r="AK245" s="419"/>
      <c r="AL245" s="421"/>
      <c r="AM245" s="421"/>
      <c r="AN245" s="419"/>
      <c r="AO245" s="419"/>
      <c r="AP245" s="421"/>
      <c r="AQ245" s="421"/>
      <c r="AR245" s="424">
        <f t="shared" si="97"/>
        <v>0</v>
      </c>
      <c r="AS245" s="422">
        <f t="shared" si="98"/>
        <v>0</v>
      </c>
      <c r="AT245" s="425">
        <f t="shared" si="99"/>
        <v>0</v>
      </c>
      <c r="AU245" s="423">
        <f t="shared" si="100"/>
        <v>0</v>
      </c>
      <c r="AV245" s="419"/>
      <c r="AW245" s="421"/>
      <c r="AX245" s="419"/>
      <c r="AY245" s="419"/>
      <c r="AZ245" s="421"/>
      <c r="BA245" s="421"/>
      <c r="BB245" s="419"/>
      <c r="BC245" s="419"/>
      <c r="BD245" s="421"/>
      <c r="BE245" s="421"/>
      <c r="BF245" s="419"/>
      <c r="BG245" s="419"/>
      <c r="BH245" s="421"/>
      <c r="BI245" s="421"/>
      <c r="BJ245" s="419"/>
      <c r="BK245" s="419"/>
      <c r="BL245" s="421"/>
      <c r="BM245" s="421"/>
      <c r="BN245" s="419"/>
      <c r="BO245" s="419"/>
      <c r="BP245" s="421"/>
      <c r="BQ245" s="421"/>
      <c r="BR245" s="419"/>
      <c r="BS245" s="419"/>
      <c r="BT245" s="421"/>
      <c r="BU245" s="421"/>
      <c r="BV245" s="419"/>
      <c r="BW245" s="419"/>
      <c r="BX245" s="421"/>
      <c r="BY245" s="421"/>
      <c r="BZ245" s="419"/>
      <c r="CA245" s="419"/>
      <c r="CB245" s="421"/>
      <c r="CC245" s="421"/>
      <c r="CD245" s="419"/>
      <c r="CE245" s="419"/>
      <c r="CF245" s="421"/>
      <c r="CG245" s="421"/>
      <c r="CH245" s="419"/>
      <c r="CI245" s="419"/>
      <c r="CJ245" s="421"/>
      <c r="CK245" s="421"/>
      <c r="CL245" s="419"/>
      <c r="CM245" s="421"/>
      <c r="CN245" s="424">
        <f t="shared" si="101"/>
        <v>0</v>
      </c>
      <c r="CO245" s="424">
        <f t="shared" si="102"/>
        <v>0</v>
      </c>
      <c r="CP245" s="425">
        <f t="shared" si="103"/>
        <v>0</v>
      </c>
      <c r="CQ245" s="425">
        <f t="shared" si="104"/>
        <v>0</v>
      </c>
      <c r="CR245" s="419"/>
      <c r="CS245" s="419"/>
      <c r="CT245" s="421"/>
      <c r="CU245" s="421"/>
      <c r="CV245" s="419"/>
      <c r="CW245" s="419"/>
      <c r="CX245" s="421"/>
      <c r="CY245" s="421"/>
      <c r="CZ245" s="419"/>
      <c r="DA245" s="419"/>
      <c r="DB245" s="421"/>
      <c r="DC245" s="421"/>
      <c r="DD245" s="419"/>
      <c r="DE245" s="419"/>
      <c r="DF245" s="421"/>
      <c r="DG245" s="421"/>
      <c r="DH245" s="419"/>
      <c r="DI245" s="419"/>
      <c r="DJ245" s="421"/>
      <c r="DK245" s="421"/>
      <c r="DL245" s="419"/>
      <c r="DM245" s="419"/>
      <c r="DN245" s="421"/>
      <c r="DO245" s="421"/>
      <c r="DP245" s="419"/>
      <c r="DQ245" s="419"/>
      <c r="DR245" s="421"/>
      <c r="DS245" s="421"/>
      <c r="DT245" s="419"/>
      <c r="DU245" s="419"/>
      <c r="DV245" s="421"/>
      <c r="DW245" s="421"/>
      <c r="DX245" s="419"/>
      <c r="DY245" s="419"/>
      <c r="DZ245" s="421"/>
      <c r="EA245" s="421"/>
      <c r="EB245" s="419"/>
      <c r="EC245" s="419"/>
      <c r="ED245" s="421"/>
      <c r="EE245" s="421"/>
      <c r="EF245" s="419"/>
      <c r="EG245" s="421"/>
      <c r="EH245" s="424">
        <f t="shared" si="105"/>
        <v>0</v>
      </c>
      <c r="EI245" s="424">
        <f t="shared" si="106"/>
        <v>0</v>
      </c>
      <c r="EJ245" s="422">
        <f t="shared" si="107"/>
        <v>0</v>
      </c>
      <c r="EK245" s="425">
        <f t="shared" si="108"/>
        <v>0</v>
      </c>
      <c r="EL245" s="425">
        <f t="shared" si="109"/>
        <v>0</v>
      </c>
      <c r="EM245" s="423">
        <f t="shared" si="110"/>
        <v>0</v>
      </c>
      <c r="EN245" s="424">
        <f t="shared" si="111"/>
        <v>0</v>
      </c>
      <c r="EO245" s="425">
        <f t="shared" si="112"/>
        <v>0</v>
      </c>
      <c r="EP245" s="419"/>
      <c r="EQ245" s="421"/>
      <c r="ER245" s="419"/>
      <c r="ES245" s="421"/>
      <c r="ET245" s="419"/>
      <c r="EU245" s="421"/>
      <c r="EV245" s="419"/>
      <c r="EW245" s="421"/>
      <c r="EX245" s="419"/>
      <c r="EY245" s="421"/>
      <c r="EZ245" s="419"/>
      <c r="FA245" s="421"/>
      <c r="FB245" s="419"/>
      <c r="FC245" s="421"/>
      <c r="FD245" s="419"/>
      <c r="FE245" s="421"/>
      <c r="FF245" s="419"/>
      <c r="FG245" s="421"/>
      <c r="FH245" s="419"/>
      <c r="FI245" s="421"/>
      <c r="FJ245" s="424">
        <f t="shared" si="113"/>
        <v>0</v>
      </c>
      <c r="FK245" s="425">
        <f t="shared" si="114"/>
        <v>0</v>
      </c>
      <c r="FL245" s="419"/>
      <c r="FM245" s="421"/>
      <c r="FN245" s="424">
        <f t="shared" si="115"/>
        <v>4452</v>
      </c>
      <c r="FO245" s="425">
        <f t="shared" si="116"/>
        <v>3491</v>
      </c>
    </row>
    <row r="246" spans="1:171" customFormat="1" ht="15" customHeight="1">
      <c r="A246" s="460" t="s">
        <v>162</v>
      </c>
      <c r="B246" s="36" t="s">
        <v>766</v>
      </c>
      <c r="C246" s="121"/>
      <c r="D246" s="34">
        <v>198552</v>
      </c>
      <c r="E246" s="124">
        <v>8</v>
      </c>
      <c r="F246" s="419">
        <v>521</v>
      </c>
      <c r="G246" s="461">
        <v>1002</v>
      </c>
      <c r="H246" s="419"/>
      <c r="I246" s="421"/>
      <c r="J246" s="419">
        <v>1125</v>
      </c>
      <c r="K246" s="311">
        <v>1217</v>
      </c>
      <c r="L246" s="422">
        <f t="shared" si="95"/>
        <v>0</v>
      </c>
      <c r="M246" s="423">
        <f t="shared" si="96"/>
        <v>0</v>
      </c>
      <c r="N246" s="419"/>
      <c r="O246" s="309">
        <f>0</f>
        <v>0</v>
      </c>
      <c r="P246" s="309">
        <f>0</f>
        <v>0</v>
      </c>
      <c r="Q246" s="309">
        <f>0</f>
        <v>0</v>
      </c>
      <c r="R246" s="424">
        <f t="shared" si="93"/>
        <v>0</v>
      </c>
      <c r="S246" s="421"/>
      <c r="T246" s="301">
        <f>0</f>
        <v>0</v>
      </c>
      <c r="U246" s="301">
        <f>0</f>
        <v>0</v>
      </c>
      <c r="V246" s="301">
        <f>0</f>
        <v>0</v>
      </c>
      <c r="W246" s="425">
        <f t="shared" si="94"/>
        <v>0</v>
      </c>
      <c r="X246" s="419"/>
      <c r="Y246" s="419"/>
      <c r="Z246" s="421"/>
      <c r="AA246" s="421"/>
      <c r="AB246" s="419"/>
      <c r="AC246" s="419"/>
      <c r="AD246" s="421"/>
      <c r="AE246" s="421"/>
      <c r="AF246" s="419"/>
      <c r="AG246" s="419"/>
      <c r="AH246" s="421"/>
      <c r="AI246" s="421"/>
      <c r="AJ246" s="419"/>
      <c r="AK246" s="419"/>
      <c r="AL246" s="421"/>
      <c r="AM246" s="421"/>
      <c r="AN246" s="419"/>
      <c r="AO246" s="419"/>
      <c r="AP246" s="421"/>
      <c r="AQ246" s="421"/>
      <c r="AR246" s="424">
        <f t="shared" si="97"/>
        <v>0</v>
      </c>
      <c r="AS246" s="422">
        <f t="shared" si="98"/>
        <v>0</v>
      </c>
      <c r="AT246" s="425">
        <f t="shared" si="99"/>
        <v>0</v>
      </c>
      <c r="AU246" s="423">
        <f t="shared" si="100"/>
        <v>0</v>
      </c>
      <c r="AV246" s="419"/>
      <c r="AW246" s="421"/>
      <c r="AX246" s="419"/>
      <c r="AY246" s="419"/>
      <c r="AZ246" s="421"/>
      <c r="BA246" s="421"/>
      <c r="BB246" s="419"/>
      <c r="BC246" s="419"/>
      <c r="BD246" s="421"/>
      <c r="BE246" s="421"/>
      <c r="BF246" s="419"/>
      <c r="BG246" s="419"/>
      <c r="BH246" s="421"/>
      <c r="BI246" s="421"/>
      <c r="BJ246" s="419"/>
      <c r="BK246" s="419"/>
      <c r="BL246" s="421"/>
      <c r="BM246" s="421"/>
      <c r="BN246" s="419"/>
      <c r="BO246" s="419"/>
      <c r="BP246" s="421"/>
      <c r="BQ246" s="421"/>
      <c r="BR246" s="419"/>
      <c r="BS246" s="419"/>
      <c r="BT246" s="421"/>
      <c r="BU246" s="421"/>
      <c r="BV246" s="419"/>
      <c r="BW246" s="419"/>
      <c r="BX246" s="421"/>
      <c r="BY246" s="421"/>
      <c r="BZ246" s="419"/>
      <c r="CA246" s="419"/>
      <c r="CB246" s="421"/>
      <c r="CC246" s="421"/>
      <c r="CD246" s="419"/>
      <c r="CE246" s="419"/>
      <c r="CF246" s="421"/>
      <c r="CG246" s="421"/>
      <c r="CH246" s="419"/>
      <c r="CI246" s="419"/>
      <c r="CJ246" s="421"/>
      <c r="CK246" s="421"/>
      <c r="CL246" s="419"/>
      <c r="CM246" s="421"/>
      <c r="CN246" s="424">
        <f t="shared" si="101"/>
        <v>0</v>
      </c>
      <c r="CO246" s="424">
        <f t="shared" si="102"/>
        <v>0</v>
      </c>
      <c r="CP246" s="425">
        <f t="shared" si="103"/>
        <v>0</v>
      </c>
      <c r="CQ246" s="425">
        <f t="shared" si="104"/>
        <v>0</v>
      </c>
      <c r="CR246" s="419"/>
      <c r="CS246" s="419"/>
      <c r="CT246" s="421"/>
      <c r="CU246" s="421"/>
      <c r="CV246" s="419"/>
      <c r="CW246" s="419"/>
      <c r="CX246" s="421"/>
      <c r="CY246" s="421"/>
      <c r="CZ246" s="419"/>
      <c r="DA246" s="419"/>
      <c r="DB246" s="421"/>
      <c r="DC246" s="421"/>
      <c r="DD246" s="419"/>
      <c r="DE246" s="419"/>
      <c r="DF246" s="421"/>
      <c r="DG246" s="421"/>
      <c r="DH246" s="419"/>
      <c r="DI246" s="419"/>
      <c r="DJ246" s="421"/>
      <c r="DK246" s="421"/>
      <c r="DL246" s="419"/>
      <c r="DM246" s="419"/>
      <c r="DN246" s="421"/>
      <c r="DO246" s="421"/>
      <c r="DP246" s="419"/>
      <c r="DQ246" s="419"/>
      <c r="DR246" s="421"/>
      <c r="DS246" s="421"/>
      <c r="DT246" s="419"/>
      <c r="DU246" s="419"/>
      <c r="DV246" s="421"/>
      <c r="DW246" s="421"/>
      <c r="DX246" s="419"/>
      <c r="DY246" s="419"/>
      <c r="DZ246" s="421"/>
      <c r="EA246" s="421"/>
      <c r="EB246" s="419"/>
      <c r="EC246" s="419"/>
      <c r="ED246" s="421"/>
      <c r="EE246" s="421"/>
      <c r="EF246" s="419"/>
      <c r="EG246" s="421"/>
      <c r="EH246" s="424">
        <f t="shared" si="105"/>
        <v>0</v>
      </c>
      <c r="EI246" s="424">
        <f t="shared" si="106"/>
        <v>0</v>
      </c>
      <c r="EJ246" s="422">
        <f t="shared" si="107"/>
        <v>0</v>
      </c>
      <c r="EK246" s="425">
        <f t="shared" si="108"/>
        <v>0</v>
      </c>
      <c r="EL246" s="425">
        <f t="shared" si="109"/>
        <v>0</v>
      </c>
      <c r="EM246" s="423">
        <f t="shared" si="110"/>
        <v>0</v>
      </c>
      <c r="EN246" s="424">
        <f t="shared" si="111"/>
        <v>0</v>
      </c>
      <c r="EO246" s="425">
        <f t="shared" si="112"/>
        <v>0</v>
      </c>
      <c r="EP246" s="419"/>
      <c r="EQ246" s="421"/>
      <c r="ER246" s="419"/>
      <c r="ES246" s="421"/>
      <c r="ET246" s="419"/>
      <c r="EU246" s="421"/>
      <c r="EV246" s="419"/>
      <c r="EW246" s="421"/>
      <c r="EX246" s="419"/>
      <c r="EY246" s="421"/>
      <c r="EZ246" s="419"/>
      <c r="FA246" s="421"/>
      <c r="FB246" s="419"/>
      <c r="FC246" s="421"/>
      <c r="FD246" s="419"/>
      <c r="FE246" s="421"/>
      <c r="FF246" s="419"/>
      <c r="FG246" s="421"/>
      <c r="FH246" s="419"/>
      <c r="FI246" s="421"/>
      <c r="FJ246" s="424">
        <f t="shared" si="113"/>
        <v>0</v>
      </c>
      <c r="FK246" s="425">
        <f t="shared" si="114"/>
        <v>0</v>
      </c>
      <c r="FL246" s="419"/>
      <c r="FM246" s="421"/>
      <c r="FN246" s="424">
        <f t="shared" si="115"/>
        <v>1646</v>
      </c>
      <c r="FO246" s="425">
        <f t="shared" si="116"/>
        <v>2219</v>
      </c>
    </row>
    <row r="247" spans="1:171" customFormat="1" ht="15" customHeight="1">
      <c r="A247" s="460" t="s">
        <v>162</v>
      </c>
      <c r="B247" s="36" t="s">
        <v>767</v>
      </c>
      <c r="C247" s="121"/>
      <c r="D247" s="34">
        <v>198622</v>
      </c>
      <c r="E247" s="124">
        <v>8</v>
      </c>
      <c r="F247" s="419">
        <v>1522</v>
      </c>
      <c r="G247" s="310">
        <v>1029</v>
      </c>
      <c r="H247" s="419"/>
      <c r="I247" s="421"/>
      <c r="J247" s="419">
        <v>1410</v>
      </c>
      <c r="K247" s="311">
        <v>1312</v>
      </c>
      <c r="L247" s="422">
        <f t="shared" si="95"/>
        <v>0</v>
      </c>
      <c r="M247" s="423">
        <f t="shared" si="96"/>
        <v>0</v>
      </c>
      <c r="N247" s="419"/>
      <c r="O247" s="309">
        <f>0</f>
        <v>0</v>
      </c>
      <c r="P247" s="309">
        <f>0</f>
        <v>0</v>
      </c>
      <c r="Q247" s="309">
        <f>0</f>
        <v>0</v>
      </c>
      <c r="R247" s="424">
        <f t="shared" si="93"/>
        <v>0</v>
      </c>
      <c r="S247" s="421"/>
      <c r="T247" s="301">
        <f>0</f>
        <v>0</v>
      </c>
      <c r="U247" s="301">
        <f>0</f>
        <v>0</v>
      </c>
      <c r="V247" s="301">
        <f>0</f>
        <v>0</v>
      </c>
      <c r="W247" s="425">
        <f t="shared" si="94"/>
        <v>0</v>
      </c>
      <c r="X247" s="419"/>
      <c r="Y247" s="419"/>
      <c r="Z247" s="421"/>
      <c r="AA247" s="421"/>
      <c r="AB247" s="419"/>
      <c r="AC247" s="419"/>
      <c r="AD247" s="421"/>
      <c r="AE247" s="421"/>
      <c r="AF247" s="419"/>
      <c r="AG247" s="419"/>
      <c r="AH247" s="421"/>
      <c r="AI247" s="421"/>
      <c r="AJ247" s="419"/>
      <c r="AK247" s="419"/>
      <c r="AL247" s="421"/>
      <c r="AM247" s="421"/>
      <c r="AN247" s="419"/>
      <c r="AO247" s="419"/>
      <c r="AP247" s="421"/>
      <c r="AQ247" s="421"/>
      <c r="AR247" s="424">
        <f t="shared" si="97"/>
        <v>0</v>
      </c>
      <c r="AS247" s="422">
        <f t="shared" si="98"/>
        <v>0</v>
      </c>
      <c r="AT247" s="425">
        <f t="shared" si="99"/>
        <v>0</v>
      </c>
      <c r="AU247" s="423">
        <f t="shared" si="100"/>
        <v>0</v>
      </c>
      <c r="AV247" s="419"/>
      <c r="AW247" s="421"/>
      <c r="AX247" s="419"/>
      <c r="AY247" s="419"/>
      <c r="AZ247" s="421"/>
      <c r="BA247" s="421"/>
      <c r="BB247" s="419"/>
      <c r="BC247" s="419"/>
      <c r="BD247" s="421"/>
      <c r="BE247" s="421"/>
      <c r="BF247" s="419"/>
      <c r="BG247" s="419"/>
      <c r="BH247" s="421"/>
      <c r="BI247" s="421"/>
      <c r="BJ247" s="419"/>
      <c r="BK247" s="419"/>
      <c r="BL247" s="421"/>
      <c r="BM247" s="421"/>
      <c r="BN247" s="419"/>
      <c r="BO247" s="419"/>
      <c r="BP247" s="421"/>
      <c r="BQ247" s="421"/>
      <c r="BR247" s="419"/>
      <c r="BS247" s="419"/>
      <c r="BT247" s="421"/>
      <c r="BU247" s="421"/>
      <c r="BV247" s="419"/>
      <c r="BW247" s="419"/>
      <c r="BX247" s="421"/>
      <c r="BY247" s="421"/>
      <c r="BZ247" s="419"/>
      <c r="CA247" s="419"/>
      <c r="CB247" s="421"/>
      <c r="CC247" s="421"/>
      <c r="CD247" s="419"/>
      <c r="CE247" s="419"/>
      <c r="CF247" s="421"/>
      <c r="CG247" s="421"/>
      <c r="CH247" s="419"/>
      <c r="CI247" s="419"/>
      <c r="CJ247" s="421"/>
      <c r="CK247" s="421"/>
      <c r="CL247" s="419"/>
      <c r="CM247" s="421"/>
      <c r="CN247" s="424">
        <f t="shared" si="101"/>
        <v>0</v>
      </c>
      <c r="CO247" s="424">
        <f t="shared" si="102"/>
        <v>0</v>
      </c>
      <c r="CP247" s="425">
        <f t="shared" si="103"/>
        <v>0</v>
      </c>
      <c r="CQ247" s="425">
        <f t="shared" si="104"/>
        <v>0</v>
      </c>
      <c r="CR247" s="419"/>
      <c r="CS247" s="419"/>
      <c r="CT247" s="421"/>
      <c r="CU247" s="421"/>
      <c r="CV247" s="419"/>
      <c r="CW247" s="419"/>
      <c r="CX247" s="421"/>
      <c r="CY247" s="421"/>
      <c r="CZ247" s="419"/>
      <c r="DA247" s="419"/>
      <c r="DB247" s="421"/>
      <c r="DC247" s="421"/>
      <c r="DD247" s="419"/>
      <c r="DE247" s="419"/>
      <c r="DF247" s="421"/>
      <c r="DG247" s="421"/>
      <c r="DH247" s="419"/>
      <c r="DI247" s="419"/>
      <c r="DJ247" s="421"/>
      <c r="DK247" s="421"/>
      <c r="DL247" s="419"/>
      <c r="DM247" s="419"/>
      <c r="DN247" s="421"/>
      <c r="DO247" s="421"/>
      <c r="DP247" s="419"/>
      <c r="DQ247" s="419"/>
      <c r="DR247" s="421"/>
      <c r="DS247" s="421"/>
      <c r="DT247" s="419"/>
      <c r="DU247" s="419"/>
      <c r="DV247" s="421"/>
      <c r="DW247" s="421"/>
      <c r="DX247" s="419"/>
      <c r="DY247" s="419"/>
      <c r="DZ247" s="421"/>
      <c r="EA247" s="421"/>
      <c r="EB247" s="419"/>
      <c r="EC247" s="419"/>
      <c r="ED247" s="421"/>
      <c r="EE247" s="421"/>
      <c r="EF247" s="419"/>
      <c r="EG247" s="421"/>
      <c r="EH247" s="424">
        <f t="shared" si="105"/>
        <v>0</v>
      </c>
      <c r="EI247" s="424">
        <f t="shared" si="106"/>
        <v>0</v>
      </c>
      <c r="EJ247" s="422">
        <f t="shared" si="107"/>
        <v>0</v>
      </c>
      <c r="EK247" s="425">
        <f t="shared" si="108"/>
        <v>0</v>
      </c>
      <c r="EL247" s="425">
        <f t="shared" si="109"/>
        <v>0</v>
      </c>
      <c r="EM247" s="423">
        <f t="shared" si="110"/>
        <v>0</v>
      </c>
      <c r="EN247" s="424">
        <f t="shared" si="111"/>
        <v>0</v>
      </c>
      <c r="EO247" s="425">
        <f t="shared" si="112"/>
        <v>0</v>
      </c>
      <c r="EP247" s="419"/>
      <c r="EQ247" s="421"/>
      <c r="ER247" s="419"/>
      <c r="ES247" s="421"/>
      <c r="ET247" s="419"/>
      <c r="EU247" s="421"/>
      <c r="EV247" s="419"/>
      <c r="EW247" s="421"/>
      <c r="EX247" s="419"/>
      <c r="EY247" s="421"/>
      <c r="EZ247" s="419"/>
      <c r="FA247" s="421"/>
      <c r="FB247" s="419"/>
      <c r="FC247" s="421"/>
      <c r="FD247" s="419"/>
      <c r="FE247" s="421"/>
      <c r="FF247" s="419"/>
      <c r="FG247" s="421"/>
      <c r="FH247" s="419"/>
      <c r="FI247" s="421"/>
      <c r="FJ247" s="424">
        <f t="shared" si="113"/>
        <v>0</v>
      </c>
      <c r="FK247" s="425">
        <f t="shared" si="114"/>
        <v>0</v>
      </c>
      <c r="FL247" s="419"/>
      <c r="FM247" s="421"/>
      <c r="FN247" s="424">
        <f t="shared" si="115"/>
        <v>2932</v>
      </c>
      <c r="FO247" s="425">
        <f t="shared" si="116"/>
        <v>2341</v>
      </c>
    </row>
    <row r="248" spans="1:171" customFormat="1" ht="15" customHeight="1">
      <c r="A248" s="460" t="s">
        <v>162</v>
      </c>
      <c r="B248" s="36" t="s">
        <v>768</v>
      </c>
      <c r="C248" s="121"/>
      <c r="D248" s="34">
        <v>199333</v>
      </c>
      <c r="E248" s="124">
        <v>8</v>
      </c>
      <c r="F248" s="419">
        <v>665</v>
      </c>
      <c r="G248" s="461">
        <v>1005</v>
      </c>
      <c r="H248" s="419"/>
      <c r="I248" s="421"/>
      <c r="J248" s="419">
        <v>1280</v>
      </c>
      <c r="K248" s="311">
        <v>1218</v>
      </c>
      <c r="L248" s="422">
        <f t="shared" si="95"/>
        <v>0</v>
      </c>
      <c r="M248" s="423">
        <f t="shared" si="96"/>
        <v>0</v>
      </c>
      <c r="N248" s="419"/>
      <c r="O248" s="309">
        <f>0</f>
        <v>0</v>
      </c>
      <c r="P248" s="309">
        <f>0</f>
        <v>0</v>
      </c>
      <c r="Q248" s="309">
        <f>0</f>
        <v>0</v>
      </c>
      <c r="R248" s="424">
        <f t="shared" si="93"/>
        <v>0</v>
      </c>
      <c r="S248" s="421"/>
      <c r="T248" s="301">
        <f>0</f>
        <v>0</v>
      </c>
      <c r="U248" s="301">
        <f>0</f>
        <v>0</v>
      </c>
      <c r="V248" s="301">
        <f>0</f>
        <v>0</v>
      </c>
      <c r="W248" s="425">
        <f t="shared" si="94"/>
        <v>0</v>
      </c>
      <c r="X248" s="419"/>
      <c r="Y248" s="419"/>
      <c r="Z248" s="421"/>
      <c r="AA248" s="421"/>
      <c r="AB248" s="419"/>
      <c r="AC248" s="419"/>
      <c r="AD248" s="421"/>
      <c r="AE248" s="421"/>
      <c r="AF248" s="419"/>
      <c r="AG248" s="419"/>
      <c r="AH248" s="421"/>
      <c r="AI248" s="421"/>
      <c r="AJ248" s="419"/>
      <c r="AK248" s="419"/>
      <c r="AL248" s="421"/>
      <c r="AM248" s="421"/>
      <c r="AN248" s="419"/>
      <c r="AO248" s="419"/>
      <c r="AP248" s="421"/>
      <c r="AQ248" s="421"/>
      <c r="AR248" s="424">
        <f t="shared" si="97"/>
        <v>0</v>
      </c>
      <c r="AS248" s="422">
        <f t="shared" si="98"/>
        <v>0</v>
      </c>
      <c r="AT248" s="425">
        <f t="shared" si="99"/>
        <v>0</v>
      </c>
      <c r="AU248" s="423">
        <f t="shared" si="100"/>
        <v>0</v>
      </c>
      <c r="AV248" s="419"/>
      <c r="AW248" s="421"/>
      <c r="AX248" s="419"/>
      <c r="AY248" s="419"/>
      <c r="AZ248" s="421"/>
      <c r="BA248" s="421"/>
      <c r="BB248" s="419"/>
      <c r="BC248" s="419"/>
      <c r="BD248" s="421"/>
      <c r="BE248" s="421"/>
      <c r="BF248" s="419"/>
      <c r="BG248" s="419"/>
      <c r="BH248" s="421"/>
      <c r="BI248" s="421"/>
      <c r="BJ248" s="419"/>
      <c r="BK248" s="419"/>
      <c r="BL248" s="421"/>
      <c r="BM248" s="421"/>
      <c r="BN248" s="419"/>
      <c r="BO248" s="419"/>
      <c r="BP248" s="421"/>
      <c r="BQ248" s="421"/>
      <c r="BR248" s="419"/>
      <c r="BS248" s="419"/>
      <c r="BT248" s="421"/>
      <c r="BU248" s="421"/>
      <c r="BV248" s="419"/>
      <c r="BW248" s="419"/>
      <c r="BX248" s="421"/>
      <c r="BY248" s="421"/>
      <c r="BZ248" s="419"/>
      <c r="CA248" s="419"/>
      <c r="CB248" s="421"/>
      <c r="CC248" s="421"/>
      <c r="CD248" s="419"/>
      <c r="CE248" s="419"/>
      <c r="CF248" s="421"/>
      <c r="CG248" s="421"/>
      <c r="CH248" s="419"/>
      <c r="CI248" s="419"/>
      <c r="CJ248" s="421"/>
      <c r="CK248" s="421"/>
      <c r="CL248" s="419"/>
      <c r="CM248" s="421"/>
      <c r="CN248" s="424">
        <f t="shared" si="101"/>
        <v>0</v>
      </c>
      <c r="CO248" s="424">
        <f t="shared" si="102"/>
        <v>0</v>
      </c>
      <c r="CP248" s="425">
        <f t="shared" si="103"/>
        <v>0</v>
      </c>
      <c r="CQ248" s="425">
        <f t="shared" si="104"/>
        <v>0</v>
      </c>
      <c r="CR248" s="419"/>
      <c r="CS248" s="419"/>
      <c r="CT248" s="421"/>
      <c r="CU248" s="421"/>
      <c r="CV248" s="419"/>
      <c r="CW248" s="419"/>
      <c r="CX248" s="421"/>
      <c r="CY248" s="421"/>
      <c r="CZ248" s="419"/>
      <c r="DA248" s="419"/>
      <c r="DB248" s="421"/>
      <c r="DC248" s="421"/>
      <c r="DD248" s="419"/>
      <c r="DE248" s="419"/>
      <c r="DF248" s="421"/>
      <c r="DG248" s="421"/>
      <c r="DH248" s="419"/>
      <c r="DI248" s="419"/>
      <c r="DJ248" s="421"/>
      <c r="DK248" s="421"/>
      <c r="DL248" s="419"/>
      <c r="DM248" s="419"/>
      <c r="DN248" s="421"/>
      <c r="DO248" s="421"/>
      <c r="DP248" s="419"/>
      <c r="DQ248" s="419"/>
      <c r="DR248" s="421"/>
      <c r="DS248" s="421"/>
      <c r="DT248" s="419"/>
      <c r="DU248" s="419"/>
      <c r="DV248" s="421"/>
      <c r="DW248" s="421"/>
      <c r="DX248" s="419"/>
      <c r="DY248" s="419"/>
      <c r="DZ248" s="421"/>
      <c r="EA248" s="421"/>
      <c r="EB248" s="419"/>
      <c r="EC248" s="419"/>
      <c r="ED248" s="421"/>
      <c r="EE248" s="421"/>
      <c r="EF248" s="419"/>
      <c r="EG248" s="421"/>
      <c r="EH248" s="424">
        <f t="shared" si="105"/>
        <v>0</v>
      </c>
      <c r="EI248" s="424">
        <f t="shared" si="106"/>
        <v>0</v>
      </c>
      <c r="EJ248" s="422">
        <f t="shared" si="107"/>
        <v>0</v>
      </c>
      <c r="EK248" s="425">
        <f t="shared" si="108"/>
        <v>0</v>
      </c>
      <c r="EL248" s="425">
        <f t="shared" si="109"/>
        <v>0</v>
      </c>
      <c r="EM248" s="423">
        <f t="shared" si="110"/>
        <v>0</v>
      </c>
      <c r="EN248" s="424">
        <f t="shared" si="111"/>
        <v>0</v>
      </c>
      <c r="EO248" s="425">
        <f t="shared" si="112"/>
        <v>0</v>
      </c>
      <c r="EP248" s="419"/>
      <c r="EQ248" s="421"/>
      <c r="ER248" s="419"/>
      <c r="ES248" s="421"/>
      <c r="ET248" s="419"/>
      <c r="EU248" s="421"/>
      <c r="EV248" s="419"/>
      <c r="EW248" s="421"/>
      <c r="EX248" s="419"/>
      <c r="EY248" s="421"/>
      <c r="EZ248" s="419"/>
      <c r="FA248" s="421"/>
      <c r="FB248" s="419"/>
      <c r="FC248" s="421"/>
      <c r="FD248" s="419"/>
      <c r="FE248" s="421"/>
      <c r="FF248" s="419"/>
      <c r="FG248" s="421"/>
      <c r="FH248" s="419"/>
      <c r="FI248" s="421"/>
      <c r="FJ248" s="424">
        <f t="shared" si="113"/>
        <v>0</v>
      </c>
      <c r="FK248" s="425">
        <f t="shared" si="114"/>
        <v>0</v>
      </c>
      <c r="FL248" s="419"/>
      <c r="FM248" s="421"/>
      <c r="FN248" s="424">
        <f t="shared" si="115"/>
        <v>1945</v>
      </c>
      <c r="FO248" s="425">
        <f t="shared" si="116"/>
        <v>2223</v>
      </c>
    </row>
    <row r="249" spans="1:171" customFormat="1" ht="15" customHeight="1">
      <c r="A249" s="460" t="s">
        <v>162</v>
      </c>
      <c r="B249" s="36" t="s">
        <v>769</v>
      </c>
      <c r="C249" s="121"/>
      <c r="D249" s="34">
        <v>199494</v>
      </c>
      <c r="E249" s="124">
        <v>8</v>
      </c>
      <c r="F249" s="419">
        <v>1522</v>
      </c>
      <c r="G249" s="310">
        <v>1133</v>
      </c>
      <c r="H249" s="419"/>
      <c r="I249" s="421"/>
      <c r="J249" s="419">
        <v>974</v>
      </c>
      <c r="K249" s="311">
        <v>939</v>
      </c>
      <c r="L249" s="422">
        <f t="shared" si="95"/>
        <v>0</v>
      </c>
      <c r="M249" s="423">
        <f t="shared" si="96"/>
        <v>0</v>
      </c>
      <c r="N249" s="419"/>
      <c r="O249" s="309">
        <f>0</f>
        <v>0</v>
      </c>
      <c r="P249" s="309">
        <f>0</f>
        <v>0</v>
      </c>
      <c r="Q249" s="309">
        <f>0</f>
        <v>0</v>
      </c>
      <c r="R249" s="424">
        <f t="shared" si="93"/>
        <v>0</v>
      </c>
      <c r="S249" s="421"/>
      <c r="T249" s="301">
        <f>0</f>
        <v>0</v>
      </c>
      <c r="U249" s="301">
        <f>0</f>
        <v>0</v>
      </c>
      <c r="V249" s="301">
        <f>0</f>
        <v>0</v>
      </c>
      <c r="W249" s="425">
        <f t="shared" si="94"/>
        <v>0</v>
      </c>
      <c r="X249" s="419"/>
      <c r="Y249" s="419"/>
      <c r="Z249" s="421"/>
      <c r="AA249" s="421"/>
      <c r="AB249" s="419"/>
      <c r="AC249" s="419"/>
      <c r="AD249" s="421"/>
      <c r="AE249" s="421"/>
      <c r="AF249" s="419"/>
      <c r="AG249" s="419"/>
      <c r="AH249" s="421"/>
      <c r="AI249" s="421"/>
      <c r="AJ249" s="419"/>
      <c r="AK249" s="419"/>
      <c r="AL249" s="421"/>
      <c r="AM249" s="421"/>
      <c r="AN249" s="419"/>
      <c r="AO249" s="419"/>
      <c r="AP249" s="421"/>
      <c r="AQ249" s="421"/>
      <c r="AR249" s="424">
        <f t="shared" si="97"/>
        <v>0</v>
      </c>
      <c r="AS249" s="422">
        <f t="shared" si="98"/>
        <v>0</v>
      </c>
      <c r="AT249" s="425">
        <f t="shared" si="99"/>
        <v>0</v>
      </c>
      <c r="AU249" s="423">
        <f t="shared" si="100"/>
        <v>0</v>
      </c>
      <c r="AV249" s="419"/>
      <c r="AW249" s="421"/>
      <c r="AX249" s="419"/>
      <c r="AY249" s="419"/>
      <c r="AZ249" s="421"/>
      <c r="BA249" s="421"/>
      <c r="BB249" s="419"/>
      <c r="BC249" s="419"/>
      <c r="BD249" s="421"/>
      <c r="BE249" s="421"/>
      <c r="BF249" s="419"/>
      <c r="BG249" s="419"/>
      <c r="BH249" s="421"/>
      <c r="BI249" s="421"/>
      <c r="BJ249" s="419"/>
      <c r="BK249" s="419"/>
      <c r="BL249" s="421"/>
      <c r="BM249" s="421"/>
      <c r="BN249" s="419"/>
      <c r="BO249" s="419"/>
      <c r="BP249" s="421"/>
      <c r="BQ249" s="421"/>
      <c r="BR249" s="419"/>
      <c r="BS249" s="419"/>
      <c r="BT249" s="421"/>
      <c r="BU249" s="421"/>
      <c r="BV249" s="419"/>
      <c r="BW249" s="419"/>
      <c r="BX249" s="421"/>
      <c r="BY249" s="421"/>
      <c r="BZ249" s="419"/>
      <c r="CA249" s="419"/>
      <c r="CB249" s="421"/>
      <c r="CC249" s="421"/>
      <c r="CD249" s="419"/>
      <c r="CE249" s="419"/>
      <c r="CF249" s="421"/>
      <c r="CG249" s="421"/>
      <c r="CH249" s="419"/>
      <c r="CI249" s="419"/>
      <c r="CJ249" s="421"/>
      <c r="CK249" s="421"/>
      <c r="CL249" s="419"/>
      <c r="CM249" s="421"/>
      <c r="CN249" s="424">
        <f t="shared" si="101"/>
        <v>0</v>
      </c>
      <c r="CO249" s="424">
        <f t="shared" si="102"/>
        <v>0</v>
      </c>
      <c r="CP249" s="425">
        <f t="shared" si="103"/>
        <v>0</v>
      </c>
      <c r="CQ249" s="425">
        <f t="shared" si="104"/>
        <v>0</v>
      </c>
      <c r="CR249" s="419"/>
      <c r="CS249" s="419"/>
      <c r="CT249" s="421"/>
      <c r="CU249" s="421"/>
      <c r="CV249" s="419"/>
      <c r="CW249" s="419"/>
      <c r="CX249" s="421"/>
      <c r="CY249" s="421"/>
      <c r="CZ249" s="419"/>
      <c r="DA249" s="419"/>
      <c r="DB249" s="421"/>
      <c r="DC249" s="421"/>
      <c r="DD249" s="419"/>
      <c r="DE249" s="419"/>
      <c r="DF249" s="421"/>
      <c r="DG249" s="421"/>
      <c r="DH249" s="419"/>
      <c r="DI249" s="419"/>
      <c r="DJ249" s="421"/>
      <c r="DK249" s="421"/>
      <c r="DL249" s="419"/>
      <c r="DM249" s="419"/>
      <c r="DN249" s="421"/>
      <c r="DO249" s="421"/>
      <c r="DP249" s="419"/>
      <c r="DQ249" s="419"/>
      <c r="DR249" s="421"/>
      <c r="DS249" s="421"/>
      <c r="DT249" s="419"/>
      <c r="DU249" s="419"/>
      <c r="DV249" s="421"/>
      <c r="DW249" s="421"/>
      <c r="DX249" s="419"/>
      <c r="DY249" s="419"/>
      <c r="DZ249" s="421"/>
      <c r="EA249" s="421"/>
      <c r="EB249" s="419"/>
      <c r="EC249" s="419"/>
      <c r="ED249" s="421"/>
      <c r="EE249" s="421"/>
      <c r="EF249" s="419"/>
      <c r="EG249" s="421"/>
      <c r="EH249" s="424">
        <f t="shared" si="105"/>
        <v>0</v>
      </c>
      <c r="EI249" s="424">
        <f t="shared" si="106"/>
        <v>0</v>
      </c>
      <c r="EJ249" s="422">
        <f t="shared" si="107"/>
        <v>0</v>
      </c>
      <c r="EK249" s="425">
        <f t="shared" si="108"/>
        <v>0</v>
      </c>
      <c r="EL249" s="425">
        <f t="shared" si="109"/>
        <v>0</v>
      </c>
      <c r="EM249" s="423">
        <f t="shared" si="110"/>
        <v>0</v>
      </c>
      <c r="EN249" s="424">
        <f t="shared" si="111"/>
        <v>0</v>
      </c>
      <c r="EO249" s="425">
        <f t="shared" si="112"/>
        <v>0</v>
      </c>
      <c r="EP249" s="419"/>
      <c r="EQ249" s="421"/>
      <c r="ER249" s="419"/>
      <c r="ES249" s="421"/>
      <c r="ET249" s="419"/>
      <c r="EU249" s="421"/>
      <c r="EV249" s="419"/>
      <c r="EW249" s="421"/>
      <c r="EX249" s="419"/>
      <c r="EY249" s="421"/>
      <c r="EZ249" s="419"/>
      <c r="FA249" s="421"/>
      <c r="FB249" s="419"/>
      <c r="FC249" s="421"/>
      <c r="FD249" s="419"/>
      <c r="FE249" s="421"/>
      <c r="FF249" s="419"/>
      <c r="FG249" s="421"/>
      <c r="FH249" s="419"/>
      <c r="FI249" s="421"/>
      <c r="FJ249" s="424">
        <f t="shared" si="113"/>
        <v>0</v>
      </c>
      <c r="FK249" s="425">
        <f t="shared" si="114"/>
        <v>0</v>
      </c>
      <c r="FL249" s="419"/>
      <c r="FM249" s="421"/>
      <c r="FN249" s="424">
        <f t="shared" si="115"/>
        <v>2496</v>
      </c>
      <c r="FO249" s="425">
        <f t="shared" si="116"/>
        <v>2072</v>
      </c>
    </row>
    <row r="250" spans="1:171" customFormat="1" ht="15" customHeight="1">
      <c r="A250" s="460" t="s">
        <v>162</v>
      </c>
      <c r="B250" s="36" t="s">
        <v>770</v>
      </c>
      <c r="C250" s="121"/>
      <c r="D250" s="34">
        <v>199856</v>
      </c>
      <c r="E250" s="124">
        <v>8</v>
      </c>
      <c r="F250" s="419">
        <v>4325</v>
      </c>
      <c r="G250" s="310">
        <v>6000</v>
      </c>
      <c r="H250" s="419"/>
      <c r="I250" s="421"/>
      <c r="J250" s="419">
        <v>2965</v>
      </c>
      <c r="K250" s="311">
        <v>2913</v>
      </c>
      <c r="L250" s="422">
        <f t="shared" si="95"/>
        <v>0</v>
      </c>
      <c r="M250" s="423">
        <f t="shared" si="96"/>
        <v>0</v>
      </c>
      <c r="N250" s="419"/>
      <c r="O250" s="309">
        <f>0</f>
        <v>0</v>
      </c>
      <c r="P250" s="309">
        <f>0</f>
        <v>0</v>
      </c>
      <c r="Q250" s="309">
        <f>0</f>
        <v>0</v>
      </c>
      <c r="R250" s="424">
        <f t="shared" si="93"/>
        <v>0</v>
      </c>
      <c r="S250" s="421"/>
      <c r="T250" s="301">
        <f>0</f>
        <v>0</v>
      </c>
      <c r="U250" s="301">
        <f>0</f>
        <v>0</v>
      </c>
      <c r="V250" s="301">
        <f>0</f>
        <v>0</v>
      </c>
      <c r="W250" s="425">
        <f t="shared" si="94"/>
        <v>0</v>
      </c>
      <c r="X250" s="419"/>
      <c r="Y250" s="419"/>
      <c r="Z250" s="421"/>
      <c r="AA250" s="421"/>
      <c r="AB250" s="419"/>
      <c r="AC250" s="419"/>
      <c r="AD250" s="421"/>
      <c r="AE250" s="421"/>
      <c r="AF250" s="419"/>
      <c r="AG250" s="419"/>
      <c r="AH250" s="421"/>
      <c r="AI250" s="421"/>
      <c r="AJ250" s="419"/>
      <c r="AK250" s="419"/>
      <c r="AL250" s="421"/>
      <c r="AM250" s="421"/>
      <c r="AN250" s="419"/>
      <c r="AO250" s="419"/>
      <c r="AP250" s="421"/>
      <c r="AQ250" s="421"/>
      <c r="AR250" s="424">
        <f t="shared" si="97"/>
        <v>0</v>
      </c>
      <c r="AS250" s="422">
        <f t="shared" si="98"/>
        <v>0</v>
      </c>
      <c r="AT250" s="425">
        <f t="shared" si="99"/>
        <v>0</v>
      </c>
      <c r="AU250" s="423">
        <f t="shared" si="100"/>
        <v>0</v>
      </c>
      <c r="AV250" s="419"/>
      <c r="AW250" s="421"/>
      <c r="AX250" s="419"/>
      <c r="AY250" s="419"/>
      <c r="AZ250" s="421"/>
      <c r="BA250" s="421"/>
      <c r="BB250" s="419"/>
      <c r="BC250" s="419"/>
      <c r="BD250" s="421"/>
      <c r="BE250" s="421"/>
      <c r="BF250" s="419"/>
      <c r="BG250" s="419"/>
      <c r="BH250" s="421"/>
      <c r="BI250" s="421"/>
      <c r="BJ250" s="419"/>
      <c r="BK250" s="419"/>
      <c r="BL250" s="421"/>
      <c r="BM250" s="421"/>
      <c r="BN250" s="419"/>
      <c r="BO250" s="419"/>
      <c r="BP250" s="421"/>
      <c r="BQ250" s="421"/>
      <c r="BR250" s="419"/>
      <c r="BS250" s="419"/>
      <c r="BT250" s="421"/>
      <c r="BU250" s="421"/>
      <c r="BV250" s="419"/>
      <c r="BW250" s="419"/>
      <c r="BX250" s="421"/>
      <c r="BY250" s="421"/>
      <c r="BZ250" s="419"/>
      <c r="CA250" s="419"/>
      <c r="CB250" s="421"/>
      <c r="CC250" s="421"/>
      <c r="CD250" s="419"/>
      <c r="CE250" s="419"/>
      <c r="CF250" s="421"/>
      <c r="CG250" s="421"/>
      <c r="CH250" s="419"/>
      <c r="CI250" s="419"/>
      <c r="CJ250" s="421"/>
      <c r="CK250" s="421"/>
      <c r="CL250" s="419"/>
      <c r="CM250" s="421"/>
      <c r="CN250" s="424">
        <f t="shared" si="101"/>
        <v>0</v>
      </c>
      <c r="CO250" s="424">
        <f t="shared" si="102"/>
        <v>0</v>
      </c>
      <c r="CP250" s="425">
        <f t="shared" si="103"/>
        <v>0</v>
      </c>
      <c r="CQ250" s="425">
        <f t="shared" si="104"/>
        <v>0</v>
      </c>
      <c r="CR250" s="419"/>
      <c r="CS250" s="419"/>
      <c r="CT250" s="421"/>
      <c r="CU250" s="421"/>
      <c r="CV250" s="419"/>
      <c r="CW250" s="419"/>
      <c r="CX250" s="421"/>
      <c r="CY250" s="421"/>
      <c r="CZ250" s="419"/>
      <c r="DA250" s="419"/>
      <c r="DB250" s="421"/>
      <c r="DC250" s="421"/>
      <c r="DD250" s="419"/>
      <c r="DE250" s="419"/>
      <c r="DF250" s="421"/>
      <c r="DG250" s="421"/>
      <c r="DH250" s="419"/>
      <c r="DI250" s="419"/>
      <c r="DJ250" s="421"/>
      <c r="DK250" s="421"/>
      <c r="DL250" s="419"/>
      <c r="DM250" s="419"/>
      <c r="DN250" s="421"/>
      <c r="DO250" s="421"/>
      <c r="DP250" s="419"/>
      <c r="DQ250" s="419"/>
      <c r="DR250" s="421"/>
      <c r="DS250" s="421"/>
      <c r="DT250" s="419"/>
      <c r="DU250" s="419"/>
      <c r="DV250" s="421"/>
      <c r="DW250" s="421"/>
      <c r="DX250" s="419"/>
      <c r="DY250" s="419"/>
      <c r="DZ250" s="421"/>
      <c r="EA250" s="421"/>
      <c r="EB250" s="419"/>
      <c r="EC250" s="419"/>
      <c r="ED250" s="421"/>
      <c r="EE250" s="421"/>
      <c r="EF250" s="419"/>
      <c r="EG250" s="421"/>
      <c r="EH250" s="424">
        <f t="shared" si="105"/>
        <v>0</v>
      </c>
      <c r="EI250" s="424">
        <f t="shared" si="106"/>
        <v>0</v>
      </c>
      <c r="EJ250" s="422">
        <f t="shared" si="107"/>
        <v>0</v>
      </c>
      <c r="EK250" s="425">
        <f t="shared" si="108"/>
        <v>0</v>
      </c>
      <c r="EL250" s="425">
        <f t="shared" si="109"/>
        <v>0</v>
      </c>
      <c r="EM250" s="423">
        <f t="shared" si="110"/>
        <v>0</v>
      </c>
      <c r="EN250" s="424">
        <f t="shared" si="111"/>
        <v>0</v>
      </c>
      <c r="EO250" s="425">
        <f t="shared" si="112"/>
        <v>0</v>
      </c>
      <c r="EP250" s="419"/>
      <c r="EQ250" s="421"/>
      <c r="ER250" s="419"/>
      <c r="ES250" s="421"/>
      <c r="ET250" s="419"/>
      <c r="EU250" s="421"/>
      <c r="EV250" s="419"/>
      <c r="EW250" s="421"/>
      <c r="EX250" s="419"/>
      <c r="EY250" s="421"/>
      <c r="EZ250" s="419"/>
      <c r="FA250" s="421"/>
      <c r="FB250" s="419"/>
      <c r="FC250" s="421"/>
      <c r="FD250" s="419"/>
      <c r="FE250" s="421"/>
      <c r="FF250" s="419"/>
      <c r="FG250" s="421"/>
      <c r="FH250" s="419"/>
      <c r="FI250" s="421"/>
      <c r="FJ250" s="424">
        <f t="shared" si="113"/>
        <v>0</v>
      </c>
      <c r="FK250" s="425">
        <f t="shared" si="114"/>
        <v>0</v>
      </c>
      <c r="FL250" s="419"/>
      <c r="FM250" s="421"/>
      <c r="FN250" s="424">
        <f t="shared" si="115"/>
        <v>7290</v>
      </c>
      <c r="FO250" s="425">
        <f t="shared" si="116"/>
        <v>8913</v>
      </c>
    </row>
    <row r="251" spans="1:171" customFormat="1" ht="15" customHeight="1">
      <c r="A251" s="460" t="s">
        <v>162</v>
      </c>
      <c r="B251" s="36" t="s">
        <v>771</v>
      </c>
      <c r="C251" s="121"/>
      <c r="D251" s="34">
        <v>199786</v>
      </c>
      <c r="E251" s="124">
        <v>9</v>
      </c>
      <c r="F251" s="419">
        <v>291</v>
      </c>
      <c r="G251" s="310">
        <v>222</v>
      </c>
      <c r="H251" s="419"/>
      <c r="I251" s="421"/>
      <c r="J251" s="419">
        <v>622</v>
      </c>
      <c r="K251" s="311">
        <v>585</v>
      </c>
      <c r="L251" s="422">
        <f t="shared" si="95"/>
        <v>0</v>
      </c>
      <c r="M251" s="423">
        <f t="shared" si="96"/>
        <v>0</v>
      </c>
      <c r="N251" s="419"/>
      <c r="O251" s="309">
        <f>0</f>
        <v>0</v>
      </c>
      <c r="P251" s="309">
        <f>0</f>
        <v>0</v>
      </c>
      <c r="Q251" s="309">
        <f>0</f>
        <v>0</v>
      </c>
      <c r="R251" s="424">
        <f t="shared" si="93"/>
        <v>0</v>
      </c>
      <c r="S251" s="421"/>
      <c r="T251" s="301">
        <f>0</f>
        <v>0</v>
      </c>
      <c r="U251" s="301">
        <f>0</f>
        <v>0</v>
      </c>
      <c r="V251" s="301">
        <f>0</f>
        <v>0</v>
      </c>
      <c r="W251" s="425">
        <f t="shared" si="94"/>
        <v>0</v>
      </c>
      <c r="X251" s="419"/>
      <c r="Y251" s="419"/>
      <c r="Z251" s="421"/>
      <c r="AA251" s="421"/>
      <c r="AB251" s="419"/>
      <c r="AC251" s="419"/>
      <c r="AD251" s="421"/>
      <c r="AE251" s="421"/>
      <c r="AF251" s="419"/>
      <c r="AG251" s="419"/>
      <c r="AH251" s="421"/>
      <c r="AI251" s="421"/>
      <c r="AJ251" s="419"/>
      <c r="AK251" s="419"/>
      <c r="AL251" s="421"/>
      <c r="AM251" s="421"/>
      <c r="AN251" s="419"/>
      <c r="AO251" s="419"/>
      <c r="AP251" s="421"/>
      <c r="AQ251" s="421"/>
      <c r="AR251" s="424">
        <f t="shared" si="97"/>
        <v>0</v>
      </c>
      <c r="AS251" s="422">
        <f t="shared" si="98"/>
        <v>0</v>
      </c>
      <c r="AT251" s="425">
        <f t="shared" si="99"/>
        <v>0</v>
      </c>
      <c r="AU251" s="423">
        <f t="shared" si="100"/>
        <v>0</v>
      </c>
      <c r="AV251" s="419"/>
      <c r="AW251" s="421"/>
      <c r="AX251" s="419"/>
      <c r="AY251" s="419"/>
      <c r="AZ251" s="421"/>
      <c r="BA251" s="421"/>
      <c r="BB251" s="419"/>
      <c r="BC251" s="419"/>
      <c r="BD251" s="421"/>
      <c r="BE251" s="421"/>
      <c r="BF251" s="419"/>
      <c r="BG251" s="419"/>
      <c r="BH251" s="421"/>
      <c r="BI251" s="421"/>
      <c r="BJ251" s="419"/>
      <c r="BK251" s="419"/>
      <c r="BL251" s="421"/>
      <c r="BM251" s="421"/>
      <c r="BN251" s="419"/>
      <c r="BO251" s="419"/>
      <c r="BP251" s="421"/>
      <c r="BQ251" s="421"/>
      <c r="BR251" s="419"/>
      <c r="BS251" s="419"/>
      <c r="BT251" s="421"/>
      <c r="BU251" s="421"/>
      <c r="BV251" s="419"/>
      <c r="BW251" s="419"/>
      <c r="BX251" s="421"/>
      <c r="BY251" s="421"/>
      <c r="BZ251" s="419"/>
      <c r="CA251" s="419"/>
      <c r="CB251" s="421"/>
      <c r="CC251" s="421"/>
      <c r="CD251" s="419"/>
      <c r="CE251" s="419"/>
      <c r="CF251" s="421"/>
      <c r="CG251" s="421"/>
      <c r="CH251" s="419"/>
      <c r="CI251" s="419"/>
      <c r="CJ251" s="421"/>
      <c r="CK251" s="421"/>
      <c r="CL251" s="419"/>
      <c r="CM251" s="421"/>
      <c r="CN251" s="424">
        <f t="shared" si="101"/>
        <v>0</v>
      </c>
      <c r="CO251" s="424">
        <f t="shared" si="102"/>
        <v>0</v>
      </c>
      <c r="CP251" s="425">
        <f t="shared" si="103"/>
        <v>0</v>
      </c>
      <c r="CQ251" s="425">
        <f t="shared" si="104"/>
        <v>0</v>
      </c>
      <c r="CR251" s="419"/>
      <c r="CS251" s="419"/>
      <c r="CT251" s="421"/>
      <c r="CU251" s="421"/>
      <c r="CV251" s="419"/>
      <c r="CW251" s="419"/>
      <c r="CX251" s="421"/>
      <c r="CY251" s="421"/>
      <c r="CZ251" s="419"/>
      <c r="DA251" s="419"/>
      <c r="DB251" s="421"/>
      <c r="DC251" s="421"/>
      <c r="DD251" s="419"/>
      <c r="DE251" s="419"/>
      <c r="DF251" s="421"/>
      <c r="DG251" s="421"/>
      <c r="DH251" s="419"/>
      <c r="DI251" s="419"/>
      <c r="DJ251" s="421"/>
      <c r="DK251" s="421"/>
      <c r="DL251" s="419"/>
      <c r="DM251" s="419"/>
      <c r="DN251" s="421"/>
      <c r="DO251" s="421"/>
      <c r="DP251" s="419"/>
      <c r="DQ251" s="419"/>
      <c r="DR251" s="421"/>
      <c r="DS251" s="421"/>
      <c r="DT251" s="419"/>
      <c r="DU251" s="419"/>
      <c r="DV251" s="421"/>
      <c r="DW251" s="421"/>
      <c r="DX251" s="419"/>
      <c r="DY251" s="419"/>
      <c r="DZ251" s="421"/>
      <c r="EA251" s="421"/>
      <c r="EB251" s="419"/>
      <c r="EC251" s="419"/>
      <c r="ED251" s="421"/>
      <c r="EE251" s="421"/>
      <c r="EF251" s="419"/>
      <c r="EG251" s="421"/>
      <c r="EH251" s="424">
        <f t="shared" si="105"/>
        <v>0</v>
      </c>
      <c r="EI251" s="424">
        <f t="shared" si="106"/>
        <v>0</v>
      </c>
      <c r="EJ251" s="422">
        <f t="shared" si="107"/>
        <v>0</v>
      </c>
      <c r="EK251" s="425">
        <f t="shared" si="108"/>
        <v>0</v>
      </c>
      <c r="EL251" s="425">
        <f t="shared" si="109"/>
        <v>0</v>
      </c>
      <c r="EM251" s="423">
        <f t="shared" si="110"/>
        <v>0</v>
      </c>
      <c r="EN251" s="424">
        <f t="shared" si="111"/>
        <v>0</v>
      </c>
      <c r="EO251" s="425">
        <f t="shared" si="112"/>
        <v>0</v>
      </c>
      <c r="EP251" s="419"/>
      <c r="EQ251" s="421"/>
      <c r="ER251" s="419"/>
      <c r="ES251" s="421"/>
      <c r="ET251" s="419"/>
      <c r="EU251" s="421"/>
      <c r="EV251" s="419"/>
      <c r="EW251" s="421"/>
      <c r="EX251" s="419"/>
      <c r="EY251" s="421"/>
      <c r="EZ251" s="419"/>
      <c r="FA251" s="421"/>
      <c r="FB251" s="419"/>
      <c r="FC251" s="421"/>
      <c r="FD251" s="419"/>
      <c r="FE251" s="421"/>
      <c r="FF251" s="419"/>
      <c r="FG251" s="421"/>
      <c r="FH251" s="419"/>
      <c r="FI251" s="421"/>
      <c r="FJ251" s="424">
        <f t="shared" si="113"/>
        <v>0</v>
      </c>
      <c r="FK251" s="425">
        <f t="shared" si="114"/>
        <v>0</v>
      </c>
      <c r="FL251" s="419"/>
      <c r="FM251" s="421"/>
      <c r="FN251" s="424">
        <f t="shared" si="115"/>
        <v>913</v>
      </c>
      <c r="FO251" s="425">
        <f t="shared" si="116"/>
        <v>807</v>
      </c>
    </row>
    <row r="252" spans="1:171" customFormat="1" ht="15" customHeight="1">
      <c r="A252" s="460" t="s">
        <v>162</v>
      </c>
      <c r="B252" s="36" t="s">
        <v>772</v>
      </c>
      <c r="C252" s="121"/>
      <c r="D252" s="34">
        <v>198118</v>
      </c>
      <c r="E252" s="124">
        <v>9</v>
      </c>
      <c r="F252" s="419">
        <v>218</v>
      </c>
      <c r="G252" s="310">
        <v>150</v>
      </c>
      <c r="H252" s="419"/>
      <c r="I252" s="421"/>
      <c r="J252" s="419">
        <v>681</v>
      </c>
      <c r="K252" s="311">
        <v>670</v>
      </c>
      <c r="L252" s="422">
        <f t="shared" si="95"/>
        <v>0</v>
      </c>
      <c r="M252" s="423">
        <f t="shared" si="96"/>
        <v>0</v>
      </c>
      <c r="N252" s="419"/>
      <c r="O252" s="309">
        <f>0</f>
        <v>0</v>
      </c>
      <c r="P252" s="309">
        <f>0</f>
        <v>0</v>
      </c>
      <c r="Q252" s="309">
        <f>0</f>
        <v>0</v>
      </c>
      <c r="R252" s="424">
        <f t="shared" si="93"/>
        <v>0</v>
      </c>
      <c r="S252" s="421"/>
      <c r="T252" s="301">
        <f>0</f>
        <v>0</v>
      </c>
      <c r="U252" s="301">
        <f>0</f>
        <v>0</v>
      </c>
      <c r="V252" s="301">
        <f>0</f>
        <v>0</v>
      </c>
      <c r="W252" s="425">
        <f t="shared" si="94"/>
        <v>0</v>
      </c>
      <c r="X252" s="419"/>
      <c r="Y252" s="419"/>
      <c r="Z252" s="421"/>
      <c r="AA252" s="421"/>
      <c r="AB252" s="419"/>
      <c r="AC252" s="419"/>
      <c r="AD252" s="421"/>
      <c r="AE252" s="421"/>
      <c r="AF252" s="419"/>
      <c r="AG252" s="419"/>
      <c r="AH252" s="421"/>
      <c r="AI252" s="421"/>
      <c r="AJ252" s="419"/>
      <c r="AK252" s="419"/>
      <c r="AL252" s="421"/>
      <c r="AM252" s="421"/>
      <c r="AN252" s="419"/>
      <c r="AO252" s="419"/>
      <c r="AP252" s="421"/>
      <c r="AQ252" s="421"/>
      <c r="AR252" s="424">
        <f t="shared" si="97"/>
        <v>0</v>
      </c>
      <c r="AS252" s="422">
        <f t="shared" si="98"/>
        <v>0</v>
      </c>
      <c r="AT252" s="425">
        <f t="shared" si="99"/>
        <v>0</v>
      </c>
      <c r="AU252" s="423">
        <f t="shared" si="100"/>
        <v>0</v>
      </c>
      <c r="AV252" s="419"/>
      <c r="AW252" s="421"/>
      <c r="AX252" s="419"/>
      <c r="AY252" s="419"/>
      <c r="AZ252" s="421"/>
      <c r="BA252" s="421"/>
      <c r="BB252" s="419"/>
      <c r="BC252" s="419"/>
      <c r="BD252" s="421"/>
      <c r="BE252" s="421"/>
      <c r="BF252" s="419"/>
      <c r="BG252" s="419"/>
      <c r="BH252" s="421"/>
      <c r="BI252" s="421"/>
      <c r="BJ252" s="419"/>
      <c r="BK252" s="419"/>
      <c r="BL252" s="421"/>
      <c r="BM252" s="421"/>
      <c r="BN252" s="419"/>
      <c r="BO252" s="419"/>
      <c r="BP252" s="421"/>
      <c r="BQ252" s="421"/>
      <c r="BR252" s="419"/>
      <c r="BS252" s="419"/>
      <c r="BT252" s="421"/>
      <c r="BU252" s="421"/>
      <c r="BV252" s="419"/>
      <c r="BW252" s="419"/>
      <c r="BX252" s="421"/>
      <c r="BY252" s="421"/>
      <c r="BZ252" s="419"/>
      <c r="CA252" s="419"/>
      <c r="CB252" s="421"/>
      <c r="CC252" s="421"/>
      <c r="CD252" s="419"/>
      <c r="CE252" s="419"/>
      <c r="CF252" s="421"/>
      <c r="CG252" s="421"/>
      <c r="CH252" s="419"/>
      <c r="CI252" s="419"/>
      <c r="CJ252" s="421"/>
      <c r="CK252" s="421"/>
      <c r="CL252" s="419"/>
      <c r="CM252" s="421"/>
      <c r="CN252" s="424">
        <f t="shared" si="101"/>
        <v>0</v>
      </c>
      <c r="CO252" s="424">
        <f t="shared" si="102"/>
        <v>0</v>
      </c>
      <c r="CP252" s="425">
        <f t="shared" si="103"/>
        <v>0</v>
      </c>
      <c r="CQ252" s="425">
        <f t="shared" si="104"/>
        <v>0</v>
      </c>
      <c r="CR252" s="419"/>
      <c r="CS252" s="419"/>
      <c r="CT252" s="421"/>
      <c r="CU252" s="421"/>
      <c r="CV252" s="419"/>
      <c r="CW252" s="419"/>
      <c r="CX252" s="421"/>
      <c r="CY252" s="421"/>
      <c r="CZ252" s="419"/>
      <c r="DA252" s="419"/>
      <c r="DB252" s="421"/>
      <c r="DC252" s="421"/>
      <c r="DD252" s="419"/>
      <c r="DE252" s="419"/>
      <c r="DF252" s="421"/>
      <c r="DG252" s="421"/>
      <c r="DH252" s="419"/>
      <c r="DI252" s="419"/>
      <c r="DJ252" s="421"/>
      <c r="DK252" s="421"/>
      <c r="DL252" s="419"/>
      <c r="DM252" s="419"/>
      <c r="DN252" s="421"/>
      <c r="DO252" s="421"/>
      <c r="DP252" s="419"/>
      <c r="DQ252" s="419"/>
      <c r="DR252" s="421"/>
      <c r="DS252" s="421"/>
      <c r="DT252" s="419"/>
      <c r="DU252" s="419"/>
      <c r="DV252" s="421"/>
      <c r="DW252" s="421"/>
      <c r="DX252" s="419"/>
      <c r="DY252" s="419"/>
      <c r="DZ252" s="421"/>
      <c r="EA252" s="421"/>
      <c r="EB252" s="419"/>
      <c r="EC252" s="419"/>
      <c r="ED252" s="421"/>
      <c r="EE252" s="421"/>
      <c r="EF252" s="419"/>
      <c r="EG252" s="421"/>
      <c r="EH252" s="424">
        <f t="shared" si="105"/>
        <v>0</v>
      </c>
      <c r="EI252" s="424">
        <f t="shared" si="106"/>
        <v>0</v>
      </c>
      <c r="EJ252" s="422">
        <f t="shared" si="107"/>
        <v>0</v>
      </c>
      <c r="EK252" s="425">
        <f t="shared" si="108"/>
        <v>0</v>
      </c>
      <c r="EL252" s="425">
        <f t="shared" si="109"/>
        <v>0</v>
      </c>
      <c r="EM252" s="423">
        <f t="shared" si="110"/>
        <v>0</v>
      </c>
      <c r="EN252" s="424">
        <f t="shared" si="111"/>
        <v>0</v>
      </c>
      <c r="EO252" s="425">
        <f t="shared" si="112"/>
        <v>0</v>
      </c>
      <c r="EP252" s="419"/>
      <c r="EQ252" s="421"/>
      <c r="ER252" s="419"/>
      <c r="ES252" s="421"/>
      <c r="ET252" s="419"/>
      <c r="EU252" s="421"/>
      <c r="EV252" s="419"/>
      <c r="EW252" s="421"/>
      <c r="EX252" s="419"/>
      <c r="EY252" s="421"/>
      <c r="EZ252" s="419"/>
      <c r="FA252" s="421"/>
      <c r="FB252" s="419"/>
      <c r="FC252" s="421"/>
      <c r="FD252" s="419"/>
      <c r="FE252" s="421"/>
      <c r="FF252" s="419"/>
      <c r="FG252" s="421"/>
      <c r="FH252" s="419"/>
      <c r="FI252" s="421"/>
      <c r="FJ252" s="424">
        <f t="shared" si="113"/>
        <v>0</v>
      </c>
      <c r="FK252" s="425">
        <f t="shared" si="114"/>
        <v>0</v>
      </c>
      <c r="FL252" s="419"/>
      <c r="FM252" s="421"/>
      <c r="FN252" s="424">
        <f t="shared" si="115"/>
        <v>899</v>
      </c>
      <c r="FO252" s="425">
        <f t="shared" si="116"/>
        <v>820</v>
      </c>
    </row>
    <row r="253" spans="1:171" customFormat="1" ht="15" customHeight="1">
      <c r="A253" s="460" t="s">
        <v>162</v>
      </c>
      <c r="B253" s="36" t="s">
        <v>773</v>
      </c>
      <c r="C253" s="121"/>
      <c r="D253" s="34">
        <v>198233</v>
      </c>
      <c r="E253" s="124">
        <v>9</v>
      </c>
      <c r="F253" s="419">
        <v>365</v>
      </c>
      <c r="G253" s="462">
        <v>875</v>
      </c>
      <c r="H253" s="419"/>
      <c r="I253" s="421"/>
      <c r="J253" s="419">
        <v>675</v>
      </c>
      <c r="K253" s="311">
        <v>680</v>
      </c>
      <c r="L253" s="422">
        <f t="shared" si="95"/>
        <v>0</v>
      </c>
      <c r="M253" s="423">
        <f t="shared" si="96"/>
        <v>0</v>
      </c>
      <c r="N253" s="419"/>
      <c r="O253" s="309">
        <f>0</f>
        <v>0</v>
      </c>
      <c r="P253" s="309">
        <f>0</f>
        <v>0</v>
      </c>
      <c r="Q253" s="309">
        <f>0</f>
        <v>0</v>
      </c>
      <c r="R253" s="424">
        <f t="shared" si="93"/>
        <v>0</v>
      </c>
      <c r="S253" s="421"/>
      <c r="T253" s="301">
        <f>0</f>
        <v>0</v>
      </c>
      <c r="U253" s="301">
        <f>0</f>
        <v>0</v>
      </c>
      <c r="V253" s="301">
        <f>0</f>
        <v>0</v>
      </c>
      <c r="W253" s="425">
        <f t="shared" si="94"/>
        <v>0</v>
      </c>
      <c r="X253" s="419"/>
      <c r="Y253" s="419"/>
      <c r="Z253" s="421"/>
      <c r="AA253" s="421"/>
      <c r="AB253" s="419"/>
      <c r="AC253" s="419"/>
      <c r="AD253" s="421"/>
      <c r="AE253" s="421"/>
      <c r="AF253" s="419"/>
      <c r="AG253" s="419"/>
      <c r="AH253" s="421"/>
      <c r="AI253" s="421"/>
      <c r="AJ253" s="419"/>
      <c r="AK253" s="419"/>
      <c r="AL253" s="421"/>
      <c r="AM253" s="421"/>
      <c r="AN253" s="419"/>
      <c r="AO253" s="419"/>
      <c r="AP253" s="421"/>
      <c r="AQ253" s="421"/>
      <c r="AR253" s="424">
        <f t="shared" si="97"/>
        <v>0</v>
      </c>
      <c r="AS253" s="422">
        <f t="shared" si="98"/>
        <v>0</v>
      </c>
      <c r="AT253" s="425">
        <f t="shared" si="99"/>
        <v>0</v>
      </c>
      <c r="AU253" s="423">
        <f t="shared" si="100"/>
        <v>0</v>
      </c>
      <c r="AV253" s="419"/>
      <c r="AW253" s="421"/>
      <c r="AX253" s="419"/>
      <c r="AY253" s="419"/>
      <c r="AZ253" s="421"/>
      <c r="BA253" s="421"/>
      <c r="BB253" s="419"/>
      <c r="BC253" s="419"/>
      <c r="BD253" s="421"/>
      <c r="BE253" s="421"/>
      <c r="BF253" s="419"/>
      <c r="BG253" s="419"/>
      <c r="BH253" s="421"/>
      <c r="BI253" s="421"/>
      <c r="BJ253" s="419"/>
      <c r="BK253" s="419"/>
      <c r="BL253" s="421"/>
      <c r="BM253" s="421"/>
      <c r="BN253" s="419"/>
      <c r="BO253" s="419"/>
      <c r="BP253" s="421"/>
      <c r="BQ253" s="421"/>
      <c r="BR253" s="419"/>
      <c r="BS253" s="419"/>
      <c r="BT253" s="421"/>
      <c r="BU253" s="421"/>
      <c r="BV253" s="419"/>
      <c r="BW253" s="419"/>
      <c r="BX253" s="421"/>
      <c r="BY253" s="421"/>
      <c r="BZ253" s="419"/>
      <c r="CA253" s="419"/>
      <c r="CB253" s="421"/>
      <c r="CC253" s="421"/>
      <c r="CD253" s="419"/>
      <c r="CE253" s="419"/>
      <c r="CF253" s="421"/>
      <c r="CG253" s="421"/>
      <c r="CH253" s="419"/>
      <c r="CI253" s="419"/>
      <c r="CJ253" s="421"/>
      <c r="CK253" s="421"/>
      <c r="CL253" s="419"/>
      <c r="CM253" s="421"/>
      <c r="CN253" s="424">
        <f t="shared" si="101"/>
        <v>0</v>
      </c>
      <c r="CO253" s="424">
        <f t="shared" si="102"/>
        <v>0</v>
      </c>
      <c r="CP253" s="425">
        <f t="shared" si="103"/>
        <v>0</v>
      </c>
      <c r="CQ253" s="425">
        <f t="shared" si="104"/>
        <v>0</v>
      </c>
      <c r="CR253" s="419"/>
      <c r="CS253" s="419"/>
      <c r="CT253" s="421"/>
      <c r="CU253" s="421"/>
      <c r="CV253" s="419"/>
      <c r="CW253" s="419"/>
      <c r="CX253" s="421"/>
      <c r="CY253" s="421"/>
      <c r="CZ253" s="419"/>
      <c r="DA253" s="419"/>
      <c r="DB253" s="421"/>
      <c r="DC253" s="421"/>
      <c r="DD253" s="419"/>
      <c r="DE253" s="419"/>
      <c r="DF253" s="421"/>
      <c r="DG253" s="421"/>
      <c r="DH253" s="419"/>
      <c r="DI253" s="419"/>
      <c r="DJ253" s="421"/>
      <c r="DK253" s="421"/>
      <c r="DL253" s="419"/>
      <c r="DM253" s="419"/>
      <c r="DN253" s="421"/>
      <c r="DO253" s="421"/>
      <c r="DP253" s="419"/>
      <c r="DQ253" s="419"/>
      <c r="DR253" s="421"/>
      <c r="DS253" s="421"/>
      <c r="DT253" s="419"/>
      <c r="DU253" s="419"/>
      <c r="DV253" s="421"/>
      <c r="DW253" s="421"/>
      <c r="DX253" s="419"/>
      <c r="DY253" s="419"/>
      <c r="DZ253" s="421"/>
      <c r="EA253" s="421"/>
      <c r="EB253" s="419"/>
      <c r="EC253" s="419"/>
      <c r="ED253" s="421"/>
      <c r="EE253" s="421"/>
      <c r="EF253" s="419"/>
      <c r="EG253" s="421"/>
      <c r="EH253" s="424">
        <f t="shared" si="105"/>
        <v>0</v>
      </c>
      <c r="EI253" s="424">
        <f t="shared" si="106"/>
        <v>0</v>
      </c>
      <c r="EJ253" s="422">
        <f t="shared" si="107"/>
        <v>0</v>
      </c>
      <c r="EK253" s="425">
        <f t="shared" si="108"/>
        <v>0</v>
      </c>
      <c r="EL253" s="425">
        <f t="shared" si="109"/>
        <v>0</v>
      </c>
      <c r="EM253" s="423">
        <f t="shared" si="110"/>
        <v>0</v>
      </c>
      <c r="EN253" s="424">
        <f t="shared" si="111"/>
        <v>0</v>
      </c>
      <c r="EO253" s="425">
        <f t="shared" si="112"/>
        <v>0</v>
      </c>
      <c r="EP253" s="419"/>
      <c r="EQ253" s="421"/>
      <c r="ER253" s="419"/>
      <c r="ES253" s="421"/>
      <c r="ET253" s="419"/>
      <c r="EU253" s="421"/>
      <c r="EV253" s="419"/>
      <c r="EW253" s="421"/>
      <c r="EX253" s="419"/>
      <c r="EY253" s="421"/>
      <c r="EZ253" s="419"/>
      <c r="FA253" s="421"/>
      <c r="FB253" s="419"/>
      <c r="FC253" s="421"/>
      <c r="FD253" s="419"/>
      <c r="FE253" s="421"/>
      <c r="FF253" s="419"/>
      <c r="FG253" s="421"/>
      <c r="FH253" s="419"/>
      <c r="FI253" s="421"/>
      <c r="FJ253" s="424">
        <f t="shared" si="113"/>
        <v>0</v>
      </c>
      <c r="FK253" s="425">
        <f t="shared" si="114"/>
        <v>0</v>
      </c>
      <c r="FL253" s="419"/>
      <c r="FM253" s="421"/>
      <c r="FN253" s="424">
        <f t="shared" si="115"/>
        <v>1040</v>
      </c>
      <c r="FO253" s="425">
        <f t="shared" si="116"/>
        <v>1555</v>
      </c>
    </row>
    <row r="254" spans="1:171" customFormat="1" ht="15" customHeight="1">
      <c r="A254" s="460" t="s">
        <v>162</v>
      </c>
      <c r="B254" s="36" t="s">
        <v>774</v>
      </c>
      <c r="C254" s="121"/>
      <c r="D254" s="34">
        <v>198251</v>
      </c>
      <c r="E254" s="124">
        <v>9</v>
      </c>
      <c r="F254" s="419">
        <v>709</v>
      </c>
      <c r="G254" s="311">
        <v>702</v>
      </c>
      <c r="H254" s="419"/>
      <c r="I254" s="421"/>
      <c r="J254" s="419">
        <v>540</v>
      </c>
      <c r="K254" s="311">
        <v>550</v>
      </c>
      <c r="L254" s="422">
        <f t="shared" si="95"/>
        <v>0</v>
      </c>
      <c r="M254" s="423">
        <f t="shared" si="96"/>
        <v>0</v>
      </c>
      <c r="N254" s="419"/>
      <c r="O254" s="309">
        <f>0</f>
        <v>0</v>
      </c>
      <c r="P254" s="309">
        <f>0</f>
        <v>0</v>
      </c>
      <c r="Q254" s="309">
        <f>0</f>
        <v>0</v>
      </c>
      <c r="R254" s="424">
        <f t="shared" si="93"/>
        <v>0</v>
      </c>
      <c r="S254" s="421"/>
      <c r="T254" s="301">
        <f>0</f>
        <v>0</v>
      </c>
      <c r="U254" s="301">
        <f>0</f>
        <v>0</v>
      </c>
      <c r="V254" s="301">
        <f>0</f>
        <v>0</v>
      </c>
      <c r="W254" s="425">
        <f t="shared" si="94"/>
        <v>0</v>
      </c>
      <c r="X254" s="419"/>
      <c r="Y254" s="419"/>
      <c r="Z254" s="421"/>
      <c r="AA254" s="421"/>
      <c r="AB254" s="419"/>
      <c r="AC254" s="419"/>
      <c r="AD254" s="421"/>
      <c r="AE254" s="421"/>
      <c r="AF254" s="419"/>
      <c r="AG254" s="419"/>
      <c r="AH254" s="421"/>
      <c r="AI254" s="421"/>
      <c r="AJ254" s="419"/>
      <c r="AK254" s="419"/>
      <c r="AL254" s="421"/>
      <c r="AM254" s="421"/>
      <c r="AN254" s="419"/>
      <c r="AO254" s="419"/>
      <c r="AP254" s="421"/>
      <c r="AQ254" s="421"/>
      <c r="AR254" s="424">
        <f t="shared" si="97"/>
        <v>0</v>
      </c>
      <c r="AS254" s="422">
        <f t="shared" si="98"/>
        <v>0</v>
      </c>
      <c r="AT254" s="425">
        <f t="shared" si="99"/>
        <v>0</v>
      </c>
      <c r="AU254" s="423">
        <f t="shared" si="100"/>
        <v>0</v>
      </c>
      <c r="AV254" s="419"/>
      <c r="AW254" s="421"/>
      <c r="AX254" s="419"/>
      <c r="AY254" s="419"/>
      <c r="AZ254" s="421"/>
      <c r="BA254" s="421"/>
      <c r="BB254" s="419"/>
      <c r="BC254" s="419"/>
      <c r="BD254" s="421"/>
      <c r="BE254" s="421"/>
      <c r="BF254" s="419"/>
      <c r="BG254" s="419"/>
      <c r="BH254" s="421"/>
      <c r="BI254" s="421"/>
      <c r="BJ254" s="419"/>
      <c r="BK254" s="419"/>
      <c r="BL254" s="421"/>
      <c r="BM254" s="421"/>
      <c r="BN254" s="419"/>
      <c r="BO254" s="419"/>
      <c r="BP254" s="421"/>
      <c r="BQ254" s="421"/>
      <c r="BR254" s="419"/>
      <c r="BS254" s="419"/>
      <c r="BT254" s="421"/>
      <c r="BU254" s="421"/>
      <c r="BV254" s="419"/>
      <c r="BW254" s="419"/>
      <c r="BX254" s="421"/>
      <c r="BY254" s="421"/>
      <c r="BZ254" s="419"/>
      <c r="CA254" s="419"/>
      <c r="CB254" s="421"/>
      <c r="CC254" s="421"/>
      <c r="CD254" s="419"/>
      <c r="CE254" s="419"/>
      <c r="CF254" s="421"/>
      <c r="CG254" s="421"/>
      <c r="CH254" s="419"/>
      <c r="CI254" s="419"/>
      <c r="CJ254" s="421"/>
      <c r="CK254" s="421"/>
      <c r="CL254" s="419"/>
      <c r="CM254" s="421"/>
      <c r="CN254" s="424">
        <f t="shared" si="101"/>
        <v>0</v>
      </c>
      <c r="CO254" s="424">
        <f t="shared" si="102"/>
        <v>0</v>
      </c>
      <c r="CP254" s="425">
        <f t="shared" si="103"/>
        <v>0</v>
      </c>
      <c r="CQ254" s="425">
        <f t="shared" si="104"/>
        <v>0</v>
      </c>
      <c r="CR254" s="419"/>
      <c r="CS254" s="419"/>
      <c r="CT254" s="421"/>
      <c r="CU254" s="421"/>
      <c r="CV254" s="419"/>
      <c r="CW254" s="419"/>
      <c r="CX254" s="421"/>
      <c r="CY254" s="421"/>
      <c r="CZ254" s="419"/>
      <c r="DA254" s="419"/>
      <c r="DB254" s="421"/>
      <c r="DC254" s="421"/>
      <c r="DD254" s="419"/>
      <c r="DE254" s="419"/>
      <c r="DF254" s="421"/>
      <c r="DG254" s="421"/>
      <c r="DH254" s="419"/>
      <c r="DI254" s="419"/>
      <c r="DJ254" s="421"/>
      <c r="DK254" s="421"/>
      <c r="DL254" s="419"/>
      <c r="DM254" s="419"/>
      <c r="DN254" s="421"/>
      <c r="DO254" s="421"/>
      <c r="DP254" s="419"/>
      <c r="DQ254" s="419"/>
      <c r="DR254" s="421"/>
      <c r="DS254" s="421"/>
      <c r="DT254" s="419"/>
      <c r="DU254" s="419"/>
      <c r="DV254" s="421"/>
      <c r="DW254" s="421"/>
      <c r="DX254" s="419"/>
      <c r="DY254" s="419"/>
      <c r="DZ254" s="421"/>
      <c r="EA254" s="421"/>
      <c r="EB254" s="419"/>
      <c r="EC254" s="419"/>
      <c r="ED254" s="421"/>
      <c r="EE254" s="421"/>
      <c r="EF254" s="419"/>
      <c r="EG254" s="421"/>
      <c r="EH254" s="424">
        <f t="shared" si="105"/>
        <v>0</v>
      </c>
      <c r="EI254" s="424">
        <f t="shared" si="106"/>
        <v>0</v>
      </c>
      <c r="EJ254" s="422">
        <f t="shared" si="107"/>
        <v>0</v>
      </c>
      <c r="EK254" s="425">
        <f t="shared" si="108"/>
        <v>0</v>
      </c>
      <c r="EL254" s="425">
        <f t="shared" si="109"/>
        <v>0</v>
      </c>
      <c r="EM254" s="423">
        <f t="shared" si="110"/>
        <v>0</v>
      </c>
      <c r="EN254" s="424">
        <f t="shared" si="111"/>
        <v>0</v>
      </c>
      <c r="EO254" s="425">
        <f t="shared" si="112"/>
        <v>0</v>
      </c>
      <c r="EP254" s="419"/>
      <c r="EQ254" s="421"/>
      <c r="ER254" s="419"/>
      <c r="ES254" s="421"/>
      <c r="ET254" s="419"/>
      <c r="EU254" s="421"/>
      <c r="EV254" s="419"/>
      <c r="EW254" s="421"/>
      <c r="EX254" s="419"/>
      <c r="EY254" s="421"/>
      <c r="EZ254" s="419"/>
      <c r="FA254" s="421"/>
      <c r="FB254" s="419"/>
      <c r="FC254" s="421"/>
      <c r="FD254" s="419"/>
      <c r="FE254" s="421"/>
      <c r="FF254" s="419"/>
      <c r="FG254" s="421"/>
      <c r="FH254" s="419"/>
      <c r="FI254" s="421"/>
      <c r="FJ254" s="424">
        <f t="shared" si="113"/>
        <v>0</v>
      </c>
      <c r="FK254" s="425">
        <f t="shared" si="114"/>
        <v>0</v>
      </c>
      <c r="FL254" s="419"/>
      <c r="FM254" s="421"/>
      <c r="FN254" s="424">
        <f t="shared" si="115"/>
        <v>1249</v>
      </c>
      <c r="FO254" s="425">
        <f t="shared" si="116"/>
        <v>1252</v>
      </c>
    </row>
    <row r="255" spans="1:171" customFormat="1" ht="15" customHeight="1">
      <c r="A255" s="460" t="s">
        <v>162</v>
      </c>
      <c r="B255" s="36" t="s">
        <v>775</v>
      </c>
      <c r="C255" s="121"/>
      <c r="D255" s="34">
        <v>198321</v>
      </c>
      <c r="E255" s="124">
        <v>9</v>
      </c>
      <c r="F255" s="419">
        <v>500</v>
      </c>
      <c r="G255" s="310">
        <v>304</v>
      </c>
      <c r="H255" s="419"/>
      <c r="I255" s="421"/>
      <c r="J255" s="419">
        <v>398</v>
      </c>
      <c r="K255" s="311">
        <v>363</v>
      </c>
      <c r="L255" s="422">
        <f t="shared" si="95"/>
        <v>0</v>
      </c>
      <c r="M255" s="423">
        <f t="shared" si="96"/>
        <v>0</v>
      </c>
      <c r="N255" s="419"/>
      <c r="O255" s="309">
        <f>0</f>
        <v>0</v>
      </c>
      <c r="P255" s="309">
        <f>0</f>
        <v>0</v>
      </c>
      <c r="Q255" s="309">
        <f>0</f>
        <v>0</v>
      </c>
      <c r="R255" s="424">
        <f t="shared" si="93"/>
        <v>0</v>
      </c>
      <c r="S255" s="421"/>
      <c r="T255" s="301">
        <f>0</f>
        <v>0</v>
      </c>
      <c r="U255" s="301">
        <f>0</f>
        <v>0</v>
      </c>
      <c r="V255" s="301">
        <f>0</f>
        <v>0</v>
      </c>
      <c r="W255" s="425">
        <f t="shared" si="94"/>
        <v>0</v>
      </c>
      <c r="X255" s="419"/>
      <c r="Y255" s="419"/>
      <c r="Z255" s="421"/>
      <c r="AA255" s="421"/>
      <c r="AB255" s="419"/>
      <c r="AC255" s="419"/>
      <c r="AD255" s="421"/>
      <c r="AE255" s="421"/>
      <c r="AF255" s="419"/>
      <c r="AG255" s="419"/>
      <c r="AH255" s="421"/>
      <c r="AI255" s="421"/>
      <c r="AJ255" s="419"/>
      <c r="AK255" s="419"/>
      <c r="AL255" s="421"/>
      <c r="AM255" s="421"/>
      <c r="AN255" s="419"/>
      <c r="AO255" s="419"/>
      <c r="AP255" s="421"/>
      <c r="AQ255" s="421"/>
      <c r="AR255" s="424">
        <f t="shared" si="97"/>
        <v>0</v>
      </c>
      <c r="AS255" s="422">
        <f t="shared" si="98"/>
        <v>0</v>
      </c>
      <c r="AT255" s="425">
        <f t="shared" si="99"/>
        <v>0</v>
      </c>
      <c r="AU255" s="423">
        <f t="shared" si="100"/>
        <v>0</v>
      </c>
      <c r="AV255" s="419"/>
      <c r="AW255" s="421"/>
      <c r="AX255" s="419"/>
      <c r="AY255" s="419"/>
      <c r="AZ255" s="421"/>
      <c r="BA255" s="421"/>
      <c r="BB255" s="419"/>
      <c r="BC255" s="419"/>
      <c r="BD255" s="421"/>
      <c r="BE255" s="421"/>
      <c r="BF255" s="419"/>
      <c r="BG255" s="419"/>
      <c r="BH255" s="421"/>
      <c r="BI255" s="421"/>
      <c r="BJ255" s="419"/>
      <c r="BK255" s="419"/>
      <c r="BL255" s="421"/>
      <c r="BM255" s="421"/>
      <c r="BN255" s="419"/>
      <c r="BO255" s="419"/>
      <c r="BP255" s="421"/>
      <c r="BQ255" s="421"/>
      <c r="BR255" s="419"/>
      <c r="BS255" s="419"/>
      <c r="BT255" s="421"/>
      <c r="BU255" s="421"/>
      <c r="BV255" s="419"/>
      <c r="BW255" s="419"/>
      <c r="BX255" s="421"/>
      <c r="BY255" s="421"/>
      <c r="BZ255" s="419"/>
      <c r="CA255" s="419"/>
      <c r="CB255" s="421"/>
      <c r="CC255" s="421"/>
      <c r="CD255" s="419"/>
      <c r="CE255" s="419"/>
      <c r="CF255" s="421"/>
      <c r="CG255" s="421"/>
      <c r="CH255" s="419"/>
      <c r="CI255" s="419"/>
      <c r="CJ255" s="421"/>
      <c r="CK255" s="421"/>
      <c r="CL255" s="419"/>
      <c r="CM255" s="421"/>
      <c r="CN255" s="424">
        <f t="shared" si="101"/>
        <v>0</v>
      </c>
      <c r="CO255" s="424">
        <f t="shared" si="102"/>
        <v>0</v>
      </c>
      <c r="CP255" s="425">
        <f t="shared" si="103"/>
        <v>0</v>
      </c>
      <c r="CQ255" s="425">
        <f t="shared" si="104"/>
        <v>0</v>
      </c>
      <c r="CR255" s="419"/>
      <c r="CS255" s="419"/>
      <c r="CT255" s="421"/>
      <c r="CU255" s="421"/>
      <c r="CV255" s="419"/>
      <c r="CW255" s="419"/>
      <c r="CX255" s="421"/>
      <c r="CY255" s="421"/>
      <c r="CZ255" s="419"/>
      <c r="DA255" s="419"/>
      <c r="DB255" s="421"/>
      <c r="DC255" s="421"/>
      <c r="DD255" s="419"/>
      <c r="DE255" s="419"/>
      <c r="DF255" s="421"/>
      <c r="DG255" s="421"/>
      <c r="DH255" s="419"/>
      <c r="DI255" s="419"/>
      <c r="DJ255" s="421"/>
      <c r="DK255" s="421"/>
      <c r="DL255" s="419"/>
      <c r="DM255" s="419"/>
      <c r="DN255" s="421"/>
      <c r="DO255" s="421"/>
      <c r="DP255" s="419"/>
      <c r="DQ255" s="419"/>
      <c r="DR255" s="421"/>
      <c r="DS255" s="421"/>
      <c r="DT255" s="419"/>
      <c r="DU255" s="419"/>
      <c r="DV255" s="421"/>
      <c r="DW255" s="421"/>
      <c r="DX255" s="419"/>
      <c r="DY255" s="419"/>
      <c r="DZ255" s="421"/>
      <c r="EA255" s="421"/>
      <c r="EB255" s="419"/>
      <c r="EC255" s="419"/>
      <c r="ED255" s="421"/>
      <c r="EE255" s="421"/>
      <c r="EF255" s="419"/>
      <c r="EG255" s="421"/>
      <c r="EH255" s="424">
        <f t="shared" si="105"/>
        <v>0</v>
      </c>
      <c r="EI255" s="424">
        <f t="shared" si="106"/>
        <v>0</v>
      </c>
      <c r="EJ255" s="422">
        <f t="shared" si="107"/>
        <v>0</v>
      </c>
      <c r="EK255" s="425">
        <f t="shared" si="108"/>
        <v>0</v>
      </c>
      <c r="EL255" s="425">
        <f t="shared" si="109"/>
        <v>0</v>
      </c>
      <c r="EM255" s="423">
        <f t="shared" si="110"/>
        <v>0</v>
      </c>
      <c r="EN255" s="424">
        <f t="shared" si="111"/>
        <v>0</v>
      </c>
      <c r="EO255" s="425">
        <f t="shared" si="112"/>
        <v>0</v>
      </c>
      <c r="EP255" s="419"/>
      <c r="EQ255" s="421"/>
      <c r="ER255" s="419"/>
      <c r="ES255" s="421"/>
      <c r="ET255" s="419"/>
      <c r="EU255" s="421"/>
      <c r="EV255" s="419"/>
      <c r="EW255" s="421"/>
      <c r="EX255" s="419"/>
      <c r="EY255" s="421"/>
      <c r="EZ255" s="419"/>
      <c r="FA255" s="421"/>
      <c r="FB255" s="419"/>
      <c r="FC255" s="421"/>
      <c r="FD255" s="419"/>
      <c r="FE255" s="421"/>
      <c r="FF255" s="419"/>
      <c r="FG255" s="421"/>
      <c r="FH255" s="419"/>
      <c r="FI255" s="421"/>
      <c r="FJ255" s="424">
        <f t="shared" si="113"/>
        <v>0</v>
      </c>
      <c r="FK255" s="425">
        <f t="shared" si="114"/>
        <v>0</v>
      </c>
      <c r="FL255" s="419"/>
      <c r="FM255" s="421"/>
      <c r="FN255" s="424">
        <f t="shared" si="115"/>
        <v>898</v>
      </c>
      <c r="FO255" s="425">
        <f t="shared" si="116"/>
        <v>667</v>
      </c>
    </row>
    <row r="256" spans="1:171" customFormat="1" ht="15" customHeight="1">
      <c r="A256" s="460" t="s">
        <v>162</v>
      </c>
      <c r="B256" s="31" t="s">
        <v>776</v>
      </c>
      <c r="C256" s="122"/>
      <c r="D256" s="34">
        <v>198330</v>
      </c>
      <c r="E256" s="124">
        <v>9</v>
      </c>
      <c r="F256" s="419">
        <v>820</v>
      </c>
      <c r="G256" s="311">
        <v>747</v>
      </c>
      <c r="H256" s="419"/>
      <c r="I256" s="421"/>
      <c r="J256" s="419">
        <v>701</v>
      </c>
      <c r="K256" s="311">
        <v>669</v>
      </c>
      <c r="L256" s="422">
        <f t="shared" si="95"/>
        <v>0</v>
      </c>
      <c r="M256" s="423">
        <f t="shared" si="96"/>
        <v>0</v>
      </c>
      <c r="N256" s="419"/>
      <c r="O256" s="309">
        <f>0</f>
        <v>0</v>
      </c>
      <c r="P256" s="309">
        <f>0</f>
        <v>0</v>
      </c>
      <c r="Q256" s="309">
        <f>0</f>
        <v>0</v>
      </c>
      <c r="R256" s="424">
        <f t="shared" si="93"/>
        <v>0</v>
      </c>
      <c r="S256" s="421"/>
      <c r="T256" s="301">
        <f>0</f>
        <v>0</v>
      </c>
      <c r="U256" s="301">
        <f>0</f>
        <v>0</v>
      </c>
      <c r="V256" s="301">
        <f>0</f>
        <v>0</v>
      </c>
      <c r="W256" s="425">
        <f t="shared" si="94"/>
        <v>0</v>
      </c>
      <c r="X256" s="419"/>
      <c r="Y256" s="419"/>
      <c r="Z256" s="421"/>
      <c r="AA256" s="421"/>
      <c r="AB256" s="419"/>
      <c r="AC256" s="419"/>
      <c r="AD256" s="421"/>
      <c r="AE256" s="421"/>
      <c r="AF256" s="419"/>
      <c r="AG256" s="419"/>
      <c r="AH256" s="421"/>
      <c r="AI256" s="421"/>
      <c r="AJ256" s="419"/>
      <c r="AK256" s="419"/>
      <c r="AL256" s="421"/>
      <c r="AM256" s="421"/>
      <c r="AN256" s="419"/>
      <c r="AO256" s="419"/>
      <c r="AP256" s="421"/>
      <c r="AQ256" s="421"/>
      <c r="AR256" s="424">
        <f t="shared" si="97"/>
        <v>0</v>
      </c>
      <c r="AS256" s="422">
        <f t="shared" si="98"/>
        <v>0</v>
      </c>
      <c r="AT256" s="425">
        <f t="shared" si="99"/>
        <v>0</v>
      </c>
      <c r="AU256" s="423">
        <f t="shared" si="100"/>
        <v>0</v>
      </c>
      <c r="AV256" s="419"/>
      <c r="AW256" s="421"/>
      <c r="AX256" s="419"/>
      <c r="AY256" s="419"/>
      <c r="AZ256" s="421"/>
      <c r="BA256" s="421"/>
      <c r="BB256" s="419"/>
      <c r="BC256" s="419"/>
      <c r="BD256" s="421"/>
      <c r="BE256" s="421"/>
      <c r="BF256" s="419"/>
      <c r="BG256" s="419"/>
      <c r="BH256" s="421"/>
      <c r="BI256" s="421"/>
      <c r="BJ256" s="419"/>
      <c r="BK256" s="419"/>
      <c r="BL256" s="421"/>
      <c r="BM256" s="421"/>
      <c r="BN256" s="419"/>
      <c r="BO256" s="419"/>
      <c r="BP256" s="421"/>
      <c r="BQ256" s="421"/>
      <c r="BR256" s="419"/>
      <c r="BS256" s="419"/>
      <c r="BT256" s="421"/>
      <c r="BU256" s="421"/>
      <c r="BV256" s="419"/>
      <c r="BW256" s="419"/>
      <c r="BX256" s="421"/>
      <c r="BY256" s="421"/>
      <c r="BZ256" s="419"/>
      <c r="CA256" s="419"/>
      <c r="CB256" s="421"/>
      <c r="CC256" s="421"/>
      <c r="CD256" s="419"/>
      <c r="CE256" s="419"/>
      <c r="CF256" s="421"/>
      <c r="CG256" s="421"/>
      <c r="CH256" s="419"/>
      <c r="CI256" s="419"/>
      <c r="CJ256" s="421"/>
      <c r="CK256" s="421"/>
      <c r="CL256" s="419"/>
      <c r="CM256" s="421"/>
      <c r="CN256" s="424">
        <f t="shared" si="101"/>
        <v>0</v>
      </c>
      <c r="CO256" s="424">
        <f t="shared" si="102"/>
        <v>0</v>
      </c>
      <c r="CP256" s="425">
        <f t="shared" si="103"/>
        <v>0</v>
      </c>
      <c r="CQ256" s="425">
        <f t="shared" si="104"/>
        <v>0</v>
      </c>
      <c r="CR256" s="419"/>
      <c r="CS256" s="419"/>
      <c r="CT256" s="421"/>
      <c r="CU256" s="421"/>
      <c r="CV256" s="419"/>
      <c r="CW256" s="419"/>
      <c r="CX256" s="421"/>
      <c r="CY256" s="421"/>
      <c r="CZ256" s="419"/>
      <c r="DA256" s="419"/>
      <c r="DB256" s="421"/>
      <c r="DC256" s="421"/>
      <c r="DD256" s="419"/>
      <c r="DE256" s="419"/>
      <c r="DF256" s="421"/>
      <c r="DG256" s="421"/>
      <c r="DH256" s="419"/>
      <c r="DI256" s="419"/>
      <c r="DJ256" s="421"/>
      <c r="DK256" s="421"/>
      <c r="DL256" s="419"/>
      <c r="DM256" s="419"/>
      <c r="DN256" s="421"/>
      <c r="DO256" s="421"/>
      <c r="DP256" s="419"/>
      <c r="DQ256" s="419"/>
      <c r="DR256" s="421"/>
      <c r="DS256" s="421"/>
      <c r="DT256" s="419"/>
      <c r="DU256" s="419"/>
      <c r="DV256" s="421"/>
      <c r="DW256" s="421"/>
      <c r="DX256" s="419"/>
      <c r="DY256" s="419"/>
      <c r="DZ256" s="421"/>
      <c r="EA256" s="421"/>
      <c r="EB256" s="419"/>
      <c r="EC256" s="419"/>
      <c r="ED256" s="421"/>
      <c r="EE256" s="421"/>
      <c r="EF256" s="419"/>
      <c r="EG256" s="421"/>
      <c r="EH256" s="424">
        <f t="shared" si="105"/>
        <v>0</v>
      </c>
      <c r="EI256" s="424">
        <f t="shared" si="106"/>
        <v>0</v>
      </c>
      <c r="EJ256" s="422">
        <f t="shared" si="107"/>
        <v>0</v>
      </c>
      <c r="EK256" s="425">
        <f t="shared" si="108"/>
        <v>0</v>
      </c>
      <c r="EL256" s="425">
        <f t="shared" si="109"/>
        <v>0</v>
      </c>
      <c r="EM256" s="423">
        <f t="shared" si="110"/>
        <v>0</v>
      </c>
      <c r="EN256" s="424">
        <f t="shared" si="111"/>
        <v>0</v>
      </c>
      <c r="EO256" s="425">
        <f t="shared" si="112"/>
        <v>0</v>
      </c>
      <c r="EP256" s="419"/>
      <c r="EQ256" s="421"/>
      <c r="ER256" s="419"/>
      <c r="ES256" s="421"/>
      <c r="ET256" s="419"/>
      <c r="EU256" s="421"/>
      <c r="EV256" s="419"/>
      <c r="EW256" s="421"/>
      <c r="EX256" s="419"/>
      <c r="EY256" s="421"/>
      <c r="EZ256" s="419"/>
      <c r="FA256" s="421"/>
      <c r="FB256" s="419"/>
      <c r="FC256" s="421"/>
      <c r="FD256" s="419"/>
      <c r="FE256" s="421"/>
      <c r="FF256" s="419"/>
      <c r="FG256" s="421"/>
      <c r="FH256" s="419"/>
      <c r="FI256" s="421"/>
      <c r="FJ256" s="424">
        <f t="shared" si="113"/>
        <v>0</v>
      </c>
      <c r="FK256" s="425">
        <f t="shared" si="114"/>
        <v>0</v>
      </c>
      <c r="FL256" s="419"/>
      <c r="FM256" s="421"/>
      <c r="FN256" s="424">
        <f t="shared" si="115"/>
        <v>1521</v>
      </c>
      <c r="FO256" s="425">
        <f t="shared" si="116"/>
        <v>1416</v>
      </c>
    </row>
    <row r="257" spans="1:171" customFormat="1" ht="15" customHeight="1">
      <c r="A257" s="460" t="s">
        <v>162</v>
      </c>
      <c r="B257" s="36" t="s">
        <v>777</v>
      </c>
      <c r="C257" s="121"/>
      <c r="D257" s="34">
        <v>198367</v>
      </c>
      <c r="E257" s="124">
        <v>9</v>
      </c>
      <c r="F257" s="419">
        <v>468</v>
      </c>
      <c r="G257" s="311">
        <v>466</v>
      </c>
      <c r="H257" s="419"/>
      <c r="I257" s="421"/>
      <c r="J257" s="419">
        <v>693</v>
      </c>
      <c r="K257" s="311">
        <v>702</v>
      </c>
      <c r="L257" s="422">
        <f t="shared" si="95"/>
        <v>0</v>
      </c>
      <c r="M257" s="423">
        <f t="shared" si="96"/>
        <v>0</v>
      </c>
      <c r="N257" s="419"/>
      <c r="O257" s="309">
        <f>0</f>
        <v>0</v>
      </c>
      <c r="P257" s="309">
        <f>0</f>
        <v>0</v>
      </c>
      <c r="Q257" s="309">
        <f>0</f>
        <v>0</v>
      </c>
      <c r="R257" s="424">
        <f t="shared" si="93"/>
        <v>0</v>
      </c>
      <c r="S257" s="421"/>
      <c r="T257" s="301">
        <f>0</f>
        <v>0</v>
      </c>
      <c r="U257" s="301">
        <f>0</f>
        <v>0</v>
      </c>
      <c r="V257" s="301">
        <f>0</f>
        <v>0</v>
      </c>
      <c r="W257" s="425">
        <f t="shared" si="94"/>
        <v>0</v>
      </c>
      <c r="X257" s="419"/>
      <c r="Y257" s="419"/>
      <c r="Z257" s="421"/>
      <c r="AA257" s="421"/>
      <c r="AB257" s="419"/>
      <c r="AC257" s="419"/>
      <c r="AD257" s="421"/>
      <c r="AE257" s="421"/>
      <c r="AF257" s="419"/>
      <c r="AG257" s="419"/>
      <c r="AH257" s="421"/>
      <c r="AI257" s="421"/>
      <c r="AJ257" s="419"/>
      <c r="AK257" s="419"/>
      <c r="AL257" s="421"/>
      <c r="AM257" s="421"/>
      <c r="AN257" s="419"/>
      <c r="AO257" s="419"/>
      <c r="AP257" s="421"/>
      <c r="AQ257" s="421"/>
      <c r="AR257" s="424">
        <f t="shared" si="97"/>
        <v>0</v>
      </c>
      <c r="AS257" s="422">
        <f t="shared" si="98"/>
        <v>0</v>
      </c>
      <c r="AT257" s="425">
        <f t="shared" si="99"/>
        <v>0</v>
      </c>
      <c r="AU257" s="423">
        <f t="shared" si="100"/>
        <v>0</v>
      </c>
      <c r="AV257" s="419"/>
      <c r="AW257" s="421"/>
      <c r="AX257" s="419"/>
      <c r="AY257" s="419"/>
      <c r="AZ257" s="421"/>
      <c r="BA257" s="421"/>
      <c r="BB257" s="419"/>
      <c r="BC257" s="419"/>
      <c r="BD257" s="421"/>
      <c r="BE257" s="421"/>
      <c r="BF257" s="419"/>
      <c r="BG257" s="419"/>
      <c r="BH257" s="421"/>
      <c r="BI257" s="421"/>
      <c r="BJ257" s="419"/>
      <c r="BK257" s="419"/>
      <c r="BL257" s="421"/>
      <c r="BM257" s="421"/>
      <c r="BN257" s="419"/>
      <c r="BO257" s="419"/>
      <c r="BP257" s="421"/>
      <c r="BQ257" s="421"/>
      <c r="BR257" s="419"/>
      <c r="BS257" s="419"/>
      <c r="BT257" s="421"/>
      <c r="BU257" s="421"/>
      <c r="BV257" s="419"/>
      <c r="BW257" s="419"/>
      <c r="BX257" s="421"/>
      <c r="BY257" s="421"/>
      <c r="BZ257" s="419"/>
      <c r="CA257" s="419"/>
      <c r="CB257" s="421"/>
      <c r="CC257" s="421"/>
      <c r="CD257" s="419"/>
      <c r="CE257" s="419"/>
      <c r="CF257" s="421"/>
      <c r="CG257" s="421"/>
      <c r="CH257" s="419"/>
      <c r="CI257" s="419"/>
      <c r="CJ257" s="421"/>
      <c r="CK257" s="421"/>
      <c r="CL257" s="419"/>
      <c r="CM257" s="421"/>
      <c r="CN257" s="424">
        <f t="shared" si="101"/>
        <v>0</v>
      </c>
      <c r="CO257" s="424">
        <f t="shared" si="102"/>
        <v>0</v>
      </c>
      <c r="CP257" s="425">
        <f t="shared" si="103"/>
        <v>0</v>
      </c>
      <c r="CQ257" s="425">
        <f t="shared" si="104"/>
        <v>0</v>
      </c>
      <c r="CR257" s="419"/>
      <c r="CS257" s="419"/>
      <c r="CT257" s="421"/>
      <c r="CU257" s="421"/>
      <c r="CV257" s="419"/>
      <c r="CW257" s="419"/>
      <c r="CX257" s="421"/>
      <c r="CY257" s="421"/>
      <c r="CZ257" s="419"/>
      <c r="DA257" s="419"/>
      <c r="DB257" s="421"/>
      <c r="DC257" s="421"/>
      <c r="DD257" s="419"/>
      <c r="DE257" s="419"/>
      <c r="DF257" s="421"/>
      <c r="DG257" s="421"/>
      <c r="DH257" s="419"/>
      <c r="DI257" s="419"/>
      <c r="DJ257" s="421"/>
      <c r="DK257" s="421"/>
      <c r="DL257" s="419"/>
      <c r="DM257" s="419"/>
      <c r="DN257" s="421"/>
      <c r="DO257" s="421"/>
      <c r="DP257" s="419"/>
      <c r="DQ257" s="419"/>
      <c r="DR257" s="421"/>
      <c r="DS257" s="421"/>
      <c r="DT257" s="419"/>
      <c r="DU257" s="419"/>
      <c r="DV257" s="421"/>
      <c r="DW257" s="421"/>
      <c r="DX257" s="419"/>
      <c r="DY257" s="419"/>
      <c r="DZ257" s="421"/>
      <c r="EA257" s="421"/>
      <c r="EB257" s="419"/>
      <c r="EC257" s="419"/>
      <c r="ED257" s="421"/>
      <c r="EE257" s="421"/>
      <c r="EF257" s="419"/>
      <c r="EG257" s="421"/>
      <c r="EH257" s="424">
        <f t="shared" si="105"/>
        <v>0</v>
      </c>
      <c r="EI257" s="424">
        <f t="shared" si="106"/>
        <v>0</v>
      </c>
      <c r="EJ257" s="422">
        <f t="shared" si="107"/>
        <v>0</v>
      </c>
      <c r="EK257" s="425">
        <f t="shared" si="108"/>
        <v>0</v>
      </c>
      <c r="EL257" s="425">
        <f t="shared" si="109"/>
        <v>0</v>
      </c>
      <c r="EM257" s="423">
        <f t="shared" si="110"/>
        <v>0</v>
      </c>
      <c r="EN257" s="424">
        <f t="shared" si="111"/>
        <v>0</v>
      </c>
      <c r="EO257" s="425">
        <f t="shared" si="112"/>
        <v>0</v>
      </c>
      <c r="EP257" s="419"/>
      <c r="EQ257" s="421"/>
      <c r="ER257" s="419"/>
      <c r="ES257" s="421"/>
      <c r="ET257" s="419"/>
      <c r="EU257" s="421"/>
      <c r="EV257" s="419"/>
      <c r="EW257" s="421"/>
      <c r="EX257" s="419"/>
      <c r="EY257" s="421"/>
      <c r="EZ257" s="419"/>
      <c r="FA257" s="421"/>
      <c r="FB257" s="419"/>
      <c r="FC257" s="421"/>
      <c r="FD257" s="419"/>
      <c r="FE257" s="421"/>
      <c r="FF257" s="419"/>
      <c r="FG257" s="421"/>
      <c r="FH257" s="419"/>
      <c r="FI257" s="421"/>
      <c r="FJ257" s="424">
        <f t="shared" si="113"/>
        <v>0</v>
      </c>
      <c r="FK257" s="425">
        <f t="shared" si="114"/>
        <v>0</v>
      </c>
      <c r="FL257" s="419"/>
      <c r="FM257" s="421"/>
      <c r="FN257" s="424">
        <f t="shared" si="115"/>
        <v>1161</v>
      </c>
      <c r="FO257" s="425">
        <f t="shared" si="116"/>
        <v>1168</v>
      </c>
    </row>
    <row r="258" spans="1:171" customFormat="1" ht="15" customHeight="1">
      <c r="A258" s="460" t="s">
        <v>162</v>
      </c>
      <c r="B258" s="36" t="s">
        <v>1174</v>
      </c>
      <c r="C258" s="121"/>
      <c r="D258" s="34">
        <v>198376</v>
      </c>
      <c r="E258" s="124">
        <v>9</v>
      </c>
      <c r="F258" s="419">
        <v>1214</v>
      </c>
      <c r="G258" s="311">
        <v>1244</v>
      </c>
      <c r="H258" s="419"/>
      <c r="I258" s="421"/>
      <c r="J258" s="419">
        <v>644</v>
      </c>
      <c r="K258" s="311">
        <v>538</v>
      </c>
      <c r="L258" s="422">
        <f t="shared" si="95"/>
        <v>0</v>
      </c>
      <c r="M258" s="423">
        <f t="shared" si="96"/>
        <v>0</v>
      </c>
      <c r="N258" s="419"/>
      <c r="O258" s="309">
        <f>0</f>
        <v>0</v>
      </c>
      <c r="P258" s="309">
        <f>0</f>
        <v>0</v>
      </c>
      <c r="Q258" s="309">
        <f>0</f>
        <v>0</v>
      </c>
      <c r="R258" s="424">
        <f t="shared" si="93"/>
        <v>0</v>
      </c>
      <c r="S258" s="421"/>
      <c r="T258" s="301">
        <f>0</f>
        <v>0</v>
      </c>
      <c r="U258" s="301">
        <f>0</f>
        <v>0</v>
      </c>
      <c r="V258" s="301">
        <f>0</f>
        <v>0</v>
      </c>
      <c r="W258" s="425">
        <f t="shared" si="94"/>
        <v>0</v>
      </c>
      <c r="X258" s="419"/>
      <c r="Y258" s="419"/>
      <c r="Z258" s="421"/>
      <c r="AA258" s="421"/>
      <c r="AB258" s="419"/>
      <c r="AC258" s="419"/>
      <c r="AD258" s="421"/>
      <c r="AE258" s="421"/>
      <c r="AF258" s="419"/>
      <c r="AG258" s="419"/>
      <c r="AH258" s="421"/>
      <c r="AI258" s="421"/>
      <c r="AJ258" s="419"/>
      <c r="AK258" s="419"/>
      <c r="AL258" s="421"/>
      <c r="AM258" s="421"/>
      <c r="AN258" s="419"/>
      <c r="AO258" s="419"/>
      <c r="AP258" s="421"/>
      <c r="AQ258" s="421"/>
      <c r="AR258" s="424">
        <f t="shared" si="97"/>
        <v>0</v>
      </c>
      <c r="AS258" s="422">
        <f t="shared" si="98"/>
        <v>0</v>
      </c>
      <c r="AT258" s="425">
        <f t="shared" si="99"/>
        <v>0</v>
      </c>
      <c r="AU258" s="423">
        <f t="shared" si="100"/>
        <v>0</v>
      </c>
      <c r="AV258" s="419"/>
      <c r="AW258" s="421"/>
      <c r="AX258" s="419"/>
      <c r="AY258" s="419"/>
      <c r="AZ258" s="421"/>
      <c r="BA258" s="421"/>
      <c r="BB258" s="419"/>
      <c r="BC258" s="419"/>
      <c r="BD258" s="421"/>
      <c r="BE258" s="421"/>
      <c r="BF258" s="419"/>
      <c r="BG258" s="419"/>
      <c r="BH258" s="421"/>
      <c r="BI258" s="421"/>
      <c r="BJ258" s="419"/>
      <c r="BK258" s="419"/>
      <c r="BL258" s="421"/>
      <c r="BM258" s="421"/>
      <c r="BN258" s="419"/>
      <c r="BO258" s="419"/>
      <c r="BP258" s="421"/>
      <c r="BQ258" s="421"/>
      <c r="BR258" s="419"/>
      <c r="BS258" s="419"/>
      <c r="BT258" s="421"/>
      <c r="BU258" s="421"/>
      <c r="BV258" s="419"/>
      <c r="BW258" s="419"/>
      <c r="BX258" s="421"/>
      <c r="BY258" s="421"/>
      <c r="BZ258" s="419"/>
      <c r="CA258" s="419"/>
      <c r="CB258" s="421"/>
      <c r="CC258" s="421"/>
      <c r="CD258" s="419"/>
      <c r="CE258" s="419"/>
      <c r="CF258" s="421"/>
      <c r="CG258" s="421"/>
      <c r="CH258" s="419"/>
      <c r="CI258" s="419"/>
      <c r="CJ258" s="421"/>
      <c r="CK258" s="421"/>
      <c r="CL258" s="419"/>
      <c r="CM258" s="421"/>
      <c r="CN258" s="424">
        <f t="shared" si="101"/>
        <v>0</v>
      </c>
      <c r="CO258" s="424">
        <f t="shared" si="102"/>
        <v>0</v>
      </c>
      <c r="CP258" s="425">
        <f t="shared" si="103"/>
        <v>0</v>
      </c>
      <c r="CQ258" s="425">
        <f t="shared" si="104"/>
        <v>0</v>
      </c>
      <c r="CR258" s="419"/>
      <c r="CS258" s="419"/>
      <c r="CT258" s="421"/>
      <c r="CU258" s="421"/>
      <c r="CV258" s="419"/>
      <c r="CW258" s="419"/>
      <c r="CX258" s="421"/>
      <c r="CY258" s="421"/>
      <c r="CZ258" s="419"/>
      <c r="DA258" s="419"/>
      <c r="DB258" s="421"/>
      <c r="DC258" s="421"/>
      <c r="DD258" s="419"/>
      <c r="DE258" s="419"/>
      <c r="DF258" s="421"/>
      <c r="DG258" s="421"/>
      <c r="DH258" s="419"/>
      <c r="DI258" s="419"/>
      <c r="DJ258" s="421"/>
      <c r="DK258" s="421"/>
      <c r="DL258" s="419"/>
      <c r="DM258" s="419"/>
      <c r="DN258" s="421"/>
      <c r="DO258" s="421"/>
      <c r="DP258" s="419"/>
      <c r="DQ258" s="419"/>
      <c r="DR258" s="421"/>
      <c r="DS258" s="421"/>
      <c r="DT258" s="419"/>
      <c r="DU258" s="419"/>
      <c r="DV258" s="421"/>
      <c r="DW258" s="421"/>
      <c r="DX258" s="419"/>
      <c r="DY258" s="419"/>
      <c r="DZ258" s="421"/>
      <c r="EA258" s="421"/>
      <c r="EB258" s="419"/>
      <c r="EC258" s="419"/>
      <c r="ED258" s="421"/>
      <c r="EE258" s="421"/>
      <c r="EF258" s="419"/>
      <c r="EG258" s="421"/>
      <c r="EH258" s="424">
        <f t="shared" si="105"/>
        <v>0</v>
      </c>
      <c r="EI258" s="424">
        <f t="shared" si="106"/>
        <v>0</v>
      </c>
      <c r="EJ258" s="422">
        <f t="shared" si="107"/>
        <v>0</v>
      </c>
      <c r="EK258" s="425">
        <f t="shared" si="108"/>
        <v>0</v>
      </c>
      <c r="EL258" s="425">
        <f t="shared" si="109"/>
        <v>0</v>
      </c>
      <c r="EM258" s="423">
        <f t="shared" si="110"/>
        <v>0</v>
      </c>
      <c r="EN258" s="424">
        <f t="shared" si="111"/>
        <v>0</v>
      </c>
      <c r="EO258" s="425">
        <f t="shared" si="112"/>
        <v>0</v>
      </c>
      <c r="EP258" s="419"/>
      <c r="EQ258" s="421"/>
      <c r="ER258" s="419"/>
      <c r="ES258" s="421"/>
      <c r="ET258" s="419"/>
      <c r="EU258" s="421"/>
      <c r="EV258" s="419"/>
      <c r="EW258" s="421"/>
      <c r="EX258" s="419"/>
      <c r="EY258" s="421"/>
      <c r="EZ258" s="419"/>
      <c r="FA258" s="421"/>
      <c r="FB258" s="419"/>
      <c r="FC258" s="421"/>
      <c r="FD258" s="419"/>
      <c r="FE258" s="421"/>
      <c r="FF258" s="419"/>
      <c r="FG258" s="421"/>
      <c r="FH258" s="419"/>
      <c r="FI258" s="421"/>
      <c r="FJ258" s="424">
        <f t="shared" si="113"/>
        <v>0</v>
      </c>
      <c r="FK258" s="425">
        <f t="shared" si="114"/>
        <v>0</v>
      </c>
      <c r="FL258" s="419"/>
      <c r="FM258" s="421"/>
      <c r="FN258" s="424">
        <f t="shared" si="115"/>
        <v>1858</v>
      </c>
      <c r="FO258" s="425">
        <f t="shared" si="116"/>
        <v>1782</v>
      </c>
    </row>
    <row r="259" spans="1:171" customFormat="1" ht="15" customHeight="1">
      <c r="A259" s="460" t="s">
        <v>162</v>
      </c>
      <c r="B259" s="36" t="s">
        <v>778</v>
      </c>
      <c r="C259" s="121"/>
      <c r="D259" s="34">
        <v>198455</v>
      </c>
      <c r="E259" s="124">
        <v>9</v>
      </c>
      <c r="F259" s="419">
        <v>765</v>
      </c>
      <c r="G259" s="311">
        <v>719</v>
      </c>
      <c r="H259" s="419"/>
      <c r="I259" s="421"/>
      <c r="J259" s="419">
        <v>608</v>
      </c>
      <c r="K259" s="311">
        <v>574</v>
      </c>
      <c r="L259" s="422">
        <f t="shared" si="95"/>
        <v>0</v>
      </c>
      <c r="M259" s="423">
        <f t="shared" si="96"/>
        <v>0</v>
      </c>
      <c r="N259" s="419"/>
      <c r="O259" s="309">
        <f>0</f>
        <v>0</v>
      </c>
      <c r="P259" s="309">
        <f>0</f>
        <v>0</v>
      </c>
      <c r="Q259" s="309">
        <f>0</f>
        <v>0</v>
      </c>
      <c r="R259" s="424">
        <f t="shared" si="93"/>
        <v>0</v>
      </c>
      <c r="S259" s="421"/>
      <c r="T259" s="301">
        <f>0</f>
        <v>0</v>
      </c>
      <c r="U259" s="301">
        <f>0</f>
        <v>0</v>
      </c>
      <c r="V259" s="301">
        <f>0</f>
        <v>0</v>
      </c>
      <c r="W259" s="425">
        <f t="shared" si="94"/>
        <v>0</v>
      </c>
      <c r="X259" s="419"/>
      <c r="Y259" s="419"/>
      <c r="Z259" s="421"/>
      <c r="AA259" s="421"/>
      <c r="AB259" s="419"/>
      <c r="AC259" s="419"/>
      <c r="AD259" s="421"/>
      <c r="AE259" s="421"/>
      <c r="AF259" s="419"/>
      <c r="AG259" s="419"/>
      <c r="AH259" s="421"/>
      <c r="AI259" s="421"/>
      <c r="AJ259" s="419"/>
      <c r="AK259" s="419"/>
      <c r="AL259" s="421"/>
      <c r="AM259" s="421"/>
      <c r="AN259" s="419"/>
      <c r="AO259" s="419"/>
      <c r="AP259" s="421"/>
      <c r="AQ259" s="421"/>
      <c r="AR259" s="424">
        <f t="shared" si="97"/>
        <v>0</v>
      </c>
      <c r="AS259" s="422">
        <f t="shared" si="98"/>
        <v>0</v>
      </c>
      <c r="AT259" s="425">
        <f t="shared" si="99"/>
        <v>0</v>
      </c>
      <c r="AU259" s="423">
        <f t="shared" si="100"/>
        <v>0</v>
      </c>
      <c r="AV259" s="419"/>
      <c r="AW259" s="421"/>
      <c r="AX259" s="419"/>
      <c r="AY259" s="419"/>
      <c r="AZ259" s="421"/>
      <c r="BA259" s="421"/>
      <c r="BB259" s="419"/>
      <c r="BC259" s="419"/>
      <c r="BD259" s="421"/>
      <c r="BE259" s="421"/>
      <c r="BF259" s="419"/>
      <c r="BG259" s="419"/>
      <c r="BH259" s="421"/>
      <c r="BI259" s="421"/>
      <c r="BJ259" s="419"/>
      <c r="BK259" s="419"/>
      <c r="BL259" s="421"/>
      <c r="BM259" s="421"/>
      <c r="BN259" s="419"/>
      <c r="BO259" s="419"/>
      <c r="BP259" s="421"/>
      <c r="BQ259" s="421"/>
      <c r="BR259" s="419"/>
      <c r="BS259" s="419"/>
      <c r="BT259" s="421"/>
      <c r="BU259" s="421"/>
      <c r="BV259" s="419"/>
      <c r="BW259" s="419"/>
      <c r="BX259" s="421"/>
      <c r="BY259" s="421"/>
      <c r="BZ259" s="419"/>
      <c r="CA259" s="419"/>
      <c r="CB259" s="421"/>
      <c r="CC259" s="421"/>
      <c r="CD259" s="419"/>
      <c r="CE259" s="419"/>
      <c r="CF259" s="421"/>
      <c r="CG259" s="421"/>
      <c r="CH259" s="419"/>
      <c r="CI259" s="419"/>
      <c r="CJ259" s="421"/>
      <c r="CK259" s="421"/>
      <c r="CL259" s="419"/>
      <c r="CM259" s="421"/>
      <c r="CN259" s="424">
        <f t="shared" si="101"/>
        <v>0</v>
      </c>
      <c r="CO259" s="424">
        <f t="shared" si="102"/>
        <v>0</v>
      </c>
      <c r="CP259" s="425">
        <f t="shared" si="103"/>
        <v>0</v>
      </c>
      <c r="CQ259" s="425">
        <f t="shared" si="104"/>
        <v>0</v>
      </c>
      <c r="CR259" s="419"/>
      <c r="CS259" s="419"/>
      <c r="CT259" s="421"/>
      <c r="CU259" s="421"/>
      <c r="CV259" s="419"/>
      <c r="CW259" s="419"/>
      <c r="CX259" s="421"/>
      <c r="CY259" s="421"/>
      <c r="CZ259" s="419"/>
      <c r="DA259" s="419"/>
      <c r="DB259" s="421"/>
      <c r="DC259" s="421"/>
      <c r="DD259" s="419"/>
      <c r="DE259" s="419"/>
      <c r="DF259" s="421"/>
      <c r="DG259" s="421"/>
      <c r="DH259" s="419"/>
      <c r="DI259" s="419"/>
      <c r="DJ259" s="421"/>
      <c r="DK259" s="421"/>
      <c r="DL259" s="419"/>
      <c r="DM259" s="419"/>
      <c r="DN259" s="421"/>
      <c r="DO259" s="421"/>
      <c r="DP259" s="419"/>
      <c r="DQ259" s="419"/>
      <c r="DR259" s="421"/>
      <c r="DS259" s="421"/>
      <c r="DT259" s="419"/>
      <c r="DU259" s="419"/>
      <c r="DV259" s="421"/>
      <c r="DW259" s="421"/>
      <c r="DX259" s="419"/>
      <c r="DY259" s="419"/>
      <c r="DZ259" s="421"/>
      <c r="EA259" s="421"/>
      <c r="EB259" s="419"/>
      <c r="EC259" s="419"/>
      <c r="ED259" s="421"/>
      <c r="EE259" s="421"/>
      <c r="EF259" s="419"/>
      <c r="EG259" s="421"/>
      <c r="EH259" s="424">
        <f t="shared" si="105"/>
        <v>0</v>
      </c>
      <c r="EI259" s="424">
        <f t="shared" si="106"/>
        <v>0</v>
      </c>
      <c r="EJ259" s="422">
        <f t="shared" si="107"/>
        <v>0</v>
      </c>
      <c r="EK259" s="425">
        <f t="shared" si="108"/>
        <v>0</v>
      </c>
      <c r="EL259" s="425">
        <f t="shared" si="109"/>
        <v>0</v>
      </c>
      <c r="EM259" s="423">
        <f t="shared" si="110"/>
        <v>0</v>
      </c>
      <c r="EN259" s="424">
        <f t="shared" si="111"/>
        <v>0</v>
      </c>
      <c r="EO259" s="425">
        <f t="shared" si="112"/>
        <v>0</v>
      </c>
      <c r="EP259" s="419"/>
      <c r="EQ259" s="421"/>
      <c r="ER259" s="419"/>
      <c r="ES259" s="421"/>
      <c r="ET259" s="419"/>
      <c r="EU259" s="421"/>
      <c r="EV259" s="419"/>
      <c r="EW259" s="421"/>
      <c r="EX259" s="419"/>
      <c r="EY259" s="421"/>
      <c r="EZ259" s="419"/>
      <c r="FA259" s="421"/>
      <c r="FB259" s="419"/>
      <c r="FC259" s="421"/>
      <c r="FD259" s="419"/>
      <c r="FE259" s="421"/>
      <c r="FF259" s="419"/>
      <c r="FG259" s="421"/>
      <c r="FH259" s="419"/>
      <c r="FI259" s="421"/>
      <c r="FJ259" s="424">
        <f t="shared" si="113"/>
        <v>0</v>
      </c>
      <c r="FK259" s="425">
        <f t="shared" si="114"/>
        <v>0</v>
      </c>
      <c r="FL259" s="419"/>
      <c r="FM259" s="421"/>
      <c r="FN259" s="424">
        <f t="shared" si="115"/>
        <v>1373</v>
      </c>
      <c r="FO259" s="425">
        <f t="shared" si="116"/>
        <v>1293</v>
      </c>
    </row>
    <row r="260" spans="1:171" customFormat="1" ht="15" customHeight="1">
      <c r="A260" s="460" t="s">
        <v>162</v>
      </c>
      <c r="B260" s="36" t="s">
        <v>779</v>
      </c>
      <c r="C260" s="121"/>
      <c r="D260" s="34">
        <v>198570</v>
      </c>
      <c r="E260" s="124">
        <v>9</v>
      </c>
      <c r="F260" s="419">
        <v>844</v>
      </c>
      <c r="G260" s="311">
        <v>721</v>
      </c>
      <c r="H260" s="419"/>
      <c r="I260" s="421"/>
      <c r="J260" s="419">
        <v>739</v>
      </c>
      <c r="K260" s="311">
        <v>831</v>
      </c>
      <c r="L260" s="422">
        <f t="shared" si="95"/>
        <v>0</v>
      </c>
      <c r="M260" s="423">
        <f t="shared" si="96"/>
        <v>0</v>
      </c>
      <c r="N260" s="419"/>
      <c r="O260" s="309">
        <f>0</f>
        <v>0</v>
      </c>
      <c r="P260" s="309">
        <f>0</f>
        <v>0</v>
      </c>
      <c r="Q260" s="309">
        <f>0</f>
        <v>0</v>
      </c>
      <c r="R260" s="424">
        <f t="shared" si="93"/>
        <v>0</v>
      </c>
      <c r="S260" s="421"/>
      <c r="T260" s="301">
        <f>0</f>
        <v>0</v>
      </c>
      <c r="U260" s="301">
        <f>0</f>
        <v>0</v>
      </c>
      <c r="V260" s="301">
        <f>0</f>
        <v>0</v>
      </c>
      <c r="W260" s="425">
        <f t="shared" si="94"/>
        <v>0</v>
      </c>
      <c r="X260" s="419"/>
      <c r="Y260" s="419"/>
      <c r="Z260" s="421"/>
      <c r="AA260" s="421"/>
      <c r="AB260" s="419"/>
      <c r="AC260" s="419"/>
      <c r="AD260" s="421"/>
      <c r="AE260" s="421"/>
      <c r="AF260" s="419"/>
      <c r="AG260" s="419"/>
      <c r="AH260" s="421"/>
      <c r="AI260" s="421"/>
      <c r="AJ260" s="419"/>
      <c r="AK260" s="419"/>
      <c r="AL260" s="421"/>
      <c r="AM260" s="421"/>
      <c r="AN260" s="419"/>
      <c r="AO260" s="419"/>
      <c r="AP260" s="421"/>
      <c r="AQ260" s="421"/>
      <c r="AR260" s="424">
        <f t="shared" si="97"/>
        <v>0</v>
      </c>
      <c r="AS260" s="422">
        <f t="shared" si="98"/>
        <v>0</v>
      </c>
      <c r="AT260" s="425">
        <f t="shared" si="99"/>
        <v>0</v>
      </c>
      <c r="AU260" s="423">
        <f t="shared" si="100"/>
        <v>0</v>
      </c>
      <c r="AV260" s="419"/>
      <c r="AW260" s="421"/>
      <c r="AX260" s="419"/>
      <c r="AY260" s="419"/>
      <c r="AZ260" s="421"/>
      <c r="BA260" s="421"/>
      <c r="BB260" s="419"/>
      <c r="BC260" s="419"/>
      <c r="BD260" s="421"/>
      <c r="BE260" s="421"/>
      <c r="BF260" s="419"/>
      <c r="BG260" s="419"/>
      <c r="BH260" s="421"/>
      <c r="BI260" s="421"/>
      <c r="BJ260" s="419"/>
      <c r="BK260" s="419"/>
      <c r="BL260" s="421"/>
      <c r="BM260" s="421"/>
      <c r="BN260" s="419"/>
      <c r="BO260" s="419"/>
      <c r="BP260" s="421"/>
      <c r="BQ260" s="421"/>
      <c r="BR260" s="419"/>
      <c r="BS260" s="419"/>
      <c r="BT260" s="421"/>
      <c r="BU260" s="421"/>
      <c r="BV260" s="419"/>
      <c r="BW260" s="419"/>
      <c r="BX260" s="421"/>
      <c r="BY260" s="421"/>
      <c r="BZ260" s="419"/>
      <c r="CA260" s="419"/>
      <c r="CB260" s="421"/>
      <c r="CC260" s="421"/>
      <c r="CD260" s="419"/>
      <c r="CE260" s="419"/>
      <c r="CF260" s="421"/>
      <c r="CG260" s="421"/>
      <c r="CH260" s="419"/>
      <c r="CI260" s="419"/>
      <c r="CJ260" s="421"/>
      <c r="CK260" s="421"/>
      <c r="CL260" s="419"/>
      <c r="CM260" s="421"/>
      <c r="CN260" s="424">
        <f t="shared" si="101"/>
        <v>0</v>
      </c>
      <c r="CO260" s="424">
        <f t="shared" si="102"/>
        <v>0</v>
      </c>
      <c r="CP260" s="425">
        <f t="shared" si="103"/>
        <v>0</v>
      </c>
      <c r="CQ260" s="425">
        <f t="shared" si="104"/>
        <v>0</v>
      </c>
      <c r="CR260" s="419"/>
      <c r="CS260" s="419"/>
      <c r="CT260" s="421"/>
      <c r="CU260" s="421"/>
      <c r="CV260" s="419"/>
      <c r="CW260" s="419"/>
      <c r="CX260" s="421"/>
      <c r="CY260" s="421"/>
      <c r="CZ260" s="419"/>
      <c r="DA260" s="419"/>
      <c r="DB260" s="421"/>
      <c r="DC260" s="421"/>
      <c r="DD260" s="419"/>
      <c r="DE260" s="419"/>
      <c r="DF260" s="421"/>
      <c r="DG260" s="421"/>
      <c r="DH260" s="419"/>
      <c r="DI260" s="419"/>
      <c r="DJ260" s="421"/>
      <c r="DK260" s="421"/>
      <c r="DL260" s="419"/>
      <c r="DM260" s="419"/>
      <c r="DN260" s="421"/>
      <c r="DO260" s="421"/>
      <c r="DP260" s="419"/>
      <c r="DQ260" s="419"/>
      <c r="DR260" s="421"/>
      <c r="DS260" s="421"/>
      <c r="DT260" s="419"/>
      <c r="DU260" s="419"/>
      <c r="DV260" s="421"/>
      <c r="DW260" s="421"/>
      <c r="DX260" s="419"/>
      <c r="DY260" s="419"/>
      <c r="DZ260" s="421"/>
      <c r="EA260" s="421"/>
      <c r="EB260" s="419"/>
      <c r="EC260" s="419"/>
      <c r="ED260" s="421"/>
      <c r="EE260" s="421"/>
      <c r="EF260" s="419"/>
      <c r="EG260" s="421"/>
      <c r="EH260" s="424">
        <f t="shared" si="105"/>
        <v>0</v>
      </c>
      <c r="EI260" s="424">
        <f t="shared" si="106"/>
        <v>0</v>
      </c>
      <c r="EJ260" s="422">
        <f t="shared" si="107"/>
        <v>0</v>
      </c>
      <c r="EK260" s="425">
        <f t="shared" si="108"/>
        <v>0</v>
      </c>
      <c r="EL260" s="425">
        <f t="shared" si="109"/>
        <v>0</v>
      </c>
      <c r="EM260" s="423">
        <f t="shared" si="110"/>
        <v>0</v>
      </c>
      <c r="EN260" s="424">
        <f t="shared" si="111"/>
        <v>0</v>
      </c>
      <c r="EO260" s="425">
        <f t="shared" si="112"/>
        <v>0</v>
      </c>
      <c r="EP260" s="419"/>
      <c r="EQ260" s="421"/>
      <c r="ER260" s="419"/>
      <c r="ES260" s="421"/>
      <c r="ET260" s="419"/>
      <c r="EU260" s="421"/>
      <c r="EV260" s="419"/>
      <c r="EW260" s="421"/>
      <c r="EX260" s="419"/>
      <c r="EY260" s="421"/>
      <c r="EZ260" s="419"/>
      <c r="FA260" s="421"/>
      <c r="FB260" s="419"/>
      <c r="FC260" s="421"/>
      <c r="FD260" s="419"/>
      <c r="FE260" s="421"/>
      <c r="FF260" s="419"/>
      <c r="FG260" s="421"/>
      <c r="FH260" s="419"/>
      <c r="FI260" s="421"/>
      <c r="FJ260" s="424">
        <f t="shared" si="113"/>
        <v>0</v>
      </c>
      <c r="FK260" s="425">
        <f t="shared" si="114"/>
        <v>0</v>
      </c>
      <c r="FL260" s="419"/>
      <c r="FM260" s="421"/>
      <c r="FN260" s="424">
        <f t="shared" si="115"/>
        <v>1583</v>
      </c>
      <c r="FO260" s="425">
        <f t="shared" si="116"/>
        <v>1552</v>
      </c>
    </row>
    <row r="261" spans="1:171" customFormat="1" ht="15" customHeight="1">
      <c r="A261" s="460" t="s">
        <v>162</v>
      </c>
      <c r="B261" s="36" t="s">
        <v>780</v>
      </c>
      <c r="C261" s="121"/>
      <c r="D261" s="34">
        <v>198774</v>
      </c>
      <c r="E261" s="124">
        <v>9</v>
      </c>
      <c r="F261" s="419">
        <v>624</v>
      </c>
      <c r="G261" s="461">
        <v>993</v>
      </c>
      <c r="H261" s="419"/>
      <c r="I261" s="421"/>
      <c r="J261" s="419">
        <v>592</v>
      </c>
      <c r="K261" s="311">
        <v>618</v>
      </c>
      <c r="L261" s="422">
        <f t="shared" si="95"/>
        <v>0</v>
      </c>
      <c r="M261" s="423">
        <f t="shared" si="96"/>
        <v>0</v>
      </c>
      <c r="N261" s="419"/>
      <c r="O261" s="309">
        <f>0</f>
        <v>0</v>
      </c>
      <c r="P261" s="309">
        <f>0</f>
        <v>0</v>
      </c>
      <c r="Q261" s="309">
        <f>0</f>
        <v>0</v>
      </c>
      <c r="R261" s="424">
        <f t="shared" si="93"/>
        <v>0</v>
      </c>
      <c r="S261" s="421"/>
      <c r="T261" s="301">
        <f>0</f>
        <v>0</v>
      </c>
      <c r="U261" s="301">
        <f>0</f>
        <v>0</v>
      </c>
      <c r="V261" s="301">
        <f>0</f>
        <v>0</v>
      </c>
      <c r="W261" s="425">
        <f t="shared" si="94"/>
        <v>0</v>
      </c>
      <c r="X261" s="419"/>
      <c r="Y261" s="419"/>
      <c r="Z261" s="421"/>
      <c r="AA261" s="421"/>
      <c r="AB261" s="419"/>
      <c r="AC261" s="419"/>
      <c r="AD261" s="421"/>
      <c r="AE261" s="421"/>
      <c r="AF261" s="419"/>
      <c r="AG261" s="419"/>
      <c r="AH261" s="421"/>
      <c r="AI261" s="421"/>
      <c r="AJ261" s="419"/>
      <c r="AK261" s="419"/>
      <c r="AL261" s="421"/>
      <c r="AM261" s="421"/>
      <c r="AN261" s="419"/>
      <c r="AO261" s="419"/>
      <c r="AP261" s="421"/>
      <c r="AQ261" s="421"/>
      <c r="AR261" s="424">
        <f t="shared" si="97"/>
        <v>0</v>
      </c>
      <c r="AS261" s="422">
        <f t="shared" si="98"/>
        <v>0</v>
      </c>
      <c r="AT261" s="425">
        <f t="shared" si="99"/>
        <v>0</v>
      </c>
      <c r="AU261" s="423">
        <f t="shared" si="100"/>
        <v>0</v>
      </c>
      <c r="AV261" s="419"/>
      <c r="AW261" s="421"/>
      <c r="AX261" s="419"/>
      <c r="AY261" s="419"/>
      <c r="AZ261" s="421"/>
      <c r="BA261" s="421"/>
      <c r="BB261" s="419"/>
      <c r="BC261" s="419"/>
      <c r="BD261" s="421"/>
      <c r="BE261" s="421"/>
      <c r="BF261" s="419"/>
      <c r="BG261" s="419"/>
      <c r="BH261" s="421"/>
      <c r="BI261" s="421"/>
      <c r="BJ261" s="419"/>
      <c r="BK261" s="419"/>
      <c r="BL261" s="421"/>
      <c r="BM261" s="421"/>
      <c r="BN261" s="419"/>
      <c r="BO261" s="419"/>
      <c r="BP261" s="421"/>
      <c r="BQ261" s="421"/>
      <c r="BR261" s="419"/>
      <c r="BS261" s="419"/>
      <c r="BT261" s="421"/>
      <c r="BU261" s="421"/>
      <c r="BV261" s="419"/>
      <c r="BW261" s="419"/>
      <c r="BX261" s="421"/>
      <c r="BY261" s="421"/>
      <c r="BZ261" s="419"/>
      <c r="CA261" s="419"/>
      <c r="CB261" s="421"/>
      <c r="CC261" s="421"/>
      <c r="CD261" s="419"/>
      <c r="CE261" s="419"/>
      <c r="CF261" s="421"/>
      <c r="CG261" s="421"/>
      <c r="CH261" s="419"/>
      <c r="CI261" s="419"/>
      <c r="CJ261" s="421"/>
      <c r="CK261" s="421"/>
      <c r="CL261" s="419"/>
      <c r="CM261" s="421"/>
      <c r="CN261" s="424">
        <f t="shared" si="101"/>
        <v>0</v>
      </c>
      <c r="CO261" s="424">
        <f t="shared" si="102"/>
        <v>0</v>
      </c>
      <c r="CP261" s="425">
        <f t="shared" si="103"/>
        <v>0</v>
      </c>
      <c r="CQ261" s="425">
        <f t="shared" si="104"/>
        <v>0</v>
      </c>
      <c r="CR261" s="419"/>
      <c r="CS261" s="419"/>
      <c r="CT261" s="421"/>
      <c r="CU261" s="421"/>
      <c r="CV261" s="419"/>
      <c r="CW261" s="419"/>
      <c r="CX261" s="421"/>
      <c r="CY261" s="421"/>
      <c r="CZ261" s="419"/>
      <c r="DA261" s="419"/>
      <c r="DB261" s="421"/>
      <c r="DC261" s="421"/>
      <c r="DD261" s="419"/>
      <c r="DE261" s="419"/>
      <c r="DF261" s="421"/>
      <c r="DG261" s="421"/>
      <c r="DH261" s="419"/>
      <c r="DI261" s="419"/>
      <c r="DJ261" s="421"/>
      <c r="DK261" s="421"/>
      <c r="DL261" s="419"/>
      <c r="DM261" s="419"/>
      <c r="DN261" s="421"/>
      <c r="DO261" s="421"/>
      <c r="DP261" s="419"/>
      <c r="DQ261" s="419"/>
      <c r="DR261" s="421"/>
      <c r="DS261" s="421"/>
      <c r="DT261" s="419"/>
      <c r="DU261" s="419"/>
      <c r="DV261" s="421"/>
      <c r="DW261" s="421"/>
      <c r="DX261" s="419"/>
      <c r="DY261" s="419"/>
      <c r="DZ261" s="421"/>
      <c r="EA261" s="421"/>
      <c r="EB261" s="419"/>
      <c r="EC261" s="419"/>
      <c r="ED261" s="421"/>
      <c r="EE261" s="421"/>
      <c r="EF261" s="419"/>
      <c r="EG261" s="421"/>
      <c r="EH261" s="424">
        <f t="shared" si="105"/>
        <v>0</v>
      </c>
      <c r="EI261" s="424">
        <f t="shared" si="106"/>
        <v>0</v>
      </c>
      <c r="EJ261" s="422">
        <f t="shared" si="107"/>
        <v>0</v>
      </c>
      <c r="EK261" s="425">
        <f t="shared" si="108"/>
        <v>0</v>
      </c>
      <c r="EL261" s="425">
        <f t="shared" si="109"/>
        <v>0</v>
      </c>
      <c r="EM261" s="423">
        <f t="shared" si="110"/>
        <v>0</v>
      </c>
      <c r="EN261" s="424">
        <f t="shared" si="111"/>
        <v>0</v>
      </c>
      <c r="EO261" s="425">
        <f t="shared" si="112"/>
        <v>0</v>
      </c>
      <c r="EP261" s="419"/>
      <c r="EQ261" s="421"/>
      <c r="ER261" s="419"/>
      <c r="ES261" s="421"/>
      <c r="ET261" s="419"/>
      <c r="EU261" s="421"/>
      <c r="EV261" s="419"/>
      <c r="EW261" s="421"/>
      <c r="EX261" s="419"/>
      <c r="EY261" s="421"/>
      <c r="EZ261" s="419"/>
      <c r="FA261" s="421"/>
      <c r="FB261" s="419"/>
      <c r="FC261" s="421"/>
      <c r="FD261" s="419"/>
      <c r="FE261" s="421"/>
      <c r="FF261" s="419"/>
      <c r="FG261" s="421"/>
      <c r="FH261" s="419"/>
      <c r="FI261" s="421"/>
      <c r="FJ261" s="424">
        <f t="shared" si="113"/>
        <v>0</v>
      </c>
      <c r="FK261" s="425">
        <f t="shared" si="114"/>
        <v>0</v>
      </c>
      <c r="FL261" s="419"/>
      <c r="FM261" s="421"/>
      <c r="FN261" s="424">
        <f t="shared" si="115"/>
        <v>1216</v>
      </c>
      <c r="FO261" s="425">
        <f t="shared" si="116"/>
        <v>1611</v>
      </c>
    </row>
    <row r="262" spans="1:171" customFormat="1" ht="15" customHeight="1">
      <c r="A262" s="460" t="s">
        <v>162</v>
      </c>
      <c r="B262" s="36" t="s">
        <v>781</v>
      </c>
      <c r="C262" s="121"/>
      <c r="D262" s="34">
        <v>198817</v>
      </c>
      <c r="E262" s="124">
        <v>9</v>
      </c>
      <c r="F262" s="419">
        <v>678</v>
      </c>
      <c r="G262" s="311">
        <v>561</v>
      </c>
      <c r="H262" s="419"/>
      <c r="I262" s="421"/>
      <c r="J262" s="419">
        <v>485</v>
      </c>
      <c r="K262" s="311">
        <v>428</v>
      </c>
      <c r="L262" s="422">
        <f t="shared" si="95"/>
        <v>0</v>
      </c>
      <c r="M262" s="423">
        <f t="shared" si="96"/>
        <v>0</v>
      </c>
      <c r="N262" s="419"/>
      <c r="O262" s="309">
        <f>0</f>
        <v>0</v>
      </c>
      <c r="P262" s="309">
        <f>0</f>
        <v>0</v>
      </c>
      <c r="Q262" s="309">
        <f>0</f>
        <v>0</v>
      </c>
      <c r="R262" s="424">
        <f t="shared" si="93"/>
        <v>0</v>
      </c>
      <c r="S262" s="421"/>
      <c r="T262" s="301">
        <f>0</f>
        <v>0</v>
      </c>
      <c r="U262" s="301">
        <f>0</f>
        <v>0</v>
      </c>
      <c r="V262" s="301">
        <f>0</f>
        <v>0</v>
      </c>
      <c r="W262" s="425">
        <f t="shared" si="94"/>
        <v>0</v>
      </c>
      <c r="X262" s="419"/>
      <c r="Y262" s="419"/>
      <c r="Z262" s="421"/>
      <c r="AA262" s="421"/>
      <c r="AB262" s="419"/>
      <c r="AC262" s="419"/>
      <c r="AD262" s="421"/>
      <c r="AE262" s="421"/>
      <c r="AF262" s="419"/>
      <c r="AG262" s="419"/>
      <c r="AH262" s="421"/>
      <c r="AI262" s="421"/>
      <c r="AJ262" s="419"/>
      <c r="AK262" s="419"/>
      <c r="AL262" s="421"/>
      <c r="AM262" s="421"/>
      <c r="AN262" s="419"/>
      <c r="AO262" s="419"/>
      <c r="AP262" s="421"/>
      <c r="AQ262" s="421"/>
      <c r="AR262" s="424">
        <f t="shared" si="97"/>
        <v>0</v>
      </c>
      <c r="AS262" s="422">
        <f t="shared" si="98"/>
        <v>0</v>
      </c>
      <c r="AT262" s="425">
        <f t="shared" si="99"/>
        <v>0</v>
      </c>
      <c r="AU262" s="423">
        <f t="shared" si="100"/>
        <v>0</v>
      </c>
      <c r="AV262" s="419"/>
      <c r="AW262" s="421"/>
      <c r="AX262" s="419"/>
      <c r="AY262" s="419"/>
      <c r="AZ262" s="421"/>
      <c r="BA262" s="421"/>
      <c r="BB262" s="419"/>
      <c r="BC262" s="419"/>
      <c r="BD262" s="421"/>
      <c r="BE262" s="421"/>
      <c r="BF262" s="419"/>
      <c r="BG262" s="419"/>
      <c r="BH262" s="421"/>
      <c r="BI262" s="421"/>
      <c r="BJ262" s="419"/>
      <c r="BK262" s="419"/>
      <c r="BL262" s="421"/>
      <c r="BM262" s="421"/>
      <c r="BN262" s="419"/>
      <c r="BO262" s="419"/>
      <c r="BP262" s="421"/>
      <c r="BQ262" s="421"/>
      <c r="BR262" s="419"/>
      <c r="BS262" s="419"/>
      <c r="BT262" s="421"/>
      <c r="BU262" s="421"/>
      <c r="BV262" s="419"/>
      <c r="BW262" s="419"/>
      <c r="BX262" s="421"/>
      <c r="BY262" s="421"/>
      <c r="BZ262" s="419"/>
      <c r="CA262" s="419"/>
      <c r="CB262" s="421"/>
      <c r="CC262" s="421"/>
      <c r="CD262" s="419"/>
      <c r="CE262" s="419"/>
      <c r="CF262" s="421"/>
      <c r="CG262" s="421"/>
      <c r="CH262" s="419"/>
      <c r="CI262" s="419"/>
      <c r="CJ262" s="421"/>
      <c r="CK262" s="421"/>
      <c r="CL262" s="419"/>
      <c r="CM262" s="421"/>
      <c r="CN262" s="424">
        <f t="shared" si="101"/>
        <v>0</v>
      </c>
      <c r="CO262" s="424">
        <f t="shared" si="102"/>
        <v>0</v>
      </c>
      <c r="CP262" s="425">
        <f t="shared" si="103"/>
        <v>0</v>
      </c>
      <c r="CQ262" s="425">
        <f t="shared" si="104"/>
        <v>0</v>
      </c>
      <c r="CR262" s="419"/>
      <c r="CS262" s="419"/>
      <c r="CT262" s="421"/>
      <c r="CU262" s="421"/>
      <c r="CV262" s="419"/>
      <c r="CW262" s="419"/>
      <c r="CX262" s="421"/>
      <c r="CY262" s="421"/>
      <c r="CZ262" s="419"/>
      <c r="DA262" s="419"/>
      <c r="DB262" s="421"/>
      <c r="DC262" s="421"/>
      <c r="DD262" s="419"/>
      <c r="DE262" s="419"/>
      <c r="DF262" s="421"/>
      <c r="DG262" s="421"/>
      <c r="DH262" s="419"/>
      <c r="DI262" s="419"/>
      <c r="DJ262" s="421"/>
      <c r="DK262" s="421"/>
      <c r="DL262" s="419"/>
      <c r="DM262" s="419"/>
      <c r="DN262" s="421"/>
      <c r="DO262" s="421"/>
      <c r="DP262" s="419"/>
      <c r="DQ262" s="419"/>
      <c r="DR262" s="421"/>
      <c r="DS262" s="421"/>
      <c r="DT262" s="419"/>
      <c r="DU262" s="419"/>
      <c r="DV262" s="421"/>
      <c r="DW262" s="421"/>
      <c r="DX262" s="419"/>
      <c r="DY262" s="419"/>
      <c r="DZ262" s="421"/>
      <c r="EA262" s="421"/>
      <c r="EB262" s="419"/>
      <c r="EC262" s="419"/>
      <c r="ED262" s="421"/>
      <c r="EE262" s="421"/>
      <c r="EF262" s="419"/>
      <c r="EG262" s="421"/>
      <c r="EH262" s="424">
        <f t="shared" si="105"/>
        <v>0</v>
      </c>
      <c r="EI262" s="424">
        <f t="shared" si="106"/>
        <v>0</v>
      </c>
      <c r="EJ262" s="422">
        <f t="shared" si="107"/>
        <v>0</v>
      </c>
      <c r="EK262" s="425">
        <f t="shared" si="108"/>
        <v>0</v>
      </c>
      <c r="EL262" s="425">
        <f t="shared" si="109"/>
        <v>0</v>
      </c>
      <c r="EM262" s="423">
        <f t="shared" si="110"/>
        <v>0</v>
      </c>
      <c r="EN262" s="424">
        <f t="shared" si="111"/>
        <v>0</v>
      </c>
      <c r="EO262" s="425">
        <f t="shared" si="112"/>
        <v>0</v>
      </c>
      <c r="EP262" s="419"/>
      <c r="EQ262" s="421"/>
      <c r="ER262" s="419"/>
      <c r="ES262" s="421"/>
      <c r="ET262" s="419"/>
      <c r="EU262" s="421"/>
      <c r="EV262" s="419"/>
      <c r="EW262" s="421"/>
      <c r="EX262" s="419"/>
      <c r="EY262" s="421"/>
      <c r="EZ262" s="419"/>
      <c r="FA262" s="421"/>
      <c r="FB262" s="419"/>
      <c r="FC262" s="421"/>
      <c r="FD262" s="419"/>
      <c r="FE262" s="421"/>
      <c r="FF262" s="419"/>
      <c r="FG262" s="421"/>
      <c r="FH262" s="419"/>
      <c r="FI262" s="421"/>
      <c r="FJ262" s="424">
        <f t="shared" si="113"/>
        <v>0</v>
      </c>
      <c r="FK262" s="425">
        <f t="shared" si="114"/>
        <v>0</v>
      </c>
      <c r="FL262" s="419"/>
      <c r="FM262" s="421"/>
      <c r="FN262" s="424">
        <f t="shared" si="115"/>
        <v>1163</v>
      </c>
      <c r="FO262" s="425">
        <f t="shared" si="116"/>
        <v>989</v>
      </c>
    </row>
    <row r="263" spans="1:171" customFormat="1" ht="15" customHeight="1">
      <c r="A263" s="460" t="s">
        <v>162</v>
      </c>
      <c r="B263" s="36" t="s">
        <v>782</v>
      </c>
      <c r="C263" s="121"/>
      <c r="D263" s="34">
        <v>198987</v>
      </c>
      <c r="E263" s="124">
        <v>9</v>
      </c>
      <c r="F263" s="419">
        <v>641</v>
      </c>
      <c r="G263" s="310">
        <v>411</v>
      </c>
      <c r="H263" s="419"/>
      <c r="I263" s="421"/>
      <c r="J263" s="419">
        <v>431</v>
      </c>
      <c r="K263" s="311">
        <v>449</v>
      </c>
      <c r="L263" s="422">
        <f t="shared" si="95"/>
        <v>0</v>
      </c>
      <c r="M263" s="423">
        <f t="shared" si="96"/>
        <v>0</v>
      </c>
      <c r="N263" s="419"/>
      <c r="O263" s="309">
        <f>0</f>
        <v>0</v>
      </c>
      <c r="P263" s="309">
        <f>0</f>
        <v>0</v>
      </c>
      <c r="Q263" s="309">
        <f>0</f>
        <v>0</v>
      </c>
      <c r="R263" s="424">
        <f t="shared" si="93"/>
        <v>0</v>
      </c>
      <c r="S263" s="421"/>
      <c r="T263" s="301">
        <f>0</f>
        <v>0</v>
      </c>
      <c r="U263" s="301">
        <f>0</f>
        <v>0</v>
      </c>
      <c r="V263" s="301">
        <f>0</f>
        <v>0</v>
      </c>
      <c r="W263" s="425">
        <f t="shared" si="94"/>
        <v>0</v>
      </c>
      <c r="X263" s="419"/>
      <c r="Y263" s="419"/>
      <c r="Z263" s="421"/>
      <c r="AA263" s="421"/>
      <c r="AB263" s="419"/>
      <c r="AC263" s="419"/>
      <c r="AD263" s="421"/>
      <c r="AE263" s="421"/>
      <c r="AF263" s="419"/>
      <c r="AG263" s="419"/>
      <c r="AH263" s="421"/>
      <c r="AI263" s="421"/>
      <c r="AJ263" s="419"/>
      <c r="AK263" s="419"/>
      <c r="AL263" s="421"/>
      <c r="AM263" s="421"/>
      <c r="AN263" s="419"/>
      <c r="AO263" s="419"/>
      <c r="AP263" s="421"/>
      <c r="AQ263" s="421"/>
      <c r="AR263" s="424">
        <f t="shared" si="97"/>
        <v>0</v>
      </c>
      <c r="AS263" s="422">
        <f t="shared" si="98"/>
        <v>0</v>
      </c>
      <c r="AT263" s="425">
        <f t="shared" si="99"/>
        <v>0</v>
      </c>
      <c r="AU263" s="423">
        <f t="shared" si="100"/>
        <v>0</v>
      </c>
      <c r="AV263" s="419"/>
      <c r="AW263" s="421"/>
      <c r="AX263" s="419"/>
      <c r="AY263" s="419"/>
      <c r="AZ263" s="421"/>
      <c r="BA263" s="421"/>
      <c r="BB263" s="419"/>
      <c r="BC263" s="419"/>
      <c r="BD263" s="421"/>
      <c r="BE263" s="421"/>
      <c r="BF263" s="419"/>
      <c r="BG263" s="419"/>
      <c r="BH263" s="421"/>
      <c r="BI263" s="421"/>
      <c r="BJ263" s="419"/>
      <c r="BK263" s="419"/>
      <c r="BL263" s="421"/>
      <c r="BM263" s="421"/>
      <c r="BN263" s="419"/>
      <c r="BO263" s="419"/>
      <c r="BP263" s="421"/>
      <c r="BQ263" s="421"/>
      <c r="BR263" s="419"/>
      <c r="BS263" s="419"/>
      <c r="BT263" s="421"/>
      <c r="BU263" s="421"/>
      <c r="BV263" s="419"/>
      <c r="BW263" s="419"/>
      <c r="BX263" s="421"/>
      <c r="BY263" s="421"/>
      <c r="BZ263" s="419"/>
      <c r="CA263" s="419"/>
      <c r="CB263" s="421"/>
      <c r="CC263" s="421"/>
      <c r="CD263" s="419"/>
      <c r="CE263" s="419"/>
      <c r="CF263" s="421"/>
      <c r="CG263" s="421"/>
      <c r="CH263" s="419"/>
      <c r="CI263" s="419"/>
      <c r="CJ263" s="421"/>
      <c r="CK263" s="421"/>
      <c r="CL263" s="419"/>
      <c r="CM263" s="421"/>
      <c r="CN263" s="424">
        <f t="shared" si="101"/>
        <v>0</v>
      </c>
      <c r="CO263" s="424">
        <f t="shared" si="102"/>
        <v>0</v>
      </c>
      <c r="CP263" s="425">
        <f t="shared" si="103"/>
        <v>0</v>
      </c>
      <c r="CQ263" s="425">
        <f t="shared" si="104"/>
        <v>0</v>
      </c>
      <c r="CR263" s="419"/>
      <c r="CS263" s="419"/>
      <c r="CT263" s="421"/>
      <c r="CU263" s="421"/>
      <c r="CV263" s="419"/>
      <c r="CW263" s="419"/>
      <c r="CX263" s="421"/>
      <c r="CY263" s="421"/>
      <c r="CZ263" s="419"/>
      <c r="DA263" s="419"/>
      <c r="DB263" s="421"/>
      <c r="DC263" s="421"/>
      <c r="DD263" s="419"/>
      <c r="DE263" s="419"/>
      <c r="DF263" s="421"/>
      <c r="DG263" s="421"/>
      <c r="DH263" s="419"/>
      <c r="DI263" s="419"/>
      <c r="DJ263" s="421"/>
      <c r="DK263" s="421"/>
      <c r="DL263" s="419"/>
      <c r="DM263" s="419"/>
      <c r="DN263" s="421"/>
      <c r="DO263" s="421"/>
      <c r="DP263" s="419"/>
      <c r="DQ263" s="419"/>
      <c r="DR263" s="421"/>
      <c r="DS263" s="421"/>
      <c r="DT263" s="419"/>
      <c r="DU263" s="419"/>
      <c r="DV263" s="421"/>
      <c r="DW263" s="421"/>
      <c r="DX263" s="419"/>
      <c r="DY263" s="419"/>
      <c r="DZ263" s="421"/>
      <c r="EA263" s="421"/>
      <c r="EB263" s="419"/>
      <c r="EC263" s="419"/>
      <c r="ED263" s="421"/>
      <c r="EE263" s="421"/>
      <c r="EF263" s="419"/>
      <c r="EG263" s="421"/>
      <c r="EH263" s="424">
        <f t="shared" si="105"/>
        <v>0</v>
      </c>
      <c r="EI263" s="424">
        <f t="shared" si="106"/>
        <v>0</v>
      </c>
      <c r="EJ263" s="422">
        <f t="shared" si="107"/>
        <v>0</v>
      </c>
      <c r="EK263" s="425">
        <f t="shared" si="108"/>
        <v>0</v>
      </c>
      <c r="EL263" s="425">
        <f t="shared" si="109"/>
        <v>0</v>
      </c>
      <c r="EM263" s="423">
        <f t="shared" si="110"/>
        <v>0</v>
      </c>
      <c r="EN263" s="424">
        <f t="shared" si="111"/>
        <v>0</v>
      </c>
      <c r="EO263" s="425">
        <f t="shared" si="112"/>
        <v>0</v>
      </c>
      <c r="EP263" s="419"/>
      <c r="EQ263" s="421"/>
      <c r="ER263" s="419"/>
      <c r="ES263" s="421"/>
      <c r="ET263" s="419"/>
      <c r="EU263" s="421"/>
      <c r="EV263" s="419"/>
      <c r="EW263" s="421"/>
      <c r="EX263" s="419"/>
      <c r="EY263" s="421"/>
      <c r="EZ263" s="419"/>
      <c r="FA263" s="421"/>
      <c r="FB263" s="419"/>
      <c r="FC263" s="421"/>
      <c r="FD263" s="419"/>
      <c r="FE263" s="421"/>
      <c r="FF263" s="419"/>
      <c r="FG263" s="421"/>
      <c r="FH263" s="419"/>
      <c r="FI263" s="421"/>
      <c r="FJ263" s="424">
        <f t="shared" si="113"/>
        <v>0</v>
      </c>
      <c r="FK263" s="425">
        <f t="shared" si="114"/>
        <v>0</v>
      </c>
      <c r="FL263" s="419"/>
      <c r="FM263" s="421"/>
      <c r="FN263" s="424">
        <f t="shared" si="115"/>
        <v>1072</v>
      </c>
      <c r="FO263" s="425">
        <f t="shared" si="116"/>
        <v>860</v>
      </c>
    </row>
    <row r="264" spans="1:171" customFormat="1" ht="15" customHeight="1">
      <c r="A264" s="460" t="s">
        <v>162</v>
      </c>
      <c r="B264" s="36" t="s">
        <v>783</v>
      </c>
      <c r="C264" s="121"/>
      <c r="D264" s="34">
        <v>199087</v>
      </c>
      <c r="E264" s="124">
        <v>9</v>
      </c>
      <c r="F264" s="419">
        <v>389</v>
      </c>
      <c r="G264" s="461">
        <v>652</v>
      </c>
      <c r="H264" s="419"/>
      <c r="I264" s="421"/>
      <c r="J264" s="419">
        <v>388</v>
      </c>
      <c r="K264" s="311">
        <v>438</v>
      </c>
      <c r="L264" s="422">
        <f t="shared" si="95"/>
        <v>0</v>
      </c>
      <c r="M264" s="423">
        <f t="shared" si="96"/>
        <v>0</v>
      </c>
      <c r="N264" s="419"/>
      <c r="O264" s="309">
        <f>0</f>
        <v>0</v>
      </c>
      <c r="P264" s="309">
        <f>0</f>
        <v>0</v>
      </c>
      <c r="Q264" s="309">
        <f>0</f>
        <v>0</v>
      </c>
      <c r="R264" s="424">
        <f t="shared" si="93"/>
        <v>0</v>
      </c>
      <c r="S264" s="421"/>
      <c r="T264" s="301">
        <f>0</f>
        <v>0</v>
      </c>
      <c r="U264" s="301">
        <f>0</f>
        <v>0</v>
      </c>
      <c r="V264" s="301">
        <f>0</f>
        <v>0</v>
      </c>
      <c r="W264" s="425">
        <f t="shared" si="94"/>
        <v>0</v>
      </c>
      <c r="X264" s="419"/>
      <c r="Y264" s="419"/>
      <c r="Z264" s="421"/>
      <c r="AA264" s="421"/>
      <c r="AB264" s="419"/>
      <c r="AC264" s="419"/>
      <c r="AD264" s="421"/>
      <c r="AE264" s="421"/>
      <c r="AF264" s="419"/>
      <c r="AG264" s="419"/>
      <c r="AH264" s="421"/>
      <c r="AI264" s="421"/>
      <c r="AJ264" s="419"/>
      <c r="AK264" s="419"/>
      <c r="AL264" s="421"/>
      <c r="AM264" s="421"/>
      <c r="AN264" s="419"/>
      <c r="AO264" s="419"/>
      <c r="AP264" s="421"/>
      <c r="AQ264" s="421"/>
      <c r="AR264" s="424">
        <f t="shared" si="97"/>
        <v>0</v>
      </c>
      <c r="AS264" s="422">
        <f t="shared" si="98"/>
        <v>0</v>
      </c>
      <c r="AT264" s="425">
        <f t="shared" si="99"/>
        <v>0</v>
      </c>
      <c r="AU264" s="423">
        <f t="shared" si="100"/>
        <v>0</v>
      </c>
      <c r="AV264" s="419"/>
      <c r="AW264" s="421"/>
      <c r="AX264" s="419"/>
      <c r="AY264" s="419"/>
      <c r="AZ264" s="421"/>
      <c r="BA264" s="421"/>
      <c r="BB264" s="419"/>
      <c r="BC264" s="419"/>
      <c r="BD264" s="421"/>
      <c r="BE264" s="421"/>
      <c r="BF264" s="419"/>
      <c r="BG264" s="419"/>
      <c r="BH264" s="421"/>
      <c r="BI264" s="421"/>
      <c r="BJ264" s="419"/>
      <c r="BK264" s="419"/>
      <c r="BL264" s="421"/>
      <c r="BM264" s="421"/>
      <c r="BN264" s="419"/>
      <c r="BO264" s="419"/>
      <c r="BP264" s="421"/>
      <c r="BQ264" s="421"/>
      <c r="BR264" s="419"/>
      <c r="BS264" s="419"/>
      <c r="BT264" s="421"/>
      <c r="BU264" s="421"/>
      <c r="BV264" s="419"/>
      <c r="BW264" s="419"/>
      <c r="BX264" s="421"/>
      <c r="BY264" s="421"/>
      <c r="BZ264" s="419"/>
      <c r="CA264" s="419"/>
      <c r="CB264" s="421"/>
      <c r="CC264" s="421"/>
      <c r="CD264" s="419"/>
      <c r="CE264" s="419"/>
      <c r="CF264" s="421"/>
      <c r="CG264" s="421"/>
      <c r="CH264" s="419"/>
      <c r="CI264" s="419"/>
      <c r="CJ264" s="421"/>
      <c r="CK264" s="421"/>
      <c r="CL264" s="419"/>
      <c r="CM264" s="421"/>
      <c r="CN264" s="424">
        <f t="shared" si="101"/>
        <v>0</v>
      </c>
      <c r="CO264" s="424">
        <f t="shared" si="102"/>
        <v>0</v>
      </c>
      <c r="CP264" s="425">
        <f t="shared" si="103"/>
        <v>0</v>
      </c>
      <c r="CQ264" s="425">
        <f t="shared" si="104"/>
        <v>0</v>
      </c>
      <c r="CR264" s="419"/>
      <c r="CS264" s="419"/>
      <c r="CT264" s="421"/>
      <c r="CU264" s="421"/>
      <c r="CV264" s="419"/>
      <c r="CW264" s="419"/>
      <c r="CX264" s="421"/>
      <c r="CY264" s="421"/>
      <c r="CZ264" s="419"/>
      <c r="DA264" s="419"/>
      <c r="DB264" s="421"/>
      <c r="DC264" s="421"/>
      <c r="DD264" s="419"/>
      <c r="DE264" s="419"/>
      <c r="DF264" s="421"/>
      <c r="DG264" s="421"/>
      <c r="DH264" s="419"/>
      <c r="DI264" s="419"/>
      <c r="DJ264" s="421"/>
      <c r="DK264" s="421"/>
      <c r="DL264" s="419"/>
      <c r="DM264" s="419"/>
      <c r="DN264" s="421"/>
      <c r="DO264" s="421"/>
      <c r="DP264" s="419"/>
      <c r="DQ264" s="419"/>
      <c r="DR264" s="421"/>
      <c r="DS264" s="421"/>
      <c r="DT264" s="419"/>
      <c r="DU264" s="419"/>
      <c r="DV264" s="421"/>
      <c r="DW264" s="421"/>
      <c r="DX264" s="419"/>
      <c r="DY264" s="419"/>
      <c r="DZ264" s="421"/>
      <c r="EA264" s="421"/>
      <c r="EB264" s="419"/>
      <c r="EC264" s="419"/>
      <c r="ED264" s="421"/>
      <c r="EE264" s="421"/>
      <c r="EF264" s="419"/>
      <c r="EG264" s="421"/>
      <c r="EH264" s="424">
        <f t="shared" si="105"/>
        <v>0</v>
      </c>
      <c r="EI264" s="424">
        <f t="shared" si="106"/>
        <v>0</v>
      </c>
      <c r="EJ264" s="422">
        <f t="shared" si="107"/>
        <v>0</v>
      </c>
      <c r="EK264" s="425">
        <f t="shared" si="108"/>
        <v>0</v>
      </c>
      <c r="EL264" s="425">
        <f t="shared" si="109"/>
        <v>0</v>
      </c>
      <c r="EM264" s="423">
        <f t="shared" si="110"/>
        <v>0</v>
      </c>
      <c r="EN264" s="424">
        <f t="shared" si="111"/>
        <v>0</v>
      </c>
      <c r="EO264" s="425">
        <f t="shared" si="112"/>
        <v>0</v>
      </c>
      <c r="EP264" s="419"/>
      <c r="EQ264" s="421"/>
      <c r="ER264" s="419"/>
      <c r="ES264" s="421"/>
      <c r="ET264" s="419"/>
      <c r="EU264" s="421"/>
      <c r="EV264" s="419"/>
      <c r="EW264" s="421"/>
      <c r="EX264" s="419"/>
      <c r="EY264" s="421"/>
      <c r="EZ264" s="419"/>
      <c r="FA264" s="421"/>
      <c r="FB264" s="419"/>
      <c r="FC264" s="421"/>
      <c r="FD264" s="419"/>
      <c r="FE264" s="421"/>
      <c r="FF264" s="419"/>
      <c r="FG264" s="421"/>
      <c r="FH264" s="419"/>
      <c r="FI264" s="421"/>
      <c r="FJ264" s="424">
        <f t="shared" si="113"/>
        <v>0</v>
      </c>
      <c r="FK264" s="425">
        <f t="shared" si="114"/>
        <v>0</v>
      </c>
      <c r="FL264" s="419"/>
      <c r="FM264" s="421"/>
      <c r="FN264" s="424">
        <f t="shared" si="115"/>
        <v>777</v>
      </c>
      <c r="FO264" s="425">
        <f t="shared" si="116"/>
        <v>1090</v>
      </c>
    </row>
    <row r="265" spans="1:171" customFormat="1" ht="15" customHeight="1">
      <c r="A265" s="460" t="s">
        <v>162</v>
      </c>
      <c r="B265" s="36" t="s">
        <v>784</v>
      </c>
      <c r="C265" s="121"/>
      <c r="D265" s="34">
        <v>199421</v>
      </c>
      <c r="E265" s="124">
        <v>9</v>
      </c>
      <c r="F265" s="419">
        <v>250</v>
      </c>
      <c r="G265" s="311">
        <v>230</v>
      </c>
      <c r="H265" s="419"/>
      <c r="I265" s="421"/>
      <c r="J265" s="419">
        <v>471</v>
      </c>
      <c r="K265" s="311">
        <v>390</v>
      </c>
      <c r="L265" s="422">
        <f t="shared" si="95"/>
        <v>0</v>
      </c>
      <c r="M265" s="423">
        <f t="shared" si="96"/>
        <v>0</v>
      </c>
      <c r="N265" s="419"/>
      <c r="O265" s="309">
        <f>0</f>
        <v>0</v>
      </c>
      <c r="P265" s="309">
        <f>0</f>
        <v>0</v>
      </c>
      <c r="Q265" s="309">
        <f>0</f>
        <v>0</v>
      </c>
      <c r="R265" s="424">
        <f t="shared" si="93"/>
        <v>0</v>
      </c>
      <c r="S265" s="421"/>
      <c r="T265" s="301">
        <f>0</f>
        <v>0</v>
      </c>
      <c r="U265" s="301">
        <f>0</f>
        <v>0</v>
      </c>
      <c r="V265" s="301">
        <f>0</f>
        <v>0</v>
      </c>
      <c r="W265" s="425">
        <f t="shared" si="94"/>
        <v>0</v>
      </c>
      <c r="X265" s="419"/>
      <c r="Y265" s="419"/>
      <c r="Z265" s="421"/>
      <c r="AA265" s="421"/>
      <c r="AB265" s="419"/>
      <c r="AC265" s="419"/>
      <c r="AD265" s="421"/>
      <c r="AE265" s="421"/>
      <c r="AF265" s="419"/>
      <c r="AG265" s="419"/>
      <c r="AH265" s="421"/>
      <c r="AI265" s="421"/>
      <c r="AJ265" s="419"/>
      <c r="AK265" s="419"/>
      <c r="AL265" s="421"/>
      <c r="AM265" s="421"/>
      <c r="AN265" s="419"/>
      <c r="AO265" s="419"/>
      <c r="AP265" s="421"/>
      <c r="AQ265" s="421"/>
      <c r="AR265" s="424">
        <f t="shared" si="97"/>
        <v>0</v>
      </c>
      <c r="AS265" s="422">
        <f t="shared" si="98"/>
        <v>0</v>
      </c>
      <c r="AT265" s="425">
        <f t="shared" si="99"/>
        <v>0</v>
      </c>
      <c r="AU265" s="423">
        <f t="shared" si="100"/>
        <v>0</v>
      </c>
      <c r="AV265" s="419"/>
      <c r="AW265" s="421"/>
      <c r="AX265" s="419"/>
      <c r="AY265" s="419"/>
      <c r="AZ265" s="421"/>
      <c r="BA265" s="421"/>
      <c r="BB265" s="419"/>
      <c r="BC265" s="419"/>
      <c r="BD265" s="421"/>
      <c r="BE265" s="421"/>
      <c r="BF265" s="419"/>
      <c r="BG265" s="419"/>
      <c r="BH265" s="421"/>
      <c r="BI265" s="421"/>
      <c r="BJ265" s="419"/>
      <c r="BK265" s="419"/>
      <c r="BL265" s="421"/>
      <c r="BM265" s="421"/>
      <c r="BN265" s="419"/>
      <c r="BO265" s="419"/>
      <c r="BP265" s="421"/>
      <c r="BQ265" s="421"/>
      <c r="BR265" s="419"/>
      <c r="BS265" s="419"/>
      <c r="BT265" s="421"/>
      <c r="BU265" s="421"/>
      <c r="BV265" s="419"/>
      <c r="BW265" s="419"/>
      <c r="BX265" s="421"/>
      <c r="BY265" s="421"/>
      <c r="BZ265" s="419"/>
      <c r="CA265" s="419"/>
      <c r="CB265" s="421"/>
      <c r="CC265" s="421"/>
      <c r="CD265" s="419"/>
      <c r="CE265" s="419"/>
      <c r="CF265" s="421"/>
      <c r="CG265" s="421"/>
      <c r="CH265" s="419"/>
      <c r="CI265" s="419"/>
      <c r="CJ265" s="421"/>
      <c r="CK265" s="421"/>
      <c r="CL265" s="419"/>
      <c r="CM265" s="421"/>
      <c r="CN265" s="424">
        <f t="shared" si="101"/>
        <v>0</v>
      </c>
      <c r="CO265" s="424">
        <f t="shared" si="102"/>
        <v>0</v>
      </c>
      <c r="CP265" s="425">
        <f t="shared" si="103"/>
        <v>0</v>
      </c>
      <c r="CQ265" s="425">
        <f t="shared" si="104"/>
        <v>0</v>
      </c>
      <c r="CR265" s="419"/>
      <c r="CS265" s="419"/>
      <c r="CT265" s="421"/>
      <c r="CU265" s="421"/>
      <c r="CV265" s="419"/>
      <c r="CW265" s="419"/>
      <c r="CX265" s="421"/>
      <c r="CY265" s="421"/>
      <c r="CZ265" s="419"/>
      <c r="DA265" s="419"/>
      <c r="DB265" s="421"/>
      <c r="DC265" s="421"/>
      <c r="DD265" s="419"/>
      <c r="DE265" s="419"/>
      <c r="DF265" s="421"/>
      <c r="DG265" s="421"/>
      <c r="DH265" s="419"/>
      <c r="DI265" s="419"/>
      <c r="DJ265" s="421"/>
      <c r="DK265" s="421"/>
      <c r="DL265" s="419"/>
      <c r="DM265" s="419"/>
      <c r="DN265" s="421"/>
      <c r="DO265" s="421"/>
      <c r="DP265" s="419"/>
      <c r="DQ265" s="419"/>
      <c r="DR265" s="421"/>
      <c r="DS265" s="421"/>
      <c r="DT265" s="419"/>
      <c r="DU265" s="419"/>
      <c r="DV265" s="421"/>
      <c r="DW265" s="421"/>
      <c r="DX265" s="419"/>
      <c r="DY265" s="419"/>
      <c r="DZ265" s="421"/>
      <c r="EA265" s="421"/>
      <c r="EB265" s="419"/>
      <c r="EC265" s="419"/>
      <c r="ED265" s="421"/>
      <c r="EE265" s="421"/>
      <c r="EF265" s="419"/>
      <c r="EG265" s="421"/>
      <c r="EH265" s="424">
        <f t="shared" si="105"/>
        <v>0</v>
      </c>
      <c r="EI265" s="424">
        <f t="shared" si="106"/>
        <v>0</v>
      </c>
      <c r="EJ265" s="422">
        <f t="shared" si="107"/>
        <v>0</v>
      </c>
      <c r="EK265" s="425">
        <f t="shared" si="108"/>
        <v>0</v>
      </c>
      <c r="EL265" s="425">
        <f t="shared" si="109"/>
        <v>0</v>
      </c>
      <c r="EM265" s="423">
        <f t="shared" si="110"/>
        <v>0</v>
      </c>
      <c r="EN265" s="424">
        <f t="shared" si="111"/>
        <v>0</v>
      </c>
      <c r="EO265" s="425">
        <f t="shared" si="112"/>
        <v>0</v>
      </c>
      <c r="EP265" s="419"/>
      <c r="EQ265" s="421"/>
      <c r="ER265" s="419"/>
      <c r="ES265" s="421"/>
      <c r="ET265" s="419"/>
      <c r="EU265" s="421"/>
      <c r="EV265" s="419"/>
      <c r="EW265" s="421"/>
      <c r="EX265" s="419"/>
      <c r="EY265" s="421"/>
      <c r="EZ265" s="419"/>
      <c r="FA265" s="421"/>
      <c r="FB265" s="419"/>
      <c r="FC265" s="421"/>
      <c r="FD265" s="419"/>
      <c r="FE265" s="421"/>
      <c r="FF265" s="419"/>
      <c r="FG265" s="421"/>
      <c r="FH265" s="419"/>
      <c r="FI265" s="421"/>
      <c r="FJ265" s="424">
        <f t="shared" si="113"/>
        <v>0</v>
      </c>
      <c r="FK265" s="425">
        <f t="shared" si="114"/>
        <v>0</v>
      </c>
      <c r="FL265" s="419"/>
      <c r="FM265" s="421"/>
      <c r="FN265" s="424">
        <f t="shared" si="115"/>
        <v>721</v>
      </c>
      <c r="FO265" s="425">
        <f t="shared" si="116"/>
        <v>620</v>
      </c>
    </row>
    <row r="266" spans="1:171" customFormat="1" ht="15" customHeight="1">
      <c r="A266" s="460" t="s">
        <v>162</v>
      </c>
      <c r="B266" s="36" t="s">
        <v>785</v>
      </c>
      <c r="C266" s="123"/>
      <c r="D266" s="34">
        <v>199449</v>
      </c>
      <c r="E266" s="124">
        <v>9</v>
      </c>
      <c r="F266" s="419">
        <v>408</v>
      </c>
      <c r="G266" s="311">
        <v>434</v>
      </c>
      <c r="H266" s="419"/>
      <c r="I266" s="421"/>
      <c r="J266" s="419">
        <v>436</v>
      </c>
      <c r="K266" s="311">
        <v>397</v>
      </c>
      <c r="L266" s="422">
        <f t="shared" si="95"/>
        <v>0</v>
      </c>
      <c r="M266" s="423">
        <f t="shared" si="96"/>
        <v>0</v>
      </c>
      <c r="N266" s="419"/>
      <c r="O266" s="309">
        <f>0</f>
        <v>0</v>
      </c>
      <c r="P266" s="309">
        <f>0</f>
        <v>0</v>
      </c>
      <c r="Q266" s="309">
        <f>0</f>
        <v>0</v>
      </c>
      <c r="R266" s="424">
        <f t="shared" ref="R266:R329" si="117">SUM(O266:Q266)</f>
        <v>0</v>
      </c>
      <c r="S266" s="421"/>
      <c r="T266" s="301">
        <f>0</f>
        <v>0</v>
      </c>
      <c r="U266" s="301">
        <f>0</f>
        <v>0</v>
      </c>
      <c r="V266" s="301">
        <f>0</f>
        <v>0</v>
      </c>
      <c r="W266" s="425">
        <f t="shared" ref="W266:W329" si="118">SUM(T266:V266)</f>
        <v>0</v>
      </c>
      <c r="X266" s="419"/>
      <c r="Y266" s="419"/>
      <c r="Z266" s="421"/>
      <c r="AA266" s="421"/>
      <c r="AB266" s="419"/>
      <c r="AC266" s="419"/>
      <c r="AD266" s="421"/>
      <c r="AE266" s="421"/>
      <c r="AF266" s="419"/>
      <c r="AG266" s="419"/>
      <c r="AH266" s="421"/>
      <c r="AI266" s="421"/>
      <c r="AJ266" s="419"/>
      <c r="AK266" s="419"/>
      <c r="AL266" s="421"/>
      <c r="AM266" s="421"/>
      <c r="AN266" s="419"/>
      <c r="AO266" s="419"/>
      <c r="AP266" s="421"/>
      <c r="AQ266" s="421"/>
      <c r="AR266" s="424">
        <f t="shared" si="97"/>
        <v>0</v>
      </c>
      <c r="AS266" s="422">
        <f t="shared" si="98"/>
        <v>0</v>
      </c>
      <c r="AT266" s="425">
        <f t="shared" si="99"/>
        <v>0</v>
      </c>
      <c r="AU266" s="423">
        <f t="shared" si="100"/>
        <v>0</v>
      </c>
      <c r="AV266" s="419"/>
      <c r="AW266" s="421"/>
      <c r="AX266" s="419"/>
      <c r="AY266" s="419"/>
      <c r="AZ266" s="421"/>
      <c r="BA266" s="421"/>
      <c r="BB266" s="419"/>
      <c r="BC266" s="419"/>
      <c r="BD266" s="421"/>
      <c r="BE266" s="421"/>
      <c r="BF266" s="419"/>
      <c r="BG266" s="419"/>
      <c r="BH266" s="421"/>
      <c r="BI266" s="421"/>
      <c r="BJ266" s="419"/>
      <c r="BK266" s="419"/>
      <c r="BL266" s="421"/>
      <c r="BM266" s="421"/>
      <c r="BN266" s="419"/>
      <c r="BO266" s="419"/>
      <c r="BP266" s="421"/>
      <c r="BQ266" s="421"/>
      <c r="BR266" s="419"/>
      <c r="BS266" s="419"/>
      <c r="BT266" s="421"/>
      <c r="BU266" s="421"/>
      <c r="BV266" s="419"/>
      <c r="BW266" s="419"/>
      <c r="BX266" s="421"/>
      <c r="BY266" s="421"/>
      <c r="BZ266" s="419"/>
      <c r="CA266" s="419"/>
      <c r="CB266" s="421"/>
      <c r="CC266" s="421"/>
      <c r="CD266" s="419"/>
      <c r="CE266" s="419"/>
      <c r="CF266" s="421"/>
      <c r="CG266" s="421"/>
      <c r="CH266" s="419"/>
      <c r="CI266" s="419"/>
      <c r="CJ266" s="421"/>
      <c r="CK266" s="421"/>
      <c r="CL266" s="419"/>
      <c r="CM266" s="421"/>
      <c r="CN266" s="424">
        <f t="shared" si="101"/>
        <v>0</v>
      </c>
      <c r="CO266" s="424">
        <f t="shared" si="102"/>
        <v>0</v>
      </c>
      <c r="CP266" s="425">
        <f t="shared" si="103"/>
        <v>0</v>
      </c>
      <c r="CQ266" s="425">
        <f t="shared" si="104"/>
        <v>0</v>
      </c>
      <c r="CR266" s="419"/>
      <c r="CS266" s="419"/>
      <c r="CT266" s="421"/>
      <c r="CU266" s="421"/>
      <c r="CV266" s="419"/>
      <c r="CW266" s="419"/>
      <c r="CX266" s="421"/>
      <c r="CY266" s="421"/>
      <c r="CZ266" s="419"/>
      <c r="DA266" s="419"/>
      <c r="DB266" s="421"/>
      <c r="DC266" s="421"/>
      <c r="DD266" s="419"/>
      <c r="DE266" s="419"/>
      <c r="DF266" s="421"/>
      <c r="DG266" s="421"/>
      <c r="DH266" s="419"/>
      <c r="DI266" s="419"/>
      <c r="DJ266" s="421"/>
      <c r="DK266" s="421"/>
      <c r="DL266" s="419"/>
      <c r="DM266" s="419"/>
      <c r="DN266" s="421"/>
      <c r="DO266" s="421"/>
      <c r="DP266" s="419"/>
      <c r="DQ266" s="419"/>
      <c r="DR266" s="421"/>
      <c r="DS266" s="421"/>
      <c r="DT266" s="419"/>
      <c r="DU266" s="419"/>
      <c r="DV266" s="421"/>
      <c r="DW266" s="421"/>
      <c r="DX266" s="419"/>
      <c r="DY266" s="419"/>
      <c r="DZ266" s="421"/>
      <c r="EA266" s="421"/>
      <c r="EB266" s="419"/>
      <c r="EC266" s="419"/>
      <c r="ED266" s="421"/>
      <c r="EE266" s="421"/>
      <c r="EF266" s="419"/>
      <c r="EG266" s="421"/>
      <c r="EH266" s="424">
        <f t="shared" si="105"/>
        <v>0</v>
      </c>
      <c r="EI266" s="424">
        <f t="shared" si="106"/>
        <v>0</v>
      </c>
      <c r="EJ266" s="422">
        <f t="shared" si="107"/>
        <v>0</v>
      </c>
      <c r="EK266" s="425">
        <f t="shared" si="108"/>
        <v>0</v>
      </c>
      <c r="EL266" s="425">
        <f t="shared" si="109"/>
        <v>0</v>
      </c>
      <c r="EM266" s="423">
        <f t="shared" si="110"/>
        <v>0</v>
      </c>
      <c r="EN266" s="424">
        <f t="shared" si="111"/>
        <v>0</v>
      </c>
      <c r="EO266" s="425">
        <f t="shared" si="112"/>
        <v>0</v>
      </c>
      <c r="EP266" s="419"/>
      <c r="EQ266" s="421"/>
      <c r="ER266" s="419"/>
      <c r="ES266" s="421"/>
      <c r="ET266" s="419"/>
      <c r="EU266" s="421"/>
      <c r="EV266" s="419"/>
      <c r="EW266" s="421"/>
      <c r="EX266" s="419"/>
      <c r="EY266" s="421"/>
      <c r="EZ266" s="419"/>
      <c r="FA266" s="421"/>
      <c r="FB266" s="419"/>
      <c r="FC266" s="421"/>
      <c r="FD266" s="419"/>
      <c r="FE266" s="421"/>
      <c r="FF266" s="419"/>
      <c r="FG266" s="421"/>
      <c r="FH266" s="419"/>
      <c r="FI266" s="421"/>
      <c r="FJ266" s="424">
        <f t="shared" si="113"/>
        <v>0</v>
      </c>
      <c r="FK266" s="425">
        <f t="shared" si="114"/>
        <v>0</v>
      </c>
      <c r="FL266" s="419"/>
      <c r="FM266" s="421"/>
      <c r="FN266" s="424">
        <f t="shared" si="115"/>
        <v>844</v>
      </c>
      <c r="FO266" s="425">
        <f t="shared" si="116"/>
        <v>831</v>
      </c>
    </row>
    <row r="267" spans="1:171" customFormat="1" ht="15" customHeight="1">
      <c r="A267" s="460" t="s">
        <v>162</v>
      </c>
      <c r="B267" s="36" t="s">
        <v>786</v>
      </c>
      <c r="C267" s="121"/>
      <c r="D267" s="34">
        <v>199634</v>
      </c>
      <c r="E267" s="124">
        <v>9</v>
      </c>
      <c r="F267" s="419">
        <v>201</v>
      </c>
      <c r="G267" s="461">
        <v>376</v>
      </c>
      <c r="H267" s="419"/>
      <c r="I267" s="421"/>
      <c r="J267" s="419">
        <v>634</v>
      </c>
      <c r="K267" s="311">
        <v>633</v>
      </c>
      <c r="L267" s="422">
        <f t="shared" ref="L267:L330" si="119">IF(N267&gt;0,J267/N267, )</f>
        <v>0</v>
      </c>
      <c r="M267" s="423">
        <f t="shared" ref="M267:M330" si="120">IF(S267&gt;0,K267/S267, )</f>
        <v>0</v>
      </c>
      <c r="N267" s="419"/>
      <c r="O267" s="309">
        <f>0</f>
        <v>0</v>
      </c>
      <c r="P267" s="309">
        <f>0</f>
        <v>0</v>
      </c>
      <c r="Q267" s="309">
        <f>0</f>
        <v>0</v>
      </c>
      <c r="R267" s="424">
        <f t="shared" si="117"/>
        <v>0</v>
      </c>
      <c r="S267" s="421"/>
      <c r="T267" s="301">
        <f>0</f>
        <v>0</v>
      </c>
      <c r="U267" s="301">
        <f>0</f>
        <v>0</v>
      </c>
      <c r="V267" s="301">
        <f>0</f>
        <v>0</v>
      </c>
      <c r="W267" s="425">
        <f t="shared" si="118"/>
        <v>0</v>
      </c>
      <c r="X267" s="419"/>
      <c r="Y267" s="419"/>
      <c r="Z267" s="421"/>
      <c r="AA267" s="421"/>
      <c r="AB267" s="419"/>
      <c r="AC267" s="419"/>
      <c r="AD267" s="421"/>
      <c r="AE267" s="421"/>
      <c r="AF267" s="419"/>
      <c r="AG267" s="419"/>
      <c r="AH267" s="421"/>
      <c r="AI267" s="421"/>
      <c r="AJ267" s="419"/>
      <c r="AK267" s="419"/>
      <c r="AL267" s="421"/>
      <c r="AM267" s="421"/>
      <c r="AN267" s="419"/>
      <c r="AO267" s="419"/>
      <c r="AP267" s="421"/>
      <c r="AQ267" s="421"/>
      <c r="AR267" s="424">
        <f t="shared" ref="AR267:AR330" si="121">COUNTA(X267,AB267,AF267,AJ267,AN267)</f>
        <v>0</v>
      </c>
      <c r="AS267" s="422">
        <f t="shared" ref="AS267:AS330" si="122">IF(FN267&gt;0,N267/FN267,)</f>
        <v>0</v>
      </c>
      <c r="AT267" s="425">
        <f t="shared" ref="AT267:AT330" si="123">COUNTA(Z267,AD267,AH267,AL267,AP267)</f>
        <v>0</v>
      </c>
      <c r="AU267" s="423">
        <f t="shared" ref="AU267:AU330" si="124">IF(FO267&gt;0,S267/FO267,)</f>
        <v>0</v>
      </c>
      <c r="AV267" s="419"/>
      <c r="AW267" s="421"/>
      <c r="AX267" s="419"/>
      <c r="AY267" s="419"/>
      <c r="AZ267" s="421"/>
      <c r="BA267" s="421"/>
      <c r="BB267" s="419"/>
      <c r="BC267" s="419"/>
      <c r="BD267" s="421"/>
      <c r="BE267" s="421"/>
      <c r="BF267" s="419"/>
      <c r="BG267" s="419"/>
      <c r="BH267" s="421"/>
      <c r="BI267" s="421"/>
      <c r="BJ267" s="419"/>
      <c r="BK267" s="419"/>
      <c r="BL267" s="421"/>
      <c r="BM267" s="421"/>
      <c r="BN267" s="419"/>
      <c r="BO267" s="419"/>
      <c r="BP267" s="421"/>
      <c r="BQ267" s="421"/>
      <c r="BR267" s="419"/>
      <c r="BS267" s="419"/>
      <c r="BT267" s="421"/>
      <c r="BU267" s="421"/>
      <c r="BV267" s="419"/>
      <c r="BW267" s="419"/>
      <c r="BX267" s="421"/>
      <c r="BY267" s="421"/>
      <c r="BZ267" s="419"/>
      <c r="CA267" s="419"/>
      <c r="CB267" s="421"/>
      <c r="CC267" s="421"/>
      <c r="CD267" s="419"/>
      <c r="CE267" s="419"/>
      <c r="CF267" s="421"/>
      <c r="CG267" s="421"/>
      <c r="CH267" s="419"/>
      <c r="CI267" s="419"/>
      <c r="CJ267" s="421"/>
      <c r="CK267" s="421"/>
      <c r="CL267" s="419"/>
      <c r="CM267" s="421"/>
      <c r="CN267" s="424">
        <f t="shared" ref="CN267:CN330" si="125">AY267+BC267+BG267+BK267+BO267+BS267+BW267+CA267+CE267+CI267+CL267</f>
        <v>0</v>
      </c>
      <c r="CO267" s="424">
        <f t="shared" ref="CO267:CO330" si="126">COUNTA(AX267,BB267,BF267,BJ267,BN267,BR267,BV267,BZ267,CD267,CH267)</f>
        <v>0</v>
      </c>
      <c r="CP267" s="425">
        <f t="shared" ref="CP267:CP330" si="127">BA267+BE267+BI267+BM267+BQ267+BU267+BY267+CC267+CG267+CK267+CM267</f>
        <v>0</v>
      </c>
      <c r="CQ267" s="425">
        <f t="shared" ref="CQ267:CQ330" si="128">COUNTA(AZ267,BD267,BH267,BL267,BP267,BT267,BX267,CB267,CF267,CJ267)</f>
        <v>0</v>
      </c>
      <c r="CR267" s="419"/>
      <c r="CS267" s="419"/>
      <c r="CT267" s="421"/>
      <c r="CU267" s="421"/>
      <c r="CV267" s="419"/>
      <c r="CW267" s="419"/>
      <c r="CX267" s="421"/>
      <c r="CY267" s="421"/>
      <c r="CZ267" s="419"/>
      <c r="DA267" s="419"/>
      <c r="DB267" s="421"/>
      <c r="DC267" s="421"/>
      <c r="DD267" s="419"/>
      <c r="DE267" s="419"/>
      <c r="DF267" s="421"/>
      <c r="DG267" s="421"/>
      <c r="DH267" s="419"/>
      <c r="DI267" s="419"/>
      <c r="DJ267" s="421"/>
      <c r="DK267" s="421"/>
      <c r="DL267" s="419"/>
      <c r="DM267" s="419"/>
      <c r="DN267" s="421"/>
      <c r="DO267" s="421"/>
      <c r="DP267" s="419"/>
      <c r="DQ267" s="419"/>
      <c r="DR267" s="421"/>
      <c r="DS267" s="421"/>
      <c r="DT267" s="419"/>
      <c r="DU267" s="419"/>
      <c r="DV267" s="421"/>
      <c r="DW267" s="421"/>
      <c r="DX267" s="419"/>
      <c r="DY267" s="419"/>
      <c r="DZ267" s="421"/>
      <c r="EA267" s="421"/>
      <c r="EB267" s="419"/>
      <c r="EC267" s="419"/>
      <c r="ED267" s="421"/>
      <c r="EE267" s="421"/>
      <c r="EF267" s="419"/>
      <c r="EG267" s="421"/>
      <c r="EH267" s="424">
        <f t="shared" ref="EH267:EH330" si="129">CS267+CW267+DA267+DE267+DI267+DM267+DQ267+DU267+DY267+EC267+EF267</f>
        <v>0</v>
      </c>
      <c r="EI267" s="424">
        <f t="shared" ref="EI267:EI330" si="130">COUNTA(CR267,CV267,CZ267,DD267,DH267,DL267,DP267,DT267,DX267,EB267)</f>
        <v>0</v>
      </c>
      <c r="EJ267" s="422">
        <f t="shared" ref="EJ267:EJ330" si="131">IF(EH267&gt;0,CS267/EH267,)</f>
        <v>0</v>
      </c>
      <c r="EK267" s="425">
        <f t="shared" ref="EK267:EK330" si="132">CU267+CY267+DC267+DG267+DK267+DO267+DS267+DW267+EA267+EE267+EG267</f>
        <v>0</v>
      </c>
      <c r="EL267" s="425">
        <f t="shared" ref="EL267:EL330" si="133">COUNTA(CT267,CX267,DB267,DF267,DJ267,DN267,DR267,DV267,DZ267,ED267)</f>
        <v>0</v>
      </c>
      <c r="EM267" s="423">
        <f t="shared" ref="EM267:EM330" si="134">IF(EK267&gt;0,CU267/EK267,)</f>
        <v>0</v>
      </c>
      <c r="EN267" s="424">
        <f t="shared" ref="EN267:EN330" si="135">CN267+EH267</f>
        <v>0</v>
      </c>
      <c r="EO267" s="425">
        <f t="shared" ref="EO267:EO330" si="136">CP267+EK267</f>
        <v>0</v>
      </c>
      <c r="EP267" s="419"/>
      <c r="EQ267" s="421"/>
      <c r="ER267" s="419"/>
      <c r="ES267" s="421"/>
      <c r="ET267" s="419"/>
      <c r="EU267" s="421"/>
      <c r="EV267" s="419"/>
      <c r="EW267" s="421"/>
      <c r="EX267" s="419"/>
      <c r="EY267" s="421"/>
      <c r="EZ267" s="419"/>
      <c r="FA267" s="421"/>
      <c r="FB267" s="419"/>
      <c r="FC267" s="421"/>
      <c r="FD267" s="419"/>
      <c r="FE267" s="421"/>
      <c r="FF267" s="419"/>
      <c r="FG267" s="421"/>
      <c r="FH267" s="419"/>
      <c r="FI267" s="421"/>
      <c r="FJ267" s="424">
        <f t="shared" ref="FJ267:FJ330" si="137">EP267+ER267+ET267+EV267+EX267+EZ267+FB267+FD267+FF267+FH267</f>
        <v>0</v>
      </c>
      <c r="FK267" s="425">
        <f t="shared" ref="FK267:FK330" si="138">EQ267+ES267+EU267+EW267+EY267+FA267+FC267+FE267+FG267+FI267</f>
        <v>0</v>
      </c>
      <c r="FL267" s="419"/>
      <c r="FM267" s="421"/>
      <c r="FN267" s="424">
        <f t="shared" ref="FN267:FN330" si="139">F267+H267+J267+N267+AV267+EN267+FJ267+FL267</f>
        <v>835</v>
      </c>
      <c r="FO267" s="425">
        <f t="shared" ref="FO267:FO330" si="140">G267+I267+K267+S267+AW267+EO267+FK267+FM267</f>
        <v>1009</v>
      </c>
    </row>
    <row r="268" spans="1:171" customFormat="1" ht="15" customHeight="1">
      <c r="A268" s="460" t="s">
        <v>162</v>
      </c>
      <c r="B268" s="36" t="s">
        <v>787</v>
      </c>
      <c r="C268" s="123"/>
      <c r="D268" s="34">
        <v>197850</v>
      </c>
      <c r="E268" s="124">
        <v>9</v>
      </c>
      <c r="F268" s="419">
        <v>254</v>
      </c>
      <c r="G268" s="462">
        <v>594</v>
      </c>
      <c r="H268" s="419"/>
      <c r="I268" s="421"/>
      <c r="J268" s="419">
        <v>283</v>
      </c>
      <c r="K268" s="311">
        <v>290</v>
      </c>
      <c r="L268" s="422">
        <f t="shared" si="119"/>
        <v>0</v>
      </c>
      <c r="M268" s="423">
        <f t="shared" si="120"/>
        <v>0</v>
      </c>
      <c r="N268" s="419"/>
      <c r="O268" s="309">
        <f>0</f>
        <v>0</v>
      </c>
      <c r="P268" s="309">
        <f>0</f>
        <v>0</v>
      </c>
      <c r="Q268" s="309">
        <f>0</f>
        <v>0</v>
      </c>
      <c r="R268" s="424">
        <f t="shared" si="117"/>
        <v>0</v>
      </c>
      <c r="S268" s="421"/>
      <c r="T268" s="301">
        <f>0</f>
        <v>0</v>
      </c>
      <c r="U268" s="301">
        <f>0</f>
        <v>0</v>
      </c>
      <c r="V268" s="301">
        <f>0</f>
        <v>0</v>
      </c>
      <c r="W268" s="425">
        <f t="shared" si="118"/>
        <v>0</v>
      </c>
      <c r="X268" s="419"/>
      <c r="Y268" s="419"/>
      <c r="Z268" s="421"/>
      <c r="AA268" s="421"/>
      <c r="AB268" s="419"/>
      <c r="AC268" s="419"/>
      <c r="AD268" s="421"/>
      <c r="AE268" s="421"/>
      <c r="AF268" s="419"/>
      <c r="AG268" s="419"/>
      <c r="AH268" s="421"/>
      <c r="AI268" s="421"/>
      <c r="AJ268" s="419"/>
      <c r="AK268" s="419"/>
      <c r="AL268" s="421"/>
      <c r="AM268" s="421"/>
      <c r="AN268" s="419"/>
      <c r="AO268" s="419"/>
      <c r="AP268" s="421"/>
      <c r="AQ268" s="421"/>
      <c r="AR268" s="424">
        <f t="shared" si="121"/>
        <v>0</v>
      </c>
      <c r="AS268" s="422">
        <f t="shared" si="122"/>
        <v>0</v>
      </c>
      <c r="AT268" s="425">
        <f t="shared" si="123"/>
        <v>0</v>
      </c>
      <c r="AU268" s="423">
        <f t="shared" si="124"/>
        <v>0</v>
      </c>
      <c r="AV268" s="419"/>
      <c r="AW268" s="421"/>
      <c r="AX268" s="419"/>
      <c r="AY268" s="419"/>
      <c r="AZ268" s="421"/>
      <c r="BA268" s="421"/>
      <c r="BB268" s="419"/>
      <c r="BC268" s="419"/>
      <c r="BD268" s="421"/>
      <c r="BE268" s="421"/>
      <c r="BF268" s="419"/>
      <c r="BG268" s="419"/>
      <c r="BH268" s="421"/>
      <c r="BI268" s="421"/>
      <c r="BJ268" s="419"/>
      <c r="BK268" s="419"/>
      <c r="BL268" s="421"/>
      <c r="BM268" s="421"/>
      <c r="BN268" s="419"/>
      <c r="BO268" s="419"/>
      <c r="BP268" s="421"/>
      <c r="BQ268" s="421"/>
      <c r="BR268" s="419"/>
      <c r="BS268" s="419"/>
      <c r="BT268" s="421"/>
      <c r="BU268" s="421"/>
      <c r="BV268" s="419"/>
      <c r="BW268" s="419"/>
      <c r="BX268" s="421"/>
      <c r="BY268" s="421"/>
      <c r="BZ268" s="419"/>
      <c r="CA268" s="419"/>
      <c r="CB268" s="421"/>
      <c r="CC268" s="421"/>
      <c r="CD268" s="419"/>
      <c r="CE268" s="419"/>
      <c r="CF268" s="421"/>
      <c r="CG268" s="421"/>
      <c r="CH268" s="419"/>
      <c r="CI268" s="419"/>
      <c r="CJ268" s="421"/>
      <c r="CK268" s="421"/>
      <c r="CL268" s="419"/>
      <c r="CM268" s="421"/>
      <c r="CN268" s="424">
        <f t="shared" si="125"/>
        <v>0</v>
      </c>
      <c r="CO268" s="424">
        <f t="shared" si="126"/>
        <v>0</v>
      </c>
      <c r="CP268" s="425">
        <f t="shared" si="127"/>
        <v>0</v>
      </c>
      <c r="CQ268" s="425">
        <f t="shared" si="128"/>
        <v>0</v>
      </c>
      <c r="CR268" s="419"/>
      <c r="CS268" s="419"/>
      <c r="CT268" s="421"/>
      <c r="CU268" s="421"/>
      <c r="CV268" s="419"/>
      <c r="CW268" s="419"/>
      <c r="CX268" s="421"/>
      <c r="CY268" s="421"/>
      <c r="CZ268" s="419"/>
      <c r="DA268" s="419"/>
      <c r="DB268" s="421"/>
      <c r="DC268" s="421"/>
      <c r="DD268" s="419"/>
      <c r="DE268" s="419"/>
      <c r="DF268" s="421"/>
      <c r="DG268" s="421"/>
      <c r="DH268" s="419"/>
      <c r="DI268" s="419"/>
      <c r="DJ268" s="421"/>
      <c r="DK268" s="421"/>
      <c r="DL268" s="419"/>
      <c r="DM268" s="419"/>
      <c r="DN268" s="421"/>
      <c r="DO268" s="421"/>
      <c r="DP268" s="419"/>
      <c r="DQ268" s="419"/>
      <c r="DR268" s="421"/>
      <c r="DS268" s="421"/>
      <c r="DT268" s="419"/>
      <c r="DU268" s="419"/>
      <c r="DV268" s="421"/>
      <c r="DW268" s="421"/>
      <c r="DX268" s="419"/>
      <c r="DY268" s="419"/>
      <c r="DZ268" s="421"/>
      <c r="EA268" s="421"/>
      <c r="EB268" s="419"/>
      <c r="EC268" s="419"/>
      <c r="ED268" s="421"/>
      <c r="EE268" s="421"/>
      <c r="EF268" s="419"/>
      <c r="EG268" s="421"/>
      <c r="EH268" s="424">
        <f t="shared" si="129"/>
        <v>0</v>
      </c>
      <c r="EI268" s="424">
        <f t="shared" si="130"/>
        <v>0</v>
      </c>
      <c r="EJ268" s="422">
        <f t="shared" si="131"/>
        <v>0</v>
      </c>
      <c r="EK268" s="425">
        <f t="shared" si="132"/>
        <v>0</v>
      </c>
      <c r="EL268" s="425">
        <f t="shared" si="133"/>
        <v>0</v>
      </c>
      <c r="EM268" s="423">
        <f t="shared" si="134"/>
        <v>0</v>
      </c>
      <c r="EN268" s="424">
        <f t="shared" si="135"/>
        <v>0</v>
      </c>
      <c r="EO268" s="425">
        <f t="shared" si="136"/>
        <v>0</v>
      </c>
      <c r="EP268" s="419"/>
      <c r="EQ268" s="421"/>
      <c r="ER268" s="419"/>
      <c r="ES268" s="421"/>
      <c r="ET268" s="419"/>
      <c r="EU268" s="421"/>
      <c r="EV268" s="419"/>
      <c r="EW268" s="421"/>
      <c r="EX268" s="419"/>
      <c r="EY268" s="421"/>
      <c r="EZ268" s="419"/>
      <c r="FA268" s="421"/>
      <c r="FB268" s="419"/>
      <c r="FC268" s="421"/>
      <c r="FD268" s="419"/>
      <c r="FE268" s="421"/>
      <c r="FF268" s="419"/>
      <c r="FG268" s="421"/>
      <c r="FH268" s="419"/>
      <c r="FI268" s="421"/>
      <c r="FJ268" s="424">
        <f t="shared" si="137"/>
        <v>0</v>
      </c>
      <c r="FK268" s="425">
        <f t="shared" si="138"/>
        <v>0</v>
      </c>
      <c r="FL268" s="419"/>
      <c r="FM268" s="421"/>
      <c r="FN268" s="424">
        <f t="shared" si="139"/>
        <v>537</v>
      </c>
      <c r="FO268" s="425">
        <f t="shared" si="140"/>
        <v>884</v>
      </c>
    </row>
    <row r="269" spans="1:171" customFormat="1" ht="15" customHeight="1">
      <c r="A269" s="460" t="s">
        <v>162</v>
      </c>
      <c r="B269" s="36" t="s">
        <v>788</v>
      </c>
      <c r="C269" s="121"/>
      <c r="D269" s="34">
        <v>199740</v>
      </c>
      <c r="E269" s="124">
        <v>9</v>
      </c>
      <c r="F269" s="419">
        <v>215</v>
      </c>
      <c r="G269" s="310">
        <v>270</v>
      </c>
      <c r="H269" s="419"/>
      <c r="I269" s="421"/>
      <c r="J269" s="419">
        <v>421</v>
      </c>
      <c r="K269" s="311">
        <v>393</v>
      </c>
      <c r="L269" s="422">
        <f t="shared" si="119"/>
        <v>0</v>
      </c>
      <c r="M269" s="423">
        <f t="shared" si="120"/>
        <v>0</v>
      </c>
      <c r="N269" s="419"/>
      <c r="O269" s="309">
        <f>0</f>
        <v>0</v>
      </c>
      <c r="P269" s="309">
        <f>0</f>
        <v>0</v>
      </c>
      <c r="Q269" s="309">
        <f>0</f>
        <v>0</v>
      </c>
      <c r="R269" s="424">
        <f t="shared" si="117"/>
        <v>0</v>
      </c>
      <c r="S269" s="421"/>
      <c r="T269" s="301">
        <f>0</f>
        <v>0</v>
      </c>
      <c r="U269" s="301">
        <f>0</f>
        <v>0</v>
      </c>
      <c r="V269" s="301">
        <f>0</f>
        <v>0</v>
      </c>
      <c r="W269" s="425">
        <f t="shared" si="118"/>
        <v>0</v>
      </c>
      <c r="X269" s="419"/>
      <c r="Y269" s="419"/>
      <c r="Z269" s="421"/>
      <c r="AA269" s="421"/>
      <c r="AB269" s="419"/>
      <c r="AC269" s="419"/>
      <c r="AD269" s="421"/>
      <c r="AE269" s="421"/>
      <c r="AF269" s="419"/>
      <c r="AG269" s="419"/>
      <c r="AH269" s="421"/>
      <c r="AI269" s="421"/>
      <c r="AJ269" s="419"/>
      <c r="AK269" s="419"/>
      <c r="AL269" s="421"/>
      <c r="AM269" s="421"/>
      <c r="AN269" s="419"/>
      <c r="AO269" s="419"/>
      <c r="AP269" s="421"/>
      <c r="AQ269" s="421"/>
      <c r="AR269" s="424">
        <f t="shared" si="121"/>
        <v>0</v>
      </c>
      <c r="AS269" s="422">
        <f t="shared" si="122"/>
        <v>0</v>
      </c>
      <c r="AT269" s="425">
        <f t="shared" si="123"/>
        <v>0</v>
      </c>
      <c r="AU269" s="423">
        <f t="shared" si="124"/>
        <v>0</v>
      </c>
      <c r="AV269" s="419"/>
      <c r="AW269" s="421"/>
      <c r="AX269" s="419"/>
      <c r="AY269" s="419"/>
      <c r="AZ269" s="421"/>
      <c r="BA269" s="421"/>
      <c r="BB269" s="419"/>
      <c r="BC269" s="419"/>
      <c r="BD269" s="421"/>
      <c r="BE269" s="421"/>
      <c r="BF269" s="419"/>
      <c r="BG269" s="419"/>
      <c r="BH269" s="421"/>
      <c r="BI269" s="421"/>
      <c r="BJ269" s="419"/>
      <c r="BK269" s="419"/>
      <c r="BL269" s="421"/>
      <c r="BM269" s="421"/>
      <c r="BN269" s="419"/>
      <c r="BO269" s="419"/>
      <c r="BP269" s="421"/>
      <c r="BQ269" s="421"/>
      <c r="BR269" s="419"/>
      <c r="BS269" s="419"/>
      <c r="BT269" s="421"/>
      <c r="BU269" s="421"/>
      <c r="BV269" s="419"/>
      <c r="BW269" s="419"/>
      <c r="BX269" s="421"/>
      <c r="BY269" s="421"/>
      <c r="BZ269" s="419"/>
      <c r="CA269" s="419"/>
      <c r="CB269" s="421"/>
      <c r="CC269" s="421"/>
      <c r="CD269" s="419"/>
      <c r="CE269" s="419"/>
      <c r="CF269" s="421"/>
      <c r="CG269" s="421"/>
      <c r="CH269" s="419"/>
      <c r="CI269" s="419"/>
      <c r="CJ269" s="421"/>
      <c r="CK269" s="421"/>
      <c r="CL269" s="419"/>
      <c r="CM269" s="421"/>
      <c r="CN269" s="424">
        <f t="shared" si="125"/>
        <v>0</v>
      </c>
      <c r="CO269" s="424">
        <f t="shared" si="126"/>
        <v>0</v>
      </c>
      <c r="CP269" s="425">
        <f t="shared" si="127"/>
        <v>0</v>
      </c>
      <c r="CQ269" s="425">
        <f t="shared" si="128"/>
        <v>0</v>
      </c>
      <c r="CR269" s="419"/>
      <c r="CS269" s="419"/>
      <c r="CT269" s="421"/>
      <c r="CU269" s="421"/>
      <c r="CV269" s="419"/>
      <c r="CW269" s="419"/>
      <c r="CX269" s="421"/>
      <c r="CY269" s="421"/>
      <c r="CZ269" s="419"/>
      <c r="DA269" s="419"/>
      <c r="DB269" s="421"/>
      <c r="DC269" s="421"/>
      <c r="DD269" s="419"/>
      <c r="DE269" s="419"/>
      <c r="DF269" s="421"/>
      <c r="DG269" s="421"/>
      <c r="DH269" s="419"/>
      <c r="DI269" s="419"/>
      <c r="DJ269" s="421"/>
      <c r="DK269" s="421"/>
      <c r="DL269" s="419"/>
      <c r="DM269" s="419"/>
      <c r="DN269" s="421"/>
      <c r="DO269" s="421"/>
      <c r="DP269" s="419"/>
      <c r="DQ269" s="419"/>
      <c r="DR269" s="421"/>
      <c r="DS269" s="421"/>
      <c r="DT269" s="419"/>
      <c r="DU269" s="419"/>
      <c r="DV269" s="421"/>
      <c r="DW269" s="421"/>
      <c r="DX269" s="419"/>
      <c r="DY269" s="419"/>
      <c r="DZ269" s="421"/>
      <c r="EA269" s="421"/>
      <c r="EB269" s="419"/>
      <c r="EC269" s="419"/>
      <c r="ED269" s="421"/>
      <c r="EE269" s="421"/>
      <c r="EF269" s="419"/>
      <c r="EG269" s="421"/>
      <c r="EH269" s="424">
        <f t="shared" si="129"/>
        <v>0</v>
      </c>
      <c r="EI269" s="424">
        <f t="shared" si="130"/>
        <v>0</v>
      </c>
      <c r="EJ269" s="422">
        <f t="shared" si="131"/>
        <v>0</v>
      </c>
      <c r="EK269" s="425">
        <f t="shared" si="132"/>
        <v>0</v>
      </c>
      <c r="EL269" s="425">
        <f t="shared" si="133"/>
        <v>0</v>
      </c>
      <c r="EM269" s="423">
        <f t="shared" si="134"/>
        <v>0</v>
      </c>
      <c r="EN269" s="424">
        <f t="shared" si="135"/>
        <v>0</v>
      </c>
      <c r="EO269" s="425">
        <f t="shared" si="136"/>
        <v>0</v>
      </c>
      <c r="EP269" s="419"/>
      <c r="EQ269" s="421"/>
      <c r="ER269" s="419"/>
      <c r="ES269" s="421"/>
      <c r="ET269" s="419"/>
      <c r="EU269" s="421"/>
      <c r="EV269" s="419"/>
      <c r="EW269" s="421"/>
      <c r="EX269" s="419"/>
      <c r="EY269" s="421"/>
      <c r="EZ269" s="419"/>
      <c r="FA269" s="421"/>
      <c r="FB269" s="419"/>
      <c r="FC269" s="421"/>
      <c r="FD269" s="419"/>
      <c r="FE269" s="421"/>
      <c r="FF269" s="419"/>
      <c r="FG269" s="421"/>
      <c r="FH269" s="419"/>
      <c r="FI269" s="421"/>
      <c r="FJ269" s="424">
        <f t="shared" si="137"/>
        <v>0</v>
      </c>
      <c r="FK269" s="425">
        <f t="shared" si="138"/>
        <v>0</v>
      </c>
      <c r="FL269" s="419"/>
      <c r="FM269" s="421"/>
      <c r="FN269" s="424">
        <f t="shared" si="139"/>
        <v>636</v>
      </c>
      <c r="FO269" s="425">
        <f t="shared" si="140"/>
        <v>663</v>
      </c>
    </row>
    <row r="270" spans="1:171" customFormat="1" ht="15" customHeight="1">
      <c r="A270" s="460" t="s">
        <v>162</v>
      </c>
      <c r="B270" s="36" t="s">
        <v>789</v>
      </c>
      <c r="C270" s="121"/>
      <c r="D270" s="34">
        <v>199768</v>
      </c>
      <c r="E270" s="124">
        <v>9</v>
      </c>
      <c r="F270" s="419">
        <v>286</v>
      </c>
      <c r="G270" s="311">
        <v>267</v>
      </c>
      <c r="H270" s="419"/>
      <c r="I270" s="421"/>
      <c r="J270" s="419">
        <v>463</v>
      </c>
      <c r="K270" s="311">
        <v>511</v>
      </c>
      <c r="L270" s="422">
        <f t="shared" si="119"/>
        <v>0</v>
      </c>
      <c r="M270" s="423">
        <f t="shared" si="120"/>
        <v>0</v>
      </c>
      <c r="N270" s="419"/>
      <c r="O270" s="309">
        <f>0</f>
        <v>0</v>
      </c>
      <c r="P270" s="309">
        <f>0</f>
        <v>0</v>
      </c>
      <c r="Q270" s="309">
        <f>0</f>
        <v>0</v>
      </c>
      <c r="R270" s="424">
        <f t="shared" si="117"/>
        <v>0</v>
      </c>
      <c r="S270" s="421"/>
      <c r="T270" s="301">
        <f>0</f>
        <v>0</v>
      </c>
      <c r="U270" s="301">
        <f>0</f>
        <v>0</v>
      </c>
      <c r="V270" s="301">
        <f>0</f>
        <v>0</v>
      </c>
      <c r="W270" s="425">
        <f t="shared" si="118"/>
        <v>0</v>
      </c>
      <c r="X270" s="419"/>
      <c r="Y270" s="419"/>
      <c r="Z270" s="421"/>
      <c r="AA270" s="421"/>
      <c r="AB270" s="419"/>
      <c r="AC270" s="419"/>
      <c r="AD270" s="421"/>
      <c r="AE270" s="421"/>
      <c r="AF270" s="419"/>
      <c r="AG270" s="419"/>
      <c r="AH270" s="421"/>
      <c r="AI270" s="421"/>
      <c r="AJ270" s="419"/>
      <c r="AK270" s="419"/>
      <c r="AL270" s="421"/>
      <c r="AM270" s="421"/>
      <c r="AN270" s="419"/>
      <c r="AO270" s="419"/>
      <c r="AP270" s="421"/>
      <c r="AQ270" s="421"/>
      <c r="AR270" s="424">
        <f t="shared" si="121"/>
        <v>0</v>
      </c>
      <c r="AS270" s="422">
        <f t="shared" si="122"/>
        <v>0</v>
      </c>
      <c r="AT270" s="425">
        <f t="shared" si="123"/>
        <v>0</v>
      </c>
      <c r="AU270" s="423">
        <f t="shared" si="124"/>
        <v>0</v>
      </c>
      <c r="AV270" s="419"/>
      <c r="AW270" s="421"/>
      <c r="AX270" s="419"/>
      <c r="AY270" s="419"/>
      <c r="AZ270" s="421"/>
      <c r="BA270" s="421"/>
      <c r="BB270" s="419"/>
      <c r="BC270" s="419"/>
      <c r="BD270" s="421"/>
      <c r="BE270" s="421"/>
      <c r="BF270" s="419"/>
      <c r="BG270" s="419"/>
      <c r="BH270" s="421"/>
      <c r="BI270" s="421"/>
      <c r="BJ270" s="419"/>
      <c r="BK270" s="419"/>
      <c r="BL270" s="421"/>
      <c r="BM270" s="421"/>
      <c r="BN270" s="419"/>
      <c r="BO270" s="419"/>
      <c r="BP270" s="421"/>
      <c r="BQ270" s="421"/>
      <c r="BR270" s="419"/>
      <c r="BS270" s="419"/>
      <c r="BT270" s="421"/>
      <c r="BU270" s="421"/>
      <c r="BV270" s="419"/>
      <c r="BW270" s="419"/>
      <c r="BX270" s="421"/>
      <c r="BY270" s="421"/>
      <c r="BZ270" s="419"/>
      <c r="CA270" s="419"/>
      <c r="CB270" s="421"/>
      <c r="CC270" s="421"/>
      <c r="CD270" s="419"/>
      <c r="CE270" s="419"/>
      <c r="CF270" s="421"/>
      <c r="CG270" s="421"/>
      <c r="CH270" s="419"/>
      <c r="CI270" s="419"/>
      <c r="CJ270" s="421"/>
      <c r="CK270" s="421"/>
      <c r="CL270" s="419"/>
      <c r="CM270" s="421"/>
      <c r="CN270" s="424">
        <f t="shared" si="125"/>
        <v>0</v>
      </c>
      <c r="CO270" s="424">
        <f t="shared" si="126"/>
        <v>0</v>
      </c>
      <c r="CP270" s="425">
        <f t="shared" si="127"/>
        <v>0</v>
      </c>
      <c r="CQ270" s="425">
        <f t="shared" si="128"/>
        <v>0</v>
      </c>
      <c r="CR270" s="419"/>
      <c r="CS270" s="419"/>
      <c r="CT270" s="421"/>
      <c r="CU270" s="421"/>
      <c r="CV270" s="419"/>
      <c r="CW270" s="419"/>
      <c r="CX270" s="421"/>
      <c r="CY270" s="421"/>
      <c r="CZ270" s="419"/>
      <c r="DA270" s="419"/>
      <c r="DB270" s="421"/>
      <c r="DC270" s="421"/>
      <c r="DD270" s="419"/>
      <c r="DE270" s="419"/>
      <c r="DF270" s="421"/>
      <c r="DG270" s="421"/>
      <c r="DH270" s="419"/>
      <c r="DI270" s="419"/>
      <c r="DJ270" s="421"/>
      <c r="DK270" s="421"/>
      <c r="DL270" s="419"/>
      <c r="DM270" s="419"/>
      <c r="DN270" s="421"/>
      <c r="DO270" s="421"/>
      <c r="DP270" s="419"/>
      <c r="DQ270" s="419"/>
      <c r="DR270" s="421"/>
      <c r="DS270" s="421"/>
      <c r="DT270" s="419"/>
      <c r="DU270" s="419"/>
      <c r="DV270" s="421"/>
      <c r="DW270" s="421"/>
      <c r="DX270" s="419"/>
      <c r="DY270" s="419"/>
      <c r="DZ270" s="421"/>
      <c r="EA270" s="421"/>
      <c r="EB270" s="419"/>
      <c r="EC270" s="419"/>
      <c r="ED270" s="421"/>
      <c r="EE270" s="421"/>
      <c r="EF270" s="419"/>
      <c r="EG270" s="421"/>
      <c r="EH270" s="424">
        <f t="shared" si="129"/>
        <v>0</v>
      </c>
      <c r="EI270" s="424">
        <f t="shared" si="130"/>
        <v>0</v>
      </c>
      <c r="EJ270" s="422">
        <f t="shared" si="131"/>
        <v>0</v>
      </c>
      <c r="EK270" s="425">
        <f t="shared" si="132"/>
        <v>0</v>
      </c>
      <c r="EL270" s="425">
        <f t="shared" si="133"/>
        <v>0</v>
      </c>
      <c r="EM270" s="423">
        <f t="shared" si="134"/>
        <v>0</v>
      </c>
      <c r="EN270" s="424">
        <f t="shared" si="135"/>
        <v>0</v>
      </c>
      <c r="EO270" s="425">
        <f t="shared" si="136"/>
        <v>0</v>
      </c>
      <c r="EP270" s="419"/>
      <c r="EQ270" s="421"/>
      <c r="ER270" s="419"/>
      <c r="ES270" s="421"/>
      <c r="ET270" s="419"/>
      <c r="EU270" s="421"/>
      <c r="EV270" s="419"/>
      <c r="EW270" s="421"/>
      <c r="EX270" s="419"/>
      <c r="EY270" s="421"/>
      <c r="EZ270" s="419"/>
      <c r="FA270" s="421"/>
      <c r="FB270" s="419"/>
      <c r="FC270" s="421"/>
      <c r="FD270" s="419"/>
      <c r="FE270" s="421"/>
      <c r="FF270" s="419"/>
      <c r="FG270" s="421"/>
      <c r="FH270" s="419"/>
      <c r="FI270" s="421"/>
      <c r="FJ270" s="424">
        <f t="shared" si="137"/>
        <v>0</v>
      </c>
      <c r="FK270" s="425">
        <f t="shared" si="138"/>
        <v>0</v>
      </c>
      <c r="FL270" s="419"/>
      <c r="FM270" s="421"/>
      <c r="FN270" s="424">
        <f t="shared" si="139"/>
        <v>749</v>
      </c>
      <c r="FO270" s="425">
        <f t="shared" si="140"/>
        <v>778</v>
      </c>
    </row>
    <row r="271" spans="1:171" customFormat="1" ht="15" customHeight="1">
      <c r="A271" s="460" t="s">
        <v>162</v>
      </c>
      <c r="B271" s="36" t="s">
        <v>790</v>
      </c>
      <c r="C271" s="121"/>
      <c r="D271" s="34">
        <v>199838</v>
      </c>
      <c r="E271" s="124">
        <v>9</v>
      </c>
      <c r="F271" s="419">
        <v>192</v>
      </c>
      <c r="G271" s="311">
        <v>191</v>
      </c>
      <c r="H271" s="419"/>
      <c r="I271" s="421"/>
      <c r="J271" s="419">
        <v>457</v>
      </c>
      <c r="K271" s="311">
        <v>452</v>
      </c>
      <c r="L271" s="422">
        <f t="shared" si="119"/>
        <v>0</v>
      </c>
      <c r="M271" s="423">
        <f t="shared" si="120"/>
        <v>0</v>
      </c>
      <c r="N271" s="419"/>
      <c r="O271" s="309">
        <f>0</f>
        <v>0</v>
      </c>
      <c r="P271" s="309">
        <f>0</f>
        <v>0</v>
      </c>
      <c r="Q271" s="309">
        <f>0</f>
        <v>0</v>
      </c>
      <c r="R271" s="424">
        <f t="shared" si="117"/>
        <v>0</v>
      </c>
      <c r="S271" s="421"/>
      <c r="T271" s="301">
        <f>0</f>
        <v>0</v>
      </c>
      <c r="U271" s="301">
        <f>0</f>
        <v>0</v>
      </c>
      <c r="V271" s="301">
        <f>0</f>
        <v>0</v>
      </c>
      <c r="W271" s="425">
        <f t="shared" si="118"/>
        <v>0</v>
      </c>
      <c r="X271" s="419"/>
      <c r="Y271" s="419"/>
      <c r="Z271" s="421"/>
      <c r="AA271" s="421"/>
      <c r="AB271" s="419"/>
      <c r="AC271" s="419"/>
      <c r="AD271" s="421"/>
      <c r="AE271" s="421"/>
      <c r="AF271" s="419"/>
      <c r="AG271" s="419"/>
      <c r="AH271" s="421"/>
      <c r="AI271" s="421"/>
      <c r="AJ271" s="419"/>
      <c r="AK271" s="419"/>
      <c r="AL271" s="421"/>
      <c r="AM271" s="421"/>
      <c r="AN271" s="419"/>
      <c r="AO271" s="419"/>
      <c r="AP271" s="421"/>
      <c r="AQ271" s="421"/>
      <c r="AR271" s="424">
        <f t="shared" si="121"/>
        <v>0</v>
      </c>
      <c r="AS271" s="422">
        <f t="shared" si="122"/>
        <v>0</v>
      </c>
      <c r="AT271" s="425">
        <f t="shared" si="123"/>
        <v>0</v>
      </c>
      <c r="AU271" s="423">
        <f t="shared" si="124"/>
        <v>0</v>
      </c>
      <c r="AV271" s="419"/>
      <c r="AW271" s="421"/>
      <c r="AX271" s="419"/>
      <c r="AY271" s="419"/>
      <c r="AZ271" s="421"/>
      <c r="BA271" s="421"/>
      <c r="BB271" s="419"/>
      <c r="BC271" s="419"/>
      <c r="BD271" s="421"/>
      <c r="BE271" s="421"/>
      <c r="BF271" s="419"/>
      <c r="BG271" s="419"/>
      <c r="BH271" s="421"/>
      <c r="BI271" s="421"/>
      <c r="BJ271" s="419"/>
      <c r="BK271" s="419"/>
      <c r="BL271" s="421"/>
      <c r="BM271" s="421"/>
      <c r="BN271" s="419"/>
      <c r="BO271" s="419"/>
      <c r="BP271" s="421"/>
      <c r="BQ271" s="421"/>
      <c r="BR271" s="419"/>
      <c r="BS271" s="419"/>
      <c r="BT271" s="421"/>
      <c r="BU271" s="421"/>
      <c r="BV271" s="419"/>
      <c r="BW271" s="419"/>
      <c r="BX271" s="421"/>
      <c r="BY271" s="421"/>
      <c r="BZ271" s="419"/>
      <c r="CA271" s="419"/>
      <c r="CB271" s="421"/>
      <c r="CC271" s="421"/>
      <c r="CD271" s="419"/>
      <c r="CE271" s="419"/>
      <c r="CF271" s="421"/>
      <c r="CG271" s="421"/>
      <c r="CH271" s="419"/>
      <c r="CI271" s="419"/>
      <c r="CJ271" s="421"/>
      <c r="CK271" s="421"/>
      <c r="CL271" s="419"/>
      <c r="CM271" s="421"/>
      <c r="CN271" s="424">
        <f t="shared" si="125"/>
        <v>0</v>
      </c>
      <c r="CO271" s="424">
        <f t="shared" si="126"/>
        <v>0</v>
      </c>
      <c r="CP271" s="425">
        <f t="shared" si="127"/>
        <v>0</v>
      </c>
      <c r="CQ271" s="425">
        <f t="shared" si="128"/>
        <v>0</v>
      </c>
      <c r="CR271" s="419"/>
      <c r="CS271" s="419"/>
      <c r="CT271" s="421"/>
      <c r="CU271" s="421"/>
      <c r="CV271" s="419"/>
      <c r="CW271" s="419"/>
      <c r="CX271" s="421"/>
      <c r="CY271" s="421"/>
      <c r="CZ271" s="419"/>
      <c r="DA271" s="419"/>
      <c r="DB271" s="421"/>
      <c r="DC271" s="421"/>
      <c r="DD271" s="419"/>
      <c r="DE271" s="419"/>
      <c r="DF271" s="421"/>
      <c r="DG271" s="421"/>
      <c r="DH271" s="419"/>
      <c r="DI271" s="419"/>
      <c r="DJ271" s="421"/>
      <c r="DK271" s="421"/>
      <c r="DL271" s="419"/>
      <c r="DM271" s="419"/>
      <c r="DN271" s="421"/>
      <c r="DO271" s="421"/>
      <c r="DP271" s="419"/>
      <c r="DQ271" s="419"/>
      <c r="DR271" s="421"/>
      <c r="DS271" s="421"/>
      <c r="DT271" s="419"/>
      <c r="DU271" s="419"/>
      <c r="DV271" s="421"/>
      <c r="DW271" s="421"/>
      <c r="DX271" s="419"/>
      <c r="DY271" s="419"/>
      <c r="DZ271" s="421"/>
      <c r="EA271" s="421"/>
      <c r="EB271" s="419"/>
      <c r="EC271" s="419"/>
      <c r="ED271" s="421"/>
      <c r="EE271" s="421"/>
      <c r="EF271" s="419"/>
      <c r="EG271" s="421"/>
      <c r="EH271" s="424">
        <f t="shared" si="129"/>
        <v>0</v>
      </c>
      <c r="EI271" s="424">
        <f t="shared" si="130"/>
        <v>0</v>
      </c>
      <c r="EJ271" s="422">
        <f t="shared" si="131"/>
        <v>0</v>
      </c>
      <c r="EK271" s="425">
        <f t="shared" si="132"/>
        <v>0</v>
      </c>
      <c r="EL271" s="425">
        <f t="shared" si="133"/>
        <v>0</v>
      </c>
      <c r="EM271" s="423">
        <f t="shared" si="134"/>
        <v>0</v>
      </c>
      <c r="EN271" s="424">
        <f t="shared" si="135"/>
        <v>0</v>
      </c>
      <c r="EO271" s="425">
        <f t="shared" si="136"/>
        <v>0</v>
      </c>
      <c r="EP271" s="419"/>
      <c r="EQ271" s="421"/>
      <c r="ER271" s="419"/>
      <c r="ES271" s="421"/>
      <c r="ET271" s="419"/>
      <c r="EU271" s="421"/>
      <c r="EV271" s="419"/>
      <c r="EW271" s="421"/>
      <c r="EX271" s="419"/>
      <c r="EY271" s="421"/>
      <c r="EZ271" s="419"/>
      <c r="FA271" s="421"/>
      <c r="FB271" s="419"/>
      <c r="FC271" s="421"/>
      <c r="FD271" s="419"/>
      <c r="FE271" s="421"/>
      <c r="FF271" s="419"/>
      <c r="FG271" s="421"/>
      <c r="FH271" s="419"/>
      <c r="FI271" s="421"/>
      <c r="FJ271" s="424">
        <f t="shared" si="137"/>
        <v>0</v>
      </c>
      <c r="FK271" s="425">
        <f t="shared" si="138"/>
        <v>0</v>
      </c>
      <c r="FL271" s="419"/>
      <c r="FM271" s="421"/>
      <c r="FN271" s="424">
        <f t="shared" si="139"/>
        <v>649</v>
      </c>
      <c r="FO271" s="425">
        <f t="shared" si="140"/>
        <v>643</v>
      </c>
    </row>
    <row r="272" spans="1:171" customFormat="1" ht="15" customHeight="1">
      <c r="A272" s="460" t="s">
        <v>162</v>
      </c>
      <c r="B272" s="36" t="s">
        <v>791</v>
      </c>
      <c r="C272" s="121"/>
      <c r="D272" s="34">
        <v>199892</v>
      </c>
      <c r="E272" s="124">
        <v>9</v>
      </c>
      <c r="F272" s="419">
        <v>1455</v>
      </c>
      <c r="G272" s="310">
        <v>1047</v>
      </c>
      <c r="H272" s="419"/>
      <c r="I272" s="421"/>
      <c r="J272" s="419">
        <v>680</v>
      </c>
      <c r="K272" s="310">
        <v>532</v>
      </c>
      <c r="L272" s="422">
        <f t="shared" si="119"/>
        <v>0</v>
      </c>
      <c r="M272" s="423">
        <f t="shared" si="120"/>
        <v>0</v>
      </c>
      <c r="N272" s="419"/>
      <c r="O272" s="309">
        <f>0</f>
        <v>0</v>
      </c>
      <c r="P272" s="309">
        <f>0</f>
        <v>0</v>
      </c>
      <c r="Q272" s="309">
        <f>0</f>
        <v>0</v>
      </c>
      <c r="R272" s="424">
        <f t="shared" si="117"/>
        <v>0</v>
      </c>
      <c r="S272" s="421"/>
      <c r="T272" s="301">
        <f>0</f>
        <v>0</v>
      </c>
      <c r="U272" s="301">
        <f>0</f>
        <v>0</v>
      </c>
      <c r="V272" s="301">
        <f>0</f>
        <v>0</v>
      </c>
      <c r="W272" s="425">
        <f t="shared" si="118"/>
        <v>0</v>
      </c>
      <c r="X272" s="419"/>
      <c r="Y272" s="419"/>
      <c r="Z272" s="421"/>
      <c r="AA272" s="421"/>
      <c r="AB272" s="419"/>
      <c r="AC272" s="419"/>
      <c r="AD272" s="421"/>
      <c r="AE272" s="421"/>
      <c r="AF272" s="419"/>
      <c r="AG272" s="419"/>
      <c r="AH272" s="421"/>
      <c r="AI272" s="421"/>
      <c r="AJ272" s="419"/>
      <c r="AK272" s="419"/>
      <c r="AL272" s="421"/>
      <c r="AM272" s="421"/>
      <c r="AN272" s="419"/>
      <c r="AO272" s="419"/>
      <c r="AP272" s="421"/>
      <c r="AQ272" s="421"/>
      <c r="AR272" s="424">
        <f t="shared" si="121"/>
        <v>0</v>
      </c>
      <c r="AS272" s="422">
        <f t="shared" si="122"/>
        <v>0</v>
      </c>
      <c r="AT272" s="425">
        <f t="shared" si="123"/>
        <v>0</v>
      </c>
      <c r="AU272" s="423">
        <f t="shared" si="124"/>
        <v>0</v>
      </c>
      <c r="AV272" s="419"/>
      <c r="AW272" s="421"/>
      <c r="AX272" s="419"/>
      <c r="AY272" s="419"/>
      <c r="AZ272" s="421"/>
      <c r="BA272" s="421"/>
      <c r="BB272" s="419"/>
      <c r="BC272" s="419"/>
      <c r="BD272" s="421"/>
      <c r="BE272" s="421"/>
      <c r="BF272" s="419"/>
      <c r="BG272" s="419"/>
      <c r="BH272" s="421"/>
      <c r="BI272" s="421"/>
      <c r="BJ272" s="419"/>
      <c r="BK272" s="419"/>
      <c r="BL272" s="421"/>
      <c r="BM272" s="421"/>
      <c r="BN272" s="419"/>
      <c r="BO272" s="419"/>
      <c r="BP272" s="421"/>
      <c r="BQ272" s="421"/>
      <c r="BR272" s="419"/>
      <c r="BS272" s="419"/>
      <c r="BT272" s="421"/>
      <c r="BU272" s="421"/>
      <c r="BV272" s="419"/>
      <c r="BW272" s="419"/>
      <c r="BX272" s="421"/>
      <c r="BY272" s="421"/>
      <c r="BZ272" s="419"/>
      <c r="CA272" s="419"/>
      <c r="CB272" s="421"/>
      <c r="CC272" s="421"/>
      <c r="CD272" s="419"/>
      <c r="CE272" s="419"/>
      <c r="CF272" s="421"/>
      <c r="CG272" s="421"/>
      <c r="CH272" s="419"/>
      <c r="CI272" s="419"/>
      <c r="CJ272" s="421"/>
      <c r="CK272" s="421"/>
      <c r="CL272" s="419"/>
      <c r="CM272" s="421"/>
      <c r="CN272" s="424">
        <f t="shared" si="125"/>
        <v>0</v>
      </c>
      <c r="CO272" s="424">
        <f t="shared" si="126"/>
        <v>0</v>
      </c>
      <c r="CP272" s="425">
        <f t="shared" si="127"/>
        <v>0</v>
      </c>
      <c r="CQ272" s="425">
        <f t="shared" si="128"/>
        <v>0</v>
      </c>
      <c r="CR272" s="419"/>
      <c r="CS272" s="419"/>
      <c r="CT272" s="421"/>
      <c r="CU272" s="421"/>
      <c r="CV272" s="419"/>
      <c r="CW272" s="419"/>
      <c r="CX272" s="421"/>
      <c r="CY272" s="421"/>
      <c r="CZ272" s="419"/>
      <c r="DA272" s="419"/>
      <c r="DB272" s="421"/>
      <c r="DC272" s="421"/>
      <c r="DD272" s="419"/>
      <c r="DE272" s="419"/>
      <c r="DF272" s="421"/>
      <c r="DG272" s="421"/>
      <c r="DH272" s="419"/>
      <c r="DI272" s="419"/>
      <c r="DJ272" s="421"/>
      <c r="DK272" s="421"/>
      <c r="DL272" s="419"/>
      <c r="DM272" s="419"/>
      <c r="DN272" s="421"/>
      <c r="DO272" s="421"/>
      <c r="DP272" s="419"/>
      <c r="DQ272" s="419"/>
      <c r="DR272" s="421"/>
      <c r="DS272" s="421"/>
      <c r="DT272" s="419"/>
      <c r="DU272" s="419"/>
      <c r="DV272" s="421"/>
      <c r="DW272" s="421"/>
      <c r="DX272" s="419"/>
      <c r="DY272" s="419"/>
      <c r="DZ272" s="421"/>
      <c r="EA272" s="421"/>
      <c r="EB272" s="419"/>
      <c r="EC272" s="419"/>
      <c r="ED272" s="421"/>
      <c r="EE272" s="421"/>
      <c r="EF272" s="419"/>
      <c r="EG272" s="421"/>
      <c r="EH272" s="424">
        <f t="shared" si="129"/>
        <v>0</v>
      </c>
      <c r="EI272" s="424">
        <f t="shared" si="130"/>
        <v>0</v>
      </c>
      <c r="EJ272" s="422">
        <f t="shared" si="131"/>
        <v>0</v>
      </c>
      <c r="EK272" s="425">
        <f t="shared" si="132"/>
        <v>0</v>
      </c>
      <c r="EL272" s="425">
        <f t="shared" si="133"/>
        <v>0</v>
      </c>
      <c r="EM272" s="423">
        <f t="shared" si="134"/>
        <v>0</v>
      </c>
      <c r="EN272" s="424">
        <f t="shared" si="135"/>
        <v>0</v>
      </c>
      <c r="EO272" s="425">
        <f t="shared" si="136"/>
        <v>0</v>
      </c>
      <c r="EP272" s="419"/>
      <c r="EQ272" s="421"/>
      <c r="ER272" s="419"/>
      <c r="ES272" s="421"/>
      <c r="ET272" s="419"/>
      <c r="EU272" s="421"/>
      <c r="EV272" s="419"/>
      <c r="EW272" s="421"/>
      <c r="EX272" s="419"/>
      <c r="EY272" s="421"/>
      <c r="EZ272" s="419"/>
      <c r="FA272" s="421"/>
      <c r="FB272" s="419"/>
      <c r="FC272" s="421"/>
      <c r="FD272" s="419"/>
      <c r="FE272" s="421"/>
      <c r="FF272" s="419"/>
      <c r="FG272" s="421"/>
      <c r="FH272" s="419"/>
      <c r="FI272" s="421"/>
      <c r="FJ272" s="424">
        <f t="shared" si="137"/>
        <v>0</v>
      </c>
      <c r="FK272" s="425">
        <f t="shared" si="138"/>
        <v>0</v>
      </c>
      <c r="FL272" s="419"/>
      <c r="FM272" s="421"/>
      <c r="FN272" s="424">
        <f t="shared" si="139"/>
        <v>2135</v>
      </c>
      <c r="FO272" s="425">
        <f t="shared" si="140"/>
        <v>1579</v>
      </c>
    </row>
    <row r="273" spans="1:171" customFormat="1" ht="15" customHeight="1">
      <c r="A273" s="460" t="s">
        <v>162</v>
      </c>
      <c r="B273" s="36" t="s">
        <v>792</v>
      </c>
      <c r="C273" s="121"/>
      <c r="D273" s="34">
        <v>199926</v>
      </c>
      <c r="E273" s="124">
        <v>9</v>
      </c>
      <c r="F273" s="419">
        <v>793</v>
      </c>
      <c r="G273" s="310">
        <v>1179</v>
      </c>
      <c r="H273" s="419"/>
      <c r="I273" s="421"/>
      <c r="J273" s="419">
        <v>429</v>
      </c>
      <c r="K273" s="311">
        <v>375</v>
      </c>
      <c r="L273" s="422">
        <f t="shared" si="119"/>
        <v>0</v>
      </c>
      <c r="M273" s="423">
        <f t="shared" si="120"/>
        <v>0</v>
      </c>
      <c r="N273" s="419"/>
      <c r="O273" s="309">
        <f>0</f>
        <v>0</v>
      </c>
      <c r="P273" s="309">
        <f>0</f>
        <v>0</v>
      </c>
      <c r="Q273" s="309">
        <f>0</f>
        <v>0</v>
      </c>
      <c r="R273" s="424">
        <f t="shared" si="117"/>
        <v>0</v>
      </c>
      <c r="S273" s="421"/>
      <c r="T273" s="301">
        <f>0</f>
        <v>0</v>
      </c>
      <c r="U273" s="301">
        <f>0</f>
        <v>0</v>
      </c>
      <c r="V273" s="301">
        <f>0</f>
        <v>0</v>
      </c>
      <c r="W273" s="425">
        <f t="shared" si="118"/>
        <v>0</v>
      </c>
      <c r="X273" s="419"/>
      <c r="Y273" s="419"/>
      <c r="Z273" s="421"/>
      <c r="AA273" s="421"/>
      <c r="AB273" s="419"/>
      <c r="AC273" s="419"/>
      <c r="AD273" s="421"/>
      <c r="AE273" s="421"/>
      <c r="AF273" s="419"/>
      <c r="AG273" s="419"/>
      <c r="AH273" s="421"/>
      <c r="AI273" s="421"/>
      <c r="AJ273" s="419"/>
      <c r="AK273" s="419"/>
      <c r="AL273" s="421"/>
      <c r="AM273" s="421"/>
      <c r="AN273" s="419"/>
      <c r="AO273" s="419"/>
      <c r="AP273" s="421"/>
      <c r="AQ273" s="421"/>
      <c r="AR273" s="424">
        <f t="shared" si="121"/>
        <v>0</v>
      </c>
      <c r="AS273" s="422">
        <f t="shared" si="122"/>
        <v>0</v>
      </c>
      <c r="AT273" s="425">
        <f t="shared" si="123"/>
        <v>0</v>
      </c>
      <c r="AU273" s="423">
        <f t="shared" si="124"/>
        <v>0</v>
      </c>
      <c r="AV273" s="419"/>
      <c r="AW273" s="421"/>
      <c r="AX273" s="419"/>
      <c r="AY273" s="419"/>
      <c r="AZ273" s="421"/>
      <c r="BA273" s="421"/>
      <c r="BB273" s="419"/>
      <c r="BC273" s="419"/>
      <c r="BD273" s="421"/>
      <c r="BE273" s="421"/>
      <c r="BF273" s="419"/>
      <c r="BG273" s="419"/>
      <c r="BH273" s="421"/>
      <c r="BI273" s="421"/>
      <c r="BJ273" s="419"/>
      <c r="BK273" s="419"/>
      <c r="BL273" s="421"/>
      <c r="BM273" s="421"/>
      <c r="BN273" s="419"/>
      <c r="BO273" s="419"/>
      <c r="BP273" s="421"/>
      <c r="BQ273" s="421"/>
      <c r="BR273" s="419"/>
      <c r="BS273" s="419"/>
      <c r="BT273" s="421"/>
      <c r="BU273" s="421"/>
      <c r="BV273" s="419"/>
      <c r="BW273" s="419"/>
      <c r="BX273" s="421"/>
      <c r="BY273" s="421"/>
      <c r="BZ273" s="419"/>
      <c r="CA273" s="419"/>
      <c r="CB273" s="421"/>
      <c r="CC273" s="421"/>
      <c r="CD273" s="419"/>
      <c r="CE273" s="419"/>
      <c r="CF273" s="421"/>
      <c r="CG273" s="421"/>
      <c r="CH273" s="419"/>
      <c r="CI273" s="419"/>
      <c r="CJ273" s="421"/>
      <c r="CK273" s="421"/>
      <c r="CL273" s="419"/>
      <c r="CM273" s="421"/>
      <c r="CN273" s="424">
        <f t="shared" si="125"/>
        <v>0</v>
      </c>
      <c r="CO273" s="424">
        <f t="shared" si="126"/>
        <v>0</v>
      </c>
      <c r="CP273" s="425">
        <f t="shared" si="127"/>
        <v>0</v>
      </c>
      <c r="CQ273" s="425">
        <f t="shared" si="128"/>
        <v>0</v>
      </c>
      <c r="CR273" s="419"/>
      <c r="CS273" s="419"/>
      <c r="CT273" s="421"/>
      <c r="CU273" s="421"/>
      <c r="CV273" s="419"/>
      <c r="CW273" s="419"/>
      <c r="CX273" s="421"/>
      <c r="CY273" s="421"/>
      <c r="CZ273" s="419"/>
      <c r="DA273" s="419"/>
      <c r="DB273" s="421"/>
      <c r="DC273" s="421"/>
      <c r="DD273" s="419"/>
      <c r="DE273" s="419"/>
      <c r="DF273" s="421"/>
      <c r="DG273" s="421"/>
      <c r="DH273" s="419"/>
      <c r="DI273" s="419"/>
      <c r="DJ273" s="421"/>
      <c r="DK273" s="421"/>
      <c r="DL273" s="419"/>
      <c r="DM273" s="419"/>
      <c r="DN273" s="421"/>
      <c r="DO273" s="421"/>
      <c r="DP273" s="419"/>
      <c r="DQ273" s="419"/>
      <c r="DR273" s="421"/>
      <c r="DS273" s="421"/>
      <c r="DT273" s="419"/>
      <c r="DU273" s="419"/>
      <c r="DV273" s="421"/>
      <c r="DW273" s="421"/>
      <c r="DX273" s="419"/>
      <c r="DY273" s="419"/>
      <c r="DZ273" s="421"/>
      <c r="EA273" s="421"/>
      <c r="EB273" s="419"/>
      <c r="EC273" s="419"/>
      <c r="ED273" s="421"/>
      <c r="EE273" s="421"/>
      <c r="EF273" s="419"/>
      <c r="EG273" s="421"/>
      <c r="EH273" s="424">
        <f t="shared" si="129"/>
        <v>0</v>
      </c>
      <c r="EI273" s="424">
        <f t="shared" si="130"/>
        <v>0</v>
      </c>
      <c r="EJ273" s="422">
        <f t="shared" si="131"/>
        <v>0</v>
      </c>
      <c r="EK273" s="425">
        <f t="shared" si="132"/>
        <v>0</v>
      </c>
      <c r="EL273" s="425">
        <f t="shared" si="133"/>
        <v>0</v>
      </c>
      <c r="EM273" s="423">
        <f t="shared" si="134"/>
        <v>0</v>
      </c>
      <c r="EN273" s="424">
        <f t="shared" si="135"/>
        <v>0</v>
      </c>
      <c r="EO273" s="425">
        <f t="shared" si="136"/>
        <v>0</v>
      </c>
      <c r="EP273" s="419"/>
      <c r="EQ273" s="421"/>
      <c r="ER273" s="419"/>
      <c r="ES273" s="421"/>
      <c r="ET273" s="419"/>
      <c r="EU273" s="421"/>
      <c r="EV273" s="419"/>
      <c r="EW273" s="421"/>
      <c r="EX273" s="419"/>
      <c r="EY273" s="421"/>
      <c r="EZ273" s="419"/>
      <c r="FA273" s="421"/>
      <c r="FB273" s="419"/>
      <c r="FC273" s="421"/>
      <c r="FD273" s="419"/>
      <c r="FE273" s="421"/>
      <c r="FF273" s="419"/>
      <c r="FG273" s="421"/>
      <c r="FH273" s="419"/>
      <c r="FI273" s="421"/>
      <c r="FJ273" s="424">
        <f t="shared" si="137"/>
        <v>0</v>
      </c>
      <c r="FK273" s="425">
        <f t="shared" si="138"/>
        <v>0</v>
      </c>
      <c r="FL273" s="419"/>
      <c r="FM273" s="421"/>
      <c r="FN273" s="424">
        <f t="shared" si="139"/>
        <v>1222</v>
      </c>
      <c r="FO273" s="425">
        <f t="shared" si="140"/>
        <v>1554</v>
      </c>
    </row>
    <row r="274" spans="1:171" customFormat="1" ht="15" customHeight="1">
      <c r="A274" s="460" t="s">
        <v>162</v>
      </c>
      <c r="B274" s="36" t="s">
        <v>793</v>
      </c>
      <c r="C274" s="121"/>
      <c r="D274" s="34">
        <v>197966</v>
      </c>
      <c r="E274" s="124">
        <v>10</v>
      </c>
      <c r="F274" s="419">
        <v>400</v>
      </c>
      <c r="G274" s="310">
        <v>553</v>
      </c>
      <c r="H274" s="419"/>
      <c r="I274" s="421"/>
      <c r="J274" s="419">
        <v>335</v>
      </c>
      <c r="K274" s="311">
        <v>376</v>
      </c>
      <c r="L274" s="422">
        <f t="shared" si="119"/>
        <v>0</v>
      </c>
      <c r="M274" s="423">
        <f t="shared" si="120"/>
        <v>0</v>
      </c>
      <c r="N274" s="419"/>
      <c r="O274" s="309">
        <f>0</f>
        <v>0</v>
      </c>
      <c r="P274" s="309">
        <f>0</f>
        <v>0</v>
      </c>
      <c r="Q274" s="309">
        <f>0</f>
        <v>0</v>
      </c>
      <c r="R274" s="424">
        <f t="shared" si="117"/>
        <v>0</v>
      </c>
      <c r="S274" s="421"/>
      <c r="T274" s="301">
        <f>0</f>
        <v>0</v>
      </c>
      <c r="U274" s="301">
        <f>0</f>
        <v>0</v>
      </c>
      <c r="V274" s="301">
        <f>0</f>
        <v>0</v>
      </c>
      <c r="W274" s="425">
        <f t="shared" si="118"/>
        <v>0</v>
      </c>
      <c r="X274" s="419"/>
      <c r="Y274" s="419"/>
      <c r="Z274" s="421"/>
      <c r="AA274" s="421"/>
      <c r="AB274" s="419"/>
      <c r="AC274" s="419"/>
      <c r="AD274" s="421"/>
      <c r="AE274" s="421"/>
      <c r="AF274" s="419"/>
      <c r="AG274" s="419"/>
      <c r="AH274" s="421"/>
      <c r="AI274" s="421"/>
      <c r="AJ274" s="419"/>
      <c r="AK274" s="419"/>
      <c r="AL274" s="421"/>
      <c r="AM274" s="421"/>
      <c r="AN274" s="419"/>
      <c r="AO274" s="419"/>
      <c r="AP274" s="421"/>
      <c r="AQ274" s="421"/>
      <c r="AR274" s="424">
        <f t="shared" si="121"/>
        <v>0</v>
      </c>
      <c r="AS274" s="422">
        <f t="shared" si="122"/>
        <v>0</v>
      </c>
      <c r="AT274" s="425">
        <f t="shared" si="123"/>
        <v>0</v>
      </c>
      <c r="AU274" s="423">
        <f t="shared" si="124"/>
        <v>0</v>
      </c>
      <c r="AV274" s="419"/>
      <c r="AW274" s="421"/>
      <c r="AX274" s="419"/>
      <c r="AY274" s="419"/>
      <c r="AZ274" s="421"/>
      <c r="BA274" s="421"/>
      <c r="BB274" s="419"/>
      <c r="BC274" s="419"/>
      <c r="BD274" s="421"/>
      <c r="BE274" s="421"/>
      <c r="BF274" s="419"/>
      <c r="BG274" s="419"/>
      <c r="BH274" s="421"/>
      <c r="BI274" s="421"/>
      <c r="BJ274" s="419"/>
      <c r="BK274" s="419"/>
      <c r="BL274" s="421"/>
      <c r="BM274" s="421"/>
      <c r="BN274" s="419"/>
      <c r="BO274" s="419"/>
      <c r="BP274" s="421"/>
      <c r="BQ274" s="421"/>
      <c r="BR274" s="419"/>
      <c r="BS274" s="419"/>
      <c r="BT274" s="421"/>
      <c r="BU274" s="421"/>
      <c r="BV274" s="419"/>
      <c r="BW274" s="419"/>
      <c r="BX274" s="421"/>
      <c r="BY274" s="421"/>
      <c r="BZ274" s="419"/>
      <c r="CA274" s="419"/>
      <c r="CB274" s="421"/>
      <c r="CC274" s="421"/>
      <c r="CD274" s="419"/>
      <c r="CE274" s="419"/>
      <c r="CF274" s="421"/>
      <c r="CG274" s="421"/>
      <c r="CH274" s="419"/>
      <c r="CI274" s="419"/>
      <c r="CJ274" s="421"/>
      <c r="CK274" s="421"/>
      <c r="CL274" s="419"/>
      <c r="CM274" s="421"/>
      <c r="CN274" s="424">
        <f t="shared" si="125"/>
        <v>0</v>
      </c>
      <c r="CO274" s="424">
        <f t="shared" si="126"/>
        <v>0</v>
      </c>
      <c r="CP274" s="425">
        <f t="shared" si="127"/>
        <v>0</v>
      </c>
      <c r="CQ274" s="425">
        <f t="shared" si="128"/>
        <v>0</v>
      </c>
      <c r="CR274" s="419"/>
      <c r="CS274" s="419"/>
      <c r="CT274" s="421"/>
      <c r="CU274" s="421"/>
      <c r="CV274" s="419"/>
      <c r="CW274" s="419"/>
      <c r="CX274" s="421"/>
      <c r="CY274" s="421"/>
      <c r="CZ274" s="419"/>
      <c r="DA274" s="419"/>
      <c r="DB274" s="421"/>
      <c r="DC274" s="421"/>
      <c r="DD274" s="419"/>
      <c r="DE274" s="419"/>
      <c r="DF274" s="421"/>
      <c r="DG274" s="421"/>
      <c r="DH274" s="419"/>
      <c r="DI274" s="419"/>
      <c r="DJ274" s="421"/>
      <c r="DK274" s="421"/>
      <c r="DL274" s="419"/>
      <c r="DM274" s="419"/>
      <c r="DN274" s="421"/>
      <c r="DO274" s="421"/>
      <c r="DP274" s="419"/>
      <c r="DQ274" s="419"/>
      <c r="DR274" s="421"/>
      <c r="DS274" s="421"/>
      <c r="DT274" s="419"/>
      <c r="DU274" s="419"/>
      <c r="DV274" s="421"/>
      <c r="DW274" s="421"/>
      <c r="DX274" s="419"/>
      <c r="DY274" s="419"/>
      <c r="DZ274" s="421"/>
      <c r="EA274" s="421"/>
      <c r="EB274" s="419"/>
      <c r="EC274" s="419"/>
      <c r="ED274" s="421"/>
      <c r="EE274" s="421"/>
      <c r="EF274" s="419"/>
      <c r="EG274" s="421"/>
      <c r="EH274" s="424">
        <f t="shared" si="129"/>
        <v>0</v>
      </c>
      <c r="EI274" s="424">
        <f t="shared" si="130"/>
        <v>0</v>
      </c>
      <c r="EJ274" s="422">
        <f t="shared" si="131"/>
        <v>0</v>
      </c>
      <c r="EK274" s="425">
        <f t="shared" si="132"/>
        <v>0</v>
      </c>
      <c r="EL274" s="425">
        <f t="shared" si="133"/>
        <v>0</v>
      </c>
      <c r="EM274" s="423">
        <f t="shared" si="134"/>
        <v>0</v>
      </c>
      <c r="EN274" s="424">
        <f t="shared" si="135"/>
        <v>0</v>
      </c>
      <c r="EO274" s="425">
        <f t="shared" si="136"/>
        <v>0</v>
      </c>
      <c r="EP274" s="419"/>
      <c r="EQ274" s="421"/>
      <c r="ER274" s="419"/>
      <c r="ES274" s="421"/>
      <c r="ET274" s="419"/>
      <c r="EU274" s="421"/>
      <c r="EV274" s="419"/>
      <c r="EW274" s="421"/>
      <c r="EX274" s="419"/>
      <c r="EY274" s="421"/>
      <c r="EZ274" s="419"/>
      <c r="FA274" s="421"/>
      <c r="FB274" s="419"/>
      <c r="FC274" s="421"/>
      <c r="FD274" s="419"/>
      <c r="FE274" s="421"/>
      <c r="FF274" s="419"/>
      <c r="FG274" s="421"/>
      <c r="FH274" s="419"/>
      <c r="FI274" s="421"/>
      <c r="FJ274" s="424">
        <f t="shared" si="137"/>
        <v>0</v>
      </c>
      <c r="FK274" s="425">
        <f t="shared" si="138"/>
        <v>0</v>
      </c>
      <c r="FL274" s="419"/>
      <c r="FM274" s="421"/>
      <c r="FN274" s="424">
        <f t="shared" si="139"/>
        <v>735</v>
      </c>
      <c r="FO274" s="425">
        <f t="shared" si="140"/>
        <v>929</v>
      </c>
    </row>
    <row r="275" spans="1:171" customFormat="1" ht="15" customHeight="1">
      <c r="A275" s="460" t="s">
        <v>162</v>
      </c>
      <c r="B275" s="36" t="s">
        <v>794</v>
      </c>
      <c r="C275" s="121"/>
      <c r="D275" s="34">
        <v>198011</v>
      </c>
      <c r="E275" s="124">
        <v>10</v>
      </c>
      <c r="F275" s="419">
        <v>304</v>
      </c>
      <c r="G275" s="310">
        <v>368</v>
      </c>
      <c r="H275" s="419"/>
      <c r="I275" s="421"/>
      <c r="J275" s="419">
        <v>237</v>
      </c>
      <c r="K275" s="310">
        <v>304</v>
      </c>
      <c r="L275" s="422">
        <f t="shared" si="119"/>
        <v>0</v>
      </c>
      <c r="M275" s="423">
        <f t="shared" si="120"/>
        <v>0</v>
      </c>
      <c r="N275" s="419"/>
      <c r="O275" s="309">
        <f>0</f>
        <v>0</v>
      </c>
      <c r="P275" s="309">
        <f>0</f>
        <v>0</v>
      </c>
      <c r="Q275" s="309">
        <f>0</f>
        <v>0</v>
      </c>
      <c r="R275" s="424">
        <f t="shared" si="117"/>
        <v>0</v>
      </c>
      <c r="S275" s="421"/>
      <c r="T275" s="301">
        <f>0</f>
        <v>0</v>
      </c>
      <c r="U275" s="301">
        <f>0</f>
        <v>0</v>
      </c>
      <c r="V275" s="301">
        <f>0</f>
        <v>0</v>
      </c>
      <c r="W275" s="425">
        <f t="shared" si="118"/>
        <v>0</v>
      </c>
      <c r="X275" s="419"/>
      <c r="Y275" s="419"/>
      <c r="Z275" s="421"/>
      <c r="AA275" s="421"/>
      <c r="AB275" s="419"/>
      <c r="AC275" s="419"/>
      <c r="AD275" s="421"/>
      <c r="AE275" s="421"/>
      <c r="AF275" s="419"/>
      <c r="AG275" s="419"/>
      <c r="AH275" s="421"/>
      <c r="AI275" s="421"/>
      <c r="AJ275" s="419"/>
      <c r="AK275" s="419"/>
      <c r="AL275" s="421"/>
      <c r="AM275" s="421"/>
      <c r="AN275" s="419"/>
      <c r="AO275" s="419"/>
      <c r="AP275" s="421"/>
      <c r="AQ275" s="421"/>
      <c r="AR275" s="424">
        <f t="shared" si="121"/>
        <v>0</v>
      </c>
      <c r="AS275" s="422">
        <f t="shared" si="122"/>
        <v>0</v>
      </c>
      <c r="AT275" s="425">
        <f t="shared" si="123"/>
        <v>0</v>
      </c>
      <c r="AU275" s="423">
        <f t="shared" si="124"/>
        <v>0</v>
      </c>
      <c r="AV275" s="419"/>
      <c r="AW275" s="421"/>
      <c r="AX275" s="419"/>
      <c r="AY275" s="419"/>
      <c r="AZ275" s="421"/>
      <c r="BA275" s="421"/>
      <c r="BB275" s="419"/>
      <c r="BC275" s="419"/>
      <c r="BD275" s="421"/>
      <c r="BE275" s="421"/>
      <c r="BF275" s="419"/>
      <c r="BG275" s="419"/>
      <c r="BH275" s="421"/>
      <c r="BI275" s="421"/>
      <c r="BJ275" s="419"/>
      <c r="BK275" s="419"/>
      <c r="BL275" s="421"/>
      <c r="BM275" s="421"/>
      <c r="BN275" s="419"/>
      <c r="BO275" s="419"/>
      <c r="BP275" s="421"/>
      <c r="BQ275" s="421"/>
      <c r="BR275" s="419"/>
      <c r="BS275" s="419"/>
      <c r="BT275" s="421"/>
      <c r="BU275" s="421"/>
      <c r="BV275" s="419"/>
      <c r="BW275" s="419"/>
      <c r="BX275" s="421"/>
      <c r="BY275" s="421"/>
      <c r="BZ275" s="419"/>
      <c r="CA275" s="419"/>
      <c r="CB275" s="421"/>
      <c r="CC275" s="421"/>
      <c r="CD275" s="419"/>
      <c r="CE275" s="419"/>
      <c r="CF275" s="421"/>
      <c r="CG275" s="421"/>
      <c r="CH275" s="419"/>
      <c r="CI275" s="419"/>
      <c r="CJ275" s="421"/>
      <c r="CK275" s="421"/>
      <c r="CL275" s="419"/>
      <c r="CM275" s="421"/>
      <c r="CN275" s="424">
        <f t="shared" si="125"/>
        <v>0</v>
      </c>
      <c r="CO275" s="424">
        <f t="shared" si="126"/>
        <v>0</v>
      </c>
      <c r="CP275" s="425">
        <f t="shared" si="127"/>
        <v>0</v>
      </c>
      <c r="CQ275" s="425">
        <f t="shared" si="128"/>
        <v>0</v>
      </c>
      <c r="CR275" s="419"/>
      <c r="CS275" s="419"/>
      <c r="CT275" s="421"/>
      <c r="CU275" s="421"/>
      <c r="CV275" s="419"/>
      <c r="CW275" s="419"/>
      <c r="CX275" s="421"/>
      <c r="CY275" s="421"/>
      <c r="CZ275" s="419"/>
      <c r="DA275" s="419"/>
      <c r="DB275" s="421"/>
      <c r="DC275" s="421"/>
      <c r="DD275" s="419"/>
      <c r="DE275" s="419"/>
      <c r="DF275" s="421"/>
      <c r="DG275" s="421"/>
      <c r="DH275" s="419"/>
      <c r="DI275" s="419"/>
      <c r="DJ275" s="421"/>
      <c r="DK275" s="421"/>
      <c r="DL275" s="419"/>
      <c r="DM275" s="419"/>
      <c r="DN275" s="421"/>
      <c r="DO275" s="421"/>
      <c r="DP275" s="419"/>
      <c r="DQ275" s="419"/>
      <c r="DR275" s="421"/>
      <c r="DS275" s="421"/>
      <c r="DT275" s="419"/>
      <c r="DU275" s="419"/>
      <c r="DV275" s="421"/>
      <c r="DW275" s="421"/>
      <c r="DX275" s="419"/>
      <c r="DY275" s="419"/>
      <c r="DZ275" s="421"/>
      <c r="EA275" s="421"/>
      <c r="EB275" s="419"/>
      <c r="EC275" s="419"/>
      <c r="ED275" s="421"/>
      <c r="EE275" s="421"/>
      <c r="EF275" s="419"/>
      <c r="EG275" s="421"/>
      <c r="EH275" s="424">
        <f t="shared" si="129"/>
        <v>0</v>
      </c>
      <c r="EI275" s="424">
        <f t="shared" si="130"/>
        <v>0</v>
      </c>
      <c r="EJ275" s="422">
        <f t="shared" si="131"/>
        <v>0</v>
      </c>
      <c r="EK275" s="425">
        <f t="shared" si="132"/>
        <v>0</v>
      </c>
      <c r="EL275" s="425">
        <f t="shared" si="133"/>
        <v>0</v>
      </c>
      <c r="EM275" s="423">
        <f t="shared" si="134"/>
        <v>0</v>
      </c>
      <c r="EN275" s="424">
        <f t="shared" si="135"/>
        <v>0</v>
      </c>
      <c r="EO275" s="425">
        <f t="shared" si="136"/>
        <v>0</v>
      </c>
      <c r="EP275" s="419"/>
      <c r="EQ275" s="421"/>
      <c r="ER275" s="419"/>
      <c r="ES275" s="421"/>
      <c r="ET275" s="419"/>
      <c r="EU275" s="421"/>
      <c r="EV275" s="419"/>
      <c r="EW275" s="421"/>
      <c r="EX275" s="419"/>
      <c r="EY275" s="421"/>
      <c r="EZ275" s="419"/>
      <c r="FA275" s="421"/>
      <c r="FB275" s="419"/>
      <c r="FC275" s="421"/>
      <c r="FD275" s="419"/>
      <c r="FE275" s="421"/>
      <c r="FF275" s="419"/>
      <c r="FG275" s="421"/>
      <c r="FH275" s="419"/>
      <c r="FI275" s="421"/>
      <c r="FJ275" s="424">
        <f t="shared" si="137"/>
        <v>0</v>
      </c>
      <c r="FK275" s="425">
        <f t="shared" si="138"/>
        <v>0</v>
      </c>
      <c r="FL275" s="419"/>
      <c r="FM275" s="421"/>
      <c r="FN275" s="424">
        <f t="shared" si="139"/>
        <v>541</v>
      </c>
      <c r="FO275" s="425">
        <f t="shared" si="140"/>
        <v>672</v>
      </c>
    </row>
    <row r="276" spans="1:171" customFormat="1" ht="15" customHeight="1">
      <c r="A276" s="460" t="s">
        <v>162</v>
      </c>
      <c r="B276" s="36" t="s">
        <v>795</v>
      </c>
      <c r="C276" s="121"/>
      <c r="D276" s="34">
        <v>198039</v>
      </c>
      <c r="E276" s="124">
        <v>10</v>
      </c>
      <c r="F276" s="419">
        <v>452</v>
      </c>
      <c r="G276" s="310">
        <v>336</v>
      </c>
      <c r="H276" s="419"/>
      <c r="I276" s="421"/>
      <c r="J276" s="419">
        <v>300</v>
      </c>
      <c r="K276" s="310">
        <v>368</v>
      </c>
      <c r="L276" s="422">
        <f t="shared" si="119"/>
        <v>0</v>
      </c>
      <c r="M276" s="423">
        <f t="shared" si="120"/>
        <v>0</v>
      </c>
      <c r="N276" s="419"/>
      <c r="O276" s="309">
        <f>0</f>
        <v>0</v>
      </c>
      <c r="P276" s="309">
        <f>0</f>
        <v>0</v>
      </c>
      <c r="Q276" s="309">
        <f>0</f>
        <v>0</v>
      </c>
      <c r="R276" s="424">
        <f t="shared" si="117"/>
        <v>0</v>
      </c>
      <c r="S276" s="421"/>
      <c r="T276" s="301">
        <f>0</f>
        <v>0</v>
      </c>
      <c r="U276" s="301">
        <f>0</f>
        <v>0</v>
      </c>
      <c r="V276" s="301">
        <f>0</f>
        <v>0</v>
      </c>
      <c r="W276" s="425">
        <f t="shared" si="118"/>
        <v>0</v>
      </c>
      <c r="X276" s="419"/>
      <c r="Y276" s="419"/>
      <c r="Z276" s="421"/>
      <c r="AA276" s="421"/>
      <c r="AB276" s="419"/>
      <c r="AC276" s="419"/>
      <c r="AD276" s="421"/>
      <c r="AE276" s="421"/>
      <c r="AF276" s="419"/>
      <c r="AG276" s="419"/>
      <c r="AH276" s="421"/>
      <c r="AI276" s="421"/>
      <c r="AJ276" s="419"/>
      <c r="AK276" s="419"/>
      <c r="AL276" s="421"/>
      <c r="AM276" s="421"/>
      <c r="AN276" s="419"/>
      <c r="AO276" s="419"/>
      <c r="AP276" s="421"/>
      <c r="AQ276" s="421"/>
      <c r="AR276" s="424">
        <f t="shared" si="121"/>
        <v>0</v>
      </c>
      <c r="AS276" s="422">
        <f t="shared" si="122"/>
        <v>0</v>
      </c>
      <c r="AT276" s="425">
        <f t="shared" si="123"/>
        <v>0</v>
      </c>
      <c r="AU276" s="423">
        <f t="shared" si="124"/>
        <v>0</v>
      </c>
      <c r="AV276" s="419"/>
      <c r="AW276" s="421"/>
      <c r="AX276" s="419"/>
      <c r="AY276" s="419"/>
      <c r="AZ276" s="421"/>
      <c r="BA276" s="421"/>
      <c r="BB276" s="419"/>
      <c r="BC276" s="419"/>
      <c r="BD276" s="421"/>
      <c r="BE276" s="421"/>
      <c r="BF276" s="419"/>
      <c r="BG276" s="419"/>
      <c r="BH276" s="421"/>
      <c r="BI276" s="421"/>
      <c r="BJ276" s="419"/>
      <c r="BK276" s="419"/>
      <c r="BL276" s="421"/>
      <c r="BM276" s="421"/>
      <c r="BN276" s="419"/>
      <c r="BO276" s="419"/>
      <c r="BP276" s="421"/>
      <c r="BQ276" s="421"/>
      <c r="BR276" s="419"/>
      <c r="BS276" s="419"/>
      <c r="BT276" s="421"/>
      <c r="BU276" s="421"/>
      <c r="BV276" s="419"/>
      <c r="BW276" s="419"/>
      <c r="BX276" s="421"/>
      <c r="BY276" s="421"/>
      <c r="BZ276" s="419"/>
      <c r="CA276" s="419"/>
      <c r="CB276" s="421"/>
      <c r="CC276" s="421"/>
      <c r="CD276" s="419"/>
      <c r="CE276" s="419"/>
      <c r="CF276" s="421"/>
      <c r="CG276" s="421"/>
      <c r="CH276" s="419"/>
      <c r="CI276" s="419"/>
      <c r="CJ276" s="421"/>
      <c r="CK276" s="421"/>
      <c r="CL276" s="419"/>
      <c r="CM276" s="421"/>
      <c r="CN276" s="424">
        <f t="shared" si="125"/>
        <v>0</v>
      </c>
      <c r="CO276" s="424">
        <f t="shared" si="126"/>
        <v>0</v>
      </c>
      <c r="CP276" s="425">
        <f t="shared" si="127"/>
        <v>0</v>
      </c>
      <c r="CQ276" s="425">
        <f t="shared" si="128"/>
        <v>0</v>
      </c>
      <c r="CR276" s="419"/>
      <c r="CS276" s="419"/>
      <c r="CT276" s="421"/>
      <c r="CU276" s="421"/>
      <c r="CV276" s="419"/>
      <c r="CW276" s="419"/>
      <c r="CX276" s="421"/>
      <c r="CY276" s="421"/>
      <c r="CZ276" s="419"/>
      <c r="DA276" s="419"/>
      <c r="DB276" s="421"/>
      <c r="DC276" s="421"/>
      <c r="DD276" s="419"/>
      <c r="DE276" s="419"/>
      <c r="DF276" s="421"/>
      <c r="DG276" s="421"/>
      <c r="DH276" s="419"/>
      <c r="DI276" s="419"/>
      <c r="DJ276" s="421"/>
      <c r="DK276" s="421"/>
      <c r="DL276" s="419"/>
      <c r="DM276" s="419"/>
      <c r="DN276" s="421"/>
      <c r="DO276" s="421"/>
      <c r="DP276" s="419"/>
      <c r="DQ276" s="419"/>
      <c r="DR276" s="421"/>
      <c r="DS276" s="421"/>
      <c r="DT276" s="419"/>
      <c r="DU276" s="419"/>
      <c r="DV276" s="421"/>
      <c r="DW276" s="421"/>
      <c r="DX276" s="419"/>
      <c r="DY276" s="419"/>
      <c r="DZ276" s="421"/>
      <c r="EA276" s="421"/>
      <c r="EB276" s="419"/>
      <c r="EC276" s="419"/>
      <c r="ED276" s="421"/>
      <c r="EE276" s="421"/>
      <c r="EF276" s="419"/>
      <c r="EG276" s="421"/>
      <c r="EH276" s="424">
        <f t="shared" si="129"/>
        <v>0</v>
      </c>
      <c r="EI276" s="424">
        <f t="shared" si="130"/>
        <v>0</v>
      </c>
      <c r="EJ276" s="422">
        <f t="shared" si="131"/>
        <v>0</v>
      </c>
      <c r="EK276" s="425">
        <f t="shared" si="132"/>
        <v>0</v>
      </c>
      <c r="EL276" s="425">
        <f t="shared" si="133"/>
        <v>0</v>
      </c>
      <c r="EM276" s="423">
        <f t="shared" si="134"/>
        <v>0</v>
      </c>
      <c r="EN276" s="424">
        <f t="shared" si="135"/>
        <v>0</v>
      </c>
      <c r="EO276" s="425">
        <f t="shared" si="136"/>
        <v>0</v>
      </c>
      <c r="EP276" s="419"/>
      <c r="EQ276" s="421"/>
      <c r="ER276" s="419"/>
      <c r="ES276" s="421"/>
      <c r="ET276" s="419"/>
      <c r="EU276" s="421"/>
      <c r="EV276" s="419"/>
      <c r="EW276" s="421"/>
      <c r="EX276" s="419"/>
      <c r="EY276" s="421"/>
      <c r="EZ276" s="419"/>
      <c r="FA276" s="421"/>
      <c r="FB276" s="419"/>
      <c r="FC276" s="421"/>
      <c r="FD276" s="419"/>
      <c r="FE276" s="421"/>
      <c r="FF276" s="419"/>
      <c r="FG276" s="421"/>
      <c r="FH276" s="419"/>
      <c r="FI276" s="421"/>
      <c r="FJ276" s="424">
        <f t="shared" si="137"/>
        <v>0</v>
      </c>
      <c r="FK276" s="425">
        <f t="shared" si="138"/>
        <v>0</v>
      </c>
      <c r="FL276" s="419"/>
      <c r="FM276" s="421"/>
      <c r="FN276" s="424">
        <f t="shared" si="139"/>
        <v>752</v>
      </c>
      <c r="FO276" s="425">
        <f t="shared" si="140"/>
        <v>704</v>
      </c>
    </row>
    <row r="277" spans="1:171" customFormat="1" ht="15" customHeight="1">
      <c r="A277" s="460" t="s">
        <v>162</v>
      </c>
      <c r="B277" s="36" t="s">
        <v>796</v>
      </c>
      <c r="C277" s="121"/>
      <c r="D277" s="34">
        <v>198084</v>
      </c>
      <c r="E277" s="124">
        <v>10</v>
      </c>
      <c r="F277" s="419">
        <v>166</v>
      </c>
      <c r="G277" s="311">
        <v>198</v>
      </c>
      <c r="H277" s="419"/>
      <c r="I277" s="421"/>
      <c r="J277" s="419">
        <v>256</v>
      </c>
      <c r="K277" s="311">
        <v>230</v>
      </c>
      <c r="L277" s="422">
        <f t="shared" si="119"/>
        <v>0</v>
      </c>
      <c r="M277" s="423">
        <f t="shared" si="120"/>
        <v>0</v>
      </c>
      <c r="N277" s="419"/>
      <c r="O277" s="309">
        <f>0</f>
        <v>0</v>
      </c>
      <c r="P277" s="309">
        <f>0</f>
        <v>0</v>
      </c>
      <c r="Q277" s="309">
        <f>0</f>
        <v>0</v>
      </c>
      <c r="R277" s="424">
        <f t="shared" si="117"/>
        <v>0</v>
      </c>
      <c r="S277" s="421"/>
      <c r="T277" s="301">
        <f>0</f>
        <v>0</v>
      </c>
      <c r="U277" s="301">
        <f>0</f>
        <v>0</v>
      </c>
      <c r="V277" s="301">
        <f>0</f>
        <v>0</v>
      </c>
      <c r="W277" s="425">
        <f t="shared" si="118"/>
        <v>0</v>
      </c>
      <c r="X277" s="419"/>
      <c r="Y277" s="419"/>
      <c r="Z277" s="421"/>
      <c r="AA277" s="421"/>
      <c r="AB277" s="419"/>
      <c r="AC277" s="419"/>
      <c r="AD277" s="421"/>
      <c r="AE277" s="421"/>
      <c r="AF277" s="419"/>
      <c r="AG277" s="419"/>
      <c r="AH277" s="421"/>
      <c r="AI277" s="421"/>
      <c r="AJ277" s="419"/>
      <c r="AK277" s="419"/>
      <c r="AL277" s="421"/>
      <c r="AM277" s="421"/>
      <c r="AN277" s="419"/>
      <c r="AO277" s="419"/>
      <c r="AP277" s="421"/>
      <c r="AQ277" s="421"/>
      <c r="AR277" s="424">
        <f t="shared" si="121"/>
        <v>0</v>
      </c>
      <c r="AS277" s="422">
        <f t="shared" si="122"/>
        <v>0</v>
      </c>
      <c r="AT277" s="425">
        <f t="shared" si="123"/>
        <v>0</v>
      </c>
      <c r="AU277" s="423">
        <f t="shared" si="124"/>
        <v>0</v>
      </c>
      <c r="AV277" s="419"/>
      <c r="AW277" s="421"/>
      <c r="AX277" s="419"/>
      <c r="AY277" s="419"/>
      <c r="AZ277" s="421"/>
      <c r="BA277" s="421"/>
      <c r="BB277" s="419"/>
      <c r="BC277" s="419"/>
      <c r="BD277" s="421"/>
      <c r="BE277" s="421"/>
      <c r="BF277" s="419"/>
      <c r="BG277" s="419"/>
      <c r="BH277" s="421"/>
      <c r="BI277" s="421"/>
      <c r="BJ277" s="419"/>
      <c r="BK277" s="419"/>
      <c r="BL277" s="421"/>
      <c r="BM277" s="421"/>
      <c r="BN277" s="419"/>
      <c r="BO277" s="419"/>
      <c r="BP277" s="421"/>
      <c r="BQ277" s="421"/>
      <c r="BR277" s="419"/>
      <c r="BS277" s="419"/>
      <c r="BT277" s="421"/>
      <c r="BU277" s="421"/>
      <c r="BV277" s="419"/>
      <c r="BW277" s="419"/>
      <c r="BX277" s="421"/>
      <c r="BY277" s="421"/>
      <c r="BZ277" s="419"/>
      <c r="CA277" s="419"/>
      <c r="CB277" s="421"/>
      <c r="CC277" s="421"/>
      <c r="CD277" s="419"/>
      <c r="CE277" s="419"/>
      <c r="CF277" s="421"/>
      <c r="CG277" s="421"/>
      <c r="CH277" s="419"/>
      <c r="CI277" s="419"/>
      <c r="CJ277" s="421"/>
      <c r="CK277" s="421"/>
      <c r="CL277" s="419"/>
      <c r="CM277" s="421"/>
      <c r="CN277" s="424">
        <f t="shared" si="125"/>
        <v>0</v>
      </c>
      <c r="CO277" s="424">
        <f t="shared" si="126"/>
        <v>0</v>
      </c>
      <c r="CP277" s="425">
        <f t="shared" si="127"/>
        <v>0</v>
      </c>
      <c r="CQ277" s="425">
        <f t="shared" si="128"/>
        <v>0</v>
      </c>
      <c r="CR277" s="419"/>
      <c r="CS277" s="419"/>
      <c r="CT277" s="421"/>
      <c r="CU277" s="421"/>
      <c r="CV277" s="419"/>
      <c r="CW277" s="419"/>
      <c r="CX277" s="421"/>
      <c r="CY277" s="421"/>
      <c r="CZ277" s="419"/>
      <c r="DA277" s="419"/>
      <c r="DB277" s="421"/>
      <c r="DC277" s="421"/>
      <c r="DD277" s="419"/>
      <c r="DE277" s="419"/>
      <c r="DF277" s="421"/>
      <c r="DG277" s="421"/>
      <c r="DH277" s="419"/>
      <c r="DI277" s="419"/>
      <c r="DJ277" s="421"/>
      <c r="DK277" s="421"/>
      <c r="DL277" s="419"/>
      <c r="DM277" s="419"/>
      <c r="DN277" s="421"/>
      <c r="DO277" s="421"/>
      <c r="DP277" s="419"/>
      <c r="DQ277" s="419"/>
      <c r="DR277" s="421"/>
      <c r="DS277" s="421"/>
      <c r="DT277" s="419"/>
      <c r="DU277" s="419"/>
      <c r="DV277" s="421"/>
      <c r="DW277" s="421"/>
      <c r="DX277" s="419"/>
      <c r="DY277" s="419"/>
      <c r="DZ277" s="421"/>
      <c r="EA277" s="421"/>
      <c r="EB277" s="419"/>
      <c r="EC277" s="419"/>
      <c r="ED277" s="421"/>
      <c r="EE277" s="421"/>
      <c r="EF277" s="419"/>
      <c r="EG277" s="421"/>
      <c r="EH277" s="424">
        <f t="shared" si="129"/>
        <v>0</v>
      </c>
      <c r="EI277" s="424">
        <f t="shared" si="130"/>
        <v>0</v>
      </c>
      <c r="EJ277" s="422">
        <f t="shared" si="131"/>
        <v>0</v>
      </c>
      <c r="EK277" s="425">
        <f t="shared" si="132"/>
        <v>0</v>
      </c>
      <c r="EL277" s="425">
        <f t="shared" si="133"/>
        <v>0</v>
      </c>
      <c r="EM277" s="423">
        <f t="shared" si="134"/>
        <v>0</v>
      </c>
      <c r="EN277" s="424">
        <f t="shared" si="135"/>
        <v>0</v>
      </c>
      <c r="EO277" s="425">
        <f t="shared" si="136"/>
        <v>0</v>
      </c>
      <c r="EP277" s="419"/>
      <c r="EQ277" s="421"/>
      <c r="ER277" s="419"/>
      <c r="ES277" s="421"/>
      <c r="ET277" s="419"/>
      <c r="EU277" s="421"/>
      <c r="EV277" s="419"/>
      <c r="EW277" s="421"/>
      <c r="EX277" s="419"/>
      <c r="EY277" s="421"/>
      <c r="EZ277" s="419"/>
      <c r="FA277" s="421"/>
      <c r="FB277" s="419"/>
      <c r="FC277" s="421"/>
      <c r="FD277" s="419"/>
      <c r="FE277" s="421"/>
      <c r="FF277" s="419"/>
      <c r="FG277" s="421"/>
      <c r="FH277" s="419"/>
      <c r="FI277" s="421"/>
      <c r="FJ277" s="424">
        <f t="shared" si="137"/>
        <v>0</v>
      </c>
      <c r="FK277" s="425">
        <f t="shared" si="138"/>
        <v>0</v>
      </c>
      <c r="FL277" s="419"/>
      <c r="FM277" s="421"/>
      <c r="FN277" s="424">
        <f t="shared" si="139"/>
        <v>422</v>
      </c>
      <c r="FO277" s="425">
        <f t="shared" si="140"/>
        <v>428</v>
      </c>
    </row>
    <row r="278" spans="1:171" customFormat="1" ht="15" customHeight="1">
      <c r="A278" s="460" t="s">
        <v>162</v>
      </c>
      <c r="B278" s="36" t="s">
        <v>797</v>
      </c>
      <c r="C278" s="121"/>
      <c r="D278" s="34">
        <v>198206</v>
      </c>
      <c r="E278" s="124">
        <v>10</v>
      </c>
      <c r="F278" s="419">
        <v>181</v>
      </c>
      <c r="G278" s="310">
        <v>130</v>
      </c>
      <c r="H278" s="419"/>
      <c r="I278" s="421"/>
      <c r="J278" s="419">
        <v>208</v>
      </c>
      <c r="K278" s="311">
        <v>183</v>
      </c>
      <c r="L278" s="422">
        <f t="shared" si="119"/>
        <v>0</v>
      </c>
      <c r="M278" s="423">
        <f t="shared" si="120"/>
        <v>0</v>
      </c>
      <c r="N278" s="419"/>
      <c r="O278" s="309">
        <f>0</f>
        <v>0</v>
      </c>
      <c r="P278" s="309">
        <f>0</f>
        <v>0</v>
      </c>
      <c r="Q278" s="309">
        <f>0</f>
        <v>0</v>
      </c>
      <c r="R278" s="424">
        <f t="shared" si="117"/>
        <v>0</v>
      </c>
      <c r="S278" s="421"/>
      <c r="T278" s="301">
        <f>0</f>
        <v>0</v>
      </c>
      <c r="U278" s="301">
        <f>0</f>
        <v>0</v>
      </c>
      <c r="V278" s="301">
        <f>0</f>
        <v>0</v>
      </c>
      <c r="W278" s="425">
        <f t="shared" si="118"/>
        <v>0</v>
      </c>
      <c r="X278" s="419"/>
      <c r="Y278" s="419"/>
      <c r="Z278" s="421"/>
      <c r="AA278" s="421"/>
      <c r="AB278" s="419"/>
      <c r="AC278" s="419"/>
      <c r="AD278" s="421"/>
      <c r="AE278" s="421"/>
      <c r="AF278" s="419"/>
      <c r="AG278" s="419"/>
      <c r="AH278" s="421"/>
      <c r="AI278" s="421"/>
      <c r="AJ278" s="419"/>
      <c r="AK278" s="419"/>
      <c r="AL278" s="421"/>
      <c r="AM278" s="421"/>
      <c r="AN278" s="419"/>
      <c r="AO278" s="419"/>
      <c r="AP278" s="421"/>
      <c r="AQ278" s="421"/>
      <c r="AR278" s="424">
        <f t="shared" si="121"/>
        <v>0</v>
      </c>
      <c r="AS278" s="422">
        <f t="shared" si="122"/>
        <v>0</v>
      </c>
      <c r="AT278" s="425">
        <f t="shared" si="123"/>
        <v>0</v>
      </c>
      <c r="AU278" s="423">
        <f t="shared" si="124"/>
        <v>0</v>
      </c>
      <c r="AV278" s="419"/>
      <c r="AW278" s="421"/>
      <c r="AX278" s="419"/>
      <c r="AY278" s="419"/>
      <c r="AZ278" s="421"/>
      <c r="BA278" s="421"/>
      <c r="BB278" s="419"/>
      <c r="BC278" s="419"/>
      <c r="BD278" s="421"/>
      <c r="BE278" s="421"/>
      <c r="BF278" s="419"/>
      <c r="BG278" s="419"/>
      <c r="BH278" s="421"/>
      <c r="BI278" s="421"/>
      <c r="BJ278" s="419"/>
      <c r="BK278" s="419"/>
      <c r="BL278" s="421"/>
      <c r="BM278" s="421"/>
      <c r="BN278" s="419"/>
      <c r="BO278" s="419"/>
      <c r="BP278" s="421"/>
      <c r="BQ278" s="421"/>
      <c r="BR278" s="419"/>
      <c r="BS278" s="419"/>
      <c r="BT278" s="421"/>
      <c r="BU278" s="421"/>
      <c r="BV278" s="419"/>
      <c r="BW278" s="419"/>
      <c r="BX278" s="421"/>
      <c r="BY278" s="421"/>
      <c r="BZ278" s="419"/>
      <c r="CA278" s="419"/>
      <c r="CB278" s="421"/>
      <c r="CC278" s="421"/>
      <c r="CD278" s="419"/>
      <c r="CE278" s="419"/>
      <c r="CF278" s="421"/>
      <c r="CG278" s="421"/>
      <c r="CH278" s="419"/>
      <c r="CI278" s="419"/>
      <c r="CJ278" s="421"/>
      <c r="CK278" s="421"/>
      <c r="CL278" s="419"/>
      <c r="CM278" s="421"/>
      <c r="CN278" s="424">
        <f t="shared" si="125"/>
        <v>0</v>
      </c>
      <c r="CO278" s="424">
        <f t="shared" si="126"/>
        <v>0</v>
      </c>
      <c r="CP278" s="425">
        <f t="shared" si="127"/>
        <v>0</v>
      </c>
      <c r="CQ278" s="425">
        <f t="shared" si="128"/>
        <v>0</v>
      </c>
      <c r="CR278" s="419"/>
      <c r="CS278" s="419"/>
      <c r="CT278" s="421"/>
      <c r="CU278" s="421"/>
      <c r="CV278" s="419"/>
      <c r="CW278" s="419"/>
      <c r="CX278" s="421"/>
      <c r="CY278" s="421"/>
      <c r="CZ278" s="419"/>
      <c r="DA278" s="419"/>
      <c r="DB278" s="421"/>
      <c r="DC278" s="421"/>
      <c r="DD278" s="419"/>
      <c r="DE278" s="419"/>
      <c r="DF278" s="421"/>
      <c r="DG278" s="421"/>
      <c r="DH278" s="419"/>
      <c r="DI278" s="419"/>
      <c r="DJ278" s="421"/>
      <c r="DK278" s="421"/>
      <c r="DL278" s="419"/>
      <c r="DM278" s="419"/>
      <c r="DN278" s="421"/>
      <c r="DO278" s="421"/>
      <c r="DP278" s="419"/>
      <c r="DQ278" s="419"/>
      <c r="DR278" s="421"/>
      <c r="DS278" s="421"/>
      <c r="DT278" s="419"/>
      <c r="DU278" s="419"/>
      <c r="DV278" s="421"/>
      <c r="DW278" s="421"/>
      <c r="DX278" s="419"/>
      <c r="DY278" s="419"/>
      <c r="DZ278" s="421"/>
      <c r="EA278" s="421"/>
      <c r="EB278" s="419"/>
      <c r="EC278" s="419"/>
      <c r="ED278" s="421"/>
      <c r="EE278" s="421"/>
      <c r="EF278" s="419"/>
      <c r="EG278" s="421"/>
      <c r="EH278" s="424">
        <f t="shared" si="129"/>
        <v>0</v>
      </c>
      <c r="EI278" s="424">
        <f t="shared" si="130"/>
        <v>0</v>
      </c>
      <c r="EJ278" s="422">
        <f t="shared" si="131"/>
        <v>0</v>
      </c>
      <c r="EK278" s="425">
        <f t="shared" si="132"/>
        <v>0</v>
      </c>
      <c r="EL278" s="425">
        <f t="shared" si="133"/>
        <v>0</v>
      </c>
      <c r="EM278" s="423">
        <f t="shared" si="134"/>
        <v>0</v>
      </c>
      <c r="EN278" s="424">
        <f t="shared" si="135"/>
        <v>0</v>
      </c>
      <c r="EO278" s="425">
        <f t="shared" si="136"/>
        <v>0</v>
      </c>
      <c r="EP278" s="419"/>
      <c r="EQ278" s="421"/>
      <c r="ER278" s="419"/>
      <c r="ES278" s="421"/>
      <c r="ET278" s="419"/>
      <c r="EU278" s="421"/>
      <c r="EV278" s="419"/>
      <c r="EW278" s="421"/>
      <c r="EX278" s="419"/>
      <c r="EY278" s="421"/>
      <c r="EZ278" s="419"/>
      <c r="FA278" s="421"/>
      <c r="FB278" s="419"/>
      <c r="FC278" s="421"/>
      <c r="FD278" s="419"/>
      <c r="FE278" s="421"/>
      <c r="FF278" s="419"/>
      <c r="FG278" s="421"/>
      <c r="FH278" s="419"/>
      <c r="FI278" s="421"/>
      <c r="FJ278" s="424">
        <f t="shared" si="137"/>
        <v>0</v>
      </c>
      <c r="FK278" s="425">
        <f t="shared" si="138"/>
        <v>0</v>
      </c>
      <c r="FL278" s="419"/>
      <c r="FM278" s="421"/>
      <c r="FN278" s="424">
        <f t="shared" si="139"/>
        <v>389</v>
      </c>
      <c r="FO278" s="425">
        <f t="shared" si="140"/>
        <v>313</v>
      </c>
    </row>
    <row r="279" spans="1:171" customFormat="1" ht="15" customHeight="1">
      <c r="A279" s="460" t="s">
        <v>162</v>
      </c>
      <c r="B279" s="36" t="s">
        <v>1175</v>
      </c>
      <c r="C279" s="121" t="s">
        <v>798</v>
      </c>
      <c r="D279" s="34">
        <v>197814</v>
      </c>
      <c r="E279" s="124">
        <v>10</v>
      </c>
      <c r="F279" s="419">
        <v>241</v>
      </c>
      <c r="G279" s="311">
        <v>287</v>
      </c>
      <c r="H279" s="419"/>
      <c r="I279" s="421"/>
      <c r="J279" s="419">
        <v>378</v>
      </c>
      <c r="K279" s="311">
        <v>335</v>
      </c>
      <c r="L279" s="422">
        <f t="shared" si="119"/>
        <v>0</v>
      </c>
      <c r="M279" s="423">
        <f t="shared" si="120"/>
        <v>0</v>
      </c>
      <c r="N279" s="419"/>
      <c r="O279" s="309">
        <f>0</f>
        <v>0</v>
      </c>
      <c r="P279" s="309">
        <f>0</f>
        <v>0</v>
      </c>
      <c r="Q279" s="309">
        <f>0</f>
        <v>0</v>
      </c>
      <c r="R279" s="424">
        <f t="shared" si="117"/>
        <v>0</v>
      </c>
      <c r="S279" s="421"/>
      <c r="T279" s="301">
        <f>0</f>
        <v>0</v>
      </c>
      <c r="U279" s="301">
        <f>0</f>
        <v>0</v>
      </c>
      <c r="V279" s="301">
        <f>0</f>
        <v>0</v>
      </c>
      <c r="W279" s="425">
        <f t="shared" si="118"/>
        <v>0</v>
      </c>
      <c r="X279" s="419"/>
      <c r="Y279" s="419"/>
      <c r="Z279" s="421"/>
      <c r="AA279" s="421"/>
      <c r="AB279" s="419"/>
      <c r="AC279" s="419"/>
      <c r="AD279" s="421"/>
      <c r="AE279" s="421"/>
      <c r="AF279" s="419"/>
      <c r="AG279" s="419"/>
      <c r="AH279" s="421"/>
      <c r="AI279" s="421"/>
      <c r="AJ279" s="419"/>
      <c r="AK279" s="419"/>
      <c r="AL279" s="421"/>
      <c r="AM279" s="421"/>
      <c r="AN279" s="419"/>
      <c r="AO279" s="419"/>
      <c r="AP279" s="421"/>
      <c r="AQ279" s="421"/>
      <c r="AR279" s="424">
        <f t="shared" si="121"/>
        <v>0</v>
      </c>
      <c r="AS279" s="422">
        <f t="shared" si="122"/>
        <v>0</v>
      </c>
      <c r="AT279" s="425">
        <f t="shared" si="123"/>
        <v>0</v>
      </c>
      <c r="AU279" s="423">
        <f t="shared" si="124"/>
        <v>0</v>
      </c>
      <c r="AV279" s="419"/>
      <c r="AW279" s="421"/>
      <c r="AX279" s="419"/>
      <c r="AY279" s="419"/>
      <c r="AZ279" s="421"/>
      <c r="BA279" s="421"/>
      <c r="BB279" s="419"/>
      <c r="BC279" s="419"/>
      <c r="BD279" s="421"/>
      <c r="BE279" s="421"/>
      <c r="BF279" s="419"/>
      <c r="BG279" s="419"/>
      <c r="BH279" s="421"/>
      <c r="BI279" s="421"/>
      <c r="BJ279" s="419"/>
      <c r="BK279" s="419"/>
      <c r="BL279" s="421"/>
      <c r="BM279" s="421"/>
      <c r="BN279" s="419"/>
      <c r="BO279" s="419"/>
      <c r="BP279" s="421"/>
      <c r="BQ279" s="421"/>
      <c r="BR279" s="419"/>
      <c r="BS279" s="419"/>
      <c r="BT279" s="421"/>
      <c r="BU279" s="421"/>
      <c r="BV279" s="419"/>
      <c r="BW279" s="419"/>
      <c r="BX279" s="421"/>
      <c r="BY279" s="421"/>
      <c r="BZ279" s="419"/>
      <c r="CA279" s="419"/>
      <c r="CB279" s="421"/>
      <c r="CC279" s="421"/>
      <c r="CD279" s="419"/>
      <c r="CE279" s="419"/>
      <c r="CF279" s="421"/>
      <c r="CG279" s="421"/>
      <c r="CH279" s="419"/>
      <c r="CI279" s="419"/>
      <c r="CJ279" s="421"/>
      <c r="CK279" s="421"/>
      <c r="CL279" s="419"/>
      <c r="CM279" s="421"/>
      <c r="CN279" s="424">
        <f t="shared" si="125"/>
        <v>0</v>
      </c>
      <c r="CO279" s="424">
        <f t="shared" si="126"/>
        <v>0</v>
      </c>
      <c r="CP279" s="425">
        <f t="shared" si="127"/>
        <v>0</v>
      </c>
      <c r="CQ279" s="425">
        <f t="shared" si="128"/>
        <v>0</v>
      </c>
      <c r="CR279" s="419"/>
      <c r="CS279" s="419"/>
      <c r="CT279" s="421"/>
      <c r="CU279" s="421"/>
      <c r="CV279" s="419"/>
      <c r="CW279" s="419"/>
      <c r="CX279" s="421"/>
      <c r="CY279" s="421"/>
      <c r="CZ279" s="419"/>
      <c r="DA279" s="419"/>
      <c r="DB279" s="421"/>
      <c r="DC279" s="421"/>
      <c r="DD279" s="419"/>
      <c r="DE279" s="419"/>
      <c r="DF279" s="421"/>
      <c r="DG279" s="421"/>
      <c r="DH279" s="419"/>
      <c r="DI279" s="419"/>
      <c r="DJ279" s="421"/>
      <c r="DK279" s="421"/>
      <c r="DL279" s="419"/>
      <c r="DM279" s="419"/>
      <c r="DN279" s="421"/>
      <c r="DO279" s="421"/>
      <c r="DP279" s="419"/>
      <c r="DQ279" s="419"/>
      <c r="DR279" s="421"/>
      <c r="DS279" s="421"/>
      <c r="DT279" s="419"/>
      <c r="DU279" s="419"/>
      <c r="DV279" s="421"/>
      <c r="DW279" s="421"/>
      <c r="DX279" s="419"/>
      <c r="DY279" s="419"/>
      <c r="DZ279" s="421"/>
      <c r="EA279" s="421"/>
      <c r="EB279" s="419"/>
      <c r="EC279" s="419"/>
      <c r="ED279" s="421"/>
      <c r="EE279" s="421"/>
      <c r="EF279" s="419"/>
      <c r="EG279" s="421"/>
      <c r="EH279" s="424">
        <f t="shared" si="129"/>
        <v>0</v>
      </c>
      <c r="EI279" s="424">
        <f t="shared" si="130"/>
        <v>0</v>
      </c>
      <c r="EJ279" s="422">
        <f t="shared" si="131"/>
        <v>0</v>
      </c>
      <c r="EK279" s="425">
        <f t="shared" si="132"/>
        <v>0</v>
      </c>
      <c r="EL279" s="425">
        <f t="shared" si="133"/>
        <v>0</v>
      </c>
      <c r="EM279" s="423">
        <f t="shared" si="134"/>
        <v>0</v>
      </c>
      <c r="EN279" s="424">
        <f t="shared" si="135"/>
        <v>0</v>
      </c>
      <c r="EO279" s="425">
        <f t="shared" si="136"/>
        <v>0</v>
      </c>
      <c r="EP279" s="419"/>
      <c r="EQ279" s="421"/>
      <c r="ER279" s="419"/>
      <c r="ES279" s="421"/>
      <c r="ET279" s="419"/>
      <c r="EU279" s="421"/>
      <c r="EV279" s="419"/>
      <c r="EW279" s="421"/>
      <c r="EX279" s="419"/>
      <c r="EY279" s="421"/>
      <c r="EZ279" s="419"/>
      <c r="FA279" s="421"/>
      <c r="FB279" s="419"/>
      <c r="FC279" s="421"/>
      <c r="FD279" s="419"/>
      <c r="FE279" s="421"/>
      <c r="FF279" s="419"/>
      <c r="FG279" s="421"/>
      <c r="FH279" s="419"/>
      <c r="FI279" s="421"/>
      <c r="FJ279" s="424">
        <f t="shared" si="137"/>
        <v>0</v>
      </c>
      <c r="FK279" s="425">
        <f t="shared" si="138"/>
        <v>0</v>
      </c>
      <c r="FL279" s="419"/>
      <c r="FM279" s="421"/>
      <c r="FN279" s="424">
        <f t="shared" si="139"/>
        <v>619</v>
      </c>
      <c r="FO279" s="425">
        <f t="shared" si="140"/>
        <v>622</v>
      </c>
    </row>
    <row r="280" spans="1:171" customFormat="1" ht="15" customHeight="1">
      <c r="A280" s="460" t="s">
        <v>162</v>
      </c>
      <c r="B280" s="36" t="s">
        <v>799</v>
      </c>
      <c r="C280" s="123"/>
      <c r="D280" s="34">
        <v>198491</v>
      </c>
      <c r="E280" s="124">
        <v>10</v>
      </c>
      <c r="F280" s="419">
        <v>287</v>
      </c>
      <c r="G280" s="311">
        <v>274</v>
      </c>
      <c r="H280" s="419"/>
      <c r="I280" s="421"/>
      <c r="J280" s="419">
        <v>275</v>
      </c>
      <c r="K280" s="311">
        <v>258</v>
      </c>
      <c r="L280" s="422">
        <f t="shared" si="119"/>
        <v>0</v>
      </c>
      <c r="M280" s="423">
        <f t="shared" si="120"/>
        <v>0</v>
      </c>
      <c r="N280" s="419"/>
      <c r="O280" s="309">
        <f>0</f>
        <v>0</v>
      </c>
      <c r="P280" s="309">
        <f>0</f>
        <v>0</v>
      </c>
      <c r="Q280" s="309">
        <f>0</f>
        <v>0</v>
      </c>
      <c r="R280" s="424">
        <f t="shared" si="117"/>
        <v>0</v>
      </c>
      <c r="S280" s="421"/>
      <c r="T280" s="301">
        <f>0</f>
        <v>0</v>
      </c>
      <c r="U280" s="301">
        <f>0</f>
        <v>0</v>
      </c>
      <c r="V280" s="301">
        <f>0</f>
        <v>0</v>
      </c>
      <c r="W280" s="425">
        <f t="shared" si="118"/>
        <v>0</v>
      </c>
      <c r="X280" s="419"/>
      <c r="Y280" s="419"/>
      <c r="Z280" s="421"/>
      <c r="AA280" s="421"/>
      <c r="AB280" s="419"/>
      <c r="AC280" s="419"/>
      <c r="AD280" s="421"/>
      <c r="AE280" s="421"/>
      <c r="AF280" s="419"/>
      <c r="AG280" s="419"/>
      <c r="AH280" s="421"/>
      <c r="AI280" s="421"/>
      <c r="AJ280" s="419"/>
      <c r="AK280" s="419"/>
      <c r="AL280" s="421"/>
      <c r="AM280" s="421"/>
      <c r="AN280" s="419"/>
      <c r="AO280" s="419"/>
      <c r="AP280" s="421"/>
      <c r="AQ280" s="421"/>
      <c r="AR280" s="424">
        <f t="shared" si="121"/>
        <v>0</v>
      </c>
      <c r="AS280" s="422">
        <f t="shared" si="122"/>
        <v>0</v>
      </c>
      <c r="AT280" s="425">
        <f t="shared" si="123"/>
        <v>0</v>
      </c>
      <c r="AU280" s="423">
        <f t="shared" si="124"/>
        <v>0</v>
      </c>
      <c r="AV280" s="419"/>
      <c r="AW280" s="421"/>
      <c r="AX280" s="419"/>
      <c r="AY280" s="419"/>
      <c r="AZ280" s="421"/>
      <c r="BA280" s="421"/>
      <c r="BB280" s="419"/>
      <c r="BC280" s="419"/>
      <c r="BD280" s="421"/>
      <c r="BE280" s="421"/>
      <c r="BF280" s="419"/>
      <c r="BG280" s="419"/>
      <c r="BH280" s="421"/>
      <c r="BI280" s="421"/>
      <c r="BJ280" s="419"/>
      <c r="BK280" s="419"/>
      <c r="BL280" s="421"/>
      <c r="BM280" s="421"/>
      <c r="BN280" s="419"/>
      <c r="BO280" s="419"/>
      <c r="BP280" s="421"/>
      <c r="BQ280" s="421"/>
      <c r="BR280" s="419"/>
      <c r="BS280" s="419"/>
      <c r="BT280" s="421"/>
      <c r="BU280" s="421"/>
      <c r="BV280" s="419"/>
      <c r="BW280" s="419"/>
      <c r="BX280" s="421"/>
      <c r="BY280" s="421"/>
      <c r="BZ280" s="419"/>
      <c r="CA280" s="419"/>
      <c r="CB280" s="421"/>
      <c r="CC280" s="421"/>
      <c r="CD280" s="419"/>
      <c r="CE280" s="419"/>
      <c r="CF280" s="421"/>
      <c r="CG280" s="421"/>
      <c r="CH280" s="419"/>
      <c r="CI280" s="419"/>
      <c r="CJ280" s="421"/>
      <c r="CK280" s="421"/>
      <c r="CL280" s="419"/>
      <c r="CM280" s="421"/>
      <c r="CN280" s="424">
        <f t="shared" si="125"/>
        <v>0</v>
      </c>
      <c r="CO280" s="424">
        <f t="shared" si="126"/>
        <v>0</v>
      </c>
      <c r="CP280" s="425">
        <f t="shared" si="127"/>
        <v>0</v>
      </c>
      <c r="CQ280" s="425">
        <f t="shared" si="128"/>
        <v>0</v>
      </c>
      <c r="CR280" s="419"/>
      <c r="CS280" s="419"/>
      <c r="CT280" s="421"/>
      <c r="CU280" s="421"/>
      <c r="CV280" s="419"/>
      <c r="CW280" s="419"/>
      <c r="CX280" s="421"/>
      <c r="CY280" s="421"/>
      <c r="CZ280" s="419"/>
      <c r="DA280" s="419"/>
      <c r="DB280" s="421"/>
      <c r="DC280" s="421"/>
      <c r="DD280" s="419"/>
      <c r="DE280" s="419"/>
      <c r="DF280" s="421"/>
      <c r="DG280" s="421"/>
      <c r="DH280" s="419"/>
      <c r="DI280" s="419"/>
      <c r="DJ280" s="421"/>
      <c r="DK280" s="421"/>
      <c r="DL280" s="419"/>
      <c r="DM280" s="419"/>
      <c r="DN280" s="421"/>
      <c r="DO280" s="421"/>
      <c r="DP280" s="419"/>
      <c r="DQ280" s="419"/>
      <c r="DR280" s="421"/>
      <c r="DS280" s="421"/>
      <c r="DT280" s="419"/>
      <c r="DU280" s="419"/>
      <c r="DV280" s="421"/>
      <c r="DW280" s="421"/>
      <c r="DX280" s="419"/>
      <c r="DY280" s="419"/>
      <c r="DZ280" s="421"/>
      <c r="EA280" s="421"/>
      <c r="EB280" s="419"/>
      <c r="EC280" s="419"/>
      <c r="ED280" s="421"/>
      <c r="EE280" s="421"/>
      <c r="EF280" s="419"/>
      <c r="EG280" s="421"/>
      <c r="EH280" s="424">
        <f t="shared" si="129"/>
        <v>0</v>
      </c>
      <c r="EI280" s="424">
        <f t="shared" si="130"/>
        <v>0</v>
      </c>
      <c r="EJ280" s="422">
        <f t="shared" si="131"/>
        <v>0</v>
      </c>
      <c r="EK280" s="425">
        <f t="shared" si="132"/>
        <v>0</v>
      </c>
      <c r="EL280" s="425">
        <f t="shared" si="133"/>
        <v>0</v>
      </c>
      <c r="EM280" s="423">
        <f t="shared" si="134"/>
        <v>0</v>
      </c>
      <c r="EN280" s="424">
        <f t="shared" si="135"/>
        <v>0</v>
      </c>
      <c r="EO280" s="425">
        <f t="shared" si="136"/>
        <v>0</v>
      </c>
      <c r="EP280" s="419"/>
      <c r="EQ280" s="421"/>
      <c r="ER280" s="419"/>
      <c r="ES280" s="421"/>
      <c r="ET280" s="419"/>
      <c r="EU280" s="421"/>
      <c r="EV280" s="419"/>
      <c r="EW280" s="421"/>
      <c r="EX280" s="419"/>
      <c r="EY280" s="421"/>
      <c r="EZ280" s="419"/>
      <c r="FA280" s="421"/>
      <c r="FB280" s="419"/>
      <c r="FC280" s="421"/>
      <c r="FD280" s="419"/>
      <c r="FE280" s="421"/>
      <c r="FF280" s="419"/>
      <c r="FG280" s="421"/>
      <c r="FH280" s="419"/>
      <c r="FI280" s="421"/>
      <c r="FJ280" s="424">
        <f t="shared" si="137"/>
        <v>0</v>
      </c>
      <c r="FK280" s="425">
        <f t="shared" si="138"/>
        <v>0</v>
      </c>
      <c r="FL280" s="419"/>
      <c r="FM280" s="421"/>
      <c r="FN280" s="424">
        <f t="shared" si="139"/>
        <v>562</v>
      </c>
      <c r="FO280" s="425">
        <f t="shared" si="140"/>
        <v>532</v>
      </c>
    </row>
    <row r="281" spans="1:171" customFormat="1" ht="15" customHeight="1">
      <c r="A281" s="460" t="s">
        <v>162</v>
      </c>
      <c r="B281" s="36" t="s">
        <v>800</v>
      </c>
      <c r="C281" s="121"/>
      <c r="D281" s="34">
        <v>198640</v>
      </c>
      <c r="E281" s="124">
        <v>10</v>
      </c>
      <c r="F281" s="419">
        <v>288</v>
      </c>
      <c r="G281" s="311">
        <v>283</v>
      </c>
      <c r="H281" s="419"/>
      <c r="I281" s="421"/>
      <c r="J281" s="419">
        <v>130</v>
      </c>
      <c r="K281" s="311">
        <v>133</v>
      </c>
      <c r="L281" s="422">
        <f t="shared" si="119"/>
        <v>0</v>
      </c>
      <c r="M281" s="423">
        <f t="shared" si="120"/>
        <v>0</v>
      </c>
      <c r="N281" s="419"/>
      <c r="O281" s="309">
        <f>0</f>
        <v>0</v>
      </c>
      <c r="P281" s="309">
        <f>0</f>
        <v>0</v>
      </c>
      <c r="Q281" s="309">
        <f>0</f>
        <v>0</v>
      </c>
      <c r="R281" s="424">
        <f t="shared" si="117"/>
        <v>0</v>
      </c>
      <c r="S281" s="421"/>
      <c r="T281" s="301">
        <f>0</f>
        <v>0</v>
      </c>
      <c r="U281" s="301">
        <f>0</f>
        <v>0</v>
      </c>
      <c r="V281" s="301">
        <f>0</f>
        <v>0</v>
      </c>
      <c r="W281" s="425">
        <f t="shared" si="118"/>
        <v>0</v>
      </c>
      <c r="X281" s="419"/>
      <c r="Y281" s="419"/>
      <c r="Z281" s="421"/>
      <c r="AA281" s="421"/>
      <c r="AB281" s="419"/>
      <c r="AC281" s="419"/>
      <c r="AD281" s="421"/>
      <c r="AE281" s="421"/>
      <c r="AF281" s="419"/>
      <c r="AG281" s="419"/>
      <c r="AH281" s="421"/>
      <c r="AI281" s="421"/>
      <c r="AJ281" s="419"/>
      <c r="AK281" s="419"/>
      <c r="AL281" s="421"/>
      <c r="AM281" s="421"/>
      <c r="AN281" s="419"/>
      <c r="AO281" s="419"/>
      <c r="AP281" s="421"/>
      <c r="AQ281" s="421"/>
      <c r="AR281" s="424">
        <f t="shared" si="121"/>
        <v>0</v>
      </c>
      <c r="AS281" s="422">
        <f t="shared" si="122"/>
        <v>0</v>
      </c>
      <c r="AT281" s="425">
        <f t="shared" si="123"/>
        <v>0</v>
      </c>
      <c r="AU281" s="423">
        <f t="shared" si="124"/>
        <v>0</v>
      </c>
      <c r="AV281" s="419"/>
      <c r="AW281" s="421"/>
      <c r="AX281" s="419"/>
      <c r="AY281" s="419"/>
      <c r="AZ281" s="421"/>
      <c r="BA281" s="421"/>
      <c r="BB281" s="419"/>
      <c r="BC281" s="419"/>
      <c r="BD281" s="421"/>
      <c r="BE281" s="421"/>
      <c r="BF281" s="419"/>
      <c r="BG281" s="419"/>
      <c r="BH281" s="421"/>
      <c r="BI281" s="421"/>
      <c r="BJ281" s="419"/>
      <c r="BK281" s="419"/>
      <c r="BL281" s="421"/>
      <c r="BM281" s="421"/>
      <c r="BN281" s="419"/>
      <c r="BO281" s="419"/>
      <c r="BP281" s="421"/>
      <c r="BQ281" s="421"/>
      <c r="BR281" s="419"/>
      <c r="BS281" s="419"/>
      <c r="BT281" s="421"/>
      <c r="BU281" s="421"/>
      <c r="BV281" s="419"/>
      <c r="BW281" s="419"/>
      <c r="BX281" s="421"/>
      <c r="BY281" s="421"/>
      <c r="BZ281" s="419"/>
      <c r="CA281" s="419"/>
      <c r="CB281" s="421"/>
      <c r="CC281" s="421"/>
      <c r="CD281" s="419"/>
      <c r="CE281" s="419"/>
      <c r="CF281" s="421"/>
      <c r="CG281" s="421"/>
      <c r="CH281" s="419"/>
      <c r="CI281" s="419"/>
      <c r="CJ281" s="421"/>
      <c r="CK281" s="421"/>
      <c r="CL281" s="419"/>
      <c r="CM281" s="421"/>
      <c r="CN281" s="424">
        <f t="shared" si="125"/>
        <v>0</v>
      </c>
      <c r="CO281" s="424">
        <f t="shared" si="126"/>
        <v>0</v>
      </c>
      <c r="CP281" s="425">
        <f t="shared" si="127"/>
        <v>0</v>
      </c>
      <c r="CQ281" s="425">
        <f t="shared" si="128"/>
        <v>0</v>
      </c>
      <c r="CR281" s="419"/>
      <c r="CS281" s="419"/>
      <c r="CT281" s="421"/>
      <c r="CU281" s="421"/>
      <c r="CV281" s="419"/>
      <c r="CW281" s="419"/>
      <c r="CX281" s="421"/>
      <c r="CY281" s="421"/>
      <c r="CZ281" s="419"/>
      <c r="DA281" s="419"/>
      <c r="DB281" s="421"/>
      <c r="DC281" s="421"/>
      <c r="DD281" s="419"/>
      <c r="DE281" s="419"/>
      <c r="DF281" s="421"/>
      <c r="DG281" s="421"/>
      <c r="DH281" s="419"/>
      <c r="DI281" s="419"/>
      <c r="DJ281" s="421"/>
      <c r="DK281" s="421"/>
      <c r="DL281" s="419"/>
      <c r="DM281" s="419"/>
      <c r="DN281" s="421"/>
      <c r="DO281" s="421"/>
      <c r="DP281" s="419"/>
      <c r="DQ281" s="419"/>
      <c r="DR281" s="421"/>
      <c r="DS281" s="421"/>
      <c r="DT281" s="419"/>
      <c r="DU281" s="419"/>
      <c r="DV281" s="421"/>
      <c r="DW281" s="421"/>
      <c r="DX281" s="419"/>
      <c r="DY281" s="419"/>
      <c r="DZ281" s="421"/>
      <c r="EA281" s="421"/>
      <c r="EB281" s="419"/>
      <c r="EC281" s="419"/>
      <c r="ED281" s="421"/>
      <c r="EE281" s="421"/>
      <c r="EF281" s="419"/>
      <c r="EG281" s="421"/>
      <c r="EH281" s="424">
        <f t="shared" si="129"/>
        <v>0</v>
      </c>
      <c r="EI281" s="424">
        <f t="shared" si="130"/>
        <v>0</v>
      </c>
      <c r="EJ281" s="422">
        <f t="shared" si="131"/>
        <v>0</v>
      </c>
      <c r="EK281" s="425">
        <f t="shared" si="132"/>
        <v>0</v>
      </c>
      <c r="EL281" s="425">
        <f t="shared" si="133"/>
        <v>0</v>
      </c>
      <c r="EM281" s="423">
        <f t="shared" si="134"/>
        <v>0</v>
      </c>
      <c r="EN281" s="424">
        <f t="shared" si="135"/>
        <v>0</v>
      </c>
      <c r="EO281" s="425">
        <f t="shared" si="136"/>
        <v>0</v>
      </c>
      <c r="EP281" s="419"/>
      <c r="EQ281" s="421"/>
      <c r="ER281" s="419"/>
      <c r="ES281" s="421"/>
      <c r="ET281" s="419"/>
      <c r="EU281" s="421"/>
      <c r="EV281" s="419"/>
      <c r="EW281" s="421"/>
      <c r="EX281" s="419"/>
      <c r="EY281" s="421"/>
      <c r="EZ281" s="419"/>
      <c r="FA281" s="421"/>
      <c r="FB281" s="419"/>
      <c r="FC281" s="421"/>
      <c r="FD281" s="419"/>
      <c r="FE281" s="421"/>
      <c r="FF281" s="419"/>
      <c r="FG281" s="421"/>
      <c r="FH281" s="419"/>
      <c r="FI281" s="421"/>
      <c r="FJ281" s="424">
        <f t="shared" si="137"/>
        <v>0</v>
      </c>
      <c r="FK281" s="425">
        <f t="shared" si="138"/>
        <v>0</v>
      </c>
      <c r="FL281" s="419"/>
      <c r="FM281" s="421"/>
      <c r="FN281" s="424">
        <f t="shared" si="139"/>
        <v>418</v>
      </c>
      <c r="FO281" s="425">
        <f t="shared" si="140"/>
        <v>416</v>
      </c>
    </row>
    <row r="282" spans="1:171" customFormat="1" ht="15" customHeight="1">
      <c r="A282" s="460" t="s">
        <v>162</v>
      </c>
      <c r="B282" s="36" t="s">
        <v>801</v>
      </c>
      <c r="C282" s="123"/>
      <c r="D282" s="34">
        <v>198668</v>
      </c>
      <c r="E282" s="124">
        <v>10</v>
      </c>
      <c r="F282" s="419">
        <v>493</v>
      </c>
      <c r="G282" s="310">
        <v>361</v>
      </c>
      <c r="H282" s="419"/>
      <c r="I282" s="421"/>
      <c r="J282" s="419">
        <v>296</v>
      </c>
      <c r="K282" s="311">
        <v>267</v>
      </c>
      <c r="L282" s="422">
        <f t="shared" si="119"/>
        <v>0</v>
      </c>
      <c r="M282" s="423">
        <f t="shared" si="120"/>
        <v>0</v>
      </c>
      <c r="N282" s="419"/>
      <c r="O282" s="309">
        <f>0</f>
        <v>0</v>
      </c>
      <c r="P282" s="309">
        <f>0</f>
        <v>0</v>
      </c>
      <c r="Q282" s="309">
        <f>0</f>
        <v>0</v>
      </c>
      <c r="R282" s="424">
        <f t="shared" si="117"/>
        <v>0</v>
      </c>
      <c r="S282" s="421"/>
      <c r="T282" s="301">
        <f>0</f>
        <v>0</v>
      </c>
      <c r="U282" s="301">
        <f>0</f>
        <v>0</v>
      </c>
      <c r="V282" s="301">
        <f>0</f>
        <v>0</v>
      </c>
      <c r="W282" s="425">
        <f t="shared" si="118"/>
        <v>0</v>
      </c>
      <c r="X282" s="419"/>
      <c r="Y282" s="419"/>
      <c r="Z282" s="421"/>
      <c r="AA282" s="421"/>
      <c r="AB282" s="419"/>
      <c r="AC282" s="419"/>
      <c r="AD282" s="421"/>
      <c r="AE282" s="421"/>
      <c r="AF282" s="419"/>
      <c r="AG282" s="419"/>
      <c r="AH282" s="421"/>
      <c r="AI282" s="421"/>
      <c r="AJ282" s="419"/>
      <c r="AK282" s="419"/>
      <c r="AL282" s="421"/>
      <c r="AM282" s="421"/>
      <c r="AN282" s="419"/>
      <c r="AO282" s="419"/>
      <c r="AP282" s="421"/>
      <c r="AQ282" s="421"/>
      <c r="AR282" s="424">
        <f t="shared" si="121"/>
        <v>0</v>
      </c>
      <c r="AS282" s="422">
        <f t="shared" si="122"/>
        <v>0</v>
      </c>
      <c r="AT282" s="425">
        <f t="shared" si="123"/>
        <v>0</v>
      </c>
      <c r="AU282" s="423">
        <f t="shared" si="124"/>
        <v>0</v>
      </c>
      <c r="AV282" s="419"/>
      <c r="AW282" s="421"/>
      <c r="AX282" s="419"/>
      <c r="AY282" s="419"/>
      <c r="AZ282" s="421"/>
      <c r="BA282" s="421"/>
      <c r="BB282" s="419"/>
      <c r="BC282" s="419"/>
      <c r="BD282" s="421"/>
      <c r="BE282" s="421"/>
      <c r="BF282" s="419"/>
      <c r="BG282" s="419"/>
      <c r="BH282" s="421"/>
      <c r="BI282" s="421"/>
      <c r="BJ282" s="419"/>
      <c r="BK282" s="419"/>
      <c r="BL282" s="421"/>
      <c r="BM282" s="421"/>
      <c r="BN282" s="419"/>
      <c r="BO282" s="419"/>
      <c r="BP282" s="421"/>
      <c r="BQ282" s="421"/>
      <c r="BR282" s="419"/>
      <c r="BS282" s="419"/>
      <c r="BT282" s="421"/>
      <c r="BU282" s="421"/>
      <c r="BV282" s="419"/>
      <c r="BW282" s="419"/>
      <c r="BX282" s="421"/>
      <c r="BY282" s="421"/>
      <c r="BZ282" s="419"/>
      <c r="CA282" s="419"/>
      <c r="CB282" s="421"/>
      <c r="CC282" s="421"/>
      <c r="CD282" s="419"/>
      <c r="CE282" s="419"/>
      <c r="CF282" s="421"/>
      <c r="CG282" s="421"/>
      <c r="CH282" s="419"/>
      <c r="CI282" s="419"/>
      <c r="CJ282" s="421"/>
      <c r="CK282" s="421"/>
      <c r="CL282" s="419"/>
      <c r="CM282" s="421"/>
      <c r="CN282" s="424">
        <f t="shared" si="125"/>
        <v>0</v>
      </c>
      <c r="CO282" s="424">
        <f t="shared" si="126"/>
        <v>0</v>
      </c>
      <c r="CP282" s="425">
        <f t="shared" si="127"/>
        <v>0</v>
      </c>
      <c r="CQ282" s="425">
        <f t="shared" si="128"/>
        <v>0</v>
      </c>
      <c r="CR282" s="419"/>
      <c r="CS282" s="419"/>
      <c r="CT282" s="421"/>
      <c r="CU282" s="421"/>
      <c r="CV282" s="419"/>
      <c r="CW282" s="419"/>
      <c r="CX282" s="421"/>
      <c r="CY282" s="421"/>
      <c r="CZ282" s="419"/>
      <c r="DA282" s="419"/>
      <c r="DB282" s="421"/>
      <c r="DC282" s="421"/>
      <c r="DD282" s="419"/>
      <c r="DE282" s="419"/>
      <c r="DF282" s="421"/>
      <c r="DG282" s="421"/>
      <c r="DH282" s="419"/>
      <c r="DI282" s="419"/>
      <c r="DJ282" s="421"/>
      <c r="DK282" s="421"/>
      <c r="DL282" s="419"/>
      <c r="DM282" s="419"/>
      <c r="DN282" s="421"/>
      <c r="DO282" s="421"/>
      <c r="DP282" s="419"/>
      <c r="DQ282" s="419"/>
      <c r="DR282" s="421"/>
      <c r="DS282" s="421"/>
      <c r="DT282" s="419"/>
      <c r="DU282" s="419"/>
      <c r="DV282" s="421"/>
      <c r="DW282" s="421"/>
      <c r="DX282" s="419"/>
      <c r="DY282" s="419"/>
      <c r="DZ282" s="421"/>
      <c r="EA282" s="421"/>
      <c r="EB282" s="419"/>
      <c r="EC282" s="419"/>
      <c r="ED282" s="421"/>
      <c r="EE282" s="421"/>
      <c r="EF282" s="419"/>
      <c r="EG282" s="421"/>
      <c r="EH282" s="424">
        <f t="shared" si="129"/>
        <v>0</v>
      </c>
      <c r="EI282" s="424">
        <f t="shared" si="130"/>
        <v>0</v>
      </c>
      <c r="EJ282" s="422">
        <f t="shared" si="131"/>
        <v>0</v>
      </c>
      <c r="EK282" s="425">
        <f t="shared" si="132"/>
        <v>0</v>
      </c>
      <c r="EL282" s="425">
        <f t="shared" si="133"/>
        <v>0</v>
      </c>
      <c r="EM282" s="423">
        <f t="shared" si="134"/>
        <v>0</v>
      </c>
      <c r="EN282" s="424">
        <f t="shared" si="135"/>
        <v>0</v>
      </c>
      <c r="EO282" s="425">
        <f t="shared" si="136"/>
        <v>0</v>
      </c>
      <c r="EP282" s="419"/>
      <c r="EQ282" s="421"/>
      <c r="ER282" s="419"/>
      <c r="ES282" s="421"/>
      <c r="ET282" s="419"/>
      <c r="EU282" s="421"/>
      <c r="EV282" s="419"/>
      <c r="EW282" s="421"/>
      <c r="EX282" s="419"/>
      <c r="EY282" s="421"/>
      <c r="EZ282" s="419"/>
      <c r="FA282" s="421"/>
      <c r="FB282" s="419"/>
      <c r="FC282" s="421"/>
      <c r="FD282" s="419"/>
      <c r="FE282" s="421"/>
      <c r="FF282" s="419"/>
      <c r="FG282" s="421"/>
      <c r="FH282" s="419"/>
      <c r="FI282" s="421"/>
      <c r="FJ282" s="424">
        <f t="shared" si="137"/>
        <v>0</v>
      </c>
      <c r="FK282" s="425">
        <f t="shared" si="138"/>
        <v>0</v>
      </c>
      <c r="FL282" s="419"/>
      <c r="FM282" s="421"/>
      <c r="FN282" s="424">
        <f t="shared" si="139"/>
        <v>789</v>
      </c>
      <c r="FO282" s="425">
        <f t="shared" si="140"/>
        <v>628</v>
      </c>
    </row>
    <row r="283" spans="1:171" customFormat="1" ht="15" customHeight="1">
      <c r="A283" s="460" t="s">
        <v>162</v>
      </c>
      <c r="B283" s="36" t="s">
        <v>802</v>
      </c>
      <c r="C283" s="123"/>
      <c r="D283" s="34">
        <v>198710</v>
      </c>
      <c r="E283" s="124">
        <v>10</v>
      </c>
      <c r="F283" s="419">
        <v>789</v>
      </c>
      <c r="G283" s="310">
        <v>449</v>
      </c>
      <c r="H283" s="419"/>
      <c r="I283" s="421"/>
      <c r="J283" s="419">
        <v>284</v>
      </c>
      <c r="K283" s="310">
        <v>361</v>
      </c>
      <c r="L283" s="422">
        <f t="shared" si="119"/>
        <v>0</v>
      </c>
      <c r="M283" s="423">
        <f t="shared" si="120"/>
        <v>0</v>
      </c>
      <c r="N283" s="419"/>
      <c r="O283" s="309">
        <f>0</f>
        <v>0</v>
      </c>
      <c r="P283" s="309">
        <f>0</f>
        <v>0</v>
      </c>
      <c r="Q283" s="309">
        <f>0</f>
        <v>0</v>
      </c>
      <c r="R283" s="424">
        <f t="shared" si="117"/>
        <v>0</v>
      </c>
      <c r="S283" s="421"/>
      <c r="T283" s="301">
        <f>0</f>
        <v>0</v>
      </c>
      <c r="U283" s="301">
        <f>0</f>
        <v>0</v>
      </c>
      <c r="V283" s="301">
        <f>0</f>
        <v>0</v>
      </c>
      <c r="W283" s="425">
        <f t="shared" si="118"/>
        <v>0</v>
      </c>
      <c r="X283" s="419"/>
      <c r="Y283" s="419"/>
      <c r="Z283" s="421"/>
      <c r="AA283" s="421"/>
      <c r="AB283" s="419"/>
      <c r="AC283" s="419"/>
      <c r="AD283" s="421"/>
      <c r="AE283" s="421"/>
      <c r="AF283" s="419"/>
      <c r="AG283" s="419"/>
      <c r="AH283" s="421"/>
      <c r="AI283" s="421"/>
      <c r="AJ283" s="419"/>
      <c r="AK283" s="419"/>
      <c r="AL283" s="421"/>
      <c r="AM283" s="421"/>
      <c r="AN283" s="419"/>
      <c r="AO283" s="419"/>
      <c r="AP283" s="421"/>
      <c r="AQ283" s="421"/>
      <c r="AR283" s="424">
        <f t="shared" si="121"/>
        <v>0</v>
      </c>
      <c r="AS283" s="422">
        <f t="shared" si="122"/>
        <v>0</v>
      </c>
      <c r="AT283" s="425">
        <f t="shared" si="123"/>
        <v>0</v>
      </c>
      <c r="AU283" s="423">
        <f t="shared" si="124"/>
        <v>0</v>
      </c>
      <c r="AV283" s="419"/>
      <c r="AW283" s="421"/>
      <c r="AX283" s="419"/>
      <c r="AY283" s="419"/>
      <c r="AZ283" s="421"/>
      <c r="BA283" s="421"/>
      <c r="BB283" s="419"/>
      <c r="BC283" s="419"/>
      <c r="BD283" s="421"/>
      <c r="BE283" s="421"/>
      <c r="BF283" s="419"/>
      <c r="BG283" s="419"/>
      <c r="BH283" s="421"/>
      <c r="BI283" s="421"/>
      <c r="BJ283" s="419"/>
      <c r="BK283" s="419"/>
      <c r="BL283" s="421"/>
      <c r="BM283" s="421"/>
      <c r="BN283" s="419"/>
      <c r="BO283" s="419"/>
      <c r="BP283" s="421"/>
      <c r="BQ283" s="421"/>
      <c r="BR283" s="419"/>
      <c r="BS283" s="419"/>
      <c r="BT283" s="421"/>
      <c r="BU283" s="421"/>
      <c r="BV283" s="419"/>
      <c r="BW283" s="419"/>
      <c r="BX283" s="421"/>
      <c r="BY283" s="421"/>
      <c r="BZ283" s="419"/>
      <c r="CA283" s="419"/>
      <c r="CB283" s="421"/>
      <c r="CC283" s="421"/>
      <c r="CD283" s="419"/>
      <c r="CE283" s="419"/>
      <c r="CF283" s="421"/>
      <c r="CG283" s="421"/>
      <c r="CH283" s="419"/>
      <c r="CI283" s="419"/>
      <c r="CJ283" s="421"/>
      <c r="CK283" s="421"/>
      <c r="CL283" s="419"/>
      <c r="CM283" s="421"/>
      <c r="CN283" s="424">
        <f t="shared" si="125"/>
        <v>0</v>
      </c>
      <c r="CO283" s="424">
        <f t="shared" si="126"/>
        <v>0</v>
      </c>
      <c r="CP283" s="425">
        <f t="shared" si="127"/>
        <v>0</v>
      </c>
      <c r="CQ283" s="425">
        <f t="shared" si="128"/>
        <v>0</v>
      </c>
      <c r="CR283" s="419"/>
      <c r="CS283" s="419"/>
      <c r="CT283" s="421"/>
      <c r="CU283" s="421"/>
      <c r="CV283" s="419"/>
      <c r="CW283" s="419"/>
      <c r="CX283" s="421"/>
      <c r="CY283" s="421"/>
      <c r="CZ283" s="419"/>
      <c r="DA283" s="419"/>
      <c r="DB283" s="421"/>
      <c r="DC283" s="421"/>
      <c r="DD283" s="419"/>
      <c r="DE283" s="419"/>
      <c r="DF283" s="421"/>
      <c r="DG283" s="421"/>
      <c r="DH283" s="419"/>
      <c r="DI283" s="419"/>
      <c r="DJ283" s="421"/>
      <c r="DK283" s="421"/>
      <c r="DL283" s="419"/>
      <c r="DM283" s="419"/>
      <c r="DN283" s="421"/>
      <c r="DO283" s="421"/>
      <c r="DP283" s="419"/>
      <c r="DQ283" s="419"/>
      <c r="DR283" s="421"/>
      <c r="DS283" s="421"/>
      <c r="DT283" s="419"/>
      <c r="DU283" s="419"/>
      <c r="DV283" s="421"/>
      <c r="DW283" s="421"/>
      <c r="DX283" s="419"/>
      <c r="DY283" s="419"/>
      <c r="DZ283" s="421"/>
      <c r="EA283" s="421"/>
      <c r="EB283" s="419"/>
      <c r="EC283" s="419"/>
      <c r="ED283" s="421"/>
      <c r="EE283" s="421"/>
      <c r="EF283" s="419"/>
      <c r="EG283" s="421"/>
      <c r="EH283" s="424">
        <f t="shared" si="129"/>
        <v>0</v>
      </c>
      <c r="EI283" s="424">
        <f t="shared" si="130"/>
        <v>0</v>
      </c>
      <c r="EJ283" s="422">
        <f t="shared" si="131"/>
        <v>0</v>
      </c>
      <c r="EK283" s="425">
        <f t="shared" si="132"/>
        <v>0</v>
      </c>
      <c r="EL283" s="425">
        <f t="shared" si="133"/>
        <v>0</v>
      </c>
      <c r="EM283" s="423">
        <f t="shared" si="134"/>
        <v>0</v>
      </c>
      <c r="EN283" s="424">
        <f t="shared" si="135"/>
        <v>0</v>
      </c>
      <c r="EO283" s="425">
        <f t="shared" si="136"/>
        <v>0</v>
      </c>
      <c r="EP283" s="419"/>
      <c r="EQ283" s="421"/>
      <c r="ER283" s="419"/>
      <c r="ES283" s="421"/>
      <c r="ET283" s="419"/>
      <c r="EU283" s="421"/>
      <c r="EV283" s="419"/>
      <c r="EW283" s="421"/>
      <c r="EX283" s="419"/>
      <c r="EY283" s="421"/>
      <c r="EZ283" s="419"/>
      <c r="FA283" s="421"/>
      <c r="FB283" s="419"/>
      <c r="FC283" s="421"/>
      <c r="FD283" s="419"/>
      <c r="FE283" s="421"/>
      <c r="FF283" s="419"/>
      <c r="FG283" s="421"/>
      <c r="FH283" s="419"/>
      <c r="FI283" s="421"/>
      <c r="FJ283" s="424">
        <f t="shared" si="137"/>
        <v>0</v>
      </c>
      <c r="FK283" s="425">
        <f t="shared" si="138"/>
        <v>0</v>
      </c>
      <c r="FL283" s="419"/>
      <c r="FM283" s="421"/>
      <c r="FN283" s="424">
        <f t="shared" si="139"/>
        <v>1073</v>
      </c>
      <c r="FO283" s="425">
        <f t="shared" si="140"/>
        <v>810</v>
      </c>
    </row>
    <row r="284" spans="1:171" customFormat="1" ht="15" customHeight="1">
      <c r="A284" s="460" t="s">
        <v>162</v>
      </c>
      <c r="B284" s="36" t="s">
        <v>803</v>
      </c>
      <c r="C284" s="121"/>
      <c r="D284" s="34">
        <v>198729</v>
      </c>
      <c r="E284" s="124">
        <v>10</v>
      </c>
      <c r="F284" s="419">
        <v>171</v>
      </c>
      <c r="G284" s="311">
        <v>154</v>
      </c>
      <c r="H284" s="419"/>
      <c r="I284" s="421"/>
      <c r="J284" s="419">
        <v>174</v>
      </c>
      <c r="K284" s="310">
        <v>237</v>
      </c>
      <c r="L284" s="422">
        <f t="shared" si="119"/>
        <v>0</v>
      </c>
      <c r="M284" s="423">
        <f t="shared" si="120"/>
        <v>0</v>
      </c>
      <c r="N284" s="419"/>
      <c r="O284" s="309">
        <f>0</f>
        <v>0</v>
      </c>
      <c r="P284" s="309">
        <f>0</f>
        <v>0</v>
      </c>
      <c r="Q284" s="309">
        <f>0</f>
        <v>0</v>
      </c>
      <c r="R284" s="424">
        <f t="shared" si="117"/>
        <v>0</v>
      </c>
      <c r="S284" s="421"/>
      <c r="T284" s="301">
        <f>0</f>
        <v>0</v>
      </c>
      <c r="U284" s="301">
        <f>0</f>
        <v>0</v>
      </c>
      <c r="V284" s="301">
        <f>0</f>
        <v>0</v>
      </c>
      <c r="W284" s="425">
        <f t="shared" si="118"/>
        <v>0</v>
      </c>
      <c r="X284" s="419"/>
      <c r="Y284" s="419"/>
      <c r="Z284" s="421"/>
      <c r="AA284" s="421"/>
      <c r="AB284" s="419"/>
      <c r="AC284" s="419"/>
      <c r="AD284" s="421"/>
      <c r="AE284" s="421"/>
      <c r="AF284" s="419"/>
      <c r="AG284" s="419"/>
      <c r="AH284" s="421"/>
      <c r="AI284" s="421"/>
      <c r="AJ284" s="419"/>
      <c r="AK284" s="419"/>
      <c r="AL284" s="421"/>
      <c r="AM284" s="421"/>
      <c r="AN284" s="419"/>
      <c r="AO284" s="419"/>
      <c r="AP284" s="421"/>
      <c r="AQ284" s="421"/>
      <c r="AR284" s="424">
        <f t="shared" si="121"/>
        <v>0</v>
      </c>
      <c r="AS284" s="422">
        <f t="shared" si="122"/>
        <v>0</v>
      </c>
      <c r="AT284" s="425">
        <f t="shared" si="123"/>
        <v>0</v>
      </c>
      <c r="AU284" s="423">
        <f t="shared" si="124"/>
        <v>0</v>
      </c>
      <c r="AV284" s="419"/>
      <c r="AW284" s="421"/>
      <c r="AX284" s="419"/>
      <c r="AY284" s="419"/>
      <c r="AZ284" s="421"/>
      <c r="BA284" s="421"/>
      <c r="BB284" s="419"/>
      <c r="BC284" s="419"/>
      <c r="BD284" s="421"/>
      <c r="BE284" s="421"/>
      <c r="BF284" s="419"/>
      <c r="BG284" s="419"/>
      <c r="BH284" s="421"/>
      <c r="BI284" s="421"/>
      <c r="BJ284" s="419"/>
      <c r="BK284" s="419"/>
      <c r="BL284" s="421"/>
      <c r="BM284" s="421"/>
      <c r="BN284" s="419"/>
      <c r="BO284" s="419"/>
      <c r="BP284" s="421"/>
      <c r="BQ284" s="421"/>
      <c r="BR284" s="419"/>
      <c r="BS284" s="419"/>
      <c r="BT284" s="421"/>
      <c r="BU284" s="421"/>
      <c r="BV284" s="419"/>
      <c r="BW284" s="419"/>
      <c r="BX284" s="421"/>
      <c r="BY284" s="421"/>
      <c r="BZ284" s="419"/>
      <c r="CA284" s="419"/>
      <c r="CB284" s="421"/>
      <c r="CC284" s="421"/>
      <c r="CD284" s="419"/>
      <c r="CE284" s="419"/>
      <c r="CF284" s="421"/>
      <c r="CG284" s="421"/>
      <c r="CH284" s="419"/>
      <c r="CI284" s="419"/>
      <c r="CJ284" s="421"/>
      <c r="CK284" s="421"/>
      <c r="CL284" s="419"/>
      <c r="CM284" s="421"/>
      <c r="CN284" s="424">
        <f t="shared" si="125"/>
        <v>0</v>
      </c>
      <c r="CO284" s="424">
        <f t="shared" si="126"/>
        <v>0</v>
      </c>
      <c r="CP284" s="425">
        <f t="shared" si="127"/>
        <v>0</v>
      </c>
      <c r="CQ284" s="425">
        <f t="shared" si="128"/>
        <v>0</v>
      </c>
      <c r="CR284" s="419"/>
      <c r="CS284" s="419"/>
      <c r="CT284" s="421"/>
      <c r="CU284" s="421"/>
      <c r="CV284" s="419"/>
      <c r="CW284" s="419"/>
      <c r="CX284" s="421"/>
      <c r="CY284" s="421"/>
      <c r="CZ284" s="419"/>
      <c r="DA284" s="419"/>
      <c r="DB284" s="421"/>
      <c r="DC284" s="421"/>
      <c r="DD284" s="419"/>
      <c r="DE284" s="419"/>
      <c r="DF284" s="421"/>
      <c r="DG284" s="421"/>
      <c r="DH284" s="419"/>
      <c r="DI284" s="419"/>
      <c r="DJ284" s="421"/>
      <c r="DK284" s="421"/>
      <c r="DL284" s="419"/>
      <c r="DM284" s="419"/>
      <c r="DN284" s="421"/>
      <c r="DO284" s="421"/>
      <c r="DP284" s="419"/>
      <c r="DQ284" s="419"/>
      <c r="DR284" s="421"/>
      <c r="DS284" s="421"/>
      <c r="DT284" s="419"/>
      <c r="DU284" s="419"/>
      <c r="DV284" s="421"/>
      <c r="DW284" s="421"/>
      <c r="DX284" s="419"/>
      <c r="DY284" s="419"/>
      <c r="DZ284" s="421"/>
      <c r="EA284" s="421"/>
      <c r="EB284" s="419"/>
      <c r="EC284" s="419"/>
      <c r="ED284" s="421"/>
      <c r="EE284" s="421"/>
      <c r="EF284" s="419"/>
      <c r="EG284" s="421"/>
      <c r="EH284" s="424">
        <f t="shared" si="129"/>
        <v>0</v>
      </c>
      <c r="EI284" s="424">
        <f t="shared" si="130"/>
        <v>0</v>
      </c>
      <c r="EJ284" s="422">
        <f t="shared" si="131"/>
        <v>0</v>
      </c>
      <c r="EK284" s="425">
        <f t="shared" si="132"/>
        <v>0</v>
      </c>
      <c r="EL284" s="425">
        <f t="shared" si="133"/>
        <v>0</v>
      </c>
      <c r="EM284" s="423">
        <f t="shared" si="134"/>
        <v>0</v>
      </c>
      <c r="EN284" s="424">
        <f t="shared" si="135"/>
        <v>0</v>
      </c>
      <c r="EO284" s="425">
        <f t="shared" si="136"/>
        <v>0</v>
      </c>
      <c r="EP284" s="419"/>
      <c r="EQ284" s="421"/>
      <c r="ER284" s="419"/>
      <c r="ES284" s="421"/>
      <c r="ET284" s="419"/>
      <c r="EU284" s="421"/>
      <c r="EV284" s="419"/>
      <c r="EW284" s="421"/>
      <c r="EX284" s="419"/>
      <c r="EY284" s="421"/>
      <c r="EZ284" s="419"/>
      <c r="FA284" s="421"/>
      <c r="FB284" s="419"/>
      <c r="FC284" s="421"/>
      <c r="FD284" s="419"/>
      <c r="FE284" s="421"/>
      <c r="FF284" s="419"/>
      <c r="FG284" s="421"/>
      <c r="FH284" s="419"/>
      <c r="FI284" s="421"/>
      <c r="FJ284" s="424">
        <f t="shared" si="137"/>
        <v>0</v>
      </c>
      <c r="FK284" s="425">
        <f t="shared" si="138"/>
        <v>0</v>
      </c>
      <c r="FL284" s="419"/>
      <c r="FM284" s="421"/>
      <c r="FN284" s="424">
        <f t="shared" si="139"/>
        <v>345</v>
      </c>
      <c r="FO284" s="425">
        <f t="shared" si="140"/>
        <v>391</v>
      </c>
    </row>
    <row r="285" spans="1:171" customFormat="1" ht="15" customHeight="1">
      <c r="A285" s="460" t="s">
        <v>162</v>
      </c>
      <c r="B285" s="36" t="s">
        <v>804</v>
      </c>
      <c r="C285" s="121"/>
      <c r="D285" s="34">
        <v>198905</v>
      </c>
      <c r="E285" s="124">
        <v>10</v>
      </c>
      <c r="F285" s="419">
        <v>79</v>
      </c>
      <c r="G285" s="310">
        <v>114</v>
      </c>
      <c r="H285" s="419"/>
      <c r="I285" s="421"/>
      <c r="J285" s="419">
        <v>167</v>
      </c>
      <c r="K285" s="310">
        <v>122</v>
      </c>
      <c r="L285" s="422">
        <f t="shared" si="119"/>
        <v>0</v>
      </c>
      <c r="M285" s="423">
        <f t="shared" si="120"/>
        <v>0</v>
      </c>
      <c r="N285" s="419"/>
      <c r="O285" s="309">
        <f>0</f>
        <v>0</v>
      </c>
      <c r="P285" s="309">
        <f>0</f>
        <v>0</v>
      </c>
      <c r="Q285" s="309">
        <f>0</f>
        <v>0</v>
      </c>
      <c r="R285" s="424">
        <f t="shared" si="117"/>
        <v>0</v>
      </c>
      <c r="S285" s="421"/>
      <c r="T285" s="301">
        <f>0</f>
        <v>0</v>
      </c>
      <c r="U285" s="301">
        <f>0</f>
        <v>0</v>
      </c>
      <c r="V285" s="301">
        <f>0</f>
        <v>0</v>
      </c>
      <c r="W285" s="425">
        <f t="shared" si="118"/>
        <v>0</v>
      </c>
      <c r="X285" s="419"/>
      <c r="Y285" s="419"/>
      <c r="Z285" s="421"/>
      <c r="AA285" s="421"/>
      <c r="AB285" s="419"/>
      <c r="AC285" s="419"/>
      <c r="AD285" s="421"/>
      <c r="AE285" s="421"/>
      <c r="AF285" s="419"/>
      <c r="AG285" s="419"/>
      <c r="AH285" s="421"/>
      <c r="AI285" s="421"/>
      <c r="AJ285" s="419"/>
      <c r="AK285" s="419"/>
      <c r="AL285" s="421"/>
      <c r="AM285" s="421"/>
      <c r="AN285" s="419"/>
      <c r="AO285" s="419"/>
      <c r="AP285" s="421"/>
      <c r="AQ285" s="421"/>
      <c r="AR285" s="424">
        <f t="shared" si="121"/>
        <v>0</v>
      </c>
      <c r="AS285" s="422">
        <f t="shared" si="122"/>
        <v>0</v>
      </c>
      <c r="AT285" s="425">
        <f t="shared" si="123"/>
        <v>0</v>
      </c>
      <c r="AU285" s="423">
        <f t="shared" si="124"/>
        <v>0</v>
      </c>
      <c r="AV285" s="419"/>
      <c r="AW285" s="421"/>
      <c r="AX285" s="419"/>
      <c r="AY285" s="419"/>
      <c r="AZ285" s="421"/>
      <c r="BA285" s="421"/>
      <c r="BB285" s="419"/>
      <c r="BC285" s="419"/>
      <c r="BD285" s="421"/>
      <c r="BE285" s="421"/>
      <c r="BF285" s="419"/>
      <c r="BG285" s="419"/>
      <c r="BH285" s="421"/>
      <c r="BI285" s="421"/>
      <c r="BJ285" s="419"/>
      <c r="BK285" s="419"/>
      <c r="BL285" s="421"/>
      <c r="BM285" s="421"/>
      <c r="BN285" s="419"/>
      <c r="BO285" s="419"/>
      <c r="BP285" s="421"/>
      <c r="BQ285" s="421"/>
      <c r="BR285" s="419"/>
      <c r="BS285" s="419"/>
      <c r="BT285" s="421"/>
      <c r="BU285" s="421"/>
      <c r="BV285" s="419"/>
      <c r="BW285" s="419"/>
      <c r="BX285" s="421"/>
      <c r="BY285" s="421"/>
      <c r="BZ285" s="419"/>
      <c r="CA285" s="419"/>
      <c r="CB285" s="421"/>
      <c r="CC285" s="421"/>
      <c r="CD285" s="419"/>
      <c r="CE285" s="419"/>
      <c r="CF285" s="421"/>
      <c r="CG285" s="421"/>
      <c r="CH285" s="419"/>
      <c r="CI285" s="419"/>
      <c r="CJ285" s="421"/>
      <c r="CK285" s="421"/>
      <c r="CL285" s="419"/>
      <c r="CM285" s="421"/>
      <c r="CN285" s="424">
        <f t="shared" si="125"/>
        <v>0</v>
      </c>
      <c r="CO285" s="424">
        <f t="shared" si="126"/>
        <v>0</v>
      </c>
      <c r="CP285" s="425">
        <f t="shared" si="127"/>
        <v>0</v>
      </c>
      <c r="CQ285" s="425">
        <f t="shared" si="128"/>
        <v>0</v>
      </c>
      <c r="CR285" s="419"/>
      <c r="CS285" s="419"/>
      <c r="CT285" s="421"/>
      <c r="CU285" s="421"/>
      <c r="CV285" s="419"/>
      <c r="CW285" s="419"/>
      <c r="CX285" s="421"/>
      <c r="CY285" s="421"/>
      <c r="CZ285" s="419"/>
      <c r="DA285" s="419"/>
      <c r="DB285" s="421"/>
      <c r="DC285" s="421"/>
      <c r="DD285" s="419"/>
      <c r="DE285" s="419"/>
      <c r="DF285" s="421"/>
      <c r="DG285" s="421"/>
      <c r="DH285" s="419"/>
      <c r="DI285" s="419"/>
      <c r="DJ285" s="421"/>
      <c r="DK285" s="421"/>
      <c r="DL285" s="419"/>
      <c r="DM285" s="419"/>
      <c r="DN285" s="421"/>
      <c r="DO285" s="421"/>
      <c r="DP285" s="419"/>
      <c r="DQ285" s="419"/>
      <c r="DR285" s="421"/>
      <c r="DS285" s="421"/>
      <c r="DT285" s="419"/>
      <c r="DU285" s="419"/>
      <c r="DV285" s="421"/>
      <c r="DW285" s="421"/>
      <c r="DX285" s="419"/>
      <c r="DY285" s="419"/>
      <c r="DZ285" s="421"/>
      <c r="EA285" s="421"/>
      <c r="EB285" s="419"/>
      <c r="EC285" s="419"/>
      <c r="ED285" s="421"/>
      <c r="EE285" s="421"/>
      <c r="EF285" s="419"/>
      <c r="EG285" s="421"/>
      <c r="EH285" s="424">
        <f t="shared" si="129"/>
        <v>0</v>
      </c>
      <c r="EI285" s="424">
        <f t="shared" si="130"/>
        <v>0</v>
      </c>
      <c r="EJ285" s="422">
        <f t="shared" si="131"/>
        <v>0</v>
      </c>
      <c r="EK285" s="425">
        <f t="shared" si="132"/>
        <v>0</v>
      </c>
      <c r="EL285" s="425">
        <f t="shared" si="133"/>
        <v>0</v>
      </c>
      <c r="EM285" s="423">
        <f t="shared" si="134"/>
        <v>0</v>
      </c>
      <c r="EN285" s="424">
        <f t="shared" si="135"/>
        <v>0</v>
      </c>
      <c r="EO285" s="425">
        <f t="shared" si="136"/>
        <v>0</v>
      </c>
      <c r="EP285" s="419"/>
      <c r="EQ285" s="421"/>
      <c r="ER285" s="419"/>
      <c r="ES285" s="421"/>
      <c r="ET285" s="419"/>
      <c r="EU285" s="421"/>
      <c r="EV285" s="419"/>
      <c r="EW285" s="421"/>
      <c r="EX285" s="419"/>
      <c r="EY285" s="421"/>
      <c r="EZ285" s="419"/>
      <c r="FA285" s="421"/>
      <c r="FB285" s="419"/>
      <c r="FC285" s="421"/>
      <c r="FD285" s="419"/>
      <c r="FE285" s="421"/>
      <c r="FF285" s="419"/>
      <c r="FG285" s="421"/>
      <c r="FH285" s="419"/>
      <c r="FI285" s="421"/>
      <c r="FJ285" s="424">
        <f t="shared" si="137"/>
        <v>0</v>
      </c>
      <c r="FK285" s="425">
        <f t="shared" si="138"/>
        <v>0</v>
      </c>
      <c r="FL285" s="419"/>
      <c r="FM285" s="421"/>
      <c r="FN285" s="424">
        <f t="shared" si="139"/>
        <v>246</v>
      </c>
      <c r="FO285" s="425">
        <f t="shared" si="140"/>
        <v>236</v>
      </c>
    </row>
    <row r="286" spans="1:171" customFormat="1" ht="15" customHeight="1">
      <c r="A286" s="460" t="s">
        <v>162</v>
      </c>
      <c r="B286" s="36" t="s">
        <v>805</v>
      </c>
      <c r="C286" s="121"/>
      <c r="D286" s="34">
        <v>198914</v>
      </c>
      <c r="E286" s="124">
        <v>10</v>
      </c>
      <c r="F286" s="419">
        <v>164</v>
      </c>
      <c r="G286" s="310">
        <v>105</v>
      </c>
      <c r="H286" s="419"/>
      <c r="I286" s="421"/>
      <c r="J286" s="419">
        <v>131</v>
      </c>
      <c r="K286" s="311">
        <v>138</v>
      </c>
      <c r="L286" s="422">
        <f t="shared" si="119"/>
        <v>0</v>
      </c>
      <c r="M286" s="423">
        <f t="shared" si="120"/>
        <v>0</v>
      </c>
      <c r="N286" s="419"/>
      <c r="O286" s="309">
        <f>0</f>
        <v>0</v>
      </c>
      <c r="P286" s="309">
        <f>0</f>
        <v>0</v>
      </c>
      <c r="Q286" s="309">
        <f>0</f>
        <v>0</v>
      </c>
      <c r="R286" s="424">
        <f t="shared" si="117"/>
        <v>0</v>
      </c>
      <c r="S286" s="421"/>
      <c r="T286" s="301">
        <f>0</f>
        <v>0</v>
      </c>
      <c r="U286" s="301">
        <f>0</f>
        <v>0</v>
      </c>
      <c r="V286" s="301">
        <f>0</f>
        <v>0</v>
      </c>
      <c r="W286" s="425">
        <f t="shared" si="118"/>
        <v>0</v>
      </c>
      <c r="X286" s="419"/>
      <c r="Y286" s="419"/>
      <c r="Z286" s="421"/>
      <c r="AA286" s="421"/>
      <c r="AB286" s="419"/>
      <c r="AC286" s="419"/>
      <c r="AD286" s="421"/>
      <c r="AE286" s="421"/>
      <c r="AF286" s="419"/>
      <c r="AG286" s="419"/>
      <c r="AH286" s="421"/>
      <c r="AI286" s="421"/>
      <c r="AJ286" s="419"/>
      <c r="AK286" s="419"/>
      <c r="AL286" s="421"/>
      <c r="AM286" s="421"/>
      <c r="AN286" s="419"/>
      <c r="AO286" s="419"/>
      <c r="AP286" s="421"/>
      <c r="AQ286" s="421"/>
      <c r="AR286" s="424">
        <f t="shared" si="121"/>
        <v>0</v>
      </c>
      <c r="AS286" s="422">
        <f t="shared" si="122"/>
        <v>0</v>
      </c>
      <c r="AT286" s="425">
        <f t="shared" si="123"/>
        <v>0</v>
      </c>
      <c r="AU286" s="423">
        <f t="shared" si="124"/>
        <v>0</v>
      </c>
      <c r="AV286" s="419"/>
      <c r="AW286" s="421"/>
      <c r="AX286" s="419"/>
      <c r="AY286" s="419"/>
      <c r="AZ286" s="421"/>
      <c r="BA286" s="421"/>
      <c r="BB286" s="419"/>
      <c r="BC286" s="419"/>
      <c r="BD286" s="421"/>
      <c r="BE286" s="421"/>
      <c r="BF286" s="419"/>
      <c r="BG286" s="419"/>
      <c r="BH286" s="421"/>
      <c r="BI286" s="421"/>
      <c r="BJ286" s="419"/>
      <c r="BK286" s="419"/>
      <c r="BL286" s="421"/>
      <c r="BM286" s="421"/>
      <c r="BN286" s="419"/>
      <c r="BO286" s="419"/>
      <c r="BP286" s="421"/>
      <c r="BQ286" s="421"/>
      <c r="BR286" s="419"/>
      <c r="BS286" s="419"/>
      <c r="BT286" s="421"/>
      <c r="BU286" s="421"/>
      <c r="BV286" s="419"/>
      <c r="BW286" s="419"/>
      <c r="BX286" s="421"/>
      <c r="BY286" s="421"/>
      <c r="BZ286" s="419"/>
      <c r="CA286" s="419"/>
      <c r="CB286" s="421"/>
      <c r="CC286" s="421"/>
      <c r="CD286" s="419"/>
      <c r="CE286" s="419"/>
      <c r="CF286" s="421"/>
      <c r="CG286" s="421"/>
      <c r="CH286" s="419"/>
      <c r="CI286" s="419"/>
      <c r="CJ286" s="421"/>
      <c r="CK286" s="421"/>
      <c r="CL286" s="419"/>
      <c r="CM286" s="421"/>
      <c r="CN286" s="424">
        <f t="shared" si="125"/>
        <v>0</v>
      </c>
      <c r="CO286" s="424">
        <f t="shared" si="126"/>
        <v>0</v>
      </c>
      <c r="CP286" s="425">
        <f t="shared" si="127"/>
        <v>0</v>
      </c>
      <c r="CQ286" s="425">
        <f t="shared" si="128"/>
        <v>0</v>
      </c>
      <c r="CR286" s="419"/>
      <c r="CS286" s="419"/>
      <c r="CT286" s="421"/>
      <c r="CU286" s="421"/>
      <c r="CV286" s="419"/>
      <c r="CW286" s="419"/>
      <c r="CX286" s="421"/>
      <c r="CY286" s="421"/>
      <c r="CZ286" s="419"/>
      <c r="DA286" s="419"/>
      <c r="DB286" s="421"/>
      <c r="DC286" s="421"/>
      <c r="DD286" s="419"/>
      <c r="DE286" s="419"/>
      <c r="DF286" s="421"/>
      <c r="DG286" s="421"/>
      <c r="DH286" s="419"/>
      <c r="DI286" s="419"/>
      <c r="DJ286" s="421"/>
      <c r="DK286" s="421"/>
      <c r="DL286" s="419"/>
      <c r="DM286" s="419"/>
      <c r="DN286" s="421"/>
      <c r="DO286" s="421"/>
      <c r="DP286" s="419"/>
      <c r="DQ286" s="419"/>
      <c r="DR286" s="421"/>
      <c r="DS286" s="421"/>
      <c r="DT286" s="419"/>
      <c r="DU286" s="419"/>
      <c r="DV286" s="421"/>
      <c r="DW286" s="421"/>
      <c r="DX286" s="419"/>
      <c r="DY286" s="419"/>
      <c r="DZ286" s="421"/>
      <c r="EA286" s="421"/>
      <c r="EB286" s="419"/>
      <c r="EC286" s="419"/>
      <c r="ED286" s="421"/>
      <c r="EE286" s="421"/>
      <c r="EF286" s="419"/>
      <c r="EG286" s="421"/>
      <c r="EH286" s="424">
        <f t="shared" si="129"/>
        <v>0</v>
      </c>
      <c r="EI286" s="424">
        <f t="shared" si="130"/>
        <v>0</v>
      </c>
      <c r="EJ286" s="422">
        <f t="shared" si="131"/>
        <v>0</v>
      </c>
      <c r="EK286" s="425">
        <f t="shared" si="132"/>
        <v>0</v>
      </c>
      <c r="EL286" s="425">
        <f t="shared" si="133"/>
        <v>0</v>
      </c>
      <c r="EM286" s="423">
        <f t="shared" si="134"/>
        <v>0</v>
      </c>
      <c r="EN286" s="424">
        <f t="shared" si="135"/>
        <v>0</v>
      </c>
      <c r="EO286" s="425">
        <f t="shared" si="136"/>
        <v>0</v>
      </c>
      <c r="EP286" s="419"/>
      <c r="EQ286" s="421"/>
      <c r="ER286" s="419"/>
      <c r="ES286" s="421"/>
      <c r="ET286" s="419"/>
      <c r="EU286" s="421"/>
      <c r="EV286" s="419"/>
      <c r="EW286" s="421"/>
      <c r="EX286" s="419"/>
      <c r="EY286" s="421"/>
      <c r="EZ286" s="419"/>
      <c r="FA286" s="421"/>
      <c r="FB286" s="419"/>
      <c r="FC286" s="421"/>
      <c r="FD286" s="419"/>
      <c r="FE286" s="421"/>
      <c r="FF286" s="419"/>
      <c r="FG286" s="421"/>
      <c r="FH286" s="419"/>
      <c r="FI286" s="421"/>
      <c r="FJ286" s="424">
        <f t="shared" si="137"/>
        <v>0</v>
      </c>
      <c r="FK286" s="425">
        <f t="shared" si="138"/>
        <v>0</v>
      </c>
      <c r="FL286" s="419"/>
      <c r="FM286" s="421"/>
      <c r="FN286" s="424">
        <f t="shared" si="139"/>
        <v>295</v>
      </c>
      <c r="FO286" s="425">
        <f t="shared" si="140"/>
        <v>243</v>
      </c>
    </row>
    <row r="287" spans="1:171" customFormat="1" ht="15" customHeight="1">
      <c r="A287" s="460" t="s">
        <v>162</v>
      </c>
      <c r="B287" s="36" t="s">
        <v>806</v>
      </c>
      <c r="C287" s="121"/>
      <c r="D287" s="34">
        <v>198923</v>
      </c>
      <c r="E287" s="124">
        <v>10</v>
      </c>
      <c r="F287" s="419">
        <v>123</v>
      </c>
      <c r="G287" s="310">
        <v>77</v>
      </c>
      <c r="H287" s="419"/>
      <c r="I287" s="421"/>
      <c r="J287" s="419">
        <v>137</v>
      </c>
      <c r="K287" s="311">
        <v>138</v>
      </c>
      <c r="L287" s="422">
        <f t="shared" si="119"/>
        <v>0</v>
      </c>
      <c r="M287" s="423">
        <f t="shared" si="120"/>
        <v>0</v>
      </c>
      <c r="N287" s="419"/>
      <c r="O287" s="309">
        <f>0</f>
        <v>0</v>
      </c>
      <c r="P287" s="309">
        <f>0</f>
        <v>0</v>
      </c>
      <c r="Q287" s="309">
        <f>0</f>
        <v>0</v>
      </c>
      <c r="R287" s="424">
        <f t="shared" si="117"/>
        <v>0</v>
      </c>
      <c r="S287" s="421"/>
      <c r="T287" s="301">
        <f>0</f>
        <v>0</v>
      </c>
      <c r="U287" s="301">
        <f>0</f>
        <v>0</v>
      </c>
      <c r="V287" s="301">
        <f>0</f>
        <v>0</v>
      </c>
      <c r="W287" s="425">
        <f t="shared" si="118"/>
        <v>0</v>
      </c>
      <c r="X287" s="419"/>
      <c r="Y287" s="419"/>
      <c r="Z287" s="421"/>
      <c r="AA287" s="421"/>
      <c r="AB287" s="419"/>
      <c r="AC287" s="419"/>
      <c r="AD287" s="421"/>
      <c r="AE287" s="421"/>
      <c r="AF287" s="419"/>
      <c r="AG287" s="419"/>
      <c r="AH287" s="421"/>
      <c r="AI287" s="421"/>
      <c r="AJ287" s="419"/>
      <c r="AK287" s="419"/>
      <c r="AL287" s="421"/>
      <c r="AM287" s="421"/>
      <c r="AN287" s="419"/>
      <c r="AO287" s="419"/>
      <c r="AP287" s="421"/>
      <c r="AQ287" s="421"/>
      <c r="AR287" s="424">
        <f t="shared" si="121"/>
        <v>0</v>
      </c>
      <c r="AS287" s="422">
        <f t="shared" si="122"/>
        <v>0</v>
      </c>
      <c r="AT287" s="425">
        <f t="shared" si="123"/>
        <v>0</v>
      </c>
      <c r="AU287" s="423">
        <f t="shared" si="124"/>
        <v>0</v>
      </c>
      <c r="AV287" s="419"/>
      <c r="AW287" s="421"/>
      <c r="AX287" s="419"/>
      <c r="AY287" s="419"/>
      <c r="AZ287" s="421"/>
      <c r="BA287" s="421"/>
      <c r="BB287" s="419"/>
      <c r="BC287" s="419"/>
      <c r="BD287" s="421"/>
      <c r="BE287" s="421"/>
      <c r="BF287" s="419"/>
      <c r="BG287" s="419"/>
      <c r="BH287" s="421"/>
      <c r="BI287" s="421"/>
      <c r="BJ287" s="419"/>
      <c r="BK287" s="419"/>
      <c r="BL287" s="421"/>
      <c r="BM287" s="421"/>
      <c r="BN287" s="419"/>
      <c r="BO287" s="419"/>
      <c r="BP287" s="421"/>
      <c r="BQ287" s="421"/>
      <c r="BR287" s="419"/>
      <c r="BS287" s="419"/>
      <c r="BT287" s="421"/>
      <c r="BU287" s="421"/>
      <c r="BV287" s="419"/>
      <c r="BW287" s="419"/>
      <c r="BX287" s="421"/>
      <c r="BY287" s="421"/>
      <c r="BZ287" s="419"/>
      <c r="CA287" s="419"/>
      <c r="CB287" s="421"/>
      <c r="CC287" s="421"/>
      <c r="CD287" s="419"/>
      <c r="CE287" s="419"/>
      <c r="CF287" s="421"/>
      <c r="CG287" s="421"/>
      <c r="CH287" s="419"/>
      <c r="CI287" s="419"/>
      <c r="CJ287" s="421"/>
      <c r="CK287" s="421"/>
      <c r="CL287" s="419"/>
      <c r="CM287" s="421"/>
      <c r="CN287" s="424">
        <f t="shared" si="125"/>
        <v>0</v>
      </c>
      <c r="CO287" s="424">
        <f t="shared" si="126"/>
        <v>0</v>
      </c>
      <c r="CP287" s="425">
        <f t="shared" si="127"/>
        <v>0</v>
      </c>
      <c r="CQ287" s="425">
        <f t="shared" si="128"/>
        <v>0</v>
      </c>
      <c r="CR287" s="419"/>
      <c r="CS287" s="419"/>
      <c r="CT287" s="421"/>
      <c r="CU287" s="421"/>
      <c r="CV287" s="419"/>
      <c r="CW287" s="419"/>
      <c r="CX287" s="421"/>
      <c r="CY287" s="421"/>
      <c r="CZ287" s="419"/>
      <c r="DA287" s="419"/>
      <c r="DB287" s="421"/>
      <c r="DC287" s="421"/>
      <c r="DD287" s="419"/>
      <c r="DE287" s="419"/>
      <c r="DF287" s="421"/>
      <c r="DG287" s="421"/>
      <c r="DH287" s="419"/>
      <c r="DI287" s="419"/>
      <c r="DJ287" s="421"/>
      <c r="DK287" s="421"/>
      <c r="DL287" s="419"/>
      <c r="DM287" s="419"/>
      <c r="DN287" s="421"/>
      <c r="DO287" s="421"/>
      <c r="DP287" s="419"/>
      <c r="DQ287" s="419"/>
      <c r="DR287" s="421"/>
      <c r="DS287" s="421"/>
      <c r="DT287" s="419"/>
      <c r="DU287" s="419"/>
      <c r="DV287" s="421"/>
      <c r="DW287" s="421"/>
      <c r="DX287" s="419"/>
      <c r="DY287" s="419"/>
      <c r="DZ287" s="421"/>
      <c r="EA287" s="421"/>
      <c r="EB287" s="419"/>
      <c r="EC287" s="419"/>
      <c r="ED287" s="421"/>
      <c r="EE287" s="421"/>
      <c r="EF287" s="419"/>
      <c r="EG287" s="421"/>
      <c r="EH287" s="424">
        <f t="shared" si="129"/>
        <v>0</v>
      </c>
      <c r="EI287" s="424">
        <f t="shared" si="130"/>
        <v>0</v>
      </c>
      <c r="EJ287" s="422">
        <f t="shared" si="131"/>
        <v>0</v>
      </c>
      <c r="EK287" s="425">
        <f t="shared" si="132"/>
        <v>0</v>
      </c>
      <c r="EL287" s="425">
        <f t="shared" si="133"/>
        <v>0</v>
      </c>
      <c r="EM287" s="423">
        <f t="shared" si="134"/>
        <v>0</v>
      </c>
      <c r="EN287" s="424">
        <f t="shared" si="135"/>
        <v>0</v>
      </c>
      <c r="EO287" s="425">
        <f t="shared" si="136"/>
        <v>0</v>
      </c>
      <c r="EP287" s="419"/>
      <c r="EQ287" s="421"/>
      <c r="ER287" s="419"/>
      <c r="ES287" s="421"/>
      <c r="ET287" s="419"/>
      <c r="EU287" s="421"/>
      <c r="EV287" s="419"/>
      <c r="EW287" s="421"/>
      <c r="EX287" s="419"/>
      <c r="EY287" s="421"/>
      <c r="EZ287" s="419"/>
      <c r="FA287" s="421"/>
      <c r="FB287" s="419"/>
      <c r="FC287" s="421"/>
      <c r="FD287" s="419"/>
      <c r="FE287" s="421"/>
      <c r="FF287" s="419"/>
      <c r="FG287" s="421"/>
      <c r="FH287" s="419"/>
      <c r="FI287" s="421"/>
      <c r="FJ287" s="424">
        <f t="shared" si="137"/>
        <v>0</v>
      </c>
      <c r="FK287" s="425">
        <f t="shared" si="138"/>
        <v>0</v>
      </c>
      <c r="FL287" s="419"/>
      <c r="FM287" s="421"/>
      <c r="FN287" s="424">
        <f t="shared" si="139"/>
        <v>260</v>
      </c>
      <c r="FO287" s="425">
        <f t="shared" si="140"/>
        <v>215</v>
      </c>
    </row>
    <row r="288" spans="1:171" customFormat="1" ht="15" customHeight="1">
      <c r="A288" s="460" t="s">
        <v>162</v>
      </c>
      <c r="B288" s="36" t="s">
        <v>807</v>
      </c>
      <c r="C288" s="121"/>
      <c r="D288" s="34">
        <v>199023</v>
      </c>
      <c r="E288" s="124">
        <v>10</v>
      </c>
      <c r="F288" s="419">
        <v>270</v>
      </c>
      <c r="G288" s="310">
        <v>188</v>
      </c>
      <c r="H288" s="419"/>
      <c r="I288" s="421"/>
      <c r="J288" s="419">
        <v>107</v>
      </c>
      <c r="K288" s="311">
        <v>127</v>
      </c>
      <c r="L288" s="422">
        <f t="shared" si="119"/>
        <v>0</v>
      </c>
      <c r="M288" s="423">
        <f t="shared" si="120"/>
        <v>0</v>
      </c>
      <c r="N288" s="419"/>
      <c r="O288" s="309">
        <f>0</f>
        <v>0</v>
      </c>
      <c r="P288" s="309">
        <f>0</f>
        <v>0</v>
      </c>
      <c r="Q288" s="309">
        <f>0</f>
        <v>0</v>
      </c>
      <c r="R288" s="424">
        <f t="shared" si="117"/>
        <v>0</v>
      </c>
      <c r="S288" s="421"/>
      <c r="T288" s="301">
        <f>0</f>
        <v>0</v>
      </c>
      <c r="U288" s="301">
        <f>0</f>
        <v>0</v>
      </c>
      <c r="V288" s="301">
        <f>0</f>
        <v>0</v>
      </c>
      <c r="W288" s="425">
        <f t="shared" si="118"/>
        <v>0</v>
      </c>
      <c r="X288" s="419"/>
      <c r="Y288" s="419"/>
      <c r="Z288" s="421"/>
      <c r="AA288" s="421"/>
      <c r="AB288" s="419"/>
      <c r="AC288" s="419"/>
      <c r="AD288" s="421"/>
      <c r="AE288" s="421"/>
      <c r="AF288" s="419"/>
      <c r="AG288" s="419"/>
      <c r="AH288" s="421"/>
      <c r="AI288" s="421"/>
      <c r="AJ288" s="419"/>
      <c r="AK288" s="419"/>
      <c r="AL288" s="421"/>
      <c r="AM288" s="421"/>
      <c r="AN288" s="419"/>
      <c r="AO288" s="419"/>
      <c r="AP288" s="421"/>
      <c r="AQ288" s="421"/>
      <c r="AR288" s="424">
        <f t="shared" si="121"/>
        <v>0</v>
      </c>
      <c r="AS288" s="422">
        <f t="shared" si="122"/>
        <v>0</v>
      </c>
      <c r="AT288" s="425">
        <f t="shared" si="123"/>
        <v>0</v>
      </c>
      <c r="AU288" s="423">
        <f t="shared" si="124"/>
        <v>0</v>
      </c>
      <c r="AV288" s="419"/>
      <c r="AW288" s="421"/>
      <c r="AX288" s="419"/>
      <c r="AY288" s="419"/>
      <c r="AZ288" s="421"/>
      <c r="BA288" s="421"/>
      <c r="BB288" s="419"/>
      <c r="BC288" s="419"/>
      <c r="BD288" s="421"/>
      <c r="BE288" s="421"/>
      <c r="BF288" s="419"/>
      <c r="BG288" s="419"/>
      <c r="BH288" s="421"/>
      <c r="BI288" s="421"/>
      <c r="BJ288" s="419"/>
      <c r="BK288" s="419"/>
      <c r="BL288" s="421"/>
      <c r="BM288" s="421"/>
      <c r="BN288" s="419"/>
      <c r="BO288" s="419"/>
      <c r="BP288" s="421"/>
      <c r="BQ288" s="421"/>
      <c r="BR288" s="419"/>
      <c r="BS288" s="419"/>
      <c r="BT288" s="421"/>
      <c r="BU288" s="421"/>
      <c r="BV288" s="419"/>
      <c r="BW288" s="419"/>
      <c r="BX288" s="421"/>
      <c r="BY288" s="421"/>
      <c r="BZ288" s="419"/>
      <c r="CA288" s="419"/>
      <c r="CB288" s="421"/>
      <c r="CC288" s="421"/>
      <c r="CD288" s="419"/>
      <c r="CE288" s="419"/>
      <c r="CF288" s="421"/>
      <c r="CG288" s="421"/>
      <c r="CH288" s="419"/>
      <c r="CI288" s="419"/>
      <c r="CJ288" s="421"/>
      <c r="CK288" s="421"/>
      <c r="CL288" s="419"/>
      <c r="CM288" s="421"/>
      <c r="CN288" s="424">
        <f t="shared" si="125"/>
        <v>0</v>
      </c>
      <c r="CO288" s="424">
        <f t="shared" si="126"/>
        <v>0</v>
      </c>
      <c r="CP288" s="425">
        <f t="shared" si="127"/>
        <v>0</v>
      </c>
      <c r="CQ288" s="425">
        <f t="shared" si="128"/>
        <v>0</v>
      </c>
      <c r="CR288" s="419"/>
      <c r="CS288" s="419"/>
      <c r="CT288" s="421"/>
      <c r="CU288" s="421"/>
      <c r="CV288" s="419"/>
      <c r="CW288" s="419"/>
      <c r="CX288" s="421"/>
      <c r="CY288" s="421"/>
      <c r="CZ288" s="419"/>
      <c r="DA288" s="419"/>
      <c r="DB288" s="421"/>
      <c r="DC288" s="421"/>
      <c r="DD288" s="419"/>
      <c r="DE288" s="419"/>
      <c r="DF288" s="421"/>
      <c r="DG288" s="421"/>
      <c r="DH288" s="419"/>
      <c r="DI288" s="419"/>
      <c r="DJ288" s="421"/>
      <c r="DK288" s="421"/>
      <c r="DL288" s="419"/>
      <c r="DM288" s="419"/>
      <c r="DN288" s="421"/>
      <c r="DO288" s="421"/>
      <c r="DP288" s="419"/>
      <c r="DQ288" s="419"/>
      <c r="DR288" s="421"/>
      <c r="DS288" s="421"/>
      <c r="DT288" s="419"/>
      <c r="DU288" s="419"/>
      <c r="DV288" s="421"/>
      <c r="DW288" s="421"/>
      <c r="DX288" s="419"/>
      <c r="DY288" s="419"/>
      <c r="DZ288" s="421"/>
      <c r="EA288" s="421"/>
      <c r="EB288" s="419"/>
      <c r="EC288" s="419"/>
      <c r="ED288" s="421"/>
      <c r="EE288" s="421"/>
      <c r="EF288" s="419"/>
      <c r="EG288" s="421"/>
      <c r="EH288" s="424">
        <f t="shared" si="129"/>
        <v>0</v>
      </c>
      <c r="EI288" s="424">
        <f t="shared" si="130"/>
        <v>0</v>
      </c>
      <c r="EJ288" s="422">
        <f t="shared" si="131"/>
        <v>0</v>
      </c>
      <c r="EK288" s="425">
        <f t="shared" si="132"/>
        <v>0</v>
      </c>
      <c r="EL288" s="425">
        <f t="shared" si="133"/>
        <v>0</v>
      </c>
      <c r="EM288" s="423">
        <f t="shared" si="134"/>
        <v>0</v>
      </c>
      <c r="EN288" s="424">
        <f t="shared" si="135"/>
        <v>0</v>
      </c>
      <c r="EO288" s="425">
        <f t="shared" si="136"/>
        <v>0</v>
      </c>
      <c r="EP288" s="419"/>
      <c r="EQ288" s="421"/>
      <c r="ER288" s="419"/>
      <c r="ES288" s="421"/>
      <c r="ET288" s="419"/>
      <c r="EU288" s="421"/>
      <c r="EV288" s="419"/>
      <c r="EW288" s="421"/>
      <c r="EX288" s="419"/>
      <c r="EY288" s="421"/>
      <c r="EZ288" s="419"/>
      <c r="FA288" s="421"/>
      <c r="FB288" s="419"/>
      <c r="FC288" s="421"/>
      <c r="FD288" s="419"/>
      <c r="FE288" s="421"/>
      <c r="FF288" s="419"/>
      <c r="FG288" s="421"/>
      <c r="FH288" s="419"/>
      <c r="FI288" s="421"/>
      <c r="FJ288" s="424">
        <f t="shared" si="137"/>
        <v>0</v>
      </c>
      <c r="FK288" s="425">
        <f t="shared" si="138"/>
        <v>0</v>
      </c>
      <c r="FL288" s="419"/>
      <c r="FM288" s="421"/>
      <c r="FN288" s="424">
        <f t="shared" si="139"/>
        <v>377</v>
      </c>
      <c r="FO288" s="425">
        <f t="shared" si="140"/>
        <v>315</v>
      </c>
    </row>
    <row r="289" spans="1:171" customFormat="1" ht="15" customHeight="1">
      <c r="A289" s="460" t="s">
        <v>162</v>
      </c>
      <c r="B289" s="36" t="s">
        <v>808</v>
      </c>
      <c r="C289" s="121"/>
      <c r="D289" s="34">
        <v>199263</v>
      </c>
      <c r="E289" s="124">
        <v>10</v>
      </c>
      <c r="F289" s="419">
        <v>256</v>
      </c>
      <c r="G289" s="311">
        <v>269</v>
      </c>
      <c r="H289" s="419"/>
      <c r="I289" s="421"/>
      <c r="J289" s="419">
        <v>51</v>
      </c>
      <c r="K289" s="311">
        <v>51</v>
      </c>
      <c r="L289" s="422">
        <f t="shared" si="119"/>
        <v>0</v>
      </c>
      <c r="M289" s="423">
        <f t="shared" si="120"/>
        <v>0</v>
      </c>
      <c r="N289" s="419"/>
      <c r="O289" s="309">
        <f>0</f>
        <v>0</v>
      </c>
      <c r="P289" s="309">
        <f>0</f>
        <v>0</v>
      </c>
      <c r="Q289" s="309">
        <f>0</f>
        <v>0</v>
      </c>
      <c r="R289" s="424">
        <f t="shared" si="117"/>
        <v>0</v>
      </c>
      <c r="S289" s="421"/>
      <c r="T289" s="301">
        <f>0</f>
        <v>0</v>
      </c>
      <c r="U289" s="301">
        <f>0</f>
        <v>0</v>
      </c>
      <c r="V289" s="301">
        <f>0</f>
        <v>0</v>
      </c>
      <c r="W289" s="425">
        <f t="shared" si="118"/>
        <v>0</v>
      </c>
      <c r="X289" s="419"/>
      <c r="Y289" s="419"/>
      <c r="Z289" s="421"/>
      <c r="AA289" s="421"/>
      <c r="AB289" s="419"/>
      <c r="AC289" s="419"/>
      <c r="AD289" s="421"/>
      <c r="AE289" s="421"/>
      <c r="AF289" s="419"/>
      <c r="AG289" s="419"/>
      <c r="AH289" s="421"/>
      <c r="AI289" s="421"/>
      <c r="AJ289" s="419"/>
      <c r="AK289" s="419"/>
      <c r="AL289" s="421"/>
      <c r="AM289" s="421"/>
      <c r="AN289" s="419"/>
      <c r="AO289" s="419"/>
      <c r="AP289" s="421"/>
      <c r="AQ289" s="421"/>
      <c r="AR289" s="424">
        <f t="shared" si="121"/>
        <v>0</v>
      </c>
      <c r="AS289" s="422">
        <f t="shared" si="122"/>
        <v>0</v>
      </c>
      <c r="AT289" s="425">
        <f t="shared" si="123"/>
        <v>0</v>
      </c>
      <c r="AU289" s="423">
        <f t="shared" si="124"/>
        <v>0</v>
      </c>
      <c r="AV289" s="419"/>
      <c r="AW289" s="421"/>
      <c r="AX289" s="419"/>
      <c r="AY289" s="419"/>
      <c r="AZ289" s="421"/>
      <c r="BA289" s="421"/>
      <c r="BB289" s="419"/>
      <c r="BC289" s="419"/>
      <c r="BD289" s="421"/>
      <c r="BE289" s="421"/>
      <c r="BF289" s="419"/>
      <c r="BG289" s="419"/>
      <c r="BH289" s="421"/>
      <c r="BI289" s="421"/>
      <c r="BJ289" s="419"/>
      <c r="BK289" s="419"/>
      <c r="BL289" s="421"/>
      <c r="BM289" s="421"/>
      <c r="BN289" s="419"/>
      <c r="BO289" s="419"/>
      <c r="BP289" s="421"/>
      <c r="BQ289" s="421"/>
      <c r="BR289" s="419"/>
      <c r="BS289" s="419"/>
      <c r="BT289" s="421"/>
      <c r="BU289" s="421"/>
      <c r="BV289" s="419"/>
      <c r="BW289" s="419"/>
      <c r="BX289" s="421"/>
      <c r="BY289" s="421"/>
      <c r="BZ289" s="419"/>
      <c r="CA289" s="419"/>
      <c r="CB289" s="421"/>
      <c r="CC289" s="421"/>
      <c r="CD289" s="419"/>
      <c r="CE289" s="419"/>
      <c r="CF289" s="421"/>
      <c r="CG289" s="421"/>
      <c r="CH289" s="419"/>
      <c r="CI289" s="419"/>
      <c r="CJ289" s="421"/>
      <c r="CK289" s="421"/>
      <c r="CL289" s="419"/>
      <c r="CM289" s="421"/>
      <c r="CN289" s="424">
        <f t="shared" si="125"/>
        <v>0</v>
      </c>
      <c r="CO289" s="424">
        <f t="shared" si="126"/>
        <v>0</v>
      </c>
      <c r="CP289" s="425">
        <f t="shared" si="127"/>
        <v>0</v>
      </c>
      <c r="CQ289" s="425">
        <f t="shared" si="128"/>
        <v>0</v>
      </c>
      <c r="CR289" s="419"/>
      <c r="CS289" s="419"/>
      <c r="CT289" s="421"/>
      <c r="CU289" s="421"/>
      <c r="CV289" s="419"/>
      <c r="CW289" s="419"/>
      <c r="CX289" s="421"/>
      <c r="CY289" s="421"/>
      <c r="CZ289" s="419"/>
      <c r="DA289" s="419"/>
      <c r="DB289" s="421"/>
      <c r="DC289" s="421"/>
      <c r="DD289" s="419"/>
      <c r="DE289" s="419"/>
      <c r="DF289" s="421"/>
      <c r="DG289" s="421"/>
      <c r="DH289" s="419"/>
      <c r="DI289" s="419"/>
      <c r="DJ289" s="421"/>
      <c r="DK289" s="421"/>
      <c r="DL289" s="419"/>
      <c r="DM289" s="419"/>
      <c r="DN289" s="421"/>
      <c r="DO289" s="421"/>
      <c r="DP289" s="419"/>
      <c r="DQ289" s="419"/>
      <c r="DR289" s="421"/>
      <c r="DS289" s="421"/>
      <c r="DT289" s="419"/>
      <c r="DU289" s="419"/>
      <c r="DV289" s="421"/>
      <c r="DW289" s="421"/>
      <c r="DX289" s="419"/>
      <c r="DY289" s="419"/>
      <c r="DZ289" s="421"/>
      <c r="EA289" s="421"/>
      <c r="EB289" s="419"/>
      <c r="EC289" s="419"/>
      <c r="ED289" s="421"/>
      <c r="EE289" s="421"/>
      <c r="EF289" s="419"/>
      <c r="EG289" s="421"/>
      <c r="EH289" s="424">
        <f t="shared" si="129"/>
        <v>0</v>
      </c>
      <c r="EI289" s="424">
        <f t="shared" si="130"/>
        <v>0</v>
      </c>
      <c r="EJ289" s="422">
        <f t="shared" si="131"/>
        <v>0</v>
      </c>
      <c r="EK289" s="425">
        <f t="shared" si="132"/>
        <v>0</v>
      </c>
      <c r="EL289" s="425">
        <f t="shared" si="133"/>
        <v>0</v>
      </c>
      <c r="EM289" s="423">
        <f t="shared" si="134"/>
        <v>0</v>
      </c>
      <c r="EN289" s="424">
        <f t="shared" si="135"/>
        <v>0</v>
      </c>
      <c r="EO289" s="425">
        <f t="shared" si="136"/>
        <v>0</v>
      </c>
      <c r="EP289" s="419"/>
      <c r="EQ289" s="421"/>
      <c r="ER289" s="419"/>
      <c r="ES289" s="421"/>
      <c r="ET289" s="419"/>
      <c r="EU289" s="421"/>
      <c r="EV289" s="419"/>
      <c r="EW289" s="421"/>
      <c r="EX289" s="419"/>
      <c r="EY289" s="421"/>
      <c r="EZ289" s="419"/>
      <c r="FA289" s="421"/>
      <c r="FB289" s="419"/>
      <c r="FC289" s="421"/>
      <c r="FD289" s="419"/>
      <c r="FE289" s="421"/>
      <c r="FF289" s="419"/>
      <c r="FG289" s="421"/>
      <c r="FH289" s="419"/>
      <c r="FI289" s="421"/>
      <c r="FJ289" s="424">
        <f t="shared" si="137"/>
        <v>0</v>
      </c>
      <c r="FK289" s="425">
        <f t="shared" si="138"/>
        <v>0</v>
      </c>
      <c r="FL289" s="419"/>
      <c r="FM289" s="421"/>
      <c r="FN289" s="424">
        <f t="shared" si="139"/>
        <v>307</v>
      </c>
      <c r="FO289" s="425">
        <f t="shared" si="140"/>
        <v>320</v>
      </c>
    </row>
    <row r="290" spans="1:171" customFormat="1" ht="15" customHeight="1">
      <c r="A290" s="460" t="s">
        <v>162</v>
      </c>
      <c r="B290" s="36" t="s">
        <v>809</v>
      </c>
      <c r="C290" s="121"/>
      <c r="D290" s="34">
        <v>199324</v>
      </c>
      <c r="E290" s="124">
        <v>10</v>
      </c>
      <c r="F290" s="419">
        <v>193</v>
      </c>
      <c r="G290" s="310">
        <v>139</v>
      </c>
      <c r="H290" s="419"/>
      <c r="I290" s="421"/>
      <c r="J290" s="419">
        <v>122</v>
      </c>
      <c r="K290" s="311">
        <v>110</v>
      </c>
      <c r="L290" s="422">
        <f t="shared" si="119"/>
        <v>0</v>
      </c>
      <c r="M290" s="423">
        <f t="shared" si="120"/>
        <v>0</v>
      </c>
      <c r="N290" s="419"/>
      <c r="O290" s="309">
        <f>0</f>
        <v>0</v>
      </c>
      <c r="P290" s="309">
        <f>0</f>
        <v>0</v>
      </c>
      <c r="Q290" s="309">
        <f>0</f>
        <v>0</v>
      </c>
      <c r="R290" s="424">
        <f t="shared" si="117"/>
        <v>0</v>
      </c>
      <c r="S290" s="421"/>
      <c r="T290" s="301">
        <f>0</f>
        <v>0</v>
      </c>
      <c r="U290" s="301">
        <f>0</f>
        <v>0</v>
      </c>
      <c r="V290" s="301">
        <f>0</f>
        <v>0</v>
      </c>
      <c r="W290" s="425">
        <f t="shared" si="118"/>
        <v>0</v>
      </c>
      <c r="X290" s="419"/>
      <c r="Y290" s="419"/>
      <c r="Z290" s="421"/>
      <c r="AA290" s="421"/>
      <c r="AB290" s="419"/>
      <c r="AC290" s="419"/>
      <c r="AD290" s="421"/>
      <c r="AE290" s="421"/>
      <c r="AF290" s="419"/>
      <c r="AG290" s="419"/>
      <c r="AH290" s="421"/>
      <c r="AI290" s="421"/>
      <c r="AJ290" s="419"/>
      <c r="AK290" s="419"/>
      <c r="AL290" s="421"/>
      <c r="AM290" s="421"/>
      <c r="AN290" s="419"/>
      <c r="AO290" s="419"/>
      <c r="AP290" s="421"/>
      <c r="AQ290" s="421"/>
      <c r="AR290" s="424">
        <f t="shared" si="121"/>
        <v>0</v>
      </c>
      <c r="AS290" s="422">
        <f t="shared" si="122"/>
        <v>0</v>
      </c>
      <c r="AT290" s="425">
        <f t="shared" si="123"/>
        <v>0</v>
      </c>
      <c r="AU290" s="423">
        <f t="shared" si="124"/>
        <v>0</v>
      </c>
      <c r="AV290" s="419"/>
      <c r="AW290" s="421"/>
      <c r="AX290" s="419"/>
      <c r="AY290" s="419"/>
      <c r="AZ290" s="421"/>
      <c r="BA290" s="421"/>
      <c r="BB290" s="419"/>
      <c r="BC290" s="419"/>
      <c r="BD290" s="421"/>
      <c r="BE290" s="421"/>
      <c r="BF290" s="419"/>
      <c r="BG290" s="419"/>
      <c r="BH290" s="421"/>
      <c r="BI290" s="421"/>
      <c r="BJ290" s="419"/>
      <c r="BK290" s="419"/>
      <c r="BL290" s="421"/>
      <c r="BM290" s="421"/>
      <c r="BN290" s="419"/>
      <c r="BO290" s="419"/>
      <c r="BP290" s="421"/>
      <c r="BQ290" s="421"/>
      <c r="BR290" s="419"/>
      <c r="BS290" s="419"/>
      <c r="BT290" s="421"/>
      <c r="BU290" s="421"/>
      <c r="BV290" s="419"/>
      <c r="BW290" s="419"/>
      <c r="BX290" s="421"/>
      <c r="BY290" s="421"/>
      <c r="BZ290" s="419"/>
      <c r="CA290" s="419"/>
      <c r="CB290" s="421"/>
      <c r="CC290" s="421"/>
      <c r="CD290" s="419"/>
      <c r="CE290" s="419"/>
      <c r="CF290" s="421"/>
      <c r="CG290" s="421"/>
      <c r="CH290" s="419"/>
      <c r="CI290" s="419"/>
      <c r="CJ290" s="421"/>
      <c r="CK290" s="421"/>
      <c r="CL290" s="419"/>
      <c r="CM290" s="421"/>
      <c r="CN290" s="424">
        <f t="shared" si="125"/>
        <v>0</v>
      </c>
      <c r="CO290" s="424">
        <f t="shared" si="126"/>
        <v>0</v>
      </c>
      <c r="CP290" s="425">
        <f t="shared" si="127"/>
        <v>0</v>
      </c>
      <c r="CQ290" s="425">
        <f t="shared" si="128"/>
        <v>0</v>
      </c>
      <c r="CR290" s="419"/>
      <c r="CS290" s="419"/>
      <c r="CT290" s="421"/>
      <c r="CU290" s="421"/>
      <c r="CV290" s="419"/>
      <c r="CW290" s="419"/>
      <c r="CX290" s="421"/>
      <c r="CY290" s="421"/>
      <c r="CZ290" s="419"/>
      <c r="DA290" s="419"/>
      <c r="DB290" s="421"/>
      <c r="DC290" s="421"/>
      <c r="DD290" s="419"/>
      <c r="DE290" s="419"/>
      <c r="DF290" s="421"/>
      <c r="DG290" s="421"/>
      <c r="DH290" s="419"/>
      <c r="DI290" s="419"/>
      <c r="DJ290" s="421"/>
      <c r="DK290" s="421"/>
      <c r="DL290" s="419"/>
      <c r="DM290" s="419"/>
      <c r="DN290" s="421"/>
      <c r="DO290" s="421"/>
      <c r="DP290" s="419"/>
      <c r="DQ290" s="419"/>
      <c r="DR290" s="421"/>
      <c r="DS290" s="421"/>
      <c r="DT290" s="419"/>
      <c r="DU290" s="419"/>
      <c r="DV290" s="421"/>
      <c r="DW290" s="421"/>
      <c r="DX290" s="419"/>
      <c r="DY290" s="419"/>
      <c r="DZ290" s="421"/>
      <c r="EA290" s="421"/>
      <c r="EB290" s="419"/>
      <c r="EC290" s="419"/>
      <c r="ED290" s="421"/>
      <c r="EE290" s="421"/>
      <c r="EF290" s="419"/>
      <c r="EG290" s="421"/>
      <c r="EH290" s="424">
        <f t="shared" si="129"/>
        <v>0</v>
      </c>
      <c r="EI290" s="424">
        <f t="shared" si="130"/>
        <v>0</v>
      </c>
      <c r="EJ290" s="422">
        <f t="shared" si="131"/>
        <v>0</v>
      </c>
      <c r="EK290" s="425">
        <f t="shared" si="132"/>
        <v>0</v>
      </c>
      <c r="EL290" s="425">
        <f t="shared" si="133"/>
        <v>0</v>
      </c>
      <c r="EM290" s="423">
        <f t="shared" si="134"/>
        <v>0</v>
      </c>
      <c r="EN290" s="424">
        <f t="shared" si="135"/>
        <v>0</v>
      </c>
      <c r="EO290" s="425">
        <f t="shared" si="136"/>
        <v>0</v>
      </c>
      <c r="EP290" s="419"/>
      <c r="EQ290" s="421"/>
      <c r="ER290" s="419"/>
      <c r="ES290" s="421"/>
      <c r="ET290" s="419"/>
      <c r="EU290" s="421"/>
      <c r="EV290" s="419"/>
      <c r="EW290" s="421"/>
      <c r="EX290" s="419"/>
      <c r="EY290" s="421"/>
      <c r="EZ290" s="419"/>
      <c r="FA290" s="421"/>
      <c r="FB290" s="419"/>
      <c r="FC290" s="421"/>
      <c r="FD290" s="419"/>
      <c r="FE290" s="421"/>
      <c r="FF290" s="419"/>
      <c r="FG290" s="421"/>
      <c r="FH290" s="419"/>
      <c r="FI290" s="421"/>
      <c r="FJ290" s="424">
        <f t="shared" si="137"/>
        <v>0</v>
      </c>
      <c r="FK290" s="425">
        <f t="shared" si="138"/>
        <v>0</v>
      </c>
      <c r="FL290" s="419"/>
      <c r="FM290" s="421"/>
      <c r="FN290" s="424">
        <f t="shared" si="139"/>
        <v>315</v>
      </c>
      <c r="FO290" s="425">
        <f t="shared" si="140"/>
        <v>249</v>
      </c>
    </row>
    <row r="291" spans="1:171" customFormat="1" ht="15" customHeight="1">
      <c r="A291" s="460" t="s">
        <v>162</v>
      </c>
      <c r="B291" s="36" t="s">
        <v>810</v>
      </c>
      <c r="C291" s="121"/>
      <c r="D291" s="34">
        <v>199467</v>
      </c>
      <c r="E291" s="124">
        <v>10</v>
      </c>
      <c r="F291" s="419">
        <v>99</v>
      </c>
      <c r="G291" s="310">
        <v>77</v>
      </c>
      <c r="H291" s="419"/>
      <c r="I291" s="421"/>
      <c r="J291" s="419">
        <v>57</v>
      </c>
      <c r="K291" s="461">
        <v>89</v>
      </c>
      <c r="L291" s="422">
        <f t="shared" si="119"/>
        <v>0</v>
      </c>
      <c r="M291" s="423">
        <f t="shared" si="120"/>
        <v>0</v>
      </c>
      <c r="N291" s="419"/>
      <c r="O291" s="309">
        <f>0</f>
        <v>0</v>
      </c>
      <c r="P291" s="309">
        <f>0</f>
        <v>0</v>
      </c>
      <c r="Q291" s="309">
        <f>0</f>
        <v>0</v>
      </c>
      <c r="R291" s="424">
        <f t="shared" si="117"/>
        <v>0</v>
      </c>
      <c r="S291" s="421"/>
      <c r="T291" s="301">
        <f>0</f>
        <v>0</v>
      </c>
      <c r="U291" s="301">
        <f>0</f>
        <v>0</v>
      </c>
      <c r="V291" s="301">
        <f>0</f>
        <v>0</v>
      </c>
      <c r="W291" s="425">
        <f t="shared" si="118"/>
        <v>0</v>
      </c>
      <c r="X291" s="419"/>
      <c r="Y291" s="419"/>
      <c r="Z291" s="421"/>
      <c r="AA291" s="421"/>
      <c r="AB291" s="419"/>
      <c r="AC291" s="419"/>
      <c r="AD291" s="421"/>
      <c r="AE291" s="421"/>
      <c r="AF291" s="419"/>
      <c r="AG291" s="419"/>
      <c r="AH291" s="421"/>
      <c r="AI291" s="421"/>
      <c r="AJ291" s="419"/>
      <c r="AK291" s="419"/>
      <c r="AL291" s="421"/>
      <c r="AM291" s="421"/>
      <c r="AN291" s="419"/>
      <c r="AO291" s="419"/>
      <c r="AP291" s="421"/>
      <c r="AQ291" s="421"/>
      <c r="AR291" s="424">
        <f t="shared" si="121"/>
        <v>0</v>
      </c>
      <c r="AS291" s="422">
        <f t="shared" si="122"/>
        <v>0</v>
      </c>
      <c r="AT291" s="425">
        <f t="shared" si="123"/>
        <v>0</v>
      </c>
      <c r="AU291" s="423">
        <f t="shared" si="124"/>
        <v>0</v>
      </c>
      <c r="AV291" s="419"/>
      <c r="AW291" s="421"/>
      <c r="AX291" s="419"/>
      <c r="AY291" s="419"/>
      <c r="AZ291" s="421"/>
      <c r="BA291" s="421"/>
      <c r="BB291" s="419"/>
      <c r="BC291" s="419"/>
      <c r="BD291" s="421"/>
      <c r="BE291" s="421"/>
      <c r="BF291" s="419"/>
      <c r="BG291" s="419"/>
      <c r="BH291" s="421"/>
      <c r="BI291" s="421"/>
      <c r="BJ291" s="419"/>
      <c r="BK291" s="419"/>
      <c r="BL291" s="421"/>
      <c r="BM291" s="421"/>
      <c r="BN291" s="419"/>
      <c r="BO291" s="419"/>
      <c r="BP291" s="421"/>
      <c r="BQ291" s="421"/>
      <c r="BR291" s="419"/>
      <c r="BS291" s="419"/>
      <c r="BT291" s="421"/>
      <c r="BU291" s="421"/>
      <c r="BV291" s="419"/>
      <c r="BW291" s="419"/>
      <c r="BX291" s="421"/>
      <c r="BY291" s="421"/>
      <c r="BZ291" s="419"/>
      <c r="CA291" s="419"/>
      <c r="CB291" s="421"/>
      <c r="CC291" s="421"/>
      <c r="CD291" s="419"/>
      <c r="CE291" s="419"/>
      <c r="CF291" s="421"/>
      <c r="CG291" s="421"/>
      <c r="CH291" s="419"/>
      <c r="CI291" s="419"/>
      <c r="CJ291" s="421"/>
      <c r="CK291" s="421"/>
      <c r="CL291" s="419"/>
      <c r="CM291" s="421"/>
      <c r="CN291" s="424">
        <f t="shared" si="125"/>
        <v>0</v>
      </c>
      <c r="CO291" s="424">
        <f t="shared" si="126"/>
        <v>0</v>
      </c>
      <c r="CP291" s="425">
        <f t="shared" si="127"/>
        <v>0</v>
      </c>
      <c r="CQ291" s="425">
        <f t="shared" si="128"/>
        <v>0</v>
      </c>
      <c r="CR291" s="419"/>
      <c r="CS291" s="419"/>
      <c r="CT291" s="421"/>
      <c r="CU291" s="421"/>
      <c r="CV291" s="419"/>
      <c r="CW291" s="419"/>
      <c r="CX291" s="421"/>
      <c r="CY291" s="421"/>
      <c r="CZ291" s="419"/>
      <c r="DA291" s="419"/>
      <c r="DB291" s="421"/>
      <c r="DC291" s="421"/>
      <c r="DD291" s="419"/>
      <c r="DE291" s="419"/>
      <c r="DF291" s="421"/>
      <c r="DG291" s="421"/>
      <c r="DH291" s="419"/>
      <c r="DI291" s="419"/>
      <c r="DJ291" s="421"/>
      <c r="DK291" s="421"/>
      <c r="DL291" s="419"/>
      <c r="DM291" s="419"/>
      <c r="DN291" s="421"/>
      <c r="DO291" s="421"/>
      <c r="DP291" s="419"/>
      <c r="DQ291" s="419"/>
      <c r="DR291" s="421"/>
      <c r="DS291" s="421"/>
      <c r="DT291" s="419"/>
      <c r="DU291" s="419"/>
      <c r="DV291" s="421"/>
      <c r="DW291" s="421"/>
      <c r="DX291" s="419"/>
      <c r="DY291" s="419"/>
      <c r="DZ291" s="421"/>
      <c r="EA291" s="421"/>
      <c r="EB291" s="419"/>
      <c r="EC291" s="419"/>
      <c r="ED291" s="421"/>
      <c r="EE291" s="421"/>
      <c r="EF291" s="419"/>
      <c r="EG291" s="421"/>
      <c r="EH291" s="424">
        <f t="shared" si="129"/>
        <v>0</v>
      </c>
      <c r="EI291" s="424">
        <f t="shared" si="130"/>
        <v>0</v>
      </c>
      <c r="EJ291" s="422">
        <f t="shared" si="131"/>
        <v>0</v>
      </c>
      <c r="EK291" s="425">
        <f t="shared" si="132"/>
        <v>0</v>
      </c>
      <c r="EL291" s="425">
        <f t="shared" si="133"/>
        <v>0</v>
      </c>
      <c r="EM291" s="423">
        <f t="shared" si="134"/>
        <v>0</v>
      </c>
      <c r="EN291" s="424">
        <f t="shared" si="135"/>
        <v>0</v>
      </c>
      <c r="EO291" s="425">
        <f t="shared" si="136"/>
        <v>0</v>
      </c>
      <c r="EP291" s="419"/>
      <c r="EQ291" s="421"/>
      <c r="ER291" s="419"/>
      <c r="ES291" s="421"/>
      <c r="ET291" s="419"/>
      <c r="EU291" s="421"/>
      <c r="EV291" s="419"/>
      <c r="EW291" s="421"/>
      <c r="EX291" s="419"/>
      <c r="EY291" s="421"/>
      <c r="EZ291" s="419"/>
      <c r="FA291" s="421"/>
      <c r="FB291" s="419"/>
      <c r="FC291" s="421"/>
      <c r="FD291" s="419"/>
      <c r="FE291" s="421"/>
      <c r="FF291" s="419"/>
      <c r="FG291" s="421"/>
      <c r="FH291" s="419"/>
      <c r="FI291" s="421"/>
      <c r="FJ291" s="424">
        <f t="shared" si="137"/>
        <v>0</v>
      </c>
      <c r="FK291" s="425">
        <f t="shared" si="138"/>
        <v>0</v>
      </c>
      <c r="FL291" s="419"/>
      <c r="FM291" s="421"/>
      <c r="FN291" s="424">
        <f t="shared" si="139"/>
        <v>156</v>
      </c>
      <c r="FO291" s="425">
        <f t="shared" si="140"/>
        <v>166</v>
      </c>
    </row>
    <row r="292" spans="1:171" customFormat="1" ht="15" customHeight="1">
      <c r="A292" s="460" t="s">
        <v>162</v>
      </c>
      <c r="B292" s="36" t="s">
        <v>811</v>
      </c>
      <c r="C292" s="121" t="s">
        <v>1208</v>
      </c>
      <c r="D292" s="34">
        <v>199476</v>
      </c>
      <c r="E292" s="124">
        <v>10</v>
      </c>
      <c r="F292" s="419">
        <v>408</v>
      </c>
      <c r="G292" s="461">
        <v>147</v>
      </c>
      <c r="H292" s="419"/>
      <c r="I292" s="421"/>
      <c r="J292" s="419">
        <v>247</v>
      </c>
      <c r="K292" s="311">
        <v>218</v>
      </c>
      <c r="L292" s="422">
        <f t="shared" si="119"/>
        <v>0</v>
      </c>
      <c r="M292" s="423">
        <f t="shared" si="120"/>
        <v>0</v>
      </c>
      <c r="N292" s="419"/>
      <c r="O292" s="309">
        <f>0</f>
        <v>0</v>
      </c>
      <c r="P292" s="309">
        <f>0</f>
        <v>0</v>
      </c>
      <c r="Q292" s="309">
        <f>0</f>
        <v>0</v>
      </c>
      <c r="R292" s="424">
        <f t="shared" si="117"/>
        <v>0</v>
      </c>
      <c r="S292" s="421"/>
      <c r="T292" s="301">
        <f>0</f>
        <v>0</v>
      </c>
      <c r="U292" s="301">
        <f>0</f>
        <v>0</v>
      </c>
      <c r="V292" s="301">
        <f>0</f>
        <v>0</v>
      </c>
      <c r="W292" s="425">
        <f t="shared" si="118"/>
        <v>0</v>
      </c>
      <c r="X292" s="419"/>
      <c r="Y292" s="419"/>
      <c r="Z292" s="421"/>
      <c r="AA292" s="421"/>
      <c r="AB292" s="419"/>
      <c r="AC292" s="419"/>
      <c r="AD292" s="421"/>
      <c r="AE292" s="421"/>
      <c r="AF292" s="419"/>
      <c r="AG292" s="419"/>
      <c r="AH292" s="421"/>
      <c r="AI292" s="421"/>
      <c r="AJ292" s="419"/>
      <c r="AK292" s="419"/>
      <c r="AL292" s="421"/>
      <c r="AM292" s="421"/>
      <c r="AN292" s="419"/>
      <c r="AO292" s="419"/>
      <c r="AP292" s="421"/>
      <c r="AQ292" s="421"/>
      <c r="AR292" s="424">
        <f t="shared" si="121"/>
        <v>0</v>
      </c>
      <c r="AS292" s="422">
        <f t="shared" si="122"/>
        <v>0</v>
      </c>
      <c r="AT292" s="425">
        <f t="shared" si="123"/>
        <v>0</v>
      </c>
      <c r="AU292" s="423">
        <f t="shared" si="124"/>
        <v>0</v>
      </c>
      <c r="AV292" s="419"/>
      <c r="AW292" s="421"/>
      <c r="AX292" s="419"/>
      <c r="AY292" s="419"/>
      <c r="AZ292" s="421"/>
      <c r="BA292" s="421"/>
      <c r="BB292" s="419"/>
      <c r="BC292" s="419"/>
      <c r="BD292" s="421"/>
      <c r="BE292" s="421"/>
      <c r="BF292" s="419"/>
      <c r="BG292" s="419"/>
      <c r="BH292" s="421"/>
      <c r="BI292" s="421"/>
      <c r="BJ292" s="419"/>
      <c r="BK292" s="419"/>
      <c r="BL292" s="421"/>
      <c r="BM292" s="421"/>
      <c r="BN292" s="419"/>
      <c r="BO292" s="419"/>
      <c r="BP292" s="421"/>
      <c r="BQ292" s="421"/>
      <c r="BR292" s="419"/>
      <c r="BS292" s="419"/>
      <c r="BT292" s="421"/>
      <c r="BU292" s="421"/>
      <c r="BV292" s="419"/>
      <c r="BW292" s="419"/>
      <c r="BX292" s="421"/>
      <c r="BY292" s="421"/>
      <c r="BZ292" s="419"/>
      <c r="CA292" s="419"/>
      <c r="CB292" s="421"/>
      <c r="CC292" s="421"/>
      <c r="CD292" s="419"/>
      <c r="CE292" s="419"/>
      <c r="CF292" s="421"/>
      <c r="CG292" s="421"/>
      <c r="CH292" s="419"/>
      <c r="CI292" s="419"/>
      <c r="CJ292" s="421"/>
      <c r="CK292" s="421"/>
      <c r="CL292" s="419"/>
      <c r="CM292" s="421"/>
      <c r="CN292" s="424">
        <f t="shared" si="125"/>
        <v>0</v>
      </c>
      <c r="CO292" s="424">
        <f t="shared" si="126"/>
        <v>0</v>
      </c>
      <c r="CP292" s="425">
        <f t="shared" si="127"/>
        <v>0</v>
      </c>
      <c r="CQ292" s="425">
        <f t="shared" si="128"/>
        <v>0</v>
      </c>
      <c r="CR292" s="419"/>
      <c r="CS292" s="419"/>
      <c r="CT292" s="421"/>
      <c r="CU292" s="421"/>
      <c r="CV292" s="419"/>
      <c r="CW292" s="419"/>
      <c r="CX292" s="421"/>
      <c r="CY292" s="421"/>
      <c r="CZ292" s="419"/>
      <c r="DA292" s="419"/>
      <c r="DB292" s="421"/>
      <c r="DC292" s="421"/>
      <c r="DD292" s="419"/>
      <c r="DE292" s="419"/>
      <c r="DF292" s="421"/>
      <c r="DG292" s="421"/>
      <c r="DH292" s="419"/>
      <c r="DI292" s="419"/>
      <c r="DJ292" s="421"/>
      <c r="DK292" s="421"/>
      <c r="DL292" s="419"/>
      <c r="DM292" s="419"/>
      <c r="DN292" s="421"/>
      <c r="DO292" s="421"/>
      <c r="DP292" s="419"/>
      <c r="DQ292" s="419"/>
      <c r="DR292" s="421"/>
      <c r="DS292" s="421"/>
      <c r="DT292" s="419"/>
      <c r="DU292" s="419"/>
      <c r="DV292" s="421"/>
      <c r="DW292" s="421"/>
      <c r="DX292" s="419"/>
      <c r="DY292" s="419"/>
      <c r="DZ292" s="421"/>
      <c r="EA292" s="421"/>
      <c r="EB292" s="419"/>
      <c r="EC292" s="419"/>
      <c r="ED292" s="421"/>
      <c r="EE292" s="421"/>
      <c r="EF292" s="419"/>
      <c r="EG292" s="421"/>
      <c r="EH292" s="424">
        <f t="shared" si="129"/>
        <v>0</v>
      </c>
      <c r="EI292" s="424">
        <f t="shared" si="130"/>
        <v>0</v>
      </c>
      <c r="EJ292" s="422">
        <f t="shared" si="131"/>
        <v>0</v>
      </c>
      <c r="EK292" s="425">
        <f t="shared" si="132"/>
        <v>0</v>
      </c>
      <c r="EL292" s="425">
        <f t="shared" si="133"/>
        <v>0</v>
      </c>
      <c r="EM292" s="423">
        <f t="shared" si="134"/>
        <v>0</v>
      </c>
      <c r="EN292" s="424">
        <f t="shared" si="135"/>
        <v>0</v>
      </c>
      <c r="EO292" s="425">
        <f t="shared" si="136"/>
        <v>0</v>
      </c>
      <c r="EP292" s="419"/>
      <c r="EQ292" s="421"/>
      <c r="ER292" s="419"/>
      <c r="ES292" s="421"/>
      <c r="ET292" s="419"/>
      <c r="EU292" s="421"/>
      <c r="EV292" s="419"/>
      <c r="EW292" s="421"/>
      <c r="EX292" s="419"/>
      <c r="EY292" s="421"/>
      <c r="EZ292" s="419"/>
      <c r="FA292" s="421"/>
      <c r="FB292" s="419"/>
      <c r="FC292" s="421"/>
      <c r="FD292" s="419"/>
      <c r="FE292" s="421"/>
      <c r="FF292" s="419"/>
      <c r="FG292" s="421"/>
      <c r="FH292" s="419"/>
      <c r="FI292" s="421"/>
      <c r="FJ292" s="424">
        <f t="shared" si="137"/>
        <v>0</v>
      </c>
      <c r="FK292" s="425">
        <f t="shared" si="138"/>
        <v>0</v>
      </c>
      <c r="FL292" s="419"/>
      <c r="FM292" s="421"/>
      <c r="FN292" s="424">
        <f t="shared" si="139"/>
        <v>655</v>
      </c>
      <c r="FO292" s="425">
        <f t="shared" si="140"/>
        <v>365</v>
      </c>
    </row>
    <row r="293" spans="1:171" customFormat="1" ht="15" customHeight="1">
      <c r="A293" s="460" t="s">
        <v>162</v>
      </c>
      <c r="B293" s="36" t="s">
        <v>812</v>
      </c>
      <c r="C293" s="121"/>
      <c r="D293" s="34">
        <v>199485</v>
      </c>
      <c r="E293" s="124">
        <v>10</v>
      </c>
      <c r="F293" s="419">
        <v>134</v>
      </c>
      <c r="G293" s="311">
        <v>131</v>
      </c>
      <c r="H293" s="419"/>
      <c r="I293" s="421"/>
      <c r="J293" s="419">
        <v>296</v>
      </c>
      <c r="K293" s="311">
        <v>274</v>
      </c>
      <c r="L293" s="422">
        <f t="shared" si="119"/>
        <v>0</v>
      </c>
      <c r="M293" s="423">
        <f t="shared" si="120"/>
        <v>0</v>
      </c>
      <c r="N293" s="419"/>
      <c r="O293" s="309">
        <f>0</f>
        <v>0</v>
      </c>
      <c r="P293" s="309">
        <f>0</f>
        <v>0</v>
      </c>
      <c r="Q293" s="309">
        <f>0</f>
        <v>0</v>
      </c>
      <c r="R293" s="424">
        <f t="shared" si="117"/>
        <v>0</v>
      </c>
      <c r="S293" s="421"/>
      <c r="T293" s="301">
        <f>0</f>
        <v>0</v>
      </c>
      <c r="U293" s="301">
        <f>0</f>
        <v>0</v>
      </c>
      <c r="V293" s="301">
        <f>0</f>
        <v>0</v>
      </c>
      <c r="W293" s="425">
        <f t="shared" si="118"/>
        <v>0</v>
      </c>
      <c r="X293" s="419"/>
      <c r="Y293" s="419"/>
      <c r="Z293" s="421"/>
      <c r="AA293" s="421"/>
      <c r="AB293" s="419"/>
      <c r="AC293" s="419"/>
      <c r="AD293" s="421"/>
      <c r="AE293" s="421"/>
      <c r="AF293" s="419"/>
      <c r="AG293" s="419"/>
      <c r="AH293" s="421"/>
      <c r="AI293" s="421"/>
      <c r="AJ293" s="419"/>
      <c r="AK293" s="419"/>
      <c r="AL293" s="421"/>
      <c r="AM293" s="421"/>
      <c r="AN293" s="419"/>
      <c r="AO293" s="419"/>
      <c r="AP293" s="421"/>
      <c r="AQ293" s="421"/>
      <c r="AR293" s="424">
        <f t="shared" si="121"/>
        <v>0</v>
      </c>
      <c r="AS293" s="422">
        <f t="shared" si="122"/>
        <v>0</v>
      </c>
      <c r="AT293" s="425">
        <f t="shared" si="123"/>
        <v>0</v>
      </c>
      <c r="AU293" s="423">
        <f t="shared" si="124"/>
        <v>0</v>
      </c>
      <c r="AV293" s="419"/>
      <c r="AW293" s="421"/>
      <c r="AX293" s="419"/>
      <c r="AY293" s="419"/>
      <c r="AZ293" s="421"/>
      <c r="BA293" s="421"/>
      <c r="BB293" s="419"/>
      <c r="BC293" s="419"/>
      <c r="BD293" s="421"/>
      <c r="BE293" s="421"/>
      <c r="BF293" s="419"/>
      <c r="BG293" s="419"/>
      <c r="BH293" s="421"/>
      <c r="BI293" s="421"/>
      <c r="BJ293" s="419"/>
      <c r="BK293" s="419"/>
      <c r="BL293" s="421"/>
      <c r="BM293" s="421"/>
      <c r="BN293" s="419"/>
      <c r="BO293" s="419"/>
      <c r="BP293" s="421"/>
      <c r="BQ293" s="421"/>
      <c r="BR293" s="419"/>
      <c r="BS293" s="419"/>
      <c r="BT293" s="421"/>
      <c r="BU293" s="421"/>
      <c r="BV293" s="419"/>
      <c r="BW293" s="419"/>
      <c r="BX293" s="421"/>
      <c r="BY293" s="421"/>
      <c r="BZ293" s="419"/>
      <c r="CA293" s="419"/>
      <c r="CB293" s="421"/>
      <c r="CC293" s="421"/>
      <c r="CD293" s="419"/>
      <c r="CE293" s="419"/>
      <c r="CF293" s="421"/>
      <c r="CG293" s="421"/>
      <c r="CH293" s="419"/>
      <c r="CI293" s="419"/>
      <c r="CJ293" s="421"/>
      <c r="CK293" s="421"/>
      <c r="CL293" s="419"/>
      <c r="CM293" s="421"/>
      <c r="CN293" s="424">
        <f t="shared" si="125"/>
        <v>0</v>
      </c>
      <c r="CO293" s="424">
        <f t="shared" si="126"/>
        <v>0</v>
      </c>
      <c r="CP293" s="425">
        <f t="shared" si="127"/>
        <v>0</v>
      </c>
      <c r="CQ293" s="425">
        <f t="shared" si="128"/>
        <v>0</v>
      </c>
      <c r="CR293" s="419"/>
      <c r="CS293" s="419"/>
      <c r="CT293" s="421"/>
      <c r="CU293" s="421"/>
      <c r="CV293" s="419"/>
      <c r="CW293" s="419"/>
      <c r="CX293" s="421"/>
      <c r="CY293" s="421"/>
      <c r="CZ293" s="419"/>
      <c r="DA293" s="419"/>
      <c r="DB293" s="421"/>
      <c r="DC293" s="421"/>
      <c r="DD293" s="419"/>
      <c r="DE293" s="419"/>
      <c r="DF293" s="421"/>
      <c r="DG293" s="421"/>
      <c r="DH293" s="419"/>
      <c r="DI293" s="419"/>
      <c r="DJ293" s="421"/>
      <c r="DK293" s="421"/>
      <c r="DL293" s="419"/>
      <c r="DM293" s="419"/>
      <c r="DN293" s="421"/>
      <c r="DO293" s="421"/>
      <c r="DP293" s="419"/>
      <c r="DQ293" s="419"/>
      <c r="DR293" s="421"/>
      <c r="DS293" s="421"/>
      <c r="DT293" s="419"/>
      <c r="DU293" s="419"/>
      <c r="DV293" s="421"/>
      <c r="DW293" s="421"/>
      <c r="DX293" s="419"/>
      <c r="DY293" s="419"/>
      <c r="DZ293" s="421"/>
      <c r="EA293" s="421"/>
      <c r="EB293" s="419"/>
      <c r="EC293" s="419"/>
      <c r="ED293" s="421"/>
      <c r="EE293" s="421"/>
      <c r="EF293" s="419"/>
      <c r="EG293" s="421"/>
      <c r="EH293" s="424">
        <f t="shared" si="129"/>
        <v>0</v>
      </c>
      <c r="EI293" s="424">
        <f t="shared" si="130"/>
        <v>0</v>
      </c>
      <c r="EJ293" s="422">
        <f t="shared" si="131"/>
        <v>0</v>
      </c>
      <c r="EK293" s="425">
        <f t="shared" si="132"/>
        <v>0</v>
      </c>
      <c r="EL293" s="425">
        <f t="shared" si="133"/>
        <v>0</v>
      </c>
      <c r="EM293" s="423">
        <f t="shared" si="134"/>
        <v>0</v>
      </c>
      <c r="EN293" s="424">
        <f t="shared" si="135"/>
        <v>0</v>
      </c>
      <c r="EO293" s="425">
        <f t="shared" si="136"/>
        <v>0</v>
      </c>
      <c r="EP293" s="419"/>
      <c r="EQ293" s="421"/>
      <c r="ER293" s="419"/>
      <c r="ES293" s="421"/>
      <c r="ET293" s="419"/>
      <c r="EU293" s="421"/>
      <c r="EV293" s="419"/>
      <c r="EW293" s="421"/>
      <c r="EX293" s="419"/>
      <c r="EY293" s="421"/>
      <c r="EZ293" s="419"/>
      <c r="FA293" s="421"/>
      <c r="FB293" s="419"/>
      <c r="FC293" s="421"/>
      <c r="FD293" s="419"/>
      <c r="FE293" s="421"/>
      <c r="FF293" s="419"/>
      <c r="FG293" s="421"/>
      <c r="FH293" s="419"/>
      <c r="FI293" s="421"/>
      <c r="FJ293" s="424">
        <f t="shared" si="137"/>
        <v>0</v>
      </c>
      <c r="FK293" s="425">
        <f t="shared" si="138"/>
        <v>0</v>
      </c>
      <c r="FL293" s="419"/>
      <c r="FM293" s="421"/>
      <c r="FN293" s="424">
        <f t="shared" si="139"/>
        <v>430</v>
      </c>
      <c r="FO293" s="425">
        <f t="shared" si="140"/>
        <v>405</v>
      </c>
    </row>
    <row r="294" spans="1:171" customFormat="1" ht="15" customHeight="1">
      <c r="A294" s="460" t="s">
        <v>162</v>
      </c>
      <c r="B294" s="36" t="s">
        <v>813</v>
      </c>
      <c r="C294" s="121"/>
      <c r="D294" s="34">
        <v>199625</v>
      </c>
      <c r="E294" s="124">
        <v>10</v>
      </c>
      <c r="F294" s="419">
        <v>153</v>
      </c>
      <c r="G294" s="310">
        <v>210</v>
      </c>
      <c r="H294" s="419"/>
      <c r="I294" s="421"/>
      <c r="J294" s="419">
        <v>278</v>
      </c>
      <c r="K294" s="311">
        <v>310</v>
      </c>
      <c r="L294" s="422">
        <f t="shared" si="119"/>
        <v>0</v>
      </c>
      <c r="M294" s="423">
        <f t="shared" si="120"/>
        <v>0</v>
      </c>
      <c r="N294" s="419"/>
      <c r="O294" s="309">
        <f>0</f>
        <v>0</v>
      </c>
      <c r="P294" s="309">
        <f>0</f>
        <v>0</v>
      </c>
      <c r="Q294" s="309">
        <f>0</f>
        <v>0</v>
      </c>
      <c r="R294" s="424">
        <f t="shared" si="117"/>
        <v>0</v>
      </c>
      <c r="S294" s="421"/>
      <c r="T294" s="301">
        <f>0</f>
        <v>0</v>
      </c>
      <c r="U294" s="301">
        <f>0</f>
        <v>0</v>
      </c>
      <c r="V294" s="301">
        <f>0</f>
        <v>0</v>
      </c>
      <c r="W294" s="425">
        <f t="shared" si="118"/>
        <v>0</v>
      </c>
      <c r="X294" s="419"/>
      <c r="Y294" s="419"/>
      <c r="Z294" s="421"/>
      <c r="AA294" s="421"/>
      <c r="AB294" s="419"/>
      <c r="AC294" s="419"/>
      <c r="AD294" s="421"/>
      <c r="AE294" s="421"/>
      <c r="AF294" s="419"/>
      <c r="AG294" s="419"/>
      <c r="AH294" s="421"/>
      <c r="AI294" s="421"/>
      <c r="AJ294" s="419"/>
      <c r="AK294" s="419"/>
      <c r="AL294" s="421"/>
      <c r="AM294" s="421"/>
      <c r="AN294" s="419"/>
      <c r="AO294" s="419"/>
      <c r="AP294" s="421"/>
      <c r="AQ294" s="421"/>
      <c r="AR294" s="424">
        <f t="shared" si="121"/>
        <v>0</v>
      </c>
      <c r="AS294" s="422">
        <f t="shared" si="122"/>
        <v>0</v>
      </c>
      <c r="AT294" s="425">
        <f t="shared" si="123"/>
        <v>0</v>
      </c>
      <c r="AU294" s="423">
        <f t="shared" si="124"/>
        <v>0</v>
      </c>
      <c r="AV294" s="419"/>
      <c r="AW294" s="421"/>
      <c r="AX294" s="419"/>
      <c r="AY294" s="419"/>
      <c r="AZ294" s="421"/>
      <c r="BA294" s="421"/>
      <c r="BB294" s="419"/>
      <c r="BC294" s="419"/>
      <c r="BD294" s="421"/>
      <c r="BE294" s="421"/>
      <c r="BF294" s="419"/>
      <c r="BG294" s="419"/>
      <c r="BH294" s="421"/>
      <c r="BI294" s="421"/>
      <c r="BJ294" s="419"/>
      <c r="BK294" s="419"/>
      <c r="BL294" s="421"/>
      <c r="BM294" s="421"/>
      <c r="BN294" s="419"/>
      <c r="BO294" s="419"/>
      <c r="BP294" s="421"/>
      <c r="BQ294" s="421"/>
      <c r="BR294" s="419"/>
      <c r="BS294" s="419"/>
      <c r="BT294" s="421"/>
      <c r="BU294" s="421"/>
      <c r="BV294" s="419"/>
      <c r="BW294" s="419"/>
      <c r="BX294" s="421"/>
      <c r="BY294" s="421"/>
      <c r="BZ294" s="419"/>
      <c r="CA294" s="419"/>
      <c r="CB294" s="421"/>
      <c r="CC294" s="421"/>
      <c r="CD294" s="419"/>
      <c r="CE294" s="419"/>
      <c r="CF294" s="421"/>
      <c r="CG294" s="421"/>
      <c r="CH294" s="419"/>
      <c r="CI294" s="419"/>
      <c r="CJ294" s="421"/>
      <c r="CK294" s="421"/>
      <c r="CL294" s="419"/>
      <c r="CM294" s="421"/>
      <c r="CN294" s="424">
        <f t="shared" si="125"/>
        <v>0</v>
      </c>
      <c r="CO294" s="424">
        <f t="shared" si="126"/>
        <v>0</v>
      </c>
      <c r="CP294" s="425">
        <f t="shared" si="127"/>
        <v>0</v>
      </c>
      <c r="CQ294" s="425">
        <f t="shared" si="128"/>
        <v>0</v>
      </c>
      <c r="CR294" s="419"/>
      <c r="CS294" s="419"/>
      <c r="CT294" s="421"/>
      <c r="CU294" s="421"/>
      <c r="CV294" s="419"/>
      <c r="CW294" s="419"/>
      <c r="CX294" s="421"/>
      <c r="CY294" s="421"/>
      <c r="CZ294" s="419"/>
      <c r="DA294" s="419"/>
      <c r="DB294" s="421"/>
      <c r="DC294" s="421"/>
      <c r="DD294" s="419"/>
      <c r="DE294" s="419"/>
      <c r="DF294" s="421"/>
      <c r="DG294" s="421"/>
      <c r="DH294" s="419"/>
      <c r="DI294" s="419"/>
      <c r="DJ294" s="421"/>
      <c r="DK294" s="421"/>
      <c r="DL294" s="419"/>
      <c r="DM294" s="419"/>
      <c r="DN294" s="421"/>
      <c r="DO294" s="421"/>
      <c r="DP294" s="419"/>
      <c r="DQ294" s="419"/>
      <c r="DR294" s="421"/>
      <c r="DS294" s="421"/>
      <c r="DT294" s="419"/>
      <c r="DU294" s="419"/>
      <c r="DV294" s="421"/>
      <c r="DW294" s="421"/>
      <c r="DX294" s="419"/>
      <c r="DY294" s="419"/>
      <c r="DZ294" s="421"/>
      <c r="EA294" s="421"/>
      <c r="EB294" s="419"/>
      <c r="EC294" s="419"/>
      <c r="ED294" s="421"/>
      <c r="EE294" s="421"/>
      <c r="EF294" s="419"/>
      <c r="EG294" s="421"/>
      <c r="EH294" s="424">
        <f t="shared" si="129"/>
        <v>0</v>
      </c>
      <c r="EI294" s="424">
        <f t="shared" si="130"/>
        <v>0</v>
      </c>
      <c r="EJ294" s="422">
        <f t="shared" si="131"/>
        <v>0</v>
      </c>
      <c r="EK294" s="425">
        <f t="shared" si="132"/>
        <v>0</v>
      </c>
      <c r="EL294" s="425">
        <f t="shared" si="133"/>
        <v>0</v>
      </c>
      <c r="EM294" s="423">
        <f t="shared" si="134"/>
        <v>0</v>
      </c>
      <c r="EN294" s="424">
        <f t="shared" si="135"/>
        <v>0</v>
      </c>
      <c r="EO294" s="425">
        <f t="shared" si="136"/>
        <v>0</v>
      </c>
      <c r="EP294" s="419"/>
      <c r="EQ294" s="421"/>
      <c r="ER294" s="419"/>
      <c r="ES294" s="421"/>
      <c r="ET294" s="419"/>
      <c r="EU294" s="421"/>
      <c r="EV294" s="419"/>
      <c r="EW294" s="421"/>
      <c r="EX294" s="419"/>
      <c r="EY294" s="421"/>
      <c r="EZ294" s="419"/>
      <c r="FA294" s="421"/>
      <c r="FB294" s="419"/>
      <c r="FC294" s="421"/>
      <c r="FD294" s="419"/>
      <c r="FE294" s="421"/>
      <c r="FF294" s="419"/>
      <c r="FG294" s="421"/>
      <c r="FH294" s="419"/>
      <c r="FI294" s="421"/>
      <c r="FJ294" s="424">
        <f t="shared" si="137"/>
        <v>0</v>
      </c>
      <c r="FK294" s="425">
        <f t="shared" si="138"/>
        <v>0</v>
      </c>
      <c r="FL294" s="419"/>
      <c r="FM294" s="421"/>
      <c r="FN294" s="424">
        <f t="shared" si="139"/>
        <v>431</v>
      </c>
      <c r="FO294" s="425">
        <f t="shared" si="140"/>
        <v>520</v>
      </c>
    </row>
    <row r="295" spans="1:171" customFormat="1" ht="15" customHeight="1">
      <c r="A295" s="460" t="s">
        <v>162</v>
      </c>
      <c r="B295" s="36" t="s">
        <v>814</v>
      </c>
      <c r="C295" s="121"/>
      <c r="D295" s="34">
        <v>199722</v>
      </c>
      <c r="E295" s="124">
        <v>10</v>
      </c>
      <c r="F295" s="419">
        <v>148</v>
      </c>
      <c r="G295" s="310">
        <v>111</v>
      </c>
      <c r="H295" s="419"/>
      <c r="I295" s="421"/>
      <c r="J295" s="419">
        <v>247</v>
      </c>
      <c r="K295" s="311">
        <v>236</v>
      </c>
      <c r="L295" s="422">
        <f t="shared" si="119"/>
        <v>0</v>
      </c>
      <c r="M295" s="423">
        <f t="shared" si="120"/>
        <v>0</v>
      </c>
      <c r="N295" s="419"/>
      <c r="O295" s="309">
        <f>0</f>
        <v>0</v>
      </c>
      <c r="P295" s="309">
        <f>0</f>
        <v>0</v>
      </c>
      <c r="Q295" s="309">
        <f>0</f>
        <v>0</v>
      </c>
      <c r="R295" s="424">
        <f t="shared" si="117"/>
        <v>0</v>
      </c>
      <c r="S295" s="421"/>
      <c r="T295" s="301">
        <f>0</f>
        <v>0</v>
      </c>
      <c r="U295" s="301">
        <f>0</f>
        <v>0</v>
      </c>
      <c r="V295" s="301">
        <f>0</f>
        <v>0</v>
      </c>
      <c r="W295" s="425">
        <f t="shared" si="118"/>
        <v>0</v>
      </c>
      <c r="X295" s="419"/>
      <c r="Y295" s="419"/>
      <c r="Z295" s="421"/>
      <c r="AA295" s="421"/>
      <c r="AB295" s="419"/>
      <c r="AC295" s="419"/>
      <c r="AD295" s="421"/>
      <c r="AE295" s="421"/>
      <c r="AF295" s="419"/>
      <c r="AG295" s="419"/>
      <c r="AH295" s="421"/>
      <c r="AI295" s="421"/>
      <c r="AJ295" s="419"/>
      <c r="AK295" s="419"/>
      <c r="AL295" s="421"/>
      <c r="AM295" s="421"/>
      <c r="AN295" s="419"/>
      <c r="AO295" s="419"/>
      <c r="AP295" s="421"/>
      <c r="AQ295" s="421"/>
      <c r="AR295" s="424">
        <f t="shared" si="121"/>
        <v>0</v>
      </c>
      <c r="AS295" s="422">
        <f t="shared" si="122"/>
        <v>0</v>
      </c>
      <c r="AT295" s="425">
        <f t="shared" si="123"/>
        <v>0</v>
      </c>
      <c r="AU295" s="423">
        <f t="shared" si="124"/>
        <v>0</v>
      </c>
      <c r="AV295" s="419"/>
      <c r="AW295" s="421"/>
      <c r="AX295" s="419"/>
      <c r="AY295" s="419"/>
      <c r="AZ295" s="421"/>
      <c r="BA295" s="421"/>
      <c r="BB295" s="419"/>
      <c r="BC295" s="419"/>
      <c r="BD295" s="421"/>
      <c r="BE295" s="421"/>
      <c r="BF295" s="419"/>
      <c r="BG295" s="419"/>
      <c r="BH295" s="421"/>
      <c r="BI295" s="421"/>
      <c r="BJ295" s="419"/>
      <c r="BK295" s="419"/>
      <c r="BL295" s="421"/>
      <c r="BM295" s="421"/>
      <c r="BN295" s="419"/>
      <c r="BO295" s="419"/>
      <c r="BP295" s="421"/>
      <c r="BQ295" s="421"/>
      <c r="BR295" s="419"/>
      <c r="BS295" s="419"/>
      <c r="BT295" s="421"/>
      <c r="BU295" s="421"/>
      <c r="BV295" s="419"/>
      <c r="BW295" s="419"/>
      <c r="BX295" s="421"/>
      <c r="BY295" s="421"/>
      <c r="BZ295" s="419"/>
      <c r="CA295" s="419"/>
      <c r="CB295" s="421"/>
      <c r="CC295" s="421"/>
      <c r="CD295" s="419"/>
      <c r="CE295" s="419"/>
      <c r="CF295" s="421"/>
      <c r="CG295" s="421"/>
      <c r="CH295" s="419"/>
      <c r="CI295" s="419"/>
      <c r="CJ295" s="421"/>
      <c r="CK295" s="421"/>
      <c r="CL295" s="419"/>
      <c r="CM295" s="421"/>
      <c r="CN295" s="424">
        <f t="shared" si="125"/>
        <v>0</v>
      </c>
      <c r="CO295" s="424">
        <f t="shared" si="126"/>
        <v>0</v>
      </c>
      <c r="CP295" s="425">
        <f t="shared" si="127"/>
        <v>0</v>
      </c>
      <c r="CQ295" s="425">
        <f t="shared" si="128"/>
        <v>0</v>
      </c>
      <c r="CR295" s="419"/>
      <c r="CS295" s="419"/>
      <c r="CT295" s="421"/>
      <c r="CU295" s="421"/>
      <c r="CV295" s="419"/>
      <c r="CW295" s="419"/>
      <c r="CX295" s="421"/>
      <c r="CY295" s="421"/>
      <c r="CZ295" s="419"/>
      <c r="DA295" s="419"/>
      <c r="DB295" s="421"/>
      <c r="DC295" s="421"/>
      <c r="DD295" s="419"/>
      <c r="DE295" s="419"/>
      <c r="DF295" s="421"/>
      <c r="DG295" s="421"/>
      <c r="DH295" s="419"/>
      <c r="DI295" s="419"/>
      <c r="DJ295" s="421"/>
      <c r="DK295" s="421"/>
      <c r="DL295" s="419"/>
      <c r="DM295" s="419"/>
      <c r="DN295" s="421"/>
      <c r="DO295" s="421"/>
      <c r="DP295" s="419"/>
      <c r="DQ295" s="419"/>
      <c r="DR295" s="421"/>
      <c r="DS295" s="421"/>
      <c r="DT295" s="419"/>
      <c r="DU295" s="419"/>
      <c r="DV295" s="421"/>
      <c r="DW295" s="421"/>
      <c r="DX295" s="419"/>
      <c r="DY295" s="419"/>
      <c r="DZ295" s="421"/>
      <c r="EA295" s="421"/>
      <c r="EB295" s="419"/>
      <c r="EC295" s="419"/>
      <c r="ED295" s="421"/>
      <c r="EE295" s="421"/>
      <c r="EF295" s="419"/>
      <c r="EG295" s="421"/>
      <c r="EH295" s="424">
        <f t="shared" si="129"/>
        <v>0</v>
      </c>
      <c r="EI295" s="424">
        <f t="shared" si="130"/>
        <v>0</v>
      </c>
      <c r="EJ295" s="422">
        <f t="shared" si="131"/>
        <v>0</v>
      </c>
      <c r="EK295" s="425">
        <f t="shared" si="132"/>
        <v>0</v>
      </c>
      <c r="EL295" s="425">
        <f t="shared" si="133"/>
        <v>0</v>
      </c>
      <c r="EM295" s="423">
        <f t="shared" si="134"/>
        <v>0</v>
      </c>
      <c r="EN295" s="424">
        <f t="shared" si="135"/>
        <v>0</v>
      </c>
      <c r="EO295" s="425">
        <f t="shared" si="136"/>
        <v>0</v>
      </c>
      <c r="EP295" s="419"/>
      <c r="EQ295" s="421"/>
      <c r="ER295" s="419"/>
      <c r="ES295" s="421"/>
      <c r="ET295" s="419"/>
      <c r="EU295" s="421"/>
      <c r="EV295" s="419"/>
      <c r="EW295" s="421"/>
      <c r="EX295" s="419"/>
      <c r="EY295" s="421"/>
      <c r="EZ295" s="419"/>
      <c r="FA295" s="421"/>
      <c r="FB295" s="419"/>
      <c r="FC295" s="421"/>
      <c r="FD295" s="419"/>
      <c r="FE295" s="421"/>
      <c r="FF295" s="419"/>
      <c r="FG295" s="421"/>
      <c r="FH295" s="419"/>
      <c r="FI295" s="421"/>
      <c r="FJ295" s="424">
        <f t="shared" si="137"/>
        <v>0</v>
      </c>
      <c r="FK295" s="425">
        <f t="shared" si="138"/>
        <v>0</v>
      </c>
      <c r="FL295" s="419"/>
      <c r="FM295" s="421"/>
      <c r="FN295" s="424">
        <f t="shared" si="139"/>
        <v>395</v>
      </c>
      <c r="FO295" s="425">
        <f t="shared" si="140"/>
        <v>347</v>
      </c>
    </row>
    <row r="296" spans="1:171" customFormat="1" ht="15" customHeight="1">
      <c r="A296" s="460" t="s">
        <v>162</v>
      </c>
      <c r="B296" s="36" t="s">
        <v>815</v>
      </c>
      <c r="C296" s="121"/>
      <c r="D296" s="34">
        <v>199731</v>
      </c>
      <c r="E296" s="124">
        <v>10</v>
      </c>
      <c r="F296" s="419">
        <v>223</v>
      </c>
      <c r="G296" s="310">
        <v>318</v>
      </c>
      <c r="H296" s="419"/>
      <c r="I296" s="421"/>
      <c r="J296" s="419">
        <v>449</v>
      </c>
      <c r="K296" s="311">
        <v>428</v>
      </c>
      <c r="L296" s="422">
        <f t="shared" si="119"/>
        <v>0</v>
      </c>
      <c r="M296" s="423">
        <f t="shared" si="120"/>
        <v>0</v>
      </c>
      <c r="N296" s="419"/>
      <c r="O296" s="309">
        <f>0</f>
        <v>0</v>
      </c>
      <c r="P296" s="309">
        <f>0</f>
        <v>0</v>
      </c>
      <c r="Q296" s="309">
        <f>0</f>
        <v>0</v>
      </c>
      <c r="R296" s="424">
        <f t="shared" si="117"/>
        <v>0</v>
      </c>
      <c r="S296" s="421"/>
      <c r="T296" s="301">
        <f>0</f>
        <v>0</v>
      </c>
      <c r="U296" s="301">
        <f>0</f>
        <v>0</v>
      </c>
      <c r="V296" s="301">
        <f>0</f>
        <v>0</v>
      </c>
      <c r="W296" s="425">
        <f t="shared" si="118"/>
        <v>0</v>
      </c>
      <c r="X296" s="419"/>
      <c r="Y296" s="419"/>
      <c r="Z296" s="421"/>
      <c r="AA296" s="421"/>
      <c r="AB296" s="419"/>
      <c r="AC296" s="419"/>
      <c r="AD296" s="421"/>
      <c r="AE296" s="421"/>
      <c r="AF296" s="419"/>
      <c r="AG296" s="419"/>
      <c r="AH296" s="421"/>
      <c r="AI296" s="421"/>
      <c r="AJ296" s="419"/>
      <c r="AK296" s="419"/>
      <c r="AL296" s="421"/>
      <c r="AM296" s="421"/>
      <c r="AN296" s="419"/>
      <c r="AO296" s="419"/>
      <c r="AP296" s="421"/>
      <c r="AQ296" s="421"/>
      <c r="AR296" s="424">
        <f t="shared" si="121"/>
        <v>0</v>
      </c>
      <c r="AS296" s="422">
        <f t="shared" si="122"/>
        <v>0</v>
      </c>
      <c r="AT296" s="425">
        <f t="shared" si="123"/>
        <v>0</v>
      </c>
      <c r="AU296" s="423">
        <f t="shared" si="124"/>
        <v>0</v>
      </c>
      <c r="AV296" s="419"/>
      <c r="AW296" s="421"/>
      <c r="AX296" s="419"/>
      <c r="AY296" s="419"/>
      <c r="AZ296" s="421"/>
      <c r="BA296" s="421"/>
      <c r="BB296" s="419"/>
      <c r="BC296" s="419"/>
      <c r="BD296" s="421"/>
      <c r="BE296" s="421"/>
      <c r="BF296" s="419"/>
      <c r="BG296" s="419"/>
      <c r="BH296" s="421"/>
      <c r="BI296" s="421"/>
      <c r="BJ296" s="419"/>
      <c r="BK296" s="419"/>
      <c r="BL296" s="421"/>
      <c r="BM296" s="421"/>
      <c r="BN296" s="419"/>
      <c r="BO296" s="419"/>
      <c r="BP296" s="421"/>
      <c r="BQ296" s="421"/>
      <c r="BR296" s="419"/>
      <c r="BS296" s="419"/>
      <c r="BT296" s="421"/>
      <c r="BU296" s="421"/>
      <c r="BV296" s="419"/>
      <c r="BW296" s="419"/>
      <c r="BX296" s="421"/>
      <c r="BY296" s="421"/>
      <c r="BZ296" s="419"/>
      <c r="CA296" s="419"/>
      <c r="CB296" s="421"/>
      <c r="CC296" s="421"/>
      <c r="CD296" s="419"/>
      <c r="CE296" s="419"/>
      <c r="CF296" s="421"/>
      <c r="CG296" s="421"/>
      <c r="CH296" s="419"/>
      <c r="CI296" s="419"/>
      <c r="CJ296" s="421"/>
      <c r="CK296" s="421"/>
      <c r="CL296" s="419"/>
      <c r="CM296" s="421"/>
      <c r="CN296" s="424">
        <f t="shared" si="125"/>
        <v>0</v>
      </c>
      <c r="CO296" s="424">
        <f t="shared" si="126"/>
        <v>0</v>
      </c>
      <c r="CP296" s="425">
        <f t="shared" si="127"/>
        <v>0</v>
      </c>
      <c r="CQ296" s="425">
        <f t="shared" si="128"/>
        <v>0</v>
      </c>
      <c r="CR296" s="419"/>
      <c r="CS296" s="419"/>
      <c r="CT296" s="421"/>
      <c r="CU296" s="421"/>
      <c r="CV296" s="419"/>
      <c r="CW296" s="419"/>
      <c r="CX296" s="421"/>
      <c r="CY296" s="421"/>
      <c r="CZ296" s="419"/>
      <c r="DA296" s="419"/>
      <c r="DB296" s="421"/>
      <c r="DC296" s="421"/>
      <c r="DD296" s="419"/>
      <c r="DE296" s="419"/>
      <c r="DF296" s="421"/>
      <c r="DG296" s="421"/>
      <c r="DH296" s="419"/>
      <c r="DI296" s="419"/>
      <c r="DJ296" s="421"/>
      <c r="DK296" s="421"/>
      <c r="DL296" s="419"/>
      <c r="DM296" s="419"/>
      <c r="DN296" s="421"/>
      <c r="DO296" s="421"/>
      <c r="DP296" s="419"/>
      <c r="DQ296" s="419"/>
      <c r="DR296" s="421"/>
      <c r="DS296" s="421"/>
      <c r="DT296" s="419"/>
      <c r="DU296" s="419"/>
      <c r="DV296" s="421"/>
      <c r="DW296" s="421"/>
      <c r="DX296" s="419"/>
      <c r="DY296" s="419"/>
      <c r="DZ296" s="421"/>
      <c r="EA296" s="421"/>
      <c r="EB296" s="419"/>
      <c r="EC296" s="419"/>
      <c r="ED296" s="421"/>
      <c r="EE296" s="421"/>
      <c r="EF296" s="419"/>
      <c r="EG296" s="421"/>
      <c r="EH296" s="424">
        <f t="shared" si="129"/>
        <v>0</v>
      </c>
      <c r="EI296" s="424">
        <f t="shared" si="130"/>
        <v>0</v>
      </c>
      <c r="EJ296" s="422">
        <f t="shared" si="131"/>
        <v>0</v>
      </c>
      <c r="EK296" s="425">
        <f t="shared" si="132"/>
        <v>0</v>
      </c>
      <c r="EL296" s="425">
        <f t="shared" si="133"/>
        <v>0</v>
      </c>
      <c r="EM296" s="423">
        <f t="shared" si="134"/>
        <v>0</v>
      </c>
      <c r="EN296" s="424">
        <f t="shared" si="135"/>
        <v>0</v>
      </c>
      <c r="EO296" s="425">
        <f t="shared" si="136"/>
        <v>0</v>
      </c>
      <c r="EP296" s="419"/>
      <c r="EQ296" s="421"/>
      <c r="ER296" s="419"/>
      <c r="ES296" s="421"/>
      <c r="ET296" s="419"/>
      <c r="EU296" s="421"/>
      <c r="EV296" s="419"/>
      <c r="EW296" s="421"/>
      <c r="EX296" s="419"/>
      <c r="EY296" s="421"/>
      <c r="EZ296" s="419"/>
      <c r="FA296" s="421"/>
      <c r="FB296" s="419"/>
      <c r="FC296" s="421"/>
      <c r="FD296" s="419"/>
      <c r="FE296" s="421"/>
      <c r="FF296" s="419"/>
      <c r="FG296" s="421"/>
      <c r="FH296" s="419"/>
      <c r="FI296" s="421"/>
      <c r="FJ296" s="424">
        <f t="shared" si="137"/>
        <v>0</v>
      </c>
      <c r="FK296" s="425">
        <f t="shared" si="138"/>
        <v>0</v>
      </c>
      <c r="FL296" s="419"/>
      <c r="FM296" s="421"/>
      <c r="FN296" s="424">
        <f t="shared" si="139"/>
        <v>672</v>
      </c>
      <c r="FO296" s="425">
        <f t="shared" si="140"/>
        <v>746</v>
      </c>
    </row>
    <row r="297" spans="1:171" customFormat="1" ht="15" customHeight="1">
      <c r="A297" s="460" t="s">
        <v>162</v>
      </c>
      <c r="B297" s="36" t="s">
        <v>816</v>
      </c>
      <c r="C297" s="121"/>
      <c r="D297" s="34">
        <v>199795</v>
      </c>
      <c r="E297" s="124">
        <v>10</v>
      </c>
      <c r="F297" s="419">
        <v>24</v>
      </c>
      <c r="G297" s="311">
        <v>27</v>
      </c>
      <c r="H297" s="419"/>
      <c r="I297" s="421"/>
      <c r="J297" s="419">
        <v>169</v>
      </c>
      <c r="K297" s="311">
        <v>179</v>
      </c>
      <c r="L297" s="422">
        <f t="shared" si="119"/>
        <v>0</v>
      </c>
      <c r="M297" s="423">
        <f t="shared" si="120"/>
        <v>0</v>
      </c>
      <c r="N297" s="419"/>
      <c r="O297" s="309">
        <f>0</f>
        <v>0</v>
      </c>
      <c r="P297" s="309">
        <f>0</f>
        <v>0</v>
      </c>
      <c r="Q297" s="309">
        <f>0</f>
        <v>0</v>
      </c>
      <c r="R297" s="424">
        <f t="shared" si="117"/>
        <v>0</v>
      </c>
      <c r="S297" s="421"/>
      <c r="T297" s="301">
        <f>0</f>
        <v>0</v>
      </c>
      <c r="U297" s="301">
        <f>0</f>
        <v>0</v>
      </c>
      <c r="V297" s="301">
        <f>0</f>
        <v>0</v>
      </c>
      <c r="W297" s="425">
        <f t="shared" si="118"/>
        <v>0</v>
      </c>
      <c r="X297" s="419"/>
      <c r="Y297" s="419"/>
      <c r="Z297" s="421"/>
      <c r="AA297" s="421"/>
      <c r="AB297" s="419"/>
      <c r="AC297" s="419"/>
      <c r="AD297" s="421"/>
      <c r="AE297" s="421"/>
      <c r="AF297" s="419"/>
      <c r="AG297" s="419"/>
      <c r="AH297" s="421"/>
      <c r="AI297" s="421"/>
      <c r="AJ297" s="419"/>
      <c r="AK297" s="419"/>
      <c r="AL297" s="421"/>
      <c r="AM297" s="421"/>
      <c r="AN297" s="419"/>
      <c r="AO297" s="419"/>
      <c r="AP297" s="421"/>
      <c r="AQ297" s="421"/>
      <c r="AR297" s="424">
        <f t="shared" si="121"/>
        <v>0</v>
      </c>
      <c r="AS297" s="422">
        <f t="shared" si="122"/>
        <v>0</v>
      </c>
      <c r="AT297" s="425">
        <f t="shared" si="123"/>
        <v>0</v>
      </c>
      <c r="AU297" s="423">
        <f t="shared" si="124"/>
        <v>0</v>
      </c>
      <c r="AV297" s="419"/>
      <c r="AW297" s="421"/>
      <c r="AX297" s="419"/>
      <c r="AY297" s="419"/>
      <c r="AZ297" s="421"/>
      <c r="BA297" s="421"/>
      <c r="BB297" s="419"/>
      <c r="BC297" s="419"/>
      <c r="BD297" s="421"/>
      <c r="BE297" s="421"/>
      <c r="BF297" s="419"/>
      <c r="BG297" s="419"/>
      <c r="BH297" s="421"/>
      <c r="BI297" s="421"/>
      <c r="BJ297" s="419"/>
      <c r="BK297" s="419"/>
      <c r="BL297" s="421"/>
      <c r="BM297" s="421"/>
      <c r="BN297" s="419"/>
      <c r="BO297" s="419"/>
      <c r="BP297" s="421"/>
      <c r="BQ297" s="421"/>
      <c r="BR297" s="419"/>
      <c r="BS297" s="419"/>
      <c r="BT297" s="421"/>
      <c r="BU297" s="421"/>
      <c r="BV297" s="419"/>
      <c r="BW297" s="419"/>
      <c r="BX297" s="421"/>
      <c r="BY297" s="421"/>
      <c r="BZ297" s="419"/>
      <c r="CA297" s="419"/>
      <c r="CB297" s="421"/>
      <c r="CC297" s="421"/>
      <c r="CD297" s="419"/>
      <c r="CE297" s="419"/>
      <c r="CF297" s="421"/>
      <c r="CG297" s="421"/>
      <c r="CH297" s="419"/>
      <c r="CI297" s="419"/>
      <c r="CJ297" s="421"/>
      <c r="CK297" s="421"/>
      <c r="CL297" s="419"/>
      <c r="CM297" s="421"/>
      <c r="CN297" s="424">
        <f t="shared" si="125"/>
        <v>0</v>
      </c>
      <c r="CO297" s="424">
        <f t="shared" si="126"/>
        <v>0</v>
      </c>
      <c r="CP297" s="425">
        <f t="shared" si="127"/>
        <v>0</v>
      </c>
      <c r="CQ297" s="425">
        <f t="shared" si="128"/>
        <v>0</v>
      </c>
      <c r="CR297" s="419"/>
      <c r="CS297" s="419"/>
      <c r="CT297" s="421"/>
      <c r="CU297" s="421"/>
      <c r="CV297" s="419"/>
      <c r="CW297" s="419"/>
      <c r="CX297" s="421"/>
      <c r="CY297" s="421"/>
      <c r="CZ297" s="419"/>
      <c r="DA297" s="419"/>
      <c r="DB297" s="421"/>
      <c r="DC297" s="421"/>
      <c r="DD297" s="419"/>
      <c r="DE297" s="419"/>
      <c r="DF297" s="421"/>
      <c r="DG297" s="421"/>
      <c r="DH297" s="419"/>
      <c r="DI297" s="419"/>
      <c r="DJ297" s="421"/>
      <c r="DK297" s="421"/>
      <c r="DL297" s="419"/>
      <c r="DM297" s="419"/>
      <c r="DN297" s="421"/>
      <c r="DO297" s="421"/>
      <c r="DP297" s="419"/>
      <c r="DQ297" s="419"/>
      <c r="DR297" s="421"/>
      <c r="DS297" s="421"/>
      <c r="DT297" s="419"/>
      <c r="DU297" s="419"/>
      <c r="DV297" s="421"/>
      <c r="DW297" s="421"/>
      <c r="DX297" s="419"/>
      <c r="DY297" s="419"/>
      <c r="DZ297" s="421"/>
      <c r="EA297" s="421"/>
      <c r="EB297" s="419"/>
      <c r="EC297" s="419"/>
      <c r="ED297" s="421"/>
      <c r="EE297" s="421"/>
      <c r="EF297" s="419"/>
      <c r="EG297" s="421"/>
      <c r="EH297" s="424">
        <f t="shared" si="129"/>
        <v>0</v>
      </c>
      <c r="EI297" s="424">
        <f t="shared" si="130"/>
        <v>0</v>
      </c>
      <c r="EJ297" s="422">
        <f t="shared" si="131"/>
        <v>0</v>
      </c>
      <c r="EK297" s="425">
        <f t="shared" si="132"/>
        <v>0</v>
      </c>
      <c r="EL297" s="425">
        <f t="shared" si="133"/>
        <v>0</v>
      </c>
      <c r="EM297" s="423">
        <f t="shared" si="134"/>
        <v>0</v>
      </c>
      <c r="EN297" s="424">
        <f t="shared" si="135"/>
        <v>0</v>
      </c>
      <c r="EO297" s="425">
        <f t="shared" si="136"/>
        <v>0</v>
      </c>
      <c r="EP297" s="419"/>
      <c r="EQ297" s="421"/>
      <c r="ER297" s="419"/>
      <c r="ES297" s="421"/>
      <c r="ET297" s="419"/>
      <c r="EU297" s="421"/>
      <c r="EV297" s="419"/>
      <c r="EW297" s="421"/>
      <c r="EX297" s="419"/>
      <c r="EY297" s="421"/>
      <c r="EZ297" s="419"/>
      <c r="FA297" s="421"/>
      <c r="FB297" s="419"/>
      <c r="FC297" s="421"/>
      <c r="FD297" s="419"/>
      <c r="FE297" s="421"/>
      <c r="FF297" s="419"/>
      <c r="FG297" s="421"/>
      <c r="FH297" s="419"/>
      <c r="FI297" s="421"/>
      <c r="FJ297" s="424">
        <f t="shared" si="137"/>
        <v>0</v>
      </c>
      <c r="FK297" s="425">
        <f t="shared" si="138"/>
        <v>0</v>
      </c>
      <c r="FL297" s="419"/>
      <c r="FM297" s="421"/>
      <c r="FN297" s="424">
        <f t="shared" si="139"/>
        <v>193</v>
      </c>
      <c r="FO297" s="425">
        <f t="shared" si="140"/>
        <v>206</v>
      </c>
    </row>
    <row r="298" spans="1:171" customFormat="1" ht="15" customHeight="1">
      <c r="A298" s="460" t="s">
        <v>162</v>
      </c>
      <c r="B298" s="36" t="s">
        <v>817</v>
      </c>
      <c r="C298" s="123"/>
      <c r="D298" s="34">
        <v>199908</v>
      </c>
      <c r="E298" s="124">
        <v>10</v>
      </c>
      <c r="F298" s="419">
        <v>113</v>
      </c>
      <c r="G298" s="310">
        <v>90</v>
      </c>
      <c r="H298" s="419"/>
      <c r="I298" s="421"/>
      <c r="J298" s="419">
        <v>327</v>
      </c>
      <c r="K298" s="311">
        <v>366</v>
      </c>
      <c r="L298" s="422">
        <f t="shared" si="119"/>
        <v>0</v>
      </c>
      <c r="M298" s="423">
        <f t="shared" si="120"/>
        <v>0</v>
      </c>
      <c r="N298" s="419"/>
      <c r="O298" s="309">
        <f>0</f>
        <v>0</v>
      </c>
      <c r="P298" s="309">
        <f>0</f>
        <v>0</v>
      </c>
      <c r="Q298" s="309">
        <f>0</f>
        <v>0</v>
      </c>
      <c r="R298" s="424">
        <f t="shared" si="117"/>
        <v>0</v>
      </c>
      <c r="S298" s="421"/>
      <c r="T298" s="301">
        <f>0</f>
        <v>0</v>
      </c>
      <c r="U298" s="301">
        <f>0</f>
        <v>0</v>
      </c>
      <c r="V298" s="301">
        <f>0</f>
        <v>0</v>
      </c>
      <c r="W298" s="425">
        <f t="shared" si="118"/>
        <v>0</v>
      </c>
      <c r="X298" s="419"/>
      <c r="Y298" s="419"/>
      <c r="Z298" s="421"/>
      <c r="AA298" s="421"/>
      <c r="AB298" s="419"/>
      <c r="AC298" s="419"/>
      <c r="AD298" s="421"/>
      <c r="AE298" s="421"/>
      <c r="AF298" s="419"/>
      <c r="AG298" s="419"/>
      <c r="AH298" s="421"/>
      <c r="AI298" s="421"/>
      <c r="AJ298" s="419"/>
      <c r="AK298" s="419"/>
      <c r="AL298" s="421"/>
      <c r="AM298" s="421"/>
      <c r="AN298" s="419"/>
      <c r="AO298" s="419"/>
      <c r="AP298" s="421"/>
      <c r="AQ298" s="421"/>
      <c r="AR298" s="424">
        <f t="shared" si="121"/>
        <v>0</v>
      </c>
      <c r="AS298" s="422">
        <f t="shared" si="122"/>
        <v>0</v>
      </c>
      <c r="AT298" s="425">
        <f t="shared" si="123"/>
        <v>0</v>
      </c>
      <c r="AU298" s="423">
        <f t="shared" si="124"/>
        <v>0</v>
      </c>
      <c r="AV298" s="419"/>
      <c r="AW298" s="421"/>
      <c r="AX298" s="419"/>
      <c r="AY298" s="419"/>
      <c r="AZ298" s="421"/>
      <c r="BA298" s="421"/>
      <c r="BB298" s="419"/>
      <c r="BC298" s="419"/>
      <c r="BD298" s="421"/>
      <c r="BE298" s="421"/>
      <c r="BF298" s="419"/>
      <c r="BG298" s="419"/>
      <c r="BH298" s="421"/>
      <c r="BI298" s="421"/>
      <c r="BJ298" s="419"/>
      <c r="BK298" s="419"/>
      <c r="BL298" s="421"/>
      <c r="BM298" s="421"/>
      <c r="BN298" s="419"/>
      <c r="BO298" s="419"/>
      <c r="BP298" s="421"/>
      <c r="BQ298" s="421"/>
      <c r="BR298" s="419"/>
      <c r="BS298" s="419"/>
      <c r="BT298" s="421"/>
      <c r="BU298" s="421"/>
      <c r="BV298" s="419"/>
      <c r="BW298" s="419"/>
      <c r="BX298" s="421"/>
      <c r="BY298" s="421"/>
      <c r="BZ298" s="419"/>
      <c r="CA298" s="419"/>
      <c r="CB298" s="421"/>
      <c r="CC298" s="421"/>
      <c r="CD298" s="419"/>
      <c r="CE298" s="419"/>
      <c r="CF298" s="421"/>
      <c r="CG298" s="421"/>
      <c r="CH298" s="419"/>
      <c r="CI298" s="419"/>
      <c r="CJ298" s="421"/>
      <c r="CK298" s="421"/>
      <c r="CL298" s="419"/>
      <c r="CM298" s="421"/>
      <c r="CN298" s="424">
        <f t="shared" si="125"/>
        <v>0</v>
      </c>
      <c r="CO298" s="424">
        <f t="shared" si="126"/>
        <v>0</v>
      </c>
      <c r="CP298" s="425">
        <f t="shared" si="127"/>
        <v>0</v>
      </c>
      <c r="CQ298" s="425">
        <f t="shared" si="128"/>
        <v>0</v>
      </c>
      <c r="CR298" s="419"/>
      <c r="CS298" s="419"/>
      <c r="CT298" s="421"/>
      <c r="CU298" s="421"/>
      <c r="CV298" s="419"/>
      <c r="CW298" s="419"/>
      <c r="CX298" s="421"/>
      <c r="CY298" s="421"/>
      <c r="CZ298" s="419"/>
      <c r="DA298" s="419"/>
      <c r="DB298" s="421"/>
      <c r="DC298" s="421"/>
      <c r="DD298" s="419"/>
      <c r="DE298" s="419"/>
      <c r="DF298" s="421"/>
      <c r="DG298" s="421"/>
      <c r="DH298" s="419"/>
      <c r="DI298" s="419"/>
      <c r="DJ298" s="421"/>
      <c r="DK298" s="421"/>
      <c r="DL298" s="419"/>
      <c r="DM298" s="419"/>
      <c r="DN298" s="421"/>
      <c r="DO298" s="421"/>
      <c r="DP298" s="419"/>
      <c r="DQ298" s="419"/>
      <c r="DR298" s="421"/>
      <c r="DS298" s="421"/>
      <c r="DT298" s="419"/>
      <c r="DU298" s="419"/>
      <c r="DV298" s="421"/>
      <c r="DW298" s="421"/>
      <c r="DX298" s="419"/>
      <c r="DY298" s="419"/>
      <c r="DZ298" s="421"/>
      <c r="EA298" s="421"/>
      <c r="EB298" s="419"/>
      <c r="EC298" s="419"/>
      <c r="ED298" s="421"/>
      <c r="EE298" s="421"/>
      <c r="EF298" s="419"/>
      <c r="EG298" s="421"/>
      <c r="EH298" s="424">
        <f t="shared" si="129"/>
        <v>0</v>
      </c>
      <c r="EI298" s="424">
        <f t="shared" si="130"/>
        <v>0</v>
      </c>
      <c r="EJ298" s="422">
        <f t="shared" si="131"/>
        <v>0</v>
      </c>
      <c r="EK298" s="425">
        <f t="shared" si="132"/>
        <v>0</v>
      </c>
      <c r="EL298" s="425">
        <f t="shared" si="133"/>
        <v>0</v>
      </c>
      <c r="EM298" s="423">
        <f t="shared" si="134"/>
        <v>0</v>
      </c>
      <c r="EN298" s="424">
        <f t="shared" si="135"/>
        <v>0</v>
      </c>
      <c r="EO298" s="425">
        <f t="shared" si="136"/>
        <v>0</v>
      </c>
      <c r="EP298" s="419"/>
      <c r="EQ298" s="421"/>
      <c r="ER298" s="419"/>
      <c r="ES298" s="421"/>
      <c r="ET298" s="419"/>
      <c r="EU298" s="421"/>
      <c r="EV298" s="419"/>
      <c r="EW298" s="421"/>
      <c r="EX298" s="419"/>
      <c r="EY298" s="421"/>
      <c r="EZ298" s="419"/>
      <c r="FA298" s="421"/>
      <c r="FB298" s="419"/>
      <c r="FC298" s="421"/>
      <c r="FD298" s="419"/>
      <c r="FE298" s="421"/>
      <c r="FF298" s="419"/>
      <c r="FG298" s="421"/>
      <c r="FH298" s="419"/>
      <c r="FI298" s="421"/>
      <c r="FJ298" s="424">
        <f t="shared" si="137"/>
        <v>0</v>
      </c>
      <c r="FK298" s="425">
        <f t="shared" si="138"/>
        <v>0</v>
      </c>
      <c r="FL298" s="419"/>
      <c r="FM298" s="421"/>
      <c r="FN298" s="424">
        <f t="shared" si="139"/>
        <v>440</v>
      </c>
      <c r="FO298" s="425">
        <f t="shared" si="140"/>
        <v>456</v>
      </c>
    </row>
    <row r="299" spans="1:171" customFormat="1" ht="15" customHeight="1">
      <c r="A299" s="460" t="s">
        <v>162</v>
      </c>
      <c r="B299" s="36" t="s">
        <v>818</v>
      </c>
      <c r="C299" s="121"/>
      <c r="D299" s="34">
        <v>199953</v>
      </c>
      <c r="E299" s="124">
        <v>10</v>
      </c>
      <c r="F299" s="419">
        <v>328</v>
      </c>
      <c r="G299" s="311">
        <v>336</v>
      </c>
      <c r="H299" s="419"/>
      <c r="I299" s="421"/>
      <c r="J299" s="419">
        <v>244</v>
      </c>
      <c r="K299" s="311">
        <v>222</v>
      </c>
      <c r="L299" s="422">
        <f t="shared" si="119"/>
        <v>0</v>
      </c>
      <c r="M299" s="423">
        <f t="shared" si="120"/>
        <v>0</v>
      </c>
      <c r="N299" s="419"/>
      <c r="O299" s="309">
        <f>0</f>
        <v>0</v>
      </c>
      <c r="P299" s="309">
        <f>0</f>
        <v>0</v>
      </c>
      <c r="Q299" s="309">
        <f>0</f>
        <v>0</v>
      </c>
      <c r="R299" s="424">
        <f t="shared" si="117"/>
        <v>0</v>
      </c>
      <c r="S299" s="421"/>
      <c r="T299" s="301">
        <f>0</f>
        <v>0</v>
      </c>
      <c r="U299" s="301">
        <f>0</f>
        <v>0</v>
      </c>
      <c r="V299" s="301">
        <f>0</f>
        <v>0</v>
      </c>
      <c r="W299" s="425">
        <f t="shared" si="118"/>
        <v>0</v>
      </c>
      <c r="X299" s="419"/>
      <c r="Y299" s="419"/>
      <c r="Z299" s="421"/>
      <c r="AA299" s="421"/>
      <c r="AB299" s="419"/>
      <c r="AC299" s="419"/>
      <c r="AD299" s="421"/>
      <c r="AE299" s="421"/>
      <c r="AF299" s="419"/>
      <c r="AG299" s="419"/>
      <c r="AH299" s="421"/>
      <c r="AI299" s="421"/>
      <c r="AJ299" s="419"/>
      <c r="AK299" s="419"/>
      <c r="AL299" s="421"/>
      <c r="AM299" s="421"/>
      <c r="AN299" s="419"/>
      <c r="AO299" s="419"/>
      <c r="AP299" s="421"/>
      <c r="AQ299" s="421"/>
      <c r="AR299" s="424">
        <f t="shared" si="121"/>
        <v>0</v>
      </c>
      <c r="AS299" s="422">
        <f t="shared" si="122"/>
        <v>0</v>
      </c>
      <c r="AT299" s="425">
        <f t="shared" si="123"/>
        <v>0</v>
      </c>
      <c r="AU299" s="423">
        <f t="shared" si="124"/>
        <v>0</v>
      </c>
      <c r="AV299" s="419"/>
      <c r="AW299" s="421"/>
      <c r="AX299" s="419"/>
      <c r="AY299" s="419"/>
      <c r="AZ299" s="421"/>
      <c r="BA299" s="421"/>
      <c r="BB299" s="419"/>
      <c r="BC299" s="419"/>
      <c r="BD299" s="421"/>
      <c r="BE299" s="421"/>
      <c r="BF299" s="419"/>
      <c r="BG299" s="419"/>
      <c r="BH299" s="421"/>
      <c r="BI299" s="421"/>
      <c r="BJ299" s="419"/>
      <c r="BK299" s="419"/>
      <c r="BL299" s="421"/>
      <c r="BM299" s="421"/>
      <c r="BN299" s="419"/>
      <c r="BO299" s="419"/>
      <c r="BP299" s="421"/>
      <c r="BQ299" s="421"/>
      <c r="BR299" s="419"/>
      <c r="BS299" s="419"/>
      <c r="BT299" s="421"/>
      <c r="BU299" s="421"/>
      <c r="BV299" s="419"/>
      <c r="BW299" s="419"/>
      <c r="BX299" s="421"/>
      <c r="BY299" s="421"/>
      <c r="BZ299" s="419"/>
      <c r="CA299" s="419"/>
      <c r="CB299" s="421"/>
      <c r="CC299" s="421"/>
      <c r="CD299" s="419"/>
      <c r="CE299" s="419"/>
      <c r="CF299" s="421"/>
      <c r="CG299" s="421"/>
      <c r="CH299" s="419"/>
      <c r="CI299" s="419"/>
      <c r="CJ299" s="421"/>
      <c r="CK299" s="421"/>
      <c r="CL299" s="419"/>
      <c r="CM299" s="421"/>
      <c r="CN299" s="424">
        <f t="shared" si="125"/>
        <v>0</v>
      </c>
      <c r="CO299" s="424">
        <f t="shared" si="126"/>
        <v>0</v>
      </c>
      <c r="CP299" s="425">
        <f t="shared" si="127"/>
        <v>0</v>
      </c>
      <c r="CQ299" s="425">
        <f t="shared" si="128"/>
        <v>0</v>
      </c>
      <c r="CR299" s="419"/>
      <c r="CS299" s="419"/>
      <c r="CT299" s="421"/>
      <c r="CU299" s="421"/>
      <c r="CV299" s="419"/>
      <c r="CW299" s="419"/>
      <c r="CX299" s="421"/>
      <c r="CY299" s="421"/>
      <c r="CZ299" s="419"/>
      <c r="DA299" s="419"/>
      <c r="DB299" s="421"/>
      <c r="DC299" s="421"/>
      <c r="DD299" s="419"/>
      <c r="DE299" s="419"/>
      <c r="DF299" s="421"/>
      <c r="DG299" s="421"/>
      <c r="DH299" s="419"/>
      <c r="DI299" s="419"/>
      <c r="DJ299" s="421"/>
      <c r="DK299" s="421"/>
      <c r="DL299" s="419"/>
      <c r="DM299" s="419"/>
      <c r="DN299" s="421"/>
      <c r="DO299" s="421"/>
      <c r="DP299" s="419"/>
      <c r="DQ299" s="419"/>
      <c r="DR299" s="421"/>
      <c r="DS299" s="421"/>
      <c r="DT299" s="419"/>
      <c r="DU299" s="419"/>
      <c r="DV299" s="421"/>
      <c r="DW299" s="421"/>
      <c r="DX299" s="419"/>
      <c r="DY299" s="419"/>
      <c r="DZ299" s="421"/>
      <c r="EA299" s="421"/>
      <c r="EB299" s="419"/>
      <c r="EC299" s="419"/>
      <c r="ED299" s="421"/>
      <c r="EE299" s="421"/>
      <c r="EF299" s="419"/>
      <c r="EG299" s="421"/>
      <c r="EH299" s="424">
        <f t="shared" si="129"/>
        <v>0</v>
      </c>
      <c r="EI299" s="424">
        <f t="shared" si="130"/>
        <v>0</v>
      </c>
      <c r="EJ299" s="422">
        <f t="shared" si="131"/>
        <v>0</v>
      </c>
      <c r="EK299" s="425">
        <f t="shared" si="132"/>
        <v>0</v>
      </c>
      <c r="EL299" s="425">
        <f t="shared" si="133"/>
        <v>0</v>
      </c>
      <c r="EM299" s="423">
        <f t="shared" si="134"/>
        <v>0</v>
      </c>
      <c r="EN299" s="424">
        <f t="shared" si="135"/>
        <v>0</v>
      </c>
      <c r="EO299" s="425">
        <f t="shared" si="136"/>
        <v>0</v>
      </c>
      <c r="EP299" s="419"/>
      <c r="EQ299" s="421"/>
      <c r="ER299" s="419"/>
      <c r="ES299" s="421"/>
      <c r="ET299" s="419"/>
      <c r="EU299" s="421"/>
      <c r="EV299" s="419"/>
      <c r="EW299" s="421"/>
      <c r="EX299" s="419"/>
      <c r="EY299" s="421"/>
      <c r="EZ299" s="419"/>
      <c r="FA299" s="421"/>
      <c r="FB299" s="419"/>
      <c r="FC299" s="421"/>
      <c r="FD299" s="419"/>
      <c r="FE299" s="421"/>
      <c r="FF299" s="419"/>
      <c r="FG299" s="421"/>
      <c r="FH299" s="419"/>
      <c r="FI299" s="421"/>
      <c r="FJ299" s="424">
        <f t="shared" si="137"/>
        <v>0</v>
      </c>
      <c r="FK299" s="425">
        <f t="shared" si="138"/>
        <v>0</v>
      </c>
      <c r="FL299" s="419"/>
      <c r="FM299" s="421"/>
      <c r="FN299" s="424">
        <f t="shared" si="139"/>
        <v>572</v>
      </c>
      <c r="FO299" s="425">
        <f t="shared" si="140"/>
        <v>558</v>
      </c>
    </row>
    <row r="300" spans="1:171" ht="13.5" thickBot="1">
      <c r="A300" s="418" t="s">
        <v>163</v>
      </c>
      <c r="B300" s="99"/>
      <c r="C300" s="100"/>
      <c r="D300" s="101"/>
      <c r="E300" s="101"/>
      <c r="F300" s="419"/>
      <c r="G300" s="420"/>
      <c r="H300" s="419"/>
      <c r="I300" s="421"/>
      <c r="J300" s="419"/>
      <c r="K300" s="421"/>
      <c r="L300" s="422">
        <f t="shared" si="119"/>
        <v>0</v>
      </c>
      <c r="M300" s="423">
        <f t="shared" si="120"/>
        <v>0</v>
      </c>
      <c r="N300" s="419"/>
      <c r="O300" s="419"/>
      <c r="P300" s="419"/>
      <c r="Q300" s="419"/>
      <c r="R300" s="424">
        <f t="shared" si="117"/>
        <v>0</v>
      </c>
      <c r="S300" s="420"/>
      <c r="T300" s="301"/>
      <c r="U300" s="301"/>
      <c r="V300" s="301"/>
      <c r="W300" s="425">
        <f t="shared" si="118"/>
        <v>0</v>
      </c>
      <c r="X300" s="419"/>
      <c r="Y300" s="419"/>
      <c r="Z300" s="421"/>
      <c r="AA300" s="421"/>
      <c r="AB300" s="419"/>
      <c r="AC300" s="419"/>
      <c r="AD300" s="421"/>
      <c r="AE300" s="421"/>
      <c r="AF300" s="419"/>
      <c r="AG300" s="419"/>
      <c r="AH300" s="421"/>
      <c r="AI300" s="421"/>
      <c r="AJ300" s="419"/>
      <c r="AK300" s="419"/>
      <c r="AL300" s="421"/>
      <c r="AM300" s="421"/>
      <c r="AN300" s="419"/>
      <c r="AO300" s="419"/>
      <c r="AP300" s="421"/>
      <c r="AQ300" s="421"/>
      <c r="AR300" s="424">
        <f t="shared" si="121"/>
        <v>0</v>
      </c>
      <c r="AS300" s="422">
        <f t="shared" si="122"/>
        <v>0</v>
      </c>
      <c r="AT300" s="425">
        <f t="shared" si="123"/>
        <v>0</v>
      </c>
      <c r="AU300" s="423">
        <f t="shared" si="124"/>
        <v>0</v>
      </c>
      <c r="AV300" s="419"/>
      <c r="AW300" s="420"/>
      <c r="AX300" s="419"/>
      <c r="AY300" s="419"/>
      <c r="AZ300" s="421"/>
      <c r="BA300" s="421"/>
      <c r="BB300" s="419"/>
      <c r="BC300" s="419"/>
      <c r="BD300" s="421"/>
      <c r="BE300" s="421"/>
      <c r="BF300" s="419"/>
      <c r="BG300" s="419"/>
      <c r="BH300" s="421"/>
      <c r="BI300" s="420"/>
      <c r="BJ300" s="419"/>
      <c r="BK300" s="419"/>
      <c r="BL300" s="421"/>
      <c r="BM300" s="421"/>
      <c r="BN300" s="419"/>
      <c r="BO300" s="419"/>
      <c r="BP300" s="421"/>
      <c r="BQ300" s="421"/>
      <c r="BR300" s="419"/>
      <c r="BS300" s="419"/>
      <c r="BT300" s="421"/>
      <c r="BU300" s="420"/>
      <c r="BV300" s="419"/>
      <c r="BW300" s="419"/>
      <c r="BX300" s="421"/>
      <c r="BY300" s="421"/>
      <c r="BZ300" s="419"/>
      <c r="CA300" s="419"/>
      <c r="CB300" s="421"/>
      <c r="CC300" s="420"/>
      <c r="CD300" s="419"/>
      <c r="CE300" s="419"/>
      <c r="CF300" s="421"/>
      <c r="CG300" s="420"/>
      <c r="CH300" s="419"/>
      <c r="CI300" s="419"/>
      <c r="CJ300" s="421"/>
      <c r="CK300" s="420"/>
      <c r="CL300" s="419"/>
      <c r="CM300" s="420"/>
      <c r="CN300" s="424">
        <f t="shared" si="125"/>
        <v>0</v>
      </c>
      <c r="CO300" s="424">
        <f t="shared" si="126"/>
        <v>0</v>
      </c>
      <c r="CP300" s="425">
        <f t="shared" si="127"/>
        <v>0</v>
      </c>
      <c r="CQ300" s="425">
        <f t="shared" si="128"/>
        <v>0</v>
      </c>
      <c r="CR300" s="419"/>
      <c r="CS300" s="419"/>
      <c r="CT300" s="421"/>
      <c r="CU300" s="421"/>
      <c r="CV300" s="419"/>
      <c r="CW300" s="419"/>
      <c r="CX300" s="421"/>
      <c r="CY300" s="420"/>
      <c r="CZ300" s="419"/>
      <c r="DA300" s="419"/>
      <c r="DB300" s="421"/>
      <c r="DC300" s="421"/>
      <c r="DD300" s="419"/>
      <c r="DE300" s="419"/>
      <c r="DF300" s="421"/>
      <c r="DG300" s="421"/>
      <c r="DH300" s="419"/>
      <c r="DI300" s="419"/>
      <c r="DJ300" s="421"/>
      <c r="DK300" s="421"/>
      <c r="DL300" s="419"/>
      <c r="DM300" s="419"/>
      <c r="DN300" s="421"/>
      <c r="DO300" s="421"/>
      <c r="DP300" s="419"/>
      <c r="DQ300" s="419"/>
      <c r="DR300" s="421"/>
      <c r="DS300" s="421"/>
      <c r="DT300" s="419"/>
      <c r="DU300" s="419"/>
      <c r="DV300" s="421"/>
      <c r="DW300" s="421"/>
      <c r="DX300" s="419"/>
      <c r="DY300" s="419"/>
      <c r="DZ300" s="421"/>
      <c r="EA300" s="420"/>
      <c r="EB300" s="419"/>
      <c r="EC300" s="419"/>
      <c r="ED300" s="421"/>
      <c r="EE300" s="421"/>
      <c r="EF300" s="419"/>
      <c r="EG300" s="421"/>
      <c r="EH300" s="424">
        <f t="shared" si="129"/>
        <v>0</v>
      </c>
      <c r="EI300" s="424">
        <f t="shared" si="130"/>
        <v>0</v>
      </c>
      <c r="EJ300" s="422">
        <f t="shared" si="131"/>
        <v>0</v>
      </c>
      <c r="EK300" s="425">
        <f t="shared" si="132"/>
        <v>0</v>
      </c>
      <c r="EL300" s="425">
        <f t="shared" si="133"/>
        <v>0</v>
      </c>
      <c r="EM300" s="423">
        <f t="shared" si="134"/>
        <v>0</v>
      </c>
      <c r="EN300" s="424">
        <f t="shared" si="135"/>
        <v>0</v>
      </c>
      <c r="EO300" s="425">
        <f t="shared" si="136"/>
        <v>0</v>
      </c>
      <c r="EP300" s="419"/>
      <c r="EQ300" s="421"/>
      <c r="ER300" s="419"/>
      <c r="ES300" s="421"/>
      <c r="ET300" s="419"/>
      <c r="EU300" s="421"/>
      <c r="EV300" s="419"/>
      <c r="EW300" s="421"/>
      <c r="EX300" s="419"/>
      <c r="EY300" s="421"/>
      <c r="EZ300" s="419"/>
      <c r="FA300" s="421"/>
      <c r="FB300" s="419"/>
      <c r="FC300" s="420"/>
      <c r="FD300" s="419"/>
      <c r="FE300" s="420"/>
      <c r="FF300" s="419"/>
      <c r="FG300" s="421"/>
      <c r="FH300" s="419"/>
      <c r="FI300" s="421"/>
      <c r="FJ300" s="424">
        <f t="shared" si="137"/>
        <v>0</v>
      </c>
      <c r="FK300" s="425">
        <f t="shared" si="138"/>
        <v>0</v>
      </c>
      <c r="FL300" s="419"/>
      <c r="FM300" s="421"/>
      <c r="FN300" s="424">
        <f t="shared" si="139"/>
        <v>0</v>
      </c>
      <c r="FO300" s="425">
        <f t="shared" si="140"/>
        <v>0</v>
      </c>
    </row>
    <row r="301" spans="1:171">
      <c r="A301" s="312" t="s">
        <v>163</v>
      </c>
      <c r="B301" s="313" t="s">
        <v>819</v>
      </c>
      <c r="C301" s="314"/>
      <c r="D301" s="315">
        <v>365374</v>
      </c>
      <c r="E301" s="315">
        <v>12</v>
      </c>
      <c r="F301" s="419">
        <v>682</v>
      </c>
      <c r="G301" s="420">
        <v>523</v>
      </c>
      <c r="H301" s="419">
        <v>5</v>
      </c>
      <c r="I301" s="420"/>
      <c r="J301" s="419"/>
      <c r="K301" s="421"/>
      <c r="L301" s="422">
        <f t="shared" si="119"/>
        <v>0</v>
      </c>
      <c r="M301" s="423">
        <f t="shared" si="120"/>
        <v>0</v>
      </c>
      <c r="N301" s="419"/>
      <c r="O301" s="309">
        <f>0</f>
        <v>0</v>
      </c>
      <c r="P301" s="309">
        <f>0</f>
        <v>0</v>
      </c>
      <c r="Q301" s="309">
        <f>0</f>
        <v>0</v>
      </c>
      <c r="R301" s="424">
        <f t="shared" si="117"/>
        <v>0</v>
      </c>
      <c r="S301" s="421"/>
      <c r="T301" s="301">
        <f>0</f>
        <v>0</v>
      </c>
      <c r="U301" s="301">
        <f>0</f>
        <v>0</v>
      </c>
      <c r="V301" s="301">
        <f>0</f>
        <v>0</v>
      </c>
      <c r="W301" s="425">
        <f t="shared" si="118"/>
        <v>0</v>
      </c>
      <c r="X301" s="419"/>
      <c r="Y301" s="419"/>
      <c r="Z301" s="421"/>
      <c r="AA301" s="421"/>
      <c r="AB301" s="419"/>
      <c r="AC301" s="419"/>
      <c r="AD301" s="421"/>
      <c r="AE301" s="421"/>
      <c r="AF301" s="419"/>
      <c r="AG301" s="419"/>
      <c r="AH301" s="421"/>
      <c r="AI301" s="421"/>
      <c r="AJ301" s="419"/>
      <c r="AK301" s="419"/>
      <c r="AL301" s="421"/>
      <c r="AM301" s="421"/>
      <c r="AN301" s="419"/>
      <c r="AO301" s="419"/>
      <c r="AP301" s="421"/>
      <c r="AQ301" s="421"/>
      <c r="AR301" s="424">
        <f t="shared" si="121"/>
        <v>0</v>
      </c>
      <c r="AS301" s="422">
        <f t="shared" si="122"/>
        <v>0</v>
      </c>
      <c r="AT301" s="425">
        <f t="shared" si="123"/>
        <v>0</v>
      </c>
      <c r="AU301" s="423">
        <f t="shared" si="124"/>
        <v>0</v>
      </c>
      <c r="AV301" s="419"/>
      <c r="AW301" s="421"/>
      <c r="AX301" s="419"/>
      <c r="AY301" s="419"/>
      <c r="AZ301" s="421"/>
      <c r="BA301" s="421"/>
      <c r="BB301" s="419"/>
      <c r="BC301" s="419"/>
      <c r="BD301" s="421"/>
      <c r="BE301" s="421"/>
      <c r="BF301" s="419"/>
      <c r="BG301" s="419"/>
      <c r="BH301" s="421"/>
      <c r="BI301" s="421"/>
      <c r="BJ301" s="419"/>
      <c r="BK301" s="419"/>
      <c r="BL301" s="421"/>
      <c r="BM301" s="421"/>
      <c r="BN301" s="419"/>
      <c r="BO301" s="419"/>
      <c r="BP301" s="421"/>
      <c r="BQ301" s="421"/>
      <c r="BR301" s="419"/>
      <c r="BS301" s="419"/>
      <c r="BT301" s="421"/>
      <c r="BU301" s="421"/>
      <c r="BV301" s="419"/>
      <c r="BW301" s="419"/>
      <c r="BX301" s="421"/>
      <c r="BY301" s="421"/>
      <c r="BZ301" s="419"/>
      <c r="CA301" s="419"/>
      <c r="CB301" s="421"/>
      <c r="CC301" s="421"/>
      <c r="CD301" s="419"/>
      <c r="CE301" s="419"/>
      <c r="CF301" s="421"/>
      <c r="CG301" s="421"/>
      <c r="CH301" s="419"/>
      <c r="CI301" s="419"/>
      <c r="CJ301" s="421"/>
      <c r="CK301" s="421"/>
      <c r="CL301" s="419"/>
      <c r="CM301" s="421"/>
      <c r="CN301" s="424">
        <f t="shared" si="125"/>
        <v>0</v>
      </c>
      <c r="CO301" s="424">
        <f t="shared" si="126"/>
        <v>0</v>
      </c>
      <c r="CP301" s="425">
        <f t="shared" si="127"/>
        <v>0</v>
      </c>
      <c r="CQ301" s="425">
        <f t="shared" si="128"/>
        <v>0</v>
      </c>
      <c r="CR301" s="419"/>
      <c r="CS301" s="419"/>
      <c r="CT301" s="421"/>
      <c r="CU301" s="421"/>
      <c r="CV301" s="419"/>
      <c r="CW301" s="419"/>
      <c r="CX301" s="421"/>
      <c r="CY301" s="421"/>
      <c r="CZ301" s="419"/>
      <c r="DA301" s="419"/>
      <c r="DB301" s="421"/>
      <c r="DC301" s="421"/>
      <c r="DD301" s="419"/>
      <c r="DE301" s="419"/>
      <c r="DF301" s="421"/>
      <c r="DG301" s="421"/>
      <c r="DH301" s="419"/>
      <c r="DI301" s="419"/>
      <c r="DJ301" s="421"/>
      <c r="DK301" s="421"/>
      <c r="DL301" s="419"/>
      <c r="DM301" s="419"/>
      <c r="DN301" s="421"/>
      <c r="DO301" s="421"/>
      <c r="DP301" s="419"/>
      <c r="DQ301" s="419"/>
      <c r="DR301" s="421"/>
      <c r="DS301" s="421"/>
      <c r="DT301" s="419"/>
      <c r="DU301" s="419"/>
      <c r="DV301" s="421"/>
      <c r="DW301" s="421"/>
      <c r="DX301" s="419"/>
      <c r="DY301" s="419"/>
      <c r="DZ301" s="421"/>
      <c r="EA301" s="421"/>
      <c r="EB301" s="419"/>
      <c r="EC301" s="419"/>
      <c r="ED301" s="421"/>
      <c r="EE301" s="421"/>
      <c r="EF301" s="419"/>
      <c r="EG301" s="421"/>
      <c r="EH301" s="424">
        <f t="shared" si="129"/>
        <v>0</v>
      </c>
      <c r="EI301" s="424">
        <f t="shared" si="130"/>
        <v>0</v>
      </c>
      <c r="EJ301" s="422">
        <f t="shared" si="131"/>
        <v>0</v>
      </c>
      <c r="EK301" s="425">
        <f t="shared" si="132"/>
        <v>0</v>
      </c>
      <c r="EL301" s="425">
        <f t="shared" si="133"/>
        <v>0</v>
      </c>
      <c r="EM301" s="423">
        <f t="shared" si="134"/>
        <v>0</v>
      </c>
      <c r="EN301" s="424">
        <f t="shared" si="135"/>
        <v>0</v>
      </c>
      <c r="EO301" s="425">
        <f t="shared" si="136"/>
        <v>0</v>
      </c>
      <c r="EP301" s="419"/>
      <c r="EQ301" s="421"/>
      <c r="ER301" s="419"/>
      <c r="ES301" s="421"/>
      <c r="ET301" s="419"/>
      <c r="EU301" s="421"/>
      <c r="EV301" s="419"/>
      <c r="EW301" s="421"/>
      <c r="EX301" s="419"/>
      <c r="EY301" s="421"/>
      <c r="EZ301" s="419"/>
      <c r="FA301" s="421"/>
      <c r="FB301" s="419"/>
      <c r="FC301" s="421"/>
      <c r="FD301" s="419"/>
      <c r="FE301" s="421"/>
      <c r="FF301" s="419"/>
      <c r="FG301" s="421"/>
      <c r="FH301" s="419"/>
      <c r="FI301" s="421"/>
      <c r="FJ301" s="424">
        <f t="shared" si="137"/>
        <v>0</v>
      </c>
      <c r="FK301" s="425">
        <f t="shared" si="138"/>
        <v>0</v>
      </c>
      <c r="FL301" s="419"/>
      <c r="FM301" s="421"/>
      <c r="FN301" s="424">
        <f t="shared" si="139"/>
        <v>687</v>
      </c>
      <c r="FO301" s="425">
        <f t="shared" si="140"/>
        <v>523</v>
      </c>
    </row>
    <row r="302" spans="1:171">
      <c r="A302" s="427" t="s">
        <v>163</v>
      </c>
      <c r="B302" s="57" t="s">
        <v>820</v>
      </c>
      <c r="C302" s="56"/>
      <c r="D302" s="55">
        <v>245999</v>
      </c>
      <c r="E302" s="55">
        <v>12</v>
      </c>
      <c r="F302" s="419">
        <v>1404</v>
      </c>
      <c r="G302" s="420">
        <v>868</v>
      </c>
      <c r="H302" s="419">
        <v>21</v>
      </c>
      <c r="I302" s="420">
        <v>26</v>
      </c>
      <c r="J302" s="419"/>
      <c r="K302" s="421"/>
      <c r="L302" s="422">
        <f t="shared" si="119"/>
        <v>0</v>
      </c>
      <c r="M302" s="423">
        <f t="shared" si="120"/>
        <v>0</v>
      </c>
      <c r="N302" s="419"/>
      <c r="O302" s="309">
        <f>0</f>
        <v>0</v>
      </c>
      <c r="P302" s="309">
        <f>0</f>
        <v>0</v>
      </c>
      <c r="Q302" s="309">
        <f>0</f>
        <v>0</v>
      </c>
      <c r="R302" s="424">
        <f t="shared" si="117"/>
        <v>0</v>
      </c>
      <c r="S302" s="421"/>
      <c r="T302" s="301">
        <f>0</f>
        <v>0</v>
      </c>
      <c r="U302" s="301">
        <f>0</f>
        <v>0</v>
      </c>
      <c r="V302" s="301">
        <f>0</f>
        <v>0</v>
      </c>
      <c r="W302" s="425">
        <f t="shared" si="118"/>
        <v>0</v>
      </c>
      <c r="X302" s="419"/>
      <c r="Y302" s="419"/>
      <c r="Z302" s="421"/>
      <c r="AA302" s="421"/>
      <c r="AB302" s="419"/>
      <c r="AC302" s="419"/>
      <c r="AD302" s="421"/>
      <c r="AE302" s="421"/>
      <c r="AF302" s="419"/>
      <c r="AG302" s="419"/>
      <c r="AH302" s="421"/>
      <c r="AI302" s="421"/>
      <c r="AJ302" s="419"/>
      <c r="AK302" s="419"/>
      <c r="AL302" s="421"/>
      <c r="AM302" s="421"/>
      <c r="AN302" s="419"/>
      <c r="AO302" s="419"/>
      <c r="AP302" s="421"/>
      <c r="AQ302" s="421"/>
      <c r="AR302" s="424">
        <f t="shared" si="121"/>
        <v>0</v>
      </c>
      <c r="AS302" s="422">
        <f t="shared" si="122"/>
        <v>0</v>
      </c>
      <c r="AT302" s="425">
        <f t="shared" si="123"/>
        <v>0</v>
      </c>
      <c r="AU302" s="423">
        <f t="shared" si="124"/>
        <v>0</v>
      </c>
      <c r="AV302" s="419"/>
      <c r="AW302" s="421"/>
      <c r="AX302" s="419"/>
      <c r="AY302" s="419"/>
      <c r="AZ302" s="421"/>
      <c r="BA302" s="421"/>
      <c r="BB302" s="419"/>
      <c r="BC302" s="419"/>
      <c r="BD302" s="421"/>
      <c r="BE302" s="421"/>
      <c r="BF302" s="419"/>
      <c r="BG302" s="419"/>
      <c r="BH302" s="421"/>
      <c r="BI302" s="421"/>
      <c r="BJ302" s="419"/>
      <c r="BK302" s="419"/>
      <c r="BL302" s="421"/>
      <c r="BM302" s="421"/>
      <c r="BN302" s="419"/>
      <c r="BO302" s="419"/>
      <c r="BP302" s="421"/>
      <c r="BQ302" s="421"/>
      <c r="BR302" s="419"/>
      <c r="BS302" s="419"/>
      <c r="BT302" s="421"/>
      <c r="BU302" s="421"/>
      <c r="BV302" s="419"/>
      <c r="BW302" s="419"/>
      <c r="BX302" s="421"/>
      <c r="BY302" s="421"/>
      <c r="BZ302" s="419"/>
      <c r="CA302" s="419"/>
      <c r="CB302" s="421"/>
      <c r="CC302" s="421"/>
      <c r="CD302" s="419"/>
      <c r="CE302" s="419"/>
      <c r="CF302" s="421"/>
      <c r="CG302" s="421"/>
      <c r="CH302" s="419"/>
      <c r="CI302" s="419"/>
      <c r="CJ302" s="421"/>
      <c r="CK302" s="421"/>
      <c r="CL302" s="419"/>
      <c r="CM302" s="421"/>
      <c r="CN302" s="424">
        <f t="shared" si="125"/>
        <v>0</v>
      </c>
      <c r="CO302" s="424">
        <f t="shared" si="126"/>
        <v>0</v>
      </c>
      <c r="CP302" s="425">
        <f t="shared" si="127"/>
        <v>0</v>
      </c>
      <c r="CQ302" s="425">
        <f t="shared" si="128"/>
        <v>0</v>
      </c>
      <c r="CR302" s="419"/>
      <c r="CS302" s="419"/>
      <c r="CT302" s="421"/>
      <c r="CU302" s="421"/>
      <c r="CV302" s="419"/>
      <c r="CW302" s="419"/>
      <c r="CX302" s="421"/>
      <c r="CY302" s="421"/>
      <c r="CZ302" s="419"/>
      <c r="DA302" s="419"/>
      <c r="DB302" s="421"/>
      <c r="DC302" s="421"/>
      <c r="DD302" s="419"/>
      <c r="DE302" s="419"/>
      <c r="DF302" s="421"/>
      <c r="DG302" s="421"/>
      <c r="DH302" s="419"/>
      <c r="DI302" s="419"/>
      <c r="DJ302" s="421"/>
      <c r="DK302" s="421"/>
      <c r="DL302" s="419"/>
      <c r="DM302" s="419"/>
      <c r="DN302" s="421"/>
      <c r="DO302" s="421"/>
      <c r="DP302" s="419"/>
      <c r="DQ302" s="419"/>
      <c r="DR302" s="421"/>
      <c r="DS302" s="421"/>
      <c r="DT302" s="419"/>
      <c r="DU302" s="419"/>
      <c r="DV302" s="421"/>
      <c r="DW302" s="421"/>
      <c r="DX302" s="419"/>
      <c r="DY302" s="419"/>
      <c r="DZ302" s="421"/>
      <c r="EA302" s="421"/>
      <c r="EB302" s="419"/>
      <c r="EC302" s="419"/>
      <c r="ED302" s="421"/>
      <c r="EE302" s="421"/>
      <c r="EF302" s="419"/>
      <c r="EG302" s="421"/>
      <c r="EH302" s="424">
        <f t="shared" si="129"/>
        <v>0</v>
      </c>
      <c r="EI302" s="424">
        <f t="shared" si="130"/>
        <v>0</v>
      </c>
      <c r="EJ302" s="422">
        <f t="shared" si="131"/>
        <v>0</v>
      </c>
      <c r="EK302" s="425">
        <f t="shared" si="132"/>
        <v>0</v>
      </c>
      <c r="EL302" s="425">
        <f t="shared" si="133"/>
        <v>0</v>
      </c>
      <c r="EM302" s="423">
        <f t="shared" si="134"/>
        <v>0</v>
      </c>
      <c r="EN302" s="424">
        <f t="shared" si="135"/>
        <v>0</v>
      </c>
      <c r="EO302" s="425">
        <f t="shared" si="136"/>
        <v>0</v>
      </c>
      <c r="EP302" s="419"/>
      <c r="EQ302" s="421"/>
      <c r="ER302" s="419"/>
      <c r="ES302" s="421"/>
      <c r="ET302" s="419"/>
      <c r="EU302" s="421"/>
      <c r="EV302" s="419"/>
      <c r="EW302" s="421"/>
      <c r="EX302" s="419"/>
      <c r="EY302" s="421"/>
      <c r="EZ302" s="419"/>
      <c r="FA302" s="421"/>
      <c r="FB302" s="419"/>
      <c r="FC302" s="421"/>
      <c r="FD302" s="419"/>
      <c r="FE302" s="421"/>
      <c r="FF302" s="419"/>
      <c r="FG302" s="421"/>
      <c r="FH302" s="419"/>
      <c r="FI302" s="421"/>
      <c r="FJ302" s="424">
        <f t="shared" si="137"/>
        <v>0</v>
      </c>
      <c r="FK302" s="425">
        <f t="shared" si="138"/>
        <v>0</v>
      </c>
      <c r="FL302" s="419"/>
      <c r="FM302" s="421"/>
      <c r="FN302" s="424">
        <f t="shared" si="139"/>
        <v>1425</v>
      </c>
      <c r="FO302" s="425">
        <f t="shared" si="140"/>
        <v>894</v>
      </c>
    </row>
    <row r="303" spans="1:171">
      <c r="A303" s="427" t="s">
        <v>163</v>
      </c>
      <c r="B303" s="57" t="s">
        <v>821</v>
      </c>
      <c r="C303" s="56" t="s">
        <v>822</v>
      </c>
      <c r="D303" s="55">
        <v>261375</v>
      </c>
      <c r="E303" s="55">
        <v>12</v>
      </c>
      <c r="F303" s="419">
        <v>511</v>
      </c>
      <c r="G303" s="420">
        <v>703</v>
      </c>
      <c r="H303" s="419">
        <v>16</v>
      </c>
      <c r="I303" s="421">
        <v>18</v>
      </c>
      <c r="J303" s="419"/>
      <c r="K303" s="421"/>
      <c r="L303" s="422">
        <f t="shared" si="119"/>
        <v>0</v>
      </c>
      <c r="M303" s="423">
        <f t="shared" si="120"/>
        <v>0</v>
      </c>
      <c r="N303" s="419"/>
      <c r="O303" s="309">
        <f>0</f>
        <v>0</v>
      </c>
      <c r="P303" s="309">
        <f>0</f>
        <v>0</v>
      </c>
      <c r="Q303" s="309">
        <f>0</f>
        <v>0</v>
      </c>
      <c r="R303" s="424">
        <f t="shared" si="117"/>
        <v>0</v>
      </c>
      <c r="S303" s="421"/>
      <c r="T303" s="301">
        <f>0</f>
        <v>0</v>
      </c>
      <c r="U303" s="301">
        <f>0</f>
        <v>0</v>
      </c>
      <c r="V303" s="301">
        <f>0</f>
        <v>0</v>
      </c>
      <c r="W303" s="425">
        <f t="shared" si="118"/>
        <v>0</v>
      </c>
      <c r="X303" s="419"/>
      <c r="Y303" s="419"/>
      <c r="Z303" s="421"/>
      <c r="AA303" s="421"/>
      <c r="AB303" s="419"/>
      <c r="AC303" s="419"/>
      <c r="AD303" s="421"/>
      <c r="AE303" s="421"/>
      <c r="AF303" s="419"/>
      <c r="AG303" s="419"/>
      <c r="AH303" s="421"/>
      <c r="AI303" s="421"/>
      <c r="AJ303" s="419"/>
      <c r="AK303" s="419"/>
      <c r="AL303" s="421"/>
      <c r="AM303" s="421"/>
      <c r="AN303" s="419"/>
      <c r="AO303" s="419"/>
      <c r="AP303" s="421"/>
      <c r="AQ303" s="421"/>
      <c r="AR303" s="424">
        <f t="shared" si="121"/>
        <v>0</v>
      </c>
      <c r="AS303" s="422">
        <f t="shared" si="122"/>
        <v>0</v>
      </c>
      <c r="AT303" s="425">
        <f t="shared" si="123"/>
        <v>0</v>
      </c>
      <c r="AU303" s="423">
        <f t="shared" si="124"/>
        <v>0</v>
      </c>
      <c r="AV303" s="419"/>
      <c r="AW303" s="421"/>
      <c r="AX303" s="419"/>
      <c r="AY303" s="419"/>
      <c r="AZ303" s="421"/>
      <c r="BA303" s="421"/>
      <c r="BB303" s="419"/>
      <c r="BC303" s="419"/>
      <c r="BD303" s="421"/>
      <c r="BE303" s="421"/>
      <c r="BF303" s="419"/>
      <c r="BG303" s="419"/>
      <c r="BH303" s="421"/>
      <c r="BI303" s="421"/>
      <c r="BJ303" s="419"/>
      <c r="BK303" s="419"/>
      <c r="BL303" s="421"/>
      <c r="BM303" s="421"/>
      <c r="BN303" s="419"/>
      <c r="BO303" s="419"/>
      <c r="BP303" s="421"/>
      <c r="BQ303" s="421"/>
      <c r="BR303" s="419"/>
      <c r="BS303" s="419"/>
      <c r="BT303" s="421"/>
      <c r="BU303" s="421"/>
      <c r="BV303" s="419"/>
      <c r="BW303" s="419"/>
      <c r="BX303" s="421"/>
      <c r="BY303" s="421"/>
      <c r="BZ303" s="419"/>
      <c r="CA303" s="419"/>
      <c r="CB303" s="421"/>
      <c r="CC303" s="421"/>
      <c r="CD303" s="419"/>
      <c r="CE303" s="419"/>
      <c r="CF303" s="421"/>
      <c r="CG303" s="421"/>
      <c r="CH303" s="419"/>
      <c r="CI303" s="419"/>
      <c r="CJ303" s="421"/>
      <c r="CK303" s="421"/>
      <c r="CL303" s="419"/>
      <c r="CM303" s="421"/>
      <c r="CN303" s="424">
        <f t="shared" si="125"/>
        <v>0</v>
      </c>
      <c r="CO303" s="424">
        <f t="shared" si="126"/>
        <v>0</v>
      </c>
      <c r="CP303" s="425">
        <f t="shared" si="127"/>
        <v>0</v>
      </c>
      <c r="CQ303" s="425">
        <f t="shared" si="128"/>
        <v>0</v>
      </c>
      <c r="CR303" s="419"/>
      <c r="CS303" s="419"/>
      <c r="CT303" s="421"/>
      <c r="CU303" s="421"/>
      <c r="CV303" s="419"/>
      <c r="CW303" s="419"/>
      <c r="CX303" s="421"/>
      <c r="CY303" s="421"/>
      <c r="CZ303" s="419"/>
      <c r="DA303" s="419"/>
      <c r="DB303" s="421"/>
      <c r="DC303" s="421"/>
      <c r="DD303" s="419"/>
      <c r="DE303" s="419"/>
      <c r="DF303" s="421"/>
      <c r="DG303" s="421"/>
      <c r="DH303" s="419"/>
      <c r="DI303" s="419"/>
      <c r="DJ303" s="421"/>
      <c r="DK303" s="421"/>
      <c r="DL303" s="419"/>
      <c r="DM303" s="419"/>
      <c r="DN303" s="421"/>
      <c r="DO303" s="421"/>
      <c r="DP303" s="419"/>
      <c r="DQ303" s="419"/>
      <c r="DR303" s="421"/>
      <c r="DS303" s="421"/>
      <c r="DT303" s="419"/>
      <c r="DU303" s="419"/>
      <c r="DV303" s="421"/>
      <c r="DW303" s="421"/>
      <c r="DX303" s="419"/>
      <c r="DY303" s="419"/>
      <c r="DZ303" s="421"/>
      <c r="EA303" s="421"/>
      <c r="EB303" s="419"/>
      <c r="EC303" s="419"/>
      <c r="ED303" s="421"/>
      <c r="EE303" s="421"/>
      <c r="EF303" s="419"/>
      <c r="EG303" s="421"/>
      <c r="EH303" s="424">
        <f t="shared" si="129"/>
        <v>0</v>
      </c>
      <c r="EI303" s="424">
        <f t="shared" si="130"/>
        <v>0</v>
      </c>
      <c r="EJ303" s="422">
        <f t="shared" si="131"/>
        <v>0</v>
      </c>
      <c r="EK303" s="425">
        <f t="shared" si="132"/>
        <v>0</v>
      </c>
      <c r="EL303" s="425">
        <f t="shared" si="133"/>
        <v>0</v>
      </c>
      <c r="EM303" s="423">
        <f t="shared" si="134"/>
        <v>0</v>
      </c>
      <c r="EN303" s="424">
        <f t="shared" si="135"/>
        <v>0</v>
      </c>
      <c r="EO303" s="425">
        <f t="shared" si="136"/>
        <v>0</v>
      </c>
      <c r="EP303" s="419"/>
      <c r="EQ303" s="421"/>
      <c r="ER303" s="419"/>
      <c r="ES303" s="421"/>
      <c r="ET303" s="419"/>
      <c r="EU303" s="421"/>
      <c r="EV303" s="419"/>
      <c r="EW303" s="421"/>
      <c r="EX303" s="419"/>
      <c r="EY303" s="421"/>
      <c r="EZ303" s="419"/>
      <c r="FA303" s="421"/>
      <c r="FB303" s="419"/>
      <c r="FC303" s="421"/>
      <c r="FD303" s="419"/>
      <c r="FE303" s="421"/>
      <c r="FF303" s="419"/>
      <c r="FG303" s="421"/>
      <c r="FH303" s="419"/>
      <c r="FI303" s="421"/>
      <c r="FJ303" s="424">
        <f t="shared" si="137"/>
        <v>0</v>
      </c>
      <c r="FK303" s="425">
        <f t="shared" si="138"/>
        <v>0</v>
      </c>
      <c r="FL303" s="419"/>
      <c r="FM303" s="421"/>
      <c r="FN303" s="424">
        <f t="shared" si="139"/>
        <v>527</v>
      </c>
      <c r="FO303" s="425">
        <f t="shared" si="140"/>
        <v>721</v>
      </c>
    </row>
    <row r="304" spans="1:171">
      <c r="A304" s="427" t="s">
        <v>163</v>
      </c>
      <c r="B304" s="57" t="s">
        <v>823</v>
      </c>
      <c r="C304" s="56"/>
      <c r="D304" s="55">
        <v>365213</v>
      </c>
      <c r="E304" s="55">
        <v>13</v>
      </c>
      <c r="F304" s="419">
        <v>194</v>
      </c>
      <c r="G304" s="420">
        <v>257</v>
      </c>
      <c r="H304" s="419">
        <v>6</v>
      </c>
      <c r="I304" s="420"/>
      <c r="J304" s="419"/>
      <c r="K304" s="421"/>
      <c r="L304" s="422">
        <f t="shared" si="119"/>
        <v>0</v>
      </c>
      <c r="M304" s="423">
        <f t="shared" si="120"/>
        <v>0</v>
      </c>
      <c r="N304" s="419"/>
      <c r="O304" s="309">
        <f>0</f>
        <v>0</v>
      </c>
      <c r="P304" s="309">
        <f>0</f>
        <v>0</v>
      </c>
      <c r="Q304" s="309">
        <f>0</f>
        <v>0</v>
      </c>
      <c r="R304" s="424">
        <f t="shared" si="117"/>
        <v>0</v>
      </c>
      <c r="S304" s="421"/>
      <c r="T304" s="301">
        <f>0</f>
        <v>0</v>
      </c>
      <c r="U304" s="301">
        <f>0</f>
        <v>0</v>
      </c>
      <c r="V304" s="301">
        <f>0</f>
        <v>0</v>
      </c>
      <c r="W304" s="425">
        <f t="shared" si="118"/>
        <v>0</v>
      </c>
      <c r="X304" s="419"/>
      <c r="Y304" s="419"/>
      <c r="Z304" s="421"/>
      <c r="AA304" s="421"/>
      <c r="AB304" s="419"/>
      <c r="AC304" s="419"/>
      <c r="AD304" s="421"/>
      <c r="AE304" s="421"/>
      <c r="AF304" s="419"/>
      <c r="AG304" s="419"/>
      <c r="AH304" s="421"/>
      <c r="AI304" s="421"/>
      <c r="AJ304" s="419"/>
      <c r="AK304" s="419"/>
      <c r="AL304" s="421"/>
      <c r="AM304" s="421"/>
      <c r="AN304" s="419"/>
      <c r="AO304" s="419"/>
      <c r="AP304" s="421"/>
      <c r="AQ304" s="421"/>
      <c r="AR304" s="424">
        <f t="shared" si="121"/>
        <v>0</v>
      </c>
      <c r="AS304" s="422">
        <f t="shared" si="122"/>
        <v>0</v>
      </c>
      <c r="AT304" s="425">
        <f t="shared" si="123"/>
        <v>0</v>
      </c>
      <c r="AU304" s="423">
        <f t="shared" si="124"/>
        <v>0</v>
      </c>
      <c r="AV304" s="419"/>
      <c r="AW304" s="421"/>
      <c r="AX304" s="419"/>
      <c r="AY304" s="419"/>
      <c r="AZ304" s="421"/>
      <c r="BA304" s="421"/>
      <c r="BB304" s="419"/>
      <c r="BC304" s="419"/>
      <c r="BD304" s="421"/>
      <c r="BE304" s="421"/>
      <c r="BF304" s="419"/>
      <c r="BG304" s="419"/>
      <c r="BH304" s="421"/>
      <c r="BI304" s="421"/>
      <c r="BJ304" s="419"/>
      <c r="BK304" s="419"/>
      <c r="BL304" s="421"/>
      <c r="BM304" s="421"/>
      <c r="BN304" s="419"/>
      <c r="BO304" s="419"/>
      <c r="BP304" s="421"/>
      <c r="BQ304" s="421"/>
      <c r="BR304" s="419"/>
      <c r="BS304" s="419"/>
      <c r="BT304" s="421"/>
      <c r="BU304" s="421"/>
      <c r="BV304" s="419"/>
      <c r="BW304" s="419"/>
      <c r="BX304" s="421"/>
      <c r="BY304" s="421"/>
      <c r="BZ304" s="419"/>
      <c r="CA304" s="419"/>
      <c r="CB304" s="421"/>
      <c r="CC304" s="421"/>
      <c r="CD304" s="419"/>
      <c r="CE304" s="419"/>
      <c r="CF304" s="421"/>
      <c r="CG304" s="421"/>
      <c r="CH304" s="419"/>
      <c r="CI304" s="419"/>
      <c r="CJ304" s="421"/>
      <c r="CK304" s="421"/>
      <c r="CL304" s="419"/>
      <c r="CM304" s="421"/>
      <c r="CN304" s="424">
        <f t="shared" si="125"/>
        <v>0</v>
      </c>
      <c r="CO304" s="424">
        <f t="shared" si="126"/>
        <v>0</v>
      </c>
      <c r="CP304" s="425">
        <f t="shared" si="127"/>
        <v>0</v>
      </c>
      <c r="CQ304" s="425">
        <f t="shared" si="128"/>
        <v>0</v>
      </c>
      <c r="CR304" s="419"/>
      <c r="CS304" s="419"/>
      <c r="CT304" s="421"/>
      <c r="CU304" s="421"/>
      <c r="CV304" s="419"/>
      <c r="CW304" s="419"/>
      <c r="CX304" s="421"/>
      <c r="CY304" s="421"/>
      <c r="CZ304" s="419"/>
      <c r="DA304" s="419"/>
      <c r="DB304" s="421"/>
      <c r="DC304" s="421"/>
      <c r="DD304" s="419"/>
      <c r="DE304" s="419"/>
      <c r="DF304" s="421"/>
      <c r="DG304" s="421"/>
      <c r="DH304" s="419"/>
      <c r="DI304" s="419"/>
      <c r="DJ304" s="421"/>
      <c r="DK304" s="421"/>
      <c r="DL304" s="419"/>
      <c r="DM304" s="419"/>
      <c r="DN304" s="421"/>
      <c r="DO304" s="421"/>
      <c r="DP304" s="419"/>
      <c r="DQ304" s="419"/>
      <c r="DR304" s="421"/>
      <c r="DS304" s="421"/>
      <c r="DT304" s="419"/>
      <c r="DU304" s="419"/>
      <c r="DV304" s="421"/>
      <c r="DW304" s="421"/>
      <c r="DX304" s="419"/>
      <c r="DY304" s="419"/>
      <c r="DZ304" s="421"/>
      <c r="EA304" s="421"/>
      <c r="EB304" s="419"/>
      <c r="EC304" s="419"/>
      <c r="ED304" s="421"/>
      <c r="EE304" s="421"/>
      <c r="EF304" s="419"/>
      <c r="EG304" s="421"/>
      <c r="EH304" s="424">
        <f t="shared" si="129"/>
        <v>0</v>
      </c>
      <c r="EI304" s="424">
        <f t="shared" si="130"/>
        <v>0</v>
      </c>
      <c r="EJ304" s="422">
        <f t="shared" si="131"/>
        <v>0</v>
      </c>
      <c r="EK304" s="425">
        <f t="shared" si="132"/>
        <v>0</v>
      </c>
      <c r="EL304" s="425">
        <f t="shared" si="133"/>
        <v>0</v>
      </c>
      <c r="EM304" s="423">
        <f t="shared" si="134"/>
        <v>0</v>
      </c>
      <c r="EN304" s="424">
        <f t="shared" si="135"/>
        <v>0</v>
      </c>
      <c r="EO304" s="425">
        <f t="shared" si="136"/>
        <v>0</v>
      </c>
      <c r="EP304" s="419"/>
      <c r="EQ304" s="421"/>
      <c r="ER304" s="419"/>
      <c r="ES304" s="421"/>
      <c r="ET304" s="419"/>
      <c r="EU304" s="421"/>
      <c r="EV304" s="419"/>
      <c r="EW304" s="421"/>
      <c r="EX304" s="419"/>
      <c r="EY304" s="421"/>
      <c r="EZ304" s="419"/>
      <c r="FA304" s="421"/>
      <c r="FB304" s="419"/>
      <c r="FC304" s="421"/>
      <c r="FD304" s="419"/>
      <c r="FE304" s="421"/>
      <c r="FF304" s="419"/>
      <c r="FG304" s="421"/>
      <c r="FH304" s="419"/>
      <c r="FI304" s="421"/>
      <c r="FJ304" s="424">
        <f t="shared" si="137"/>
        <v>0</v>
      </c>
      <c r="FK304" s="425">
        <f t="shared" si="138"/>
        <v>0</v>
      </c>
      <c r="FL304" s="419"/>
      <c r="FM304" s="421"/>
      <c r="FN304" s="424">
        <f t="shared" si="139"/>
        <v>200</v>
      </c>
      <c r="FO304" s="425">
        <f t="shared" si="140"/>
        <v>257</v>
      </c>
    </row>
    <row r="305" spans="1:171">
      <c r="A305" s="427" t="s">
        <v>163</v>
      </c>
      <c r="B305" s="57" t="s">
        <v>824</v>
      </c>
      <c r="C305" s="56"/>
      <c r="D305" s="55">
        <v>364946</v>
      </c>
      <c r="E305" s="55">
        <v>13</v>
      </c>
      <c r="F305" s="419">
        <v>174</v>
      </c>
      <c r="G305" s="421">
        <v>141</v>
      </c>
      <c r="H305" s="419"/>
      <c r="I305" s="421"/>
      <c r="J305" s="419"/>
      <c r="K305" s="421"/>
      <c r="L305" s="422">
        <f t="shared" si="119"/>
        <v>0</v>
      </c>
      <c r="M305" s="423">
        <f t="shared" si="120"/>
        <v>0</v>
      </c>
      <c r="N305" s="419"/>
      <c r="O305" s="309">
        <f>0</f>
        <v>0</v>
      </c>
      <c r="P305" s="309">
        <f>0</f>
        <v>0</v>
      </c>
      <c r="Q305" s="309">
        <f>0</f>
        <v>0</v>
      </c>
      <c r="R305" s="424">
        <f t="shared" si="117"/>
        <v>0</v>
      </c>
      <c r="S305" s="421"/>
      <c r="T305" s="301">
        <f>0</f>
        <v>0</v>
      </c>
      <c r="U305" s="301">
        <f>0</f>
        <v>0</v>
      </c>
      <c r="V305" s="301">
        <f>0</f>
        <v>0</v>
      </c>
      <c r="W305" s="425">
        <f t="shared" si="118"/>
        <v>0</v>
      </c>
      <c r="X305" s="419"/>
      <c r="Y305" s="419"/>
      <c r="Z305" s="421"/>
      <c r="AA305" s="421"/>
      <c r="AB305" s="419"/>
      <c r="AC305" s="419"/>
      <c r="AD305" s="421"/>
      <c r="AE305" s="421"/>
      <c r="AF305" s="419"/>
      <c r="AG305" s="419"/>
      <c r="AH305" s="421"/>
      <c r="AI305" s="421"/>
      <c r="AJ305" s="419"/>
      <c r="AK305" s="419"/>
      <c r="AL305" s="421"/>
      <c r="AM305" s="421"/>
      <c r="AN305" s="419"/>
      <c r="AO305" s="419"/>
      <c r="AP305" s="421"/>
      <c r="AQ305" s="421"/>
      <c r="AR305" s="424">
        <f t="shared" si="121"/>
        <v>0</v>
      </c>
      <c r="AS305" s="422">
        <f t="shared" si="122"/>
        <v>0</v>
      </c>
      <c r="AT305" s="425">
        <f t="shared" si="123"/>
        <v>0</v>
      </c>
      <c r="AU305" s="423">
        <f t="shared" si="124"/>
        <v>0</v>
      </c>
      <c r="AV305" s="419"/>
      <c r="AW305" s="421"/>
      <c r="AX305" s="419"/>
      <c r="AY305" s="419"/>
      <c r="AZ305" s="421"/>
      <c r="BA305" s="421"/>
      <c r="BB305" s="419"/>
      <c r="BC305" s="419"/>
      <c r="BD305" s="421"/>
      <c r="BE305" s="421"/>
      <c r="BF305" s="419"/>
      <c r="BG305" s="419"/>
      <c r="BH305" s="421"/>
      <c r="BI305" s="421"/>
      <c r="BJ305" s="419"/>
      <c r="BK305" s="419"/>
      <c r="BL305" s="421"/>
      <c r="BM305" s="421"/>
      <c r="BN305" s="419"/>
      <c r="BO305" s="419"/>
      <c r="BP305" s="421"/>
      <c r="BQ305" s="421"/>
      <c r="BR305" s="419"/>
      <c r="BS305" s="419"/>
      <c r="BT305" s="421"/>
      <c r="BU305" s="421"/>
      <c r="BV305" s="419"/>
      <c r="BW305" s="419"/>
      <c r="BX305" s="421"/>
      <c r="BY305" s="421"/>
      <c r="BZ305" s="419"/>
      <c r="CA305" s="419"/>
      <c r="CB305" s="421"/>
      <c r="CC305" s="421"/>
      <c r="CD305" s="419"/>
      <c r="CE305" s="419"/>
      <c r="CF305" s="421"/>
      <c r="CG305" s="421"/>
      <c r="CH305" s="419"/>
      <c r="CI305" s="419"/>
      <c r="CJ305" s="421"/>
      <c r="CK305" s="421"/>
      <c r="CL305" s="419"/>
      <c r="CM305" s="421"/>
      <c r="CN305" s="424">
        <f t="shared" si="125"/>
        <v>0</v>
      </c>
      <c r="CO305" s="424">
        <f t="shared" si="126"/>
        <v>0</v>
      </c>
      <c r="CP305" s="425">
        <f t="shared" si="127"/>
        <v>0</v>
      </c>
      <c r="CQ305" s="425">
        <f t="shared" si="128"/>
        <v>0</v>
      </c>
      <c r="CR305" s="419"/>
      <c r="CS305" s="419"/>
      <c r="CT305" s="421"/>
      <c r="CU305" s="421"/>
      <c r="CV305" s="419"/>
      <c r="CW305" s="419"/>
      <c r="CX305" s="421"/>
      <c r="CY305" s="421"/>
      <c r="CZ305" s="419"/>
      <c r="DA305" s="419"/>
      <c r="DB305" s="421"/>
      <c r="DC305" s="421"/>
      <c r="DD305" s="419"/>
      <c r="DE305" s="419"/>
      <c r="DF305" s="421"/>
      <c r="DG305" s="421"/>
      <c r="DH305" s="419"/>
      <c r="DI305" s="419"/>
      <c r="DJ305" s="421"/>
      <c r="DK305" s="421"/>
      <c r="DL305" s="419"/>
      <c r="DM305" s="419"/>
      <c r="DN305" s="421"/>
      <c r="DO305" s="421"/>
      <c r="DP305" s="419"/>
      <c r="DQ305" s="419"/>
      <c r="DR305" s="421"/>
      <c r="DS305" s="421"/>
      <c r="DT305" s="419"/>
      <c r="DU305" s="419"/>
      <c r="DV305" s="421"/>
      <c r="DW305" s="421"/>
      <c r="DX305" s="419"/>
      <c r="DY305" s="419"/>
      <c r="DZ305" s="421"/>
      <c r="EA305" s="421"/>
      <c r="EB305" s="419"/>
      <c r="EC305" s="419"/>
      <c r="ED305" s="421"/>
      <c r="EE305" s="421"/>
      <c r="EF305" s="419"/>
      <c r="EG305" s="421"/>
      <c r="EH305" s="424">
        <f t="shared" si="129"/>
        <v>0</v>
      </c>
      <c r="EI305" s="424">
        <f t="shared" si="130"/>
        <v>0</v>
      </c>
      <c r="EJ305" s="422">
        <f t="shared" si="131"/>
        <v>0</v>
      </c>
      <c r="EK305" s="425">
        <f t="shared" si="132"/>
        <v>0</v>
      </c>
      <c r="EL305" s="425">
        <f t="shared" si="133"/>
        <v>0</v>
      </c>
      <c r="EM305" s="423">
        <f t="shared" si="134"/>
        <v>0</v>
      </c>
      <c r="EN305" s="424">
        <f t="shared" si="135"/>
        <v>0</v>
      </c>
      <c r="EO305" s="425">
        <f t="shared" si="136"/>
        <v>0</v>
      </c>
      <c r="EP305" s="419"/>
      <c r="EQ305" s="421"/>
      <c r="ER305" s="419"/>
      <c r="ES305" s="421"/>
      <c r="ET305" s="419"/>
      <c r="EU305" s="421"/>
      <c r="EV305" s="419"/>
      <c r="EW305" s="421"/>
      <c r="EX305" s="419"/>
      <c r="EY305" s="421"/>
      <c r="EZ305" s="419"/>
      <c r="FA305" s="421"/>
      <c r="FB305" s="419"/>
      <c r="FC305" s="421"/>
      <c r="FD305" s="419"/>
      <c r="FE305" s="421"/>
      <c r="FF305" s="419"/>
      <c r="FG305" s="421"/>
      <c r="FH305" s="419"/>
      <c r="FI305" s="421"/>
      <c r="FJ305" s="424">
        <f t="shared" si="137"/>
        <v>0</v>
      </c>
      <c r="FK305" s="425">
        <f t="shared" si="138"/>
        <v>0</v>
      </c>
      <c r="FL305" s="419"/>
      <c r="FM305" s="421"/>
      <c r="FN305" s="424">
        <f t="shared" si="139"/>
        <v>174</v>
      </c>
      <c r="FO305" s="425">
        <f t="shared" si="140"/>
        <v>141</v>
      </c>
    </row>
    <row r="306" spans="1:171">
      <c r="A306" s="427" t="s">
        <v>163</v>
      </c>
      <c r="B306" s="57" t="s">
        <v>825</v>
      </c>
      <c r="C306" s="56"/>
      <c r="D306" s="55">
        <v>246017</v>
      </c>
      <c r="E306" s="55">
        <v>13</v>
      </c>
      <c r="F306" s="419">
        <v>522</v>
      </c>
      <c r="G306" s="420">
        <v>662</v>
      </c>
      <c r="H306" s="419"/>
      <c r="I306" s="421"/>
      <c r="J306" s="419"/>
      <c r="K306" s="421"/>
      <c r="L306" s="422">
        <f t="shared" si="119"/>
        <v>0</v>
      </c>
      <c r="M306" s="423">
        <f t="shared" si="120"/>
        <v>0</v>
      </c>
      <c r="N306" s="419"/>
      <c r="O306" s="309">
        <f>0</f>
        <v>0</v>
      </c>
      <c r="P306" s="309">
        <f>0</f>
        <v>0</v>
      </c>
      <c r="Q306" s="309">
        <f>0</f>
        <v>0</v>
      </c>
      <c r="R306" s="424">
        <f t="shared" si="117"/>
        <v>0</v>
      </c>
      <c r="S306" s="421"/>
      <c r="T306" s="301">
        <f>0</f>
        <v>0</v>
      </c>
      <c r="U306" s="301">
        <f>0</f>
        <v>0</v>
      </c>
      <c r="V306" s="301">
        <f>0</f>
        <v>0</v>
      </c>
      <c r="W306" s="425">
        <f t="shared" si="118"/>
        <v>0</v>
      </c>
      <c r="X306" s="419"/>
      <c r="Y306" s="419"/>
      <c r="Z306" s="421"/>
      <c r="AA306" s="421"/>
      <c r="AB306" s="419"/>
      <c r="AC306" s="419"/>
      <c r="AD306" s="421"/>
      <c r="AE306" s="421"/>
      <c r="AF306" s="419"/>
      <c r="AG306" s="419"/>
      <c r="AH306" s="421"/>
      <c r="AI306" s="421"/>
      <c r="AJ306" s="419"/>
      <c r="AK306" s="419"/>
      <c r="AL306" s="421"/>
      <c r="AM306" s="421"/>
      <c r="AN306" s="419"/>
      <c r="AO306" s="419"/>
      <c r="AP306" s="421"/>
      <c r="AQ306" s="421"/>
      <c r="AR306" s="424">
        <f t="shared" si="121"/>
        <v>0</v>
      </c>
      <c r="AS306" s="422">
        <f t="shared" si="122"/>
        <v>0</v>
      </c>
      <c r="AT306" s="425">
        <f t="shared" si="123"/>
        <v>0</v>
      </c>
      <c r="AU306" s="423">
        <f t="shared" si="124"/>
        <v>0</v>
      </c>
      <c r="AV306" s="419"/>
      <c r="AW306" s="421"/>
      <c r="AX306" s="419"/>
      <c r="AY306" s="419"/>
      <c r="AZ306" s="421"/>
      <c r="BA306" s="421"/>
      <c r="BB306" s="419"/>
      <c r="BC306" s="419"/>
      <c r="BD306" s="421"/>
      <c r="BE306" s="421"/>
      <c r="BF306" s="419"/>
      <c r="BG306" s="419"/>
      <c r="BH306" s="421"/>
      <c r="BI306" s="421"/>
      <c r="BJ306" s="419"/>
      <c r="BK306" s="419"/>
      <c r="BL306" s="421"/>
      <c r="BM306" s="421"/>
      <c r="BN306" s="419"/>
      <c r="BO306" s="419"/>
      <c r="BP306" s="421"/>
      <c r="BQ306" s="421"/>
      <c r="BR306" s="419"/>
      <c r="BS306" s="419"/>
      <c r="BT306" s="421"/>
      <c r="BU306" s="421"/>
      <c r="BV306" s="419"/>
      <c r="BW306" s="419"/>
      <c r="BX306" s="421"/>
      <c r="BY306" s="421"/>
      <c r="BZ306" s="419"/>
      <c r="CA306" s="419"/>
      <c r="CB306" s="421"/>
      <c r="CC306" s="421"/>
      <c r="CD306" s="419"/>
      <c r="CE306" s="419"/>
      <c r="CF306" s="421"/>
      <c r="CG306" s="421"/>
      <c r="CH306" s="419"/>
      <c r="CI306" s="419"/>
      <c r="CJ306" s="421"/>
      <c r="CK306" s="421"/>
      <c r="CL306" s="419"/>
      <c r="CM306" s="421"/>
      <c r="CN306" s="424">
        <f t="shared" si="125"/>
        <v>0</v>
      </c>
      <c r="CO306" s="424">
        <f t="shared" si="126"/>
        <v>0</v>
      </c>
      <c r="CP306" s="425">
        <f t="shared" si="127"/>
        <v>0</v>
      </c>
      <c r="CQ306" s="425">
        <f t="shared" si="128"/>
        <v>0</v>
      </c>
      <c r="CR306" s="419"/>
      <c r="CS306" s="419"/>
      <c r="CT306" s="421"/>
      <c r="CU306" s="421"/>
      <c r="CV306" s="419"/>
      <c r="CW306" s="419"/>
      <c r="CX306" s="421"/>
      <c r="CY306" s="421"/>
      <c r="CZ306" s="419"/>
      <c r="DA306" s="419"/>
      <c r="DB306" s="421"/>
      <c r="DC306" s="421"/>
      <c r="DD306" s="419"/>
      <c r="DE306" s="419"/>
      <c r="DF306" s="421"/>
      <c r="DG306" s="421"/>
      <c r="DH306" s="419"/>
      <c r="DI306" s="419"/>
      <c r="DJ306" s="421"/>
      <c r="DK306" s="421"/>
      <c r="DL306" s="419"/>
      <c r="DM306" s="419"/>
      <c r="DN306" s="421"/>
      <c r="DO306" s="421"/>
      <c r="DP306" s="419"/>
      <c r="DQ306" s="419"/>
      <c r="DR306" s="421"/>
      <c r="DS306" s="421"/>
      <c r="DT306" s="419"/>
      <c r="DU306" s="419"/>
      <c r="DV306" s="421"/>
      <c r="DW306" s="421"/>
      <c r="DX306" s="419"/>
      <c r="DY306" s="419"/>
      <c r="DZ306" s="421"/>
      <c r="EA306" s="421"/>
      <c r="EB306" s="419"/>
      <c r="EC306" s="419"/>
      <c r="ED306" s="421"/>
      <c r="EE306" s="421"/>
      <c r="EF306" s="419"/>
      <c r="EG306" s="421"/>
      <c r="EH306" s="424">
        <f t="shared" si="129"/>
        <v>0</v>
      </c>
      <c r="EI306" s="424">
        <f t="shared" si="130"/>
        <v>0</v>
      </c>
      <c r="EJ306" s="422">
        <f t="shared" si="131"/>
        <v>0</v>
      </c>
      <c r="EK306" s="425">
        <f t="shared" si="132"/>
        <v>0</v>
      </c>
      <c r="EL306" s="425">
        <f t="shared" si="133"/>
        <v>0</v>
      </c>
      <c r="EM306" s="423">
        <f t="shared" si="134"/>
        <v>0</v>
      </c>
      <c r="EN306" s="424">
        <f t="shared" si="135"/>
        <v>0</v>
      </c>
      <c r="EO306" s="425">
        <f t="shared" si="136"/>
        <v>0</v>
      </c>
      <c r="EP306" s="419"/>
      <c r="EQ306" s="421"/>
      <c r="ER306" s="419"/>
      <c r="ES306" s="421"/>
      <c r="ET306" s="419"/>
      <c r="EU306" s="421"/>
      <c r="EV306" s="419"/>
      <c r="EW306" s="421"/>
      <c r="EX306" s="419"/>
      <c r="EY306" s="421"/>
      <c r="EZ306" s="419"/>
      <c r="FA306" s="421"/>
      <c r="FB306" s="419"/>
      <c r="FC306" s="421"/>
      <c r="FD306" s="419"/>
      <c r="FE306" s="421"/>
      <c r="FF306" s="419"/>
      <c r="FG306" s="421"/>
      <c r="FH306" s="419"/>
      <c r="FI306" s="421"/>
      <c r="FJ306" s="424">
        <f t="shared" si="137"/>
        <v>0</v>
      </c>
      <c r="FK306" s="425">
        <f t="shared" si="138"/>
        <v>0</v>
      </c>
      <c r="FL306" s="419"/>
      <c r="FM306" s="421"/>
      <c r="FN306" s="424">
        <f t="shared" si="139"/>
        <v>522</v>
      </c>
      <c r="FO306" s="425">
        <f t="shared" si="140"/>
        <v>662</v>
      </c>
    </row>
    <row r="307" spans="1:171">
      <c r="A307" s="427" t="s">
        <v>163</v>
      </c>
      <c r="B307" s="57" t="s">
        <v>826</v>
      </c>
      <c r="C307" s="56"/>
      <c r="D307" s="55">
        <v>375656</v>
      </c>
      <c r="E307" s="55">
        <v>13</v>
      </c>
      <c r="F307" s="419">
        <v>118</v>
      </c>
      <c r="G307" s="420">
        <v>68</v>
      </c>
      <c r="H307" s="419"/>
      <c r="I307" s="421"/>
      <c r="J307" s="419"/>
      <c r="K307" s="421"/>
      <c r="L307" s="422">
        <f t="shared" si="119"/>
        <v>0</v>
      </c>
      <c r="M307" s="423">
        <f t="shared" si="120"/>
        <v>0</v>
      </c>
      <c r="N307" s="419"/>
      <c r="O307" s="309">
        <f>0</f>
        <v>0</v>
      </c>
      <c r="P307" s="309">
        <f>0</f>
        <v>0</v>
      </c>
      <c r="Q307" s="309">
        <f>0</f>
        <v>0</v>
      </c>
      <c r="R307" s="424">
        <f t="shared" si="117"/>
        <v>0</v>
      </c>
      <c r="S307" s="421"/>
      <c r="T307" s="301">
        <f>0</f>
        <v>0</v>
      </c>
      <c r="U307" s="301">
        <f>0</f>
        <v>0</v>
      </c>
      <c r="V307" s="301">
        <f>0</f>
        <v>0</v>
      </c>
      <c r="W307" s="425">
        <f t="shared" si="118"/>
        <v>0</v>
      </c>
      <c r="X307" s="419"/>
      <c r="Y307" s="419"/>
      <c r="Z307" s="421"/>
      <c r="AA307" s="421"/>
      <c r="AB307" s="419"/>
      <c r="AC307" s="419"/>
      <c r="AD307" s="421"/>
      <c r="AE307" s="421"/>
      <c r="AF307" s="419"/>
      <c r="AG307" s="419"/>
      <c r="AH307" s="421"/>
      <c r="AI307" s="421"/>
      <c r="AJ307" s="419"/>
      <c r="AK307" s="419"/>
      <c r="AL307" s="421"/>
      <c r="AM307" s="421"/>
      <c r="AN307" s="419"/>
      <c r="AO307" s="419"/>
      <c r="AP307" s="421"/>
      <c r="AQ307" s="421"/>
      <c r="AR307" s="424">
        <f t="shared" si="121"/>
        <v>0</v>
      </c>
      <c r="AS307" s="422">
        <f t="shared" si="122"/>
        <v>0</v>
      </c>
      <c r="AT307" s="425">
        <f t="shared" si="123"/>
        <v>0</v>
      </c>
      <c r="AU307" s="423">
        <f t="shared" si="124"/>
        <v>0</v>
      </c>
      <c r="AV307" s="419"/>
      <c r="AW307" s="421"/>
      <c r="AX307" s="419"/>
      <c r="AY307" s="419"/>
      <c r="AZ307" s="421"/>
      <c r="BA307" s="421"/>
      <c r="BB307" s="419"/>
      <c r="BC307" s="419"/>
      <c r="BD307" s="421"/>
      <c r="BE307" s="421"/>
      <c r="BF307" s="419"/>
      <c r="BG307" s="419"/>
      <c r="BH307" s="421"/>
      <c r="BI307" s="421"/>
      <c r="BJ307" s="419"/>
      <c r="BK307" s="419"/>
      <c r="BL307" s="421"/>
      <c r="BM307" s="421"/>
      <c r="BN307" s="419"/>
      <c r="BO307" s="419"/>
      <c r="BP307" s="421"/>
      <c r="BQ307" s="421"/>
      <c r="BR307" s="419"/>
      <c r="BS307" s="419"/>
      <c r="BT307" s="421"/>
      <c r="BU307" s="421"/>
      <c r="BV307" s="419"/>
      <c r="BW307" s="419"/>
      <c r="BX307" s="421"/>
      <c r="BY307" s="421"/>
      <c r="BZ307" s="419"/>
      <c r="CA307" s="419"/>
      <c r="CB307" s="421"/>
      <c r="CC307" s="421"/>
      <c r="CD307" s="419"/>
      <c r="CE307" s="419"/>
      <c r="CF307" s="421"/>
      <c r="CG307" s="421"/>
      <c r="CH307" s="419"/>
      <c r="CI307" s="419"/>
      <c r="CJ307" s="421"/>
      <c r="CK307" s="421"/>
      <c r="CL307" s="419"/>
      <c r="CM307" s="421"/>
      <c r="CN307" s="424">
        <f t="shared" si="125"/>
        <v>0</v>
      </c>
      <c r="CO307" s="424">
        <f t="shared" si="126"/>
        <v>0</v>
      </c>
      <c r="CP307" s="425">
        <f t="shared" si="127"/>
        <v>0</v>
      </c>
      <c r="CQ307" s="425">
        <f t="shared" si="128"/>
        <v>0</v>
      </c>
      <c r="CR307" s="419"/>
      <c r="CS307" s="419"/>
      <c r="CT307" s="421"/>
      <c r="CU307" s="421"/>
      <c r="CV307" s="419"/>
      <c r="CW307" s="419"/>
      <c r="CX307" s="421"/>
      <c r="CY307" s="421"/>
      <c r="CZ307" s="419"/>
      <c r="DA307" s="419"/>
      <c r="DB307" s="421"/>
      <c r="DC307" s="421"/>
      <c r="DD307" s="419"/>
      <c r="DE307" s="419"/>
      <c r="DF307" s="421"/>
      <c r="DG307" s="421"/>
      <c r="DH307" s="419"/>
      <c r="DI307" s="419"/>
      <c r="DJ307" s="421"/>
      <c r="DK307" s="421"/>
      <c r="DL307" s="419"/>
      <c r="DM307" s="419"/>
      <c r="DN307" s="421"/>
      <c r="DO307" s="421"/>
      <c r="DP307" s="419"/>
      <c r="DQ307" s="419"/>
      <c r="DR307" s="421"/>
      <c r="DS307" s="421"/>
      <c r="DT307" s="419"/>
      <c r="DU307" s="419"/>
      <c r="DV307" s="421"/>
      <c r="DW307" s="421"/>
      <c r="DX307" s="419"/>
      <c r="DY307" s="419"/>
      <c r="DZ307" s="421"/>
      <c r="EA307" s="421"/>
      <c r="EB307" s="419"/>
      <c r="EC307" s="419"/>
      <c r="ED307" s="421"/>
      <c r="EE307" s="421"/>
      <c r="EF307" s="419"/>
      <c r="EG307" s="421"/>
      <c r="EH307" s="424">
        <f t="shared" si="129"/>
        <v>0</v>
      </c>
      <c r="EI307" s="424">
        <f t="shared" si="130"/>
        <v>0</v>
      </c>
      <c r="EJ307" s="422">
        <f t="shared" si="131"/>
        <v>0</v>
      </c>
      <c r="EK307" s="425">
        <f t="shared" si="132"/>
        <v>0</v>
      </c>
      <c r="EL307" s="425">
        <f t="shared" si="133"/>
        <v>0</v>
      </c>
      <c r="EM307" s="423">
        <f t="shared" si="134"/>
        <v>0</v>
      </c>
      <c r="EN307" s="424">
        <f t="shared" si="135"/>
        <v>0</v>
      </c>
      <c r="EO307" s="425">
        <f t="shared" si="136"/>
        <v>0</v>
      </c>
      <c r="EP307" s="419"/>
      <c r="EQ307" s="421"/>
      <c r="ER307" s="419"/>
      <c r="ES307" s="421"/>
      <c r="ET307" s="419"/>
      <c r="EU307" s="421"/>
      <c r="EV307" s="419"/>
      <c r="EW307" s="421"/>
      <c r="EX307" s="419"/>
      <c r="EY307" s="421"/>
      <c r="EZ307" s="419"/>
      <c r="FA307" s="421"/>
      <c r="FB307" s="419"/>
      <c r="FC307" s="421"/>
      <c r="FD307" s="419"/>
      <c r="FE307" s="421"/>
      <c r="FF307" s="419"/>
      <c r="FG307" s="421"/>
      <c r="FH307" s="419"/>
      <c r="FI307" s="421"/>
      <c r="FJ307" s="424">
        <f t="shared" si="137"/>
        <v>0</v>
      </c>
      <c r="FK307" s="425">
        <f t="shared" si="138"/>
        <v>0</v>
      </c>
      <c r="FL307" s="419"/>
      <c r="FM307" s="421"/>
      <c r="FN307" s="424">
        <f t="shared" si="139"/>
        <v>118</v>
      </c>
      <c r="FO307" s="425">
        <f t="shared" si="140"/>
        <v>68</v>
      </c>
    </row>
    <row r="308" spans="1:171">
      <c r="A308" s="427" t="s">
        <v>163</v>
      </c>
      <c r="B308" s="57" t="s">
        <v>827</v>
      </c>
      <c r="C308" s="56"/>
      <c r="D308" s="55">
        <v>418348</v>
      </c>
      <c r="E308" s="55">
        <v>13</v>
      </c>
      <c r="F308" s="419">
        <v>276</v>
      </c>
      <c r="G308" s="421">
        <v>245</v>
      </c>
      <c r="H308" s="419"/>
      <c r="I308" s="421"/>
      <c r="J308" s="419"/>
      <c r="K308" s="421"/>
      <c r="L308" s="422">
        <f t="shared" si="119"/>
        <v>0</v>
      </c>
      <c r="M308" s="423">
        <f t="shared" si="120"/>
        <v>0</v>
      </c>
      <c r="N308" s="419"/>
      <c r="O308" s="309">
        <f>0</f>
        <v>0</v>
      </c>
      <c r="P308" s="309">
        <f>0</f>
        <v>0</v>
      </c>
      <c r="Q308" s="309">
        <f>0</f>
        <v>0</v>
      </c>
      <c r="R308" s="424">
        <f t="shared" si="117"/>
        <v>0</v>
      </c>
      <c r="S308" s="421"/>
      <c r="T308" s="301">
        <f>0</f>
        <v>0</v>
      </c>
      <c r="U308" s="301">
        <f>0</f>
        <v>0</v>
      </c>
      <c r="V308" s="301">
        <f>0</f>
        <v>0</v>
      </c>
      <c r="W308" s="425">
        <f t="shared" si="118"/>
        <v>0</v>
      </c>
      <c r="X308" s="419"/>
      <c r="Y308" s="419"/>
      <c r="Z308" s="421"/>
      <c r="AA308" s="421"/>
      <c r="AB308" s="419"/>
      <c r="AC308" s="419"/>
      <c r="AD308" s="421"/>
      <c r="AE308" s="421"/>
      <c r="AF308" s="419"/>
      <c r="AG308" s="419"/>
      <c r="AH308" s="421"/>
      <c r="AI308" s="421"/>
      <c r="AJ308" s="419"/>
      <c r="AK308" s="419"/>
      <c r="AL308" s="421"/>
      <c r="AM308" s="421"/>
      <c r="AN308" s="419"/>
      <c r="AO308" s="419"/>
      <c r="AP308" s="421"/>
      <c r="AQ308" s="421"/>
      <c r="AR308" s="424">
        <f t="shared" si="121"/>
        <v>0</v>
      </c>
      <c r="AS308" s="422">
        <f t="shared" si="122"/>
        <v>0</v>
      </c>
      <c r="AT308" s="425">
        <f t="shared" si="123"/>
        <v>0</v>
      </c>
      <c r="AU308" s="423">
        <f t="shared" si="124"/>
        <v>0</v>
      </c>
      <c r="AV308" s="419"/>
      <c r="AW308" s="421"/>
      <c r="AX308" s="419"/>
      <c r="AY308" s="419"/>
      <c r="AZ308" s="421"/>
      <c r="BA308" s="421"/>
      <c r="BB308" s="419"/>
      <c r="BC308" s="419"/>
      <c r="BD308" s="421"/>
      <c r="BE308" s="421"/>
      <c r="BF308" s="419"/>
      <c r="BG308" s="419"/>
      <c r="BH308" s="421"/>
      <c r="BI308" s="421"/>
      <c r="BJ308" s="419"/>
      <c r="BK308" s="419"/>
      <c r="BL308" s="421"/>
      <c r="BM308" s="421"/>
      <c r="BN308" s="419"/>
      <c r="BO308" s="419"/>
      <c r="BP308" s="421"/>
      <c r="BQ308" s="421"/>
      <c r="BR308" s="419"/>
      <c r="BS308" s="419"/>
      <c r="BT308" s="421"/>
      <c r="BU308" s="421"/>
      <c r="BV308" s="419"/>
      <c r="BW308" s="419"/>
      <c r="BX308" s="421"/>
      <c r="BY308" s="421"/>
      <c r="BZ308" s="419"/>
      <c r="CA308" s="419"/>
      <c r="CB308" s="421"/>
      <c r="CC308" s="421"/>
      <c r="CD308" s="419"/>
      <c r="CE308" s="419"/>
      <c r="CF308" s="421"/>
      <c r="CG308" s="421"/>
      <c r="CH308" s="419"/>
      <c r="CI308" s="419"/>
      <c r="CJ308" s="421"/>
      <c r="CK308" s="421"/>
      <c r="CL308" s="419"/>
      <c r="CM308" s="421"/>
      <c r="CN308" s="424">
        <f t="shared" si="125"/>
        <v>0</v>
      </c>
      <c r="CO308" s="424">
        <f t="shared" si="126"/>
        <v>0</v>
      </c>
      <c r="CP308" s="425">
        <f t="shared" si="127"/>
        <v>0</v>
      </c>
      <c r="CQ308" s="425">
        <f t="shared" si="128"/>
        <v>0</v>
      </c>
      <c r="CR308" s="419"/>
      <c r="CS308" s="419"/>
      <c r="CT308" s="421"/>
      <c r="CU308" s="421"/>
      <c r="CV308" s="419"/>
      <c r="CW308" s="419"/>
      <c r="CX308" s="421"/>
      <c r="CY308" s="421"/>
      <c r="CZ308" s="419"/>
      <c r="DA308" s="419"/>
      <c r="DB308" s="421"/>
      <c r="DC308" s="421"/>
      <c r="DD308" s="419"/>
      <c r="DE308" s="419"/>
      <c r="DF308" s="421"/>
      <c r="DG308" s="421"/>
      <c r="DH308" s="419"/>
      <c r="DI308" s="419"/>
      <c r="DJ308" s="421"/>
      <c r="DK308" s="421"/>
      <c r="DL308" s="419"/>
      <c r="DM308" s="419"/>
      <c r="DN308" s="421"/>
      <c r="DO308" s="421"/>
      <c r="DP308" s="419"/>
      <c r="DQ308" s="419"/>
      <c r="DR308" s="421"/>
      <c r="DS308" s="421"/>
      <c r="DT308" s="419"/>
      <c r="DU308" s="419"/>
      <c r="DV308" s="421"/>
      <c r="DW308" s="421"/>
      <c r="DX308" s="419"/>
      <c r="DY308" s="419"/>
      <c r="DZ308" s="421"/>
      <c r="EA308" s="421"/>
      <c r="EB308" s="419"/>
      <c r="EC308" s="419"/>
      <c r="ED308" s="421"/>
      <c r="EE308" s="421"/>
      <c r="EF308" s="419"/>
      <c r="EG308" s="421"/>
      <c r="EH308" s="424">
        <f t="shared" si="129"/>
        <v>0</v>
      </c>
      <c r="EI308" s="424">
        <f t="shared" si="130"/>
        <v>0</v>
      </c>
      <c r="EJ308" s="422">
        <f t="shared" si="131"/>
        <v>0</v>
      </c>
      <c r="EK308" s="425">
        <f t="shared" si="132"/>
        <v>0</v>
      </c>
      <c r="EL308" s="425">
        <f t="shared" si="133"/>
        <v>0</v>
      </c>
      <c r="EM308" s="423">
        <f t="shared" si="134"/>
        <v>0</v>
      </c>
      <c r="EN308" s="424">
        <f t="shared" si="135"/>
        <v>0</v>
      </c>
      <c r="EO308" s="425">
        <f t="shared" si="136"/>
        <v>0</v>
      </c>
      <c r="EP308" s="419"/>
      <c r="EQ308" s="421"/>
      <c r="ER308" s="419"/>
      <c r="ES308" s="421"/>
      <c r="ET308" s="419"/>
      <c r="EU308" s="421"/>
      <c r="EV308" s="419"/>
      <c r="EW308" s="421"/>
      <c r="EX308" s="419"/>
      <c r="EY308" s="421"/>
      <c r="EZ308" s="419"/>
      <c r="FA308" s="421"/>
      <c r="FB308" s="419"/>
      <c r="FC308" s="421"/>
      <c r="FD308" s="419"/>
      <c r="FE308" s="421"/>
      <c r="FF308" s="419"/>
      <c r="FG308" s="421"/>
      <c r="FH308" s="419"/>
      <c r="FI308" s="421"/>
      <c r="FJ308" s="424">
        <f t="shared" si="137"/>
        <v>0</v>
      </c>
      <c r="FK308" s="425">
        <f t="shared" si="138"/>
        <v>0</v>
      </c>
      <c r="FL308" s="419"/>
      <c r="FM308" s="421"/>
      <c r="FN308" s="424">
        <f t="shared" si="139"/>
        <v>276</v>
      </c>
      <c r="FO308" s="425">
        <f t="shared" si="140"/>
        <v>245</v>
      </c>
    </row>
    <row r="309" spans="1:171">
      <c r="A309" s="427" t="s">
        <v>163</v>
      </c>
      <c r="B309" s="57" t="s">
        <v>828</v>
      </c>
      <c r="C309" s="56" t="s">
        <v>1213</v>
      </c>
      <c r="D309" s="55">
        <v>375683</v>
      </c>
      <c r="E309" s="55">
        <v>13</v>
      </c>
      <c r="F309" s="419">
        <v>448</v>
      </c>
      <c r="G309" s="420">
        <v>351</v>
      </c>
      <c r="H309" s="419">
        <v>55</v>
      </c>
      <c r="I309" s="420">
        <v>32</v>
      </c>
      <c r="J309" s="419"/>
      <c r="K309" s="421"/>
      <c r="L309" s="422">
        <f t="shared" si="119"/>
        <v>0</v>
      </c>
      <c r="M309" s="423">
        <f t="shared" si="120"/>
        <v>0</v>
      </c>
      <c r="N309" s="419"/>
      <c r="O309" s="309">
        <f>0</f>
        <v>0</v>
      </c>
      <c r="P309" s="309">
        <f>0</f>
        <v>0</v>
      </c>
      <c r="Q309" s="309">
        <f>0</f>
        <v>0</v>
      </c>
      <c r="R309" s="424">
        <f t="shared" si="117"/>
        <v>0</v>
      </c>
      <c r="S309" s="421"/>
      <c r="T309" s="301">
        <f>0</f>
        <v>0</v>
      </c>
      <c r="U309" s="301">
        <f>0</f>
        <v>0</v>
      </c>
      <c r="V309" s="301">
        <f>0</f>
        <v>0</v>
      </c>
      <c r="W309" s="425">
        <f t="shared" si="118"/>
        <v>0</v>
      </c>
      <c r="X309" s="419"/>
      <c r="Y309" s="419"/>
      <c r="Z309" s="421"/>
      <c r="AA309" s="421"/>
      <c r="AB309" s="419"/>
      <c r="AC309" s="419"/>
      <c r="AD309" s="421"/>
      <c r="AE309" s="421"/>
      <c r="AF309" s="419"/>
      <c r="AG309" s="419"/>
      <c r="AH309" s="421"/>
      <c r="AI309" s="421"/>
      <c r="AJ309" s="419"/>
      <c r="AK309" s="419"/>
      <c r="AL309" s="421"/>
      <c r="AM309" s="421"/>
      <c r="AN309" s="419"/>
      <c r="AO309" s="419"/>
      <c r="AP309" s="421"/>
      <c r="AQ309" s="421"/>
      <c r="AR309" s="424">
        <f t="shared" si="121"/>
        <v>0</v>
      </c>
      <c r="AS309" s="422">
        <f t="shared" si="122"/>
        <v>0</v>
      </c>
      <c r="AT309" s="425">
        <f t="shared" si="123"/>
        <v>0</v>
      </c>
      <c r="AU309" s="423">
        <f t="shared" si="124"/>
        <v>0</v>
      </c>
      <c r="AV309" s="419"/>
      <c r="AW309" s="421"/>
      <c r="AX309" s="419"/>
      <c r="AY309" s="419"/>
      <c r="AZ309" s="421"/>
      <c r="BA309" s="421"/>
      <c r="BB309" s="419"/>
      <c r="BC309" s="419"/>
      <c r="BD309" s="421"/>
      <c r="BE309" s="421"/>
      <c r="BF309" s="419"/>
      <c r="BG309" s="419"/>
      <c r="BH309" s="421"/>
      <c r="BI309" s="421"/>
      <c r="BJ309" s="419"/>
      <c r="BK309" s="419"/>
      <c r="BL309" s="421"/>
      <c r="BM309" s="421"/>
      <c r="BN309" s="419"/>
      <c r="BO309" s="419"/>
      <c r="BP309" s="421"/>
      <c r="BQ309" s="421"/>
      <c r="BR309" s="419"/>
      <c r="BS309" s="419"/>
      <c r="BT309" s="421"/>
      <c r="BU309" s="421"/>
      <c r="BV309" s="419"/>
      <c r="BW309" s="419"/>
      <c r="BX309" s="421"/>
      <c r="BY309" s="421"/>
      <c r="BZ309" s="419"/>
      <c r="CA309" s="419"/>
      <c r="CB309" s="421"/>
      <c r="CC309" s="421"/>
      <c r="CD309" s="419"/>
      <c r="CE309" s="419"/>
      <c r="CF309" s="421"/>
      <c r="CG309" s="421"/>
      <c r="CH309" s="419"/>
      <c r="CI309" s="419"/>
      <c r="CJ309" s="421"/>
      <c r="CK309" s="421"/>
      <c r="CL309" s="419"/>
      <c r="CM309" s="421"/>
      <c r="CN309" s="424">
        <f t="shared" si="125"/>
        <v>0</v>
      </c>
      <c r="CO309" s="424">
        <f t="shared" si="126"/>
        <v>0</v>
      </c>
      <c r="CP309" s="425">
        <f t="shared" si="127"/>
        <v>0</v>
      </c>
      <c r="CQ309" s="425">
        <f t="shared" si="128"/>
        <v>0</v>
      </c>
      <c r="CR309" s="419"/>
      <c r="CS309" s="419"/>
      <c r="CT309" s="421"/>
      <c r="CU309" s="421"/>
      <c r="CV309" s="419"/>
      <c r="CW309" s="419"/>
      <c r="CX309" s="421"/>
      <c r="CY309" s="421"/>
      <c r="CZ309" s="419"/>
      <c r="DA309" s="419"/>
      <c r="DB309" s="421"/>
      <c r="DC309" s="421"/>
      <c r="DD309" s="419"/>
      <c r="DE309" s="419"/>
      <c r="DF309" s="421"/>
      <c r="DG309" s="421"/>
      <c r="DH309" s="419"/>
      <c r="DI309" s="419"/>
      <c r="DJ309" s="421"/>
      <c r="DK309" s="421"/>
      <c r="DL309" s="419"/>
      <c r="DM309" s="419"/>
      <c r="DN309" s="421"/>
      <c r="DO309" s="421"/>
      <c r="DP309" s="419"/>
      <c r="DQ309" s="419"/>
      <c r="DR309" s="421"/>
      <c r="DS309" s="421"/>
      <c r="DT309" s="419"/>
      <c r="DU309" s="419"/>
      <c r="DV309" s="421"/>
      <c r="DW309" s="421"/>
      <c r="DX309" s="419"/>
      <c r="DY309" s="419"/>
      <c r="DZ309" s="421"/>
      <c r="EA309" s="421"/>
      <c r="EB309" s="419"/>
      <c r="EC309" s="419"/>
      <c r="ED309" s="421"/>
      <c r="EE309" s="421"/>
      <c r="EF309" s="419"/>
      <c r="EG309" s="421"/>
      <c r="EH309" s="424">
        <f t="shared" si="129"/>
        <v>0</v>
      </c>
      <c r="EI309" s="424">
        <f t="shared" si="130"/>
        <v>0</v>
      </c>
      <c r="EJ309" s="422">
        <f t="shared" si="131"/>
        <v>0</v>
      </c>
      <c r="EK309" s="425">
        <f t="shared" si="132"/>
        <v>0</v>
      </c>
      <c r="EL309" s="425">
        <f t="shared" si="133"/>
        <v>0</v>
      </c>
      <c r="EM309" s="423">
        <f t="shared" si="134"/>
        <v>0</v>
      </c>
      <c r="EN309" s="424">
        <f t="shared" si="135"/>
        <v>0</v>
      </c>
      <c r="EO309" s="425">
        <f t="shared" si="136"/>
        <v>0</v>
      </c>
      <c r="EP309" s="419"/>
      <c r="EQ309" s="421"/>
      <c r="ER309" s="419"/>
      <c r="ES309" s="421"/>
      <c r="ET309" s="419"/>
      <c r="EU309" s="421"/>
      <c r="EV309" s="419"/>
      <c r="EW309" s="421"/>
      <c r="EX309" s="419"/>
      <c r="EY309" s="421"/>
      <c r="EZ309" s="419"/>
      <c r="FA309" s="421"/>
      <c r="FB309" s="419"/>
      <c r="FC309" s="421"/>
      <c r="FD309" s="419"/>
      <c r="FE309" s="421"/>
      <c r="FF309" s="419"/>
      <c r="FG309" s="421"/>
      <c r="FH309" s="419"/>
      <c r="FI309" s="421"/>
      <c r="FJ309" s="424">
        <f t="shared" si="137"/>
        <v>0</v>
      </c>
      <c r="FK309" s="425">
        <f t="shared" si="138"/>
        <v>0</v>
      </c>
      <c r="FL309" s="419"/>
      <c r="FM309" s="421"/>
      <c r="FN309" s="424">
        <f t="shared" si="139"/>
        <v>503</v>
      </c>
      <c r="FO309" s="425">
        <f t="shared" si="140"/>
        <v>383</v>
      </c>
    </row>
    <row r="310" spans="1:171">
      <c r="A310" s="427" t="s">
        <v>163</v>
      </c>
      <c r="B310" s="57" t="s">
        <v>829</v>
      </c>
      <c r="C310" s="56"/>
      <c r="D310" s="55">
        <v>364548</v>
      </c>
      <c r="E310" s="55">
        <v>13</v>
      </c>
      <c r="F310" s="419">
        <v>735</v>
      </c>
      <c r="G310" s="420">
        <v>463</v>
      </c>
      <c r="H310" s="419">
        <v>16</v>
      </c>
      <c r="I310" s="421">
        <v>13</v>
      </c>
      <c r="J310" s="419"/>
      <c r="K310" s="421"/>
      <c r="L310" s="422">
        <f t="shared" si="119"/>
        <v>0</v>
      </c>
      <c r="M310" s="423">
        <f t="shared" si="120"/>
        <v>0</v>
      </c>
      <c r="N310" s="419"/>
      <c r="O310" s="309">
        <f>0</f>
        <v>0</v>
      </c>
      <c r="P310" s="309">
        <f>0</f>
        <v>0</v>
      </c>
      <c r="Q310" s="309">
        <f>0</f>
        <v>0</v>
      </c>
      <c r="R310" s="424">
        <f t="shared" si="117"/>
        <v>0</v>
      </c>
      <c r="S310" s="421"/>
      <c r="T310" s="301">
        <f>0</f>
        <v>0</v>
      </c>
      <c r="U310" s="301">
        <f>0</f>
        <v>0</v>
      </c>
      <c r="V310" s="301">
        <f>0</f>
        <v>0</v>
      </c>
      <c r="W310" s="425">
        <f t="shared" si="118"/>
        <v>0</v>
      </c>
      <c r="X310" s="419"/>
      <c r="Y310" s="419"/>
      <c r="Z310" s="421"/>
      <c r="AA310" s="421"/>
      <c r="AB310" s="419"/>
      <c r="AC310" s="419"/>
      <c r="AD310" s="421"/>
      <c r="AE310" s="421"/>
      <c r="AF310" s="419"/>
      <c r="AG310" s="419"/>
      <c r="AH310" s="421"/>
      <c r="AI310" s="421"/>
      <c r="AJ310" s="419"/>
      <c r="AK310" s="419"/>
      <c r="AL310" s="421"/>
      <c r="AM310" s="421"/>
      <c r="AN310" s="419"/>
      <c r="AO310" s="419"/>
      <c r="AP310" s="421"/>
      <c r="AQ310" s="421"/>
      <c r="AR310" s="424">
        <f t="shared" si="121"/>
        <v>0</v>
      </c>
      <c r="AS310" s="422">
        <f t="shared" si="122"/>
        <v>0</v>
      </c>
      <c r="AT310" s="425">
        <f t="shared" si="123"/>
        <v>0</v>
      </c>
      <c r="AU310" s="423">
        <f t="shared" si="124"/>
        <v>0</v>
      </c>
      <c r="AV310" s="419"/>
      <c r="AW310" s="421"/>
      <c r="AX310" s="419"/>
      <c r="AY310" s="419"/>
      <c r="AZ310" s="421"/>
      <c r="BA310" s="421"/>
      <c r="BB310" s="419"/>
      <c r="BC310" s="419"/>
      <c r="BD310" s="421"/>
      <c r="BE310" s="421"/>
      <c r="BF310" s="419"/>
      <c r="BG310" s="419"/>
      <c r="BH310" s="421"/>
      <c r="BI310" s="421"/>
      <c r="BJ310" s="419"/>
      <c r="BK310" s="419"/>
      <c r="BL310" s="421"/>
      <c r="BM310" s="421"/>
      <c r="BN310" s="419"/>
      <c r="BO310" s="419"/>
      <c r="BP310" s="421"/>
      <c r="BQ310" s="421"/>
      <c r="BR310" s="419"/>
      <c r="BS310" s="419"/>
      <c r="BT310" s="421"/>
      <c r="BU310" s="421"/>
      <c r="BV310" s="419"/>
      <c r="BW310" s="419"/>
      <c r="BX310" s="421"/>
      <c r="BY310" s="421"/>
      <c r="BZ310" s="419"/>
      <c r="CA310" s="419"/>
      <c r="CB310" s="421"/>
      <c r="CC310" s="421"/>
      <c r="CD310" s="419"/>
      <c r="CE310" s="419"/>
      <c r="CF310" s="421"/>
      <c r="CG310" s="421"/>
      <c r="CH310" s="419"/>
      <c r="CI310" s="419"/>
      <c r="CJ310" s="421"/>
      <c r="CK310" s="421"/>
      <c r="CL310" s="419"/>
      <c r="CM310" s="421"/>
      <c r="CN310" s="424">
        <f t="shared" si="125"/>
        <v>0</v>
      </c>
      <c r="CO310" s="424">
        <f t="shared" si="126"/>
        <v>0</v>
      </c>
      <c r="CP310" s="425">
        <f t="shared" si="127"/>
        <v>0</v>
      </c>
      <c r="CQ310" s="425">
        <f t="shared" si="128"/>
        <v>0</v>
      </c>
      <c r="CR310" s="419"/>
      <c r="CS310" s="419"/>
      <c r="CT310" s="421"/>
      <c r="CU310" s="421"/>
      <c r="CV310" s="419"/>
      <c r="CW310" s="419"/>
      <c r="CX310" s="421"/>
      <c r="CY310" s="421"/>
      <c r="CZ310" s="419"/>
      <c r="DA310" s="419"/>
      <c r="DB310" s="421"/>
      <c r="DC310" s="421"/>
      <c r="DD310" s="419"/>
      <c r="DE310" s="419"/>
      <c r="DF310" s="421"/>
      <c r="DG310" s="421"/>
      <c r="DH310" s="419"/>
      <c r="DI310" s="419"/>
      <c r="DJ310" s="421"/>
      <c r="DK310" s="421"/>
      <c r="DL310" s="419"/>
      <c r="DM310" s="419"/>
      <c r="DN310" s="421"/>
      <c r="DO310" s="421"/>
      <c r="DP310" s="419"/>
      <c r="DQ310" s="419"/>
      <c r="DR310" s="421"/>
      <c r="DS310" s="421"/>
      <c r="DT310" s="419"/>
      <c r="DU310" s="419"/>
      <c r="DV310" s="421"/>
      <c r="DW310" s="421"/>
      <c r="DX310" s="419"/>
      <c r="DY310" s="419"/>
      <c r="DZ310" s="421"/>
      <c r="EA310" s="421"/>
      <c r="EB310" s="419"/>
      <c r="EC310" s="419"/>
      <c r="ED310" s="421"/>
      <c r="EE310" s="421"/>
      <c r="EF310" s="419"/>
      <c r="EG310" s="421"/>
      <c r="EH310" s="424">
        <f t="shared" si="129"/>
        <v>0</v>
      </c>
      <c r="EI310" s="424">
        <f t="shared" si="130"/>
        <v>0</v>
      </c>
      <c r="EJ310" s="422">
        <f t="shared" si="131"/>
        <v>0</v>
      </c>
      <c r="EK310" s="425">
        <f t="shared" si="132"/>
        <v>0</v>
      </c>
      <c r="EL310" s="425">
        <f t="shared" si="133"/>
        <v>0</v>
      </c>
      <c r="EM310" s="423">
        <f t="shared" si="134"/>
        <v>0</v>
      </c>
      <c r="EN310" s="424">
        <f t="shared" si="135"/>
        <v>0</v>
      </c>
      <c r="EO310" s="425">
        <f t="shared" si="136"/>
        <v>0</v>
      </c>
      <c r="EP310" s="419"/>
      <c r="EQ310" s="421"/>
      <c r="ER310" s="419"/>
      <c r="ES310" s="421"/>
      <c r="ET310" s="419"/>
      <c r="EU310" s="421"/>
      <c r="EV310" s="419"/>
      <c r="EW310" s="421"/>
      <c r="EX310" s="419"/>
      <c r="EY310" s="421"/>
      <c r="EZ310" s="419"/>
      <c r="FA310" s="421"/>
      <c r="FB310" s="419"/>
      <c r="FC310" s="421"/>
      <c r="FD310" s="419"/>
      <c r="FE310" s="421"/>
      <c r="FF310" s="419"/>
      <c r="FG310" s="421"/>
      <c r="FH310" s="419"/>
      <c r="FI310" s="421"/>
      <c r="FJ310" s="424">
        <f t="shared" si="137"/>
        <v>0</v>
      </c>
      <c r="FK310" s="425">
        <f t="shared" si="138"/>
        <v>0</v>
      </c>
      <c r="FL310" s="419"/>
      <c r="FM310" s="421"/>
      <c r="FN310" s="424">
        <f t="shared" si="139"/>
        <v>751</v>
      </c>
      <c r="FO310" s="425">
        <f t="shared" si="140"/>
        <v>476</v>
      </c>
    </row>
    <row r="311" spans="1:171">
      <c r="A311" s="427" t="s">
        <v>163</v>
      </c>
      <c r="B311" s="57" t="s">
        <v>830</v>
      </c>
      <c r="C311" s="54"/>
      <c r="D311" s="55">
        <v>428019</v>
      </c>
      <c r="E311" s="55">
        <v>13</v>
      </c>
      <c r="F311" s="419">
        <v>170</v>
      </c>
      <c r="G311" s="420">
        <v>124</v>
      </c>
      <c r="H311" s="419"/>
      <c r="I311" s="421"/>
      <c r="J311" s="419"/>
      <c r="K311" s="421"/>
      <c r="L311" s="422">
        <f t="shared" si="119"/>
        <v>0</v>
      </c>
      <c r="M311" s="423">
        <f t="shared" si="120"/>
        <v>0</v>
      </c>
      <c r="N311" s="419"/>
      <c r="O311" s="309">
        <f>0</f>
        <v>0</v>
      </c>
      <c r="P311" s="309">
        <f>0</f>
        <v>0</v>
      </c>
      <c r="Q311" s="309">
        <f>0</f>
        <v>0</v>
      </c>
      <c r="R311" s="424">
        <f t="shared" si="117"/>
        <v>0</v>
      </c>
      <c r="S311" s="421"/>
      <c r="T311" s="301">
        <f>0</f>
        <v>0</v>
      </c>
      <c r="U311" s="301">
        <f>0</f>
        <v>0</v>
      </c>
      <c r="V311" s="301">
        <f>0</f>
        <v>0</v>
      </c>
      <c r="W311" s="425">
        <f t="shared" si="118"/>
        <v>0</v>
      </c>
      <c r="X311" s="419"/>
      <c r="Y311" s="419"/>
      <c r="Z311" s="421"/>
      <c r="AA311" s="421"/>
      <c r="AB311" s="419"/>
      <c r="AC311" s="419"/>
      <c r="AD311" s="421"/>
      <c r="AE311" s="421"/>
      <c r="AF311" s="419"/>
      <c r="AG311" s="419"/>
      <c r="AH311" s="421"/>
      <c r="AI311" s="421"/>
      <c r="AJ311" s="419"/>
      <c r="AK311" s="419"/>
      <c r="AL311" s="421"/>
      <c r="AM311" s="421"/>
      <c r="AN311" s="419"/>
      <c r="AO311" s="419"/>
      <c r="AP311" s="421"/>
      <c r="AQ311" s="421"/>
      <c r="AR311" s="424">
        <f t="shared" si="121"/>
        <v>0</v>
      </c>
      <c r="AS311" s="422">
        <f t="shared" si="122"/>
        <v>0</v>
      </c>
      <c r="AT311" s="425">
        <f t="shared" si="123"/>
        <v>0</v>
      </c>
      <c r="AU311" s="423">
        <f t="shared" si="124"/>
        <v>0</v>
      </c>
      <c r="AV311" s="419"/>
      <c r="AW311" s="421"/>
      <c r="AX311" s="419"/>
      <c r="AY311" s="419"/>
      <c r="AZ311" s="421"/>
      <c r="BA311" s="421"/>
      <c r="BB311" s="419"/>
      <c r="BC311" s="419"/>
      <c r="BD311" s="421"/>
      <c r="BE311" s="421"/>
      <c r="BF311" s="419"/>
      <c r="BG311" s="419"/>
      <c r="BH311" s="421"/>
      <c r="BI311" s="421"/>
      <c r="BJ311" s="419"/>
      <c r="BK311" s="419"/>
      <c r="BL311" s="421"/>
      <c r="BM311" s="421"/>
      <c r="BN311" s="419"/>
      <c r="BO311" s="419"/>
      <c r="BP311" s="421"/>
      <c r="BQ311" s="421"/>
      <c r="BR311" s="419"/>
      <c r="BS311" s="419"/>
      <c r="BT311" s="421"/>
      <c r="BU311" s="421"/>
      <c r="BV311" s="419"/>
      <c r="BW311" s="419"/>
      <c r="BX311" s="421"/>
      <c r="BY311" s="421"/>
      <c r="BZ311" s="419"/>
      <c r="CA311" s="419"/>
      <c r="CB311" s="421"/>
      <c r="CC311" s="421"/>
      <c r="CD311" s="419"/>
      <c r="CE311" s="419"/>
      <c r="CF311" s="421"/>
      <c r="CG311" s="421"/>
      <c r="CH311" s="419"/>
      <c r="CI311" s="419"/>
      <c r="CJ311" s="421"/>
      <c r="CK311" s="421"/>
      <c r="CL311" s="419"/>
      <c r="CM311" s="421"/>
      <c r="CN311" s="424">
        <f t="shared" si="125"/>
        <v>0</v>
      </c>
      <c r="CO311" s="424">
        <f t="shared" si="126"/>
        <v>0</v>
      </c>
      <c r="CP311" s="425">
        <f t="shared" si="127"/>
        <v>0</v>
      </c>
      <c r="CQ311" s="425">
        <f t="shared" si="128"/>
        <v>0</v>
      </c>
      <c r="CR311" s="419"/>
      <c r="CS311" s="419"/>
      <c r="CT311" s="421"/>
      <c r="CU311" s="421"/>
      <c r="CV311" s="419"/>
      <c r="CW311" s="419"/>
      <c r="CX311" s="421"/>
      <c r="CY311" s="421"/>
      <c r="CZ311" s="419"/>
      <c r="DA311" s="419"/>
      <c r="DB311" s="421"/>
      <c r="DC311" s="421"/>
      <c r="DD311" s="419"/>
      <c r="DE311" s="419"/>
      <c r="DF311" s="421"/>
      <c r="DG311" s="421"/>
      <c r="DH311" s="419"/>
      <c r="DI311" s="419"/>
      <c r="DJ311" s="421"/>
      <c r="DK311" s="421"/>
      <c r="DL311" s="419"/>
      <c r="DM311" s="419"/>
      <c r="DN311" s="421"/>
      <c r="DO311" s="421"/>
      <c r="DP311" s="419"/>
      <c r="DQ311" s="419"/>
      <c r="DR311" s="421"/>
      <c r="DS311" s="421"/>
      <c r="DT311" s="419"/>
      <c r="DU311" s="419"/>
      <c r="DV311" s="421"/>
      <c r="DW311" s="421"/>
      <c r="DX311" s="419"/>
      <c r="DY311" s="419"/>
      <c r="DZ311" s="421"/>
      <c r="EA311" s="421"/>
      <c r="EB311" s="419"/>
      <c r="EC311" s="419"/>
      <c r="ED311" s="421"/>
      <c r="EE311" s="421"/>
      <c r="EF311" s="419"/>
      <c r="EG311" s="421"/>
      <c r="EH311" s="424">
        <f t="shared" si="129"/>
        <v>0</v>
      </c>
      <c r="EI311" s="424">
        <f t="shared" si="130"/>
        <v>0</v>
      </c>
      <c r="EJ311" s="422">
        <f t="shared" si="131"/>
        <v>0</v>
      </c>
      <c r="EK311" s="425">
        <f t="shared" si="132"/>
        <v>0</v>
      </c>
      <c r="EL311" s="425">
        <f t="shared" si="133"/>
        <v>0</v>
      </c>
      <c r="EM311" s="423">
        <f t="shared" si="134"/>
        <v>0</v>
      </c>
      <c r="EN311" s="424">
        <f t="shared" si="135"/>
        <v>0</v>
      </c>
      <c r="EO311" s="425">
        <f t="shared" si="136"/>
        <v>0</v>
      </c>
      <c r="EP311" s="419"/>
      <c r="EQ311" s="421"/>
      <c r="ER311" s="419"/>
      <c r="ES311" s="421"/>
      <c r="ET311" s="419"/>
      <c r="EU311" s="421"/>
      <c r="EV311" s="419"/>
      <c r="EW311" s="421"/>
      <c r="EX311" s="419"/>
      <c r="EY311" s="421"/>
      <c r="EZ311" s="419"/>
      <c r="FA311" s="421"/>
      <c r="FB311" s="419"/>
      <c r="FC311" s="421"/>
      <c r="FD311" s="419"/>
      <c r="FE311" s="421"/>
      <c r="FF311" s="419"/>
      <c r="FG311" s="421"/>
      <c r="FH311" s="419"/>
      <c r="FI311" s="421"/>
      <c r="FJ311" s="424">
        <f t="shared" si="137"/>
        <v>0</v>
      </c>
      <c r="FK311" s="425">
        <f t="shared" si="138"/>
        <v>0</v>
      </c>
      <c r="FL311" s="419"/>
      <c r="FM311" s="421"/>
      <c r="FN311" s="424">
        <f t="shared" si="139"/>
        <v>170</v>
      </c>
      <c r="FO311" s="425">
        <f t="shared" si="140"/>
        <v>124</v>
      </c>
    </row>
    <row r="312" spans="1:171">
      <c r="A312" s="427" t="s">
        <v>163</v>
      </c>
      <c r="B312" s="57" t="s">
        <v>831</v>
      </c>
      <c r="C312" s="56"/>
      <c r="D312" s="55">
        <v>208053</v>
      </c>
      <c r="E312" s="55">
        <v>13</v>
      </c>
      <c r="F312" s="419">
        <v>207</v>
      </c>
      <c r="G312" s="420">
        <v>122</v>
      </c>
      <c r="H312" s="419"/>
      <c r="I312" s="421"/>
      <c r="J312" s="419"/>
      <c r="K312" s="421"/>
      <c r="L312" s="422">
        <f t="shared" si="119"/>
        <v>0</v>
      </c>
      <c r="M312" s="423">
        <f t="shared" si="120"/>
        <v>0</v>
      </c>
      <c r="N312" s="419"/>
      <c r="O312" s="309">
        <f>0</f>
        <v>0</v>
      </c>
      <c r="P312" s="309">
        <f>0</f>
        <v>0</v>
      </c>
      <c r="Q312" s="309">
        <f>0</f>
        <v>0</v>
      </c>
      <c r="R312" s="424">
        <f t="shared" si="117"/>
        <v>0</v>
      </c>
      <c r="S312" s="421"/>
      <c r="T312" s="301">
        <f>0</f>
        <v>0</v>
      </c>
      <c r="U312" s="301">
        <f>0</f>
        <v>0</v>
      </c>
      <c r="V312" s="301">
        <f>0</f>
        <v>0</v>
      </c>
      <c r="W312" s="425">
        <f t="shared" si="118"/>
        <v>0</v>
      </c>
      <c r="X312" s="419"/>
      <c r="Y312" s="419"/>
      <c r="Z312" s="421"/>
      <c r="AA312" s="421"/>
      <c r="AB312" s="419"/>
      <c r="AC312" s="419"/>
      <c r="AD312" s="421"/>
      <c r="AE312" s="421"/>
      <c r="AF312" s="419"/>
      <c r="AG312" s="419"/>
      <c r="AH312" s="421"/>
      <c r="AI312" s="421"/>
      <c r="AJ312" s="419"/>
      <c r="AK312" s="419"/>
      <c r="AL312" s="421"/>
      <c r="AM312" s="421"/>
      <c r="AN312" s="419"/>
      <c r="AO312" s="419"/>
      <c r="AP312" s="421"/>
      <c r="AQ312" s="421"/>
      <c r="AR312" s="424">
        <f t="shared" si="121"/>
        <v>0</v>
      </c>
      <c r="AS312" s="422">
        <f t="shared" si="122"/>
        <v>0</v>
      </c>
      <c r="AT312" s="425">
        <f t="shared" si="123"/>
        <v>0</v>
      </c>
      <c r="AU312" s="423">
        <f t="shared" si="124"/>
        <v>0</v>
      </c>
      <c r="AV312" s="419"/>
      <c r="AW312" s="421"/>
      <c r="AX312" s="419"/>
      <c r="AY312" s="419"/>
      <c r="AZ312" s="421"/>
      <c r="BA312" s="421"/>
      <c r="BB312" s="419"/>
      <c r="BC312" s="419"/>
      <c r="BD312" s="421"/>
      <c r="BE312" s="421"/>
      <c r="BF312" s="419"/>
      <c r="BG312" s="419"/>
      <c r="BH312" s="421"/>
      <c r="BI312" s="421"/>
      <c r="BJ312" s="419"/>
      <c r="BK312" s="419"/>
      <c r="BL312" s="421"/>
      <c r="BM312" s="421"/>
      <c r="BN312" s="419"/>
      <c r="BO312" s="419"/>
      <c r="BP312" s="421"/>
      <c r="BQ312" s="421"/>
      <c r="BR312" s="419"/>
      <c r="BS312" s="419"/>
      <c r="BT312" s="421"/>
      <c r="BU312" s="421"/>
      <c r="BV312" s="419"/>
      <c r="BW312" s="419"/>
      <c r="BX312" s="421"/>
      <c r="BY312" s="421"/>
      <c r="BZ312" s="419"/>
      <c r="CA312" s="419"/>
      <c r="CB312" s="421"/>
      <c r="CC312" s="421"/>
      <c r="CD312" s="419"/>
      <c r="CE312" s="419"/>
      <c r="CF312" s="421"/>
      <c r="CG312" s="421"/>
      <c r="CH312" s="419"/>
      <c r="CI312" s="419"/>
      <c r="CJ312" s="421"/>
      <c r="CK312" s="421"/>
      <c r="CL312" s="419"/>
      <c r="CM312" s="421"/>
      <c r="CN312" s="424">
        <f t="shared" si="125"/>
        <v>0</v>
      </c>
      <c r="CO312" s="424">
        <f t="shared" si="126"/>
        <v>0</v>
      </c>
      <c r="CP312" s="425">
        <f t="shared" si="127"/>
        <v>0</v>
      </c>
      <c r="CQ312" s="425">
        <f t="shared" si="128"/>
        <v>0</v>
      </c>
      <c r="CR312" s="419"/>
      <c r="CS312" s="419"/>
      <c r="CT312" s="421"/>
      <c r="CU312" s="421"/>
      <c r="CV312" s="419"/>
      <c r="CW312" s="419"/>
      <c r="CX312" s="421"/>
      <c r="CY312" s="421"/>
      <c r="CZ312" s="419"/>
      <c r="DA312" s="419"/>
      <c r="DB312" s="421"/>
      <c r="DC312" s="421"/>
      <c r="DD312" s="419"/>
      <c r="DE312" s="419"/>
      <c r="DF312" s="421"/>
      <c r="DG312" s="421"/>
      <c r="DH312" s="419"/>
      <c r="DI312" s="419"/>
      <c r="DJ312" s="421"/>
      <c r="DK312" s="421"/>
      <c r="DL312" s="419"/>
      <c r="DM312" s="419"/>
      <c r="DN312" s="421"/>
      <c r="DO312" s="421"/>
      <c r="DP312" s="419"/>
      <c r="DQ312" s="419"/>
      <c r="DR312" s="421"/>
      <c r="DS312" s="421"/>
      <c r="DT312" s="419"/>
      <c r="DU312" s="419"/>
      <c r="DV312" s="421"/>
      <c r="DW312" s="421"/>
      <c r="DX312" s="419"/>
      <c r="DY312" s="419"/>
      <c r="DZ312" s="421"/>
      <c r="EA312" s="421"/>
      <c r="EB312" s="419"/>
      <c r="EC312" s="419"/>
      <c r="ED312" s="421"/>
      <c r="EE312" s="421"/>
      <c r="EF312" s="419"/>
      <c r="EG312" s="421"/>
      <c r="EH312" s="424">
        <f t="shared" si="129"/>
        <v>0</v>
      </c>
      <c r="EI312" s="424">
        <f t="shared" si="130"/>
        <v>0</v>
      </c>
      <c r="EJ312" s="422">
        <f t="shared" si="131"/>
        <v>0</v>
      </c>
      <c r="EK312" s="425">
        <f t="shared" si="132"/>
        <v>0</v>
      </c>
      <c r="EL312" s="425">
        <f t="shared" si="133"/>
        <v>0</v>
      </c>
      <c r="EM312" s="423">
        <f t="shared" si="134"/>
        <v>0</v>
      </c>
      <c r="EN312" s="424">
        <f t="shared" si="135"/>
        <v>0</v>
      </c>
      <c r="EO312" s="425">
        <f t="shared" si="136"/>
        <v>0</v>
      </c>
      <c r="EP312" s="419"/>
      <c r="EQ312" s="421"/>
      <c r="ER312" s="419"/>
      <c r="ES312" s="421"/>
      <c r="ET312" s="419"/>
      <c r="EU312" s="421"/>
      <c r="EV312" s="419"/>
      <c r="EW312" s="421"/>
      <c r="EX312" s="419"/>
      <c r="EY312" s="421"/>
      <c r="EZ312" s="419"/>
      <c r="FA312" s="421"/>
      <c r="FB312" s="419"/>
      <c r="FC312" s="421"/>
      <c r="FD312" s="419"/>
      <c r="FE312" s="421"/>
      <c r="FF312" s="419"/>
      <c r="FG312" s="421"/>
      <c r="FH312" s="419"/>
      <c r="FI312" s="421"/>
      <c r="FJ312" s="424">
        <f t="shared" si="137"/>
        <v>0</v>
      </c>
      <c r="FK312" s="425">
        <f t="shared" si="138"/>
        <v>0</v>
      </c>
      <c r="FL312" s="419"/>
      <c r="FM312" s="421"/>
      <c r="FN312" s="424">
        <f t="shared" si="139"/>
        <v>207</v>
      </c>
      <c r="FO312" s="425">
        <f t="shared" si="140"/>
        <v>122</v>
      </c>
    </row>
    <row r="313" spans="1:171">
      <c r="A313" s="427" t="s">
        <v>163</v>
      </c>
      <c r="B313" s="57" t="s">
        <v>832</v>
      </c>
      <c r="C313" s="56"/>
      <c r="D313" s="55">
        <v>418296</v>
      </c>
      <c r="E313" s="55">
        <v>13</v>
      </c>
      <c r="F313" s="419">
        <v>318</v>
      </c>
      <c r="G313" s="421">
        <v>366</v>
      </c>
      <c r="H313" s="419">
        <v>37</v>
      </c>
      <c r="I313" s="420">
        <v>13</v>
      </c>
      <c r="J313" s="419"/>
      <c r="K313" s="421"/>
      <c r="L313" s="422">
        <f t="shared" si="119"/>
        <v>0</v>
      </c>
      <c r="M313" s="423">
        <f t="shared" si="120"/>
        <v>0</v>
      </c>
      <c r="N313" s="419"/>
      <c r="O313" s="309">
        <f>0</f>
        <v>0</v>
      </c>
      <c r="P313" s="309">
        <f>0</f>
        <v>0</v>
      </c>
      <c r="Q313" s="309">
        <f>0</f>
        <v>0</v>
      </c>
      <c r="R313" s="424">
        <f t="shared" si="117"/>
        <v>0</v>
      </c>
      <c r="S313" s="421"/>
      <c r="T313" s="301">
        <f>0</f>
        <v>0</v>
      </c>
      <c r="U313" s="301">
        <f>0</f>
        <v>0</v>
      </c>
      <c r="V313" s="301">
        <f>0</f>
        <v>0</v>
      </c>
      <c r="W313" s="425">
        <f t="shared" si="118"/>
        <v>0</v>
      </c>
      <c r="X313" s="419"/>
      <c r="Y313" s="419"/>
      <c r="Z313" s="421"/>
      <c r="AA313" s="421"/>
      <c r="AB313" s="419"/>
      <c r="AC313" s="419"/>
      <c r="AD313" s="421"/>
      <c r="AE313" s="421"/>
      <c r="AF313" s="419"/>
      <c r="AG313" s="419"/>
      <c r="AH313" s="421"/>
      <c r="AI313" s="421"/>
      <c r="AJ313" s="419"/>
      <c r="AK313" s="419"/>
      <c r="AL313" s="421"/>
      <c r="AM313" s="421"/>
      <c r="AN313" s="419"/>
      <c r="AO313" s="419"/>
      <c r="AP313" s="421"/>
      <c r="AQ313" s="421"/>
      <c r="AR313" s="424">
        <f t="shared" si="121"/>
        <v>0</v>
      </c>
      <c r="AS313" s="422">
        <f t="shared" si="122"/>
        <v>0</v>
      </c>
      <c r="AT313" s="425">
        <f t="shared" si="123"/>
        <v>0</v>
      </c>
      <c r="AU313" s="423">
        <f t="shared" si="124"/>
        <v>0</v>
      </c>
      <c r="AV313" s="419"/>
      <c r="AW313" s="421"/>
      <c r="AX313" s="419"/>
      <c r="AY313" s="419"/>
      <c r="AZ313" s="421"/>
      <c r="BA313" s="421"/>
      <c r="BB313" s="419"/>
      <c r="BC313" s="419"/>
      <c r="BD313" s="421"/>
      <c r="BE313" s="421"/>
      <c r="BF313" s="419"/>
      <c r="BG313" s="419"/>
      <c r="BH313" s="421"/>
      <c r="BI313" s="421"/>
      <c r="BJ313" s="419"/>
      <c r="BK313" s="419"/>
      <c r="BL313" s="421"/>
      <c r="BM313" s="421"/>
      <c r="BN313" s="419"/>
      <c r="BO313" s="419"/>
      <c r="BP313" s="421"/>
      <c r="BQ313" s="421"/>
      <c r="BR313" s="419"/>
      <c r="BS313" s="419"/>
      <c r="BT313" s="421"/>
      <c r="BU313" s="421"/>
      <c r="BV313" s="419"/>
      <c r="BW313" s="419"/>
      <c r="BX313" s="421"/>
      <c r="BY313" s="421"/>
      <c r="BZ313" s="419"/>
      <c r="CA313" s="419"/>
      <c r="CB313" s="421"/>
      <c r="CC313" s="421"/>
      <c r="CD313" s="419"/>
      <c r="CE313" s="419"/>
      <c r="CF313" s="421"/>
      <c r="CG313" s="421"/>
      <c r="CH313" s="419"/>
      <c r="CI313" s="419"/>
      <c r="CJ313" s="421"/>
      <c r="CK313" s="421"/>
      <c r="CL313" s="419"/>
      <c r="CM313" s="421"/>
      <c r="CN313" s="424">
        <f t="shared" si="125"/>
        <v>0</v>
      </c>
      <c r="CO313" s="424">
        <f t="shared" si="126"/>
        <v>0</v>
      </c>
      <c r="CP313" s="425">
        <f t="shared" si="127"/>
        <v>0</v>
      </c>
      <c r="CQ313" s="425">
        <f t="shared" si="128"/>
        <v>0</v>
      </c>
      <c r="CR313" s="419"/>
      <c r="CS313" s="419"/>
      <c r="CT313" s="421"/>
      <c r="CU313" s="421"/>
      <c r="CV313" s="419"/>
      <c r="CW313" s="419"/>
      <c r="CX313" s="421"/>
      <c r="CY313" s="421"/>
      <c r="CZ313" s="419"/>
      <c r="DA313" s="419"/>
      <c r="DB313" s="421"/>
      <c r="DC313" s="421"/>
      <c r="DD313" s="419"/>
      <c r="DE313" s="419"/>
      <c r="DF313" s="421"/>
      <c r="DG313" s="421"/>
      <c r="DH313" s="419"/>
      <c r="DI313" s="419"/>
      <c r="DJ313" s="421"/>
      <c r="DK313" s="421"/>
      <c r="DL313" s="419"/>
      <c r="DM313" s="419"/>
      <c r="DN313" s="421"/>
      <c r="DO313" s="421"/>
      <c r="DP313" s="419"/>
      <c r="DQ313" s="419"/>
      <c r="DR313" s="421"/>
      <c r="DS313" s="421"/>
      <c r="DT313" s="419"/>
      <c r="DU313" s="419"/>
      <c r="DV313" s="421"/>
      <c r="DW313" s="421"/>
      <c r="DX313" s="419"/>
      <c r="DY313" s="419"/>
      <c r="DZ313" s="421"/>
      <c r="EA313" s="421"/>
      <c r="EB313" s="419"/>
      <c r="EC313" s="419"/>
      <c r="ED313" s="421"/>
      <c r="EE313" s="421"/>
      <c r="EF313" s="419"/>
      <c r="EG313" s="421"/>
      <c r="EH313" s="424">
        <f t="shared" si="129"/>
        <v>0</v>
      </c>
      <c r="EI313" s="424">
        <f t="shared" si="130"/>
        <v>0</v>
      </c>
      <c r="EJ313" s="422">
        <f t="shared" si="131"/>
        <v>0</v>
      </c>
      <c r="EK313" s="425">
        <f t="shared" si="132"/>
        <v>0</v>
      </c>
      <c r="EL313" s="425">
        <f t="shared" si="133"/>
        <v>0</v>
      </c>
      <c r="EM313" s="423">
        <f t="shared" si="134"/>
        <v>0</v>
      </c>
      <c r="EN313" s="424">
        <f t="shared" si="135"/>
        <v>0</v>
      </c>
      <c r="EO313" s="425">
        <f t="shared" si="136"/>
        <v>0</v>
      </c>
      <c r="EP313" s="419"/>
      <c r="EQ313" s="421"/>
      <c r="ER313" s="419"/>
      <c r="ES313" s="421"/>
      <c r="ET313" s="419"/>
      <c r="EU313" s="421"/>
      <c r="EV313" s="419"/>
      <c r="EW313" s="421"/>
      <c r="EX313" s="419"/>
      <c r="EY313" s="421"/>
      <c r="EZ313" s="419"/>
      <c r="FA313" s="421"/>
      <c r="FB313" s="419"/>
      <c r="FC313" s="421"/>
      <c r="FD313" s="419"/>
      <c r="FE313" s="421"/>
      <c r="FF313" s="419"/>
      <c r="FG313" s="421"/>
      <c r="FH313" s="419"/>
      <c r="FI313" s="421"/>
      <c r="FJ313" s="424">
        <f t="shared" si="137"/>
        <v>0</v>
      </c>
      <c r="FK313" s="425">
        <f t="shared" si="138"/>
        <v>0</v>
      </c>
      <c r="FL313" s="419"/>
      <c r="FM313" s="421"/>
      <c r="FN313" s="424">
        <f t="shared" si="139"/>
        <v>355</v>
      </c>
      <c r="FO313" s="425">
        <f t="shared" si="140"/>
        <v>379</v>
      </c>
    </row>
    <row r="314" spans="1:171">
      <c r="A314" s="427" t="s">
        <v>163</v>
      </c>
      <c r="B314" s="57" t="s">
        <v>833</v>
      </c>
      <c r="C314" s="56"/>
      <c r="D314" s="55">
        <v>421540</v>
      </c>
      <c r="E314" s="55">
        <v>13</v>
      </c>
      <c r="F314" s="419">
        <v>79</v>
      </c>
      <c r="G314" s="420">
        <v>131</v>
      </c>
      <c r="H314" s="419"/>
      <c r="I314" s="421"/>
      <c r="J314" s="419"/>
      <c r="K314" s="421"/>
      <c r="L314" s="422">
        <f t="shared" si="119"/>
        <v>0</v>
      </c>
      <c r="M314" s="423">
        <f t="shared" si="120"/>
        <v>0</v>
      </c>
      <c r="N314" s="419"/>
      <c r="O314" s="309">
        <f>0</f>
        <v>0</v>
      </c>
      <c r="P314" s="309">
        <f>0</f>
        <v>0</v>
      </c>
      <c r="Q314" s="309">
        <f>0</f>
        <v>0</v>
      </c>
      <c r="R314" s="424">
        <f t="shared" si="117"/>
        <v>0</v>
      </c>
      <c r="S314" s="421"/>
      <c r="T314" s="301">
        <f>0</f>
        <v>0</v>
      </c>
      <c r="U314" s="301">
        <f>0</f>
        <v>0</v>
      </c>
      <c r="V314" s="301">
        <f>0</f>
        <v>0</v>
      </c>
      <c r="W314" s="425">
        <f t="shared" si="118"/>
        <v>0</v>
      </c>
      <c r="X314" s="419"/>
      <c r="Y314" s="419"/>
      <c r="Z314" s="421"/>
      <c r="AA314" s="421"/>
      <c r="AB314" s="419"/>
      <c r="AC314" s="419"/>
      <c r="AD314" s="421"/>
      <c r="AE314" s="421"/>
      <c r="AF314" s="419"/>
      <c r="AG314" s="419"/>
      <c r="AH314" s="421"/>
      <c r="AI314" s="421"/>
      <c r="AJ314" s="419"/>
      <c r="AK314" s="419"/>
      <c r="AL314" s="421"/>
      <c r="AM314" s="421"/>
      <c r="AN314" s="419"/>
      <c r="AO314" s="419"/>
      <c r="AP314" s="421"/>
      <c r="AQ314" s="421"/>
      <c r="AR314" s="424">
        <f t="shared" si="121"/>
        <v>0</v>
      </c>
      <c r="AS314" s="422">
        <f t="shared" si="122"/>
        <v>0</v>
      </c>
      <c r="AT314" s="425">
        <f t="shared" si="123"/>
        <v>0</v>
      </c>
      <c r="AU314" s="423">
        <f t="shared" si="124"/>
        <v>0</v>
      </c>
      <c r="AV314" s="419"/>
      <c r="AW314" s="421"/>
      <c r="AX314" s="419"/>
      <c r="AY314" s="419"/>
      <c r="AZ314" s="421"/>
      <c r="BA314" s="421"/>
      <c r="BB314" s="419"/>
      <c r="BC314" s="419"/>
      <c r="BD314" s="421"/>
      <c r="BE314" s="421"/>
      <c r="BF314" s="419"/>
      <c r="BG314" s="419"/>
      <c r="BH314" s="421"/>
      <c r="BI314" s="421"/>
      <c r="BJ314" s="419"/>
      <c r="BK314" s="419"/>
      <c r="BL314" s="421"/>
      <c r="BM314" s="421"/>
      <c r="BN314" s="419"/>
      <c r="BO314" s="419"/>
      <c r="BP314" s="421"/>
      <c r="BQ314" s="421"/>
      <c r="BR314" s="419"/>
      <c r="BS314" s="419"/>
      <c r="BT314" s="421"/>
      <c r="BU314" s="421"/>
      <c r="BV314" s="419"/>
      <c r="BW314" s="419"/>
      <c r="BX314" s="421"/>
      <c r="BY314" s="421"/>
      <c r="BZ314" s="419"/>
      <c r="CA314" s="419"/>
      <c r="CB314" s="421"/>
      <c r="CC314" s="421"/>
      <c r="CD314" s="419"/>
      <c r="CE314" s="419"/>
      <c r="CF314" s="421"/>
      <c r="CG314" s="421"/>
      <c r="CH314" s="419"/>
      <c r="CI314" s="419"/>
      <c r="CJ314" s="421"/>
      <c r="CK314" s="421"/>
      <c r="CL314" s="419"/>
      <c r="CM314" s="421"/>
      <c r="CN314" s="424">
        <f t="shared" si="125"/>
        <v>0</v>
      </c>
      <c r="CO314" s="424">
        <f t="shared" si="126"/>
        <v>0</v>
      </c>
      <c r="CP314" s="425">
        <f t="shared" si="127"/>
        <v>0</v>
      </c>
      <c r="CQ314" s="425">
        <f t="shared" si="128"/>
        <v>0</v>
      </c>
      <c r="CR314" s="419"/>
      <c r="CS314" s="419"/>
      <c r="CT314" s="421"/>
      <c r="CU314" s="421"/>
      <c r="CV314" s="419"/>
      <c r="CW314" s="419"/>
      <c r="CX314" s="421"/>
      <c r="CY314" s="421"/>
      <c r="CZ314" s="419"/>
      <c r="DA314" s="419"/>
      <c r="DB314" s="421"/>
      <c r="DC314" s="421"/>
      <c r="DD314" s="419"/>
      <c r="DE314" s="419"/>
      <c r="DF314" s="421"/>
      <c r="DG314" s="421"/>
      <c r="DH314" s="419"/>
      <c r="DI314" s="419"/>
      <c r="DJ314" s="421"/>
      <c r="DK314" s="421"/>
      <c r="DL314" s="419"/>
      <c r="DM314" s="419"/>
      <c r="DN314" s="421"/>
      <c r="DO314" s="421"/>
      <c r="DP314" s="419"/>
      <c r="DQ314" s="419"/>
      <c r="DR314" s="421"/>
      <c r="DS314" s="421"/>
      <c r="DT314" s="419"/>
      <c r="DU314" s="419"/>
      <c r="DV314" s="421"/>
      <c r="DW314" s="421"/>
      <c r="DX314" s="419"/>
      <c r="DY314" s="419"/>
      <c r="DZ314" s="421"/>
      <c r="EA314" s="421"/>
      <c r="EB314" s="419"/>
      <c r="EC314" s="419"/>
      <c r="ED314" s="421"/>
      <c r="EE314" s="421"/>
      <c r="EF314" s="419"/>
      <c r="EG314" s="421"/>
      <c r="EH314" s="424">
        <f t="shared" si="129"/>
        <v>0</v>
      </c>
      <c r="EI314" s="424">
        <f t="shared" si="130"/>
        <v>0</v>
      </c>
      <c r="EJ314" s="422">
        <f t="shared" si="131"/>
        <v>0</v>
      </c>
      <c r="EK314" s="425">
        <f t="shared" si="132"/>
        <v>0</v>
      </c>
      <c r="EL314" s="425">
        <f t="shared" si="133"/>
        <v>0</v>
      </c>
      <c r="EM314" s="423">
        <f t="shared" si="134"/>
        <v>0</v>
      </c>
      <c r="EN314" s="424">
        <f t="shared" si="135"/>
        <v>0</v>
      </c>
      <c r="EO314" s="425">
        <f t="shared" si="136"/>
        <v>0</v>
      </c>
      <c r="EP314" s="419"/>
      <c r="EQ314" s="421"/>
      <c r="ER314" s="419"/>
      <c r="ES314" s="421"/>
      <c r="ET314" s="419"/>
      <c r="EU314" s="421"/>
      <c r="EV314" s="419"/>
      <c r="EW314" s="421"/>
      <c r="EX314" s="419"/>
      <c r="EY314" s="421"/>
      <c r="EZ314" s="419"/>
      <c r="FA314" s="421"/>
      <c r="FB314" s="419"/>
      <c r="FC314" s="421"/>
      <c r="FD314" s="419"/>
      <c r="FE314" s="421"/>
      <c r="FF314" s="419"/>
      <c r="FG314" s="421"/>
      <c r="FH314" s="419"/>
      <c r="FI314" s="421"/>
      <c r="FJ314" s="424">
        <f t="shared" si="137"/>
        <v>0</v>
      </c>
      <c r="FK314" s="425">
        <f t="shared" si="138"/>
        <v>0</v>
      </c>
      <c r="FL314" s="419"/>
      <c r="FM314" s="421"/>
      <c r="FN314" s="424">
        <f t="shared" si="139"/>
        <v>79</v>
      </c>
      <c r="FO314" s="425">
        <f t="shared" si="140"/>
        <v>131</v>
      </c>
    </row>
    <row r="315" spans="1:171">
      <c r="A315" s="427" t="s">
        <v>163</v>
      </c>
      <c r="B315" s="57" t="s">
        <v>834</v>
      </c>
      <c r="C315" s="56"/>
      <c r="D315" s="55">
        <v>421559</v>
      </c>
      <c r="E315" s="55">
        <v>13</v>
      </c>
      <c r="F315" s="419">
        <v>72</v>
      </c>
      <c r="G315" s="421">
        <v>83</v>
      </c>
      <c r="H315" s="419"/>
      <c r="I315" s="421"/>
      <c r="J315" s="419"/>
      <c r="K315" s="421"/>
      <c r="L315" s="422">
        <f t="shared" si="119"/>
        <v>0</v>
      </c>
      <c r="M315" s="423">
        <f t="shared" si="120"/>
        <v>0</v>
      </c>
      <c r="N315" s="419"/>
      <c r="O315" s="309">
        <f>0</f>
        <v>0</v>
      </c>
      <c r="P315" s="309">
        <f>0</f>
        <v>0</v>
      </c>
      <c r="Q315" s="309">
        <f>0</f>
        <v>0</v>
      </c>
      <c r="R315" s="424">
        <f t="shared" si="117"/>
        <v>0</v>
      </c>
      <c r="S315" s="421"/>
      <c r="T315" s="301">
        <f>0</f>
        <v>0</v>
      </c>
      <c r="U315" s="301">
        <f>0</f>
        <v>0</v>
      </c>
      <c r="V315" s="301">
        <f>0</f>
        <v>0</v>
      </c>
      <c r="W315" s="425">
        <f t="shared" si="118"/>
        <v>0</v>
      </c>
      <c r="X315" s="419"/>
      <c r="Y315" s="419"/>
      <c r="Z315" s="421"/>
      <c r="AA315" s="421"/>
      <c r="AB315" s="419"/>
      <c r="AC315" s="419"/>
      <c r="AD315" s="421"/>
      <c r="AE315" s="421"/>
      <c r="AF315" s="419"/>
      <c r="AG315" s="419"/>
      <c r="AH315" s="421"/>
      <c r="AI315" s="421"/>
      <c r="AJ315" s="419"/>
      <c r="AK315" s="419"/>
      <c r="AL315" s="421"/>
      <c r="AM315" s="421"/>
      <c r="AN315" s="419"/>
      <c r="AO315" s="419"/>
      <c r="AP315" s="421"/>
      <c r="AQ315" s="421"/>
      <c r="AR315" s="424">
        <f t="shared" si="121"/>
        <v>0</v>
      </c>
      <c r="AS315" s="422">
        <f t="shared" si="122"/>
        <v>0</v>
      </c>
      <c r="AT315" s="425">
        <f t="shared" si="123"/>
        <v>0</v>
      </c>
      <c r="AU315" s="423">
        <f t="shared" si="124"/>
        <v>0</v>
      </c>
      <c r="AV315" s="419"/>
      <c r="AW315" s="421"/>
      <c r="AX315" s="419"/>
      <c r="AY315" s="419"/>
      <c r="AZ315" s="421"/>
      <c r="BA315" s="421"/>
      <c r="BB315" s="419"/>
      <c r="BC315" s="419"/>
      <c r="BD315" s="421"/>
      <c r="BE315" s="421"/>
      <c r="BF315" s="419"/>
      <c r="BG315" s="419"/>
      <c r="BH315" s="421"/>
      <c r="BI315" s="421"/>
      <c r="BJ315" s="419"/>
      <c r="BK315" s="419"/>
      <c r="BL315" s="421"/>
      <c r="BM315" s="421"/>
      <c r="BN315" s="419"/>
      <c r="BO315" s="419"/>
      <c r="BP315" s="421"/>
      <c r="BQ315" s="421"/>
      <c r="BR315" s="419"/>
      <c r="BS315" s="419"/>
      <c r="BT315" s="421"/>
      <c r="BU315" s="421"/>
      <c r="BV315" s="419"/>
      <c r="BW315" s="419"/>
      <c r="BX315" s="421"/>
      <c r="BY315" s="421"/>
      <c r="BZ315" s="419"/>
      <c r="CA315" s="419"/>
      <c r="CB315" s="421"/>
      <c r="CC315" s="421"/>
      <c r="CD315" s="419"/>
      <c r="CE315" s="419"/>
      <c r="CF315" s="421"/>
      <c r="CG315" s="421"/>
      <c r="CH315" s="419"/>
      <c r="CI315" s="419"/>
      <c r="CJ315" s="421"/>
      <c r="CK315" s="421"/>
      <c r="CL315" s="419"/>
      <c r="CM315" s="421"/>
      <c r="CN315" s="424">
        <f t="shared" si="125"/>
        <v>0</v>
      </c>
      <c r="CO315" s="424">
        <f t="shared" si="126"/>
        <v>0</v>
      </c>
      <c r="CP315" s="425">
        <f t="shared" si="127"/>
        <v>0</v>
      </c>
      <c r="CQ315" s="425">
        <f t="shared" si="128"/>
        <v>0</v>
      </c>
      <c r="CR315" s="419"/>
      <c r="CS315" s="419"/>
      <c r="CT315" s="421"/>
      <c r="CU315" s="421"/>
      <c r="CV315" s="419"/>
      <c r="CW315" s="419"/>
      <c r="CX315" s="421"/>
      <c r="CY315" s="421"/>
      <c r="CZ315" s="419"/>
      <c r="DA315" s="419"/>
      <c r="DB315" s="421"/>
      <c r="DC315" s="421"/>
      <c r="DD315" s="419"/>
      <c r="DE315" s="419"/>
      <c r="DF315" s="421"/>
      <c r="DG315" s="421"/>
      <c r="DH315" s="419"/>
      <c r="DI315" s="419"/>
      <c r="DJ315" s="421"/>
      <c r="DK315" s="421"/>
      <c r="DL315" s="419"/>
      <c r="DM315" s="419"/>
      <c r="DN315" s="421"/>
      <c r="DO315" s="421"/>
      <c r="DP315" s="419"/>
      <c r="DQ315" s="419"/>
      <c r="DR315" s="421"/>
      <c r="DS315" s="421"/>
      <c r="DT315" s="419"/>
      <c r="DU315" s="419"/>
      <c r="DV315" s="421"/>
      <c r="DW315" s="421"/>
      <c r="DX315" s="419"/>
      <c r="DY315" s="419"/>
      <c r="DZ315" s="421"/>
      <c r="EA315" s="421"/>
      <c r="EB315" s="419"/>
      <c r="EC315" s="419"/>
      <c r="ED315" s="421"/>
      <c r="EE315" s="421"/>
      <c r="EF315" s="419"/>
      <c r="EG315" s="421"/>
      <c r="EH315" s="424">
        <f t="shared" si="129"/>
        <v>0</v>
      </c>
      <c r="EI315" s="424">
        <f t="shared" si="130"/>
        <v>0</v>
      </c>
      <c r="EJ315" s="422">
        <f t="shared" si="131"/>
        <v>0</v>
      </c>
      <c r="EK315" s="425">
        <f t="shared" si="132"/>
        <v>0</v>
      </c>
      <c r="EL315" s="425">
        <f t="shared" si="133"/>
        <v>0</v>
      </c>
      <c r="EM315" s="423">
        <f t="shared" si="134"/>
        <v>0</v>
      </c>
      <c r="EN315" s="424">
        <f t="shared" si="135"/>
        <v>0</v>
      </c>
      <c r="EO315" s="425">
        <f t="shared" si="136"/>
        <v>0</v>
      </c>
      <c r="EP315" s="419"/>
      <c r="EQ315" s="421"/>
      <c r="ER315" s="419"/>
      <c r="ES315" s="421"/>
      <c r="ET315" s="419"/>
      <c r="EU315" s="421"/>
      <c r="EV315" s="419"/>
      <c r="EW315" s="421"/>
      <c r="EX315" s="419"/>
      <c r="EY315" s="421"/>
      <c r="EZ315" s="419"/>
      <c r="FA315" s="421"/>
      <c r="FB315" s="419"/>
      <c r="FC315" s="421"/>
      <c r="FD315" s="419"/>
      <c r="FE315" s="421"/>
      <c r="FF315" s="419"/>
      <c r="FG315" s="421"/>
      <c r="FH315" s="419"/>
      <c r="FI315" s="421"/>
      <c r="FJ315" s="424">
        <f t="shared" si="137"/>
        <v>0</v>
      </c>
      <c r="FK315" s="425">
        <f t="shared" si="138"/>
        <v>0</v>
      </c>
      <c r="FL315" s="419"/>
      <c r="FM315" s="421"/>
      <c r="FN315" s="424">
        <f t="shared" si="139"/>
        <v>72</v>
      </c>
      <c r="FO315" s="425">
        <f t="shared" si="140"/>
        <v>83</v>
      </c>
    </row>
    <row r="316" spans="1:171">
      <c r="A316" s="427" t="s">
        <v>163</v>
      </c>
      <c r="B316" s="57" t="s">
        <v>835</v>
      </c>
      <c r="C316" s="56"/>
      <c r="D316" s="55">
        <v>208026</v>
      </c>
      <c r="E316" s="55">
        <v>13</v>
      </c>
      <c r="F316" s="419">
        <v>139</v>
      </c>
      <c r="G316" s="421">
        <v>141</v>
      </c>
      <c r="H316" s="419"/>
      <c r="I316" s="421"/>
      <c r="J316" s="419"/>
      <c r="K316" s="421"/>
      <c r="L316" s="422">
        <f t="shared" si="119"/>
        <v>0</v>
      </c>
      <c r="M316" s="423">
        <f t="shared" si="120"/>
        <v>0</v>
      </c>
      <c r="N316" s="419"/>
      <c r="O316" s="309">
        <f>0</f>
        <v>0</v>
      </c>
      <c r="P316" s="309">
        <f>0</f>
        <v>0</v>
      </c>
      <c r="Q316" s="309">
        <f>0</f>
        <v>0</v>
      </c>
      <c r="R316" s="424">
        <f t="shared" si="117"/>
        <v>0</v>
      </c>
      <c r="S316" s="421"/>
      <c r="T316" s="301">
        <f>0</f>
        <v>0</v>
      </c>
      <c r="U316" s="301">
        <f>0</f>
        <v>0</v>
      </c>
      <c r="V316" s="301">
        <f>0</f>
        <v>0</v>
      </c>
      <c r="W316" s="425">
        <f t="shared" si="118"/>
        <v>0</v>
      </c>
      <c r="X316" s="419"/>
      <c r="Y316" s="419"/>
      <c r="Z316" s="421"/>
      <c r="AA316" s="421"/>
      <c r="AB316" s="419"/>
      <c r="AC316" s="419"/>
      <c r="AD316" s="421"/>
      <c r="AE316" s="421"/>
      <c r="AF316" s="419"/>
      <c r="AG316" s="419"/>
      <c r="AH316" s="421"/>
      <c r="AI316" s="421"/>
      <c r="AJ316" s="419"/>
      <c r="AK316" s="419"/>
      <c r="AL316" s="421"/>
      <c r="AM316" s="421"/>
      <c r="AN316" s="419"/>
      <c r="AO316" s="419"/>
      <c r="AP316" s="421"/>
      <c r="AQ316" s="421"/>
      <c r="AR316" s="424">
        <f t="shared" si="121"/>
        <v>0</v>
      </c>
      <c r="AS316" s="422">
        <f t="shared" si="122"/>
        <v>0</v>
      </c>
      <c r="AT316" s="425">
        <f t="shared" si="123"/>
        <v>0</v>
      </c>
      <c r="AU316" s="423">
        <f t="shared" si="124"/>
        <v>0</v>
      </c>
      <c r="AV316" s="419"/>
      <c r="AW316" s="421"/>
      <c r="AX316" s="419"/>
      <c r="AY316" s="419"/>
      <c r="AZ316" s="421"/>
      <c r="BA316" s="421"/>
      <c r="BB316" s="419"/>
      <c r="BC316" s="419"/>
      <c r="BD316" s="421"/>
      <c r="BE316" s="421"/>
      <c r="BF316" s="419"/>
      <c r="BG316" s="419"/>
      <c r="BH316" s="421"/>
      <c r="BI316" s="421"/>
      <c r="BJ316" s="419"/>
      <c r="BK316" s="419"/>
      <c r="BL316" s="421"/>
      <c r="BM316" s="421"/>
      <c r="BN316" s="419"/>
      <c r="BO316" s="419"/>
      <c r="BP316" s="421"/>
      <c r="BQ316" s="421"/>
      <c r="BR316" s="419"/>
      <c r="BS316" s="419"/>
      <c r="BT316" s="421"/>
      <c r="BU316" s="421"/>
      <c r="BV316" s="419"/>
      <c r="BW316" s="419"/>
      <c r="BX316" s="421"/>
      <c r="BY316" s="421"/>
      <c r="BZ316" s="419"/>
      <c r="CA316" s="419"/>
      <c r="CB316" s="421"/>
      <c r="CC316" s="421"/>
      <c r="CD316" s="419"/>
      <c r="CE316" s="419"/>
      <c r="CF316" s="421"/>
      <c r="CG316" s="421"/>
      <c r="CH316" s="419"/>
      <c r="CI316" s="419"/>
      <c r="CJ316" s="421"/>
      <c r="CK316" s="421"/>
      <c r="CL316" s="419"/>
      <c r="CM316" s="421"/>
      <c r="CN316" s="424">
        <f t="shared" si="125"/>
        <v>0</v>
      </c>
      <c r="CO316" s="424">
        <f t="shared" si="126"/>
        <v>0</v>
      </c>
      <c r="CP316" s="425">
        <f t="shared" si="127"/>
        <v>0</v>
      </c>
      <c r="CQ316" s="425">
        <f t="shared" si="128"/>
        <v>0</v>
      </c>
      <c r="CR316" s="419"/>
      <c r="CS316" s="419"/>
      <c r="CT316" s="421"/>
      <c r="CU316" s="421"/>
      <c r="CV316" s="419"/>
      <c r="CW316" s="419"/>
      <c r="CX316" s="421"/>
      <c r="CY316" s="421"/>
      <c r="CZ316" s="419"/>
      <c r="DA316" s="419"/>
      <c r="DB316" s="421"/>
      <c r="DC316" s="421"/>
      <c r="DD316" s="419"/>
      <c r="DE316" s="419"/>
      <c r="DF316" s="421"/>
      <c r="DG316" s="421"/>
      <c r="DH316" s="419"/>
      <c r="DI316" s="419"/>
      <c r="DJ316" s="421"/>
      <c r="DK316" s="421"/>
      <c r="DL316" s="419"/>
      <c r="DM316" s="419"/>
      <c r="DN316" s="421"/>
      <c r="DO316" s="421"/>
      <c r="DP316" s="419"/>
      <c r="DQ316" s="419"/>
      <c r="DR316" s="421"/>
      <c r="DS316" s="421"/>
      <c r="DT316" s="419"/>
      <c r="DU316" s="419"/>
      <c r="DV316" s="421"/>
      <c r="DW316" s="421"/>
      <c r="DX316" s="419"/>
      <c r="DY316" s="419"/>
      <c r="DZ316" s="421"/>
      <c r="EA316" s="421"/>
      <c r="EB316" s="419"/>
      <c r="EC316" s="419"/>
      <c r="ED316" s="421"/>
      <c r="EE316" s="421"/>
      <c r="EF316" s="419"/>
      <c r="EG316" s="421"/>
      <c r="EH316" s="424">
        <f t="shared" si="129"/>
        <v>0</v>
      </c>
      <c r="EI316" s="424">
        <f t="shared" si="130"/>
        <v>0</v>
      </c>
      <c r="EJ316" s="422">
        <f t="shared" si="131"/>
        <v>0</v>
      </c>
      <c r="EK316" s="425">
        <f t="shared" si="132"/>
        <v>0</v>
      </c>
      <c r="EL316" s="425">
        <f t="shared" si="133"/>
        <v>0</v>
      </c>
      <c r="EM316" s="423">
        <f t="shared" si="134"/>
        <v>0</v>
      </c>
      <c r="EN316" s="424">
        <f t="shared" si="135"/>
        <v>0</v>
      </c>
      <c r="EO316" s="425">
        <f t="shared" si="136"/>
        <v>0</v>
      </c>
      <c r="EP316" s="419"/>
      <c r="EQ316" s="421"/>
      <c r="ER316" s="419"/>
      <c r="ES316" s="421"/>
      <c r="ET316" s="419"/>
      <c r="EU316" s="421"/>
      <c r="EV316" s="419"/>
      <c r="EW316" s="421"/>
      <c r="EX316" s="419"/>
      <c r="EY316" s="421"/>
      <c r="EZ316" s="419"/>
      <c r="FA316" s="421"/>
      <c r="FB316" s="419"/>
      <c r="FC316" s="421"/>
      <c r="FD316" s="419"/>
      <c r="FE316" s="421"/>
      <c r="FF316" s="419"/>
      <c r="FG316" s="421"/>
      <c r="FH316" s="419"/>
      <c r="FI316" s="421"/>
      <c r="FJ316" s="424">
        <f t="shared" si="137"/>
        <v>0</v>
      </c>
      <c r="FK316" s="425">
        <f t="shared" si="138"/>
        <v>0</v>
      </c>
      <c r="FL316" s="419"/>
      <c r="FM316" s="421"/>
      <c r="FN316" s="424">
        <f t="shared" si="139"/>
        <v>139</v>
      </c>
      <c r="FO316" s="425">
        <f t="shared" si="140"/>
        <v>141</v>
      </c>
    </row>
    <row r="317" spans="1:171">
      <c r="A317" s="427" t="s">
        <v>163</v>
      </c>
      <c r="B317" s="57" t="s">
        <v>836</v>
      </c>
      <c r="C317" s="56"/>
      <c r="D317" s="55">
        <v>375692</v>
      </c>
      <c r="E317" s="55">
        <v>13</v>
      </c>
      <c r="F317" s="419">
        <v>120</v>
      </c>
      <c r="G317" s="420">
        <v>70</v>
      </c>
      <c r="H317" s="419"/>
      <c r="I317" s="421"/>
      <c r="J317" s="419"/>
      <c r="K317" s="421"/>
      <c r="L317" s="422">
        <f t="shared" si="119"/>
        <v>0</v>
      </c>
      <c r="M317" s="423">
        <f t="shared" si="120"/>
        <v>0</v>
      </c>
      <c r="N317" s="419"/>
      <c r="O317" s="309">
        <f>0</f>
        <v>0</v>
      </c>
      <c r="P317" s="309">
        <f>0</f>
        <v>0</v>
      </c>
      <c r="Q317" s="309">
        <f>0</f>
        <v>0</v>
      </c>
      <c r="R317" s="424">
        <f t="shared" si="117"/>
        <v>0</v>
      </c>
      <c r="S317" s="421"/>
      <c r="T317" s="301">
        <f>0</f>
        <v>0</v>
      </c>
      <c r="U317" s="301">
        <f>0</f>
        <v>0</v>
      </c>
      <c r="V317" s="301">
        <f>0</f>
        <v>0</v>
      </c>
      <c r="W317" s="425">
        <f t="shared" si="118"/>
        <v>0</v>
      </c>
      <c r="X317" s="419"/>
      <c r="Y317" s="419"/>
      <c r="Z317" s="421"/>
      <c r="AA317" s="421"/>
      <c r="AB317" s="419"/>
      <c r="AC317" s="419"/>
      <c r="AD317" s="421"/>
      <c r="AE317" s="421"/>
      <c r="AF317" s="419"/>
      <c r="AG317" s="419"/>
      <c r="AH317" s="421"/>
      <c r="AI317" s="421"/>
      <c r="AJ317" s="419"/>
      <c r="AK317" s="419"/>
      <c r="AL317" s="421"/>
      <c r="AM317" s="421"/>
      <c r="AN317" s="419"/>
      <c r="AO317" s="419"/>
      <c r="AP317" s="421"/>
      <c r="AQ317" s="421"/>
      <c r="AR317" s="424">
        <f t="shared" si="121"/>
        <v>0</v>
      </c>
      <c r="AS317" s="422">
        <f t="shared" si="122"/>
        <v>0</v>
      </c>
      <c r="AT317" s="425">
        <f t="shared" si="123"/>
        <v>0</v>
      </c>
      <c r="AU317" s="423">
        <f t="shared" si="124"/>
        <v>0</v>
      </c>
      <c r="AV317" s="419"/>
      <c r="AW317" s="421"/>
      <c r="AX317" s="419"/>
      <c r="AY317" s="419"/>
      <c r="AZ317" s="421"/>
      <c r="BA317" s="421"/>
      <c r="BB317" s="419"/>
      <c r="BC317" s="419"/>
      <c r="BD317" s="421"/>
      <c r="BE317" s="421"/>
      <c r="BF317" s="419"/>
      <c r="BG317" s="419"/>
      <c r="BH317" s="421"/>
      <c r="BI317" s="421"/>
      <c r="BJ317" s="419"/>
      <c r="BK317" s="419"/>
      <c r="BL317" s="421"/>
      <c r="BM317" s="421"/>
      <c r="BN317" s="419"/>
      <c r="BO317" s="419"/>
      <c r="BP317" s="421"/>
      <c r="BQ317" s="421"/>
      <c r="BR317" s="419"/>
      <c r="BS317" s="419"/>
      <c r="BT317" s="421"/>
      <c r="BU317" s="421"/>
      <c r="BV317" s="419"/>
      <c r="BW317" s="419"/>
      <c r="BX317" s="421"/>
      <c r="BY317" s="421"/>
      <c r="BZ317" s="419"/>
      <c r="CA317" s="419"/>
      <c r="CB317" s="421"/>
      <c r="CC317" s="421"/>
      <c r="CD317" s="419"/>
      <c r="CE317" s="419"/>
      <c r="CF317" s="421"/>
      <c r="CG317" s="421"/>
      <c r="CH317" s="419"/>
      <c r="CI317" s="419"/>
      <c r="CJ317" s="421"/>
      <c r="CK317" s="421"/>
      <c r="CL317" s="419"/>
      <c r="CM317" s="421"/>
      <c r="CN317" s="424">
        <f t="shared" si="125"/>
        <v>0</v>
      </c>
      <c r="CO317" s="424">
        <f t="shared" si="126"/>
        <v>0</v>
      </c>
      <c r="CP317" s="425">
        <f t="shared" si="127"/>
        <v>0</v>
      </c>
      <c r="CQ317" s="425">
        <f t="shared" si="128"/>
        <v>0</v>
      </c>
      <c r="CR317" s="419"/>
      <c r="CS317" s="419"/>
      <c r="CT317" s="421"/>
      <c r="CU317" s="421"/>
      <c r="CV317" s="419"/>
      <c r="CW317" s="419"/>
      <c r="CX317" s="421"/>
      <c r="CY317" s="421"/>
      <c r="CZ317" s="419"/>
      <c r="DA317" s="419"/>
      <c r="DB317" s="421"/>
      <c r="DC317" s="421"/>
      <c r="DD317" s="419"/>
      <c r="DE317" s="419"/>
      <c r="DF317" s="421"/>
      <c r="DG317" s="421"/>
      <c r="DH317" s="419"/>
      <c r="DI317" s="419"/>
      <c r="DJ317" s="421"/>
      <c r="DK317" s="421"/>
      <c r="DL317" s="419"/>
      <c r="DM317" s="419"/>
      <c r="DN317" s="421"/>
      <c r="DO317" s="421"/>
      <c r="DP317" s="419"/>
      <c r="DQ317" s="419"/>
      <c r="DR317" s="421"/>
      <c r="DS317" s="421"/>
      <c r="DT317" s="419"/>
      <c r="DU317" s="419"/>
      <c r="DV317" s="421"/>
      <c r="DW317" s="421"/>
      <c r="DX317" s="419"/>
      <c r="DY317" s="419"/>
      <c r="DZ317" s="421"/>
      <c r="EA317" s="421"/>
      <c r="EB317" s="419"/>
      <c r="EC317" s="419"/>
      <c r="ED317" s="421"/>
      <c r="EE317" s="421"/>
      <c r="EF317" s="419"/>
      <c r="EG317" s="421"/>
      <c r="EH317" s="424">
        <f t="shared" si="129"/>
        <v>0</v>
      </c>
      <c r="EI317" s="424">
        <f t="shared" si="130"/>
        <v>0</v>
      </c>
      <c r="EJ317" s="422">
        <f t="shared" si="131"/>
        <v>0</v>
      </c>
      <c r="EK317" s="425">
        <f t="shared" si="132"/>
        <v>0</v>
      </c>
      <c r="EL317" s="425">
        <f t="shared" si="133"/>
        <v>0</v>
      </c>
      <c r="EM317" s="423">
        <f t="shared" si="134"/>
        <v>0</v>
      </c>
      <c r="EN317" s="424">
        <f t="shared" si="135"/>
        <v>0</v>
      </c>
      <c r="EO317" s="425">
        <f t="shared" si="136"/>
        <v>0</v>
      </c>
      <c r="EP317" s="419"/>
      <c r="EQ317" s="421"/>
      <c r="ER317" s="419"/>
      <c r="ES317" s="421"/>
      <c r="ET317" s="419"/>
      <c r="EU317" s="421"/>
      <c r="EV317" s="419"/>
      <c r="EW317" s="421"/>
      <c r="EX317" s="419"/>
      <c r="EY317" s="421"/>
      <c r="EZ317" s="419"/>
      <c r="FA317" s="421"/>
      <c r="FB317" s="419"/>
      <c r="FC317" s="421"/>
      <c r="FD317" s="419"/>
      <c r="FE317" s="421"/>
      <c r="FF317" s="419"/>
      <c r="FG317" s="421"/>
      <c r="FH317" s="419"/>
      <c r="FI317" s="421"/>
      <c r="FJ317" s="424">
        <f t="shared" si="137"/>
        <v>0</v>
      </c>
      <c r="FK317" s="425">
        <f t="shared" si="138"/>
        <v>0</v>
      </c>
      <c r="FL317" s="419"/>
      <c r="FM317" s="421"/>
      <c r="FN317" s="424">
        <f t="shared" si="139"/>
        <v>120</v>
      </c>
      <c r="FO317" s="425">
        <f t="shared" si="140"/>
        <v>70</v>
      </c>
    </row>
    <row r="318" spans="1:171">
      <c r="A318" s="427" t="s">
        <v>163</v>
      </c>
      <c r="B318" s="57" t="s">
        <v>837</v>
      </c>
      <c r="C318" s="56"/>
      <c r="D318" s="55">
        <v>375708</v>
      </c>
      <c r="E318" s="55">
        <v>13</v>
      </c>
      <c r="F318" s="419">
        <v>125</v>
      </c>
      <c r="G318" s="421">
        <v>109</v>
      </c>
      <c r="H318" s="419"/>
      <c r="I318" s="421"/>
      <c r="J318" s="419"/>
      <c r="K318" s="421"/>
      <c r="L318" s="422">
        <f t="shared" si="119"/>
        <v>0</v>
      </c>
      <c r="M318" s="423">
        <f t="shared" si="120"/>
        <v>0</v>
      </c>
      <c r="N318" s="419"/>
      <c r="O318" s="309">
        <f>0</f>
        <v>0</v>
      </c>
      <c r="P318" s="309">
        <f>0</f>
        <v>0</v>
      </c>
      <c r="Q318" s="309">
        <f>0</f>
        <v>0</v>
      </c>
      <c r="R318" s="424">
        <f t="shared" si="117"/>
        <v>0</v>
      </c>
      <c r="S318" s="421"/>
      <c r="T318" s="301">
        <f>0</f>
        <v>0</v>
      </c>
      <c r="U318" s="301">
        <f>0</f>
        <v>0</v>
      </c>
      <c r="V318" s="301">
        <f>0</f>
        <v>0</v>
      </c>
      <c r="W318" s="425">
        <f t="shared" si="118"/>
        <v>0</v>
      </c>
      <c r="X318" s="419"/>
      <c r="Y318" s="419"/>
      <c r="Z318" s="421"/>
      <c r="AA318" s="421"/>
      <c r="AB318" s="419"/>
      <c r="AC318" s="419"/>
      <c r="AD318" s="421"/>
      <c r="AE318" s="421"/>
      <c r="AF318" s="419"/>
      <c r="AG318" s="419"/>
      <c r="AH318" s="421"/>
      <c r="AI318" s="421"/>
      <c r="AJ318" s="419"/>
      <c r="AK318" s="419"/>
      <c r="AL318" s="421"/>
      <c r="AM318" s="421"/>
      <c r="AN318" s="419"/>
      <c r="AO318" s="419"/>
      <c r="AP318" s="421"/>
      <c r="AQ318" s="421"/>
      <c r="AR318" s="424">
        <f t="shared" si="121"/>
        <v>0</v>
      </c>
      <c r="AS318" s="422">
        <f t="shared" si="122"/>
        <v>0</v>
      </c>
      <c r="AT318" s="425">
        <f t="shared" si="123"/>
        <v>0</v>
      </c>
      <c r="AU318" s="423">
        <f t="shared" si="124"/>
        <v>0</v>
      </c>
      <c r="AV318" s="419"/>
      <c r="AW318" s="421"/>
      <c r="AX318" s="419"/>
      <c r="AY318" s="419"/>
      <c r="AZ318" s="421"/>
      <c r="BA318" s="421"/>
      <c r="BB318" s="419"/>
      <c r="BC318" s="419"/>
      <c r="BD318" s="421"/>
      <c r="BE318" s="421"/>
      <c r="BF318" s="419"/>
      <c r="BG318" s="419"/>
      <c r="BH318" s="421"/>
      <c r="BI318" s="421"/>
      <c r="BJ318" s="419"/>
      <c r="BK318" s="419"/>
      <c r="BL318" s="421"/>
      <c r="BM318" s="421"/>
      <c r="BN318" s="419"/>
      <c r="BO318" s="419"/>
      <c r="BP318" s="421"/>
      <c r="BQ318" s="421"/>
      <c r="BR318" s="419"/>
      <c r="BS318" s="419"/>
      <c r="BT318" s="421"/>
      <c r="BU318" s="421"/>
      <c r="BV318" s="419"/>
      <c r="BW318" s="419"/>
      <c r="BX318" s="421"/>
      <c r="BY318" s="421"/>
      <c r="BZ318" s="419"/>
      <c r="CA318" s="419"/>
      <c r="CB318" s="421"/>
      <c r="CC318" s="421"/>
      <c r="CD318" s="419"/>
      <c r="CE318" s="419"/>
      <c r="CF318" s="421"/>
      <c r="CG318" s="421"/>
      <c r="CH318" s="419"/>
      <c r="CI318" s="419"/>
      <c r="CJ318" s="421"/>
      <c r="CK318" s="421"/>
      <c r="CL318" s="419"/>
      <c r="CM318" s="421"/>
      <c r="CN318" s="424">
        <f t="shared" si="125"/>
        <v>0</v>
      </c>
      <c r="CO318" s="424">
        <f t="shared" si="126"/>
        <v>0</v>
      </c>
      <c r="CP318" s="425">
        <f t="shared" si="127"/>
        <v>0</v>
      </c>
      <c r="CQ318" s="425">
        <f t="shared" si="128"/>
        <v>0</v>
      </c>
      <c r="CR318" s="419"/>
      <c r="CS318" s="419"/>
      <c r="CT318" s="421"/>
      <c r="CU318" s="421"/>
      <c r="CV318" s="419"/>
      <c r="CW318" s="419"/>
      <c r="CX318" s="421"/>
      <c r="CY318" s="421"/>
      <c r="CZ318" s="419"/>
      <c r="DA318" s="419"/>
      <c r="DB318" s="421"/>
      <c r="DC318" s="421"/>
      <c r="DD318" s="419"/>
      <c r="DE318" s="419"/>
      <c r="DF318" s="421"/>
      <c r="DG318" s="421"/>
      <c r="DH318" s="419"/>
      <c r="DI318" s="419"/>
      <c r="DJ318" s="421"/>
      <c r="DK318" s="421"/>
      <c r="DL318" s="419"/>
      <c r="DM318" s="419"/>
      <c r="DN318" s="421"/>
      <c r="DO318" s="421"/>
      <c r="DP318" s="419"/>
      <c r="DQ318" s="419"/>
      <c r="DR318" s="421"/>
      <c r="DS318" s="421"/>
      <c r="DT318" s="419"/>
      <c r="DU318" s="419"/>
      <c r="DV318" s="421"/>
      <c r="DW318" s="421"/>
      <c r="DX318" s="419"/>
      <c r="DY318" s="419"/>
      <c r="DZ318" s="421"/>
      <c r="EA318" s="421"/>
      <c r="EB318" s="419"/>
      <c r="EC318" s="419"/>
      <c r="ED318" s="421"/>
      <c r="EE318" s="421"/>
      <c r="EF318" s="419"/>
      <c r="EG318" s="421"/>
      <c r="EH318" s="424">
        <f t="shared" si="129"/>
        <v>0</v>
      </c>
      <c r="EI318" s="424">
        <f t="shared" si="130"/>
        <v>0</v>
      </c>
      <c r="EJ318" s="422">
        <f t="shared" si="131"/>
        <v>0</v>
      </c>
      <c r="EK318" s="425">
        <f t="shared" si="132"/>
        <v>0</v>
      </c>
      <c r="EL318" s="425">
        <f t="shared" si="133"/>
        <v>0</v>
      </c>
      <c r="EM318" s="423">
        <f t="shared" si="134"/>
        <v>0</v>
      </c>
      <c r="EN318" s="424">
        <f t="shared" si="135"/>
        <v>0</v>
      </c>
      <c r="EO318" s="425">
        <f t="shared" si="136"/>
        <v>0</v>
      </c>
      <c r="EP318" s="419"/>
      <c r="EQ318" s="421"/>
      <c r="ER318" s="419"/>
      <c r="ES318" s="421"/>
      <c r="ET318" s="419"/>
      <c r="EU318" s="421"/>
      <c r="EV318" s="419"/>
      <c r="EW318" s="421"/>
      <c r="EX318" s="419"/>
      <c r="EY318" s="421"/>
      <c r="EZ318" s="419"/>
      <c r="FA318" s="421"/>
      <c r="FB318" s="419"/>
      <c r="FC318" s="421"/>
      <c r="FD318" s="419"/>
      <c r="FE318" s="421"/>
      <c r="FF318" s="419"/>
      <c r="FG318" s="421"/>
      <c r="FH318" s="419"/>
      <c r="FI318" s="421"/>
      <c r="FJ318" s="424">
        <f t="shared" si="137"/>
        <v>0</v>
      </c>
      <c r="FK318" s="425">
        <f t="shared" si="138"/>
        <v>0</v>
      </c>
      <c r="FL318" s="419"/>
      <c r="FM318" s="421"/>
      <c r="FN318" s="424">
        <f t="shared" si="139"/>
        <v>125</v>
      </c>
      <c r="FO318" s="425">
        <f t="shared" si="140"/>
        <v>109</v>
      </c>
    </row>
    <row r="319" spans="1:171">
      <c r="A319" s="427" t="s">
        <v>163</v>
      </c>
      <c r="B319" s="57" t="s">
        <v>838</v>
      </c>
      <c r="C319" s="56"/>
      <c r="D319" s="55">
        <v>375717</v>
      </c>
      <c r="E319" s="55">
        <v>13</v>
      </c>
      <c r="F319" s="419">
        <v>88</v>
      </c>
      <c r="G319" s="421">
        <v>81</v>
      </c>
      <c r="H319" s="419"/>
      <c r="I319" s="421"/>
      <c r="J319" s="419"/>
      <c r="K319" s="421"/>
      <c r="L319" s="422">
        <f t="shared" si="119"/>
        <v>0</v>
      </c>
      <c r="M319" s="423">
        <f t="shared" si="120"/>
        <v>0</v>
      </c>
      <c r="N319" s="419"/>
      <c r="O319" s="309">
        <f>0</f>
        <v>0</v>
      </c>
      <c r="P319" s="309">
        <f>0</f>
        <v>0</v>
      </c>
      <c r="Q319" s="309">
        <f>0</f>
        <v>0</v>
      </c>
      <c r="R319" s="424">
        <f t="shared" si="117"/>
        <v>0</v>
      </c>
      <c r="S319" s="421"/>
      <c r="T319" s="301">
        <f>0</f>
        <v>0</v>
      </c>
      <c r="U319" s="301">
        <f>0</f>
        <v>0</v>
      </c>
      <c r="V319" s="301">
        <f>0</f>
        <v>0</v>
      </c>
      <c r="W319" s="425">
        <f t="shared" si="118"/>
        <v>0</v>
      </c>
      <c r="X319" s="419"/>
      <c r="Y319" s="419"/>
      <c r="Z319" s="421"/>
      <c r="AA319" s="421"/>
      <c r="AB319" s="419"/>
      <c r="AC319" s="419"/>
      <c r="AD319" s="421"/>
      <c r="AE319" s="421"/>
      <c r="AF319" s="419"/>
      <c r="AG319" s="419"/>
      <c r="AH319" s="421"/>
      <c r="AI319" s="421"/>
      <c r="AJ319" s="419"/>
      <c r="AK319" s="419"/>
      <c r="AL319" s="421"/>
      <c r="AM319" s="421"/>
      <c r="AN319" s="419"/>
      <c r="AO319" s="419"/>
      <c r="AP319" s="421"/>
      <c r="AQ319" s="421"/>
      <c r="AR319" s="424">
        <f t="shared" si="121"/>
        <v>0</v>
      </c>
      <c r="AS319" s="422">
        <f t="shared" si="122"/>
        <v>0</v>
      </c>
      <c r="AT319" s="425">
        <f t="shared" si="123"/>
        <v>0</v>
      </c>
      <c r="AU319" s="423">
        <f t="shared" si="124"/>
        <v>0</v>
      </c>
      <c r="AV319" s="419"/>
      <c r="AW319" s="421"/>
      <c r="AX319" s="419"/>
      <c r="AY319" s="419"/>
      <c r="AZ319" s="421"/>
      <c r="BA319" s="421"/>
      <c r="BB319" s="419"/>
      <c r="BC319" s="419"/>
      <c r="BD319" s="421"/>
      <c r="BE319" s="421"/>
      <c r="BF319" s="419"/>
      <c r="BG319" s="419"/>
      <c r="BH319" s="421"/>
      <c r="BI319" s="421"/>
      <c r="BJ319" s="419"/>
      <c r="BK319" s="419"/>
      <c r="BL319" s="421"/>
      <c r="BM319" s="421"/>
      <c r="BN319" s="419"/>
      <c r="BO319" s="419"/>
      <c r="BP319" s="421"/>
      <c r="BQ319" s="421"/>
      <c r="BR319" s="419"/>
      <c r="BS319" s="419"/>
      <c r="BT319" s="421"/>
      <c r="BU319" s="421"/>
      <c r="BV319" s="419"/>
      <c r="BW319" s="419"/>
      <c r="BX319" s="421"/>
      <c r="BY319" s="421"/>
      <c r="BZ319" s="419"/>
      <c r="CA319" s="419"/>
      <c r="CB319" s="421"/>
      <c r="CC319" s="421"/>
      <c r="CD319" s="419"/>
      <c r="CE319" s="419"/>
      <c r="CF319" s="421"/>
      <c r="CG319" s="421"/>
      <c r="CH319" s="419"/>
      <c r="CI319" s="419"/>
      <c r="CJ319" s="421"/>
      <c r="CK319" s="421"/>
      <c r="CL319" s="419"/>
      <c r="CM319" s="421"/>
      <c r="CN319" s="424">
        <f t="shared" si="125"/>
        <v>0</v>
      </c>
      <c r="CO319" s="424">
        <f t="shared" si="126"/>
        <v>0</v>
      </c>
      <c r="CP319" s="425">
        <f t="shared" si="127"/>
        <v>0</v>
      </c>
      <c r="CQ319" s="425">
        <f t="shared" si="128"/>
        <v>0</v>
      </c>
      <c r="CR319" s="419"/>
      <c r="CS319" s="419"/>
      <c r="CT319" s="421"/>
      <c r="CU319" s="421"/>
      <c r="CV319" s="419"/>
      <c r="CW319" s="419"/>
      <c r="CX319" s="421"/>
      <c r="CY319" s="421"/>
      <c r="CZ319" s="419"/>
      <c r="DA319" s="419"/>
      <c r="DB319" s="421"/>
      <c r="DC319" s="421"/>
      <c r="DD319" s="419"/>
      <c r="DE319" s="419"/>
      <c r="DF319" s="421"/>
      <c r="DG319" s="421"/>
      <c r="DH319" s="419"/>
      <c r="DI319" s="419"/>
      <c r="DJ319" s="421"/>
      <c r="DK319" s="421"/>
      <c r="DL319" s="419"/>
      <c r="DM319" s="419"/>
      <c r="DN319" s="421"/>
      <c r="DO319" s="421"/>
      <c r="DP319" s="419"/>
      <c r="DQ319" s="419"/>
      <c r="DR319" s="421"/>
      <c r="DS319" s="421"/>
      <c r="DT319" s="419"/>
      <c r="DU319" s="419"/>
      <c r="DV319" s="421"/>
      <c r="DW319" s="421"/>
      <c r="DX319" s="419"/>
      <c r="DY319" s="419"/>
      <c r="DZ319" s="421"/>
      <c r="EA319" s="421"/>
      <c r="EB319" s="419"/>
      <c r="EC319" s="419"/>
      <c r="ED319" s="421"/>
      <c r="EE319" s="421"/>
      <c r="EF319" s="419"/>
      <c r="EG319" s="421"/>
      <c r="EH319" s="424">
        <f t="shared" si="129"/>
        <v>0</v>
      </c>
      <c r="EI319" s="424">
        <f t="shared" si="130"/>
        <v>0</v>
      </c>
      <c r="EJ319" s="422">
        <f t="shared" si="131"/>
        <v>0</v>
      </c>
      <c r="EK319" s="425">
        <f t="shared" si="132"/>
        <v>0</v>
      </c>
      <c r="EL319" s="425">
        <f t="shared" si="133"/>
        <v>0</v>
      </c>
      <c r="EM319" s="423">
        <f t="shared" si="134"/>
        <v>0</v>
      </c>
      <c r="EN319" s="424">
        <f t="shared" si="135"/>
        <v>0</v>
      </c>
      <c r="EO319" s="425">
        <f t="shared" si="136"/>
        <v>0</v>
      </c>
      <c r="EP319" s="419"/>
      <c r="EQ319" s="421"/>
      <c r="ER319" s="419"/>
      <c r="ES319" s="421"/>
      <c r="ET319" s="419"/>
      <c r="EU319" s="421"/>
      <c r="EV319" s="419"/>
      <c r="EW319" s="421"/>
      <c r="EX319" s="419"/>
      <c r="EY319" s="421"/>
      <c r="EZ319" s="419"/>
      <c r="FA319" s="421"/>
      <c r="FB319" s="419"/>
      <c r="FC319" s="421"/>
      <c r="FD319" s="419"/>
      <c r="FE319" s="421"/>
      <c r="FF319" s="419"/>
      <c r="FG319" s="421"/>
      <c r="FH319" s="419"/>
      <c r="FI319" s="421"/>
      <c r="FJ319" s="424">
        <f t="shared" si="137"/>
        <v>0</v>
      </c>
      <c r="FK319" s="425">
        <f t="shared" si="138"/>
        <v>0</v>
      </c>
      <c r="FL319" s="419"/>
      <c r="FM319" s="421"/>
      <c r="FN319" s="424">
        <f t="shared" si="139"/>
        <v>88</v>
      </c>
      <c r="FO319" s="425">
        <f t="shared" si="140"/>
        <v>81</v>
      </c>
    </row>
    <row r="320" spans="1:171">
      <c r="A320" s="427" t="s">
        <v>163</v>
      </c>
      <c r="B320" s="57" t="s">
        <v>839</v>
      </c>
      <c r="C320" s="56"/>
      <c r="D320" s="55">
        <v>375735</v>
      </c>
      <c r="E320" s="55">
        <v>13</v>
      </c>
      <c r="F320" s="419">
        <v>151</v>
      </c>
      <c r="G320" s="421">
        <v>144</v>
      </c>
      <c r="H320" s="419"/>
      <c r="I320" s="421"/>
      <c r="J320" s="419"/>
      <c r="K320" s="421"/>
      <c r="L320" s="422">
        <f t="shared" si="119"/>
        <v>0</v>
      </c>
      <c r="M320" s="423">
        <f t="shared" si="120"/>
        <v>0</v>
      </c>
      <c r="N320" s="419"/>
      <c r="O320" s="309">
        <f>0</f>
        <v>0</v>
      </c>
      <c r="P320" s="309">
        <f>0</f>
        <v>0</v>
      </c>
      <c r="Q320" s="309">
        <f>0</f>
        <v>0</v>
      </c>
      <c r="R320" s="424">
        <f t="shared" si="117"/>
        <v>0</v>
      </c>
      <c r="S320" s="421"/>
      <c r="T320" s="301">
        <f>0</f>
        <v>0</v>
      </c>
      <c r="U320" s="301">
        <f>0</f>
        <v>0</v>
      </c>
      <c r="V320" s="301">
        <f>0</f>
        <v>0</v>
      </c>
      <c r="W320" s="425">
        <f t="shared" si="118"/>
        <v>0</v>
      </c>
      <c r="X320" s="419"/>
      <c r="Y320" s="419"/>
      <c r="Z320" s="421"/>
      <c r="AA320" s="421"/>
      <c r="AB320" s="419"/>
      <c r="AC320" s="419"/>
      <c r="AD320" s="421"/>
      <c r="AE320" s="421"/>
      <c r="AF320" s="419"/>
      <c r="AG320" s="419"/>
      <c r="AH320" s="421"/>
      <c r="AI320" s="421"/>
      <c r="AJ320" s="419"/>
      <c r="AK320" s="419"/>
      <c r="AL320" s="421"/>
      <c r="AM320" s="421"/>
      <c r="AN320" s="419"/>
      <c r="AO320" s="419"/>
      <c r="AP320" s="421"/>
      <c r="AQ320" s="421"/>
      <c r="AR320" s="424">
        <f t="shared" si="121"/>
        <v>0</v>
      </c>
      <c r="AS320" s="422">
        <f t="shared" si="122"/>
        <v>0</v>
      </c>
      <c r="AT320" s="425">
        <f t="shared" si="123"/>
        <v>0</v>
      </c>
      <c r="AU320" s="423">
        <f t="shared" si="124"/>
        <v>0</v>
      </c>
      <c r="AV320" s="419"/>
      <c r="AW320" s="421"/>
      <c r="AX320" s="419"/>
      <c r="AY320" s="419"/>
      <c r="AZ320" s="421"/>
      <c r="BA320" s="421"/>
      <c r="BB320" s="419"/>
      <c r="BC320" s="419"/>
      <c r="BD320" s="421"/>
      <c r="BE320" s="421"/>
      <c r="BF320" s="419"/>
      <c r="BG320" s="419"/>
      <c r="BH320" s="421"/>
      <c r="BI320" s="421"/>
      <c r="BJ320" s="419"/>
      <c r="BK320" s="419"/>
      <c r="BL320" s="421"/>
      <c r="BM320" s="421"/>
      <c r="BN320" s="419"/>
      <c r="BO320" s="419"/>
      <c r="BP320" s="421"/>
      <c r="BQ320" s="421"/>
      <c r="BR320" s="419"/>
      <c r="BS320" s="419"/>
      <c r="BT320" s="421"/>
      <c r="BU320" s="421"/>
      <c r="BV320" s="419"/>
      <c r="BW320" s="419"/>
      <c r="BX320" s="421"/>
      <c r="BY320" s="421"/>
      <c r="BZ320" s="419"/>
      <c r="CA320" s="419"/>
      <c r="CB320" s="421"/>
      <c r="CC320" s="421"/>
      <c r="CD320" s="419"/>
      <c r="CE320" s="419"/>
      <c r="CF320" s="421"/>
      <c r="CG320" s="421"/>
      <c r="CH320" s="419"/>
      <c r="CI320" s="419"/>
      <c r="CJ320" s="421"/>
      <c r="CK320" s="421"/>
      <c r="CL320" s="419"/>
      <c r="CM320" s="421"/>
      <c r="CN320" s="424">
        <f t="shared" si="125"/>
        <v>0</v>
      </c>
      <c r="CO320" s="424">
        <f t="shared" si="126"/>
        <v>0</v>
      </c>
      <c r="CP320" s="425">
        <f t="shared" si="127"/>
        <v>0</v>
      </c>
      <c r="CQ320" s="425">
        <f t="shared" si="128"/>
        <v>0</v>
      </c>
      <c r="CR320" s="419"/>
      <c r="CS320" s="419"/>
      <c r="CT320" s="421"/>
      <c r="CU320" s="421"/>
      <c r="CV320" s="419"/>
      <c r="CW320" s="419"/>
      <c r="CX320" s="421"/>
      <c r="CY320" s="421"/>
      <c r="CZ320" s="419"/>
      <c r="DA320" s="419"/>
      <c r="DB320" s="421"/>
      <c r="DC320" s="421"/>
      <c r="DD320" s="419"/>
      <c r="DE320" s="419"/>
      <c r="DF320" s="421"/>
      <c r="DG320" s="421"/>
      <c r="DH320" s="419"/>
      <c r="DI320" s="419"/>
      <c r="DJ320" s="421"/>
      <c r="DK320" s="421"/>
      <c r="DL320" s="419"/>
      <c r="DM320" s="419"/>
      <c r="DN320" s="421"/>
      <c r="DO320" s="421"/>
      <c r="DP320" s="419"/>
      <c r="DQ320" s="419"/>
      <c r="DR320" s="421"/>
      <c r="DS320" s="421"/>
      <c r="DT320" s="419"/>
      <c r="DU320" s="419"/>
      <c r="DV320" s="421"/>
      <c r="DW320" s="421"/>
      <c r="DX320" s="419"/>
      <c r="DY320" s="419"/>
      <c r="DZ320" s="421"/>
      <c r="EA320" s="421"/>
      <c r="EB320" s="419"/>
      <c r="EC320" s="419"/>
      <c r="ED320" s="421"/>
      <c r="EE320" s="421"/>
      <c r="EF320" s="419"/>
      <c r="EG320" s="421"/>
      <c r="EH320" s="424">
        <f t="shared" si="129"/>
        <v>0</v>
      </c>
      <c r="EI320" s="424">
        <f t="shared" si="130"/>
        <v>0</v>
      </c>
      <c r="EJ320" s="422">
        <f t="shared" si="131"/>
        <v>0</v>
      </c>
      <c r="EK320" s="425">
        <f t="shared" si="132"/>
        <v>0</v>
      </c>
      <c r="EL320" s="425">
        <f t="shared" si="133"/>
        <v>0</v>
      </c>
      <c r="EM320" s="423">
        <f t="shared" si="134"/>
        <v>0</v>
      </c>
      <c r="EN320" s="424">
        <f t="shared" si="135"/>
        <v>0</v>
      </c>
      <c r="EO320" s="425">
        <f t="shared" si="136"/>
        <v>0</v>
      </c>
      <c r="EP320" s="419"/>
      <c r="EQ320" s="421"/>
      <c r="ER320" s="419"/>
      <c r="ES320" s="421"/>
      <c r="ET320" s="419"/>
      <c r="EU320" s="421"/>
      <c r="EV320" s="419"/>
      <c r="EW320" s="421"/>
      <c r="EX320" s="419"/>
      <c r="EY320" s="421"/>
      <c r="EZ320" s="419"/>
      <c r="FA320" s="421"/>
      <c r="FB320" s="419"/>
      <c r="FC320" s="421"/>
      <c r="FD320" s="419"/>
      <c r="FE320" s="421"/>
      <c r="FF320" s="419"/>
      <c r="FG320" s="421"/>
      <c r="FH320" s="419"/>
      <c r="FI320" s="421"/>
      <c r="FJ320" s="424">
        <f t="shared" si="137"/>
        <v>0</v>
      </c>
      <c r="FK320" s="425">
        <f t="shared" si="138"/>
        <v>0</v>
      </c>
      <c r="FL320" s="419"/>
      <c r="FM320" s="421"/>
      <c r="FN320" s="424">
        <f t="shared" si="139"/>
        <v>151</v>
      </c>
      <c r="FO320" s="425">
        <f t="shared" si="140"/>
        <v>144</v>
      </c>
    </row>
    <row r="321" spans="1:171">
      <c r="A321" s="427" t="s">
        <v>163</v>
      </c>
      <c r="B321" s="57" t="s">
        <v>840</v>
      </c>
      <c r="C321" s="56"/>
      <c r="D321" s="55">
        <v>375726</v>
      </c>
      <c r="E321" s="55">
        <v>13</v>
      </c>
      <c r="F321" s="419">
        <v>254</v>
      </c>
      <c r="G321" s="420">
        <v>320</v>
      </c>
      <c r="H321" s="419"/>
      <c r="I321" s="421"/>
      <c r="J321" s="419"/>
      <c r="K321" s="421"/>
      <c r="L321" s="422">
        <f t="shared" si="119"/>
        <v>0</v>
      </c>
      <c r="M321" s="423">
        <f t="shared" si="120"/>
        <v>0</v>
      </c>
      <c r="N321" s="419"/>
      <c r="O321" s="309">
        <f>0</f>
        <v>0</v>
      </c>
      <c r="P321" s="309">
        <f>0</f>
        <v>0</v>
      </c>
      <c r="Q321" s="309">
        <f>0</f>
        <v>0</v>
      </c>
      <c r="R321" s="424">
        <f t="shared" si="117"/>
        <v>0</v>
      </c>
      <c r="S321" s="421"/>
      <c r="T321" s="301">
        <f>0</f>
        <v>0</v>
      </c>
      <c r="U321" s="301">
        <f>0</f>
        <v>0</v>
      </c>
      <c r="V321" s="301">
        <f>0</f>
        <v>0</v>
      </c>
      <c r="W321" s="425">
        <f t="shared" si="118"/>
        <v>0</v>
      </c>
      <c r="X321" s="419"/>
      <c r="Y321" s="419"/>
      <c r="Z321" s="421"/>
      <c r="AA321" s="421"/>
      <c r="AB321" s="419"/>
      <c r="AC321" s="419"/>
      <c r="AD321" s="421"/>
      <c r="AE321" s="421"/>
      <c r="AF321" s="419"/>
      <c r="AG321" s="419"/>
      <c r="AH321" s="421"/>
      <c r="AI321" s="421"/>
      <c r="AJ321" s="419"/>
      <c r="AK321" s="419"/>
      <c r="AL321" s="421"/>
      <c r="AM321" s="421"/>
      <c r="AN321" s="419"/>
      <c r="AO321" s="419"/>
      <c r="AP321" s="421"/>
      <c r="AQ321" s="421"/>
      <c r="AR321" s="424">
        <f t="shared" si="121"/>
        <v>0</v>
      </c>
      <c r="AS321" s="422">
        <f t="shared" si="122"/>
        <v>0</v>
      </c>
      <c r="AT321" s="425">
        <f t="shared" si="123"/>
        <v>0</v>
      </c>
      <c r="AU321" s="423">
        <f t="shared" si="124"/>
        <v>0</v>
      </c>
      <c r="AV321" s="419"/>
      <c r="AW321" s="421"/>
      <c r="AX321" s="419"/>
      <c r="AY321" s="419"/>
      <c r="AZ321" s="421"/>
      <c r="BA321" s="421"/>
      <c r="BB321" s="419"/>
      <c r="BC321" s="419"/>
      <c r="BD321" s="421"/>
      <c r="BE321" s="421"/>
      <c r="BF321" s="419"/>
      <c r="BG321" s="419"/>
      <c r="BH321" s="421"/>
      <c r="BI321" s="421"/>
      <c r="BJ321" s="419"/>
      <c r="BK321" s="419"/>
      <c r="BL321" s="421"/>
      <c r="BM321" s="421"/>
      <c r="BN321" s="419"/>
      <c r="BO321" s="419"/>
      <c r="BP321" s="421"/>
      <c r="BQ321" s="421"/>
      <c r="BR321" s="419"/>
      <c r="BS321" s="419"/>
      <c r="BT321" s="421"/>
      <c r="BU321" s="421"/>
      <c r="BV321" s="419"/>
      <c r="BW321" s="419"/>
      <c r="BX321" s="421"/>
      <c r="BY321" s="421"/>
      <c r="BZ321" s="419"/>
      <c r="CA321" s="419"/>
      <c r="CB321" s="421"/>
      <c r="CC321" s="421"/>
      <c r="CD321" s="419"/>
      <c r="CE321" s="419"/>
      <c r="CF321" s="421"/>
      <c r="CG321" s="421"/>
      <c r="CH321" s="419"/>
      <c r="CI321" s="419"/>
      <c r="CJ321" s="421"/>
      <c r="CK321" s="421"/>
      <c r="CL321" s="419"/>
      <c r="CM321" s="421"/>
      <c r="CN321" s="424">
        <f t="shared" si="125"/>
        <v>0</v>
      </c>
      <c r="CO321" s="424">
        <f t="shared" si="126"/>
        <v>0</v>
      </c>
      <c r="CP321" s="425">
        <f t="shared" si="127"/>
        <v>0</v>
      </c>
      <c r="CQ321" s="425">
        <f t="shared" si="128"/>
        <v>0</v>
      </c>
      <c r="CR321" s="419"/>
      <c r="CS321" s="419"/>
      <c r="CT321" s="421"/>
      <c r="CU321" s="421"/>
      <c r="CV321" s="419"/>
      <c r="CW321" s="419"/>
      <c r="CX321" s="421"/>
      <c r="CY321" s="421"/>
      <c r="CZ321" s="419"/>
      <c r="DA321" s="419"/>
      <c r="DB321" s="421"/>
      <c r="DC321" s="421"/>
      <c r="DD321" s="419"/>
      <c r="DE321" s="419"/>
      <c r="DF321" s="421"/>
      <c r="DG321" s="421"/>
      <c r="DH321" s="419"/>
      <c r="DI321" s="419"/>
      <c r="DJ321" s="421"/>
      <c r="DK321" s="421"/>
      <c r="DL321" s="419"/>
      <c r="DM321" s="419"/>
      <c r="DN321" s="421"/>
      <c r="DO321" s="421"/>
      <c r="DP321" s="419"/>
      <c r="DQ321" s="419"/>
      <c r="DR321" s="421"/>
      <c r="DS321" s="421"/>
      <c r="DT321" s="419"/>
      <c r="DU321" s="419"/>
      <c r="DV321" s="421"/>
      <c r="DW321" s="421"/>
      <c r="DX321" s="419"/>
      <c r="DY321" s="419"/>
      <c r="DZ321" s="421"/>
      <c r="EA321" s="421"/>
      <c r="EB321" s="419"/>
      <c r="EC321" s="419"/>
      <c r="ED321" s="421"/>
      <c r="EE321" s="421"/>
      <c r="EF321" s="419"/>
      <c r="EG321" s="421"/>
      <c r="EH321" s="424">
        <f t="shared" si="129"/>
        <v>0</v>
      </c>
      <c r="EI321" s="424">
        <f t="shared" si="130"/>
        <v>0</v>
      </c>
      <c r="EJ321" s="422">
        <f t="shared" si="131"/>
        <v>0</v>
      </c>
      <c r="EK321" s="425">
        <f t="shared" si="132"/>
        <v>0</v>
      </c>
      <c r="EL321" s="425">
        <f t="shared" si="133"/>
        <v>0</v>
      </c>
      <c r="EM321" s="423">
        <f t="shared" si="134"/>
        <v>0</v>
      </c>
      <c r="EN321" s="424">
        <f t="shared" si="135"/>
        <v>0</v>
      </c>
      <c r="EO321" s="425">
        <f t="shared" si="136"/>
        <v>0</v>
      </c>
      <c r="EP321" s="419"/>
      <c r="EQ321" s="421"/>
      <c r="ER321" s="419"/>
      <c r="ES321" s="421"/>
      <c r="ET321" s="419"/>
      <c r="EU321" s="421"/>
      <c r="EV321" s="419"/>
      <c r="EW321" s="421"/>
      <c r="EX321" s="419"/>
      <c r="EY321" s="421"/>
      <c r="EZ321" s="419"/>
      <c r="FA321" s="421"/>
      <c r="FB321" s="419"/>
      <c r="FC321" s="421"/>
      <c r="FD321" s="419"/>
      <c r="FE321" s="421"/>
      <c r="FF321" s="419"/>
      <c r="FG321" s="421"/>
      <c r="FH321" s="419"/>
      <c r="FI321" s="421"/>
      <c r="FJ321" s="424">
        <f t="shared" si="137"/>
        <v>0</v>
      </c>
      <c r="FK321" s="425">
        <f t="shared" si="138"/>
        <v>0</v>
      </c>
      <c r="FL321" s="419"/>
      <c r="FM321" s="421"/>
      <c r="FN321" s="424">
        <f t="shared" si="139"/>
        <v>254</v>
      </c>
      <c r="FO321" s="425">
        <f t="shared" si="140"/>
        <v>320</v>
      </c>
    </row>
    <row r="322" spans="1:171">
      <c r="A322" s="427" t="s">
        <v>163</v>
      </c>
      <c r="B322" s="57" t="s">
        <v>841</v>
      </c>
      <c r="C322" s="56"/>
      <c r="D322" s="55">
        <v>375744</v>
      </c>
      <c r="E322" s="55">
        <v>13</v>
      </c>
      <c r="F322" s="419">
        <v>219</v>
      </c>
      <c r="G322" s="420">
        <v>163</v>
      </c>
      <c r="H322" s="419"/>
      <c r="I322" s="421"/>
      <c r="J322" s="419"/>
      <c r="K322" s="421"/>
      <c r="L322" s="422">
        <f t="shared" si="119"/>
        <v>0</v>
      </c>
      <c r="M322" s="423">
        <f t="shared" si="120"/>
        <v>0</v>
      </c>
      <c r="N322" s="419"/>
      <c r="O322" s="309">
        <f>0</f>
        <v>0</v>
      </c>
      <c r="P322" s="309">
        <f>0</f>
        <v>0</v>
      </c>
      <c r="Q322" s="309">
        <f>0</f>
        <v>0</v>
      </c>
      <c r="R322" s="424">
        <f t="shared" si="117"/>
        <v>0</v>
      </c>
      <c r="S322" s="421"/>
      <c r="T322" s="301">
        <f>0</f>
        <v>0</v>
      </c>
      <c r="U322" s="301">
        <f>0</f>
        <v>0</v>
      </c>
      <c r="V322" s="301">
        <f>0</f>
        <v>0</v>
      </c>
      <c r="W322" s="425">
        <f t="shared" si="118"/>
        <v>0</v>
      </c>
      <c r="X322" s="419"/>
      <c r="Y322" s="419"/>
      <c r="Z322" s="421"/>
      <c r="AA322" s="421"/>
      <c r="AB322" s="419"/>
      <c r="AC322" s="419"/>
      <c r="AD322" s="421"/>
      <c r="AE322" s="421"/>
      <c r="AF322" s="419"/>
      <c r="AG322" s="419"/>
      <c r="AH322" s="421"/>
      <c r="AI322" s="421"/>
      <c r="AJ322" s="419"/>
      <c r="AK322" s="419"/>
      <c r="AL322" s="421"/>
      <c r="AM322" s="421"/>
      <c r="AN322" s="419"/>
      <c r="AO322" s="419"/>
      <c r="AP322" s="421"/>
      <c r="AQ322" s="421"/>
      <c r="AR322" s="424">
        <f t="shared" si="121"/>
        <v>0</v>
      </c>
      <c r="AS322" s="422">
        <f t="shared" si="122"/>
        <v>0</v>
      </c>
      <c r="AT322" s="425">
        <f t="shared" si="123"/>
        <v>0</v>
      </c>
      <c r="AU322" s="423">
        <f t="shared" si="124"/>
        <v>0</v>
      </c>
      <c r="AV322" s="419"/>
      <c r="AW322" s="421"/>
      <c r="AX322" s="419"/>
      <c r="AY322" s="419"/>
      <c r="AZ322" s="421"/>
      <c r="BA322" s="421"/>
      <c r="BB322" s="419"/>
      <c r="BC322" s="419"/>
      <c r="BD322" s="421"/>
      <c r="BE322" s="421"/>
      <c r="BF322" s="419"/>
      <c r="BG322" s="419"/>
      <c r="BH322" s="421"/>
      <c r="BI322" s="421"/>
      <c r="BJ322" s="419"/>
      <c r="BK322" s="419"/>
      <c r="BL322" s="421"/>
      <c r="BM322" s="421"/>
      <c r="BN322" s="419"/>
      <c r="BO322" s="419"/>
      <c r="BP322" s="421"/>
      <c r="BQ322" s="421"/>
      <c r="BR322" s="419"/>
      <c r="BS322" s="419"/>
      <c r="BT322" s="421"/>
      <c r="BU322" s="421"/>
      <c r="BV322" s="419"/>
      <c r="BW322" s="419"/>
      <c r="BX322" s="421"/>
      <c r="BY322" s="421"/>
      <c r="BZ322" s="419"/>
      <c r="CA322" s="419"/>
      <c r="CB322" s="421"/>
      <c r="CC322" s="421"/>
      <c r="CD322" s="419"/>
      <c r="CE322" s="419"/>
      <c r="CF322" s="421"/>
      <c r="CG322" s="421"/>
      <c r="CH322" s="419"/>
      <c r="CI322" s="419"/>
      <c r="CJ322" s="421"/>
      <c r="CK322" s="421"/>
      <c r="CL322" s="419"/>
      <c r="CM322" s="421"/>
      <c r="CN322" s="424">
        <f t="shared" si="125"/>
        <v>0</v>
      </c>
      <c r="CO322" s="424">
        <f t="shared" si="126"/>
        <v>0</v>
      </c>
      <c r="CP322" s="425">
        <f t="shared" si="127"/>
        <v>0</v>
      </c>
      <c r="CQ322" s="425">
        <f t="shared" si="128"/>
        <v>0</v>
      </c>
      <c r="CR322" s="419"/>
      <c r="CS322" s="419"/>
      <c r="CT322" s="421"/>
      <c r="CU322" s="421"/>
      <c r="CV322" s="419"/>
      <c r="CW322" s="419"/>
      <c r="CX322" s="421"/>
      <c r="CY322" s="421"/>
      <c r="CZ322" s="419"/>
      <c r="DA322" s="419"/>
      <c r="DB322" s="421"/>
      <c r="DC322" s="421"/>
      <c r="DD322" s="419"/>
      <c r="DE322" s="419"/>
      <c r="DF322" s="421"/>
      <c r="DG322" s="421"/>
      <c r="DH322" s="419"/>
      <c r="DI322" s="419"/>
      <c r="DJ322" s="421"/>
      <c r="DK322" s="421"/>
      <c r="DL322" s="419"/>
      <c r="DM322" s="419"/>
      <c r="DN322" s="421"/>
      <c r="DO322" s="421"/>
      <c r="DP322" s="419"/>
      <c r="DQ322" s="419"/>
      <c r="DR322" s="421"/>
      <c r="DS322" s="421"/>
      <c r="DT322" s="419"/>
      <c r="DU322" s="419"/>
      <c r="DV322" s="421"/>
      <c r="DW322" s="421"/>
      <c r="DX322" s="419"/>
      <c r="DY322" s="419"/>
      <c r="DZ322" s="421"/>
      <c r="EA322" s="421"/>
      <c r="EB322" s="419"/>
      <c r="EC322" s="419"/>
      <c r="ED322" s="421"/>
      <c r="EE322" s="421"/>
      <c r="EF322" s="419"/>
      <c r="EG322" s="421"/>
      <c r="EH322" s="424">
        <f t="shared" si="129"/>
        <v>0</v>
      </c>
      <c r="EI322" s="424">
        <f t="shared" si="130"/>
        <v>0</v>
      </c>
      <c r="EJ322" s="422">
        <f t="shared" si="131"/>
        <v>0</v>
      </c>
      <c r="EK322" s="425">
        <f t="shared" si="132"/>
        <v>0</v>
      </c>
      <c r="EL322" s="425">
        <f t="shared" si="133"/>
        <v>0</v>
      </c>
      <c r="EM322" s="423">
        <f t="shared" si="134"/>
        <v>0</v>
      </c>
      <c r="EN322" s="424">
        <f t="shared" si="135"/>
        <v>0</v>
      </c>
      <c r="EO322" s="425">
        <f t="shared" si="136"/>
        <v>0</v>
      </c>
      <c r="EP322" s="419"/>
      <c r="EQ322" s="421"/>
      <c r="ER322" s="419"/>
      <c r="ES322" s="421"/>
      <c r="ET322" s="419"/>
      <c r="EU322" s="421"/>
      <c r="EV322" s="419"/>
      <c r="EW322" s="421"/>
      <c r="EX322" s="419"/>
      <c r="EY322" s="421"/>
      <c r="EZ322" s="419"/>
      <c r="FA322" s="421"/>
      <c r="FB322" s="419"/>
      <c r="FC322" s="421"/>
      <c r="FD322" s="419"/>
      <c r="FE322" s="421"/>
      <c r="FF322" s="419"/>
      <c r="FG322" s="421"/>
      <c r="FH322" s="419"/>
      <c r="FI322" s="421"/>
      <c r="FJ322" s="424">
        <f t="shared" si="137"/>
        <v>0</v>
      </c>
      <c r="FK322" s="425">
        <f t="shared" si="138"/>
        <v>0</v>
      </c>
      <c r="FL322" s="419"/>
      <c r="FM322" s="421"/>
      <c r="FN322" s="424">
        <f t="shared" si="139"/>
        <v>219</v>
      </c>
      <c r="FO322" s="425">
        <f t="shared" si="140"/>
        <v>163</v>
      </c>
    </row>
    <row r="323" spans="1:171">
      <c r="A323" s="427" t="s">
        <v>163</v>
      </c>
      <c r="B323" s="57" t="s">
        <v>842</v>
      </c>
      <c r="C323" s="56"/>
      <c r="D323" s="55">
        <v>375753</v>
      </c>
      <c r="E323" s="55">
        <v>13</v>
      </c>
      <c r="F323" s="419">
        <v>13</v>
      </c>
      <c r="G323" s="421">
        <v>13</v>
      </c>
      <c r="H323" s="419"/>
      <c r="I323" s="421"/>
      <c r="J323" s="419"/>
      <c r="K323" s="421"/>
      <c r="L323" s="422">
        <f t="shared" si="119"/>
        <v>0</v>
      </c>
      <c r="M323" s="423">
        <f t="shared" si="120"/>
        <v>0</v>
      </c>
      <c r="N323" s="419"/>
      <c r="O323" s="309">
        <f>0</f>
        <v>0</v>
      </c>
      <c r="P323" s="309">
        <f>0</f>
        <v>0</v>
      </c>
      <c r="Q323" s="309">
        <f>0</f>
        <v>0</v>
      </c>
      <c r="R323" s="424">
        <f t="shared" si="117"/>
        <v>0</v>
      </c>
      <c r="S323" s="421"/>
      <c r="T323" s="301">
        <f>0</f>
        <v>0</v>
      </c>
      <c r="U323" s="301">
        <f>0</f>
        <v>0</v>
      </c>
      <c r="V323" s="301">
        <f>0</f>
        <v>0</v>
      </c>
      <c r="W323" s="425">
        <f t="shared" si="118"/>
        <v>0</v>
      </c>
      <c r="X323" s="419"/>
      <c r="Y323" s="419"/>
      <c r="Z323" s="421"/>
      <c r="AA323" s="421"/>
      <c r="AB323" s="419"/>
      <c r="AC323" s="419"/>
      <c r="AD323" s="421"/>
      <c r="AE323" s="421"/>
      <c r="AF323" s="419"/>
      <c r="AG323" s="419"/>
      <c r="AH323" s="421"/>
      <c r="AI323" s="421"/>
      <c r="AJ323" s="419"/>
      <c r="AK323" s="419"/>
      <c r="AL323" s="421"/>
      <c r="AM323" s="421"/>
      <c r="AN323" s="419"/>
      <c r="AO323" s="419"/>
      <c r="AP323" s="421"/>
      <c r="AQ323" s="421"/>
      <c r="AR323" s="424">
        <f t="shared" si="121"/>
        <v>0</v>
      </c>
      <c r="AS323" s="422">
        <f t="shared" si="122"/>
        <v>0</v>
      </c>
      <c r="AT323" s="425">
        <f t="shared" si="123"/>
        <v>0</v>
      </c>
      <c r="AU323" s="423">
        <f t="shared" si="124"/>
        <v>0</v>
      </c>
      <c r="AV323" s="419"/>
      <c r="AW323" s="421"/>
      <c r="AX323" s="419"/>
      <c r="AY323" s="419"/>
      <c r="AZ323" s="421"/>
      <c r="BA323" s="421"/>
      <c r="BB323" s="419"/>
      <c r="BC323" s="419"/>
      <c r="BD323" s="421"/>
      <c r="BE323" s="421"/>
      <c r="BF323" s="419"/>
      <c r="BG323" s="419"/>
      <c r="BH323" s="421"/>
      <c r="BI323" s="421"/>
      <c r="BJ323" s="419"/>
      <c r="BK323" s="419"/>
      <c r="BL323" s="421"/>
      <c r="BM323" s="421"/>
      <c r="BN323" s="419"/>
      <c r="BO323" s="419"/>
      <c r="BP323" s="421"/>
      <c r="BQ323" s="421"/>
      <c r="BR323" s="419"/>
      <c r="BS323" s="419"/>
      <c r="BT323" s="421"/>
      <c r="BU323" s="421"/>
      <c r="BV323" s="419"/>
      <c r="BW323" s="419"/>
      <c r="BX323" s="421"/>
      <c r="BY323" s="421"/>
      <c r="BZ323" s="419"/>
      <c r="CA323" s="419"/>
      <c r="CB323" s="421"/>
      <c r="CC323" s="421"/>
      <c r="CD323" s="419"/>
      <c r="CE323" s="419"/>
      <c r="CF323" s="421"/>
      <c r="CG323" s="421"/>
      <c r="CH323" s="419"/>
      <c r="CI323" s="419"/>
      <c r="CJ323" s="421"/>
      <c r="CK323" s="421"/>
      <c r="CL323" s="419"/>
      <c r="CM323" s="421"/>
      <c r="CN323" s="424">
        <f t="shared" si="125"/>
        <v>0</v>
      </c>
      <c r="CO323" s="424">
        <f t="shared" si="126"/>
        <v>0</v>
      </c>
      <c r="CP323" s="425">
        <f t="shared" si="127"/>
        <v>0</v>
      </c>
      <c r="CQ323" s="425">
        <f t="shared" si="128"/>
        <v>0</v>
      </c>
      <c r="CR323" s="419"/>
      <c r="CS323" s="419"/>
      <c r="CT323" s="421"/>
      <c r="CU323" s="421"/>
      <c r="CV323" s="419"/>
      <c r="CW323" s="419"/>
      <c r="CX323" s="421"/>
      <c r="CY323" s="421"/>
      <c r="CZ323" s="419"/>
      <c r="DA323" s="419"/>
      <c r="DB323" s="421"/>
      <c r="DC323" s="421"/>
      <c r="DD323" s="419"/>
      <c r="DE323" s="419"/>
      <c r="DF323" s="421"/>
      <c r="DG323" s="421"/>
      <c r="DH323" s="419"/>
      <c r="DI323" s="419"/>
      <c r="DJ323" s="421"/>
      <c r="DK323" s="421"/>
      <c r="DL323" s="419"/>
      <c r="DM323" s="419"/>
      <c r="DN323" s="421"/>
      <c r="DO323" s="421"/>
      <c r="DP323" s="419"/>
      <c r="DQ323" s="419"/>
      <c r="DR323" s="421"/>
      <c r="DS323" s="421"/>
      <c r="DT323" s="419"/>
      <c r="DU323" s="419"/>
      <c r="DV323" s="421"/>
      <c r="DW323" s="421"/>
      <c r="DX323" s="419"/>
      <c r="DY323" s="419"/>
      <c r="DZ323" s="421"/>
      <c r="EA323" s="421"/>
      <c r="EB323" s="419"/>
      <c r="EC323" s="419"/>
      <c r="ED323" s="421"/>
      <c r="EE323" s="421"/>
      <c r="EF323" s="419"/>
      <c r="EG323" s="421"/>
      <c r="EH323" s="424">
        <f t="shared" si="129"/>
        <v>0</v>
      </c>
      <c r="EI323" s="424">
        <f t="shared" si="130"/>
        <v>0</v>
      </c>
      <c r="EJ323" s="422">
        <f t="shared" si="131"/>
        <v>0</v>
      </c>
      <c r="EK323" s="425">
        <f t="shared" si="132"/>
        <v>0</v>
      </c>
      <c r="EL323" s="425">
        <f t="shared" si="133"/>
        <v>0</v>
      </c>
      <c r="EM323" s="423">
        <f t="shared" si="134"/>
        <v>0</v>
      </c>
      <c r="EN323" s="424">
        <f t="shared" si="135"/>
        <v>0</v>
      </c>
      <c r="EO323" s="425">
        <f t="shared" si="136"/>
        <v>0</v>
      </c>
      <c r="EP323" s="419"/>
      <c r="EQ323" s="421"/>
      <c r="ER323" s="419"/>
      <c r="ES323" s="421"/>
      <c r="ET323" s="419"/>
      <c r="EU323" s="421"/>
      <c r="EV323" s="419"/>
      <c r="EW323" s="421"/>
      <c r="EX323" s="419"/>
      <c r="EY323" s="421"/>
      <c r="EZ323" s="419"/>
      <c r="FA323" s="421"/>
      <c r="FB323" s="419"/>
      <c r="FC323" s="421"/>
      <c r="FD323" s="419"/>
      <c r="FE323" s="421"/>
      <c r="FF323" s="419"/>
      <c r="FG323" s="421"/>
      <c r="FH323" s="419"/>
      <c r="FI323" s="421"/>
      <c r="FJ323" s="424">
        <f t="shared" si="137"/>
        <v>0</v>
      </c>
      <c r="FK323" s="425">
        <f t="shared" si="138"/>
        <v>0</v>
      </c>
      <c r="FL323" s="419"/>
      <c r="FM323" s="421"/>
      <c r="FN323" s="424">
        <f t="shared" si="139"/>
        <v>13</v>
      </c>
      <c r="FO323" s="425">
        <f t="shared" si="140"/>
        <v>13</v>
      </c>
    </row>
    <row r="324" spans="1:171">
      <c r="A324" s="427" t="s">
        <v>163</v>
      </c>
      <c r="B324" s="57" t="s">
        <v>843</v>
      </c>
      <c r="C324" s="56"/>
      <c r="D324" s="55">
        <v>405748</v>
      </c>
      <c r="E324" s="55">
        <v>13</v>
      </c>
      <c r="F324" s="419">
        <v>75</v>
      </c>
      <c r="G324" s="421">
        <v>65</v>
      </c>
      <c r="H324" s="419"/>
      <c r="I324" s="421"/>
      <c r="J324" s="419"/>
      <c r="K324" s="421"/>
      <c r="L324" s="422">
        <f t="shared" si="119"/>
        <v>0</v>
      </c>
      <c r="M324" s="423">
        <f t="shared" si="120"/>
        <v>0</v>
      </c>
      <c r="N324" s="419"/>
      <c r="O324" s="309">
        <f>0</f>
        <v>0</v>
      </c>
      <c r="P324" s="309">
        <f>0</f>
        <v>0</v>
      </c>
      <c r="Q324" s="309">
        <f>0</f>
        <v>0</v>
      </c>
      <c r="R324" s="424">
        <f t="shared" si="117"/>
        <v>0</v>
      </c>
      <c r="S324" s="421"/>
      <c r="T324" s="301">
        <f>0</f>
        <v>0</v>
      </c>
      <c r="U324" s="301">
        <f>0</f>
        <v>0</v>
      </c>
      <c r="V324" s="301">
        <f>0</f>
        <v>0</v>
      </c>
      <c r="W324" s="425">
        <f t="shared" si="118"/>
        <v>0</v>
      </c>
      <c r="X324" s="419"/>
      <c r="Y324" s="419"/>
      <c r="Z324" s="421"/>
      <c r="AA324" s="421"/>
      <c r="AB324" s="419"/>
      <c r="AC324" s="419"/>
      <c r="AD324" s="421"/>
      <c r="AE324" s="421"/>
      <c r="AF324" s="419"/>
      <c r="AG324" s="419"/>
      <c r="AH324" s="421"/>
      <c r="AI324" s="421"/>
      <c r="AJ324" s="419"/>
      <c r="AK324" s="419"/>
      <c r="AL324" s="421"/>
      <c r="AM324" s="421"/>
      <c r="AN324" s="419"/>
      <c r="AO324" s="419"/>
      <c r="AP324" s="421"/>
      <c r="AQ324" s="421"/>
      <c r="AR324" s="424">
        <f t="shared" si="121"/>
        <v>0</v>
      </c>
      <c r="AS324" s="422">
        <f t="shared" si="122"/>
        <v>0</v>
      </c>
      <c r="AT324" s="425">
        <f t="shared" si="123"/>
        <v>0</v>
      </c>
      <c r="AU324" s="423">
        <f t="shared" si="124"/>
        <v>0</v>
      </c>
      <c r="AV324" s="419"/>
      <c r="AW324" s="421"/>
      <c r="AX324" s="419"/>
      <c r="AY324" s="419"/>
      <c r="AZ324" s="421"/>
      <c r="BA324" s="421"/>
      <c r="BB324" s="419"/>
      <c r="BC324" s="419"/>
      <c r="BD324" s="421"/>
      <c r="BE324" s="421"/>
      <c r="BF324" s="419"/>
      <c r="BG324" s="419"/>
      <c r="BH324" s="421"/>
      <c r="BI324" s="421"/>
      <c r="BJ324" s="419"/>
      <c r="BK324" s="419"/>
      <c r="BL324" s="421"/>
      <c r="BM324" s="421"/>
      <c r="BN324" s="419"/>
      <c r="BO324" s="419"/>
      <c r="BP324" s="421"/>
      <c r="BQ324" s="421"/>
      <c r="BR324" s="419"/>
      <c r="BS324" s="419"/>
      <c r="BT324" s="421"/>
      <c r="BU324" s="421"/>
      <c r="BV324" s="419"/>
      <c r="BW324" s="419"/>
      <c r="BX324" s="421"/>
      <c r="BY324" s="421"/>
      <c r="BZ324" s="419"/>
      <c r="CA324" s="419"/>
      <c r="CB324" s="421"/>
      <c r="CC324" s="421"/>
      <c r="CD324" s="419"/>
      <c r="CE324" s="419"/>
      <c r="CF324" s="421"/>
      <c r="CG324" s="421"/>
      <c r="CH324" s="419"/>
      <c r="CI324" s="419"/>
      <c r="CJ324" s="421"/>
      <c r="CK324" s="421"/>
      <c r="CL324" s="419"/>
      <c r="CM324" s="421"/>
      <c r="CN324" s="424">
        <f t="shared" si="125"/>
        <v>0</v>
      </c>
      <c r="CO324" s="424">
        <f t="shared" si="126"/>
        <v>0</v>
      </c>
      <c r="CP324" s="425">
        <f t="shared" si="127"/>
        <v>0</v>
      </c>
      <c r="CQ324" s="425">
        <f t="shared" si="128"/>
        <v>0</v>
      </c>
      <c r="CR324" s="419"/>
      <c r="CS324" s="419"/>
      <c r="CT324" s="421"/>
      <c r="CU324" s="421"/>
      <c r="CV324" s="419"/>
      <c r="CW324" s="419"/>
      <c r="CX324" s="421"/>
      <c r="CY324" s="421"/>
      <c r="CZ324" s="419"/>
      <c r="DA324" s="419"/>
      <c r="DB324" s="421"/>
      <c r="DC324" s="421"/>
      <c r="DD324" s="419"/>
      <c r="DE324" s="419"/>
      <c r="DF324" s="421"/>
      <c r="DG324" s="421"/>
      <c r="DH324" s="419"/>
      <c r="DI324" s="419"/>
      <c r="DJ324" s="421"/>
      <c r="DK324" s="421"/>
      <c r="DL324" s="419"/>
      <c r="DM324" s="419"/>
      <c r="DN324" s="421"/>
      <c r="DO324" s="421"/>
      <c r="DP324" s="419"/>
      <c r="DQ324" s="419"/>
      <c r="DR324" s="421"/>
      <c r="DS324" s="421"/>
      <c r="DT324" s="419"/>
      <c r="DU324" s="419"/>
      <c r="DV324" s="421"/>
      <c r="DW324" s="421"/>
      <c r="DX324" s="419"/>
      <c r="DY324" s="419"/>
      <c r="DZ324" s="421"/>
      <c r="EA324" s="421"/>
      <c r="EB324" s="419"/>
      <c r="EC324" s="419"/>
      <c r="ED324" s="421"/>
      <c r="EE324" s="421"/>
      <c r="EF324" s="419"/>
      <c r="EG324" s="421"/>
      <c r="EH324" s="424">
        <f t="shared" si="129"/>
        <v>0</v>
      </c>
      <c r="EI324" s="424">
        <f t="shared" si="130"/>
        <v>0</v>
      </c>
      <c r="EJ324" s="422">
        <f t="shared" si="131"/>
        <v>0</v>
      </c>
      <c r="EK324" s="425">
        <f t="shared" si="132"/>
        <v>0</v>
      </c>
      <c r="EL324" s="425">
        <f t="shared" si="133"/>
        <v>0</v>
      </c>
      <c r="EM324" s="423">
        <f t="shared" si="134"/>
        <v>0</v>
      </c>
      <c r="EN324" s="424">
        <f t="shared" si="135"/>
        <v>0</v>
      </c>
      <c r="EO324" s="425">
        <f t="shared" si="136"/>
        <v>0</v>
      </c>
      <c r="EP324" s="419"/>
      <c r="EQ324" s="421"/>
      <c r="ER324" s="419"/>
      <c r="ES324" s="421"/>
      <c r="ET324" s="419"/>
      <c r="EU324" s="421"/>
      <c r="EV324" s="419"/>
      <c r="EW324" s="421"/>
      <c r="EX324" s="419"/>
      <c r="EY324" s="421"/>
      <c r="EZ324" s="419"/>
      <c r="FA324" s="421"/>
      <c r="FB324" s="419"/>
      <c r="FC324" s="421"/>
      <c r="FD324" s="419"/>
      <c r="FE324" s="421"/>
      <c r="FF324" s="419"/>
      <c r="FG324" s="421"/>
      <c r="FH324" s="419"/>
      <c r="FI324" s="421"/>
      <c r="FJ324" s="424">
        <f t="shared" si="137"/>
        <v>0</v>
      </c>
      <c r="FK324" s="425">
        <f t="shared" si="138"/>
        <v>0</v>
      </c>
      <c r="FL324" s="419"/>
      <c r="FM324" s="421"/>
      <c r="FN324" s="424">
        <f t="shared" si="139"/>
        <v>75</v>
      </c>
      <c r="FO324" s="425">
        <f t="shared" si="140"/>
        <v>65</v>
      </c>
    </row>
    <row r="325" spans="1:171">
      <c r="A325" s="427" t="s">
        <v>163</v>
      </c>
      <c r="B325" s="57" t="s">
        <v>844</v>
      </c>
      <c r="C325" s="56"/>
      <c r="D325" s="55">
        <v>375762</v>
      </c>
      <c r="E325" s="55">
        <v>13</v>
      </c>
      <c r="F325" s="419">
        <v>67</v>
      </c>
      <c r="G325" s="420">
        <v>34</v>
      </c>
      <c r="H325" s="419"/>
      <c r="I325" s="421"/>
      <c r="J325" s="419"/>
      <c r="K325" s="421"/>
      <c r="L325" s="422">
        <f t="shared" si="119"/>
        <v>0</v>
      </c>
      <c r="M325" s="423">
        <f t="shared" si="120"/>
        <v>0</v>
      </c>
      <c r="N325" s="419"/>
      <c r="O325" s="309">
        <f>0</f>
        <v>0</v>
      </c>
      <c r="P325" s="309">
        <f>0</f>
        <v>0</v>
      </c>
      <c r="Q325" s="309">
        <f>0</f>
        <v>0</v>
      </c>
      <c r="R325" s="424">
        <f t="shared" si="117"/>
        <v>0</v>
      </c>
      <c r="S325" s="421"/>
      <c r="T325" s="301">
        <f>0</f>
        <v>0</v>
      </c>
      <c r="U325" s="301">
        <f>0</f>
        <v>0</v>
      </c>
      <c r="V325" s="301">
        <f>0</f>
        <v>0</v>
      </c>
      <c r="W325" s="425">
        <f t="shared" si="118"/>
        <v>0</v>
      </c>
      <c r="X325" s="419"/>
      <c r="Y325" s="419"/>
      <c r="Z325" s="421"/>
      <c r="AA325" s="421"/>
      <c r="AB325" s="419"/>
      <c r="AC325" s="419"/>
      <c r="AD325" s="421"/>
      <c r="AE325" s="421"/>
      <c r="AF325" s="419"/>
      <c r="AG325" s="419"/>
      <c r="AH325" s="421"/>
      <c r="AI325" s="421"/>
      <c r="AJ325" s="419"/>
      <c r="AK325" s="419"/>
      <c r="AL325" s="421"/>
      <c r="AM325" s="421"/>
      <c r="AN325" s="419"/>
      <c r="AO325" s="419"/>
      <c r="AP325" s="421"/>
      <c r="AQ325" s="421"/>
      <c r="AR325" s="424">
        <f t="shared" si="121"/>
        <v>0</v>
      </c>
      <c r="AS325" s="422">
        <f t="shared" si="122"/>
        <v>0</v>
      </c>
      <c r="AT325" s="425">
        <f t="shared" si="123"/>
        <v>0</v>
      </c>
      <c r="AU325" s="423">
        <f t="shared" si="124"/>
        <v>0</v>
      </c>
      <c r="AV325" s="419"/>
      <c r="AW325" s="421"/>
      <c r="AX325" s="419"/>
      <c r="AY325" s="419"/>
      <c r="AZ325" s="421"/>
      <c r="BA325" s="421"/>
      <c r="BB325" s="419"/>
      <c r="BC325" s="419"/>
      <c r="BD325" s="421"/>
      <c r="BE325" s="421"/>
      <c r="BF325" s="419"/>
      <c r="BG325" s="419"/>
      <c r="BH325" s="421"/>
      <c r="BI325" s="421"/>
      <c r="BJ325" s="419"/>
      <c r="BK325" s="419"/>
      <c r="BL325" s="421"/>
      <c r="BM325" s="421"/>
      <c r="BN325" s="419"/>
      <c r="BO325" s="419"/>
      <c r="BP325" s="421"/>
      <c r="BQ325" s="421"/>
      <c r="BR325" s="419"/>
      <c r="BS325" s="419"/>
      <c r="BT325" s="421"/>
      <c r="BU325" s="421"/>
      <c r="BV325" s="419"/>
      <c r="BW325" s="419"/>
      <c r="BX325" s="421"/>
      <c r="BY325" s="421"/>
      <c r="BZ325" s="419"/>
      <c r="CA325" s="419"/>
      <c r="CB325" s="421"/>
      <c r="CC325" s="421"/>
      <c r="CD325" s="419"/>
      <c r="CE325" s="419"/>
      <c r="CF325" s="421"/>
      <c r="CG325" s="421"/>
      <c r="CH325" s="419"/>
      <c r="CI325" s="419"/>
      <c r="CJ325" s="421"/>
      <c r="CK325" s="421"/>
      <c r="CL325" s="419"/>
      <c r="CM325" s="421"/>
      <c r="CN325" s="424">
        <f t="shared" si="125"/>
        <v>0</v>
      </c>
      <c r="CO325" s="424">
        <f t="shared" si="126"/>
        <v>0</v>
      </c>
      <c r="CP325" s="425">
        <f t="shared" si="127"/>
        <v>0</v>
      </c>
      <c r="CQ325" s="425">
        <f t="shared" si="128"/>
        <v>0</v>
      </c>
      <c r="CR325" s="419"/>
      <c r="CS325" s="419"/>
      <c r="CT325" s="421"/>
      <c r="CU325" s="421"/>
      <c r="CV325" s="419"/>
      <c r="CW325" s="419"/>
      <c r="CX325" s="421"/>
      <c r="CY325" s="421"/>
      <c r="CZ325" s="419"/>
      <c r="DA325" s="419"/>
      <c r="DB325" s="421"/>
      <c r="DC325" s="421"/>
      <c r="DD325" s="419"/>
      <c r="DE325" s="419"/>
      <c r="DF325" s="421"/>
      <c r="DG325" s="421"/>
      <c r="DH325" s="419"/>
      <c r="DI325" s="419"/>
      <c r="DJ325" s="421"/>
      <c r="DK325" s="421"/>
      <c r="DL325" s="419"/>
      <c r="DM325" s="419"/>
      <c r="DN325" s="421"/>
      <c r="DO325" s="421"/>
      <c r="DP325" s="419"/>
      <c r="DQ325" s="419"/>
      <c r="DR325" s="421"/>
      <c r="DS325" s="421"/>
      <c r="DT325" s="419"/>
      <c r="DU325" s="419"/>
      <c r="DV325" s="421"/>
      <c r="DW325" s="421"/>
      <c r="DX325" s="419"/>
      <c r="DY325" s="419"/>
      <c r="DZ325" s="421"/>
      <c r="EA325" s="421"/>
      <c r="EB325" s="419"/>
      <c r="EC325" s="419"/>
      <c r="ED325" s="421"/>
      <c r="EE325" s="421"/>
      <c r="EF325" s="419"/>
      <c r="EG325" s="421"/>
      <c r="EH325" s="424">
        <f t="shared" si="129"/>
        <v>0</v>
      </c>
      <c r="EI325" s="424">
        <f t="shared" si="130"/>
        <v>0</v>
      </c>
      <c r="EJ325" s="422">
        <f t="shared" si="131"/>
        <v>0</v>
      </c>
      <c r="EK325" s="425">
        <f t="shared" si="132"/>
        <v>0</v>
      </c>
      <c r="EL325" s="425">
        <f t="shared" si="133"/>
        <v>0</v>
      </c>
      <c r="EM325" s="423">
        <f t="shared" si="134"/>
        <v>0</v>
      </c>
      <c r="EN325" s="424">
        <f t="shared" si="135"/>
        <v>0</v>
      </c>
      <c r="EO325" s="425">
        <f t="shared" si="136"/>
        <v>0</v>
      </c>
      <c r="EP325" s="419"/>
      <c r="EQ325" s="421"/>
      <c r="ER325" s="419"/>
      <c r="ES325" s="421"/>
      <c r="ET325" s="419"/>
      <c r="EU325" s="421"/>
      <c r="EV325" s="419"/>
      <c r="EW325" s="421"/>
      <c r="EX325" s="419"/>
      <c r="EY325" s="421"/>
      <c r="EZ325" s="419"/>
      <c r="FA325" s="421"/>
      <c r="FB325" s="419"/>
      <c r="FC325" s="421"/>
      <c r="FD325" s="419"/>
      <c r="FE325" s="421"/>
      <c r="FF325" s="419"/>
      <c r="FG325" s="421"/>
      <c r="FH325" s="419"/>
      <c r="FI325" s="421"/>
      <c r="FJ325" s="424">
        <f t="shared" si="137"/>
        <v>0</v>
      </c>
      <c r="FK325" s="425">
        <f t="shared" si="138"/>
        <v>0</v>
      </c>
      <c r="FL325" s="419"/>
      <c r="FM325" s="421"/>
      <c r="FN325" s="424">
        <f t="shared" si="139"/>
        <v>67</v>
      </c>
      <c r="FO325" s="425">
        <f t="shared" si="140"/>
        <v>34</v>
      </c>
    </row>
    <row r="326" spans="1:171">
      <c r="A326" s="427" t="s">
        <v>163</v>
      </c>
      <c r="B326" s="57" t="s">
        <v>845</v>
      </c>
      <c r="C326" s="56"/>
      <c r="D326" s="55">
        <v>365480</v>
      </c>
      <c r="E326" s="55">
        <v>13</v>
      </c>
      <c r="F326" s="419">
        <v>333</v>
      </c>
      <c r="G326" s="421">
        <v>341</v>
      </c>
      <c r="H326" s="419">
        <v>13</v>
      </c>
      <c r="I326" s="421">
        <v>12</v>
      </c>
      <c r="J326" s="419"/>
      <c r="K326" s="421"/>
      <c r="L326" s="422">
        <f t="shared" si="119"/>
        <v>0</v>
      </c>
      <c r="M326" s="423">
        <f t="shared" si="120"/>
        <v>0</v>
      </c>
      <c r="N326" s="419"/>
      <c r="O326" s="309">
        <f>0</f>
        <v>0</v>
      </c>
      <c r="P326" s="309">
        <f>0</f>
        <v>0</v>
      </c>
      <c r="Q326" s="309">
        <f>0</f>
        <v>0</v>
      </c>
      <c r="R326" s="424">
        <f t="shared" si="117"/>
        <v>0</v>
      </c>
      <c r="S326" s="421"/>
      <c r="T326" s="301">
        <f>0</f>
        <v>0</v>
      </c>
      <c r="U326" s="301">
        <f>0</f>
        <v>0</v>
      </c>
      <c r="V326" s="301">
        <f>0</f>
        <v>0</v>
      </c>
      <c r="W326" s="425">
        <f t="shared" si="118"/>
        <v>0</v>
      </c>
      <c r="X326" s="419"/>
      <c r="Y326" s="419"/>
      <c r="Z326" s="421"/>
      <c r="AA326" s="421"/>
      <c r="AB326" s="419"/>
      <c r="AC326" s="419"/>
      <c r="AD326" s="421"/>
      <c r="AE326" s="421"/>
      <c r="AF326" s="419"/>
      <c r="AG326" s="419"/>
      <c r="AH326" s="421"/>
      <c r="AI326" s="421"/>
      <c r="AJ326" s="419"/>
      <c r="AK326" s="419"/>
      <c r="AL326" s="421"/>
      <c r="AM326" s="421"/>
      <c r="AN326" s="419"/>
      <c r="AO326" s="419"/>
      <c r="AP326" s="421"/>
      <c r="AQ326" s="421"/>
      <c r="AR326" s="424">
        <f t="shared" si="121"/>
        <v>0</v>
      </c>
      <c r="AS326" s="422">
        <f t="shared" si="122"/>
        <v>0</v>
      </c>
      <c r="AT326" s="425">
        <f t="shared" si="123"/>
        <v>0</v>
      </c>
      <c r="AU326" s="423">
        <f t="shared" si="124"/>
        <v>0</v>
      </c>
      <c r="AV326" s="419"/>
      <c r="AW326" s="421"/>
      <c r="AX326" s="419"/>
      <c r="AY326" s="419"/>
      <c r="AZ326" s="421"/>
      <c r="BA326" s="421"/>
      <c r="BB326" s="419"/>
      <c r="BC326" s="419"/>
      <c r="BD326" s="421"/>
      <c r="BE326" s="421"/>
      <c r="BF326" s="419"/>
      <c r="BG326" s="419"/>
      <c r="BH326" s="421"/>
      <c r="BI326" s="421"/>
      <c r="BJ326" s="419"/>
      <c r="BK326" s="419"/>
      <c r="BL326" s="421"/>
      <c r="BM326" s="421"/>
      <c r="BN326" s="419"/>
      <c r="BO326" s="419"/>
      <c r="BP326" s="421"/>
      <c r="BQ326" s="421"/>
      <c r="BR326" s="419"/>
      <c r="BS326" s="419"/>
      <c r="BT326" s="421"/>
      <c r="BU326" s="421"/>
      <c r="BV326" s="419"/>
      <c r="BW326" s="419"/>
      <c r="BX326" s="421"/>
      <c r="BY326" s="421"/>
      <c r="BZ326" s="419"/>
      <c r="CA326" s="419"/>
      <c r="CB326" s="421"/>
      <c r="CC326" s="421"/>
      <c r="CD326" s="419"/>
      <c r="CE326" s="419"/>
      <c r="CF326" s="421"/>
      <c r="CG326" s="421"/>
      <c r="CH326" s="419"/>
      <c r="CI326" s="419"/>
      <c r="CJ326" s="421"/>
      <c r="CK326" s="421"/>
      <c r="CL326" s="419"/>
      <c r="CM326" s="421"/>
      <c r="CN326" s="424">
        <f t="shared" si="125"/>
        <v>0</v>
      </c>
      <c r="CO326" s="424">
        <f t="shared" si="126"/>
        <v>0</v>
      </c>
      <c r="CP326" s="425">
        <f t="shared" si="127"/>
        <v>0</v>
      </c>
      <c r="CQ326" s="425">
        <f t="shared" si="128"/>
        <v>0</v>
      </c>
      <c r="CR326" s="419"/>
      <c r="CS326" s="419"/>
      <c r="CT326" s="421"/>
      <c r="CU326" s="421"/>
      <c r="CV326" s="419"/>
      <c r="CW326" s="419"/>
      <c r="CX326" s="421"/>
      <c r="CY326" s="421"/>
      <c r="CZ326" s="419"/>
      <c r="DA326" s="419"/>
      <c r="DB326" s="421"/>
      <c r="DC326" s="421"/>
      <c r="DD326" s="419"/>
      <c r="DE326" s="419"/>
      <c r="DF326" s="421"/>
      <c r="DG326" s="421"/>
      <c r="DH326" s="419"/>
      <c r="DI326" s="419"/>
      <c r="DJ326" s="421"/>
      <c r="DK326" s="421"/>
      <c r="DL326" s="419"/>
      <c r="DM326" s="419"/>
      <c r="DN326" s="421"/>
      <c r="DO326" s="421"/>
      <c r="DP326" s="419"/>
      <c r="DQ326" s="419"/>
      <c r="DR326" s="421"/>
      <c r="DS326" s="421"/>
      <c r="DT326" s="419"/>
      <c r="DU326" s="419"/>
      <c r="DV326" s="421"/>
      <c r="DW326" s="421"/>
      <c r="DX326" s="419"/>
      <c r="DY326" s="419"/>
      <c r="DZ326" s="421"/>
      <c r="EA326" s="421"/>
      <c r="EB326" s="419"/>
      <c r="EC326" s="419"/>
      <c r="ED326" s="421"/>
      <c r="EE326" s="421"/>
      <c r="EF326" s="419"/>
      <c r="EG326" s="421"/>
      <c r="EH326" s="424">
        <f t="shared" si="129"/>
        <v>0</v>
      </c>
      <c r="EI326" s="424">
        <f t="shared" si="130"/>
        <v>0</v>
      </c>
      <c r="EJ326" s="422">
        <f t="shared" si="131"/>
        <v>0</v>
      </c>
      <c r="EK326" s="425">
        <f t="shared" si="132"/>
        <v>0</v>
      </c>
      <c r="EL326" s="425">
        <f t="shared" si="133"/>
        <v>0</v>
      </c>
      <c r="EM326" s="423">
        <f t="shared" si="134"/>
        <v>0</v>
      </c>
      <c r="EN326" s="424">
        <f t="shared" si="135"/>
        <v>0</v>
      </c>
      <c r="EO326" s="425">
        <f t="shared" si="136"/>
        <v>0</v>
      </c>
      <c r="EP326" s="419"/>
      <c r="EQ326" s="421"/>
      <c r="ER326" s="419"/>
      <c r="ES326" s="421"/>
      <c r="ET326" s="419"/>
      <c r="EU326" s="421"/>
      <c r="EV326" s="419"/>
      <c r="EW326" s="421"/>
      <c r="EX326" s="419"/>
      <c r="EY326" s="421"/>
      <c r="EZ326" s="419"/>
      <c r="FA326" s="421"/>
      <c r="FB326" s="419"/>
      <c r="FC326" s="421"/>
      <c r="FD326" s="419"/>
      <c r="FE326" s="421"/>
      <c r="FF326" s="419"/>
      <c r="FG326" s="421"/>
      <c r="FH326" s="419"/>
      <c r="FI326" s="421"/>
      <c r="FJ326" s="424">
        <f t="shared" si="137"/>
        <v>0</v>
      </c>
      <c r="FK326" s="425">
        <f t="shared" si="138"/>
        <v>0</v>
      </c>
      <c r="FL326" s="419"/>
      <c r="FM326" s="421"/>
      <c r="FN326" s="424">
        <f t="shared" si="139"/>
        <v>346</v>
      </c>
      <c r="FO326" s="425">
        <f t="shared" si="140"/>
        <v>353</v>
      </c>
    </row>
    <row r="327" spans="1:171">
      <c r="A327" s="427" t="s">
        <v>163</v>
      </c>
      <c r="B327" s="57" t="s">
        <v>846</v>
      </c>
      <c r="C327" s="56"/>
      <c r="D327" s="55">
        <v>363165</v>
      </c>
      <c r="E327" s="55">
        <v>13</v>
      </c>
      <c r="F327" s="419">
        <v>723</v>
      </c>
      <c r="G327" s="420">
        <v>434</v>
      </c>
      <c r="H327" s="419">
        <v>21</v>
      </c>
      <c r="I327" s="420">
        <v>13</v>
      </c>
      <c r="J327" s="419"/>
      <c r="K327" s="421"/>
      <c r="L327" s="422">
        <f t="shared" si="119"/>
        <v>0</v>
      </c>
      <c r="M327" s="423">
        <f t="shared" si="120"/>
        <v>0</v>
      </c>
      <c r="N327" s="419"/>
      <c r="O327" s="309">
        <f>0</f>
        <v>0</v>
      </c>
      <c r="P327" s="309">
        <f>0</f>
        <v>0</v>
      </c>
      <c r="Q327" s="309">
        <f>0</f>
        <v>0</v>
      </c>
      <c r="R327" s="424">
        <f t="shared" si="117"/>
        <v>0</v>
      </c>
      <c r="S327" s="421"/>
      <c r="T327" s="301">
        <f>0</f>
        <v>0</v>
      </c>
      <c r="U327" s="301">
        <f>0</f>
        <v>0</v>
      </c>
      <c r="V327" s="301">
        <f>0</f>
        <v>0</v>
      </c>
      <c r="W327" s="425">
        <f t="shared" si="118"/>
        <v>0</v>
      </c>
      <c r="X327" s="419"/>
      <c r="Y327" s="419"/>
      <c r="Z327" s="421"/>
      <c r="AA327" s="421"/>
      <c r="AB327" s="419"/>
      <c r="AC327" s="419"/>
      <c r="AD327" s="421"/>
      <c r="AE327" s="421"/>
      <c r="AF327" s="419"/>
      <c r="AG327" s="419"/>
      <c r="AH327" s="421"/>
      <c r="AI327" s="421"/>
      <c r="AJ327" s="419"/>
      <c r="AK327" s="419"/>
      <c r="AL327" s="421"/>
      <c r="AM327" s="421"/>
      <c r="AN327" s="419"/>
      <c r="AO327" s="419"/>
      <c r="AP327" s="421"/>
      <c r="AQ327" s="421"/>
      <c r="AR327" s="424">
        <f t="shared" si="121"/>
        <v>0</v>
      </c>
      <c r="AS327" s="422">
        <f t="shared" si="122"/>
        <v>0</v>
      </c>
      <c r="AT327" s="425">
        <f t="shared" si="123"/>
        <v>0</v>
      </c>
      <c r="AU327" s="423">
        <f t="shared" si="124"/>
        <v>0</v>
      </c>
      <c r="AV327" s="419"/>
      <c r="AW327" s="421"/>
      <c r="AX327" s="419"/>
      <c r="AY327" s="419"/>
      <c r="AZ327" s="421"/>
      <c r="BA327" s="421"/>
      <c r="BB327" s="419"/>
      <c r="BC327" s="419"/>
      <c r="BD327" s="421"/>
      <c r="BE327" s="421"/>
      <c r="BF327" s="419"/>
      <c r="BG327" s="419"/>
      <c r="BH327" s="421"/>
      <c r="BI327" s="421"/>
      <c r="BJ327" s="419"/>
      <c r="BK327" s="419"/>
      <c r="BL327" s="421"/>
      <c r="BM327" s="421"/>
      <c r="BN327" s="419"/>
      <c r="BO327" s="419"/>
      <c r="BP327" s="421"/>
      <c r="BQ327" s="421"/>
      <c r="BR327" s="419"/>
      <c r="BS327" s="419"/>
      <c r="BT327" s="421"/>
      <c r="BU327" s="421"/>
      <c r="BV327" s="419"/>
      <c r="BW327" s="419"/>
      <c r="BX327" s="421"/>
      <c r="BY327" s="421"/>
      <c r="BZ327" s="419"/>
      <c r="CA327" s="419"/>
      <c r="CB327" s="421"/>
      <c r="CC327" s="421"/>
      <c r="CD327" s="419"/>
      <c r="CE327" s="419"/>
      <c r="CF327" s="421"/>
      <c r="CG327" s="421"/>
      <c r="CH327" s="419"/>
      <c r="CI327" s="419"/>
      <c r="CJ327" s="421"/>
      <c r="CK327" s="421"/>
      <c r="CL327" s="419"/>
      <c r="CM327" s="421"/>
      <c r="CN327" s="424">
        <f t="shared" si="125"/>
        <v>0</v>
      </c>
      <c r="CO327" s="424">
        <f t="shared" si="126"/>
        <v>0</v>
      </c>
      <c r="CP327" s="425">
        <f t="shared" si="127"/>
        <v>0</v>
      </c>
      <c r="CQ327" s="425">
        <f t="shared" si="128"/>
        <v>0</v>
      </c>
      <c r="CR327" s="419"/>
      <c r="CS327" s="419"/>
      <c r="CT327" s="421"/>
      <c r="CU327" s="421"/>
      <c r="CV327" s="419"/>
      <c r="CW327" s="419"/>
      <c r="CX327" s="421"/>
      <c r="CY327" s="421"/>
      <c r="CZ327" s="419"/>
      <c r="DA327" s="419"/>
      <c r="DB327" s="421"/>
      <c r="DC327" s="421"/>
      <c r="DD327" s="419"/>
      <c r="DE327" s="419"/>
      <c r="DF327" s="421"/>
      <c r="DG327" s="421"/>
      <c r="DH327" s="419"/>
      <c r="DI327" s="419"/>
      <c r="DJ327" s="421"/>
      <c r="DK327" s="421"/>
      <c r="DL327" s="419"/>
      <c r="DM327" s="419"/>
      <c r="DN327" s="421"/>
      <c r="DO327" s="421"/>
      <c r="DP327" s="419"/>
      <c r="DQ327" s="419"/>
      <c r="DR327" s="421"/>
      <c r="DS327" s="421"/>
      <c r="DT327" s="419"/>
      <c r="DU327" s="419"/>
      <c r="DV327" s="421"/>
      <c r="DW327" s="421"/>
      <c r="DX327" s="419"/>
      <c r="DY327" s="419"/>
      <c r="DZ327" s="421"/>
      <c r="EA327" s="421"/>
      <c r="EB327" s="419"/>
      <c r="EC327" s="419"/>
      <c r="ED327" s="421"/>
      <c r="EE327" s="421"/>
      <c r="EF327" s="419"/>
      <c r="EG327" s="421"/>
      <c r="EH327" s="424">
        <f t="shared" si="129"/>
        <v>0</v>
      </c>
      <c r="EI327" s="424">
        <f t="shared" si="130"/>
        <v>0</v>
      </c>
      <c r="EJ327" s="422">
        <f t="shared" si="131"/>
        <v>0</v>
      </c>
      <c r="EK327" s="425">
        <f t="shared" si="132"/>
        <v>0</v>
      </c>
      <c r="EL327" s="425">
        <f t="shared" si="133"/>
        <v>0</v>
      </c>
      <c r="EM327" s="423">
        <f t="shared" si="134"/>
        <v>0</v>
      </c>
      <c r="EN327" s="424">
        <f t="shared" si="135"/>
        <v>0</v>
      </c>
      <c r="EO327" s="425">
        <f t="shared" si="136"/>
        <v>0</v>
      </c>
      <c r="EP327" s="419"/>
      <c r="EQ327" s="421"/>
      <c r="ER327" s="419"/>
      <c r="ES327" s="421"/>
      <c r="ET327" s="419"/>
      <c r="EU327" s="421"/>
      <c r="EV327" s="419"/>
      <c r="EW327" s="421"/>
      <c r="EX327" s="419"/>
      <c r="EY327" s="421"/>
      <c r="EZ327" s="419"/>
      <c r="FA327" s="421"/>
      <c r="FB327" s="419"/>
      <c r="FC327" s="421"/>
      <c r="FD327" s="419"/>
      <c r="FE327" s="421"/>
      <c r="FF327" s="419"/>
      <c r="FG327" s="421"/>
      <c r="FH327" s="419"/>
      <c r="FI327" s="421"/>
      <c r="FJ327" s="424">
        <f t="shared" si="137"/>
        <v>0</v>
      </c>
      <c r="FK327" s="425">
        <f t="shared" si="138"/>
        <v>0</v>
      </c>
      <c r="FL327" s="419"/>
      <c r="FM327" s="421"/>
      <c r="FN327" s="424">
        <f t="shared" si="139"/>
        <v>744</v>
      </c>
      <c r="FO327" s="425">
        <f t="shared" si="140"/>
        <v>447</v>
      </c>
    </row>
    <row r="328" spans="1:171">
      <c r="A328" s="427" t="s">
        <v>163</v>
      </c>
      <c r="B328" s="57" t="s">
        <v>847</v>
      </c>
      <c r="C328" s="56" t="s">
        <v>1213</v>
      </c>
      <c r="D328" s="55">
        <v>418320</v>
      </c>
      <c r="E328" s="55">
        <v>13</v>
      </c>
      <c r="F328" s="419">
        <v>364</v>
      </c>
      <c r="G328" s="421">
        <v>373</v>
      </c>
      <c r="H328" s="419"/>
      <c r="I328" s="421"/>
      <c r="J328" s="419"/>
      <c r="K328" s="421"/>
      <c r="L328" s="422">
        <f t="shared" si="119"/>
        <v>0</v>
      </c>
      <c r="M328" s="423">
        <f t="shared" si="120"/>
        <v>0</v>
      </c>
      <c r="N328" s="419"/>
      <c r="O328" s="309">
        <f>0</f>
        <v>0</v>
      </c>
      <c r="P328" s="309">
        <f>0</f>
        <v>0</v>
      </c>
      <c r="Q328" s="309">
        <f>0</f>
        <v>0</v>
      </c>
      <c r="R328" s="424">
        <f t="shared" si="117"/>
        <v>0</v>
      </c>
      <c r="S328" s="421"/>
      <c r="T328" s="301">
        <f>0</f>
        <v>0</v>
      </c>
      <c r="U328" s="301">
        <f>0</f>
        <v>0</v>
      </c>
      <c r="V328" s="301">
        <f>0</f>
        <v>0</v>
      </c>
      <c r="W328" s="425">
        <f t="shared" si="118"/>
        <v>0</v>
      </c>
      <c r="X328" s="419"/>
      <c r="Y328" s="419"/>
      <c r="Z328" s="421"/>
      <c r="AA328" s="421"/>
      <c r="AB328" s="419"/>
      <c r="AC328" s="419"/>
      <c r="AD328" s="421"/>
      <c r="AE328" s="421"/>
      <c r="AF328" s="419"/>
      <c r="AG328" s="419"/>
      <c r="AH328" s="421"/>
      <c r="AI328" s="421"/>
      <c r="AJ328" s="419"/>
      <c r="AK328" s="419"/>
      <c r="AL328" s="421"/>
      <c r="AM328" s="421"/>
      <c r="AN328" s="419"/>
      <c r="AO328" s="419"/>
      <c r="AP328" s="421"/>
      <c r="AQ328" s="421"/>
      <c r="AR328" s="424">
        <f t="shared" si="121"/>
        <v>0</v>
      </c>
      <c r="AS328" s="422">
        <f t="shared" si="122"/>
        <v>0</v>
      </c>
      <c r="AT328" s="425">
        <f t="shared" si="123"/>
        <v>0</v>
      </c>
      <c r="AU328" s="423">
        <f t="shared" si="124"/>
        <v>0</v>
      </c>
      <c r="AV328" s="419"/>
      <c r="AW328" s="421"/>
      <c r="AX328" s="419"/>
      <c r="AY328" s="419"/>
      <c r="AZ328" s="421"/>
      <c r="BA328" s="421"/>
      <c r="BB328" s="419"/>
      <c r="BC328" s="419"/>
      <c r="BD328" s="421"/>
      <c r="BE328" s="421"/>
      <c r="BF328" s="419"/>
      <c r="BG328" s="419"/>
      <c r="BH328" s="421"/>
      <c r="BI328" s="421"/>
      <c r="BJ328" s="419"/>
      <c r="BK328" s="419"/>
      <c r="BL328" s="421"/>
      <c r="BM328" s="421"/>
      <c r="BN328" s="419"/>
      <c r="BO328" s="419"/>
      <c r="BP328" s="421"/>
      <c r="BQ328" s="421"/>
      <c r="BR328" s="419"/>
      <c r="BS328" s="419"/>
      <c r="BT328" s="421"/>
      <c r="BU328" s="421"/>
      <c r="BV328" s="419"/>
      <c r="BW328" s="419"/>
      <c r="BX328" s="421"/>
      <c r="BY328" s="421"/>
      <c r="BZ328" s="419"/>
      <c r="CA328" s="419"/>
      <c r="CB328" s="421"/>
      <c r="CC328" s="421"/>
      <c r="CD328" s="419"/>
      <c r="CE328" s="419"/>
      <c r="CF328" s="421"/>
      <c r="CG328" s="421"/>
      <c r="CH328" s="419"/>
      <c r="CI328" s="419"/>
      <c r="CJ328" s="421"/>
      <c r="CK328" s="421"/>
      <c r="CL328" s="419"/>
      <c r="CM328" s="421"/>
      <c r="CN328" s="424">
        <f t="shared" si="125"/>
        <v>0</v>
      </c>
      <c r="CO328" s="424">
        <f t="shared" si="126"/>
        <v>0</v>
      </c>
      <c r="CP328" s="425">
        <f t="shared" si="127"/>
        <v>0</v>
      </c>
      <c r="CQ328" s="425">
        <f t="shared" si="128"/>
        <v>0</v>
      </c>
      <c r="CR328" s="419"/>
      <c r="CS328" s="419"/>
      <c r="CT328" s="421"/>
      <c r="CU328" s="421"/>
      <c r="CV328" s="419"/>
      <c r="CW328" s="419"/>
      <c r="CX328" s="421"/>
      <c r="CY328" s="421"/>
      <c r="CZ328" s="419"/>
      <c r="DA328" s="419"/>
      <c r="DB328" s="421"/>
      <c r="DC328" s="421"/>
      <c r="DD328" s="419"/>
      <c r="DE328" s="419"/>
      <c r="DF328" s="421"/>
      <c r="DG328" s="421"/>
      <c r="DH328" s="419"/>
      <c r="DI328" s="419"/>
      <c r="DJ328" s="421"/>
      <c r="DK328" s="421"/>
      <c r="DL328" s="419"/>
      <c r="DM328" s="419"/>
      <c r="DN328" s="421"/>
      <c r="DO328" s="421"/>
      <c r="DP328" s="419"/>
      <c r="DQ328" s="419"/>
      <c r="DR328" s="421"/>
      <c r="DS328" s="421"/>
      <c r="DT328" s="419"/>
      <c r="DU328" s="419"/>
      <c r="DV328" s="421"/>
      <c r="DW328" s="421"/>
      <c r="DX328" s="419"/>
      <c r="DY328" s="419"/>
      <c r="DZ328" s="421"/>
      <c r="EA328" s="421"/>
      <c r="EB328" s="419"/>
      <c r="EC328" s="419"/>
      <c r="ED328" s="421"/>
      <c r="EE328" s="421"/>
      <c r="EF328" s="419"/>
      <c r="EG328" s="421"/>
      <c r="EH328" s="424">
        <f t="shared" si="129"/>
        <v>0</v>
      </c>
      <c r="EI328" s="424">
        <f t="shared" si="130"/>
        <v>0</v>
      </c>
      <c r="EJ328" s="422">
        <f t="shared" si="131"/>
        <v>0</v>
      </c>
      <c r="EK328" s="425">
        <f t="shared" si="132"/>
        <v>0</v>
      </c>
      <c r="EL328" s="425">
        <f t="shared" si="133"/>
        <v>0</v>
      </c>
      <c r="EM328" s="423">
        <f t="shared" si="134"/>
        <v>0</v>
      </c>
      <c r="EN328" s="424">
        <f t="shared" si="135"/>
        <v>0</v>
      </c>
      <c r="EO328" s="425">
        <f t="shared" si="136"/>
        <v>0</v>
      </c>
      <c r="EP328" s="419"/>
      <c r="EQ328" s="421"/>
      <c r="ER328" s="419"/>
      <c r="ES328" s="421"/>
      <c r="ET328" s="419"/>
      <c r="EU328" s="421"/>
      <c r="EV328" s="419"/>
      <c r="EW328" s="421"/>
      <c r="EX328" s="419"/>
      <c r="EY328" s="421"/>
      <c r="EZ328" s="419"/>
      <c r="FA328" s="421"/>
      <c r="FB328" s="419"/>
      <c r="FC328" s="421"/>
      <c r="FD328" s="419"/>
      <c r="FE328" s="421"/>
      <c r="FF328" s="419"/>
      <c r="FG328" s="421"/>
      <c r="FH328" s="419"/>
      <c r="FI328" s="421"/>
      <c r="FJ328" s="424">
        <f t="shared" si="137"/>
        <v>0</v>
      </c>
      <c r="FK328" s="425">
        <f t="shared" si="138"/>
        <v>0</v>
      </c>
      <c r="FL328" s="419"/>
      <c r="FM328" s="421"/>
      <c r="FN328" s="424">
        <f t="shared" si="139"/>
        <v>364</v>
      </c>
      <c r="FO328" s="425">
        <f t="shared" si="140"/>
        <v>373</v>
      </c>
    </row>
    <row r="329" spans="1:171">
      <c r="A329" s="427" t="s">
        <v>163</v>
      </c>
      <c r="B329" s="57" t="s">
        <v>848</v>
      </c>
      <c r="C329" s="56"/>
      <c r="D329" s="55">
        <v>431017</v>
      </c>
      <c r="E329" s="55">
        <v>13</v>
      </c>
      <c r="F329" s="419">
        <v>228</v>
      </c>
      <c r="G329" s="420">
        <v>175</v>
      </c>
      <c r="H329" s="419"/>
      <c r="I329" s="421"/>
      <c r="J329" s="419"/>
      <c r="K329" s="421"/>
      <c r="L329" s="422">
        <f t="shared" si="119"/>
        <v>0</v>
      </c>
      <c r="M329" s="423">
        <f t="shared" si="120"/>
        <v>0</v>
      </c>
      <c r="N329" s="419"/>
      <c r="O329" s="309">
        <f>0</f>
        <v>0</v>
      </c>
      <c r="P329" s="309">
        <f>0</f>
        <v>0</v>
      </c>
      <c r="Q329" s="309">
        <f>0</f>
        <v>0</v>
      </c>
      <c r="R329" s="424">
        <f t="shared" si="117"/>
        <v>0</v>
      </c>
      <c r="S329" s="421"/>
      <c r="T329" s="301">
        <f>0</f>
        <v>0</v>
      </c>
      <c r="U329" s="301">
        <f>0</f>
        <v>0</v>
      </c>
      <c r="V329" s="301">
        <f>0</f>
        <v>0</v>
      </c>
      <c r="W329" s="425">
        <f t="shared" si="118"/>
        <v>0</v>
      </c>
      <c r="X329" s="419"/>
      <c r="Y329" s="419"/>
      <c r="Z329" s="421"/>
      <c r="AA329" s="421"/>
      <c r="AB329" s="419"/>
      <c r="AC329" s="419"/>
      <c r="AD329" s="421"/>
      <c r="AE329" s="421"/>
      <c r="AF329" s="419"/>
      <c r="AG329" s="419"/>
      <c r="AH329" s="421"/>
      <c r="AI329" s="421"/>
      <c r="AJ329" s="419"/>
      <c r="AK329" s="419"/>
      <c r="AL329" s="421"/>
      <c r="AM329" s="421"/>
      <c r="AN329" s="419"/>
      <c r="AO329" s="419"/>
      <c r="AP329" s="421"/>
      <c r="AQ329" s="421"/>
      <c r="AR329" s="424">
        <f t="shared" si="121"/>
        <v>0</v>
      </c>
      <c r="AS329" s="422">
        <f t="shared" si="122"/>
        <v>0</v>
      </c>
      <c r="AT329" s="425">
        <f t="shared" si="123"/>
        <v>0</v>
      </c>
      <c r="AU329" s="423">
        <f t="shared" si="124"/>
        <v>0</v>
      </c>
      <c r="AV329" s="419"/>
      <c r="AW329" s="421"/>
      <c r="AX329" s="419"/>
      <c r="AY329" s="419"/>
      <c r="AZ329" s="421"/>
      <c r="BA329" s="421"/>
      <c r="BB329" s="419"/>
      <c r="BC329" s="419"/>
      <c r="BD329" s="421"/>
      <c r="BE329" s="421"/>
      <c r="BF329" s="419"/>
      <c r="BG329" s="419"/>
      <c r="BH329" s="421"/>
      <c r="BI329" s="421"/>
      <c r="BJ329" s="419"/>
      <c r="BK329" s="419"/>
      <c r="BL329" s="421"/>
      <c r="BM329" s="421"/>
      <c r="BN329" s="419"/>
      <c r="BO329" s="419"/>
      <c r="BP329" s="421"/>
      <c r="BQ329" s="421"/>
      <c r="BR329" s="419"/>
      <c r="BS329" s="419"/>
      <c r="BT329" s="421"/>
      <c r="BU329" s="421"/>
      <c r="BV329" s="419"/>
      <c r="BW329" s="419"/>
      <c r="BX329" s="421"/>
      <c r="BY329" s="421"/>
      <c r="BZ329" s="419"/>
      <c r="CA329" s="419"/>
      <c r="CB329" s="421"/>
      <c r="CC329" s="421"/>
      <c r="CD329" s="419"/>
      <c r="CE329" s="419"/>
      <c r="CF329" s="421"/>
      <c r="CG329" s="421"/>
      <c r="CH329" s="419"/>
      <c r="CI329" s="419"/>
      <c r="CJ329" s="421"/>
      <c r="CK329" s="421"/>
      <c r="CL329" s="419"/>
      <c r="CM329" s="421"/>
      <c r="CN329" s="424">
        <f t="shared" si="125"/>
        <v>0</v>
      </c>
      <c r="CO329" s="424">
        <f t="shared" si="126"/>
        <v>0</v>
      </c>
      <c r="CP329" s="425">
        <f t="shared" si="127"/>
        <v>0</v>
      </c>
      <c r="CQ329" s="425">
        <f t="shared" si="128"/>
        <v>0</v>
      </c>
      <c r="CR329" s="419"/>
      <c r="CS329" s="419"/>
      <c r="CT329" s="421"/>
      <c r="CU329" s="421"/>
      <c r="CV329" s="419"/>
      <c r="CW329" s="419"/>
      <c r="CX329" s="421"/>
      <c r="CY329" s="421"/>
      <c r="CZ329" s="419"/>
      <c r="DA329" s="419"/>
      <c r="DB329" s="421"/>
      <c r="DC329" s="421"/>
      <c r="DD329" s="419"/>
      <c r="DE329" s="419"/>
      <c r="DF329" s="421"/>
      <c r="DG329" s="421"/>
      <c r="DH329" s="419"/>
      <c r="DI329" s="419"/>
      <c r="DJ329" s="421"/>
      <c r="DK329" s="421"/>
      <c r="DL329" s="419"/>
      <c r="DM329" s="419"/>
      <c r="DN329" s="421"/>
      <c r="DO329" s="421"/>
      <c r="DP329" s="419"/>
      <c r="DQ329" s="419"/>
      <c r="DR329" s="421"/>
      <c r="DS329" s="421"/>
      <c r="DT329" s="419"/>
      <c r="DU329" s="419"/>
      <c r="DV329" s="421"/>
      <c r="DW329" s="421"/>
      <c r="DX329" s="419"/>
      <c r="DY329" s="419"/>
      <c r="DZ329" s="421"/>
      <c r="EA329" s="421"/>
      <c r="EB329" s="419"/>
      <c r="EC329" s="419"/>
      <c r="ED329" s="421"/>
      <c r="EE329" s="421"/>
      <c r="EF329" s="419"/>
      <c r="EG329" s="421"/>
      <c r="EH329" s="424">
        <f t="shared" si="129"/>
        <v>0</v>
      </c>
      <c r="EI329" s="424">
        <f t="shared" si="130"/>
        <v>0</v>
      </c>
      <c r="EJ329" s="422">
        <f t="shared" si="131"/>
        <v>0</v>
      </c>
      <c r="EK329" s="425">
        <f t="shared" si="132"/>
        <v>0</v>
      </c>
      <c r="EL329" s="425">
        <f t="shared" si="133"/>
        <v>0</v>
      </c>
      <c r="EM329" s="423">
        <f t="shared" si="134"/>
        <v>0</v>
      </c>
      <c r="EN329" s="424">
        <f t="shared" si="135"/>
        <v>0</v>
      </c>
      <c r="EO329" s="425">
        <f t="shared" si="136"/>
        <v>0</v>
      </c>
      <c r="EP329" s="419"/>
      <c r="EQ329" s="421"/>
      <c r="ER329" s="419"/>
      <c r="ES329" s="421"/>
      <c r="ET329" s="419"/>
      <c r="EU329" s="421"/>
      <c r="EV329" s="419"/>
      <c r="EW329" s="421"/>
      <c r="EX329" s="419"/>
      <c r="EY329" s="421"/>
      <c r="EZ329" s="419"/>
      <c r="FA329" s="421"/>
      <c r="FB329" s="419"/>
      <c r="FC329" s="421"/>
      <c r="FD329" s="419"/>
      <c r="FE329" s="421"/>
      <c r="FF329" s="419"/>
      <c r="FG329" s="421"/>
      <c r="FH329" s="419"/>
      <c r="FI329" s="421"/>
      <c r="FJ329" s="424">
        <f t="shared" si="137"/>
        <v>0</v>
      </c>
      <c r="FK329" s="425">
        <f t="shared" si="138"/>
        <v>0</v>
      </c>
      <c r="FL329" s="419"/>
      <c r="FM329" s="421"/>
      <c r="FN329" s="424">
        <f t="shared" si="139"/>
        <v>228</v>
      </c>
      <c r="FO329" s="425">
        <f t="shared" si="140"/>
        <v>175</v>
      </c>
    </row>
    <row r="330" spans="1:171">
      <c r="A330" s="427" t="s">
        <v>163</v>
      </c>
      <c r="B330" s="9" t="s">
        <v>849</v>
      </c>
      <c r="C330" s="56" t="s">
        <v>1214</v>
      </c>
      <c r="D330" s="55">
        <v>248606</v>
      </c>
      <c r="E330" s="55">
        <v>13</v>
      </c>
      <c r="F330" s="419">
        <v>660</v>
      </c>
      <c r="G330" s="421">
        <v>605</v>
      </c>
      <c r="H330" s="419"/>
      <c r="I330" s="421"/>
      <c r="J330" s="419"/>
      <c r="K330" s="421"/>
      <c r="L330" s="422">
        <f t="shared" si="119"/>
        <v>0</v>
      </c>
      <c r="M330" s="423">
        <f t="shared" si="120"/>
        <v>0</v>
      </c>
      <c r="N330" s="419"/>
      <c r="O330" s="309">
        <f>0</f>
        <v>0</v>
      </c>
      <c r="P330" s="309">
        <f>0</f>
        <v>0</v>
      </c>
      <c r="Q330" s="309">
        <f>0</f>
        <v>0</v>
      </c>
      <c r="R330" s="424">
        <f t="shared" ref="R330:R393" si="141">SUM(O330:Q330)</f>
        <v>0</v>
      </c>
      <c r="S330" s="421"/>
      <c r="T330" s="301">
        <f>0</f>
        <v>0</v>
      </c>
      <c r="U330" s="301">
        <f>0</f>
        <v>0</v>
      </c>
      <c r="V330" s="301">
        <f>0</f>
        <v>0</v>
      </c>
      <c r="W330" s="425">
        <f t="shared" ref="W330:W393" si="142">SUM(T330:V330)</f>
        <v>0</v>
      </c>
      <c r="X330" s="419"/>
      <c r="Y330" s="419"/>
      <c r="Z330" s="421"/>
      <c r="AA330" s="421"/>
      <c r="AB330" s="419"/>
      <c r="AC330" s="419"/>
      <c r="AD330" s="421"/>
      <c r="AE330" s="421"/>
      <c r="AF330" s="419"/>
      <c r="AG330" s="419"/>
      <c r="AH330" s="421"/>
      <c r="AI330" s="421"/>
      <c r="AJ330" s="419"/>
      <c r="AK330" s="419"/>
      <c r="AL330" s="421"/>
      <c r="AM330" s="421"/>
      <c r="AN330" s="419"/>
      <c r="AO330" s="419"/>
      <c r="AP330" s="421"/>
      <c r="AQ330" s="421"/>
      <c r="AR330" s="424">
        <f t="shared" si="121"/>
        <v>0</v>
      </c>
      <c r="AS330" s="422">
        <f t="shared" si="122"/>
        <v>0</v>
      </c>
      <c r="AT330" s="425">
        <f t="shared" si="123"/>
        <v>0</v>
      </c>
      <c r="AU330" s="423">
        <f t="shared" si="124"/>
        <v>0</v>
      </c>
      <c r="AV330" s="419"/>
      <c r="AW330" s="421"/>
      <c r="AX330" s="419"/>
      <c r="AY330" s="419"/>
      <c r="AZ330" s="421"/>
      <c r="BA330" s="421"/>
      <c r="BB330" s="419"/>
      <c r="BC330" s="419"/>
      <c r="BD330" s="421"/>
      <c r="BE330" s="421"/>
      <c r="BF330" s="419"/>
      <c r="BG330" s="419"/>
      <c r="BH330" s="421"/>
      <c r="BI330" s="421"/>
      <c r="BJ330" s="419"/>
      <c r="BK330" s="419"/>
      <c r="BL330" s="421"/>
      <c r="BM330" s="421"/>
      <c r="BN330" s="419"/>
      <c r="BO330" s="419"/>
      <c r="BP330" s="421"/>
      <c r="BQ330" s="421"/>
      <c r="BR330" s="419"/>
      <c r="BS330" s="419"/>
      <c r="BT330" s="421"/>
      <c r="BU330" s="421"/>
      <c r="BV330" s="419"/>
      <c r="BW330" s="419"/>
      <c r="BX330" s="421"/>
      <c r="BY330" s="421"/>
      <c r="BZ330" s="419"/>
      <c r="CA330" s="419"/>
      <c r="CB330" s="421"/>
      <c r="CC330" s="421"/>
      <c r="CD330" s="419"/>
      <c r="CE330" s="419"/>
      <c r="CF330" s="421"/>
      <c r="CG330" s="421"/>
      <c r="CH330" s="419"/>
      <c r="CI330" s="419"/>
      <c r="CJ330" s="421"/>
      <c r="CK330" s="421"/>
      <c r="CL330" s="419"/>
      <c r="CM330" s="421"/>
      <c r="CN330" s="424">
        <f t="shared" si="125"/>
        <v>0</v>
      </c>
      <c r="CO330" s="424">
        <f t="shared" si="126"/>
        <v>0</v>
      </c>
      <c r="CP330" s="425">
        <f t="shared" si="127"/>
        <v>0</v>
      </c>
      <c r="CQ330" s="425">
        <f t="shared" si="128"/>
        <v>0</v>
      </c>
      <c r="CR330" s="419"/>
      <c r="CS330" s="419"/>
      <c r="CT330" s="421"/>
      <c r="CU330" s="421"/>
      <c r="CV330" s="419"/>
      <c r="CW330" s="419"/>
      <c r="CX330" s="421"/>
      <c r="CY330" s="421"/>
      <c r="CZ330" s="419"/>
      <c r="DA330" s="419"/>
      <c r="DB330" s="421"/>
      <c r="DC330" s="421"/>
      <c r="DD330" s="419"/>
      <c r="DE330" s="419"/>
      <c r="DF330" s="421"/>
      <c r="DG330" s="421"/>
      <c r="DH330" s="419"/>
      <c r="DI330" s="419"/>
      <c r="DJ330" s="421"/>
      <c r="DK330" s="421"/>
      <c r="DL330" s="419"/>
      <c r="DM330" s="419"/>
      <c r="DN330" s="421"/>
      <c r="DO330" s="421"/>
      <c r="DP330" s="419"/>
      <c r="DQ330" s="419"/>
      <c r="DR330" s="421"/>
      <c r="DS330" s="421"/>
      <c r="DT330" s="419"/>
      <c r="DU330" s="419"/>
      <c r="DV330" s="421"/>
      <c r="DW330" s="421"/>
      <c r="DX330" s="419"/>
      <c r="DY330" s="419"/>
      <c r="DZ330" s="421"/>
      <c r="EA330" s="421"/>
      <c r="EB330" s="419"/>
      <c r="EC330" s="419"/>
      <c r="ED330" s="421"/>
      <c r="EE330" s="421"/>
      <c r="EF330" s="419"/>
      <c r="EG330" s="421"/>
      <c r="EH330" s="424">
        <f t="shared" si="129"/>
        <v>0</v>
      </c>
      <c r="EI330" s="424">
        <f t="shared" si="130"/>
        <v>0</v>
      </c>
      <c r="EJ330" s="422">
        <f t="shared" si="131"/>
        <v>0</v>
      </c>
      <c r="EK330" s="425">
        <f t="shared" si="132"/>
        <v>0</v>
      </c>
      <c r="EL330" s="425">
        <f t="shared" si="133"/>
        <v>0</v>
      </c>
      <c r="EM330" s="423">
        <f t="shared" si="134"/>
        <v>0</v>
      </c>
      <c r="EN330" s="424">
        <f t="shared" si="135"/>
        <v>0</v>
      </c>
      <c r="EO330" s="425">
        <f t="shared" si="136"/>
        <v>0</v>
      </c>
      <c r="EP330" s="419"/>
      <c r="EQ330" s="421"/>
      <c r="ER330" s="419"/>
      <c r="ES330" s="421"/>
      <c r="ET330" s="419"/>
      <c r="EU330" s="421"/>
      <c r="EV330" s="419"/>
      <c r="EW330" s="421"/>
      <c r="EX330" s="419"/>
      <c r="EY330" s="421"/>
      <c r="EZ330" s="419"/>
      <c r="FA330" s="421"/>
      <c r="FB330" s="419"/>
      <c r="FC330" s="421"/>
      <c r="FD330" s="419"/>
      <c r="FE330" s="421"/>
      <c r="FF330" s="419"/>
      <c r="FG330" s="421"/>
      <c r="FH330" s="419"/>
      <c r="FI330" s="421"/>
      <c r="FJ330" s="424">
        <f t="shared" si="137"/>
        <v>0</v>
      </c>
      <c r="FK330" s="425">
        <f t="shared" si="138"/>
        <v>0</v>
      </c>
      <c r="FL330" s="419"/>
      <c r="FM330" s="421"/>
      <c r="FN330" s="424">
        <f t="shared" si="139"/>
        <v>660</v>
      </c>
      <c r="FO330" s="425">
        <f t="shared" si="140"/>
        <v>605</v>
      </c>
    </row>
    <row r="331" spans="1:171">
      <c r="A331" s="427" t="s">
        <v>163</v>
      </c>
      <c r="B331" s="57" t="s">
        <v>850</v>
      </c>
      <c r="C331" s="56"/>
      <c r="D331" s="55">
        <v>420459</v>
      </c>
      <c r="E331" s="55">
        <v>13</v>
      </c>
      <c r="F331" s="419">
        <v>188</v>
      </c>
      <c r="G331" s="420">
        <v>280</v>
      </c>
      <c r="H331" s="419"/>
      <c r="I331" s="421"/>
      <c r="J331" s="419"/>
      <c r="K331" s="421"/>
      <c r="L331" s="422">
        <f t="shared" ref="L331:L394" si="143">IF(N331&gt;0,J331/N331, )</f>
        <v>0</v>
      </c>
      <c r="M331" s="423">
        <f t="shared" ref="M331:M394" si="144">IF(S331&gt;0,K331/S331, )</f>
        <v>0</v>
      </c>
      <c r="N331" s="419"/>
      <c r="O331" s="309">
        <f>0</f>
        <v>0</v>
      </c>
      <c r="P331" s="309">
        <f>0</f>
        <v>0</v>
      </c>
      <c r="Q331" s="309">
        <f>0</f>
        <v>0</v>
      </c>
      <c r="R331" s="424">
        <f t="shared" si="141"/>
        <v>0</v>
      </c>
      <c r="S331" s="421"/>
      <c r="T331" s="301">
        <f>0</f>
        <v>0</v>
      </c>
      <c r="U331" s="301">
        <f>0</f>
        <v>0</v>
      </c>
      <c r="V331" s="301">
        <f>0</f>
        <v>0</v>
      </c>
      <c r="W331" s="425">
        <f t="shared" si="142"/>
        <v>0</v>
      </c>
      <c r="X331" s="419"/>
      <c r="Y331" s="419"/>
      <c r="Z331" s="421"/>
      <c r="AA331" s="421"/>
      <c r="AB331" s="419"/>
      <c r="AC331" s="419"/>
      <c r="AD331" s="421"/>
      <c r="AE331" s="421"/>
      <c r="AF331" s="419"/>
      <c r="AG331" s="419"/>
      <c r="AH331" s="421"/>
      <c r="AI331" s="421"/>
      <c r="AJ331" s="419"/>
      <c r="AK331" s="419"/>
      <c r="AL331" s="421"/>
      <c r="AM331" s="421"/>
      <c r="AN331" s="419"/>
      <c r="AO331" s="419"/>
      <c r="AP331" s="421"/>
      <c r="AQ331" s="421"/>
      <c r="AR331" s="424">
        <f t="shared" ref="AR331:AR394" si="145">COUNTA(X331,AB331,AF331,AJ331,AN331)</f>
        <v>0</v>
      </c>
      <c r="AS331" s="422">
        <f t="shared" ref="AS331:AS394" si="146">IF(FN331&gt;0,N331/FN331,)</f>
        <v>0</v>
      </c>
      <c r="AT331" s="425">
        <f t="shared" ref="AT331:AT394" si="147">COUNTA(Z331,AD331,AH331,AL331,AP331)</f>
        <v>0</v>
      </c>
      <c r="AU331" s="423">
        <f t="shared" ref="AU331:AU394" si="148">IF(FO331&gt;0,S331/FO331,)</f>
        <v>0</v>
      </c>
      <c r="AV331" s="419"/>
      <c r="AW331" s="421"/>
      <c r="AX331" s="419"/>
      <c r="AY331" s="419"/>
      <c r="AZ331" s="421"/>
      <c r="BA331" s="421"/>
      <c r="BB331" s="419"/>
      <c r="BC331" s="419"/>
      <c r="BD331" s="421"/>
      <c r="BE331" s="421"/>
      <c r="BF331" s="419"/>
      <c r="BG331" s="419"/>
      <c r="BH331" s="421"/>
      <c r="BI331" s="421"/>
      <c r="BJ331" s="419"/>
      <c r="BK331" s="419"/>
      <c r="BL331" s="421"/>
      <c r="BM331" s="421"/>
      <c r="BN331" s="419"/>
      <c r="BO331" s="419"/>
      <c r="BP331" s="421"/>
      <c r="BQ331" s="421"/>
      <c r="BR331" s="419"/>
      <c r="BS331" s="419"/>
      <c r="BT331" s="421"/>
      <c r="BU331" s="421"/>
      <c r="BV331" s="419"/>
      <c r="BW331" s="419"/>
      <c r="BX331" s="421"/>
      <c r="BY331" s="421"/>
      <c r="BZ331" s="419"/>
      <c r="CA331" s="419"/>
      <c r="CB331" s="421"/>
      <c r="CC331" s="421"/>
      <c r="CD331" s="419"/>
      <c r="CE331" s="419"/>
      <c r="CF331" s="421"/>
      <c r="CG331" s="421"/>
      <c r="CH331" s="419"/>
      <c r="CI331" s="419"/>
      <c r="CJ331" s="421"/>
      <c r="CK331" s="421"/>
      <c r="CL331" s="419"/>
      <c r="CM331" s="421"/>
      <c r="CN331" s="424">
        <f t="shared" ref="CN331:CN394" si="149">AY331+BC331+BG331+BK331+BO331+BS331+BW331+CA331+CE331+CI331+CL331</f>
        <v>0</v>
      </c>
      <c r="CO331" s="424">
        <f t="shared" ref="CO331:CO394" si="150">COUNTA(AX331,BB331,BF331,BJ331,BN331,BR331,BV331,BZ331,CD331,CH331)</f>
        <v>0</v>
      </c>
      <c r="CP331" s="425">
        <f t="shared" ref="CP331:CP394" si="151">BA331+BE331+BI331+BM331+BQ331+BU331+BY331+CC331+CG331+CK331+CM331</f>
        <v>0</v>
      </c>
      <c r="CQ331" s="425">
        <f t="shared" ref="CQ331:CQ394" si="152">COUNTA(AZ331,BD331,BH331,BL331,BP331,BT331,BX331,CB331,CF331,CJ331)</f>
        <v>0</v>
      </c>
      <c r="CR331" s="419"/>
      <c r="CS331" s="419"/>
      <c r="CT331" s="421"/>
      <c r="CU331" s="421"/>
      <c r="CV331" s="419"/>
      <c r="CW331" s="419"/>
      <c r="CX331" s="421"/>
      <c r="CY331" s="421"/>
      <c r="CZ331" s="419"/>
      <c r="DA331" s="419"/>
      <c r="DB331" s="421"/>
      <c r="DC331" s="421"/>
      <c r="DD331" s="419"/>
      <c r="DE331" s="419"/>
      <c r="DF331" s="421"/>
      <c r="DG331" s="421"/>
      <c r="DH331" s="419"/>
      <c r="DI331" s="419"/>
      <c r="DJ331" s="421"/>
      <c r="DK331" s="421"/>
      <c r="DL331" s="419"/>
      <c r="DM331" s="419"/>
      <c r="DN331" s="421"/>
      <c r="DO331" s="421"/>
      <c r="DP331" s="419"/>
      <c r="DQ331" s="419"/>
      <c r="DR331" s="421"/>
      <c r="DS331" s="421"/>
      <c r="DT331" s="419"/>
      <c r="DU331" s="419"/>
      <c r="DV331" s="421"/>
      <c r="DW331" s="421"/>
      <c r="DX331" s="419"/>
      <c r="DY331" s="419"/>
      <c r="DZ331" s="421"/>
      <c r="EA331" s="421"/>
      <c r="EB331" s="419"/>
      <c r="EC331" s="419"/>
      <c r="ED331" s="421"/>
      <c r="EE331" s="421"/>
      <c r="EF331" s="419"/>
      <c r="EG331" s="421"/>
      <c r="EH331" s="424">
        <f t="shared" ref="EH331:EH394" si="153">CS331+CW331+DA331+DE331+DI331+DM331+DQ331+DU331+DY331+EC331+EF331</f>
        <v>0</v>
      </c>
      <c r="EI331" s="424">
        <f t="shared" ref="EI331:EI394" si="154">COUNTA(CR331,CV331,CZ331,DD331,DH331,DL331,DP331,DT331,DX331,EB331)</f>
        <v>0</v>
      </c>
      <c r="EJ331" s="422">
        <f t="shared" ref="EJ331:EJ394" si="155">IF(EH331&gt;0,CS331/EH331,)</f>
        <v>0</v>
      </c>
      <c r="EK331" s="425">
        <f t="shared" ref="EK331:EK394" si="156">CU331+CY331+DC331+DG331+DK331+DO331+DS331+DW331+EA331+EE331+EG331</f>
        <v>0</v>
      </c>
      <c r="EL331" s="425">
        <f t="shared" ref="EL331:EL394" si="157">COUNTA(CT331,CX331,DB331,DF331,DJ331,DN331,DR331,DV331,DZ331,ED331)</f>
        <v>0</v>
      </c>
      <c r="EM331" s="423">
        <f t="shared" ref="EM331:EM394" si="158">IF(EK331&gt;0,CU331/EK331,)</f>
        <v>0</v>
      </c>
      <c r="EN331" s="424">
        <f t="shared" ref="EN331:EN394" si="159">CN331+EH331</f>
        <v>0</v>
      </c>
      <c r="EO331" s="425">
        <f t="shared" ref="EO331:EO394" si="160">CP331+EK331</f>
        <v>0</v>
      </c>
      <c r="EP331" s="419"/>
      <c r="EQ331" s="421"/>
      <c r="ER331" s="419"/>
      <c r="ES331" s="421"/>
      <c r="ET331" s="419"/>
      <c r="EU331" s="421"/>
      <c r="EV331" s="419"/>
      <c r="EW331" s="421"/>
      <c r="EX331" s="419"/>
      <c r="EY331" s="421"/>
      <c r="EZ331" s="419"/>
      <c r="FA331" s="421"/>
      <c r="FB331" s="419"/>
      <c r="FC331" s="421"/>
      <c r="FD331" s="419"/>
      <c r="FE331" s="421"/>
      <c r="FF331" s="419"/>
      <c r="FG331" s="421"/>
      <c r="FH331" s="419"/>
      <c r="FI331" s="421"/>
      <c r="FJ331" s="424">
        <f t="shared" ref="FJ331:FJ394" si="161">EP331+ER331+ET331+EV331+EX331+EZ331+FB331+FD331+FF331+FH331</f>
        <v>0</v>
      </c>
      <c r="FK331" s="425">
        <f t="shared" ref="FK331:FK394" si="162">EQ331+ES331+EU331+EW331+EY331+FA331+FC331+FE331+FG331+FI331</f>
        <v>0</v>
      </c>
      <c r="FL331" s="419"/>
      <c r="FM331" s="421"/>
      <c r="FN331" s="424">
        <f t="shared" ref="FN331:FN394" si="163">F331+H331+J331+N331+AV331+EN331+FJ331+FL331</f>
        <v>188</v>
      </c>
      <c r="FO331" s="425">
        <f t="shared" ref="FO331:FO394" si="164">G331+I331+K331+S331+AW331+EO331+FK331+FM331</f>
        <v>280</v>
      </c>
    </row>
    <row r="332" spans="1:171">
      <c r="A332" s="427" t="s">
        <v>163</v>
      </c>
      <c r="B332" s="57" t="s">
        <v>851</v>
      </c>
      <c r="C332" s="56"/>
      <c r="D332" s="8">
        <v>456560</v>
      </c>
      <c r="E332" s="55">
        <v>13</v>
      </c>
      <c r="F332" s="419">
        <v>82</v>
      </c>
      <c r="G332" s="421">
        <v>76</v>
      </c>
      <c r="H332" s="419"/>
      <c r="I332" s="421"/>
      <c r="J332" s="419"/>
      <c r="K332" s="421"/>
      <c r="L332" s="422">
        <f t="shared" si="143"/>
        <v>0</v>
      </c>
      <c r="M332" s="423">
        <f t="shared" si="144"/>
        <v>0</v>
      </c>
      <c r="N332" s="419"/>
      <c r="O332" s="309">
        <f>0</f>
        <v>0</v>
      </c>
      <c r="P332" s="309">
        <f>0</f>
        <v>0</v>
      </c>
      <c r="Q332" s="309">
        <f>0</f>
        <v>0</v>
      </c>
      <c r="R332" s="424">
        <f t="shared" si="141"/>
        <v>0</v>
      </c>
      <c r="S332" s="421"/>
      <c r="T332" s="301">
        <f>0</f>
        <v>0</v>
      </c>
      <c r="U332" s="301">
        <f>0</f>
        <v>0</v>
      </c>
      <c r="V332" s="301">
        <f>0</f>
        <v>0</v>
      </c>
      <c r="W332" s="425">
        <f t="shared" si="142"/>
        <v>0</v>
      </c>
      <c r="X332" s="419"/>
      <c r="Y332" s="419"/>
      <c r="Z332" s="421"/>
      <c r="AA332" s="421"/>
      <c r="AB332" s="419"/>
      <c r="AC332" s="419"/>
      <c r="AD332" s="421"/>
      <c r="AE332" s="421"/>
      <c r="AF332" s="419"/>
      <c r="AG332" s="419"/>
      <c r="AH332" s="421"/>
      <c r="AI332" s="421"/>
      <c r="AJ332" s="419"/>
      <c r="AK332" s="419"/>
      <c r="AL332" s="421"/>
      <c r="AM332" s="421"/>
      <c r="AN332" s="419"/>
      <c r="AO332" s="419"/>
      <c r="AP332" s="421"/>
      <c r="AQ332" s="421"/>
      <c r="AR332" s="424">
        <f t="shared" si="145"/>
        <v>0</v>
      </c>
      <c r="AS332" s="422">
        <f t="shared" si="146"/>
        <v>0</v>
      </c>
      <c r="AT332" s="425">
        <f t="shared" si="147"/>
        <v>0</v>
      </c>
      <c r="AU332" s="423">
        <f t="shared" si="148"/>
        <v>0</v>
      </c>
      <c r="AV332" s="419"/>
      <c r="AW332" s="421"/>
      <c r="AX332" s="419"/>
      <c r="AY332" s="419"/>
      <c r="AZ332" s="421"/>
      <c r="BA332" s="421"/>
      <c r="BB332" s="419"/>
      <c r="BC332" s="419"/>
      <c r="BD332" s="421"/>
      <c r="BE332" s="421"/>
      <c r="BF332" s="419"/>
      <c r="BG332" s="419"/>
      <c r="BH332" s="421"/>
      <c r="BI332" s="421"/>
      <c r="BJ332" s="419"/>
      <c r="BK332" s="419"/>
      <c r="BL332" s="421"/>
      <c r="BM332" s="421"/>
      <c r="BN332" s="419"/>
      <c r="BO332" s="419"/>
      <c r="BP332" s="421"/>
      <c r="BQ332" s="421"/>
      <c r="BR332" s="419"/>
      <c r="BS332" s="419"/>
      <c r="BT332" s="421"/>
      <c r="BU332" s="421"/>
      <c r="BV332" s="419"/>
      <c r="BW332" s="419"/>
      <c r="BX332" s="421"/>
      <c r="BY332" s="421"/>
      <c r="BZ332" s="419"/>
      <c r="CA332" s="419"/>
      <c r="CB332" s="421"/>
      <c r="CC332" s="421"/>
      <c r="CD332" s="419"/>
      <c r="CE332" s="419"/>
      <c r="CF332" s="421"/>
      <c r="CG332" s="421"/>
      <c r="CH332" s="419"/>
      <c r="CI332" s="419"/>
      <c r="CJ332" s="421"/>
      <c r="CK332" s="421"/>
      <c r="CL332" s="419"/>
      <c r="CM332" s="421"/>
      <c r="CN332" s="424">
        <f t="shared" si="149"/>
        <v>0</v>
      </c>
      <c r="CO332" s="424">
        <f t="shared" si="150"/>
        <v>0</v>
      </c>
      <c r="CP332" s="425">
        <f t="shared" si="151"/>
        <v>0</v>
      </c>
      <c r="CQ332" s="425">
        <f t="shared" si="152"/>
        <v>0</v>
      </c>
      <c r="CR332" s="419"/>
      <c r="CS332" s="419"/>
      <c r="CT332" s="421"/>
      <c r="CU332" s="421"/>
      <c r="CV332" s="419"/>
      <c r="CW332" s="419"/>
      <c r="CX332" s="421"/>
      <c r="CY332" s="421"/>
      <c r="CZ332" s="419"/>
      <c r="DA332" s="419"/>
      <c r="DB332" s="421"/>
      <c r="DC332" s="421"/>
      <c r="DD332" s="419"/>
      <c r="DE332" s="419"/>
      <c r="DF332" s="421"/>
      <c r="DG332" s="421"/>
      <c r="DH332" s="419"/>
      <c r="DI332" s="419"/>
      <c r="DJ332" s="421"/>
      <c r="DK332" s="421"/>
      <c r="DL332" s="419"/>
      <c r="DM332" s="419"/>
      <c r="DN332" s="421"/>
      <c r="DO332" s="421"/>
      <c r="DP332" s="419"/>
      <c r="DQ332" s="419"/>
      <c r="DR332" s="421"/>
      <c r="DS332" s="421"/>
      <c r="DT332" s="419"/>
      <c r="DU332" s="419"/>
      <c r="DV332" s="421"/>
      <c r="DW332" s="421"/>
      <c r="DX332" s="419"/>
      <c r="DY332" s="419"/>
      <c r="DZ332" s="421"/>
      <c r="EA332" s="421"/>
      <c r="EB332" s="419"/>
      <c r="EC332" s="419"/>
      <c r="ED332" s="421"/>
      <c r="EE332" s="421"/>
      <c r="EF332" s="419"/>
      <c r="EG332" s="421"/>
      <c r="EH332" s="424">
        <f t="shared" si="153"/>
        <v>0</v>
      </c>
      <c r="EI332" s="424">
        <f t="shared" si="154"/>
        <v>0</v>
      </c>
      <c r="EJ332" s="422">
        <f t="shared" si="155"/>
        <v>0</v>
      </c>
      <c r="EK332" s="425">
        <f t="shared" si="156"/>
        <v>0</v>
      </c>
      <c r="EL332" s="425">
        <f t="shared" si="157"/>
        <v>0</v>
      </c>
      <c r="EM332" s="423">
        <f t="shared" si="158"/>
        <v>0</v>
      </c>
      <c r="EN332" s="424">
        <f t="shared" si="159"/>
        <v>0</v>
      </c>
      <c r="EO332" s="425">
        <f t="shared" si="160"/>
        <v>0</v>
      </c>
      <c r="EP332" s="419"/>
      <c r="EQ332" s="421"/>
      <c r="ER332" s="419"/>
      <c r="ES332" s="421"/>
      <c r="ET332" s="419"/>
      <c r="EU332" s="421"/>
      <c r="EV332" s="419"/>
      <c r="EW332" s="421"/>
      <c r="EX332" s="419"/>
      <c r="EY332" s="421"/>
      <c r="EZ332" s="419"/>
      <c r="FA332" s="421"/>
      <c r="FB332" s="419"/>
      <c r="FC332" s="421"/>
      <c r="FD332" s="419"/>
      <c r="FE332" s="421"/>
      <c r="FF332" s="419"/>
      <c r="FG332" s="421"/>
      <c r="FH332" s="419"/>
      <c r="FI332" s="421"/>
      <c r="FJ332" s="424">
        <f t="shared" si="161"/>
        <v>0</v>
      </c>
      <c r="FK332" s="425">
        <f t="shared" si="162"/>
        <v>0</v>
      </c>
      <c r="FL332" s="419"/>
      <c r="FM332" s="421"/>
      <c r="FN332" s="424">
        <f t="shared" si="163"/>
        <v>82</v>
      </c>
      <c r="FO332" s="425">
        <f t="shared" si="164"/>
        <v>76</v>
      </c>
    </row>
    <row r="333" spans="1:171">
      <c r="A333" s="427" t="s">
        <v>163</v>
      </c>
      <c r="B333" s="57" t="s">
        <v>852</v>
      </c>
      <c r="C333" s="56"/>
      <c r="D333" s="55">
        <v>432074</v>
      </c>
      <c r="E333" s="55">
        <v>13</v>
      </c>
      <c r="F333" s="419">
        <v>94</v>
      </c>
      <c r="G333" s="420">
        <v>148</v>
      </c>
      <c r="H333" s="419"/>
      <c r="I333" s="421"/>
      <c r="J333" s="419"/>
      <c r="K333" s="421"/>
      <c r="L333" s="422">
        <f t="shared" si="143"/>
        <v>0</v>
      </c>
      <c r="M333" s="423">
        <f t="shared" si="144"/>
        <v>0</v>
      </c>
      <c r="N333" s="419"/>
      <c r="O333" s="309">
        <f>0</f>
        <v>0</v>
      </c>
      <c r="P333" s="309">
        <f>0</f>
        <v>0</v>
      </c>
      <c r="Q333" s="309">
        <f>0</f>
        <v>0</v>
      </c>
      <c r="R333" s="424">
        <f t="shared" si="141"/>
        <v>0</v>
      </c>
      <c r="S333" s="421"/>
      <c r="T333" s="301">
        <f>0</f>
        <v>0</v>
      </c>
      <c r="U333" s="301">
        <f>0</f>
        <v>0</v>
      </c>
      <c r="V333" s="301">
        <f>0</f>
        <v>0</v>
      </c>
      <c r="W333" s="425">
        <f t="shared" si="142"/>
        <v>0</v>
      </c>
      <c r="X333" s="419"/>
      <c r="Y333" s="419"/>
      <c r="Z333" s="421"/>
      <c r="AA333" s="421"/>
      <c r="AB333" s="419"/>
      <c r="AC333" s="419"/>
      <c r="AD333" s="421"/>
      <c r="AE333" s="421"/>
      <c r="AF333" s="419"/>
      <c r="AG333" s="419"/>
      <c r="AH333" s="421"/>
      <c r="AI333" s="421"/>
      <c r="AJ333" s="419"/>
      <c r="AK333" s="419"/>
      <c r="AL333" s="421"/>
      <c r="AM333" s="421"/>
      <c r="AN333" s="419"/>
      <c r="AO333" s="419"/>
      <c r="AP333" s="421"/>
      <c r="AQ333" s="421"/>
      <c r="AR333" s="424">
        <f t="shared" si="145"/>
        <v>0</v>
      </c>
      <c r="AS333" s="422">
        <f t="shared" si="146"/>
        <v>0</v>
      </c>
      <c r="AT333" s="425">
        <f t="shared" si="147"/>
        <v>0</v>
      </c>
      <c r="AU333" s="423">
        <f t="shared" si="148"/>
        <v>0</v>
      </c>
      <c r="AV333" s="419"/>
      <c r="AW333" s="421"/>
      <c r="AX333" s="419"/>
      <c r="AY333" s="419"/>
      <c r="AZ333" s="421"/>
      <c r="BA333" s="421"/>
      <c r="BB333" s="419"/>
      <c r="BC333" s="419"/>
      <c r="BD333" s="421"/>
      <c r="BE333" s="421"/>
      <c r="BF333" s="419"/>
      <c r="BG333" s="419"/>
      <c r="BH333" s="421"/>
      <c r="BI333" s="421"/>
      <c r="BJ333" s="419"/>
      <c r="BK333" s="419"/>
      <c r="BL333" s="421"/>
      <c r="BM333" s="421"/>
      <c r="BN333" s="419"/>
      <c r="BO333" s="419"/>
      <c r="BP333" s="421"/>
      <c r="BQ333" s="421"/>
      <c r="BR333" s="419"/>
      <c r="BS333" s="419"/>
      <c r="BT333" s="421"/>
      <c r="BU333" s="421"/>
      <c r="BV333" s="419"/>
      <c r="BW333" s="419"/>
      <c r="BX333" s="421"/>
      <c r="BY333" s="421"/>
      <c r="BZ333" s="419"/>
      <c r="CA333" s="419"/>
      <c r="CB333" s="421"/>
      <c r="CC333" s="421"/>
      <c r="CD333" s="419"/>
      <c r="CE333" s="419"/>
      <c r="CF333" s="421"/>
      <c r="CG333" s="421"/>
      <c r="CH333" s="419"/>
      <c r="CI333" s="419"/>
      <c r="CJ333" s="421"/>
      <c r="CK333" s="421"/>
      <c r="CL333" s="419"/>
      <c r="CM333" s="421"/>
      <c r="CN333" s="424">
        <f t="shared" si="149"/>
        <v>0</v>
      </c>
      <c r="CO333" s="424">
        <f t="shared" si="150"/>
        <v>0</v>
      </c>
      <c r="CP333" s="425">
        <f t="shared" si="151"/>
        <v>0</v>
      </c>
      <c r="CQ333" s="425">
        <f t="shared" si="152"/>
        <v>0</v>
      </c>
      <c r="CR333" s="419"/>
      <c r="CS333" s="419"/>
      <c r="CT333" s="421"/>
      <c r="CU333" s="421"/>
      <c r="CV333" s="419"/>
      <c r="CW333" s="419"/>
      <c r="CX333" s="421"/>
      <c r="CY333" s="421"/>
      <c r="CZ333" s="419"/>
      <c r="DA333" s="419"/>
      <c r="DB333" s="421"/>
      <c r="DC333" s="421"/>
      <c r="DD333" s="419"/>
      <c r="DE333" s="419"/>
      <c r="DF333" s="421"/>
      <c r="DG333" s="421"/>
      <c r="DH333" s="419"/>
      <c r="DI333" s="419"/>
      <c r="DJ333" s="421"/>
      <c r="DK333" s="421"/>
      <c r="DL333" s="419"/>
      <c r="DM333" s="419"/>
      <c r="DN333" s="421"/>
      <c r="DO333" s="421"/>
      <c r="DP333" s="419"/>
      <c r="DQ333" s="419"/>
      <c r="DR333" s="421"/>
      <c r="DS333" s="421"/>
      <c r="DT333" s="419"/>
      <c r="DU333" s="419"/>
      <c r="DV333" s="421"/>
      <c r="DW333" s="421"/>
      <c r="DX333" s="419"/>
      <c r="DY333" s="419"/>
      <c r="DZ333" s="421"/>
      <c r="EA333" s="421"/>
      <c r="EB333" s="419"/>
      <c r="EC333" s="419"/>
      <c r="ED333" s="421"/>
      <c r="EE333" s="421"/>
      <c r="EF333" s="419"/>
      <c r="EG333" s="421"/>
      <c r="EH333" s="424">
        <f t="shared" si="153"/>
        <v>0</v>
      </c>
      <c r="EI333" s="424">
        <f t="shared" si="154"/>
        <v>0</v>
      </c>
      <c r="EJ333" s="422">
        <f t="shared" si="155"/>
        <v>0</v>
      </c>
      <c r="EK333" s="425">
        <f t="shared" si="156"/>
        <v>0</v>
      </c>
      <c r="EL333" s="425">
        <f t="shared" si="157"/>
        <v>0</v>
      </c>
      <c r="EM333" s="423">
        <f t="shared" si="158"/>
        <v>0</v>
      </c>
      <c r="EN333" s="424">
        <f t="shared" si="159"/>
        <v>0</v>
      </c>
      <c r="EO333" s="425">
        <f t="shared" si="160"/>
        <v>0</v>
      </c>
      <c r="EP333" s="419"/>
      <c r="EQ333" s="421"/>
      <c r="ER333" s="419"/>
      <c r="ES333" s="421"/>
      <c r="ET333" s="419"/>
      <c r="EU333" s="421"/>
      <c r="EV333" s="419"/>
      <c r="EW333" s="421"/>
      <c r="EX333" s="419"/>
      <c r="EY333" s="421"/>
      <c r="EZ333" s="419"/>
      <c r="FA333" s="421"/>
      <c r="FB333" s="419"/>
      <c r="FC333" s="421"/>
      <c r="FD333" s="419"/>
      <c r="FE333" s="421"/>
      <c r="FF333" s="419"/>
      <c r="FG333" s="421"/>
      <c r="FH333" s="419"/>
      <c r="FI333" s="421"/>
      <c r="FJ333" s="424">
        <f t="shared" si="161"/>
        <v>0</v>
      </c>
      <c r="FK333" s="425">
        <f t="shared" si="162"/>
        <v>0</v>
      </c>
      <c r="FL333" s="419"/>
      <c r="FM333" s="421"/>
      <c r="FN333" s="424">
        <f t="shared" si="163"/>
        <v>94</v>
      </c>
      <c r="FO333" s="425">
        <f t="shared" si="164"/>
        <v>148</v>
      </c>
    </row>
    <row r="334" spans="1:171">
      <c r="A334" s="427" t="s">
        <v>163</v>
      </c>
      <c r="B334" s="57" t="s">
        <v>853</v>
      </c>
      <c r="C334" s="56"/>
      <c r="D334" s="55">
        <v>418339</v>
      </c>
      <c r="E334" s="55">
        <v>13</v>
      </c>
      <c r="F334" s="419">
        <v>219</v>
      </c>
      <c r="G334" s="421">
        <v>222</v>
      </c>
      <c r="H334" s="419"/>
      <c r="I334" s="421"/>
      <c r="J334" s="419"/>
      <c r="K334" s="421"/>
      <c r="L334" s="422">
        <f t="shared" si="143"/>
        <v>0</v>
      </c>
      <c r="M334" s="423">
        <f t="shared" si="144"/>
        <v>0</v>
      </c>
      <c r="N334" s="419"/>
      <c r="O334" s="309">
        <f>0</f>
        <v>0</v>
      </c>
      <c r="P334" s="309">
        <f>0</f>
        <v>0</v>
      </c>
      <c r="Q334" s="309">
        <f>0</f>
        <v>0</v>
      </c>
      <c r="R334" s="424">
        <f t="shared" si="141"/>
        <v>0</v>
      </c>
      <c r="S334" s="421"/>
      <c r="T334" s="301">
        <f>0</f>
        <v>0</v>
      </c>
      <c r="U334" s="301">
        <f>0</f>
        <v>0</v>
      </c>
      <c r="V334" s="301">
        <f>0</f>
        <v>0</v>
      </c>
      <c r="W334" s="425">
        <f t="shared" si="142"/>
        <v>0</v>
      </c>
      <c r="X334" s="419"/>
      <c r="Y334" s="419"/>
      <c r="Z334" s="421"/>
      <c r="AA334" s="421"/>
      <c r="AB334" s="419"/>
      <c r="AC334" s="419"/>
      <c r="AD334" s="421"/>
      <c r="AE334" s="421"/>
      <c r="AF334" s="419"/>
      <c r="AG334" s="419"/>
      <c r="AH334" s="421"/>
      <c r="AI334" s="421"/>
      <c r="AJ334" s="419"/>
      <c r="AK334" s="419"/>
      <c r="AL334" s="421"/>
      <c r="AM334" s="421"/>
      <c r="AN334" s="419"/>
      <c r="AO334" s="419"/>
      <c r="AP334" s="421"/>
      <c r="AQ334" s="421"/>
      <c r="AR334" s="424">
        <f t="shared" si="145"/>
        <v>0</v>
      </c>
      <c r="AS334" s="422">
        <f t="shared" si="146"/>
        <v>0</v>
      </c>
      <c r="AT334" s="425">
        <f t="shared" si="147"/>
        <v>0</v>
      </c>
      <c r="AU334" s="423">
        <f t="shared" si="148"/>
        <v>0</v>
      </c>
      <c r="AV334" s="419"/>
      <c r="AW334" s="421"/>
      <c r="AX334" s="419"/>
      <c r="AY334" s="419"/>
      <c r="AZ334" s="421"/>
      <c r="BA334" s="421"/>
      <c r="BB334" s="419"/>
      <c r="BC334" s="419"/>
      <c r="BD334" s="421"/>
      <c r="BE334" s="421"/>
      <c r="BF334" s="419"/>
      <c r="BG334" s="419"/>
      <c r="BH334" s="421"/>
      <c r="BI334" s="421"/>
      <c r="BJ334" s="419"/>
      <c r="BK334" s="419"/>
      <c r="BL334" s="421"/>
      <c r="BM334" s="421"/>
      <c r="BN334" s="419"/>
      <c r="BO334" s="419"/>
      <c r="BP334" s="421"/>
      <c r="BQ334" s="421"/>
      <c r="BR334" s="419"/>
      <c r="BS334" s="419"/>
      <c r="BT334" s="421"/>
      <c r="BU334" s="421"/>
      <c r="BV334" s="419"/>
      <c r="BW334" s="419"/>
      <c r="BX334" s="421"/>
      <c r="BY334" s="421"/>
      <c r="BZ334" s="419"/>
      <c r="CA334" s="419"/>
      <c r="CB334" s="421"/>
      <c r="CC334" s="421"/>
      <c r="CD334" s="419"/>
      <c r="CE334" s="419"/>
      <c r="CF334" s="421"/>
      <c r="CG334" s="421"/>
      <c r="CH334" s="419"/>
      <c r="CI334" s="419"/>
      <c r="CJ334" s="421"/>
      <c r="CK334" s="421"/>
      <c r="CL334" s="419"/>
      <c r="CM334" s="421"/>
      <c r="CN334" s="424">
        <f t="shared" si="149"/>
        <v>0</v>
      </c>
      <c r="CO334" s="424">
        <f t="shared" si="150"/>
        <v>0</v>
      </c>
      <c r="CP334" s="425">
        <f t="shared" si="151"/>
        <v>0</v>
      </c>
      <c r="CQ334" s="425">
        <f t="shared" si="152"/>
        <v>0</v>
      </c>
      <c r="CR334" s="419"/>
      <c r="CS334" s="419"/>
      <c r="CT334" s="421"/>
      <c r="CU334" s="421"/>
      <c r="CV334" s="419"/>
      <c r="CW334" s="419"/>
      <c r="CX334" s="421"/>
      <c r="CY334" s="421"/>
      <c r="CZ334" s="419"/>
      <c r="DA334" s="419"/>
      <c r="DB334" s="421"/>
      <c r="DC334" s="421"/>
      <c r="DD334" s="419"/>
      <c r="DE334" s="419"/>
      <c r="DF334" s="421"/>
      <c r="DG334" s="421"/>
      <c r="DH334" s="419"/>
      <c r="DI334" s="419"/>
      <c r="DJ334" s="421"/>
      <c r="DK334" s="421"/>
      <c r="DL334" s="419"/>
      <c r="DM334" s="419"/>
      <c r="DN334" s="421"/>
      <c r="DO334" s="421"/>
      <c r="DP334" s="419"/>
      <c r="DQ334" s="419"/>
      <c r="DR334" s="421"/>
      <c r="DS334" s="421"/>
      <c r="DT334" s="419"/>
      <c r="DU334" s="419"/>
      <c r="DV334" s="421"/>
      <c r="DW334" s="421"/>
      <c r="DX334" s="419"/>
      <c r="DY334" s="419"/>
      <c r="DZ334" s="421"/>
      <c r="EA334" s="421"/>
      <c r="EB334" s="419"/>
      <c r="EC334" s="419"/>
      <c r="ED334" s="421"/>
      <c r="EE334" s="421"/>
      <c r="EF334" s="419"/>
      <c r="EG334" s="421"/>
      <c r="EH334" s="424">
        <f t="shared" si="153"/>
        <v>0</v>
      </c>
      <c r="EI334" s="424">
        <f t="shared" si="154"/>
        <v>0</v>
      </c>
      <c r="EJ334" s="422">
        <f t="shared" si="155"/>
        <v>0</v>
      </c>
      <c r="EK334" s="425">
        <f t="shared" si="156"/>
        <v>0</v>
      </c>
      <c r="EL334" s="425">
        <f t="shared" si="157"/>
        <v>0</v>
      </c>
      <c r="EM334" s="423">
        <f t="shared" si="158"/>
        <v>0</v>
      </c>
      <c r="EN334" s="424">
        <f t="shared" si="159"/>
        <v>0</v>
      </c>
      <c r="EO334" s="425">
        <f t="shared" si="160"/>
        <v>0</v>
      </c>
      <c r="EP334" s="419"/>
      <c r="EQ334" s="421"/>
      <c r="ER334" s="419"/>
      <c r="ES334" s="421"/>
      <c r="ET334" s="419"/>
      <c r="EU334" s="421"/>
      <c r="EV334" s="419"/>
      <c r="EW334" s="421"/>
      <c r="EX334" s="419"/>
      <c r="EY334" s="421"/>
      <c r="EZ334" s="419"/>
      <c r="FA334" s="421"/>
      <c r="FB334" s="419"/>
      <c r="FC334" s="421"/>
      <c r="FD334" s="419"/>
      <c r="FE334" s="421"/>
      <c r="FF334" s="419"/>
      <c r="FG334" s="421"/>
      <c r="FH334" s="419"/>
      <c r="FI334" s="421"/>
      <c r="FJ334" s="424">
        <f t="shared" si="161"/>
        <v>0</v>
      </c>
      <c r="FK334" s="425">
        <f t="shared" si="162"/>
        <v>0</v>
      </c>
      <c r="FL334" s="419"/>
      <c r="FM334" s="421"/>
      <c r="FN334" s="424">
        <f t="shared" si="163"/>
        <v>219</v>
      </c>
      <c r="FO334" s="425">
        <f t="shared" si="164"/>
        <v>222</v>
      </c>
    </row>
    <row r="335" spans="1:171">
      <c r="A335" s="427" t="s">
        <v>163</v>
      </c>
      <c r="B335" s="57" t="s">
        <v>854</v>
      </c>
      <c r="C335" s="56"/>
      <c r="D335" s="55">
        <v>366623</v>
      </c>
      <c r="E335" s="55">
        <v>13</v>
      </c>
      <c r="F335" s="419">
        <v>68</v>
      </c>
      <c r="G335" s="421">
        <v>75</v>
      </c>
      <c r="H335" s="419"/>
      <c r="I335" s="421"/>
      <c r="J335" s="419"/>
      <c r="K335" s="421"/>
      <c r="L335" s="422">
        <f t="shared" si="143"/>
        <v>0</v>
      </c>
      <c r="M335" s="423">
        <f t="shared" si="144"/>
        <v>0</v>
      </c>
      <c r="N335" s="419"/>
      <c r="O335" s="309">
        <f>0</f>
        <v>0</v>
      </c>
      <c r="P335" s="309">
        <f>0</f>
        <v>0</v>
      </c>
      <c r="Q335" s="309">
        <f>0</f>
        <v>0</v>
      </c>
      <c r="R335" s="424">
        <f t="shared" si="141"/>
        <v>0</v>
      </c>
      <c r="S335" s="421"/>
      <c r="T335" s="301">
        <f>0</f>
        <v>0</v>
      </c>
      <c r="U335" s="301">
        <f>0</f>
        <v>0</v>
      </c>
      <c r="V335" s="301">
        <f>0</f>
        <v>0</v>
      </c>
      <c r="W335" s="425">
        <f t="shared" si="142"/>
        <v>0</v>
      </c>
      <c r="X335" s="419"/>
      <c r="Y335" s="419"/>
      <c r="Z335" s="421"/>
      <c r="AA335" s="421"/>
      <c r="AB335" s="419"/>
      <c r="AC335" s="419"/>
      <c r="AD335" s="421"/>
      <c r="AE335" s="421"/>
      <c r="AF335" s="419"/>
      <c r="AG335" s="419"/>
      <c r="AH335" s="421"/>
      <c r="AI335" s="421"/>
      <c r="AJ335" s="419"/>
      <c r="AK335" s="419"/>
      <c r="AL335" s="421"/>
      <c r="AM335" s="421"/>
      <c r="AN335" s="419"/>
      <c r="AO335" s="419"/>
      <c r="AP335" s="421"/>
      <c r="AQ335" s="421"/>
      <c r="AR335" s="424">
        <f t="shared" si="145"/>
        <v>0</v>
      </c>
      <c r="AS335" s="422">
        <f t="shared" si="146"/>
        <v>0</v>
      </c>
      <c r="AT335" s="425">
        <f t="shared" si="147"/>
        <v>0</v>
      </c>
      <c r="AU335" s="423">
        <f t="shared" si="148"/>
        <v>0</v>
      </c>
      <c r="AV335" s="419"/>
      <c r="AW335" s="421"/>
      <c r="AX335" s="419"/>
      <c r="AY335" s="419"/>
      <c r="AZ335" s="421"/>
      <c r="BA335" s="421"/>
      <c r="BB335" s="419"/>
      <c r="BC335" s="419"/>
      <c r="BD335" s="421"/>
      <c r="BE335" s="421"/>
      <c r="BF335" s="419"/>
      <c r="BG335" s="419"/>
      <c r="BH335" s="421"/>
      <c r="BI335" s="421"/>
      <c r="BJ335" s="419"/>
      <c r="BK335" s="419"/>
      <c r="BL335" s="421"/>
      <c r="BM335" s="421"/>
      <c r="BN335" s="419"/>
      <c r="BO335" s="419"/>
      <c r="BP335" s="421"/>
      <c r="BQ335" s="421"/>
      <c r="BR335" s="419"/>
      <c r="BS335" s="419"/>
      <c r="BT335" s="421"/>
      <c r="BU335" s="421"/>
      <c r="BV335" s="419"/>
      <c r="BW335" s="419"/>
      <c r="BX335" s="421"/>
      <c r="BY335" s="421"/>
      <c r="BZ335" s="419"/>
      <c r="CA335" s="419"/>
      <c r="CB335" s="421"/>
      <c r="CC335" s="421"/>
      <c r="CD335" s="419"/>
      <c r="CE335" s="419"/>
      <c r="CF335" s="421"/>
      <c r="CG335" s="421"/>
      <c r="CH335" s="419"/>
      <c r="CI335" s="419"/>
      <c r="CJ335" s="421"/>
      <c r="CK335" s="421"/>
      <c r="CL335" s="419"/>
      <c r="CM335" s="421"/>
      <c r="CN335" s="424">
        <f t="shared" si="149"/>
        <v>0</v>
      </c>
      <c r="CO335" s="424">
        <f t="shared" si="150"/>
        <v>0</v>
      </c>
      <c r="CP335" s="425">
        <f t="shared" si="151"/>
        <v>0</v>
      </c>
      <c r="CQ335" s="425">
        <f t="shared" si="152"/>
        <v>0</v>
      </c>
      <c r="CR335" s="419"/>
      <c r="CS335" s="419"/>
      <c r="CT335" s="421"/>
      <c r="CU335" s="421"/>
      <c r="CV335" s="419"/>
      <c r="CW335" s="419"/>
      <c r="CX335" s="421"/>
      <c r="CY335" s="421"/>
      <c r="CZ335" s="419"/>
      <c r="DA335" s="419"/>
      <c r="DB335" s="421"/>
      <c r="DC335" s="421"/>
      <c r="DD335" s="419"/>
      <c r="DE335" s="419"/>
      <c r="DF335" s="421"/>
      <c r="DG335" s="421"/>
      <c r="DH335" s="419"/>
      <c r="DI335" s="419"/>
      <c r="DJ335" s="421"/>
      <c r="DK335" s="421"/>
      <c r="DL335" s="419"/>
      <c r="DM335" s="419"/>
      <c r="DN335" s="421"/>
      <c r="DO335" s="421"/>
      <c r="DP335" s="419"/>
      <c r="DQ335" s="419"/>
      <c r="DR335" s="421"/>
      <c r="DS335" s="421"/>
      <c r="DT335" s="419"/>
      <c r="DU335" s="419"/>
      <c r="DV335" s="421"/>
      <c r="DW335" s="421"/>
      <c r="DX335" s="419"/>
      <c r="DY335" s="419"/>
      <c r="DZ335" s="421"/>
      <c r="EA335" s="421"/>
      <c r="EB335" s="419"/>
      <c r="EC335" s="419"/>
      <c r="ED335" s="421"/>
      <c r="EE335" s="421"/>
      <c r="EF335" s="419"/>
      <c r="EG335" s="421"/>
      <c r="EH335" s="424">
        <f t="shared" si="153"/>
        <v>0</v>
      </c>
      <c r="EI335" s="424">
        <f t="shared" si="154"/>
        <v>0</v>
      </c>
      <c r="EJ335" s="422">
        <f t="shared" si="155"/>
        <v>0</v>
      </c>
      <c r="EK335" s="425">
        <f t="shared" si="156"/>
        <v>0</v>
      </c>
      <c r="EL335" s="425">
        <f t="shared" si="157"/>
        <v>0</v>
      </c>
      <c r="EM335" s="423">
        <f t="shared" si="158"/>
        <v>0</v>
      </c>
      <c r="EN335" s="424">
        <f t="shared" si="159"/>
        <v>0</v>
      </c>
      <c r="EO335" s="425">
        <f t="shared" si="160"/>
        <v>0</v>
      </c>
      <c r="EP335" s="419"/>
      <c r="EQ335" s="421"/>
      <c r="ER335" s="419"/>
      <c r="ES335" s="421"/>
      <c r="ET335" s="419"/>
      <c r="EU335" s="421"/>
      <c r="EV335" s="419"/>
      <c r="EW335" s="421"/>
      <c r="EX335" s="419"/>
      <c r="EY335" s="421"/>
      <c r="EZ335" s="419"/>
      <c r="FA335" s="421"/>
      <c r="FB335" s="419"/>
      <c r="FC335" s="421"/>
      <c r="FD335" s="419"/>
      <c r="FE335" s="421"/>
      <c r="FF335" s="419"/>
      <c r="FG335" s="421"/>
      <c r="FH335" s="419"/>
      <c r="FI335" s="421"/>
      <c r="FJ335" s="424">
        <f t="shared" si="161"/>
        <v>0</v>
      </c>
      <c r="FK335" s="425">
        <f t="shared" si="162"/>
        <v>0</v>
      </c>
      <c r="FL335" s="419"/>
      <c r="FM335" s="421"/>
      <c r="FN335" s="424">
        <f t="shared" si="163"/>
        <v>68</v>
      </c>
      <c r="FO335" s="425">
        <f t="shared" si="164"/>
        <v>75</v>
      </c>
    </row>
    <row r="336" spans="1:171">
      <c r="A336" s="427" t="s">
        <v>163</v>
      </c>
      <c r="B336" s="57" t="s">
        <v>855</v>
      </c>
      <c r="C336" s="56"/>
      <c r="D336" s="55">
        <v>407601</v>
      </c>
      <c r="E336" s="55">
        <v>13</v>
      </c>
      <c r="F336" s="419">
        <v>52</v>
      </c>
      <c r="G336" s="420">
        <v>35</v>
      </c>
      <c r="H336" s="419"/>
      <c r="I336" s="421"/>
      <c r="J336" s="419"/>
      <c r="K336" s="421"/>
      <c r="L336" s="422">
        <f t="shared" si="143"/>
        <v>0</v>
      </c>
      <c r="M336" s="423">
        <f t="shared" si="144"/>
        <v>0</v>
      </c>
      <c r="N336" s="419"/>
      <c r="O336" s="309">
        <f>0</f>
        <v>0</v>
      </c>
      <c r="P336" s="309">
        <f>0</f>
        <v>0</v>
      </c>
      <c r="Q336" s="309">
        <f>0</f>
        <v>0</v>
      </c>
      <c r="R336" s="424">
        <f t="shared" si="141"/>
        <v>0</v>
      </c>
      <c r="S336" s="421"/>
      <c r="T336" s="301">
        <f>0</f>
        <v>0</v>
      </c>
      <c r="U336" s="301">
        <f>0</f>
        <v>0</v>
      </c>
      <c r="V336" s="301">
        <f>0</f>
        <v>0</v>
      </c>
      <c r="W336" s="425">
        <f t="shared" si="142"/>
        <v>0</v>
      </c>
      <c r="X336" s="419"/>
      <c r="Y336" s="419"/>
      <c r="Z336" s="421"/>
      <c r="AA336" s="421"/>
      <c r="AB336" s="419"/>
      <c r="AC336" s="419"/>
      <c r="AD336" s="421"/>
      <c r="AE336" s="421"/>
      <c r="AF336" s="419"/>
      <c r="AG336" s="419"/>
      <c r="AH336" s="421"/>
      <c r="AI336" s="421"/>
      <c r="AJ336" s="419"/>
      <c r="AK336" s="419"/>
      <c r="AL336" s="421"/>
      <c r="AM336" s="421"/>
      <c r="AN336" s="419"/>
      <c r="AO336" s="419"/>
      <c r="AP336" s="421"/>
      <c r="AQ336" s="421"/>
      <c r="AR336" s="424">
        <f t="shared" si="145"/>
        <v>0</v>
      </c>
      <c r="AS336" s="422">
        <f t="shared" si="146"/>
        <v>0</v>
      </c>
      <c r="AT336" s="425">
        <f t="shared" si="147"/>
        <v>0</v>
      </c>
      <c r="AU336" s="423">
        <f t="shared" si="148"/>
        <v>0</v>
      </c>
      <c r="AV336" s="419"/>
      <c r="AW336" s="421"/>
      <c r="AX336" s="419"/>
      <c r="AY336" s="419"/>
      <c r="AZ336" s="421"/>
      <c r="BA336" s="421"/>
      <c r="BB336" s="419"/>
      <c r="BC336" s="419"/>
      <c r="BD336" s="421"/>
      <c r="BE336" s="421"/>
      <c r="BF336" s="419"/>
      <c r="BG336" s="419"/>
      <c r="BH336" s="421"/>
      <c r="BI336" s="421"/>
      <c r="BJ336" s="419"/>
      <c r="BK336" s="419"/>
      <c r="BL336" s="421"/>
      <c r="BM336" s="421"/>
      <c r="BN336" s="419"/>
      <c r="BO336" s="419"/>
      <c r="BP336" s="421"/>
      <c r="BQ336" s="421"/>
      <c r="BR336" s="419"/>
      <c r="BS336" s="419"/>
      <c r="BT336" s="421"/>
      <c r="BU336" s="421"/>
      <c r="BV336" s="419"/>
      <c r="BW336" s="419"/>
      <c r="BX336" s="421"/>
      <c r="BY336" s="421"/>
      <c r="BZ336" s="419"/>
      <c r="CA336" s="419"/>
      <c r="CB336" s="421"/>
      <c r="CC336" s="421"/>
      <c r="CD336" s="419"/>
      <c r="CE336" s="419"/>
      <c r="CF336" s="421"/>
      <c r="CG336" s="421"/>
      <c r="CH336" s="419"/>
      <c r="CI336" s="419"/>
      <c r="CJ336" s="421"/>
      <c r="CK336" s="421"/>
      <c r="CL336" s="419"/>
      <c r="CM336" s="421"/>
      <c r="CN336" s="424">
        <f t="shared" si="149"/>
        <v>0</v>
      </c>
      <c r="CO336" s="424">
        <f t="shared" si="150"/>
        <v>0</v>
      </c>
      <c r="CP336" s="425">
        <f t="shared" si="151"/>
        <v>0</v>
      </c>
      <c r="CQ336" s="425">
        <f t="shared" si="152"/>
        <v>0</v>
      </c>
      <c r="CR336" s="419"/>
      <c r="CS336" s="419"/>
      <c r="CT336" s="421"/>
      <c r="CU336" s="421"/>
      <c r="CV336" s="419"/>
      <c r="CW336" s="419"/>
      <c r="CX336" s="421"/>
      <c r="CY336" s="421"/>
      <c r="CZ336" s="419"/>
      <c r="DA336" s="419"/>
      <c r="DB336" s="421"/>
      <c r="DC336" s="421"/>
      <c r="DD336" s="419"/>
      <c r="DE336" s="419"/>
      <c r="DF336" s="421"/>
      <c r="DG336" s="421"/>
      <c r="DH336" s="419"/>
      <c r="DI336" s="419"/>
      <c r="DJ336" s="421"/>
      <c r="DK336" s="421"/>
      <c r="DL336" s="419"/>
      <c r="DM336" s="419"/>
      <c r="DN336" s="421"/>
      <c r="DO336" s="421"/>
      <c r="DP336" s="419"/>
      <c r="DQ336" s="419"/>
      <c r="DR336" s="421"/>
      <c r="DS336" s="421"/>
      <c r="DT336" s="419"/>
      <c r="DU336" s="419"/>
      <c r="DV336" s="421"/>
      <c r="DW336" s="421"/>
      <c r="DX336" s="419"/>
      <c r="DY336" s="419"/>
      <c r="DZ336" s="421"/>
      <c r="EA336" s="421"/>
      <c r="EB336" s="419"/>
      <c r="EC336" s="419"/>
      <c r="ED336" s="421"/>
      <c r="EE336" s="421"/>
      <c r="EF336" s="419"/>
      <c r="EG336" s="421"/>
      <c r="EH336" s="424">
        <f t="shared" si="153"/>
        <v>0</v>
      </c>
      <c r="EI336" s="424">
        <f t="shared" si="154"/>
        <v>0</v>
      </c>
      <c r="EJ336" s="422">
        <f t="shared" si="155"/>
        <v>0</v>
      </c>
      <c r="EK336" s="425">
        <f t="shared" si="156"/>
        <v>0</v>
      </c>
      <c r="EL336" s="425">
        <f t="shared" si="157"/>
        <v>0</v>
      </c>
      <c r="EM336" s="423">
        <f t="shared" si="158"/>
        <v>0</v>
      </c>
      <c r="EN336" s="424">
        <f t="shared" si="159"/>
        <v>0</v>
      </c>
      <c r="EO336" s="425">
        <f t="shared" si="160"/>
        <v>0</v>
      </c>
      <c r="EP336" s="419"/>
      <c r="EQ336" s="421"/>
      <c r="ER336" s="419"/>
      <c r="ES336" s="421"/>
      <c r="ET336" s="419"/>
      <c r="EU336" s="421"/>
      <c r="EV336" s="419"/>
      <c r="EW336" s="421"/>
      <c r="EX336" s="419"/>
      <c r="EY336" s="421"/>
      <c r="EZ336" s="419"/>
      <c r="FA336" s="421"/>
      <c r="FB336" s="419"/>
      <c r="FC336" s="421"/>
      <c r="FD336" s="419"/>
      <c r="FE336" s="421"/>
      <c r="FF336" s="419"/>
      <c r="FG336" s="421"/>
      <c r="FH336" s="419"/>
      <c r="FI336" s="421"/>
      <c r="FJ336" s="424">
        <f t="shared" si="161"/>
        <v>0</v>
      </c>
      <c r="FK336" s="425">
        <f t="shared" si="162"/>
        <v>0</v>
      </c>
      <c r="FL336" s="419"/>
      <c r="FM336" s="421"/>
      <c r="FN336" s="424">
        <f t="shared" si="163"/>
        <v>52</v>
      </c>
      <c r="FO336" s="425">
        <f t="shared" si="164"/>
        <v>35</v>
      </c>
    </row>
    <row r="337" spans="1:171">
      <c r="A337" s="427" t="s">
        <v>163</v>
      </c>
      <c r="B337" s="57" t="s">
        <v>856</v>
      </c>
      <c r="C337" s="56"/>
      <c r="D337" s="55">
        <v>364627</v>
      </c>
      <c r="E337" s="55">
        <v>13</v>
      </c>
      <c r="F337" s="419">
        <v>307</v>
      </c>
      <c r="G337" s="420">
        <v>190</v>
      </c>
      <c r="H337" s="419"/>
      <c r="I337" s="421"/>
      <c r="J337" s="419"/>
      <c r="K337" s="421"/>
      <c r="L337" s="422">
        <f t="shared" si="143"/>
        <v>0</v>
      </c>
      <c r="M337" s="423">
        <f t="shared" si="144"/>
        <v>0</v>
      </c>
      <c r="N337" s="419"/>
      <c r="O337" s="309">
        <f>0</f>
        <v>0</v>
      </c>
      <c r="P337" s="309">
        <f>0</f>
        <v>0</v>
      </c>
      <c r="Q337" s="309">
        <f>0</f>
        <v>0</v>
      </c>
      <c r="R337" s="424">
        <f t="shared" si="141"/>
        <v>0</v>
      </c>
      <c r="S337" s="421"/>
      <c r="T337" s="301">
        <f>0</f>
        <v>0</v>
      </c>
      <c r="U337" s="301">
        <f>0</f>
        <v>0</v>
      </c>
      <c r="V337" s="301">
        <f>0</f>
        <v>0</v>
      </c>
      <c r="W337" s="425">
        <f t="shared" si="142"/>
        <v>0</v>
      </c>
      <c r="X337" s="419"/>
      <c r="Y337" s="419"/>
      <c r="Z337" s="421"/>
      <c r="AA337" s="421"/>
      <c r="AB337" s="419"/>
      <c r="AC337" s="419"/>
      <c r="AD337" s="421"/>
      <c r="AE337" s="421"/>
      <c r="AF337" s="419"/>
      <c r="AG337" s="419"/>
      <c r="AH337" s="421"/>
      <c r="AI337" s="421"/>
      <c r="AJ337" s="419"/>
      <c r="AK337" s="419"/>
      <c r="AL337" s="421"/>
      <c r="AM337" s="421"/>
      <c r="AN337" s="419"/>
      <c r="AO337" s="419"/>
      <c r="AP337" s="421"/>
      <c r="AQ337" s="421"/>
      <c r="AR337" s="424">
        <f t="shared" si="145"/>
        <v>0</v>
      </c>
      <c r="AS337" s="422">
        <f t="shared" si="146"/>
        <v>0</v>
      </c>
      <c r="AT337" s="425">
        <f t="shared" si="147"/>
        <v>0</v>
      </c>
      <c r="AU337" s="423">
        <f t="shared" si="148"/>
        <v>0</v>
      </c>
      <c r="AV337" s="419"/>
      <c r="AW337" s="421"/>
      <c r="AX337" s="419"/>
      <c r="AY337" s="419"/>
      <c r="AZ337" s="421"/>
      <c r="BA337" s="421"/>
      <c r="BB337" s="419"/>
      <c r="BC337" s="419"/>
      <c r="BD337" s="421"/>
      <c r="BE337" s="421"/>
      <c r="BF337" s="419"/>
      <c r="BG337" s="419"/>
      <c r="BH337" s="421"/>
      <c r="BI337" s="421"/>
      <c r="BJ337" s="419"/>
      <c r="BK337" s="419"/>
      <c r="BL337" s="421"/>
      <c r="BM337" s="421"/>
      <c r="BN337" s="419"/>
      <c r="BO337" s="419"/>
      <c r="BP337" s="421"/>
      <c r="BQ337" s="421"/>
      <c r="BR337" s="419"/>
      <c r="BS337" s="419"/>
      <c r="BT337" s="421"/>
      <c r="BU337" s="421"/>
      <c r="BV337" s="419"/>
      <c r="BW337" s="419"/>
      <c r="BX337" s="421"/>
      <c r="BY337" s="421"/>
      <c r="BZ337" s="419"/>
      <c r="CA337" s="419"/>
      <c r="CB337" s="421"/>
      <c r="CC337" s="421"/>
      <c r="CD337" s="419"/>
      <c r="CE337" s="419"/>
      <c r="CF337" s="421"/>
      <c r="CG337" s="421"/>
      <c r="CH337" s="419"/>
      <c r="CI337" s="419"/>
      <c r="CJ337" s="421"/>
      <c r="CK337" s="421"/>
      <c r="CL337" s="419"/>
      <c r="CM337" s="421"/>
      <c r="CN337" s="424">
        <f t="shared" si="149"/>
        <v>0</v>
      </c>
      <c r="CO337" s="424">
        <f t="shared" si="150"/>
        <v>0</v>
      </c>
      <c r="CP337" s="425">
        <f t="shared" si="151"/>
        <v>0</v>
      </c>
      <c r="CQ337" s="425">
        <f t="shared" si="152"/>
        <v>0</v>
      </c>
      <c r="CR337" s="419"/>
      <c r="CS337" s="419"/>
      <c r="CT337" s="421"/>
      <c r="CU337" s="421"/>
      <c r="CV337" s="419"/>
      <c r="CW337" s="419"/>
      <c r="CX337" s="421"/>
      <c r="CY337" s="421"/>
      <c r="CZ337" s="419"/>
      <c r="DA337" s="419"/>
      <c r="DB337" s="421"/>
      <c r="DC337" s="421"/>
      <c r="DD337" s="419"/>
      <c r="DE337" s="419"/>
      <c r="DF337" s="421"/>
      <c r="DG337" s="421"/>
      <c r="DH337" s="419"/>
      <c r="DI337" s="419"/>
      <c r="DJ337" s="421"/>
      <c r="DK337" s="421"/>
      <c r="DL337" s="419"/>
      <c r="DM337" s="419"/>
      <c r="DN337" s="421"/>
      <c r="DO337" s="421"/>
      <c r="DP337" s="419"/>
      <c r="DQ337" s="419"/>
      <c r="DR337" s="421"/>
      <c r="DS337" s="421"/>
      <c r="DT337" s="419"/>
      <c r="DU337" s="419"/>
      <c r="DV337" s="421"/>
      <c r="DW337" s="421"/>
      <c r="DX337" s="419"/>
      <c r="DY337" s="419"/>
      <c r="DZ337" s="421"/>
      <c r="EA337" s="421"/>
      <c r="EB337" s="419"/>
      <c r="EC337" s="419"/>
      <c r="ED337" s="421"/>
      <c r="EE337" s="421"/>
      <c r="EF337" s="419"/>
      <c r="EG337" s="421"/>
      <c r="EH337" s="424">
        <f t="shared" si="153"/>
        <v>0</v>
      </c>
      <c r="EI337" s="424">
        <f t="shared" si="154"/>
        <v>0</v>
      </c>
      <c r="EJ337" s="422">
        <f t="shared" si="155"/>
        <v>0</v>
      </c>
      <c r="EK337" s="425">
        <f t="shared" si="156"/>
        <v>0</v>
      </c>
      <c r="EL337" s="425">
        <f t="shared" si="157"/>
        <v>0</v>
      </c>
      <c r="EM337" s="423">
        <f t="shared" si="158"/>
        <v>0</v>
      </c>
      <c r="EN337" s="424">
        <f t="shared" si="159"/>
        <v>0</v>
      </c>
      <c r="EO337" s="425">
        <f t="shared" si="160"/>
        <v>0</v>
      </c>
      <c r="EP337" s="419"/>
      <c r="EQ337" s="421"/>
      <c r="ER337" s="419"/>
      <c r="ES337" s="421"/>
      <c r="ET337" s="419"/>
      <c r="EU337" s="421"/>
      <c r="EV337" s="419"/>
      <c r="EW337" s="421"/>
      <c r="EX337" s="419"/>
      <c r="EY337" s="421"/>
      <c r="EZ337" s="419"/>
      <c r="FA337" s="421"/>
      <c r="FB337" s="419"/>
      <c r="FC337" s="421"/>
      <c r="FD337" s="419"/>
      <c r="FE337" s="421"/>
      <c r="FF337" s="419"/>
      <c r="FG337" s="421"/>
      <c r="FH337" s="419"/>
      <c r="FI337" s="421"/>
      <c r="FJ337" s="424">
        <f t="shared" si="161"/>
        <v>0</v>
      </c>
      <c r="FK337" s="425">
        <f t="shared" si="162"/>
        <v>0</v>
      </c>
      <c r="FL337" s="419"/>
      <c r="FM337" s="421"/>
      <c r="FN337" s="424">
        <f t="shared" si="163"/>
        <v>307</v>
      </c>
      <c r="FO337" s="425">
        <f t="shared" si="164"/>
        <v>190</v>
      </c>
    </row>
    <row r="338" spans="1:171">
      <c r="A338" s="427" t="s">
        <v>163</v>
      </c>
      <c r="B338" s="57" t="s">
        <v>857</v>
      </c>
      <c r="C338" s="56"/>
      <c r="D338" s="55">
        <v>206905</v>
      </c>
      <c r="E338" s="55">
        <v>13</v>
      </c>
      <c r="F338" s="419">
        <v>128</v>
      </c>
      <c r="G338" s="420">
        <v>92</v>
      </c>
      <c r="H338" s="419"/>
      <c r="I338" s="421"/>
      <c r="J338" s="419"/>
      <c r="K338" s="421"/>
      <c r="L338" s="422">
        <f t="shared" si="143"/>
        <v>0</v>
      </c>
      <c r="M338" s="423">
        <f t="shared" si="144"/>
        <v>0</v>
      </c>
      <c r="N338" s="419"/>
      <c r="O338" s="309">
        <f>0</f>
        <v>0</v>
      </c>
      <c r="P338" s="309">
        <f>0</f>
        <v>0</v>
      </c>
      <c r="Q338" s="309">
        <f>0</f>
        <v>0</v>
      </c>
      <c r="R338" s="424">
        <f t="shared" si="141"/>
        <v>0</v>
      </c>
      <c r="S338" s="421"/>
      <c r="T338" s="301">
        <f>0</f>
        <v>0</v>
      </c>
      <c r="U338" s="301">
        <f>0</f>
        <v>0</v>
      </c>
      <c r="V338" s="301">
        <f>0</f>
        <v>0</v>
      </c>
      <c r="W338" s="425">
        <f t="shared" si="142"/>
        <v>0</v>
      </c>
      <c r="X338" s="419"/>
      <c r="Y338" s="419"/>
      <c r="Z338" s="421"/>
      <c r="AA338" s="421"/>
      <c r="AB338" s="419"/>
      <c r="AC338" s="419"/>
      <c r="AD338" s="421"/>
      <c r="AE338" s="421"/>
      <c r="AF338" s="419"/>
      <c r="AG338" s="419"/>
      <c r="AH338" s="421"/>
      <c r="AI338" s="421"/>
      <c r="AJ338" s="419"/>
      <c r="AK338" s="419"/>
      <c r="AL338" s="421"/>
      <c r="AM338" s="421"/>
      <c r="AN338" s="419"/>
      <c r="AO338" s="419"/>
      <c r="AP338" s="421"/>
      <c r="AQ338" s="421"/>
      <c r="AR338" s="424">
        <f t="shared" si="145"/>
        <v>0</v>
      </c>
      <c r="AS338" s="422">
        <f t="shared" si="146"/>
        <v>0</v>
      </c>
      <c r="AT338" s="425">
        <f t="shared" si="147"/>
        <v>0</v>
      </c>
      <c r="AU338" s="423">
        <f t="shared" si="148"/>
        <v>0</v>
      </c>
      <c r="AV338" s="419"/>
      <c r="AW338" s="421"/>
      <c r="AX338" s="419"/>
      <c r="AY338" s="419"/>
      <c r="AZ338" s="421"/>
      <c r="BA338" s="421"/>
      <c r="BB338" s="419"/>
      <c r="BC338" s="419"/>
      <c r="BD338" s="421"/>
      <c r="BE338" s="421"/>
      <c r="BF338" s="419"/>
      <c r="BG338" s="419"/>
      <c r="BH338" s="421"/>
      <c r="BI338" s="421"/>
      <c r="BJ338" s="419"/>
      <c r="BK338" s="419"/>
      <c r="BL338" s="421"/>
      <c r="BM338" s="421"/>
      <c r="BN338" s="419"/>
      <c r="BO338" s="419"/>
      <c r="BP338" s="421"/>
      <c r="BQ338" s="421"/>
      <c r="BR338" s="419"/>
      <c r="BS338" s="419"/>
      <c r="BT338" s="421"/>
      <c r="BU338" s="421"/>
      <c r="BV338" s="419"/>
      <c r="BW338" s="419"/>
      <c r="BX338" s="421"/>
      <c r="BY338" s="421"/>
      <c r="BZ338" s="419"/>
      <c r="CA338" s="419"/>
      <c r="CB338" s="421"/>
      <c r="CC338" s="421"/>
      <c r="CD338" s="419"/>
      <c r="CE338" s="419"/>
      <c r="CF338" s="421"/>
      <c r="CG338" s="421"/>
      <c r="CH338" s="419"/>
      <c r="CI338" s="419"/>
      <c r="CJ338" s="421"/>
      <c r="CK338" s="421"/>
      <c r="CL338" s="419"/>
      <c r="CM338" s="421"/>
      <c r="CN338" s="424">
        <f t="shared" si="149"/>
        <v>0</v>
      </c>
      <c r="CO338" s="424">
        <f t="shared" si="150"/>
        <v>0</v>
      </c>
      <c r="CP338" s="425">
        <f t="shared" si="151"/>
        <v>0</v>
      </c>
      <c r="CQ338" s="425">
        <f t="shared" si="152"/>
        <v>0</v>
      </c>
      <c r="CR338" s="419"/>
      <c r="CS338" s="419"/>
      <c r="CT338" s="421"/>
      <c r="CU338" s="421"/>
      <c r="CV338" s="419"/>
      <c r="CW338" s="419"/>
      <c r="CX338" s="421"/>
      <c r="CY338" s="421"/>
      <c r="CZ338" s="419"/>
      <c r="DA338" s="419"/>
      <c r="DB338" s="421"/>
      <c r="DC338" s="421"/>
      <c r="DD338" s="419"/>
      <c r="DE338" s="419"/>
      <c r="DF338" s="421"/>
      <c r="DG338" s="421"/>
      <c r="DH338" s="419"/>
      <c r="DI338" s="419"/>
      <c r="DJ338" s="421"/>
      <c r="DK338" s="421"/>
      <c r="DL338" s="419"/>
      <c r="DM338" s="419"/>
      <c r="DN338" s="421"/>
      <c r="DO338" s="421"/>
      <c r="DP338" s="419"/>
      <c r="DQ338" s="419"/>
      <c r="DR338" s="421"/>
      <c r="DS338" s="421"/>
      <c r="DT338" s="419"/>
      <c r="DU338" s="419"/>
      <c r="DV338" s="421"/>
      <c r="DW338" s="421"/>
      <c r="DX338" s="419"/>
      <c r="DY338" s="419"/>
      <c r="DZ338" s="421"/>
      <c r="EA338" s="421"/>
      <c r="EB338" s="419"/>
      <c r="EC338" s="419"/>
      <c r="ED338" s="421"/>
      <c r="EE338" s="421"/>
      <c r="EF338" s="419"/>
      <c r="EG338" s="421"/>
      <c r="EH338" s="424">
        <f t="shared" si="153"/>
        <v>0</v>
      </c>
      <c r="EI338" s="424">
        <f t="shared" si="154"/>
        <v>0</v>
      </c>
      <c r="EJ338" s="422">
        <f t="shared" si="155"/>
        <v>0</v>
      </c>
      <c r="EK338" s="425">
        <f t="shared" si="156"/>
        <v>0</v>
      </c>
      <c r="EL338" s="425">
        <f t="shared" si="157"/>
        <v>0</v>
      </c>
      <c r="EM338" s="423">
        <f t="shared" si="158"/>
        <v>0</v>
      </c>
      <c r="EN338" s="424">
        <f t="shared" si="159"/>
        <v>0</v>
      </c>
      <c r="EO338" s="425">
        <f t="shared" si="160"/>
        <v>0</v>
      </c>
      <c r="EP338" s="419"/>
      <c r="EQ338" s="421"/>
      <c r="ER338" s="419"/>
      <c r="ES338" s="421"/>
      <c r="ET338" s="419"/>
      <c r="EU338" s="421"/>
      <c r="EV338" s="419"/>
      <c r="EW338" s="421"/>
      <c r="EX338" s="419"/>
      <c r="EY338" s="421"/>
      <c r="EZ338" s="419"/>
      <c r="FA338" s="421"/>
      <c r="FB338" s="419"/>
      <c r="FC338" s="421"/>
      <c r="FD338" s="419"/>
      <c r="FE338" s="421"/>
      <c r="FF338" s="419"/>
      <c r="FG338" s="421"/>
      <c r="FH338" s="419"/>
      <c r="FI338" s="421"/>
      <c r="FJ338" s="424">
        <f t="shared" si="161"/>
        <v>0</v>
      </c>
      <c r="FK338" s="425">
        <f t="shared" si="162"/>
        <v>0</v>
      </c>
      <c r="FL338" s="419"/>
      <c r="FM338" s="421"/>
      <c r="FN338" s="424">
        <f t="shared" si="163"/>
        <v>128</v>
      </c>
      <c r="FO338" s="425">
        <f t="shared" si="164"/>
        <v>92</v>
      </c>
    </row>
    <row r="339" spans="1:171">
      <c r="A339" s="427" t="s">
        <v>163</v>
      </c>
      <c r="B339" s="57" t="s">
        <v>858</v>
      </c>
      <c r="C339" s="56"/>
      <c r="D339" s="55">
        <v>250993</v>
      </c>
      <c r="E339" s="55">
        <v>13</v>
      </c>
      <c r="F339" s="419">
        <v>209</v>
      </c>
      <c r="G339" s="421">
        <v>208</v>
      </c>
      <c r="H339" s="419"/>
      <c r="I339" s="421"/>
      <c r="J339" s="419"/>
      <c r="K339" s="421"/>
      <c r="L339" s="422">
        <f t="shared" si="143"/>
        <v>0</v>
      </c>
      <c r="M339" s="423">
        <f t="shared" si="144"/>
        <v>0</v>
      </c>
      <c r="N339" s="419"/>
      <c r="O339" s="309">
        <f>0</f>
        <v>0</v>
      </c>
      <c r="P339" s="309">
        <f>0</f>
        <v>0</v>
      </c>
      <c r="Q339" s="309">
        <f>0</f>
        <v>0</v>
      </c>
      <c r="R339" s="424">
        <f t="shared" si="141"/>
        <v>0</v>
      </c>
      <c r="S339" s="421"/>
      <c r="T339" s="301">
        <f>0</f>
        <v>0</v>
      </c>
      <c r="U339" s="301">
        <f>0</f>
        <v>0</v>
      </c>
      <c r="V339" s="301">
        <f>0</f>
        <v>0</v>
      </c>
      <c r="W339" s="425">
        <f t="shared" si="142"/>
        <v>0</v>
      </c>
      <c r="X339" s="419"/>
      <c r="Y339" s="419"/>
      <c r="Z339" s="421"/>
      <c r="AA339" s="421"/>
      <c r="AB339" s="419"/>
      <c r="AC339" s="419"/>
      <c r="AD339" s="421"/>
      <c r="AE339" s="421"/>
      <c r="AF339" s="419"/>
      <c r="AG339" s="419"/>
      <c r="AH339" s="421"/>
      <c r="AI339" s="421"/>
      <c r="AJ339" s="419"/>
      <c r="AK339" s="419"/>
      <c r="AL339" s="421"/>
      <c r="AM339" s="421"/>
      <c r="AN339" s="419"/>
      <c r="AO339" s="419"/>
      <c r="AP339" s="421"/>
      <c r="AQ339" s="421"/>
      <c r="AR339" s="424">
        <f t="shared" si="145"/>
        <v>0</v>
      </c>
      <c r="AS339" s="422">
        <f t="shared" si="146"/>
        <v>0</v>
      </c>
      <c r="AT339" s="425">
        <f t="shared" si="147"/>
        <v>0</v>
      </c>
      <c r="AU339" s="423">
        <f t="shared" si="148"/>
        <v>0</v>
      </c>
      <c r="AV339" s="419"/>
      <c r="AW339" s="421"/>
      <c r="AX339" s="419"/>
      <c r="AY339" s="419"/>
      <c r="AZ339" s="421"/>
      <c r="BA339" s="421"/>
      <c r="BB339" s="419"/>
      <c r="BC339" s="419"/>
      <c r="BD339" s="421"/>
      <c r="BE339" s="421"/>
      <c r="BF339" s="419"/>
      <c r="BG339" s="419"/>
      <c r="BH339" s="421"/>
      <c r="BI339" s="421"/>
      <c r="BJ339" s="419"/>
      <c r="BK339" s="419"/>
      <c r="BL339" s="421"/>
      <c r="BM339" s="421"/>
      <c r="BN339" s="419"/>
      <c r="BO339" s="419"/>
      <c r="BP339" s="421"/>
      <c r="BQ339" s="421"/>
      <c r="BR339" s="419"/>
      <c r="BS339" s="419"/>
      <c r="BT339" s="421"/>
      <c r="BU339" s="421"/>
      <c r="BV339" s="419"/>
      <c r="BW339" s="419"/>
      <c r="BX339" s="421"/>
      <c r="BY339" s="421"/>
      <c r="BZ339" s="419"/>
      <c r="CA339" s="419"/>
      <c r="CB339" s="421"/>
      <c r="CC339" s="421"/>
      <c r="CD339" s="419"/>
      <c r="CE339" s="419"/>
      <c r="CF339" s="421"/>
      <c r="CG339" s="421"/>
      <c r="CH339" s="419"/>
      <c r="CI339" s="419"/>
      <c r="CJ339" s="421"/>
      <c r="CK339" s="421"/>
      <c r="CL339" s="419"/>
      <c r="CM339" s="421"/>
      <c r="CN339" s="424">
        <f t="shared" si="149"/>
        <v>0</v>
      </c>
      <c r="CO339" s="424">
        <f t="shared" si="150"/>
        <v>0</v>
      </c>
      <c r="CP339" s="425">
        <f t="shared" si="151"/>
        <v>0</v>
      </c>
      <c r="CQ339" s="425">
        <f t="shared" si="152"/>
        <v>0</v>
      </c>
      <c r="CR339" s="419"/>
      <c r="CS339" s="419"/>
      <c r="CT339" s="421"/>
      <c r="CU339" s="421"/>
      <c r="CV339" s="419"/>
      <c r="CW339" s="419"/>
      <c r="CX339" s="421"/>
      <c r="CY339" s="421"/>
      <c r="CZ339" s="419"/>
      <c r="DA339" s="419"/>
      <c r="DB339" s="421"/>
      <c r="DC339" s="421"/>
      <c r="DD339" s="419"/>
      <c r="DE339" s="419"/>
      <c r="DF339" s="421"/>
      <c r="DG339" s="421"/>
      <c r="DH339" s="419"/>
      <c r="DI339" s="419"/>
      <c r="DJ339" s="421"/>
      <c r="DK339" s="421"/>
      <c r="DL339" s="419"/>
      <c r="DM339" s="419"/>
      <c r="DN339" s="421"/>
      <c r="DO339" s="421"/>
      <c r="DP339" s="419"/>
      <c r="DQ339" s="419"/>
      <c r="DR339" s="421"/>
      <c r="DS339" s="421"/>
      <c r="DT339" s="419"/>
      <c r="DU339" s="419"/>
      <c r="DV339" s="421"/>
      <c r="DW339" s="421"/>
      <c r="DX339" s="419"/>
      <c r="DY339" s="419"/>
      <c r="DZ339" s="421"/>
      <c r="EA339" s="421"/>
      <c r="EB339" s="419"/>
      <c r="EC339" s="419"/>
      <c r="ED339" s="421"/>
      <c r="EE339" s="421"/>
      <c r="EF339" s="419"/>
      <c r="EG339" s="421"/>
      <c r="EH339" s="424">
        <f t="shared" si="153"/>
        <v>0</v>
      </c>
      <c r="EI339" s="424">
        <f t="shared" si="154"/>
        <v>0</v>
      </c>
      <c r="EJ339" s="422">
        <f t="shared" si="155"/>
        <v>0</v>
      </c>
      <c r="EK339" s="425">
        <f t="shared" si="156"/>
        <v>0</v>
      </c>
      <c r="EL339" s="425">
        <f t="shared" si="157"/>
        <v>0</v>
      </c>
      <c r="EM339" s="423">
        <f t="shared" si="158"/>
        <v>0</v>
      </c>
      <c r="EN339" s="424">
        <f t="shared" si="159"/>
        <v>0</v>
      </c>
      <c r="EO339" s="425">
        <f t="shared" si="160"/>
        <v>0</v>
      </c>
      <c r="EP339" s="419"/>
      <c r="EQ339" s="421"/>
      <c r="ER339" s="419"/>
      <c r="ES339" s="421"/>
      <c r="ET339" s="419"/>
      <c r="EU339" s="421"/>
      <c r="EV339" s="419"/>
      <c r="EW339" s="421"/>
      <c r="EX339" s="419"/>
      <c r="EY339" s="421"/>
      <c r="EZ339" s="419"/>
      <c r="FA339" s="421"/>
      <c r="FB339" s="419"/>
      <c r="FC339" s="421"/>
      <c r="FD339" s="419"/>
      <c r="FE339" s="421"/>
      <c r="FF339" s="419"/>
      <c r="FG339" s="421"/>
      <c r="FH339" s="419"/>
      <c r="FI339" s="421"/>
      <c r="FJ339" s="424">
        <f t="shared" si="161"/>
        <v>0</v>
      </c>
      <c r="FK339" s="425">
        <f t="shared" si="162"/>
        <v>0</v>
      </c>
      <c r="FL339" s="419"/>
      <c r="FM339" s="421"/>
      <c r="FN339" s="424">
        <f t="shared" si="163"/>
        <v>209</v>
      </c>
      <c r="FO339" s="425">
        <f t="shared" si="164"/>
        <v>208</v>
      </c>
    </row>
    <row r="340" spans="1:171">
      <c r="A340" s="427" t="s">
        <v>163</v>
      </c>
      <c r="B340" s="57" t="s">
        <v>859</v>
      </c>
      <c r="C340" s="56"/>
      <c r="D340" s="55">
        <v>365198</v>
      </c>
      <c r="E340" s="55">
        <v>13</v>
      </c>
      <c r="F340" s="419">
        <v>332</v>
      </c>
      <c r="G340" s="421">
        <v>383</v>
      </c>
      <c r="H340" s="419">
        <v>7</v>
      </c>
      <c r="I340" s="421">
        <v>6</v>
      </c>
      <c r="J340" s="419"/>
      <c r="K340" s="421"/>
      <c r="L340" s="422">
        <f t="shared" si="143"/>
        <v>0</v>
      </c>
      <c r="M340" s="423">
        <f t="shared" si="144"/>
        <v>0</v>
      </c>
      <c r="N340" s="419"/>
      <c r="O340" s="309">
        <f>0</f>
        <v>0</v>
      </c>
      <c r="P340" s="309">
        <f>0</f>
        <v>0</v>
      </c>
      <c r="Q340" s="309">
        <f>0</f>
        <v>0</v>
      </c>
      <c r="R340" s="424">
        <f t="shared" si="141"/>
        <v>0</v>
      </c>
      <c r="S340" s="421"/>
      <c r="T340" s="301">
        <f>0</f>
        <v>0</v>
      </c>
      <c r="U340" s="301">
        <f>0</f>
        <v>0</v>
      </c>
      <c r="V340" s="301">
        <f>0</f>
        <v>0</v>
      </c>
      <c r="W340" s="425">
        <f t="shared" si="142"/>
        <v>0</v>
      </c>
      <c r="X340" s="419"/>
      <c r="Y340" s="419"/>
      <c r="Z340" s="421"/>
      <c r="AA340" s="421"/>
      <c r="AB340" s="419"/>
      <c r="AC340" s="419"/>
      <c r="AD340" s="421"/>
      <c r="AE340" s="421"/>
      <c r="AF340" s="419"/>
      <c r="AG340" s="419"/>
      <c r="AH340" s="421"/>
      <c r="AI340" s="421"/>
      <c r="AJ340" s="419"/>
      <c r="AK340" s="419"/>
      <c r="AL340" s="421"/>
      <c r="AM340" s="421"/>
      <c r="AN340" s="419"/>
      <c r="AO340" s="419"/>
      <c r="AP340" s="421"/>
      <c r="AQ340" s="421"/>
      <c r="AR340" s="424">
        <f t="shared" si="145"/>
        <v>0</v>
      </c>
      <c r="AS340" s="422">
        <f t="shared" si="146"/>
        <v>0</v>
      </c>
      <c r="AT340" s="425">
        <f t="shared" si="147"/>
        <v>0</v>
      </c>
      <c r="AU340" s="423">
        <f t="shared" si="148"/>
        <v>0</v>
      </c>
      <c r="AV340" s="419"/>
      <c r="AW340" s="421"/>
      <c r="AX340" s="419"/>
      <c r="AY340" s="419"/>
      <c r="AZ340" s="421"/>
      <c r="BA340" s="421"/>
      <c r="BB340" s="419"/>
      <c r="BC340" s="419"/>
      <c r="BD340" s="421"/>
      <c r="BE340" s="421"/>
      <c r="BF340" s="419"/>
      <c r="BG340" s="419"/>
      <c r="BH340" s="421"/>
      <c r="BI340" s="421"/>
      <c r="BJ340" s="419"/>
      <c r="BK340" s="419"/>
      <c r="BL340" s="421"/>
      <c r="BM340" s="421"/>
      <c r="BN340" s="419"/>
      <c r="BO340" s="419"/>
      <c r="BP340" s="421"/>
      <c r="BQ340" s="421"/>
      <c r="BR340" s="419"/>
      <c r="BS340" s="419"/>
      <c r="BT340" s="421"/>
      <c r="BU340" s="421"/>
      <c r="BV340" s="419"/>
      <c r="BW340" s="419"/>
      <c r="BX340" s="421"/>
      <c r="BY340" s="421"/>
      <c r="BZ340" s="419"/>
      <c r="CA340" s="419"/>
      <c r="CB340" s="421"/>
      <c r="CC340" s="421"/>
      <c r="CD340" s="419"/>
      <c r="CE340" s="419"/>
      <c r="CF340" s="421"/>
      <c r="CG340" s="421"/>
      <c r="CH340" s="419"/>
      <c r="CI340" s="419"/>
      <c r="CJ340" s="421"/>
      <c r="CK340" s="421"/>
      <c r="CL340" s="419"/>
      <c r="CM340" s="421"/>
      <c r="CN340" s="424">
        <f t="shared" si="149"/>
        <v>0</v>
      </c>
      <c r="CO340" s="424">
        <f t="shared" si="150"/>
        <v>0</v>
      </c>
      <c r="CP340" s="425">
        <f t="shared" si="151"/>
        <v>0</v>
      </c>
      <c r="CQ340" s="425">
        <f t="shared" si="152"/>
        <v>0</v>
      </c>
      <c r="CR340" s="419"/>
      <c r="CS340" s="419"/>
      <c r="CT340" s="421"/>
      <c r="CU340" s="421"/>
      <c r="CV340" s="419"/>
      <c r="CW340" s="419"/>
      <c r="CX340" s="421"/>
      <c r="CY340" s="421"/>
      <c r="CZ340" s="419"/>
      <c r="DA340" s="419"/>
      <c r="DB340" s="421"/>
      <c r="DC340" s="421"/>
      <c r="DD340" s="419"/>
      <c r="DE340" s="419"/>
      <c r="DF340" s="421"/>
      <c r="DG340" s="421"/>
      <c r="DH340" s="419"/>
      <c r="DI340" s="419"/>
      <c r="DJ340" s="421"/>
      <c r="DK340" s="421"/>
      <c r="DL340" s="419"/>
      <c r="DM340" s="419"/>
      <c r="DN340" s="421"/>
      <c r="DO340" s="421"/>
      <c r="DP340" s="419"/>
      <c r="DQ340" s="419"/>
      <c r="DR340" s="421"/>
      <c r="DS340" s="421"/>
      <c r="DT340" s="419"/>
      <c r="DU340" s="419"/>
      <c r="DV340" s="421"/>
      <c r="DW340" s="421"/>
      <c r="DX340" s="419"/>
      <c r="DY340" s="419"/>
      <c r="DZ340" s="421"/>
      <c r="EA340" s="421"/>
      <c r="EB340" s="419"/>
      <c r="EC340" s="419"/>
      <c r="ED340" s="421"/>
      <c r="EE340" s="421"/>
      <c r="EF340" s="419"/>
      <c r="EG340" s="421"/>
      <c r="EH340" s="424">
        <f t="shared" si="153"/>
        <v>0</v>
      </c>
      <c r="EI340" s="424">
        <f t="shared" si="154"/>
        <v>0</v>
      </c>
      <c r="EJ340" s="422">
        <f t="shared" si="155"/>
        <v>0</v>
      </c>
      <c r="EK340" s="425">
        <f t="shared" si="156"/>
        <v>0</v>
      </c>
      <c r="EL340" s="425">
        <f t="shared" si="157"/>
        <v>0</v>
      </c>
      <c r="EM340" s="423">
        <f t="shared" si="158"/>
        <v>0</v>
      </c>
      <c r="EN340" s="424">
        <f t="shared" si="159"/>
        <v>0</v>
      </c>
      <c r="EO340" s="425">
        <f t="shared" si="160"/>
        <v>0</v>
      </c>
      <c r="EP340" s="419"/>
      <c r="EQ340" s="421"/>
      <c r="ER340" s="419"/>
      <c r="ES340" s="421"/>
      <c r="ET340" s="419"/>
      <c r="EU340" s="421"/>
      <c r="EV340" s="419"/>
      <c r="EW340" s="421"/>
      <c r="EX340" s="419"/>
      <c r="EY340" s="421"/>
      <c r="EZ340" s="419"/>
      <c r="FA340" s="421"/>
      <c r="FB340" s="419"/>
      <c r="FC340" s="421"/>
      <c r="FD340" s="419"/>
      <c r="FE340" s="421"/>
      <c r="FF340" s="419"/>
      <c r="FG340" s="421"/>
      <c r="FH340" s="419"/>
      <c r="FI340" s="421"/>
      <c r="FJ340" s="424">
        <f t="shared" si="161"/>
        <v>0</v>
      </c>
      <c r="FK340" s="425">
        <f t="shared" si="162"/>
        <v>0</v>
      </c>
      <c r="FL340" s="419"/>
      <c r="FM340" s="421"/>
      <c r="FN340" s="424">
        <f t="shared" si="163"/>
        <v>339</v>
      </c>
      <c r="FO340" s="425">
        <f t="shared" si="164"/>
        <v>389</v>
      </c>
    </row>
    <row r="341" spans="1:171">
      <c r="A341" s="427" t="s">
        <v>163</v>
      </c>
      <c r="B341" s="57" t="s">
        <v>860</v>
      </c>
      <c r="C341" s="56"/>
      <c r="D341" s="55">
        <v>368364</v>
      </c>
      <c r="E341" s="55">
        <v>13</v>
      </c>
      <c r="F341" s="419">
        <v>161</v>
      </c>
      <c r="G341" s="421">
        <v>150</v>
      </c>
      <c r="H341" s="419"/>
      <c r="I341" s="421"/>
      <c r="J341" s="419"/>
      <c r="K341" s="421"/>
      <c r="L341" s="422">
        <f t="shared" si="143"/>
        <v>0</v>
      </c>
      <c r="M341" s="423">
        <f t="shared" si="144"/>
        <v>0</v>
      </c>
      <c r="N341" s="419"/>
      <c r="O341" s="309">
        <f>0</f>
        <v>0</v>
      </c>
      <c r="P341" s="309">
        <f>0</f>
        <v>0</v>
      </c>
      <c r="Q341" s="309">
        <f>0</f>
        <v>0</v>
      </c>
      <c r="R341" s="424">
        <f t="shared" si="141"/>
        <v>0</v>
      </c>
      <c r="S341" s="421"/>
      <c r="T341" s="301">
        <f>0</f>
        <v>0</v>
      </c>
      <c r="U341" s="301">
        <f>0</f>
        <v>0</v>
      </c>
      <c r="V341" s="301">
        <f>0</f>
        <v>0</v>
      </c>
      <c r="W341" s="425">
        <f t="shared" si="142"/>
        <v>0</v>
      </c>
      <c r="X341" s="419"/>
      <c r="Y341" s="419"/>
      <c r="Z341" s="421"/>
      <c r="AA341" s="421"/>
      <c r="AB341" s="419"/>
      <c r="AC341" s="419"/>
      <c r="AD341" s="421"/>
      <c r="AE341" s="421"/>
      <c r="AF341" s="419"/>
      <c r="AG341" s="419"/>
      <c r="AH341" s="421"/>
      <c r="AI341" s="421"/>
      <c r="AJ341" s="419"/>
      <c r="AK341" s="419"/>
      <c r="AL341" s="421"/>
      <c r="AM341" s="421"/>
      <c r="AN341" s="419"/>
      <c r="AO341" s="419"/>
      <c r="AP341" s="421"/>
      <c r="AQ341" s="421"/>
      <c r="AR341" s="424">
        <f t="shared" si="145"/>
        <v>0</v>
      </c>
      <c r="AS341" s="422">
        <f t="shared" si="146"/>
        <v>0</v>
      </c>
      <c r="AT341" s="425">
        <f t="shared" si="147"/>
        <v>0</v>
      </c>
      <c r="AU341" s="423">
        <f t="shared" si="148"/>
        <v>0</v>
      </c>
      <c r="AV341" s="419"/>
      <c r="AW341" s="421"/>
      <c r="AX341" s="419"/>
      <c r="AY341" s="419"/>
      <c r="AZ341" s="421"/>
      <c r="BA341" s="421"/>
      <c r="BB341" s="419"/>
      <c r="BC341" s="419"/>
      <c r="BD341" s="421"/>
      <c r="BE341" s="421"/>
      <c r="BF341" s="419"/>
      <c r="BG341" s="419"/>
      <c r="BH341" s="421"/>
      <c r="BI341" s="421"/>
      <c r="BJ341" s="419"/>
      <c r="BK341" s="419"/>
      <c r="BL341" s="421"/>
      <c r="BM341" s="421"/>
      <c r="BN341" s="419"/>
      <c r="BO341" s="419"/>
      <c r="BP341" s="421"/>
      <c r="BQ341" s="421"/>
      <c r="BR341" s="419"/>
      <c r="BS341" s="419"/>
      <c r="BT341" s="421"/>
      <c r="BU341" s="421"/>
      <c r="BV341" s="419"/>
      <c r="BW341" s="419"/>
      <c r="BX341" s="421"/>
      <c r="BY341" s="421"/>
      <c r="BZ341" s="419"/>
      <c r="CA341" s="419"/>
      <c r="CB341" s="421"/>
      <c r="CC341" s="421"/>
      <c r="CD341" s="419"/>
      <c r="CE341" s="419"/>
      <c r="CF341" s="421"/>
      <c r="CG341" s="421"/>
      <c r="CH341" s="419"/>
      <c r="CI341" s="419"/>
      <c r="CJ341" s="421"/>
      <c r="CK341" s="421"/>
      <c r="CL341" s="419"/>
      <c r="CM341" s="421"/>
      <c r="CN341" s="424">
        <f t="shared" si="149"/>
        <v>0</v>
      </c>
      <c r="CO341" s="424">
        <f t="shared" si="150"/>
        <v>0</v>
      </c>
      <c r="CP341" s="425">
        <f t="shared" si="151"/>
        <v>0</v>
      </c>
      <c r="CQ341" s="425">
        <f t="shared" si="152"/>
        <v>0</v>
      </c>
      <c r="CR341" s="419"/>
      <c r="CS341" s="419"/>
      <c r="CT341" s="421"/>
      <c r="CU341" s="421"/>
      <c r="CV341" s="419"/>
      <c r="CW341" s="419"/>
      <c r="CX341" s="421"/>
      <c r="CY341" s="421"/>
      <c r="CZ341" s="419"/>
      <c r="DA341" s="419"/>
      <c r="DB341" s="421"/>
      <c r="DC341" s="421"/>
      <c r="DD341" s="419"/>
      <c r="DE341" s="419"/>
      <c r="DF341" s="421"/>
      <c r="DG341" s="421"/>
      <c r="DH341" s="419"/>
      <c r="DI341" s="419"/>
      <c r="DJ341" s="421"/>
      <c r="DK341" s="421"/>
      <c r="DL341" s="419"/>
      <c r="DM341" s="419"/>
      <c r="DN341" s="421"/>
      <c r="DO341" s="421"/>
      <c r="DP341" s="419"/>
      <c r="DQ341" s="419"/>
      <c r="DR341" s="421"/>
      <c r="DS341" s="421"/>
      <c r="DT341" s="419"/>
      <c r="DU341" s="419"/>
      <c r="DV341" s="421"/>
      <c r="DW341" s="421"/>
      <c r="DX341" s="419"/>
      <c r="DY341" s="419"/>
      <c r="DZ341" s="421"/>
      <c r="EA341" s="421"/>
      <c r="EB341" s="419"/>
      <c r="EC341" s="419"/>
      <c r="ED341" s="421"/>
      <c r="EE341" s="421"/>
      <c r="EF341" s="419"/>
      <c r="EG341" s="421"/>
      <c r="EH341" s="424">
        <f t="shared" si="153"/>
        <v>0</v>
      </c>
      <c r="EI341" s="424">
        <f t="shared" si="154"/>
        <v>0</v>
      </c>
      <c r="EJ341" s="422">
        <f t="shared" si="155"/>
        <v>0</v>
      </c>
      <c r="EK341" s="425">
        <f t="shared" si="156"/>
        <v>0</v>
      </c>
      <c r="EL341" s="425">
        <f t="shared" si="157"/>
        <v>0</v>
      </c>
      <c r="EM341" s="423">
        <f t="shared" si="158"/>
        <v>0</v>
      </c>
      <c r="EN341" s="424">
        <f t="shared" si="159"/>
        <v>0</v>
      </c>
      <c r="EO341" s="425">
        <f t="shared" si="160"/>
        <v>0</v>
      </c>
      <c r="EP341" s="419"/>
      <c r="EQ341" s="421"/>
      <c r="ER341" s="419"/>
      <c r="ES341" s="421"/>
      <c r="ET341" s="419"/>
      <c r="EU341" s="421"/>
      <c r="EV341" s="419"/>
      <c r="EW341" s="421"/>
      <c r="EX341" s="419"/>
      <c r="EY341" s="421"/>
      <c r="EZ341" s="419"/>
      <c r="FA341" s="421"/>
      <c r="FB341" s="419"/>
      <c r="FC341" s="421"/>
      <c r="FD341" s="419"/>
      <c r="FE341" s="421"/>
      <c r="FF341" s="419"/>
      <c r="FG341" s="421"/>
      <c r="FH341" s="419"/>
      <c r="FI341" s="421"/>
      <c r="FJ341" s="424">
        <f t="shared" si="161"/>
        <v>0</v>
      </c>
      <c r="FK341" s="425">
        <f t="shared" si="162"/>
        <v>0</v>
      </c>
      <c r="FL341" s="419"/>
      <c r="FM341" s="421"/>
      <c r="FN341" s="424">
        <f t="shared" si="163"/>
        <v>161</v>
      </c>
      <c r="FO341" s="425">
        <f t="shared" si="164"/>
        <v>150</v>
      </c>
    </row>
    <row r="342" spans="1:171">
      <c r="A342" s="427" t="s">
        <v>163</v>
      </c>
      <c r="B342" s="57" t="s">
        <v>861</v>
      </c>
      <c r="C342" s="56"/>
      <c r="D342" s="55">
        <v>418287</v>
      </c>
      <c r="E342" s="55">
        <v>13</v>
      </c>
      <c r="F342" s="419">
        <v>295</v>
      </c>
      <c r="G342" s="421">
        <v>290</v>
      </c>
      <c r="H342" s="419">
        <v>10</v>
      </c>
      <c r="I342" s="421">
        <v>10</v>
      </c>
      <c r="J342" s="419"/>
      <c r="K342" s="421"/>
      <c r="L342" s="422">
        <f t="shared" si="143"/>
        <v>0</v>
      </c>
      <c r="M342" s="423">
        <f t="shared" si="144"/>
        <v>0</v>
      </c>
      <c r="N342" s="419"/>
      <c r="O342" s="309">
        <f>0</f>
        <v>0</v>
      </c>
      <c r="P342" s="309">
        <f>0</f>
        <v>0</v>
      </c>
      <c r="Q342" s="309">
        <f>0</f>
        <v>0</v>
      </c>
      <c r="R342" s="424">
        <f t="shared" si="141"/>
        <v>0</v>
      </c>
      <c r="S342" s="421"/>
      <c r="T342" s="301">
        <f>0</f>
        <v>0</v>
      </c>
      <c r="U342" s="301">
        <f>0</f>
        <v>0</v>
      </c>
      <c r="V342" s="301">
        <f>0</f>
        <v>0</v>
      </c>
      <c r="W342" s="425">
        <f t="shared" si="142"/>
        <v>0</v>
      </c>
      <c r="X342" s="419"/>
      <c r="Y342" s="419"/>
      <c r="Z342" s="421"/>
      <c r="AA342" s="421"/>
      <c r="AB342" s="419"/>
      <c r="AC342" s="419"/>
      <c r="AD342" s="421"/>
      <c r="AE342" s="421"/>
      <c r="AF342" s="419"/>
      <c r="AG342" s="419"/>
      <c r="AH342" s="421"/>
      <c r="AI342" s="421"/>
      <c r="AJ342" s="419"/>
      <c r="AK342" s="419"/>
      <c r="AL342" s="421"/>
      <c r="AM342" s="421"/>
      <c r="AN342" s="419"/>
      <c r="AO342" s="419"/>
      <c r="AP342" s="421"/>
      <c r="AQ342" s="421"/>
      <c r="AR342" s="424">
        <f t="shared" si="145"/>
        <v>0</v>
      </c>
      <c r="AS342" s="422">
        <f t="shared" si="146"/>
        <v>0</v>
      </c>
      <c r="AT342" s="425">
        <f t="shared" si="147"/>
        <v>0</v>
      </c>
      <c r="AU342" s="423">
        <f t="shared" si="148"/>
        <v>0</v>
      </c>
      <c r="AV342" s="419"/>
      <c r="AW342" s="421"/>
      <c r="AX342" s="419"/>
      <c r="AY342" s="419"/>
      <c r="AZ342" s="421"/>
      <c r="BA342" s="421"/>
      <c r="BB342" s="419"/>
      <c r="BC342" s="419"/>
      <c r="BD342" s="421"/>
      <c r="BE342" s="421"/>
      <c r="BF342" s="419"/>
      <c r="BG342" s="419"/>
      <c r="BH342" s="421"/>
      <c r="BI342" s="421"/>
      <c r="BJ342" s="419"/>
      <c r="BK342" s="419"/>
      <c r="BL342" s="421"/>
      <c r="BM342" s="421"/>
      <c r="BN342" s="419"/>
      <c r="BO342" s="419"/>
      <c r="BP342" s="421"/>
      <c r="BQ342" s="421"/>
      <c r="BR342" s="419"/>
      <c r="BS342" s="419"/>
      <c r="BT342" s="421"/>
      <c r="BU342" s="421"/>
      <c r="BV342" s="419"/>
      <c r="BW342" s="419"/>
      <c r="BX342" s="421"/>
      <c r="BY342" s="421"/>
      <c r="BZ342" s="419"/>
      <c r="CA342" s="419"/>
      <c r="CB342" s="421"/>
      <c r="CC342" s="421"/>
      <c r="CD342" s="419"/>
      <c r="CE342" s="419"/>
      <c r="CF342" s="421"/>
      <c r="CG342" s="421"/>
      <c r="CH342" s="419"/>
      <c r="CI342" s="419"/>
      <c r="CJ342" s="421"/>
      <c r="CK342" s="421"/>
      <c r="CL342" s="419"/>
      <c r="CM342" s="421"/>
      <c r="CN342" s="424">
        <f t="shared" si="149"/>
        <v>0</v>
      </c>
      <c r="CO342" s="424">
        <f t="shared" si="150"/>
        <v>0</v>
      </c>
      <c r="CP342" s="425">
        <f t="shared" si="151"/>
        <v>0</v>
      </c>
      <c r="CQ342" s="425">
        <f t="shared" si="152"/>
        <v>0</v>
      </c>
      <c r="CR342" s="419"/>
      <c r="CS342" s="419"/>
      <c r="CT342" s="421"/>
      <c r="CU342" s="421"/>
      <c r="CV342" s="419"/>
      <c r="CW342" s="419"/>
      <c r="CX342" s="421"/>
      <c r="CY342" s="421"/>
      <c r="CZ342" s="419"/>
      <c r="DA342" s="419"/>
      <c r="DB342" s="421"/>
      <c r="DC342" s="421"/>
      <c r="DD342" s="419"/>
      <c r="DE342" s="419"/>
      <c r="DF342" s="421"/>
      <c r="DG342" s="421"/>
      <c r="DH342" s="419"/>
      <c r="DI342" s="419"/>
      <c r="DJ342" s="421"/>
      <c r="DK342" s="421"/>
      <c r="DL342" s="419"/>
      <c r="DM342" s="419"/>
      <c r="DN342" s="421"/>
      <c r="DO342" s="421"/>
      <c r="DP342" s="419"/>
      <c r="DQ342" s="419"/>
      <c r="DR342" s="421"/>
      <c r="DS342" s="421"/>
      <c r="DT342" s="419"/>
      <c r="DU342" s="419"/>
      <c r="DV342" s="421"/>
      <c r="DW342" s="421"/>
      <c r="DX342" s="419"/>
      <c r="DY342" s="419"/>
      <c r="DZ342" s="421"/>
      <c r="EA342" s="421"/>
      <c r="EB342" s="419"/>
      <c r="EC342" s="419"/>
      <c r="ED342" s="421"/>
      <c r="EE342" s="421"/>
      <c r="EF342" s="419"/>
      <c r="EG342" s="421"/>
      <c r="EH342" s="424">
        <f t="shared" si="153"/>
        <v>0</v>
      </c>
      <c r="EI342" s="424">
        <f t="shared" si="154"/>
        <v>0</v>
      </c>
      <c r="EJ342" s="422">
        <f t="shared" si="155"/>
        <v>0</v>
      </c>
      <c r="EK342" s="425">
        <f t="shared" si="156"/>
        <v>0</v>
      </c>
      <c r="EL342" s="425">
        <f t="shared" si="157"/>
        <v>0</v>
      </c>
      <c r="EM342" s="423">
        <f t="shared" si="158"/>
        <v>0</v>
      </c>
      <c r="EN342" s="424">
        <f t="shared" si="159"/>
        <v>0</v>
      </c>
      <c r="EO342" s="425">
        <f t="shared" si="160"/>
        <v>0</v>
      </c>
      <c r="EP342" s="419"/>
      <c r="EQ342" s="421"/>
      <c r="ER342" s="419"/>
      <c r="ES342" s="421"/>
      <c r="ET342" s="419"/>
      <c r="EU342" s="421"/>
      <c r="EV342" s="419"/>
      <c r="EW342" s="421"/>
      <c r="EX342" s="419"/>
      <c r="EY342" s="421"/>
      <c r="EZ342" s="419"/>
      <c r="FA342" s="421"/>
      <c r="FB342" s="419"/>
      <c r="FC342" s="421"/>
      <c r="FD342" s="419"/>
      <c r="FE342" s="421"/>
      <c r="FF342" s="419"/>
      <c r="FG342" s="421"/>
      <c r="FH342" s="419"/>
      <c r="FI342" s="421"/>
      <c r="FJ342" s="424">
        <f t="shared" si="161"/>
        <v>0</v>
      </c>
      <c r="FK342" s="425">
        <f t="shared" si="162"/>
        <v>0</v>
      </c>
      <c r="FL342" s="419"/>
      <c r="FM342" s="421"/>
      <c r="FN342" s="424">
        <f t="shared" si="163"/>
        <v>305</v>
      </c>
      <c r="FO342" s="425">
        <f t="shared" si="164"/>
        <v>300</v>
      </c>
    </row>
    <row r="343" spans="1:171">
      <c r="A343" s="427" t="s">
        <v>163</v>
      </c>
      <c r="B343" s="57" t="s">
        <v>862</v>
      </c>
      <c r="C343" s="56"/>
      <c r="D343" s="55">
        <v>207607</v>
      </c>
      <c r="E343" s="55">
        <v>13</v>
      </c>
      <c r="F343" s="419">
        <v>300</v>
      </c>
      <c r="G343" s="420">
        <v>458</v>
      </c>
      <c r="H343" s="419"/>
      <c r="I343" s="421"/>
      <c r="J343" s="419"/>
      <c r="K343" s="421"/>
      <c r="L343" s="422">
        <f t="shared" si="143"/>
        <v>0</v>
      </c>
      <c r="M343" s="423">
        <f t="shared" si="144"/>
        <v>0</v>
      </c>
      <c r="N343" s="419"/>
      <c r="O343" s="309">
        <f>0</f>
        <v>0</v>
      </c>
      <c r="P343" s="309">
        <f>0</f>
        <v>0</v>
      </c>
      <c r="Q343" s="309">
        <f>0</f>
        <v>0</v>
      </c>
      <c r="R343" s="424">
        <f t="shared" si="141"/>
        <v>0</v>
      </c>
      <c r="S343" s="421"/>
      <c r="T343" s="301">
        <f>0</f>
        <v>0</v>
      </c>
      <c r="U343" s="301">
        <f>0</f>
        <v>0</v>
      </c>
      <c r="V343" s="301">
        <f>0</f>
        <v>0</v>
      </c>
      <c r="W343" s="425">
        <f t="shared" si="142"/>
        <v>0</v>
      </c>
      <c r="X343" s="419"/>
      <c r="Y343" s="419"/>
      <c r="Z343" s="421"/>
      <c r="AA343" s="421"/>
      <c r="AB343" s="419"/>
      <c r="AC343" s="419"/>
      <c r="AD343" s="421"/>
      <c r="AE343" s="421"/>
      <c r="AF343" s="419"/>
      <c r="AG343" s="419"/>
      <c r="AH343" s="421"/>
      <c r="AI343" s="421"/>
      <c r="AJ343" s="419"/>
      <c r="AK343" s="419"/>
      <c r="AL343" s="421"/>
      <c r="AM343" s="421"/>
      <c r="AN343" s="419"/>
      <c r="AO343" s="419"/>
      <c r="AP343" s="421"/>
      <c r="AQ343" s="421"/>
      <c r="AR343" s="424">
        <f t="shared" si="145"/>
        <v>0</v>
      </c>
      <c r="AS343" s="422">
        <f t="shared" si="146"/>
        <v>0</v>
      </c>
      <c r="AT343" s="425">
        <f t="shared" si="147"/>
        <v>0</v>
      </c>
      <c r="AU343" s="423">
        <f t="shared" si="148"/>
        <v>0</v>
      </c>
      <c r="AV343" s="419"/>
      <c r="AW343" s="421"/>
      <c r="AX343" s="419"/>
      <c r="AY343" s="419"/>
      <c r="AZ343" s="421"/>
      <c r="BA343" s="421"/>
      <c r="BB343" s="419"/>
      <c r="BC343" s="419"/>
      <c r="BD343" s="421"/>
      <c r="BE343" s="421"/>
      <c r="BF343" s="419"/>
      <c r="BG343" s="419"/>
      <c r="BH343" s="421"/>
      <c r="BI343" s="421"/>
      <c r="BJ343" s="419"/>
      <c r="BK343" s="419"/>
      <c r="BL343" s="421"/>
      <c r="BM343" s="421"/>
      <c r="BN343" s="419"/>
      <c r="BO343" s="419"/>
      <c r="BP343" s="421"/>
      <c r="BQ343" s="421"/>
      <c r="BR343" s="419"/>
      <c r="BS343" s="419"/>
      <c r="BT343" s="421"/>
      <c r="BU343" s="421"/>
      <c r="BV343" s="419"/>
      <c r="BW343" s="419"/>
      <c r="BX343" s="421"/>
      <c r="BY343" s="421"/>
      <c r="BZ343" s="419"/>
      <c r="CA343" s="419"/>
      <c r="CB343" s="421"/>
      <c r="CC343" s="421"/>
      <c r="CD343" s="419"/>
      <c r="CE343" s="419"/>
      <c r="CF343" s="421"/>
      <c r="CG343" s="421"/>
      <c r="CH343" s="419"/>
      <c r="CI343" s="419"/>
      <c r="CJ343" s="421"/>
      <c r="CK343" s="421"/>
      <c r="CL343" s="419"/>
      <c r="CM343" s="421"/>
      <c r="CN343" s="424">
        <f t="shared" si="149"/>
        <v>0</v>
      </c>
      <c r="CO343" s="424">
        <f t="shared" si="150"/>
        <v>0</v>
      </c>
      <c r="CP343" s="425">
        <f t="shared" si="151"/>
        <v>0</v>
      </c>
      <c r="CQ343" s="425">
        <f t="shared" si="152"/>
        <v>0</v>
      </c>
      <c r="CR343" s="419"/>
      <c r="CS343" s="419"/>
      <c r="CT343" s="421"/>
      <c r="CU343" s="421"/>
      <c r="CV343" s="419"/>
      <c r="CW343" s="419"/>
      <c r="CX343" s="421"/>
      <c r="CY343" s="421"/>
      <c r="CZ343" s="419"/>
      <c r="DA343" s="419"/>
      <c r="DB343" s="421"/>
      <c r="DC343" s="421"/>
      <c r="DD343" s="419"/>
      <c r="DE343" s="419"/>
      <c r="DF343" s="421"/>
      <c r="DG343" s="421"/>
      <c r="DH343" s="419"/>
      <c r="DI343" s="419"/>
      <c r="DJ343" s="421"/>
      <c r="DK343" s="421"/>
      <c r="DL343" s="419"/>
      <c r="DM343" s="419"/>
      <c r="DN343" s="421"/>
      <c r="DO343" s="421"/>
      <c r="DP343" s="419"/>
      <c r="DQ343" s="419"/>
      <c r="DR343" s="421"/>
      <c r="DS343" s="421"/>
      <c r="DT343" s="419"/>
      <c r="DU343" s="419"/>
      <c r="DV343" s="421"/>
      <c r="DW343" s="421"/>
      <c r="DX343" s="419"/>
      <c r="DY343" s="419"/>
      <c r="DZ343" s="421"/>
      <c r="EA343" s="421"/>
      <c r="EB343" s="419"/>
      <c r="EC343" s="419"/>
      <c r="ED343" s="421"/>
      <c r="EE343" s="421"/>
      <c r="EF343" s="419"/>
      <c r="EG343" s="421"/>
      <c r="EH343" s="424">
        <f t="shared" si="153"/>
        <v>0</v>
      </c>
      <c r="EI343" s="424">
        <f t="shared" si="154"/>
        <v>0</v>
      </c>
      <c r="EJ343" s="422">
        <f t="shared" si="155"/>
        <v>0</v>
      </c>
      <c r="EK343" s="425">
        <f t="shared" si="156"/>
        <v>0</v>
      </c>
      <c r="EL343" s="425">
        <f t="shared" si="157"/>
        <v>0</v>
      </c>
      <c r="EM343" s="423">
        <f t="shared" si="158"/>
        <v>0</v>
      </c>
      <c r="EN343" s="424">
        <f t="shared" si="159"/>
        <v>0</v>
      </c>
      <c r="EO343" s="425">
        <f t="shared" si="160"/>
        <v>0</v>
      </c>
      <c r="EP343" s="419"/>
      <c r="EQ343" s="421"/>
      <c r="ER343" s="419"/>
      <c r="ES343" s="421"/>
      <c r="ET343" s="419"/>
      <c r="EU343" s="421"/>
      <c r="EV343" s="419"/>
      <c r="EW343" s="421"/>
      <c r="EX343" s="419"/>
      <c r="EY343" s="421"/>
      <c r="EZ343" s="419"/>
      <c r="FA343" s="421"/>
      <c r="FB343" s="419"/>
      <c r="FC343" s="421"/>
      <c r="FD343" s="419"/>
      <c r="FE343" s="421"/>
      <c r="FF343" s="419"/>
      <c r="FG343" s="421"/>
      <c r="FH343" s="419"/>
      <c r="FI343" s="421"/>
      <c r="FJ343" s="424">
        <f t="shared" si="161"/>
        <v>0</v>
      </c>
      <c r="FK343" s="425">
        <f t="shared" si="162"/>
        <v>0</v>
      </c>
      <c r="FL343" s="419"/>
      <c r="FM343" s="421"/>
      <c r="FN343" s="424">
        <f t="shared" si="163"/>
        <v>300</v>
      </c>
      <c r="FO343" s="425">
        <f t="shared" si="164"/>
        <v>458</v>
      </c>
    </row>
    <row r="344" spans="1:171" customFormat="1" ht="12.65" customHeight="1">
      <c r="A344" s="427" t="s">
        <v>163</v>
      </c>
      <c r="B344" s="57" t="s">
        <v>863</v>
      </c>
      <c r="C344" s="57"/>
      <c r="D344" s="55">
        <v>261393</v>
      </c>
      <c r="E344" s="55">
        <v>13</v>
      </c>
      <c r="F344" s="419">
        <v>324</v>
      </c>
      <c r="G344" s="420">
        <v>475</v>
      </c>
      <c r="H344" s="419"/>
      <c r="I344" s="421"/>
      <c r="J344" s="419"/>
      <c r="K344" s="421"/>
      <c r="L344" s="422">
        <f t="shared" si="143"/>
        <v>0</v>
      </c>
      <c r="M344" s="423">
        <f t="shared" si="144"/>
        <v>0</v>
      </c>
      <c r="N344" s="419"/>
      <c r="O344" s="309">
        <f>0</f>
        <v>0</v>
      </c>
      <c r="P344" s="309">
        <f>0</f>
        <v>0</v>
      </c>
      <c r="Q344" s="309">
        <f>0</f>
        <v>0</v>
      </c>
      <c r="R344" s="424">
        <f t="shared" si="141"/>
        <v>0</v>
      </c>
      <c r="S344" s="421"/>
      <c r="T344" s="301">
        <f>0</f>
        <v>0</v>
      </c>
      <c r="U344" s="301">
        <f>0</f>
        <v>0</v>
      </c>
      <c r="V344" s="301">
        <f>0</f>
        <v>0</v>
      </c>
      <c r="W344" s="425">
        <f t="shared" si="142"/>
        <v>0</v>
      </c>
      <c r="X344" s="419"/>
      <c r="Y344" s="419"/>
      <c r="Z344" s="421"/>
      <c r="AA344" s="421"/>
      <c r="AB344" s="419"/>
      <c r="AC344" s="419"/>
      <c r="AD344" s="421"/>
      <c r="AE344" s="421"/>
      <c r="AF344" s="419"/>
      <c r="AG344" s="419"/>
      <c r="AH344" s="421"/>
      <c r="AI344" s="421"/>
      <c r="AJ344" s="419"/>
      <c r="AK344" s="419"/>
      <c r="AL344" s="421"/>
      <c r="AM344" s="421"/>
      <c r="AN344" s="419"/>
      <c r="AO344" s="419"/>
      <c r="AP344" s="421"/>
      <c r="AQ344" s="421"/>
      <c r="AR344" s="424">
        <f t="shared" si="145"/>
        <v>0</v>
      </c>
      <c r="AS344" s="422">
        <f t="shared" si="146"/>
        <v>0</v>
      </c>
      <c r="AT344" s="425">
        <f t="shared" si="147"/>
        <v>0</v>
      </c>
      <c r="AU344" s="423">
        <f t="shared" si="148"/>
        <v>0</v>
      </c>
      <c r="AV344" s="419"/>
      <c r="AW344" s="421"/>
      <c r="AX344" s="419"/>
      <c r="AY344" s="419"/>
      <c r="AZ344" s="421"/>
      <c r="BA344" s="421"/>
      <c r="BB344" s="419"/>
      <c r="BC344" s="419"/>
      <c r="BD344" s="421"/>
      <c r="BE344" s="421"/>
      <c r="BF344" s="419"/>
      <c r="BG344" s="419"/>
      <c r="BH344" s="421"/>
      <c r="BI344" s="421"/>
      <c r="BJ344" s="419"/>
      <c r="BK344" s="419"/>
      <c r="BL344" s="421"/>
      <c r="BM344" s="421"/>
      <c r="BN344" s="419"/>
      <c r="BO344" s="419"/>
      <c r="BP344" s="421"/>
      <c r="BQ344" s="421"/>
      <c r="BR344" s="419"/>
      <c r="BS344" s="419"/>
      <c r="BT344" s="421"/>
      <c r="BU344" s="421"/>
      <c r="BV344" s="419"/>
      <c r="BW344" s="419"/>
      <c r="BX344" s="421"/>
      <c r="BY344" s="421"/>
      <c r="BZ344" s="419"/>
      <c r="CA344" s="419"/>
      <c r="CB344" s="421"/>
      <c r="CC344" s="421"/>
      <c r="CD344" s="419"/>
      <c r="CE344" s="419"/>
      <c r="CF344" s="421"/>
      <c r="CG344" s="421"/>
      <c r="CH344" s="419"/>
      <c r="CI344" s="419"/>
      <c r="CJ344" s="421"/>
      <c r="CK344" s="421"/>
      <c r="CL344" s="419"/>
      <c r="CM344" s="421"/>
      <c r="CN344" s="424">
        <f t="shared" si="149"/>
        <v>0</v>
      </c>
      <c r="CO344" s="424">
        <f t="shared" si="150"/>
        <v>0</v>
      </c>
      <c r="CP344" s="425">
        <f t="shared" si="151"/>
        <v>0</v>
      </c>
      <c r="CQ344" s="425">
        <f t="shared" si="152"/>
        <v>0</v>
      </c>
      <c r="CR344" s="419"/>
      <c r="CS344" s="419"/>
      <c r="CT344" s="421"/>
      <c r="CU344" s="421"/>
      <c r="CV344" s="419"/>
      <c r="CW344" s="419"/>
      <c r="CX344" s="421"/>
      <c r="CY344" s="421"/>
      <c r="CZ344" s="419"/>
      <c r="DA344" s="419"/>
      <c r="DB344" s="421"/>
      <c r="DC344" s="421"/>
      <c r="DD344" s="419"/>
      <c r="DE344" s="419"/>
      <c r="DF344" s="421"/>
      <c r="DG344" s="421"/>
      <c r="DH344" s="419"/>
      <c r="DI344" s="419"/>
      <c r="DJ344" s="421"/>
      <c r="DK344" s="421"/>
      <c r="DL344" s="419"/>
      <c r="DM344" s="419"/>
      <c r="DN344" s="421"/>
      <c r="DO344" s="421"/>
      <c r="DP344" s="419"/>
      <c r="DQ344" s="419"/>
      <c r="DR344" s="421"/>
      <c r="DS344" s="421"/>
      <c r="DT344" s="419"/>
      <c r="DU344" s="419"/>
      <c r="DV344" s="421"/>
      <c r="DW344" s="421"/>
      <c r="DX344" s="419"/>
      <c r="DY344" s="419"/>
      <c r="DZ344" s="421"/>
      <c r="EA344" s="421"/>
      <c r="EB344" s="419"/>
      <c r="EC344" s="419"/>
      <c r="ED344" s="421"/>
      <c r="EE344" s="421"/>
      <c r="EF344" s="419"/>
      <c r="EG344" s="421"/>
      <c r="EH344" s="424">
        <f t="shared" si="153"/>
        <v>0</v>
      </c>
      <c r="EI344" s="424">
        <f t="shared" si="154"/>
        <v>0</v>
      </c>
      <c r="EJ344" s="422">
        <f t="shared" si="155"/>
        <v>0</v>
      </c>
      <c r="EK344" s="425">
        <f t="shared" si="156"/>
        <v>0</v>
      </c>
      <c r="EL344" s="425">
        <f t="shared" si="157"/>
        <v>0</v>
      </c>
      <c r="EM344" s="423">
        <f t="shared" si="158"/>
        <v>0</v>
      </c>
      <c r="EN344" s="424">
        <f t="shared" si="159"/>
        <v>0</v>
      </c>
      <c r="EO344" s="425">
        <f t="shared" si="160"/>
        <v>0</v>
      </c>
      <c r="EP344" s="419"/>
      <c r="EQ344" s="421"/>
      <c r="ER344" s="419"/>
      <c r="ES344" s="421"/>
      <c r="ET344" s="419"/>
      <c r="EU344" s="421"/>
      <c r="EV344" s="419"/>
      <c r="EW344" s="421"/>
      <c r="EX344" s="419"/>
      <c r="EY344" s="421"/>
      <c r="EZ344" s="419"/>
      <c r="FA344" s="421"/>
      <c r="FB344" s="419"/>
      <c r="FC344" s="421"/>
      <c r="FD344" s="419"/>
      <c r="FE344" s="421"/>
      <c r="FF344" s="419"/>
      <c r="FG344" s="421"/>
      <c r="FH344" s="419"/>
      <c r="FI344" s="421"/>
      <c r="FJ344" s="424">
        <f t="shared" si="161"/>
        <v>0</v>
      </c>
      <c r="FK344" s="425">
        <f t="shared" si="162"/>
        <v>0</v>
      </c>
      <c r="FL344" s="419"/>
      <c r="FM344" s="421"/>
      <c r="FN344" s="424">
        <f t="shared" si="163"/>
        <v>324</v>
      </c>
      <c r="FO344" s="425">
        <f t="shared" si="164"/>
        <v>475</v>
      </c>
    </row>
    <row r="345" spans="1:171" customFormat="1" ht="12.65" customHeight="1">
      <c r="A345" s="427" t="s">
        <v>163</v>
      </c>
      <c r="B345" s="52" t="s">
        <v>864</v>
      </c>
      <c r="C345" s="57"/>
      <c r="D345" s="8">
        <v>482264</v>
      </c>
      <c r="E345" s="55">
        <v>13</v>
      </c>
      <c r="F345" s="419">
        <v>227</v>
      </c>
      <c r="G345" s="420">
        <v>357</v>
      </c>
      <c r="H345" s="419"/>
      <c r="I345" s="421"/>
      <c r="J345" s="419"/>
      <c r="K345" s="421"/>
      <c r="L345" s="422">
        <f t="shared" si="143"/>
        <v>0</v>
      </c>
      <c r="M345" s="423">
        <f t="shared" si="144"/>
        <v>0</v>
      </c>
      <c r="N345" s="419"/>
      <c r="O345" s="309">
        <f>0</f>
        <v>0</v>
      </c>
      <c r="P345" s="309">
        <f>0</f>
        <v>0</v>
      </c>
      <c r="Q345" s="309">
        <f>0</f>
        <v>0</v>
      </c>
      <c r="R345" s="424">
        <f t="shared" si="141"/>
        <v>0</v>
      </c>
      <c r="S345" s="421"/>
      <c r="T345" s="301">
        <f>0</f>
        <v>0</v>
      </c>
      <c r="U345" s="301">
        <f>0</f>
        <v>0</v>
      </c>
      <c r="V345" s="301">
        <f>0</f>
        <v>0</v>
      </c>
      <c r="W345" s="425">
        <f t="shared" si="142"/>
        <v>0</v>
      </c>
      <c r="X345" s="419"/>
      <c r="Y345" s="419"/>
      <c r="Z345" s="421"/>
      <c r="AA345" s="421"/>
      <c r="AB345" s="419"/>
      <c r="AC345" s="419"/>
      <c r="AD345" s="421"/>
      <c r="AE345" s="421"/>
      <c r="AF345" s="419"/>
      <c r="AG345" s="419"/>
      <c r="AH345" s="421"/>
      <c r="AI345" s="421"/>
      <c r="AJ345" s="419"/>
      <c r="AK345" s="419"/>
      <c r="AL345" s="421"/>
      <c r="AM345" s="421"/>
      <c r="AN345" s="419"/>
      <c r="AO345" s="419"/>
      <c r="AP345" s="421"/>
      <c r="AQ345" s="421"/>
      <c r="AR345" s="424">
        <f t="shared" si="145"/>
        <v>0</v>
      </c>
      <c r="AS345" s="422">
        <f t="shared" si="146"/>
        <v>0</v>
      </c>
      <c r="AT345" s="425">
        <f t="shared" si="147"/>
        <v>0</v>
      </c>
      <c r="AU345" s="423">
        <f t="shared" si="148"/>
        <v>0</v>
      </c>
      <c r="AV345" s="419"/>
      <c r="AW345" s="421"/>
      <c r="AX345" s="419"/>
      <c r="AY345" s="419"/>
      <c r="AZ345" s="421"/>
      <c r="BA345" s="421"/>
      <c r="BB345" s="419"/>
      <c r="BC345" s="419"/>
      <c r="BD345" s="421"/>
      <c r="BE345" s="421"/>
      <c r="BF345" s="419"/>
      <c r="BG345" s="419"/>
      <c r="BH345" s="421"/>
      <c r="BI345" s="421"/>
      <c r="BJ345" s="419"/>
      <c r="BK345" s="419"/>
      <c r="BL345" s="421"/>
      <c r="BM345" s="421"/>
      <c r="BN345" s="419"/>
      <c r="BO345" s="419"/>
      <c r="BP345" s="421"/>
      <c r="BQ345" s="421"/>
      <c r="BR345" s="419"/>
      <c r="BS345" s="419"/>
      <c r="BT345" s="421"/>
      <c r="BU345" s="421"/>
      <c r="BV345" s="419"/>
      <c r="BW345" s="419"/>
      <c r="BX345" s="421"/>
      <c r="BY345" s="421"/>
      <c r="BZ345" s="419"/>
      <c r="CA345" s="419"/>
      <c r="CB345" s="421"/>
      <c r="CC345" s="421"/>
      <c r="CD345" s="419"/>
      <c r="CE345" s="419"/>
      <c r="CF345" s="421"/>
      <c r="CG345" s="421"/>
      <c r="CH345" s="419"/>
      <c r="CI345" s="419"/>
      <c r="CJ345" s="421"/>
      <c r="CK345" s="421"/>
      <c r="CL345" s="419"/>
      <c r="CM345" s="421"/>
      <c r="CN345" s="424">
        <f t="shared" si="149"/>
        <v>0</v>
      </c>
      <c r="CO345" s="424">
        <f t="shared" si="150"/>
        <v>0</v>
      </c>
      <c r="CP345" s="425">
        <f t="shared" si="151"/>
        <v>0</v>
      </c>
      <c r="CQ345" s="425">
        <f t="shared" si="152"/>
        <v>0</v>
      </c>
      <c r="CR345" s="419"/>
      <c r="CS345" s="419"/>
      <c r="CT345" s="421"/>
      <c r="CU345" s="421"/>
      <c r="CV345" s="419"/>
      <c r="CW345" s="419"/>
      <c r="CX345" s="421"/>
      <c r="CY345" s="421"/>
      <c r="CZ345" s="419"/>
      <c r="DA345" s="419"/>
      <c r="DB345" s="421"/>
      <c r="DC345" s="421"/>
      <c r="DD345" s="419"/>
      <c r="DE345" s="419"/>
      <c r="DF345" s="421"/>
      <c r="DG345" s="421"/>
      <c r="DH345" s="419"/>
      <c r="DI345" s="419"/>
      <c r="DJ345" s="421"/>
      <c r="DK345" s="421"/>
      <c r="DL345" s="419"/>
      <c r="DM345" s="419"/>
      <c r="DN345" s="421"/>
      <c r="DO345" s="421"/>
      <c r="DP345" s="419"/>
      <c r="DQ345" s="419"/>
      <c r="DR345" s="421"/>
      <c r="DS345" s="421"/>
      <c r="DT345" s="419"/>
      <c r="DU345" s="419"/>
      <c r="DV345" s="421"/>
      <c r="DW345" s="421"/>
      <c r="DX345" s="419"/>
      <c r="DY345" s="419"/>
      <c r="DZ345" s="421"/>
      <c r="EA345" s="421"/>
      <c r="EB345" s="419"/>
      <c r="EC345" s="419"/>
      <c r="ED345" s="421"/>
      <c r="EE345" s="421"/>
      <c r="EF345" s="419"/>
      <c r="EG345" s="421"/>
      <c r="EH345" s="424">
        <f t="shared" si="153"/>
        <v>0</v>
      </c>
      <c r="EI345" s="424">
        <f t="shared" si="154"/>
        <v>0</v>
      </c>
      <c r="EJ345" s="422">
        <f t="shared" si="155"/>
        <v>0</v>
      </c>
      <c r="EK345" s="425">
        <f t="shared" si="156"/>
        <v>0</v>
      </c>
      <c r="EL345" s="425">
        <f t="shared" si="157"/>
        <v>0</v>
      </c>
      <c r="EM345" s="423">
        <f t="shared" si="158"/>
        <v>0</v>
      </c>
      <c r="EN345" s="424">
        <f t="shared" si="159"/>
        <v>0</v>
      </c>
      <c r="EO345" s="425">
        <f t="shared" si="160"/>
        <v>0</v>
      </c>
      <c r="EP345" s="419"/>
      <c r="EQ345" s="421"/>
      <c r="ER345" s="419"/>
      <c r="ES345" s="421"/>
      <c r="ET345" s="419"/>
      <c r="EU345" s="421"/>
      <c r="EV345" s="419"/>
      <c r="EW345" s="421"/>
      <c r="EX345" s="419"/>
      <c r="EY345" s="421"/>
      <c r="EZ345" s="419"/>
      <c r="FA345" s="421"/>
      <c r="FB345" s="419"/>
      <c r="FC345" s="421"/>
      <c r="FD345" s="419"/>
      <c r="FE345" s="421"/>
      <c r="FF345" s="419"/>
      <c r="FG345" s="421"/>
      <c r="FH345" s="419"/>
      <c r="FI345" s="421"/>
      <c r="FJ345" s="424">
        <f t="shared" si="161"/>
        <v>0</v>
      </c>
      <c r="FK345" s="425">
        <f t="shared" si="162"/>
        <v>0</v>
      </c>
      <c r="FL345" s="419"/>
      <c r="FM345" s="421"/>
      <c r="FN345" s="424">
        <f t="shared" si="163"/>
        <v>227</v>
      </c>
      <c r="FO345" s="425">
        <f t="shared" si="164"/>
        <v>357</v>
      </c>
    </row>
    <row r="346" spans="1:171">
      <c r="A346" s="427" t="s">
        <v>163</v>
      </c>
      <c r="B346" s="57" t="s">
        <v>865</v>
      </c>
      <c r="C346" s="56"/>
      <c r="D346" s="55">
        <v>261384</v>
      </c>
      <c r="E346" s="55">
        <v>13</v>
      </c>
      <c r="F346" s="419">
        <v>364</v>
      </c>
      <c r="G346" s="420">
        <v>460</v>
      </c>
      <c r="H346" s="419"/>
      <c r="I346" s="421"/>
      <c r="J346" s="419"/>
      <c r="K346" s="421"/>
      <c r="L346" s="422">
        <f t="shared" si="143"/>
        <v>0</v>
      </c>
      <c r="M346" s="423">
        <f t="shared" si="144"/>
        <v>0</v>
      </c>
      <c r="N346" s="419"/>
      <c r="O346" s="309">
        <f>0</f>
        <v>0</v>
      </c>
      <c r="P346" s="309">
        <f>0</f>
        <v>0</v>
      </c>
      <c r="Q346" s="309">
        <f>0</f>
        <v>0</v>
      </c>
      <c r="R346" s="424">
        <f t="shared" si="141"/>
        <v>0</v>
      </c>
      <c r="S346" s="421"/>
      <c r="T346" s="301">
        <f>0</f>
        <v>0</v>
      </c>
      <c r="U346" s="301">
        <f>0</f>
        <v>0</v>
      </c>
      <c r="V346" s="301">
        <f>0</f>
        <v>0</v>
      </c>
      <c r="W346" s="425">
        <f t="shared" si="142"/>
        <v>0</v>
      </c>
      <c r="X346" s="419"/>
      <c r="Y346" s="419"/>
      <c r="Z346" s="421"/>
      <c r="AA346" s="421"/>
      <c r="AB346" s="419"/>
      <c r="AC346" s="419"/>
      <c r="AD346" s="421"/>
      <c r="AE346" s="421"/>
      <c r="AF346" s="419"/>
      <c r="AG346" s="419"/>
      <c r="AH346" s="421"/>
      <c r="AI346" s="421"/>
      <c r="AJ346" s="419"/>
      <c r="AK346" s="419"/>
      <c r="AL346" s="421"/>
      <c r="AM346" s="421"/>
      <c r="AN346" s="419"/>
      <c r="AO346" s="419"/>
      <c r="AP346" s="421"/>
      <c r="AQ346" s="421"/>
      <c r="AR346" s="424">
        <f t="shared" si="145"/>
        <v>0</v>
      </c>
      <c r="AS346" s="422">
        <f t="shared" si="146"/>
        <v>0</v>
      </c>
      <c r="AT346" s="425">
        <f t="shared" si="147"/>
        <v>0</v>
      </c>
      <c r="AU346" s="423">
        <f t="shared" si="148"/>
        <v>0</v>
      </c>
      <c r="AV346" s="419"/>
      <c r="AW346" s="421"/>
      <c r="AX346" s="419"/>
      <c r="AY346" s="419"/>
      <c r="AZ346" s="421"/>
      <c r="BA346" s="421"/>
      <c r="BB346" s="419"/>
      <c r="BC346" s="419"/>
      <c r="BD346" s="421"/>
      <c r="BE346" s="421"/>
      <c r="BF346" s="419"/>
      <c r="BG346" s="419"/>
      <c r="BH346" s="421"/>
      <c r="BI346" s="421"/>
      <c r="BJ346" s="419"/>
      <c r="BK346" s="419"/>
      <c r="BL346" s="421"/>
      <c r="BM346" s="421"/>
      <c r="BN346" s="419"/>
      <c r="BO346" s="419"/>
      <c r="BP346" s="421"/>
      <c r="BQ346" s="421"/>
      <c r="BR346" s="419"/>
      <c r="BS346" s="419"/>
      <c r="BT346" s="421"/>
      <c r="BU346" s="421"/>
      <c r="BV346" s="419"/>
      <c r="BW346" s="419"/>
      <c r="BX346" s="421"/>
      <c r="BY346" s="421"/>
      <c r="BZ346" s="419"/>
      <c r="CA346" s="419"/>
      <c r="CB346" s="421"/>
      <c r="CC346" s="421"/>
      <c r="CD346" s="419"/>
      <c r="CE346" s="419"/>
      <c r="CF346" s="421"/>
      <c r="CG346" s="421"/>
      <c r="CH346" s="419"/>
      <c r="CI346" s="419"/>
      <c r="CJ346" s="421"/>
      <c r="CK346" s="421"/>
      <c r="CL346" s="419"/>
      <c r="CM346" s="421"/>
      <c r="CN346" s="424">
        <f t="shared" si="149"/>
        <v>0</v>
      </c>
      <c r="CO346" s="424">
        <f t="shared" si="150"/>
        <v>0</v>
      </c>
      <c r="CP346" s="425">
        <f t="shared" si="151"/>
        <v>0</v>
      </c>
      <c r="CQ346" s="425">
        <f t="shared" si="152"/>
        <v>0</v>
      </c>
      <c r="CR346" s="419"/>
      <c r="CS346" s="419"/>
      <c r="CT346" s="421"/>
      <c r="CU346" s="421"/>
      <c r="CV346" s="419"/>
      <c r="CW346" s="419"/>
      <c r="CX346" s="421"/>
      <c r="CY346" s="421"/>
      <c r="CZ346" s="419"/>
      <c r="DA346" s="419"/>
      <c r="DB346" s="421"/>
      <c r="DC346" s="421"/>
      <c r="DD346" s="419"/>
      <c r="DE346" s="419"/>
      <c r="DF346" s="421"/>
      <c r="DG346" s="421"/>
      <c r="DH346" s="419"/>
      <c r="DI346" s="419"/>
      <c r="DJ346" s="421"/>
      <c r="DK346" s="421"/>
      <c r="DL346" s="419"/>
      <c r="DM346" s="419"/>
      <c r="DN346" s="421"/>
      <c r="DO346" s="421"/>
      <c r="DP346" s="419"/>
      <c r="DQ346" s="419"/>
      <c r="DR346" s="421"/>
      <c r="DS346" s="421"/>
      <c r="DT346" s="419"/>
      <c r="DU346" s="419"/>
      <c r="DV346" s="421"/>
      <c r="DW346" s="421"/>
      <c r="DX346" s="419"/>
      <c r="DY346" s="419"/>
      <c r="DZ346" s="421"/>
      <c r="EA346" s="421"/>
      <c r="EB346" s="419"/>
      <c r="EC346" s="419"/>
      <c r="ED346" s="421"/>
      <c r="EE346" s="421"/>
      <c r="EF346" s="419"/>
      <c r="EG346" s="421"/>
      <c r="EH346" s="424">
        <f t="shared" si="153"/>
        <v>0</v>
      </c>
      <c r="EI346" s="424">
        <f t="shared" si="154"/>
        <v>0</v>
      </c>
      <c r="EJ346" s="422">
        <f t="shared" si="155"/>
        <v>0</v>
      </c>
      <c r="EK346" s="425">
        <f t="shared" si="156"/>
        <v>0</v>
      </c>
      <c r="EL346" s="425">
        <f t="shared" si="157"/>
        <v>0</v>
      </c>
      <c r="EM346" s="423">
        <f t="shared" si="158"/>
        <v>0</v>
      </c>
      <c r="EN346" s="424">
        <f t="shared" si="159"/>
        <v>0</v>
      </c>
      <c r="EO346" s="425">
        <f t="shared" si="160"/>
        <v>0</v>
      </c>
      <c r="EP346" s="419"/>
      <c r="EQ346" s="421"/>
      <c r="ER346" s="419"/>
      <c r="ES346" s="421"/>
      <c r="ET346" s="419"/>
      <c r="EU346" s="421"/>
      <c r="EV346" s="419"/>
      <c r="EW346" s="421"/>
      <c r="EX346" s="419"/>
      <c r="EY346" s="421"/>
      <c r="EZ346" s="419"/>
      <c r="FA346" s="421"/>
      <c r="FB346" s="419"/>
      <c r="FC346" s="421"/>
      <c r="FD346" s="419"/>
      <c r="FE346" s="421"/>
      <c r="FF346" s="419"/>
      <c r="FG346" s="421"/>
      <c r="FH346" s="419"/>
      <c r="FI346" s="421"/>
      <c r="FJ346" s="424">
        <f t="shared" si="161"/>
        <v>0</v>
      </c>
      <c r="FK346" s="425">
        <f t="shared" si="162"/>
        <v>0</v>
      </c>
      <c r="FL346" s="419"/>
      <c r="FM346" s="421"/>
      <c r="FN346" s="424">
        <f t="shared" si="163"/>
        <v>364</v>
      </c>
      <c r="FO346" s="425">
        <f t="shared" si="164"/>
        <v>460</v>
      </c>
    </row>
    <row r="347" spans="1:171">
      <c r="A347" s="427" t="s">
        <v>163</v>
      </c>
      <c r="B347" s="52" t="s">
        <v>866</v>
      </c>
      <c r="C347" s="56"/>
      <c r="D347" s="8">
        <v>482273</v>
      </c>
      <c r="E347" s="55">
        <v>13</v>
      </c>
      <c r="F347" s="419">
        <v>88</v>
      </c>
      <c r="G347" s="420">
        <v>212</v>
      </c>
      <c r="H347" s="419"/>
      <c r="I347" s="421"/>
      <c r="J347" s="419"/>
      <c r="K347" s="421"/>
      <c r="L347" s="422">
        <f t="shared" si="143"/>
        <v>0</v>
      </c>
      <c r="M347" s="423">
        <f t="shared" si="144"/>
        <v>0</v>
      </c>
      <c r="N347" s="419"/>
      <c r="O347" s="309">
        <f>0</f>
        <v>0</v>
      </c>
      <c r="P347" s="309">
        <f>0</f>
        <v>0</v>
      </c>
      <c r="Q347" s="309">
        <f>0</f>
        <v>0</v>
      </c>
      <c r="R347" s="424">
        <f t="shared" si="141"/>
        <v>0</v>
      </c>
      <c r="S347" s="421"/>
      <c r="T347" s="301">
        <f>0</f>
        <v>0</v>
      </c>
      <c r="U347" s="301">
        <f>0</f>
        <v>0</v>
      </c>
      <c r="V347" s="301">
        <f>0</f>
        <v>0</v>
      </c>
      <c r="W347" s="425">
        <f t="shared" si="142"/>
        <v>0</v>
      </c>
      <c r="X347" s="419"/>
      <c r="Y347" s="419"/>
      <c r="Z347" s="421"/>
      <c r="AA347" s="421"/>
      <c r="AB347" s="419"/>
      <c r="AC347" s="419"/>
      <c r="AD347" s="421"/>
      <c r="AE347" s="421"/>
      <c r="AF347" s="419"/>
      <c r="AG347" s="419"/>
      <c r="AH347" s="421"/>
      <c r="AI347" s="421"/>
      <c r="AJ347" s="419"/>
      <c r="AK347" s="419"/>
      <c r="AL347" s="421"/>
      <c r="AM347" s="421"/>
      <c r="AN347" s="419"/>
      <c r="AO347" s="419"/>
      <c r="AP347" s="421"/>
      <c r="AQ347" s="421"/>
      <c r="AR347" s="424">
        <f t="shared" si="145"/>
        <v>0</v>
      </c>
      <c r="AS347" s="422">
        <f t="shared" si="146"/>
        <v>0</v>
      </c>
      <c r="AT347" s="425">
        <f t="shared" si="147"/>
        <v>0</v>
      </c>
      <c r="AU347" s="423">
        <f t="shared" si="148"/>
        <v>0</v>
      </c>
      <c r="AV347" s="419"/>
      <c r="AW347" s="421"/>
      <c r="AX347" s="419"/>
      <c r="AY347" s="419"/>
      <c r="AZ347" s="421"/>
      <c r="BA347" s="421"/>
      <c r="BB347" s="419"/>
      <c r="BC347" s="419"/>
      <c r="BD347" s="421"/>
      <c r="BE347" s="421"/>
      <c r="BF347" s="419"/>
      <c r="BG347" s="419"/>
      <c r="BH347" s="421"/>
      <c r="BI347" s="421"/>
      <c r="BJ347" s="419"/>
      <c r="BK347" s="419"/>
      <c r="BL347" s="421"/>
      <c r="BM347" s="421"/>
      <c r="BN347" s="419"/>
      <c r="BO347" s="419"/>
      <c r="BP347" s="421"/>
      <c r="BQ347" s="421"/>
      <c r="BR347" s="419"/>
      <c r="BS347" s="419"/>
      <c r="BT347" s="421"/>
      <c r="BU347" s="421"/>
      <c r="BV347" s="419"/>
      <c r="BW347" s="419"/>
      <c r="BX347" s="421"/>
      <c r="BY347" s="421"/>
      <c r="BZ347" s="419"/>
      <c r="CA347" s="419"/>
      <c r="CB347" s="421"/>
      <c r="CC347" s="421"/>
      <c r="CD347" s="419"/>
      <c r="CE347" s="419"/>
      <c r="CF347" s="421"/>
      <c r="CG347" s="421"/>
      <c r="CH347" s="419"/>
      <c r="CI347" s="419"/>
      <c r="CJ347" s="421"/>
      <c r="CK347" s="421"/>
      <c r="CL347" s="419"/>
      <c r="CM347" s="421"/>
      <c r="CN347" s="424">
        <f t="shared" si="149"/>
        <v>0</v>
      </c>
      <c r="CO347" s="424">
        <f t="shared" si="150"/>
        <v>0</v>
      </c>
      <c r="CP347" s="425">
        <f t="shared" si="151"/>
        <v>0</v>
      </c>
      <c r="CQ347" s="425">
        <f t="shared" si="152"/>
        <v>0</v>
      </c>
      <c r="CR347" s="419"/>
      <c r="CS347" s="419"/>
      <c r="CT347" s="421"/>
      <c r="CU347" s="421"/>
      <c r="CV347" s="419"/>
      <c r="CW347" s="419"/>
      <c r="CX347" s="421"/>
      <c r="CY347" s="421"/>
      <c r="CZ347" s="419"/>
      <c r="DA347" s="419"/>
      <c r="DB347" s="421"/>
      <c r="DC347" s="421"/>
      <c r="DD347" s="419"/>
      <c r="DE347" s="419"/>
      <c r="DF347" s="421"/>
      <c r="DG347" s="421"/>
      <c r="DH347" s="419"/>
      <c r="DI347" s="419"/>
      <c r="DJ347" s="421"/>
      <c r="DK347" s="421"/>
      <c r="DL347" s="419"/>
      <c r="DM347" s="419"/>
      <c r="DN347" s="421"/>
      <c r="DO347" s="421"/>
      <c r="DP347" s="419"/>
      <c r="DQ347" s="419"/>
      <c r="DR347" s="421"/>
      <c r="DS347" s="421"/>
      <c r="DT347" s="419"/>
      <c r="DU347" s="419"/>
      <c r="DV347" s="421"/>
      <c r="DW347" s="421"/>
      <c r="DX347" s="419"/>
      <c r="DY347" s="419"/>
      <c r="DZ347" s="421"/>
      <c r="EA347" s="421"/>
      <c r="EB347" s="419"/>
      <c r="EC347" s="419"/>
      <c r="ED347" s="421"/>
      <c r="EE347" s="421"/>
      <c r="EF347" s="419"/>
      <c r="EG347" s="421"/>
      <c r="EH347" s="424">
        <f t="shared" si="153"/>
        <v>0</v>
      </c>
      <c r="EI347" s="424">
        <f t="shared" si="154"/>
        <v>0</v>
      </c>
      <c r="EJ347" s="422">
        <f t="shared" si="155"/>
        <v>0</v>
      </c>
      <c r="EK347" s="425">
        <f t="shared" si="156"/>
        <v>0</v>
      </c>
      <c r="EL347" s="425">
        <f t="shared" si="157"/>
        <v>0</v>
      </c>
      <c r="EM347" s="423">
        <f t="shared" si="158"/>
        <v>0</v>
      </c>
      <c r="EN347" s="424">
        <f t="shared" si="159"/>
        <v>0</v>
      </c>
      <c r="EO347" s="425">
        <f t="shared" si="160"/>
        <v>0</v>
      </c>
      <c r="EP347" s="419"/>
      <c r="EQ347" s="421"/>
      <c r="ER347" s="419"/>
      <c r="ES347" s="421"/>
      <c r="ET347" s="419"/>
      <c r="EU347" s="421"/>
      <c r="EV347" s="419"/>
      <c r="EW347" s="421"/>
      <c r="EX347" s="419"/>
      <c r="EY347" s="421"/>
      <c r="EZ347" s="419"/>
      <c r="FA347" s="421"/>
      <c r="FB347" s="419"/>
      <c r="FC347" s="421"/>
      <c r="FD347" s="419"/>
      <c r="FE347" s="421"/>
      <c r="FF347" s="419"/>
      <c r="FG347" s="421"/>
      <c r="FH347" s="419"/>
      <c r="FI347" s="421"/>
      <c r="FJ347" s="424">
        <f t="shared" si="161"/>
        <v>0</v>
      </c>
      <c r="FK347" s="425">
        <f t="shared" si="162"/>
        <v>0</v>
      </c>
      <c r="FL347" s="419"/>
      <c r="FM347" s="421"/>
      <c r="FN347" s="424">
        <f t="shared" si="163"/>
        <v>88</v>
      </c>
      <c r="FO347" s="425">
        <f t="shared" si="164"/>
        <v>212</v>
      </c>
    </row>
    <row r="348" spans="1:171">
      <c r="A348" s="51" t="s">
        <v>163</v>
      </c>
      <c r="B348" s="57" t="s">
        <v>867</v>
      </c>
      <c r="C348" s="56"/>
      <c r="D348" s="55">
        <v>418357</v>
      </c>
      <c r="E348" s="55">
        <v>13</v>
      </c>
      <c r="F348" s="304">
        <v>103</v>
      </c>
      <c r="G348" s="421">
        <v>90</v>
      </c>
      <c r="H348" s="419"/>
      <c r="I348" s="421"/>
      <c r="J348" s="419"/>
      <c r="K348" s="421"/>
      <c r="L348" s="422">
        <f t="shared" si="143"/>
        <v>0</v>
      </c>
      <c r="M348" s="423">
        <f t="shared" si="144"/>
        <v>0</v>
      </c>
      <c r="N348" s="419"/>
      <c r="O348" s="309">
        <f>0</f>
        <v>0</v>
      </c>
      <c r="P348" s="309">
        <f>0</f>
        <v>0</v>
      </c>
      <c r="Q348" s="309">
        <f>0</f>
        <v>0</v>
      </c>
      <c r="R348" s="424">
        <f t="shared" si="141"/>
        <v>0</v>
      </c>
      <c r="S348" s="421"/>
      <c r="T348" s="301">
        <f>0</f>
        <v>0</v>
      </c>
      <c r="U348" s="301">
        <f>0</f>
        <v>0</v>
      </c>
      <c r="V348" s="301">
        <f>0</f>
        <v>0</v>
      </c>
      <c r="W348" s="425">
        <f t="shared" si="142"/>
        <v>0</v>
      </c>
      <c r="X348" s="419"/>
      <c r="Y348" s="419"/>
      <c r="Z348" s="421"/>
      <c r="AA348" s="421"/>
      <c r="AB348" s="419"/>
      <c r="AC348" s="419"/>
      <c r="AD348" s="421"/>
      <c r="AE348" s="421"/>
      <c r="AF348" s="419"/>
      <c r="AG348" s="419"/>
      <c r="AH348" s="421"/>
      <c r="AI348" s="421"/>
      <c r="AJ348" s="419"/>
      <c r="AK348" s="419"/>
      <c r="AL348" s="421"/>
      <c r="AM348" s="421"/>
      <c r="AN348" s="419"/>
      <c r="AO348" s="419"/>
      <c r="AP348" s="421"/>
      <c r="AQ348" s="421"/>
      <c r="AR348" s="424">
        <f t="shared" si="145"/>
        <v>0</v>
      </c>
      <c r="AS348" s="422">
        <f t="shared" si="146"/>
        <v>0</v>
      </c>
      <c r="AT348" s="425">
        <f t="shared" si="147"/>
        <v>0</v>
      </c>
      <c r="AU348" s="423">
        <f t="shared" si="148"/>
        <v>0</v>
      </c>
      <c r="AV348" s="419"/>
      <c r="AW348" s="421"/>
      <c r="AX348" s="419"/>
      <c r="AY348" s="419"/>
      <c r="AZ348" s="421"/>
      <c r="BA348" s="421"/>
      <c r="BB348" s="419"/>
      <c r="BC348" s="419"/>
      <c r="BD348" s="421"/>
      <c r="BE348" s="421"/>
      <c r="BF348" s="419"/>
      <c r="BG348" s="419"/>
      <c r="BH348" s="421"/>
      <c r="BI348" s="421"/>
      <c r="BJ348" s="419"/>
      <c r="BK348" s="419"/>
      <c r="BL348" s="421"/>
      <c r="BM348" s="421"/>
      <c r="BN348" s="419"/>
      <c r="BO348" s="419"/>
      <c r="BP348" s="421"/>
      <c r="BQ348" s="421"/>
      <c r="BR348" s="419"/>
      <c r="BS348" s="419"/>
      <c r="BT348" s="421"/>
      <c r="BU348" s="421"/>
      <c r="BV348" s="419"/>
      <c r="BW348" s="419"/>
      <c r="BX348" s="421"/>
      <c r="BY348" s="421"/>
      <c r="BZ348" s="419"/>
      <c r="CA348" s="419"/>
      <c r="CB348" s="421"/>
      <c r="CC348" s="421"/>
      <c r="CD348" s="419"/>
      <c r="CE348" s="419"/>
      <c r="CF348" s="421"/>
      <c r="CG348" s="421"/>
      <c r="CH348" s="419"/>
      <c r="CI348" s="419"/>
      <c r="CJ348" s="421"/>
      <c r="CK348" s="421"/>
      <c r="CL348" s="419"/>
      <c r="CM348" s="421"/>
      <c r="CN348" s="424">
        <f t="shared" si="149"/>
        <v>0</v>
      </c>
      <c r="CO348" s="424">
        <f t="shared" si="150"/>
        <v>0</v>
      </c>
      <c r="CP348" s="425">
        <f t="shared" si="151"/>
        <v>0</v>
      </c>
      <c r="CQ348" s="425">
        <f t="shared" si="152"/>
        <v>0</v>
      </c>
      <c r="CR348" s="419"/>
      <c r="CS348" s="419"/>
      <c r="CT348" s="421"/>
      <c r="CU348" s="421"/>
      <c r="CV348" s="419"/>
      <c r="CW348" s="419"/>
      <c r="CX348" s="421"/>
      <c r="CY348" s="421"/>
      <c r="CZ348" s="419"/>
      <c r="DA348" s="419"/>
      <c r="DB348" s="421"/>
      <c r="DC348" s="421"/>
      <c r="DD348" s="419"/>
      <c r="DE348" s="419"/>
      <c r="DF348" s="421"/>
      <c r="DG348" s="421"/>
      <c r="DH348" s="419"/>
      <c r="DI348" s="419"/>
      <c r="DJ348" s="421"/>
      <c r="DK348" s="421"/>
      <c r="DL348" s="419"/>
      <c r="DM348" s="419"/>
      <c r="DN348" s="421"/>
      <c r="DO348" s="421"/>
      <c r="DP348" s="419"/>
      <c r="DQ348" s="419"/>
      <c r="DR348" s="421"/>
      <c r="DS348" s="421"/>
      <c r="DT348" s="419"/>
      <c r="DU348" s="419"/>
      <c r="DV348" s="421"/>
      <c r="DW348" s="421"/>
      <c r="DX348" s="419"/>
      <c r="DY348" s="419"/>
      <c r="DZ348" s="421"/>
      <c r="EA348" s="421"/>
      <c r="EB348" s="419"/>
      <c r="EC348" s="419"/>
      <c r="ED348" s="421"/>
      <c r="EE348" s="421"/>
      <c r="EF348" s="419"/>
      <c r="EG348" s="421"/>
      <c r="EH348" s="424">
        <f t="shared" si="153"/>
        <v>0</v>
      </c>
      <c r="EI348" s="424">
        <f t="shared" si="154"/>
        <v>0</v>
      </c>
      <c r="EJ348" s="422">
        <f t="shared" si="155"/>
        <v>0</v>
      </c>
      <c r="EK348" s="425">
        <f t="shared" si="156"/>
        <v>0</v>
      </c>
      <c r="EL348" s="425">
        <f t="shared" si="157"/>
        <v>0</v>
      </c>
      <c r="EM348" s="423">
        <f t="shared" si="158"/>
        <v>0</v>
      </c>
      <c r="EN348" s="424">
        <f t="shared" si="159"/>
        <v>0</v>
      </c>
      <c r="EO348" s="425">
        <f t="shared" si="160"/>
        <v>0</v>
      </c>
      <c r="EP348" s="419"/>
      <c r="EQ348" s="421"/>
      <c r="ER348" s="419"/>
      <c r="ES348" s="421"/>
      <c r="ET348" s="419"/>
      <c r="EU348" s="421"/>
      <c r="EV348" s="419"/>
      <c r="EW348" s="421"/>
      <c r="EX348" s="419"/>
      <c r="EY348" s="421"/>
      <c r="EZ348" s="419"/>
      <c r="FA348" s="421"/>
      <c r="FB348" s="419"/>
      <c r="FC348" s="421"/>
      <c r="FD348" s="419"/>
      <c r="FE348" s="421"/>
      <c r="FF348" s="419"/>
      <c r="FG348" s="421"/>
      <c r="FH348" s="419"/>
      <c r="FI348" s="421"/>
      <c r="FJ348" s="424">
        <f t="shared" si="161"/>
        <v>0</v>
      </c>
      <c r="FK348" s="425">
        <f t="shared" si="162"/>
        <v>0</v>
      </c>
      <c r="FL348" s="419"/>
      <c r="FM348" s="421"/>
      <c r="FN348" s="424">
        <f t="shared" si="163"/>
        <v>103</v>
      </c>
      <c r="FO348" s="425">
        <f t="shared" si="164"/>
        <v>90</v>
      </c>
    </row>
    <row r="349" spans="1:171">
      <c r="A349" s="51" t="s">
        <v>163</v>
      </c>
      <c r="B349" s="57" t="s">
        <v>868</v>
      </c>
      <c r="C349" s="56"/>
      <c r="D349" s="55">
        <v>418302</v>
      </c>
      <c r="E349" s="55">
        <v>13</v>
      </c>
      <c r="F349" s="304">
        <v>190</v>
      </c>
      <c r="G349" s="420">
        <v>250</v>
      </c>
      <c r="H349" s="419">
        <v>8</v>
      </c>
      <c r="I349" s="420">
        <v>6</v>
      </c>
      <c r="J349" s="419"/>
      <c r="K349" s="421"/>
      <c r="L349" s="422">
        <f t="shared" si="143"/>
        <v>0</v>
      </c>
      <c r="M349" s="423">
        <f t="shared" si="144"/>
        <v>0</v>
      </c>
      <c r="N349" s="419"/>
      <c r="O349" s="309">
        <f>0</f>
        <v>0</v>
      </c>
      <c r="P349" s="309">
        <f>0</f>
        <v>0</v>
      </c>
      <c r="Q349" s="309">
        <f>0</f>
        <v>0</v>
      </c>
      <c r="R349" s="424">
        <f t="shared" si="141"/>
        <v>0</v>
      </c>
      <c r="S349" s="421"/>
      <c r="T349" s="301">
        <f>0</f>
        <v>0</v>
      </c>
      <c r="U349" s="301">
        <f>0</f>
        <v>0</v>
      </c>
      <c r="V349" s="301">
        <f>0</f>
        <v>0</v>
      </c>
      <c r="W349" s="425">
        <f t="shared" si="142"/>
        <v>0</v>
      </c>
      <c r="X349" s="419"/>
      <c r="Y349" s="419"/>
      <c r="Z349" s="421"/>
      <c r="AA349" s="421"/>
      <c r="AB349" s="419"/>
      <c r="AC349" s="419"/>
      <c r="AD349" s="421"/>
      <c r="AE349" s="421"/>
      <c r="AF349" s="419"/>
      <c r="AG349" s="419"/>
      <c r="AH349" s="421"/>
      <c r="AI349" s="421"/>
      <c r="AJ349" s="419"/>
      <c r="AK349" s="419"/>
      <c r="AL349" s="421"/>
      <c r="AM349" s="421"/>
      <c r="AN349" s="419"/>
      <c r="AO349" s="419"/>
      <c r="AP349" s="421"/>
      <c r="AQ349" s="421"/>
      <c r="AR349" s="424">
        <f t="shared" si="145"/>
        <v>0</v>
      </c>
      <c r="AS349" s="422">
        <f t="shared" si="146"/>
        <v>0</v>
      </c>
      <c r="AT349" s="425">
        <f t="shared" si="147"/>
        <v>0</v>
      </c>
      <c r="AU349" s="423">
        <f t="shared" si="148"/>
        <v>0</v>
      </c>
      <c r="AV349" s="419"/>
      <c r="AW349" s="421"/>
      <c r="AX349" s="419"/>
      <c r="AY349" s="419"/>
      <c r="AZ349" s="421"/>
      <c r="BA349" s="421"/>
      <c r="BB349" s="419"/>
      <c r="BC349" s="419"/>
      <c r="BD349" s="421"/>
      <c r="BE349" s="421"/>
      <c r="BF349" s="419"/>
      <c r="BG349" s="419"/>
      <c r="BH349" s="421"/>
      <c r="BI349" s="421"/>
      <c r="BJ349" s="419"/>
      <c r="BK349" s="419"/>
      <c r="BL349" s="421"/>
      <c r="BM349" s="421"/>
      <c r="BN349" s="419"/>
      <c r="BO349" s="419"/>
      <c r="BP349" s="421"/>
      <c r="BQ349" s="421"/>
      <c r="BR349" s="419"/>
      <c r="BS349" s="419"/>
      <c r="BT349" s="421"/>
      <c r="BU349" s="421"/>
      <c r="BV349" s="419"/>
      <c r="BW349" s="419"/>
      <c r="BX349" s="421"/>
      <c r="BY349" s="421"/>
      <c r="BZ349" s="419"/>
      <c r="CA349" s="419"/>
      <c r="CB349" s="421"/>
      <c r="CC349" s="421"/>
      <c r="CD349" s="419"/>
      <c r="CE349" s="419"/>
      <c r="CF349" s="421"/>
      <c r="CG349" s="421"/>
      <c r="CH349" s="419"/>
      <c r="CI349" s="419"/>
      <c r="CJ349" s="421"/>
      <c r="CK349" s="421"/>
      <c r="CL349" s="419"/>
      <c r="CM349" s="421"/>
      <c r="CN349" s="424">
        <f t="shared" si="149"/>
        <v>0</v>
      </c>
      <c r="CO349" s="424">
        <f t="shared" si="150"/>
        <v>0</v>
      </c>
      <c r="CP349" s="425">
        <f t="shared" si="151"/>
        <v>0</v>
      </c>
      <c r="CQ349" s="425">
        <f t="shared" si="152"/>
        <v>0</v>
      </c>
      <c r="CR349" s="419"/>
      <c r="CS349" s="419"/>
      <c r="CT349" s="421"/>
      <c r="CU349" s="421"/>
      <c r="CV349" s="419"/>
      <c r="CW349" s="419"/>
      <c r="CX349" s="421"/>
      <c r="CY349" s="421"/>
      <c r="CZ349" s="419"/>
      <c r="DA349" s="419"/>
      <c r="DB349" s="421"/>
      <c r="DC349" s="421"/>
      <c r="DD349" s="419"/>
      <c r="DE349" s="419"/>
      <c r="DF349" s="421"/>
      <c r="DG349" s="421"/>
      <c r="DH349" s="419"/>
      <c r="DI349" s="419"/>
      <c r="DJ349" s="421"/>
      <c r="DK349" s="421"/>
      <c r="DL349" s="419"/>
      <c r="DM349" s="419"/>
      <c r="DN349" s="421"/>
      <c r="DO349" s="421"/>
      <c r="DP349" s="419"/>
      <c r="DQ349" s="419"/>
      <c r="DR349" s="421"/>
      <c r="DS349" s="421"/>
      <c r="DT349" s="419"/>
      <c r="DU349" s="419"/>
      <c r="DV349" s="421"/>
      <c r="DW349" s="421"/>
      <c r="DX349" s="419"/>
      <c r="DY349" s="419"/>
      <c r="DZ349" s="421"/>
      <c r="EA349" s="421"/>
      <c r="EB349" s="419"/>
      <c r="EC349" s="419"/>
      <c r="ED349" s="421"/>
      <c r="EE349" s="421"/>
      <c r="EF349" s="419"/>
      <c r="EG349" s="421"/>
      <c r="EH349" s="424">
        <f t="shared" si="153"/>
        <v>0</v>
      </c>
      <c r="EI349" s="424">
        <f t="shared" si="154"/>
        <v>0</v>
      </c>
      <c r="EJ349" s="422">
        <f t="shared" si="155"/>
        <v>0</v>
      </c>
      <c r="EK349" s="425">
        <f t="shared" si="156"/>
        <v>0</v>
      </c>
      <c r="EL349" s="425">
        <f t="shared" si="157"/>
        <v>0</v>
      </c>
      <c r="EM349" s="423">
        <f t="shared" si="158"/>
        <v>0</v>
      </c>
      <c r="EN349" s="424">
        <f t="shared" si="159"/>
        <v>0</v>
      </c>
      <c r="EO349" s="425">
        <f t="shared" si="160"/>
        <v>0</v>
      </c>
      <c r="EP349" s="419"/>
      <c r="EQ349" s="421"/>
      <c r="ER349" s="419"/>
      <c r="ES349" s="421"/>
      <c r="ET349" s="419"/>
      <c r="EU349" s="421"/>
      <c r="EV349" s="419"/>
      <c r="EW349" s="421"/>
      <c r="EX349" s="419"/>
      <c r="EY349" s="421"/>
      <c r="EZ349" s="419"/>
      <c r="FA349" s="421"/>
      <c r="FB349" s="419"/>
      <c r="FC349" s="421"/>
      <c r="FD349" s="419"/>
      <c r="FE349" s="421"/>
      <c r="FF349" s="419"/>
      <c r="FG349" s="421"/>
      <c r="FH349" s="419"/>
      <c r="FI349" s="421"/>
      <c r="FJ349" s="424">
        <f t="shared" si="161"/>
        <v>0</v>
      </c>
      <c r="FK349" s="425">
        <f t="shared" si="162"/>
        <v>0</v>
      </c>
      <c r="FL349" s="419"/>
      <c r="FM349" s="421"/>
      <c r="FN349" s="424">
        <f t="shared" si="163"/>
        <v>198</v>
      </c>
      <c r="FO349" s="425">
        <f t="shared" si="164"/>
        <v>256</v>
      </c>
    </row>
    <row r="350" spans="1:171">
      <c r="A350" s="456" t="s">
        <v>164</v>
      </c>
      <c r="B350" s="27" t="s">
        <v>869</v>
      </c>
      <c r="C350" s="26"/>
      <c r="D350" s="25">
        <v>217882</v>
      </c>
      <c r="E350" s="25">
        <v>1</v>
      </c>
      <c r="F350" s="419">
        <v>155</v>
      </c>
      <c r="G350" s="421">
        <v>164</v>
      </c>
      <c r="H350" s="419"/>
      <c r="I350" s="421"/>
      <c r="J350" s="419"/>
      <c r="K350" s="421"/>
      <c r="L350" s="422">
        <f t="shared" si="143"/>
        <v>0</v>
      </c>
      <c r="M350" s="423">
        <f t="shared" si="144"/>
        <v>0</v>
      </c>
      <c r="N350" s="419">
        <v>4648</v>
      </c>
      <c r="O350" s="309">
        <f>0</f>
        <v>0</v>
      </c>
      <c r="P350" s="309">
        <f>0</f>
        <v>0</v>
      </c>
      <c r="Q350" s="309">
        <f>0</f>
        <v>0</v>
      </c>
      <c r="R350" s="424">
        <f t="shared" si="141"/>
        <v>0</v>
      </c>
      <c r="S350" s="421">
        <v>4929</v>
      </c>
      <c r="T350" s="301">
        <f>0</f>
        <v>0</v>
      </c>
      <c r="U350" s="301">
        <f>0</f>
        <v>0</v>
      </c>
      <c r="V350" s="301">
        <f>0</f>
        <v>0</v>
      </c>
      <c r="W350" s="425">
        <f t="shared" si="142"/>
        <v>0</v>
      </c>
      <c r="X350" s="419"/>
      <c r="Y350" s="419"/>
      <c r="Z350" s="421"/>
      <c r="AA350" s="421"/>
      <c r="AB350" s="419"/>
      <c r="AC350" s="419"/>
      <c r="AD350" s="421"/>
      <c r="AE350" s="421"/>
      <c r="AF350" s="419"/>
      <c r="AG350" s="419"/>
      <c r="AH350" s="421"/>
      <c r="AI350" s="421"/>
      <c r="AJ350" s="419"/>
      <c r="AK350" s="419"/>
      <c r="AL350" s="421"/>
      <c r="AM350" s="421"/>
      <c r="AN350" s="419"/>
      <c r="AO350" s="419"/>
      <c r="AP350" s="421"/>
      <c r="AQ350" s="421"/>
      <c r="AR350" s="424">
        <f t="shared" si="145"/>
        <v>0</v>
      </c>
      <c r="AS350" s="422">
        <f t="shared" si="146"/>
        <v>0.69053632446887536</v>
      </c>
      <c r="AT350" s="425">
        <f t="shared" si="147"/>
        <v>0</v>
      </c>
      <c r="AU350" s="423">
        <f t="shared" si="148"/>
        <v>0.69052956010086863</v>
      </c>
      <c r="AV350" s="419">
        <v>89</v>
      </c>
      <c r="AW350" s="420">
        <v>66</v>
      </c>
      <c r="AX350" s="419">
        <v>52</v>
      </c>
      <c r="AY350" s="419">
        <v>394</v>
      </c>
      <c r="AZ350" s="421">
        <v>52</v>
      </c>
      <c r="BA350" s="421">
        <v>412</v>
      </c>
      <c r="BB350" s="419">
        <v>14</v>
      </c>
      <c r="BC350" s="419">
        <v>334</v>
      </c>
      <c r="BD350" s="421">
        <v>14</v>
      </c>
      <c r="BE350" s="421">
        <v>370</v>
      </c>
      <c r="BF350" s="419">
        <v>13</v>
      </c>
      <c r="BG350" s="419">
        <v>272</v>
      </c>
      <c r="BH350" s="421">
        <v>13</v>
      </c>
      <c r="BI350" s="421">
        <v>292</v>
      </c>
      <c r="BJ350" s="419">
        <v>26</v>
      </c>
      <c r="BK350" s="419">
        <v>117</v>
      </c>
      <c r="BL350" s="421">
        <v>26</v>
      </c>
      <c r="BM350" s="421">
        <v>129</v>
      </c>
      <c r="BN350" s="419">
        <v>31</v>
      </c>
      <c r="BO350" s="419">
        <v>72</v>
      </c>
      <c r="BP350" s="421">
        <v>31</v>
      </c>
      <c r="BQ350" s="421">
        <v>86</v>
      </c>
      <c r="BR350" s="419">
        <v>51</v>
      </c>
      <c r="BS350" s="419">
        <v>69</v>
      </c>
      <c r="BT350" s="421">
        <v>51</v>
      </c>
      <c r="BU350" s="421">
        <v>70</v>
      </c>
      <c r="BV350" s="419">
        <v>11</v>
      </c>
      <c r="BW350" s="419">
        <v>62</v>
      </c>
      <c r="BX350" s="421">
        <v>11</v>
      </c>
      <c r="BY350" s="421">
        <v>66</v>
      </c>
      <c r="BZ350" s="419">
        <v>4</v>
      </c>
      <c r="CA350" s="419">
        <v>55</v>
      </c>
      <c r="CB350" s="421">
        <v>4</v>
      </c>
      <c r="CC350" s="421">
        <v>63</v>
      </c>
      <c r="CD350" s="419">
        <v>27</v>
      </c>
      <c r="CE350" s="419">
        <v>35</v>
      </c>
      <c r="CF350" s="421">
        <v>44</v>
      </c>
      <c r="CG350" s="420">
        <v>43</v>
      </c>
      <c r="CH350" s="419">
        <v>1</v>
      </c>
      <c r="CI350" s="419">
        <v>32</v>
      </c>
      <c r="CJ350" s="421">
        <v>3</v>
      </c>
      <c r="CK350" s="421">
        <v>28</v>
      </c>
      <c r="CL350" s="419">
        <v>154</v>
      </c>
      <c r="CM350" s="421">
        <v>171</v>
      </c>
      <c r="CN350" s="424">
        <f t="shared" si="149"/>
        <v>1596</v>
      </c>
      <c r="CO350" s="424">
        <f t="shared" si="150"/>
        <v>10</v>
      </c>
      <c r="CP350" s="425">
        <f t="shared" si="151"/>
        <v>1730</v>
      </c>
      <c r="CQ350" s="425">
        <f t="shared" si="152"/>
        <v>10</v>
      </c>
      <c r="CR350" s="419">
        <v>14</v>
      </c>
      <c r="CS350" s="419">
        <v>86</v>
      </c>
      <c r="CT350" s="421">
        <v>14</v>
      </c>
      <c r="CU350" s="421">
        <v>74</v>
      </c>
      <c r="CV350" s="419">
        <v>13</v>
      </c>
      <c r="CW350" s="419">
        <v>28</v>
      </c>
      <c r="CX350" s="421">
        <v>13</v>
      </c>
      <c r="CY350" s="421">
        <v>29</v>
      </c>
      <c r="CZ350" s="419">
        <v>40</v>
      </c>
      <c r="DA350" s="419">
        <v>19</v>
      </c>
      <c r="DB350" s="421">
        <v>40</v>
      </c>
      <c r="DC350" s="420">
        <v>24</v>
      </c>
      <c r="DD350" s="419">
        <v>26</v>
      </c>
      <c r="DE350" s="419">
        <v>16</v>
      </c>
      <c r="DF350" s="421">
        <v>26</v>
      </c>
      <c r="DG350" s="421">
        <v>18</v>
      </c>
      <c r="DH350" s="419">
        <v>45</v>
      </c>
      <c r="DI350" s="419">
        <v>15</v>
      </c>
      <c r="DJ350" s="421">
        <v>31</v>
      </c>
      <c r="DK350" s="421">
        <v>14</v>
      </c>
      <c r="DL350" s="419">
        <v>1</v>
      </c>
      <c r="DM350" s="419">
        <v>13</v>
      </c>
      <c r="DN350" s="421">
        <v>45</v>
      </c>
      <c r="DO350" s="421">
        <v>14</v>
      </c>
      <c r="DP350" s="419">
        <v>27</v>
      </c>
      <c r="DQ350" s="419">
        <v>12</v>
      </c>
      <c r="DR350" s="421">
        <v>11</v>
      </c>
      <c r="DS350" s="421">
        <v>10</v>
      </c>
      <c r="DT350" s="419">
        <v>42</v>
      </c>
      <c r="DU350" s="419">
        <v>10</v>
      </c>
      <c r="DV350" s="421">
        <v>19</v>
      </c>
      <c r="DW350" s="421">
        <v>10</v>
      </c>
      <c r="DX350" s="419">
        <v>31</v>
      </c>
      <c r="DY350" s="419">
        <v>8</v>
      </c>
      <c r="DZ350" s="421">
        <v>27</v>
      </c>
      <c r="EA350" s="420">
        <v>10</v>
      </c>
      <c r="EB350" s="419">
        <v>4</v>
      </c>
      <c r="EC350" s="419">
        <v>7</v>
      </c>
      <c r="ED350" s="421">
        <v>51</v>
      </c>
      <c r="EE350" s="420">
        <v>10</v>
      </c>
      <c r="EF350" s="419">
        <v>29</v>
      </c>
      <c r="EG350" s="420">
        <v>36</v>
      </c>
      <c r="EH350" s="424">
        <f t="shared" si="153"/>
        <v>243</v>
      </c>
      <c r="EI350" s="424">
        <f t="shared" si="154"/>
        <v>10</v>
      </c>
      <c r="EJ350" s="422">
        <f t="shared" si="155"/>
        <v>0.35390946502057613</v>
      </c>
      <c r="EK350" s="425">
        <f t="shared" si="156"/>
        <v>249</v>
      </c>
      <c r="EL350" s="425">
        <f t="shared" si="157"/>
        <v>10</v>
      </c>
      <c r="EM350" s="423">
        <f t="shared" si="158"/>
        <v>0.2971887550200803</v>
      </c>
      <c r="EN350" s="424">
        <f t="shared" si="159"/>
        <v>1839</v>
      </c>
      <c r="EO350" s="425">
        <f t="shared" si="160"/>
        <v>1979</v>
      </c>
      <c r="EP350" s="419"/>
      <c r="EQ350" s="421"/>
      <c r="ER350" s="419"/>
      <c r="ES350" s="421"/>
      <c r="ET350" s="419"/>
      <c r="EU350" s="421"/>
      <c r="EV350" s="419"/>
      <c r="EW350" s="421"/>
      <c r="EX350" s="419"/>
      <c r="EY350" s="421"/>
      <c r="EZ350" s="419"/>
      <c r="FA350" s="421"/>
      <c r="FB350" s="419"/>
      <c r="FC350" s="421"/>
      <c r="FD350" s="419"/>
      <c r="FE350" s="421"/>
      <c r="FF350" s="419"/>
      <c r="FG350" s="421"/>
      <c r="FH350" s="419"/>
      <c r="FI350" s="421"/>
      <c r="FJ350" s="424">
        <f t="shared" si="161"/>
        <v>0</v>
      </c>
      <c r="FK350" s="425">
        <f t="shared" si="162"/>
        <v>0</v>
      </c>
      <c r="FL350" s="419"/>
      <c r="FM350" s="421"/>
      <c r="FN350" s="424">
        <f t="shared" si="163"/>
        <v>6731</v>
      </c>
      <c r="FO350" s="425">
        <f t="shared" si="164"/>
        <v>7138</v>
      </c>
    </row>
    <row r="351" spans="1:171">
      <c r="A351" s="456" t="s">
        <v>164</v>
      </c>
      <c r="B351" s="27" t="s">
        <v>870</v>
      </c>
      <c r="C351" s="26"/>
      <c r="D351" s="25">
        <v>218663</v>
      </c>
      <c r="E351" s="25">
        <v>1</v>
      </c>
      <c r="F351" s="419">
        <v>17</v>
      </c>
      <c r="G351" s="420">
        <v>13</v>
      </c>
      <c r="H351" s="419"/>
      <c r="I351" s="421"/>
      <c r="J351" s="419"/>
      <c r="K351" s="420">
        <v>4</v>
      </c>
      <c r="L351" s="422">
        <f t="shared" si="143"/>
        <v>0</v>
      </c>
      <c r="M351" s="423">
        <f t="shared" si="144"/>
        <v>6.5135971340172616E-4</v>
      </c>
      <c r="N351" s="419">
        <v>6022</v>
      </c>
      <c r="O351" s="309">
        <f>0</f>
        <v>0</v>
      </c>
      <c r="P351" s="309">
        <f>0</f>
        <v>0</v>
      </c>
      <c r="Q351" s="309">
        <f>0</f>
        <v>0</v>
      </c>
      <c r="R351" s="424">
        <f t="shared" si="141"/>
        <v>0</v>
      </c>
      <c r="S351" s="421">
        <v>6141</v>
      </c>
      <c r="T351" s="301">
        <f>0</f>
        <v>0</v>
      </c>
      <c r="U351" s="301">
        <f>0</f>
        <v>0</v>
      </c>
      <c r="V351" s="301">
        <f>0</f>
        <v>0</v>
      </c>
      <c r="W351" s="425">
        <f t="shared" si="142"/>
        <v>0</v>
      </c>
      <c r="X351" s="419"/>
      <c r="Y351" s="419"/>
      <c r="Z351" s="421"/>
      <c r="AA351" s="421"/>
      <c r="AB351" s="419"/>
      <c r="AC351" s="419"/>
      <c r="AD351" s="421"/>
      <c r="AE351" s="421"/>
      <c r="AF351" s="419"/>
      <c r="AG351" s="419"/>
      <c r="AH351" s="421"/>
      <c r="AI351" s="421"/>
      <c r="AJ351" s="419"/>
      <c r="AK351" s="419"/>
      <c r="AL351" s="421"/>
      <c r="AM351" s="421"/>
      <c r="AN351" s="419"/>
      <c r="AO351" s="419"/>
      <c r="AP351" s="421"/>
      <c r="AQ351" s="421"/>
      <c r="AR351" s="424">
        <f t="shared" si="145"/>
        <v>0</v>
      </c>
      <c r="AS351" s="422">
        <f t="shared" si="146"/>
        <v>0.66866533422162999</v>
      </c>
      <c r="AT351" s="425">
        <f t="shared" si="147"/>
        <v>0</v>
      </c>
      <c r="AU351" s="423">
        <f t="shared" si="148"/>
        <v>0.68119800332778702</v>
      </c>
      <c r="AV351" s="419">
        <v>249</v>
      </c>
      <c r="AW351" s="421">
        <v>272</v>
      </c>
      <c r="AX351" s="419">
        <v>51</v>
      </c>
      <c r="AY351" s="419">
        <v>422</v>
      </c>
      <c r="AZ351" s="421">
        <v>51</v>
      </c>
      <c r="BA351" s="421">
        <v>444</v>
      </c>
      <c r="BB351" s="419">
        <v>52</v>
      </c>
      <c r="BC351" s="419">
        <v>395</v>
      </c>
      <c r="BD351" s="421">
        <v>52</v>
      </c>
      <c r="BE351" s="421">
        <v>350</v>
      </c>
      <c r="BF351" s="419">
        <v>13</v>
      </c>
      <c r="BG351" s="419">
        <v>255</v>
      </c>
      <c r="BH351" s="421">
        <v>13</v>
      </c>
      <c r="BI351" s="421">
        <v>217</v>
      </c>
      <c r="BJ351" s="419">
        <v>44</v>
      </c>
      <c r="BK351" s="419">
        <v>247</v>
      </c>
      <c r="BL351" s="421">
        <v>44</v>
      </c>
      <c r="BM351" s="421">
        <v>205</v>
      </c>
      <c r="BN351" s="419">
        <v>25</v>
      </c>
      <c r="BO351" s="419">
        <v>113</v>
      </c>
      <c r="BP351" s="421">
        <v>25</v>
      </c>
      <c r="BQ351" s="421">
        <v>116</v>
      </c>
      <c r="BR351" s="419">
        <v>14</v>
      </c>
      <c r="BS351" s="419">
        <v>66</v>
      </c>
      <c r="BT351" s="421">
        <v>14</v>
      </c>
      <c r="BU351" s="421">
        <v>55</v>
      </c>
      <c r="BV351" s="419">
        <v>50</v>
      </c>
      <c r="BW351" s="419">
        <v>49</v>
      </c>
      <c r="BX351" s="421">
        <v>26</v>
      </c>
      <c r="BY351" s="421">
        <v>52</v>
      </c>
      <c r="BZ351" s="419">
        <v>26</v>
      </c>
      <c r="CA351" s="419">
        <v>46</v>
      </c>
      <c r="CB351" s="421">
        <v>50</v>
      </c>
      <c r="CC351" s="421">
        <v>38</v>
      </c>
      <c r="CD351" s="419">
        <v>31</v>
      </c>
      <c r="CE351" s="419">
        <v>42</v>
      </c>
      <c r="CF351" s="421">
        <v>31</v>
      </c>
      <c r="CG351" s="421">
        <v>36</v>
      </c>
      <c r="CH351" s="419">
        <v>45</v>
      </c>
      <c r="CI351" s="419">
        <v>34</v>
      </c>
      <c r="CJ351" s="421">
        <v>27</v>
      </c>
      <c r="CK351" s="420">
        <v>23</v>
      </c>
      <c r="CL351" s="419">
        <v>130</v>
      </c>
      <c r="CM351" s="421">
        <v>119</v>
      </c>
      <c r="CN351" s="424">
        <f t="shared" si="149"/>
        <v>1799</v>
      </c>
      <c r="CO351" s="424">
        <f t="shared" si="150"/>
        <v>10</v>
      </c>
      <c r="CP351" s="425">
        <f t="shared" si="151"/>
        <v>1655</v>
      </c>
      <c r="CQ351" s="425">
        <f t="shared" si="152"/>
        <v>10</v>
      </c>
      <c r="CR351" s="419">
        <v>13</v>
      </c>
      <c r="CS351" s="419">
        <v>114</v>
      </c>
      <c r="CT351" s="421">
        <v>13</v>
      </c>
      <c r="CU351" s="420">
        <v>90</v>
      </c>
      <c r="CV351" s="419">
        <v>51</v>
      </c>
      <c r="CW351" s="419">
        <v>81</v>
      </c>
      <c r="CX351" s="421">
        <v>51</v>
      </c>
      <c r="CY351" s="421">
        <v>85</v>
      </c>
      <c r="CZ351" s="419">
        <v>14</v>
      </c>
      <c r="DA351" s="419">
        <v>45</v>
      </c>
      <c r="DB351" s="421">
        <v>14</v>
      </c>
      <c r="DC351" s="421">
        <v>49</v>
      </c>
      <c r="DD351" s="419">
        <v>40</v>
      </c>
      <c r="DE351" s="419">
        <v>38</v>
      </c>
      <c r="DF351" s="421">
        <v>26</v>
      </c>
      <c r="DG351" s="420">
        <v>46</v>
      </c>
      <c r="DH351" s="419">
        <v>26</v>
      </c>
      <c r="DI351" s="419">
        <v>23</v>
      </c>
      <c r="DJ351" s="421">
        <v>40</v>
      </c>
      <c r="DK351" s="420">
        <v>36</v>
      </c>
      <c r="DL351" s="419">
        <v>45</v>
      </c>
      <c r="DM351" s="419">
        <v>20</v>
      </c>
      <c r="DN351" s="421">
        <v>45</v>
      </c>
      <c r="DO351" s="421">
        <v>24</v>
      </c>
      <c r="DP351" s="419">
        <v>27</v>
      </c>
      <c r="DQ351" s="419">
        <v>19</v>
      </c>
      <c r="DR351" s="421">
        <v>50</v>
      </c>
      <c r="DS351" s="421">
        <v>21</v>
      </c>
      <c r="DT351" s="419">
        <v>42</v>
      </c>
      <c r="DU351" s="419">
        <v>19</v>
      </c>
      <c r="DV351" s="421">
        <v>27</v>
      </c>
      <c r="DW351" s="421">
        <v>20</v>
      </c>
      <c r="DX351" s="419">
        <v>50</v>
      </c>
      <c r="DY351" s="419">
        <v>19</v>
      </c>
      <c r="DZ351" s="421">
        <v>52</v>
      </c>
      <c r="EA351" s="421">
        <v>18</v>
      </c>
      <c r="EB351" s="419">
        <v>23</v>
      </c>
      <c r="EC351" s="419">
        <v>13</v>
      </c>
      <c r="ED351" s="421">
        <v>42</v>
      </c>
      <c r="EE351" s="420">
        <v>17</v>
      </c>
      <c r="EF351" s="419">
        <v>40</v>
      </c>
      <c r="EG351" s="421">
        <v>32</v>
      </c>
      <c r="EH351" s="424">
        <f t="shared" si="153"/>
        <v>431</v>
      </c>
      <c r="EI351" s="424">
        <f t="shared" si="154"/>
        <v>10</v>
      </c>
      <c r="EJ351" s="422">
        <f t="shared" si="155"/>
        <v>0.26450116009280744</v>
      </c>
      <c r="EK351" s="425">
        <f t="shared" si="156"/>
        <v>438</v>
      </c>
      <c r="EL351" s="425">
        <f t="shared" si="157"/>
        <v>10</v>
      </c>
      <c r="EM351" s="423">
        <f t="shared" si="158"/>
        <v>0.20547945205479451</v>
      </c>
      <c r="EN351" s="424">
        <f t="shared" si="159"/>
        <v>2230</v>
      </c>
      <c r="EO351" s="425">
        <f t="shared" si="160"/>
        <v>2093</v>
      </c>
      <c r="EP351" s="419">
        <v>203</v>
      </c>
      <c r="EQ351" s="421">
        <v>202</v>
      </c>
      <c r="ER351" s="419">
        <v>179</v>
      </c>
      <c r="ES351" s="421">
        <v>187</v>
      </c>
      <c r="ET351" s="419"/>
      <c r="EU351" s="421"/>
      <c r="EV351" s="419">
        <v>106</v>
      </c>
      <c r="EW351" s="421">
        <v>103</v>
      </c>
      <c r="EX351" s="419"/>
      <c r="EY351" s="421"/>
      <c r="EZ351" s="419"/>
      <c r="FA351" s="421"/>
      <c r="FB351" s="419"/>
      <c r="FC351" s="421"/>
      <c r="FD351" s="419"/>
      <c r="FE351" s="421"/>
      <c r="FF351" s="419"/>
      <c r="FG351" s="421"/>
      <c r="FH351" s="419"/>
      <c r="FI351" s="421"/>
      <c r="FJ351" s="424">
        <f t="shared" si="161"/>
        <v>488</v>
      </c>
      <c r="FK351" s="425">
        <f t="shared" si="162"/>
        <v>492</v>
      </c>
      <c r="FL351" s="419"/>
      <c r="FM351" s="421"/>
      <c r="FN351" s="424">
        <f t="shared" si="163"/>
        <v>9006</v>
      </c>
      <c r="FO351" s="425">
        <f t="shared" si="164"/>
        <v>9015</v>
      </c>
    </row>
    <row r="352" spans="1:171">
      <c r="A352" s="456" t="s">
        <v>164</v>
      </c>
      <c r="B352" s="27" t="s">
        <v>871</v>
      </c>
      <c r="C352" s="26"/>
      <c r="D352" s="25">
        <v>217819</v>
      </c>
      <c r="E352" s="25">
        <v>3</v>
      </c>
      <c r="F352" s="419"/>
      <c r="G352" s="420">
        <v>2</v>
      </c>
      <c r="H352" s="419"/>
      <c r="I352" s="421"/>
      <c r="J352" s="419"/>
      <c r="K352" s="421"/>
      <c r="L352" s="422">
        <f t="shared" si="143"/>
        <v>0</v>
      </c>
      <c r="M352" s="423">
        <f t="shared" si="144"/>
        <v>0</v>
      </c>
      <c r="N352" s="419">
        <v>2245</v>
      </c>
      <c r="O352" s="309">
        <f>0</f>
        <v>0</v>
      </c>
      <c r="P352" s="309">
        <f>0</f>
        <v>0</v>
      </c>
      <c r="Q352" s="309">
        <f>0</f>
        <v>0</v>
      </c>
      <c r="R352" s="424">
        <f t="shared" si="141"/>
        <v>0</v>
      </c>
      <c r="S352" s="421">
        <v>2228</v>
      </c>
      <c r="T352" s="301">
        <f>0</f>
        <v>0</v>
      </c>
      <c r="U352" s="301">
        <f>0</f>
        <v>0</v>
      </c>
      <c r="V352" s="301">
        <f>0</f>
        <v>0</v>
      </c>
      <c r="W352" s="425">
        <f t="shared" si="142"/>
        <v>0</v>
      </c>
      <c r="X352" s="419"/>
      <c r="Y352" s="419"/>
      <c r="Z352" s="421"/>
      <c r="AA352" s="421"/>
      <c r="AB352" s="419"/>
      <c r="AC352" s="419"/>
      <c r="AD352" s="421"/>
      <c r="AE352" s="421"/>
      <c r="AF352" s="419"/>
      <c r="AG352" s="419"/>
      <c r="AH352" s="421"/>
      <c r="AI352" s="421"/>
      <c r="AJ352" s="419"/>
      <c r="AK352" s="419"/>
      <c r="AL352" s="421"/>
      <c r="AM352" s="421"/>
      <c r="AN352" s="419"/>
      <c r="AO352" s="419"/>
      <c r="AP352" s="421"/>
      <c r="AQ352" s="421"/>
      <c r="AR352" s="424">
        <f t="shared" si="145"/>
        <v>0</v>
      </c>
      <c r="AS352" s="422">
        <f t="shared" si="146"/>
        <v>0.90414820781312932</v>
      </c>
      <c r="AT352" s="425">
        <f t="shared" si="147"/>
        <v>0</v>
      </c>
      <c r="AU352" s="423">
        <f t="shared" si="148"/>
        <v>0.91990090834021465</v>
      </c>
      <c r="AV352" s="419">
        <v>28</v>
      </c>
      <c r="AW352" s="420">
        <v>7</v>
      </c>
      <c r="AX352" s="419">
        <v>52</v>
      </c>
      <c r="AY352" s="419">
        <v>58</v>
      </c>
      <c r="AZ352" s="421">
        <v>52</v>
      </c>
      <c r="BA352" s="421">
        <v>61</v>
      </c>
      <c r="BB352" s="419">
        <v>13</v>
      </c>
      <c r="BC352" s="419">
        <v>36</v>
      </c>
      <c r="BD352" s="421">
        <v>13</v>
      </c>
      <c r="BE352" s="420">
        <v>20</v>
      </c>
      <c r="BF352" s="419">
        <v>44</v>
      </c>
      <c r="BG352" s="419">
        <v>20</v>
      </c>
      <c r="BH352" s="421">
        <v>44</v>
      </c>
      <c r="BI352" s="421">
        <v>16</v>
      </c>
      <c r="BJ352" s="419">
        <v>11</v>
      </c>
      <c r="BK352" s="419">
        <v>18</v>
      </c>
      <c r="BL352" s="421">
        <v>3</v>
      </c>
      <c r="BM352" s="420">
        <v>14</v>
      </c>
      <c r="BN352" s="419">
        <v>3</v>
      </c>
      <c r="BO352" s="419">
        <v>14</v>
      </c>
      <c r="BP352" s="421">
        <v>27</v>
      </c>
      <c r="BQ352" s="421">
        <v>14</v>
      </c>
      <c r="BR352" s="419">
        <v>19</v>
      </c>
      <c r="BS352" s="419">
        <v>11</v>
      </c>
      <c r="BT352" s="421">
        <v>26</v>
      </c>
      <c r="BU352" s="421">
        <v>13</v>
      </c>
      <c r="BV352" s="419">
        <v>23</v>
      </c>
      <c r="BW352" s="419">
        <v>11</v>
      </c>
      <c r="BX352" s="421">
        <v>23</v>
      </c>
      <c r="BY352" s="421">
        <v>12</v>
      </c>
      <c r="BZ352" s="419">
        <v>30</v>
      </c>
      <c r="CA352" s="419">
        <v>11</v>
      </c>
      <c r="CB352" s="421">
        <v>11</v>
      </c>
      <c r="CC352" s="421">
        <v>9</v>
      </c>
      <c r="CD352" s="419">
        <v>26</v>
      </c>
      <c r="CE352" s="419">
        <v>10</v>
      </c>
      <c r="CF352" s="421">
        <v>9</v>
      </c>
      <c r="CG352" s="420">
        <v>7</v>
      </c>
      <c r="CH352" s="419">
        <v>27</v>
      </c>
      <c r="CI352" s="419">
        <v>8</v>
      </c>
      <c r="CJ352" s="421">
        <v>30</v>
      </c>
      <c r="CK352" s="420">
        <v>6</v>
      </c>
      <c r="CL352" s="419">
        <v>13</v>
      </c>
      <c r="CM352" s="421">
        <v>13</v>
      </c>
      <c r="CN352" s="424">
        <f t="shared" si="149"/>
        <v>210</v>
      </c>
      <c r="CO352" s="424">
        <f t="shared" si="150"/>
        <v>10</v>
      </c>
      <c r="CP352" s="425">
        <f t="shared" si="151"/>
        <v>185</v>
      </c>
      <c r="CQ352" s="425">
        <f t="shared" si="152"/>
        <v>10</v>
      </c>
      <c r="CR352" s="419"/>
      <c r="CS352" s="419"/>
      <c r="CT352" s="421"/>
      <c r="CU352" s="421"/>
      <c r="CV352" s="419"/>
      <c r="CW352" s="419"/>
      <c r="CX352" s="421"/>
      <c r="CY352" s="421"/>
      <c r="CZ352" s="419"/>
      <c r="DA352" s="419"/>
      <c r="DB352" s="421"/>
      <c r="DC352" s="421"/>
      <c r="DD352" s="419"/>
      <c r="DE352" s="419"/>
      <c r="DF352" s="421"/>
      <c r="DG352" s="421"/>
      <c r="DH352" s="419"/>
      <c r="DI352" s="419"/>
      <c r="DJ352" s="421"/>
      <c r="DK352" s="421"/>
      <c r="DL352" s="419"/>
      <c r="DM352" s="419"/>
      <c r="DN352" s="421"/>
      <c r="DO352" s="421"/>
      <c r="DP352" s="419"/>
      <c r="DQ352" s="419"/>
      <c r="DR352" s="421"/>
      <c r="DS352" s="421"/>
      <c r="DT352" s="419"/>
      <c r="DU352" s="419"/>
      <c r="DV352" s="421"/>
      <c r="DW352" s="421"/>
      <c r="DX352" s="419"/>
      <c r="DY352" s="419"/>
      <c r="DZ352" s="421"/>
      <c r="EA352" s="421"/>
      <c r="EB352" s="419"/>
      <c r="EC352" s="419"/>
      <c r="ED352" s="421"/>
      <c r="EE352" s="421"/>
      <c r="EF352" s="419"/>
      <c r="EG352" s="421"/>
      <c r="EH352" s="424">
        <f t="shared" si="153"/>
        <v>0</v>
      </c>
      <c r="EI352" s="424">
        <f t="shared" si="154"/>
        <v>0</v>
      </c>
      <c r="EJ352" s="422">
        <f t="shared" si="155"/>
        <v>0</v>
      </c>
      <c r="EK352" s="425">
        <f t="shared" si="156"/>
        <v>0</v>
      </c>
      <c r="EL352" s="425">
        <f t="shared" si="157"/>
        <v>0</v>
      </c>
      <c r="EM352" s="423">
        <f t="shared" si="158"/>
        <v>0</v>
      </c>
      <c r="EN352" s="424">
        <f t="shared" si="159"/>
        <v>210</v>
      </c>
      <c r="EO352" s="425">
        <f t="shared" si="160"/>
        <v>185</v>
      </c>
      <c r="EP352" s="419"/>
      <c r="EQ352" s="421"/>
      <c r="ER352" s="419"/>
      <c r="ES352" s="421"/>
      <c r="ET352" s="419"/>
      <c r="EU352" s="421"/>
      <c r="EV352" s="419"/>
      <c r="EW352" s="421"/>
      <c r="EX352" s="419"/>
      <c r="EY352" s="421"/>
      <c r="EZ352" s="419"/>
      <c r="FA352" s="421"/>
      <c r="FB352" s="419"/>
      <c r="FC352" s="421"/>
      <c r="FD352" s="419"/>
      <c r="FE352" s="421"/>
      <c r="FF352" s="419"/>
      <c r="FG352" s="421"/>
      <c r="FH352" s="419"/>
      <c r="FI352" s="421"/>
      <c r="FJ352" s="424">
        <f t="shared" si="161"/>
        <v>0</v>
      </c>
      <c r="FK352" s="425">
        <f t="shared" si="162"/>
        <v>0</v>
      </c>
      <c r="FL352" s="419"/>
      <c r="FM352" s="421"/>
      <c r="FN352" s="424">
        <f t="shared" si="163"/>
        <v>2483</v>
      </c>
      <c r="FO352" s="425">
        <f t="shared" si="164"/>
        <v>2422</v>
      </c>
    </row>
    <row r="353" spans="1:171">
      <c r="A353" s="456" t="s">
        <v>164</v>
      </c>
      <c r="B353" s="27" t="s">
        <v>872</v>
      </c>
      <c r="C353" s="23"/>
      <c r="D353" s="25">
        <v>217864</v>
      </c>
      <c r="E353" s="25">
        <v>3</v>
      </c>
      <c r="F353" s="419"/>
      <c r="G353" s="421"/>
      <c r="H353" s="419"/>
      <c r="I353" s="421"/>
      <c r="J353" s="419"/>
      <c r="K353" s="421"/>
      <c r="L353" s="422">
        <f t="shared" si="143"/>
        <v>0</v>
      </c>
      <c r="M353" s="423">
        <f t="shared" si="144"/>
        <v>0</v>
      </c>
      <c r="N353" s="419">
        <v>612</v>
      </c>
      <c r="O353" s="309">
        <f>0</f>
        <v>0</v>
      </c>
      <c r="P353" s="309">
        <f>0</f>
        <v>0</v>
      </c>
      <c r="Q353" s="309">
        <f>0</f>
        <v>0</v>
      </c>
      <c r="R353" s="424">
        <f t="shared" si="141"/>
        <v>0</v>
      </c>
      <c r="S353" s="421">
        <v>650</v>
      </c>
      <c r="T353" s="301">
        <f>0</f>
        <v>0</v>
      </c>
      <c r="U353" s="301">
        <f>0</f>
        <v>0</v>
      </c>
      <c r="V353" s="301">
        <f>0</f>
        <v>0</v>
      </c>
      <c r="W353" s="425">
        <f t="shared" si="142"/>
        <v>0</v>
      </c>
      <c r="X353" s="419"/>
      <c r="Y353" s="419"/>
      <c r="Z353" s="421"/>
      <c r="AA353" s="421"/>
      <c r="AB353" s="419"/>
      <c r="AC353" s="419"/>
      <c r="AD353" s="421"/>
      <c r="AE353" s="421"/>
      <c r="AF353" s="419"/>
      <c r="AG353" s="419"/>
      <c r="AH353" s="421"/>
      <c r="AI353" s="421"/>
      <c r="AJ353" s="419"/>
      <c r="AK353" s="419"/>
      <c r="AL353" s="421"/>
      <c r="AM353" s="421"/>
      <c r="AN353" s="419"/>
      <c r="AO353" s="419"/>
      <c r="AP353" s="421"/>
      <c r="AQ353" s="421"/>
      <c r="AR353" s="424">
        <f t="shared" si="145"/>
        <v>0</v>
      </c>
      <c r="AS353" s="422">
        <f t="shared" si="146"/>
        <v>0.59591041869522887</v>
      </c>
      <c r="AT353" s="425">
        <f t="shared" si="147"/>
        <v>0</v>
      </c>
      <c r="AU353" s="423">
        <f t="shared" si="148"/>
        <v>0.61205273069679844</v>
      </c>
      <c r="AV353" s="419">
        <v>100</v>
      </c>
      <c r="AW353" s="420">
        <v>66</v>
      </c>
      <c r="AX353" s="419">
        <v>13</v>
      </c>
      <c r="AY353" s="419">
        <v>102</v>
      </c>
      <c r="AZ353" s="421">
        <v>52</v>
      </c>
      <c r="BA353" s="421">
        <v>121</v>
      </c>
      <c r="BB353" s="419">
        <v>52</v>
      </c>
      <c r="BC353" s="419">
        <v>87</v>
      </c>
      <c r="BD353" s="421">
        <v>13</v>
      </c>
      <c r="BE353" s="421">
        <v>101</v>
      </c>
      <c r="BF353" s="419">
        <v>15</v>
      </c>
      <c r="BG353" s="419">
        <v>36</v>
      </c>
      <c r="BH353" s="421">
        <v>42</v>
      </c>
      <c r="BI353" s="421">
        <v>41</v>
      </c>
      <c r="BJ353" s="419">
        <v>42</v>
      </c>
      <c r="BK353" s="419">
        <v>36</v>
      </c>
      <c r="BL353" s="421">
        <v>15</v>
      </c>
      <c r="BM353" s="420">
        <v>23</v>
      </c>
      <c r="BN353" s="419">
        <v>31</v>
      </c>
      <c r="BO353" s="419">
        <v>14</v>
      </c>
      <c r="BP353" s="421">
        <v>31</v>
      </c>
      <c r="BQ353" s="420">
        <v>19</v>
      </c>
      <c r="BR353" s="419">
        <v>29</v>
      </c>
      <c r="BS353" s="419">
        <v>13</v>
      </c>
      <c r="BT353" s="421">
        <v>29</v>
      </c>
      <c r="BU353" s="420">
        <v>18</v>
      </c>
      <c r="BV353" s="419">
        <v>14</v>
      </c>
      <c r="BW353" s="419">
        <v>12</v>
      </c>
      <c r="BX353" s="421">
        <v>14</v>
      </c>
      <c r="BY353" s="420">
        <v>7</v>
      </c>
      <c r="BZ353" s="419">
        <v>26</v>
      </c>
      <c r="CA353" s="419">
        <v>7</v>
      </c>
      <c r="CB353" s="421">
        <v>45</v>
      </c>
      <c r="CC353" s="421">
        <v>7</v>
      </c>
      <c r="CD353" s="419">
        <v>45</v>
      </c>
      <c r="CE353" s="419">
        <v>4</v>
      </c>
      <c r="CF353" s="421">
        <v>11</v>
      </c>
      <c r="CG353" s="420">
        <v>3</v>
      </c>
      <c r="CH353" s="419">
        <v>11</v>
      </c>
      <c r="CI353" s="419">
        <v>2</v>
      </c>
      <c r="CJ353" s="421">
        <v>26</v>
      </c>
      <c r="CK353" s="420">
        <v>3</v>
      </c>
      <c r="CL353" s="419">
        <v>2</v>
      </c>
      <c r="CM353" s="420">
        <v>3</v>
      </c>
      <c r="CN353" s="424">
        <f t="shared" si="149"/>
        <v>315</v>
      </c>
      <c r="CO353" s="424">
        <f t="shared" si="150"/>
        <v>10</v>
      </c>
      <c r="CP353" s="425">
        <f t="shared" si="151"/>
        <v>346</v>
      </c>
      <c r="CQ353" s="425">
        <f t="shared" si="152"/>
        <v>10</v>
      </c>
      <c r="CR353" s="419"/>
      <c r="CS353" s="419"/>
      <c r="CT353" s="421"/>
      <c r="CU353" s="421"/>
      <c r="CV353" s="419"/>
      <c r="CW353" s="419"/>
      <c r="CX353" s="421"/>
      <c r="CY353" s="421"/>
      <c r="CZ353" s="419"/>
      <c r="DA353" s="419"/>
      <c r="DB353" s="421"/>
      <c r="DC353" s="421"/>
      <c r="DD353" s="419"/>
      <c r="DE353" s="419"/>
      <c r="DF353" s="421"/>
      <c r="DG353" s="421"/>
      <c r="DH353" s="419"/>
      <c r="DI353" s="419"/>
      <c r="DJ353" s="421"/>
      <c r="DK353" s="421"/>
      <c r="DL353" s="419"/>
      <c r="DM353" s="419"/>
      <c r="DN353" s="421"/>
      <c r="DO353" s="421"/>
      <c r="DP353" s="419"/>
      <c r="DQ353" s="419"/>
      <c r="DR353" s="421"/>
      <c r="DS353" s="421"/>
      <c r="DT353" s="419"/>
      <c r="DU353" s="419"/>
      <c r="DV353" s="421"/>
      <c r="DW353" s="421"/>
      <c r="DX353" s="419"/>
      <c r="DY353" s="419"/>
      <c r="DZ353" s="421"/>
      <c r="EA353" s="421"/>
      <c r="EB353" s="419"/>
      <c r="EC353" s="419"/>
      <c r="ED353" s="421"/>
      <c r="EE353" s="421"/>
      <c r="EF353" s="419"/>
      <c r="EG353" s="421"/>
      <c r="EH353" s="424">
        <f t="shared" si="153"/>
        <v>0</v>
      </c>
      <c r="EI353" s="424">
        <f t="shared" si="154"/>
        <v>0</v>
      </c>
      <c r="EJ353" s="422">
        <f t="shared" si="155"/>
        <v>0</v>
      </c>
      <c r="EK353" s="425">
        <f t="shared" si="156"/>
        <v>0</v>
      </c>
      <c r="EL353" s="425">
        <f t="shared" si="157"/>
        <v>0</v>
      </c>
      <c r="EM353" s="423">
        <f t="shared" si="158"/>
        <v>0</v>
      </c>
      <c r="EN353" s="424">
        <f t="shared" si="159"/>
        <v>315</v>
      </c>
      <c r="EO353" s="425">
        <f t="shared" si="160"/>
        <v>346</v>
      </c>
      <c r="EP353" s="419"/>
      <c r="EQ353" s="421"/>
      <c r="ER353" s="419"/>
      <c r="ES353" s="421"/>
      <c r="ET353" s="419"/>
      <c r="EU353" s="421"/>
      <c r="EV353" s="419"/>
      <c r="EW353" s="421"/>
      <c r="EX353" s="419"/>
      <c r="EY353" s="421"/>
      <c r="EZ353" s="419"/>
      <c r="FA353" s="421"/>
      <c r="FB353" s="419"/>
      <c r="FC353" s="421"/>
      <c r="FD353" s="419"/>
      <c r="FE353" s="421"/>
      <c r="FF353" s="419"/>
      <c r="FG353" s="421"/>
      <c r="FH353" s="419"/>
      <c r="FI353" s="421"/>
      <c r="FJ353" s="424">
        <f t="shared" si="161"/>
        <v>0</v>
      </c>
      <c r="FK353" s="425">
        <f t="shared" si="162"/>
        <v>0</v>
      </c>
      <c r="FL353" s="419"/>
      <c r="FM353" s="421"/>
      <c r="FN353" s="424">
        <f t="shared" si="163"/>
        <v>1027</v>
      </c>
      <c r="FO353" s="425">
        <f t="shared" si="164"/>
        <v>1062</v>
      </c>
    </row>
    <row r="354" spans="1:171">
      <c r="A354" s="456" t="s">
        <v>164</v>
      </c>
      <c r="B354" s="27" t="s">
        <v>873</v>
      </c>
      <c r="C354" s="26"/>
      <c r="D354" s="25">
        <v>218964</v>
      </c>
      <c r="E354" s="25">
        <v>3</v>
      </c>
      <c r="F354" s="419"/>
      <c r="G354" s="421"/>
      <c r="H354" s="419"/>
      <c r="I354" s="421"/>
      <c r="J354" s="419"/>
      <c r="K354" s="421"/>
      <c r="L354" s="422">
        <f t="shared" si="143"/>
        <v>0</v>
      </c>
      <c r="M354" s="423">
        <f t="shared" si="144"/>
        <v>0</v>
      </c>
      <c r="N354" s="419">
        <v>995</v>
      </c>
      <c r="O354" s="309">
        <f>0</f>
        <v>0</v>
      </c>
      <c r="P354" s="309">
        <f>0</f>
        <v>0</v>
      </c>
      <c r="Q354" s="309">
        <f>0</f>
        <v>0</v>
      </c>
      <c r="R354" s="424">
        <f t="shared" si="141"/>
        <v>0</v>
      </c>
      <c r="S354" s="421">
        <v>998</v>
      </c>
      <c r="T354" s="301">
        <f>0</f>
        <v>0</v>
      </c>
      <c r="U354" s="301">
        <f>0</f>
        <v>0</v>
      </c>
      <c r="V354" s="301">
        <f>0</f>
        <v>0</v>
      </c>
      <c r="W354" s="425">
        <f t="shared" si="142"/>
        <v>0</v>
      </c>
      <c r="X354" s="419"/>
      <c r="Y354" s="419"/>
      <c r="Z354" s="421"/>
      <c r="AA354" s="421"/>
      <c r="AB354" s="419"/>
      <c r="AC354" s="419"/>
      <c r="AD354" s="421"/>
      <c r="AE354" s="421"/>
      <c r="AF354" s="419"/>
      <c r="AG354" s="419"/>
      <c r="AH354" s="421"/>
      <c r="AI354" s="421"/>
      <c r="AJ354" s="419"/>
      <c r="AK354" s="419"/>
      <c r="AL354" s="421"/>
      <c r="AM354" s="421"/>
      <c r="AN354" s="419"/>
      <c r="AO354" s="419"/>
      <c r="AP354" s="421"/>
      <c r="AQ354" s="421"/>
      <c r="AR354" s="424">
        <f t="shared" si="145"/>
        <v>0</v>
      </c>
      <c r="AS354" s="422">
        <f t="shared" si="146"/>
        <v>0.74420344053851906</v>
      </c>
      <c r="AT354" s="425">
        <f t="shared" si="147"/>
        <v>0</v>
      </c>
      <c r="AU354" s="423">
        <f t="shared" si="148"/>
        <v>0.75778283978739558</v>
      </c>
      <c r="AV354" s="419">
        <v>21</v>
      </c>
      <c r="AW354" s="421">
        <v>18</v>
      </c>
      <c r="AX354" s="419">
        <v>13</v>
      </c>
      <c r="AY354" s="419">
        <v>127</v>
      </c>
      <c r="AZ354" s="421">
        <v>13</v>
      </c>
      <c r="BA354" s="421">
        <v>121</v>
      </c>
      <c r="BB354" s="419">
        <v>44</v>
      </c>
      <c r="BC354" s="419">
        <v>51</v>
      </c>
      <c r="BD354" s="421">
        <v>52</v>
      </c>
      <c r="BE354" s="421">
        <v>50</v>
      </c>
      <c r="BF354" s="419">
        <v>52</v>
      </c>
      <c r="BG354" s="419">
        <v>46</v>
      </c>
      <c r="BH354" s="421">
        <v>44</v>
      </c>
      <c r="BI354" s="421">
        <v>48</v>
      </c>
      <c r="BJ354" s="419">
        <v>42</v>
      </c>
      <c r="BK354" s="419">
        <v>25</v>
      </c>
      <c r="BL354" s="421">
        <v>42</v>
      </c>
      <c r="BM354" s="421">
        <v>24</v>
      </c>
      <c r="BN354" s="419">
        <v>19</v>
      </c>
      <c r="BO354" s="419">
        <v>18</v>
      </c>
      <c r="BP354" s="421">
        <v>19</v>
      </c>
      <c r="BQ354" s="421">
        <v>19</v>
      </c>
      <c r="BR354" s="419">
        <v>31</v>
      </c>
      <c r="BS354" s="419">
        <v>15</v>
      </c>
      <c r="BT354" s="421">
        <v>31</v>
      </c>
      <c r="BU354" s="421">
        <v>12</v>
      </c>
      <c r="BV354" s="419">
        <v>23</v>
      </c>
      <c r="BW354" s="419">
        <v>11</v>
      </c>
      <c r="BX354" s="421">
        <v>26</v>
      </c>
      <c r="BY354" s="420">
        <v>7</v>
      </c>
      <c r="BZ354" s="419">
        <v>26</v>
      </c>
      <c r="CA354" s="419">
        <v>11</v>
      </c>
      <c r="CB354" s="421">
        <v>50</v>
      </c>
      <c r="CC354" s="420">
        <v>7</v>
      </c>
      <c r="CD354" s="419">
        <v>50</v>
      </c>
      <c r="CE354" s="419">
        <v>9</v>
      </c>
      <c r="CF354" s="421">
        <v>23</v>
      </c>
      <c r="CG354" s="420">
        <v>6</v>
      </c>
      <c r="CH354" s="419">
        <v>54</v>
      </c>
      <c r="CI354" s="419">
        <v>5</v>
      </c>
      <c r="CJ354" s="421">
        <v>24</v>
      </c>
      <c r="CK354" s="421">
        <v>4</v>
      </c>
      <c r="CL354" s="419">
        <v>3</v>
      </c>
      <c r="CM354" s="421">
        <v>3</v>
      </c>
      <c r="CN354" s="424">
        <f t="shared" si="149"/>
        <v>321</v>
      </c>
      <c r="CO354" s="424">
        <f t="shared" si="150"/>
        <v>10</v>
      </c>
      <c r="CP354" s="425">
        <f t="shared" si="151"/>
        <v>301</v>
      </c>
      <c r="CQ354" s="425">
        <f t="shared" si="152"/>
        <v>10</v>
      </c>
      <c r="CR354" s="419"/>
      <c r="CS354" s="419"/>
      <c r="CT354" s="421"/>
      <c r="CU354" s="421"/>
      <c r="CV354" s="419"/>
      <c r="CW354" s="419"/>
      <c r="CX354" s="421"/>
      <c r="CY354" s="421"/>
      <c r="CZ354" s="419"/>
      <c r="DA354" s="419"/>
      <c r="DB354" s="421"/>
      <c r="DC354" s="421"/>
      <c r="DD354" s="419"/>
      <c r="DE354" s="419"/>
      <c r="DF354" s="421"/>
      <c r="DG354" s="421"/>
      <c r="DH354" s="419"/>
      <c r="DI354" s="419"/>
      <c r="DJ354" s="421"/>
      <c r="DK354" s="421"/>
      <c r="DL354" s="419"/>
      <c r="DM354" s="419"/>
      <c r="DN354" s="421"/>
      <c r="DO354" s="421"/>
      <c r="DP354" s="419"/>
      <c r="DQ354" s="419"/>
      <c r="DR354" s="421"/>
      <c r="DS354" s="421"/>
      <c r="DT354" s="419"/>
      <c r="DU354" s="419"/>
      <c r="DV354" s="421"/>
      <c r="DW354" s="421"/>
      <c r="DX354" s="419"/>
      <c r="DY354" s="419"/>
      <c r="DZ354" s="421"/>
      <c r="EA354" s="421"/>
      <c r="EB354" s="419"/>
      <c r="EC354" s="419"/>
      <c r="ED354" s="421"/>
      <c r="EE354" s="421"/>
      <c r="EF354" s="419"/>
      <c r="EG354" s="421"/>
      <c r="EH354" s="424">
        <f t="shared" si="153"/>
        <v>0</v>
      </c>
      <c r="EI354" s="424">
        <f t="shared" si="154"/>
        <v>0</v>
      </c>
      <c r="EJ354" s="422">
        <f t="shared" si="155"/>
        <v>0</v>
      </c>
      <c r="EK354" s="425">
        <f t="shared" si="156"/>
        <v>0</v>
      </c>
      <c r="EL354" s="425">
        <f t="shared" si="157"/>
        <v>0</v>
      </c>
      <c r="EM354" s="423">
        <f t="shared" si="158"/>
        <v>0</v>
      </c>
      <c r="EN354" s="424">
        <f t="shared" si="159"/>
        <v>321</v>
      </c>
      <c r="EO354" s="425">
        <f t="shared" si="160"/>
        <v>301</v>
      </c>
      <c r="EP354" s="419"/>
      <c r="EQ354" s="421"/>
      <c r="ER354" s="419"/>
      <c r="ES354" s="421"/>
      <c r="ET354" s="419"/>
      <c r="EU354" s="421"/>
      <c r="EV354" s="419"/>
      <c r="EW354" s="421"/>
      <c r="EX354" s="419"/>
      <c r="EY354" s="421"/>
      <c r="EZ354" s="419"/>
      <c r="FA354" s="421"/>
      <c r="FB354" s="419"/>
      <c r="FC354" s="421"/>
      <c r="FD354" s="419"/>
      <c r="FE354" s="421"/>
      <c r="FF354" s="419"/>
      <c r="FG354" s="421"/>
      <c r="FH354" s="419"/>
      <c r="FI354" s="421"/>
      <c r="FJ354" s="424">
        <f t="shared" si="161"/>
        <v>0</v>
      </c>
      <c r="FK354" s="425">
        <f t="shared" si="162"/>
        <v>0</v>
      </c>
      <c r="FL354" s="419"/>
      <c r="FM354" s="421"/>
      <c r="FN354" s="424">
        <f t="shared" si="163"/>
        <v>1337</v>
      </c>
      <c r="FO354" s="425">
        <f t="shared" si="164"/>
        <v>1317</v>
      </c>
    </row>
    <row r="355" spans="1:171" s="272" customFormat="1" ht="15" customHeight="1">
      <c r="A355" s="456" t="s">
        <v>164</v>
      </c>
      <c r="B355" s="27" t="s">
        <v>874</v>
      </c>
      <c r="C355" s="260"/>
      <c r="D355" s="25">
        <v>218724</v>
      </c>
      <c r="E355" s="25">
        <v>4</v>
      </c>
      <c r="F355" s="419"/>
      <c r="G355" s="421"/>
      <c r="H355" s="419"/>
      <c r="I355" s="421"/>
      <c r="J355" s="419"/>
      <c r="K355" s="421"/>
      <c r="L355" s="422">
        <f t="shared" si="143"/>
        <v>0</v>
      </c>
      <c r="M355" s="423">
        <f t="shared" si="144"/>
        <v>0</v>
      </c>
      <c r="N355" s="419">
        <v>1892</v>
      </c>
      <c r="O355" s="309">
        <f>0</f>
        <v>0</v>
      </c>
      <c r="P355" s="309">
        <f>0</f>
        <v>0</v>
      </c>
      <c r="Q355" s="309">
        <f>0</f>
        <v>0</v>
      </c>
      <c r="R355" s="424">
        <f t="shared" si="141"/>
        <v>0</v>
      </c>
      <c r="S355" s="421">
        <v>1986</v>
      </c>
      <c r="T355" s="301">
        <f>0</f>
        <v>0</v>
      </c>
      <c r="U355" s="301">
        <f>0</f>
        <v>0</v>
      </c>
      <c r="V355" s="301">
        <f>0</f>
        <v>0</v>
      </c>
      <c r="W355" s="425">
        <f t="shared" si="142"/>
        <v>0</v>
      </c>
      <c r="X355" s="419"/>
      <c r="Y355" s="419"/>
      <c r="Z355" s="421"/>
      <c r="AA355" s="421"/>
      <c r="AB355" s="419"/>
      <c r="AC355" s="419"/>
      <c r="AD355" s="421"/>
      <c r="AE355" s="421"/>
      <c r="AF355" s="419"/>
      <c r="AG355" s="419"/>
      <c r="AH355" s="421"/>
      <c r="AI355" s="421"/>
      <c r="AJ355" s="419"/>
      <c r="AK355" s="419"/>
      <c r="AL355" s="421"/>
      <c r="AM355" s="421"/>
      <c r="AN355" s="419"/>
      <c r="AO355" s="419"/>
      <c r="AP355" s="421"/>
      <c r="AQ355" s="421"/>
      <c r="AR355" s="424">
        <f t="shared" si="145"/>
        <v>0</v>
      </c>
      <c r="AS355" s="422">
        <f t="shared" si="146"/>
        <v>0.85572139303482586</v>
      </c>
      <c r="AT355" s="425">
        <f t="shared" si="147"/>
        <v>0</v>
      </c>
      <c r="AU355" s="423">
        <f t="shared" si="148"/>
        <v>0.87220026350461133</v>
      </c>
      <c r="AV355" s="419">
        <v>2</v>
      </c>
      <c r="AW355" s="420">
        <v>1</v>
      </c>
      <c r="AX355" s="419">
        <v>13</v>
      </c>
      <c r="AY355" s="419">
        <v>193</v>
      </c>
      <c r="AZ355" s="421">
        <v>13</v>
      </c>
      <c r="BA355" s="421">
        <v>165</v>
      </c>
      <c r="BB355" s="419">
        <v>52</v>
      </c>
      <c r="BC355" s="419">
        <v>61</v>
      </c>
      <c r="BD355" s="421">
        <v>52</v>
      </c>
      <c r="BE355" s="421">
        <v>72</v>
      </c>
      <c r="BF355" s="419">
        <v>26</v>
      </c>
      <c r="BG355" s="419">
        <v>17</v>
      </c>
      <c r="BH355" s="421">
        <v>26</v>
      </c>
      <c r="BI355" s="421">
        <v>18</v>
      </c>
      <c r="BJ355" s="419">
        <v>11</v>
      </c>
      <c r="BK355" s="419">
        <v>14</v>
      </c>
      <c r="BL355" s="421">
        <v>23</v>
      </c>
      <c r="BM355" s="420">
        <v>11</v>
      </c>
      <c r="BN355" s="419">
        <v>31</v>
      </c>
      <c r="BO355" s="419">
        <v>14</v>
      </c>
      <c r="BP355" s="421">
        <v>24</v>
      </c>
      <c r="BQ355" s="420">
        <v>8</v>
      </c>
      <c r="BR355" s="419">
        <v>24</v>
      </c>
      <c r="BS355" s="419">
        <v>10</v>
      </c>
      <c r="BT355" s="421">
        <v>31</v>
      </c>
      <c r="BU355" s="420">
        <v>7</v>
      </c>
      <c r="BV355" s="419">
        <v>23</v>
      </c>
      <c r="BW355" s="419">
        <v>8</v>
      </c>
      <c r="BX355" s="421">
        <v>11</v>
      </c>
      <c r="BY355" s="420">
        <v>4</v>
      </c>
      <c r="BZ355" s="419"/>
      <c r="CA355" s="419"/>
      <c r="CB355" s="421">
        <v>50</v>
      </c>
      <c r="CC355" s="420">
        <v>3</v>
      </c>
      <c r="CD355" s="419"/>
      <c r="CE355" s="419"/>
      <c r="CF355" s="421">
        <v>9</v>
      </c>
      <c r="CG355" s="420">
        <v>1</v>
      </c>
      <c r="CH355" s="419"/>
      <c r="CI355" s="419"/>
      <c r="CJ355" s="421"/>
      <c r="CK355" s="421"/>
      <c r="CL355" s="419"/>
      <c r="CM355" s="421"/>
      <c r="CN355" s="424">
        <f t="shared" si="149"/>
        <v>317</v>
      </c>
      <c r="CO355" s="424">
        <f t="shared" si="150"/>
        <v>7</v>
      </c>
      <c r="CP355" s="425">
        <f t="shared" si="151"/>
        <v>289</v>
      </c>
      <c r="CQ355" s="425">
        <f t="shared" si="152"/>
        <v>9</v>
      </c>
      <c r="CR355" s="419"/>
      <c r="CS355" s="419"/>
      <c r="CT355" s="421">
        <v>40</v>
      </c>
      <c r="CU355" s="420">
        <v>1</v>
      </c>
      <c r="CV355" s="419"/>
      <c r="CW355" s="419"/>
      <c r="CX355" s="421"/>
      <c r="CY355" s="421"/>
      <c r="CZ355" s="419"/>
      <c r="DA355" s="419"/>
      <c r="DB355" s="421"/>
      <c r="DC355" s="421"/>
      <c r="DD355" s="419"/>
      <c r="DE355" s="419"/>
      <c r="DF355" s="421"/>
      <c r="DG355" s="421"/>
      <c r="DH355" s="419"/>
      <c r="DI355" s="419"/>
      <c r="DJ355" s="421"/>
      <c r="DK355" s="421"/>
      <c r="DL355" s="419"/>
      <c r="DM355" s="419"/>
      <c r="DN355" s="421"/>
      <c r="DO355" s="421"/>
      <c r="DP355" s="419"/>
      <c r="DQ355" s="419"/>
      <c r="DR355" s="421"/>
      <c r="DS355" s="421"/>
      <c r="DT355" s="419"/>
      <c r="DU355" s="419"/>
      <c r="DV355" s="421"/>
      <c r="DW355" s="421"/>
      <c r="DX355" s="419"/>
      <c r="DY355" s="419"/>
      <c r="DZ355" s="421"/>
      <c r="EA355" s="421"/>
      <c r="EB355" s="419"/>
      <c r="EC355" s="419"/>
      <c r="ED355" s="421"/>
      <c r="EE355" s="421"/>
      <c r="EF355" s="419"/>
      <c r="EG355" s="421"/>
      <c r="EH355" s="424">
        <f t="shared" si="153"/>
        <v>0</v>
      </c>
      <c r="EI355" s="424">
        <f t="shared" si="154"/>
        <v>0</v>
      </c>
      <c r="EJ355" s="422">
        <f t="shared" si="155"/>
        <v>0</v>
      </c>
      <c r="EK355" s="425">
        <f t="shared" si="156"/>
        <v>1</v>
      </c>
      <c r="EL355" s="425">
        <f t="shared" si="157"/>
        <v>1</v>
      </c>
      <c r="EM355" s="423">
        <f t="shared" si="158"/>
        <v>1</v>
      </c>
      <c r="EN355" s="424">
        <f t="shared" si="159"/>
        <v>317</v>
      </c>
      <c r="EO355" s="425">
        <f t="shared" si="160"/>
        <v>290</v>
      </c>
      <c r="EP355" s="419"/>
      <c r="EQ355" s="421"/>
      <c r="ER355" s="419"/>
      <c r="ES355" s="421"/>
      <c r="ET355" s="419"/>
      <c r="EU355" s="421"/>
      <c r="EV355" s="419"/>
      <c r="EW355" s="421"/>
      <c r="EX355" s="419"/>
      <c r="EY355" s="421"/>
      <c r="EZ355" s="419"/>
      <c r="FA355" s="421"/>
      <c r="FB355" s="419"/>
      <c r="FC355" s="421"/>
      <c r="FD355" s="419"/>
      <c r="FE355" s="421"/>
      <c r="FF355" s="419"/>
      <c r="FG355" s="421"/>
      <c r="FH355" s="419"/>
      <c r="FI355" s="421"/>
      <c r="FJ355" s="424">
        <f t="shared" si="161"/>
        <v>0</v>
      </c>
      <c r="FK355" s="425">
        <f t="shared" si="162"/>
        <v>0</v>
      </c>
      <c r="FL355" s="419"/>
      <c r="FM355" s="421"/>
      <c r="FN355" s="424">
        <f t="shared" si="163"/>
        <v>2211</v>
      </c>
      <c r="FO355" s="425">
        <f t="shared" si="164"/>
        <v>2277</v>
      </c>
    </row>
    <row r="356" spans="1:171" s="272" customFormat="1" ht="15" customHeight="1">
      <c r="A356" s="456" t="s">
        <v>164</v>
      </c>
      <c r="B356" s="27" t="s">
        <v>875</v>
      </c>
      <c r="C356" s="7"/>
      <c r="D356" s="25">
        <v>218061</v>
      </c>
      <c r="E356" s="25">
        <v>5</v>
      </c>
      <c r="F356" s="419"/>
      <c r="G356" s="421"/>
      <c r="H356" s="419"/>
      <c r="I356" s="421"/>
      <c r="J356" s="419"/>
      <c r="K356" s="421"/>
      <c r="L356" s="422">
        <f t="shared" si="143"/>
        <v>0</v>
      </c>
      <c r="M356" s="423">
        <f t="shared" si="144"/>
        <v>0</v>
      </c>
      <c r="N356" s="419">
        <v>527</v>
      </c>
      <c r="O356" s="309">
        <f>0</f>
        <v>0</v>
      </c>
      <c r="P356" s="309">
        <f>0</f>
        <v>0</v>
      </c>
      <c r="Q356" s="309">
        <f>0</f>
        <v>0</v>
      </c>
      <c r="R356" s="424">
        <f t="shared" si="141"/>
        <v>0</v>
      </c>
      <c r="S356" s="421">
        <v>543</v>
      </c>
      <c r="T356" s="301">
        <f>0</f>
        <v>0</v>
      </c>
      <c r="U356" s="301">
        <f>0</f>
        <v>0</v>
      </c>
      <c r="V356" s="301">
        <f>0</f>
        <v>0</v>
      </c>
      <c r="W356" s="425">
        <f t="shared" si="142"/>
        <v>0</v>
      </c>
      <c r="X356" s="419"/>
      <c r="Y356" s="419"/>
      <c r="Z356" s="421"/>
      <c r="AA356" s="421"/>
      <c r="AB356" s="419"/>
      <c r="AC356" s="419"/>
      <c r="AD356" s="421"/>
      <c r="AE356" s="421"/>
      <c r="AF356" s="419"/>
      <c r="AG356" s="419"/>
      <c r="AH356" s="421"/>
      <c r="AI356" s="421"/>
      <c r="AJ356" s="419"/>
      <c r="AK356" s="419"/>
      <c r="AL356" s="421"/>
      <c r="AM356" s="421"/>
      <c r="AN356" s="419"/>
      <c r="AO356" s="419"/>
      <c r="AP356" s="421"/>
      <c r="AQ356" s="421"/>
      <c r="AR356" s="424">
        <f t="shared" si="145"/>
        <v>0</v>
      </c>
      <c r="AS356" s="422">
        <f t="shared" si="146"/>
        <v>0.77272727272727271</v>
      </c>
      <c r="AT356" s="425">
        <f t="shared" si="147"/>
        <v>0</v>
      </c>
      <c r="AU356" s="423">
        <f t="shared" si="148"/>
        <v>0.8056379821958457</v>
      </c>
      <c r="AV356" s="419"/>
      <c r="AW356" s="421"/>
      <c r="AX356" s="419">
        <v>51</v>
      </c>
      <c r="AY356" s="419">
        <v>71</v>
      </c>
      <c r="AZ356" s="421">
        <v>51</v>
      </c>
      <c r="BA356" s="420">
        <v>48</v>
      </c>
      <c r="BB356" s="419">
        <v>13</v>
      </c>
      <c r="BC356" s="419">
        <v>38</v>
      </c>
      <c r="BD356" s="421">
        <v>13</v>
      </c>
      <c r="BE356" s="421">
        <v>45</v>
      </c>
      <c r="BF356" s="419">
        <v>42</v>
      </c>
      <c r="BG356" s="419">
        <v>26</v>
      </c>
      <c r="BH356" s="421">
        <v>42</v>
      </c>
      <c r="BI356" s="421">
        <v>22</v>
      </c>
      <c r="BJ356" s="419">
        <v>52</v>
      </c>
      <c r="BK356" s="419">
        <v>13</v>
      </c>
      <c r="BL356" s="421">
        <v>52</v>
      </c>
      <c r="BM356" s="421">
        <v>13</v>
      </c>
      <c r="BN356" s="419"/>
      <c r="BO356" s="419"/>
      <c r="BP356" s="421"/>
      <c r="BQ356" s="421"/>
      <c r="BR356" s="419"/>
      <c r="BS356" s="419"/>
      <c r="BT356" s="421"/>
      <c r="BU356" s="421"/>
      <c r="BV356" s="419"/>
      <c r="BW356" s="419"/>
      <c r="BX356" s="421"/>
      <c r="BY356" s="421"/>
      <c r="BZ356" s="419"/>
      <c r="CA356" s="419"/>
      <c r="CB356" s="421"/>
      <c r="CC356" s="421"/>
      <c r="CD356" s="419"/>
      <c r="CE356" s="419"/>
      <c r="CF356" s="421"/>
      <c r="CG356" s="421"/>
      <c r="CH356" s="419"/>
      <c r="CI356" s="419"/>
      <c r="CJ356" s="421"/>
      <c r="CK356" s="421"/>
      <c r="CL356" s="419"/>
      <c r="CM356" s="421"/>
      <c r="CN356" s="424">
        <f t="shared" si="149"/>
        <v>148</v>
      </c>
      <c r="CO356" s="424">
        <f t="shared" si="150"/>
        <v>4</v>
      </c>
      <c r="CP356" s="425">
        <f t="shared" si="151"/>
        <v>128</v>
      </c>
      <c r="CQ356" s="425">
        <f t="shared" si="152"/>
        <v>4</v>
      </c>
      <c r="CR356" s="419"/>
      <c r="CS356" s="419"/>
      <c r="CT356" s="421"/>
      <c r="CU356" s="421"/>
      <c r="CV356" s="419"/>
      <c r="CW356" s="419"/>
      <c r="CX356" s="421"/>
      <c r="CY356" s="421"/>
      <c r="CZ356" s="419"/>
      <c r="DA356" s="419"/>
      <c r="DB356" s="421"/>
      <c r="DC356" s="421"/>
      <c r="DD356" s="419"/>
      <c r="DE356" s="419"/>
      <c r="DF356" s="421"/>
      <c r="DG356" s="421"/>
      <c r="DH356" s="419"/>
      <c r="DI356" s="419"/>
      <c r="DJ356" s="421"/>
      <c r="DK356" s="421"/>
      <c r="DL356" s="419"/>
      <c r="DM356" s="419"/>
      <c r="DN356" s="421"/>
      <c r="DO356" s="421"/>
      <c r="DP356" s="419"/>
      <c r="DQ356" s="419"/>
      <c r="DR356" s="421"/>
      <c r="DS356" s="421"/>
      <c r="DT356" s="419"/>
      <c r="DU356" s="419"/>
      <c r="DV356" s="421"/>
      <c r="DW356" s="421"/>
      <c r="DX356" s="419"/>
      <c r="DY356" s="419"/>
      <c r="DZ356" s="421"/>
      <c r="EA356" s="421"/>
      <c r="EB356" s="419"/>
      <c r="EC356" s="419"/>
      <c r="ED356" s="421"/>
      <c r="EE356" s="421"/>
      <c r="EF356" s="419"/>
      <c r="EG356" s="421"/>
      <c r="EH356" s="424">
        <f t="shared" si="153"/>
        <v>0</v>
      </c>
      <c r="EI356" s="424">
        <f t="shared" si="154"/>
        <v>0</v>
      </c>
      <c r="EJ356" s="422">
        <f t="shared" si="155"/>
        <v>0</v>
      </c>
      <c r="EK356" s="425">
        <f t="shared" si="156"/>
        <v>0</v>
      </c>
      <c r="EL356" s="425">
        <f t="shared" si="157"/>
        <v>0</v>
      </c>
      <c r="EM356" s="423">
        <f t="shared" si="158"/>
        <v>0</v>
      </c>
      <c r="EN356" s="424">
        <f t="shared" si="159"/>
        <v>148</v>
      </c>
      <c r="EO356" s="425">
        <f t="shared" si="160"/>
        <v>128</v>
      </c>
      <c r="EP356" s="419"/>
      <c r="EQ356" s="421"/>
      <c r="ER356" s="419"/>
      <c r="ES356" s="421"/>
      <c r="ET356" s="419"/>
      <c r="EU356" s="421"/>
      <c r="EV356" s="419"/>
      <c r="EW356" s="421"/>
      <c r="EX356" s="419"/>
      <c r="EY356" s="421"/>
      <c r="EZ356" s="419"/>
      <c r="FA356" s="421"/>
      <c r="FB356" s="419"/>
      <c r="FC356" s="421"/>
      <c r="FD356" s="419"/>
      <c r="FE356" s="421"/>
      <c r="FF356" s="419"/>
      <c r="FG356" s="421"/>
      <c r="FH356" s="419">
        <v>7</v>
      </c>
      <c r="FI356" s="420">
        <v>3</v>
      </c>
      <c r="FJ356" s="424">
        <f t="shared" si="161"/>
        <v>7</v>
      </c>
      <c r="FK356" s="425">
        <f t="shared" si="162"/>
        <v>3</v>
      </c>
      <c r="FL356" s="419"/>
      <c r="FM356" s="421"/>
      <c r="FN356" s="424">
        <f t="shared" si="163"/>
        <v>682</v>
      </c>
      <c r="FO356" s="425">
        <f t="shared" si="164"/>
        <v>674</v>
      </c>
    </row>
    <row r="357" spans="1:171" s="272" customFormat="1" ht="15" customHeight="1">
      <c r="A357" s="456" t="s">
        <v>164</v>
      </c>
      <c r="B357" s="27" t="s">
        <v>876</v>
      </c>
      <c r="C357" s="7"/>
      <c r="D357" s="25">
        <v>218733</v>
      </c>
      <c r="E357" s="25">
        <v>5</v>
      </c>
      <c r="F357" s="419"/>
      <c r="G357" s="421"/>
      <c r="H357" s="419"/>
      <c r="I357" s="421"/>
      <c r="J357" s="419"/>
      <c r="K357" s="421"/>
      <c r="L357" s="422">
        <f t="shared" si="143"/>
        <v>0</v>
      </c>
      <c r="M357" s="423">
        <f t="shared" si="144"/>
        <v>0</v>
      </c>
      <c r="N357" s="419">
        <v>333</v>
      </c>
      <c r="O357" s="309">
        <f>0</f>
        <v>0</v>
      </c>
      <c r="P357" s="309">
        <f>0</f>
        <v>0</v>
      </c>
      <c r="Q357" s="309">
        <f>0</f>
        <v>0</v>
      </c>
      <c r="R357" s="424">
        <f t="shared" si="141"/>
        <v>0</v>
      </c>
      <c r="S357" s="421">
        <v>330</v>
      </c>
      <c r="T357" s="301">
        <f>0</f>
        <v>0</v>
      </c>
      <c r="U357" s="301">
        <f>0</f>
        <v>0</v>
      </c>
      <c r="V357" s="301">
        <f>0</f>
        <v>0</v>
      </c>
      <c r="W357" s="425">
        <f t="shared" si="142"/>
        <v>0</v>
      </c>
      <c r="X357" s="419"/>
      <c r="Y357" s="419"/>
      <c r="Z357" s="421"/>
      <c r="AA357" s="421"/>
      <c r="AB357" s="419"/>
      <c r="AC357" s="419"/>
      <c r="AD357" s="421"/>
      <c r="AE357" s="421"/>
      <c r="AF357" s="419"/>
      <c r="AG357" s="419"/>
      <c r="AH357" s="421"/>
      <c r="AI357" s="421"/>
      <c r="AJ357" s="419"/>
      <c r="AK357" s="419"/>
      <c r="AL357" s="421"/>
      <c r="AM357" s="421"/>
      <c r="AN357" s="419"/>
      <c r="AO357" s="419"/>
      <c r="AP357" s="421"/>
      <c r="AQ357" s="421"/>
      <c r="AR357" s="424">
        <f t="shared" si="145"/>
        <v>0</v>
      </c>
      <c r="AS357" s="422">
        <f t="shared" si="146"/>
        <v>0.71459227467811159</v>
      </c>
      <c r="AT357" s="425">
        <f t="shared" si="147"/>
        <v>0</v>
      </c>
      <c r="AU357" s="423">
        <f t="shared" si="148"/>
        <v>0.76566125290023201</v>
      </c>
      <c r="AV357" s="419"/>
      <c r="AW357" s="421"/>
      <c r="AX357" s="419">
        <v>51</v>
      </c>
      <c r="AY357" s="419">
        <v>58</v>
      </c>
      <c r="AZ357" s="421">
        <v>51</v>
      </c>
      <c r="BA357" s="420">
        <v>36</v>
      </c>
      <c r="BB357" s="419">
        <v>13</v>
      </c>
      <c r="BC357" s="419">
        <v>44</v>
      </c>
      <c r="BD357" s="421">
        <v>13</v>
      </c>
      <c r="BE357" s="420">
        <v>28</v>
      </c>
      <c r="BF357" s="419">
        <v>52</v>
      </c>
      <c r="BG357" s="419">
        <v>9</v>
      </c>
      <c r="BH357" s="421">
        <v>52</v>
      </c>
      <c r="BI357" s="420">
        <v>16</v>
      </c>
      <c r="BJ357" s="419">
        <v>19</v>
      </c>
      <c r="BK357" s="419">
        <v>8</v>
      </c>
      <c r="BL357" s="421">
        <v>19</v>
      </c>
      <c r="BM357" s="420">
        <v>4</v>
      </c>
      <c r="BN357" s="419"/>
      <c r="BO357" s="419"/>
      <c r="BP357" s="421"/>
      <c r="BQ357" s="421"/>
      <c r="BR357" s="419"/>
      <c r="BS357" s="419"/>
      <c r="BT357" s="421"/>
      <c r="BU357" s="421"/>
      <c r="BV357" s="419"/>
      <c r="BW357" s="419"/>
      <c r="BX357" s="421"/>
      <c r="BY357" s="421"/>
      <c r="BZ357" s="419"/>
      <c r="CA357" s="419"/>
      <c r="CB357" s="421"/>
      <c r="CC357" s="421"/>
      <c r="CD357" s="419"/>
      <c r="CE357" s="419"/>
      <c r="CF357" s="421"/>
      <c r="CG357" s="421"/>
      <c r="CH357" s="419"/>
      <c r="CI357" s="419"/>
      <c r="CJ357" s="421"/>
      <c r="CK357" s="421"/>
      <c r="CL357" s="419"/>
      <c r="CM357" s="421"/>
      <c r="CN357" s="424">
        <f t="shared" si="149"/>
        <v>119</v>
      </c>
      <c r="CO357" s="424">
        <f t="shared" si="150"/>
        <v>4</v>
      </c>
      <c r="CP357" s="425">
        <f t="shared" si="151"/>
        <v>84</v>
      </c>
      <c r="CQ357" s="425">
        <f t="shared" si="152"/>
        <v>4</v>
      </c>
      <c r="CR357" s="419">
        <v>13</v>
      </c>
      <c r="CS357" s="419">
        <v>14</v>
      </c>
      <c r="CT357" s="421">
        <v>13</v>
      </c>
      <c r="CU357" s="420">
        <v>17</v>
      </c>
      <c r="CV357" s="419"/>
      <c r="CW357" s="419"/>
      <c r="CX357" s="421"/>
      <c r="CY357" s="421"/>
      <c r="CZ357" s="419"/>
      <c r="DA357" s="419"/>
      <c r="DB357" s="421"/>
      <c r="DC357" s="421"/>
      <c r="DD357" s="419"/>
      <c r="DE357" s="419"/>
      <c r="DF357" s="421"/>
      <c r="DG357" s="421"/>
      <c r="DH357" s="419"/>
      <c r="DI357" s="419"/>
      <c r="DJ357" s="421"/>
      <c r="DK357" s="421"/>
      <c r="DL357" s="419"/>
      <c r="DM357" s="419"/>
      <c r="DN357" s="421"/>
      <c r="DO357" s="421"/>
      <c r="DP357" s="419"/>
      <c r="DQ357" s="419"/>
      <c r="DR357" s="421"/>
      <c r="DS357" s="421"/>
      <c r="DT357" s="419"/>
      <c r="DU357" s="419"/>
      <c r="DV357" s="421"/>
      <c r="DW357" s="421"/>
      <c r="DX357" s="419"/>
      <c r="DY357" s="419"/>
      <c r="DZ357" s="421"/>
      <c r="EA357" s="421"/>
      <c r="EB357" s="419"/>
      <c r="EC357" s="419"/>
      <c r="ED357" s="421"/>
      <c r="EE357" s="421"/>
      <c r="EF357" s="419"/>
      <c r="EG357" s="421"/>
      <c r="EH357" s="424">
        <f t="shared" si="153"/>
        <v>14</v>
      </c>
      <c r="EI357" s="424">
        <f t="shared" si="154"/>
        <v>1</v>
      </c>
      <c r="EJ357" s="422">
        <f t="shared" si="155"/>
        <v>1</v>
      </c>
      <c r="EK357" s="425">
        <f t="shared" si="156"/>
        <v>17</v>
      </c>
      <c r="EL357" s="425">
        <f t="shared" si="157"/>
        <v>1</v>
      </c>
      <c r="EM357" s="423">
        <f t="shared" si="158"/>
        <v>1</v>
      </c>
      <c r="EN357" s="424">
        <f t="shared" si="159"/>
        <v>133</v>
      </c>
      <c r="EO357" s="425">
        <f t="shared" si="160"/>
        <v>101</v>
      </c>
      <c r="EP357" s="419"/>
      <c r="EQ357" s="421"/>
      <c r="ER357" s="419"/>
      <c r="ES357" s="421"/>
      <c r="ET357" s="419"/>
      <c r="EU357" s="421"/>
      <c r="EV357" s="419"/>
      <c r="EW357" s="421"/>
      <c r="EX357" s="419"/>
      <c r="EY357" s="421"/>
      <c r="EZ357" s="419"/>
      <c r="FA357" s="421"/>
      <c r="FB357" s="419"/>
      <c r="FC357" s="421"/>
      <c r="FD357" s="419"/>
      <c r="FE357" s="421"/>
      <c r="FF357" s="419"/>
      <c r="FG357" s="421"/>
      <c r="FH357" s="419"/>
      <c r="FI357" s="421"/>
      <c r="FJ357" s="424">
        <f t="shared" si="161"/>
        <v>0</v>
      </c>
      <c r="FK357" s="425">
        <f t="shared" si="162"/>
        <v>0</v>
      </c>
      <c r="FL357" s="419"/>
      <c r="FM357" s="421"/>
      <c r="FN357" s="424">
        <f t="shared" si="163"/>
        <v>466</v>
      </c>
      <c r="FO357" s="425">
        <f t="shared" si="164"/>
        <v>431</v>
      </c>
    </row>
    <row r="358" spans="1:171" s="272" customFormat="1" ht="15" customHeight="1">
      <c r="A358" s="456" t="s">
        <v>164</v>
      </c>
      <c r="B358" s="27" t="s">
        <v>877</v>
      </c>
      <c r="C358" s="7" t="s">
        <v>516</v>
      </c>
      <c r="D358" s="25">
        <v>218229</v>
      </c>
      <c r="E358" s="25">
        <v>6</v>
      </c>
      <c r="F358" s="419">
        <v>2</v>
      </c>
      <c r="G358" s="420">
        <v>4</v>
      </c>
      <c r="H358" s="419"/>
      <c r="I358" s="421"/>
      <c r="J358" s="419"/>
      <c r="K358" s="421"/>
      <c r="L358" s="422">
        <f t="shared" si="143"/>
        <v>0</v>
      </c>
      <c r="M358" s="423">
        <f t="shared" si="144"/>
        <v>0</v>
      </c>
      <c r="N358" s="419">
        <v>514</v>
      </c>
      <c r="O358" s="309">
        <f>0</f>
        <v>0</v>
      </c>
      <c r="P358" s="309">
        <f>0</f>
        <v>0</v>
      </c>
      <c r="Q358" s="309">
        <f>0</f>
        <v>0</v>
      </c>
      <c r="R358" s="424">
        <f t="shared" si="141"/>
        <v>0</v>
      </c>
      <c r="S358" s="421">
        <v>500</v>
      </c>
      <c r="T358" s="301">
        <f>0</f>
        <v>0</v>
      </c>
      <c r="U358" s="301">
        <f>0</f>
        <v>0</v>
      </c>
      <c r="V358" s="301">
        <f>0</f>
        <v>0</v>
      </c>
      <c r="W358" s="425">
        <f t="shared" si="142"/>
        <v>0</v>
      </c>
      <c r="X358" s="419"/>
      <c r="Y358" s="419"/>
      <c r="Z358" s="421"/>
      <c r="AA358" s="421"/>
      <c r="AB358" s="419"/>
      <c r="AC358" s="419"/>
      <c r="AD358" s="421"/>
      <c r="AE358" s="421"/>
      <c r="AF358" s="419"/>
      <c r="AG358" s="419"/>
      <c r="AH358" s="421"/>
      <c r="AI358" s="421"/>
      <c r="AJ358" s="419"/>
      <c r="AK358" s="419"/>
      <c r="AL358" s="421"/>
      <c r="AM358" s="421"/>
      <c r="AN358" s="419"/>
      <c r="AO358" s="419"/>
      <c r="AP358" s="421"/>
      <c r="AQ358" s="421"/>
      <c r="AR358" s="424">
        <f t="shared" si="145"/>
        <v>0</v>
      </c>
      <c r="AS358" s="422">
        <f t="shared" si="146"/>
        <v>0.92947558770343586</v>
      </c>
      <c r="AT358" s="425">
        <f t="shared" si="147"/>
        <v>0</v>
      </c>
      <c r="AU358" s="423">
        <f t="shared" si="148"/>
        <v>0.94161958568738224</v>
      </c>
      <c r="AV358" s="419"/>
      <c r="AW358" s="421"/>
      <c r="AX358" s="419">
        <v>13</v>
      </c>
      <c r="AY358" s="419">
        <v>21</v>
      </c>
      <c r="AZ358" s="421">
        <v>13</v>
      </c>
      <c r="BA358" s="420">
        <v>13</v>
      </c>
      <c r="BB358" s="419">
        <v>51</v>
      </c>
      <c r="BC358" s="419">
        <v>13</v>
      </c>
      <c r="BD358" s="421">
        <v>43</v>
      </c>
      <c r="BE358" s="420">
        <v>10</v>
      </c>
      <c r="BF358" s="419">
        <v>43</v>
      </c>
      <c r="BG358" s="419">
        <v>3</v>
      </c>
      <c r="BH358" s="421">
        <v>51</v>
      </c>
      <c r="BI358" s="420">
        <v>4</v>
      </c>
      <c r="BJ358" s="419"/>
      <c r="BK358" s="419"/>
      <c r="BL358" s="421"/>
      <c r="BM358" s="421"/>
      <c r="BN358" s="419"/>
      <c r="BO358" s="419"/>
      <c r="BP358" s="421"/>
      <c r="BQ358" s="421"/>
      <c r="BR358" s="419"/>
      <c r="BS358" s="419"/>
      <c r="BT358" s="421"/>
      <c r="BU358" s="421"/>
      <c r="BV358" s="419"/>
      <c r="BW358" s="419"/>
      <c r="BX358" s="421"/>
      <c r="BY358" s="421"/>
      <c r="BZ358" s="419"/>
      <c r="CA358" s="419"/>
      <c r="CB358" s="421"/>
      <c r="CC358" s="421"/>
      <c r="CD358" s="419"/>
      <c r="CE358" s="419"/>
      <c r="CF358" s="421"/>
      <c r="CG358" s="421"/>
      <c r="CH358" s="419"/>
      <c r="CI358" s="419"/>
      <c r="CJ358" s="421"/>
      <c r="CK358" s="421"/>
      <c r="CL358" s="419"/>
      <c r="CM358" s="421"/>
      <c r="CN358" s="424">
        <f t="shared" si="149"/>
        <v>37</v>
      </c>
      <c r="CO358" s="424">
        <f t="shared" si="150"/>
        <v>3</v>
      </c>
      <c r="CP358" s="425">
        <f t="shared" si="151"/>
        <v>27</v>
      </c>
      <c r="CQ358" s="425">
        <f t="shared" si="152"/>
        <v>3</v>
      </c>
      <c r="CR358" s="419"/>
      <c r="CS358" s="419"/>
      <c r="CT358" s="421"/>
      <c r="CU358" s="421"/>
      <c r="CV358" s="419"/>
      <c r="CW358" s="419"/>
      <c r="CX358" s="421"/>
      <c r="CY358" s="421"/>
      <c r="CZ358" s="419"/>
      <c r="DA358" s="419"/>
      <c r="DB358" s="421"/>
      <c r="DC358" s="421"/>
      <c r="DD358" s="419"/>
      <c r="DE358" s="419"/>
      <c r="DF358" s="421"/>
      <c r="DG358" s="421"/>
      <c r="DH358" s="419"/>
      <c r="DI358" s="419"/>
      <c r="DJ358" s="421"/>
      <c r="DK358" s="421"/>
      <c r="DL358" s="419"/>
      <c r="DM358" s="419"/>
      <c r="DN358" s="421"/>
      <c r="DO358" s="421"/>
      <c r="DP358" s="419"/>
      <c r="DQ358" s="419"/>
      <c r="DR358" s="421"/>
      <c r="DS358" s="421"/>
      <c r="DT358" s="419"/>
      <c r="DU358" s="419"/>
      <c r="DV358" s="421"/>
      <c r="DW358" s="421"/>
      <c r="DX358" s="419"/>
      <c r="DY358" s="419"/>
      <c r="DZ358" s="421"/>
      <c r="EA358" s="421"/>
      <c r="EB358" s="419"/>
      <c r="EC358" s="419"/>
      <c r="ED358" s="421"/>
      <c r="EE358" s="421"/>
      <c r="EF358" s="419"/>
      <c r="EG358" s="421"/>
      <c r="EH358" s="424">
        <f t="shared" si="153"/>
        <v>0</v>
      </c>
      <c r="EI358" s="424">
        <f t="shared" si="154"/>
        <v>0</v>
      </c>
      <c r="EJ358" s="422">
        <f t="shared" si="155"/>
        <v>0</v>
      </c>
      <c r="EK358" s="425">
        <f t="shared" si="156"/>
        <v>0</v>
      </c>
      <c r="EL358" s="425">
        <f t="shared" si="157"/>
        <v>0</v>
      </c>
      <c r="EM358" s="423">
        <f t="shared" si="158"/>
        <v>0</v>
      </c>
      <c r="EN358" s="424">
        <f t="shared" si="159"/>
        <v>37</v>
      </c>
      <c r="EO358" s="425">
        <f t="shared" si="160"/>
        <v>27</v>
      </c>
      <c r="EP358" s="419"/>
      <c r="EQ358" s="421"/>
      <c r="ER358" s="419"/>
      <c r="ES358" s="421"/>
      <c r="ET358" s="419"/>
      <c r="EU358" s="421"/>
      <c r="EV358" s="419"/>
      <c r="EW358" s="421"/>
      <c r="EX358" s="419"/>
      <c r="EY358" s="421"/>
      <c r="EZ358" s="419"/>
      <c r="FA358" s="421"/>
      <c r="FB358" s="419"/>
      <c r="FC358" s="421"/>
      <c r="FD358" s="419"/>
      <c r="FE358" s="421"/>
      <c r="FF358" s="419"/>
      <c r="FG358" s="421"/>
      <c r="FH358" s="419"/>
      <c r="FI358" s="421"/>
      <c r="FJ358" s="424">
        <f t="shared" si="161"/>
        <v>0</v>
      </c>
      <c r="FK358" s="425">
        <f t="shared" si="162"/>
        <v>0</v>
      </c>
      <c r="FL358" s="419"/>
      <c r="FM358" s="421"/>
      <c r="FN358" s="424">
        <f t="shared" si="163"/>
        <v>553</v>
      </c>
      <c r="FO358" s="425">
        <f t="shared" si="164"/>
        <v>531</v>
      </c>
    </row>
    <row r="359" spans="1:171" s="272" customFormat="1" ht="15" customHeight="1">
      <c r="A359" s="456" t="s">
        <v>164</v>
      </c>
      <c r="B359" s="27" t="s">
        <v>878</v>
      </c>
      <c r="C359" s="7" t="s">
        <v>1204</v>
      </c>
      <c r="D359" s="25">
        <v>218645</v>
      </c>
      <c r="E359" s="25">
        <v>6</v>
      </c>
      <c r="F359" s="419"/>
      <c r="G359" s="421"/>
      <c r="H359" s="419"/>
      <c r="I359" s="421"/>
      <c r="J359" s="419"/>
      <c r="K359" s="421"/>
      <c r="L359" s="422">
        <f t="shared" si="143"/>
        <v>0</v>
      </c>
      <c r="M359" s="423">
        <f t="shared" si="144"/>
        <v>0</v>
      </c>
      <c r="N359" s="419">
        <v>540</v>
      </c>
      <c r="O359" s="309">
        <f>0</f>
        <v>0</v>
      </c>
      <c r="P359" s="309">
        <f>0</f>
        <v>0</v>
      </c>
      <c r="Q359" s="309">
        <f>0</f>
        <v>0</v>
      </c>
      <c r="R359" s="424">
        <f t="shared" si="141"/>
        <v>0</v>
      </c>
      <c r="S359" s="421">
        <v>569</v>
      </c>
      <c r="T359" s="301">
        <f>0</f>
        <v>0</v>
      </c>
      <c r="U359" s="301">
        <f>0</f>
        <v>0</v>
      </c>
      <c r="V359" s="301">
        <f>0</f>
        <v>0</v>
      </c>
      <c r="W359" s="425">
        <f t="shared" si="142"/>
        <v>0</v>
      </c>
      <c r="X359" s="419"/>
      <c r="Y359" s="419"/>
      <c r="Z359" s="421"/>
      <c r="AA359" s="421"/>
      <c r="AB359" s="419"/>
      <c r="AC359" s="419"/>
      <c r="AD359" s="421"/>
      <c r="AE359" s="421"/>
      <c r="AF359" s="419"/>
      <c r="AG359" s="419"/>
      <c r="AH359" s="421"/>
      <c r="AI359" s="421"/>
      <c r="AJ359" s="419"/>
      <c r="AK359" s="419"/>
      <c r="AL359" s="421"/>
      <c r="AM359" s="421"/>
      <c r="AN359" s="419"/>
      <c r="AO359" s="419"/>
      <c r="AP359" s="421"/>
      <c r="AQ359" s="421"/>
      <c r="AR359" s="424">
        <f t="shared" si="145"/>
        <v>0</v>
      </c>
      <c r="AS359" s="422">
        <f t="shared" si="146"/>
        <v>0.94076655052264813</v>
      </c>
      <c r="AT359" s="425">
        <f t="shared" si="147"/>
        <v>0</v>
      </c>
      <c r="AU359" s="423">
        <f t="shared" si="148"/>
        <v>0.89045383411580592</v>
      </c>
      <c r="AV359" s="419"/>
      <c r="AW359" s="421"/>
      <c r="AX359" s="419">
        <v>42</v>
      </c>
      <c r="AY359" s="419">
        <v>16</v>
      </c>
      <c r="AZ359" s="421">
        <v>52</v>
      </c>
      <c r="BA359" s="420">
        <v>61</v>
      </c>
      <c r="BB359" s="419">
        <v>52</v>
      </c>
      <c r="BC359" s="419">
        <v>16</v>
      </c>
      <c r="BD359" s="421">
        <v>42</v>
      </c>
      <c r="BE359" s="420">
        <v>6</v>
      </c>
      <c r="BF359" s="419">
        <v>13</v>
      </c>
      <c r="BG359" s="419">
        <v>2</v>
      </c>
      <c r="BH359" s="421">
        <v>13</v>
      </c>
      <c r="BI359" s="420">
        <v>3</v>
      </c>
      <c r="BJ359" s="419"/>
      <c r="BK359" s="419"/>
      <c r="BL359" s="421"/>
      <c r="BM359" s="421"/>
      <c r="BN359" s="419"/>
      <c r="BO359" s="419"/>
      <c r="BP359" s="421"/>
      <c r="BQ359" s="421"/>
      <c r="BR359" s="419"/>
      <c r="BS359" s="419"/>
      <c r="BT359" s="421"/>
      <c r="BU359" s="421"/>
      <c r="BV359" s="419"/>
      <c r="BW359" s="419"/>
      <c r="BX359" s="421"/>
      <c r="BY359" s="421"/>
      <c r="BZ359" s="419"/>
      <c r="CA359" s="419"/>
      <c r="CB359" s="421"/>
      <c r="CC359" s="421"/>
      <c r="CD359" s="419"/>
      <c r="CE359" s="419"/>
      <c r="CF359" s="421"/>
      <c r="CG359" s="421"/>
      <c r="CH359" s="419"/>
      <c r="CI359" s="419"/>
      <c r="CJ359" s="421"/>
      <c r="CK359" s="421"/>
      <c r="CL359" s="419"/>
      <c r="CM359" s="421"/>
      <c r="CN359" s="424">
        <f t="shared" si="149"/>
        <v>34</v>
      </c>
      <c r="CO359" s="424">
        <f t="shared" si="150"/>
        <v>3</v>
      </c>
      <c r="CP359" s="425">
        <f t="shared" si="151"/>
        <v>70</v>
      </c>
      <c r="CQ359" s="425">
        <f t="shared" si="152"/>
        <v>3</v>
      </c>
      <c r="CR359" s="419"/>
      <c r="CS359" s="419"/>
      <c r="CT359" s="421"/>
      <c r="CU359" s="421"/>
      <c r="CV359" s="419"/>
      <c r="CW359" s="419"/>
      <c r="CX359" s="421"/>
      <c r="CY359" s="421"/>
      <c r="CZ359" s="419"/>
      <c r="DA359" s="419"/>
      <c r="DB359" s="421"/>
      <c r="DC359" s="421"/>
      <c r="DD359" s="419"/>
      <c r="DE359" s="419"/>
      <c r="DF359" s="421"/>
      <c r="DG359" s="421"/>
      <c r="DH359" s="419"/>
      <c r="DI359" s="419"/>
      <c r="DJ359" s="421"/>
      <c r="DK359" s="421"/>
      <c r="DL359" s="419"/>
      <c r="DM359" s="419"/>
      <c r="DN359" s="421"/>
      <c r="DO359" s="421"/>
      <c r="DP359" s="419"/>
      <c r="DQ359" s="419"/>
      <c r="DR359" s="421"/>
      <c r="DS359" s="421"/>
      <c r="DT359" s="419"/>
      <c r="DU359" s="419"/>
      <c r="DV359" s="421"/>
      <c r="DW359" s="421"/>
      <c r="DX359" s="419"/>
      <c r="DY359" s="419"/>
      <c r="DZ359" s="421"/>
      <c r="EA359" s="421"/>
      <c r="EB359" s="419"/>
      <c r="EC359" s="419"/>
      <c r="ED359" s="421"/>
      <c r="EE359" s="421"/>
      <c r="EF359" s="419"/>
      <c r="EG359" s="421"/>
      <c r="EH359" s="424">
        <f t="shared" si="153"/>
        <v>0</v>
      </c>
      <c r="EI359" s="424">
        <f t="shared" si="154"/>
        <v>0</v>
      </c>
      <c r="EJ359" s="422">
        <f t="shared" si="155"/>
        <v>0</v>
      </c>
      <c r="EK359" s="425">
        <f t="shared" si="156"/>
        <v>0</v>
      </c>
      <c r="EL359" s="425">
        <f t="shared" si="157"/>
        <v>0</v>
      </c>
      <c r="EM359" s="423">
        <f t="shared" si="158"/>
        <v>0</v>
      </c>
      <c r="EN359" s="424">
        <f t="shared" si="159"/>
        <v>34</v>
      </c>
      <c r="EO359" s="425">
        <f t="shared" si="160"/>
        <v>70</v>
      </c>
      <c r="EP359" s="419"/>
      <c r="EQ359" s="421"/>
      <c r="ER359" s="419"/>
      <c r="ES359" s="421"/>
      <c r="ET359" s="419"/>
      <c r="EU359" s="421"/>
      <c r="EV359" s="419"/>
      <c r="EW359" s="421"/>
      <c r="EX359" s="419"/>
      <c r="EY359" s="421"/>
      <c r="EZ359" s="419"/>
      <c r="FA359" s="421"/>
      <c r="FB359" s="419"/>
      <c r="FC359" s="421"/>
      <c r="FD359" s="419"/>
      <c r="FE359" s="421"/>
      <c r="FF359" s="419"/>
      <c r="FG359" s="421"/>
      <c r="FH359" s="419"/>
      <c r="FI359" s="421"/>
      <c r="FJ359" s="424">
        <f t="shared" si="161"/>
        <v>0</v>
      </c>
      <c r="FK359" s="425">
        <f t="shared" si="162"/>
        <v>0</v>
      </c>
      <c r="FL359" s="419"/>
      <c r="FM359" s="421"/>
      <c r="FN359" s="424">
        <f t="shared" si="163"/>
        <v>574</v>
      </c>
      <c r="FO359" s="425">
        <f t="shared" si="164"/>
        <v>639</v>
      </c>
    </row>
    <row r="360" spans="1:171" s="272" customFormat="1" ht="15" customHeight="1">
      <c r="A360" s="456" t="s">
        <v>164</v>
      </c>
      <c r="B360" s="22" t="s">
        <v>879</v>
      </c>
      <c r="C360" s="7"/>
      <c r="D360" s="25">
        <v>218654</v>
      </c>
      <c r="E360" s="25">
        <v>6</v>
      </c>
      <c r="F360" s="419">
        <v>1</v>
      </c>
      <c r="G360" s="421">
        <v>1</v>
      </c>
      <c r="H360" s="419"/>
      <c r="I360" s="421"/>
      <c r="J360" s="419">
        <v>1</v>
      </c>
      <c r="K360" s="420"/>
      <c r="L360" s="422">
        <f t="shared" si="143"/>
        <v>2.8328611898016999E-3</v>
      </c>
      <c r="M360" s="423">
        <f t="shared" si="144"/>
        <v>0</v>
      </c>
      <c r="N360" s="419">
        <v>353</v>
      </c>
      <c r="O360" s="309">
        <f>0</f>
        <v>0</v>
      </c>
      <c r="P360" s="309">
        <f>0</f>
        <v>0</v>
      </c>
      <c r="Q360" s="309">
        <f>0</f>
        <v>0</v>
      </c>
      <c r="R360" s="424">
        <f t="shared" si="141"/>
        <v>0</v>
      </c>
      <c r="S360" s="421">
        <v>409</v>
      </c>
      <c r="T360" s="301">
        <f>0</f>
        <v>0</v>
      </c>
      <c r="U360" s="301">
        <f>0</f>
        <v>0</v>
      </c>
      <c r="V360" s="301">
        <f>0</f>
        <v>0</v>
      </c>
      <c r="W360" s="425">
        <f t="shared" si="142"/>
        <v>0</v>
      </c>
      <c r="X360" s="419"/>
      <c r="Y360" s="419"/>
      <c r="Z360" s="421"/>
      <c r="AA360" s="421"/>
      <c r="AB360" s="419"/>
      <c r="AC360" s="419"/>
      <c r="AD360" s="421"/>
      <c r="AE360" s="421"/>
      <c r="AF360" s="419"/>
      <c r="AG360" s="419"/>
      <c r="AH360" s="421"/>
      <c r="AI360" s="421"/>
      <c r="AJ360" s="419"/>
      <c r="AK360" s="419"/>
      <c r="AL360" s="421"/>
      <c r="AM360" s="421"/>
      <c r="AN360" s="419"/>
      <c r="AO360" s="419"/>
      <c r="AP360" s="421"/>
      <c r="AQ360" s="421"/>
      <c r="AR360" s="424">
        <f t="shared" si="145"/>
        <v>0</v>
      </c>
      <c r="AS360" s="422">
        <f t="shared" si="146"/>
        <v>0.9943661971830986</v>
      </c>
      <c r="AT360" s="425">
        <f t="shared" si="147"/>
        <v>0</v>
      </c>
      <c r="AU360" s="423">
        <f t="shared" si="148"/>
        <v>0.9975609756097561</v>
      </c>
      <c r="AV360" s="419"/>
      <c r="AW360" s="421"/>
      <c r="AX360" s="419"/>
      <c r="AY360" s="419"/>
      <c r="AZ360" s="421"/>
      <c r="BA360" s="421"/>
      <c r="BB360" s="419"/>
      <c r="BC360" s="419"/>
      <c r="BD360" s="421"/>
      <c r="BE360" s="421"/>
      <c r="BF360" s="419"/>
      <c r="BG360" s="419"/>
      <c r="BH360" s="421"/>
      <c r="BI360" s="421"/>
      <c r="BJ360" s="419"/>
      <c r="BK360" s="419"/>
      <c r="BL360" s="421"/>
      <c r="BM360" s="421"/>
      <c r="BN360" s="419"/>
      <c r="BO360" s="419"/>
      <c r="BP360" s="421"/>
      <c r="BQ360" s="421"/>
      <c r="BR360" s="419"/>
      <c r="BS360" s="419"/>
      <c r="BT360" s="421"/>
      <c r="BU360" s="421"/>
      <c r="BV360" s="419"/>
      <c r="BW360" s="419"/>
      <c r="BX360" s="421"/>
      <c r="BY360" s="421"/>
      <c r="BZ360" s="419"/>
      <c r="CA360" s="419"/>
      <c r="CB360" s="421"/>
      <c r="CC360" s="421"/>
      <c r="CD360" s="419"/>
      <c r="CE360" s="419"/>
      <c r="CF360" s="421"/>
      <c r="CG360" s="421"/>
      <c r="CH360" s="419"/>
      <c r="CI360" s="419"/>
      <c r="CJ360" s="421"/>
      <c r="CK360" s="421"/>
      <c r="CL360" s="419"/>
      <c r="CM360" s="421"/>
      <c r="CN360" s="424">
        <f t="shared" si="149"/>
        <v>0</v>
      </c>
      <c r="CO360" s="424">
        <f t="shared" si="150"/>
        <v>0</v>
      </c>
      <c r="CP360" s="425">
        <f t="shared" si="151"/>
        <v>0</v>
      </c>
      <c r="CQ360" s="425">
        <f t="shared" si="152"/>
        <v>0</v>
      </c>
      <c r="CR360" s="419"/>
      <c r="CS360" s="419"/>
      <c r="CT360" s="421"/>
      <c r="CU360" s="421"/>
      <c r="CV360" s="419"/>
      <c r="CW360" s="419"/>
      <c r="CX360" s="421"/>
      <c r="CY360" s="421"/>
      <c r="CZ360" s="419"/>
      <c r="DA360" s="419"/>
      <c r="DB360" s="421"/>
      <c r="DC360" s="421"/>
      <c r="DD360" s="419"/>
      <c r="DE360" s="419"/>
      <c r="DF360" s="421"/>
      <c r="DG360" s="421"/>
      <c r="DH360" s="419"/>
      <c r="DI360" s="419"/>
      <c r="DJ360" s="421"/>
      <c r="DK360" s="421"/>
      <c r="DL360" s="419"/>
      <c r="DM360" s="419"/>
      <c r="DN360" s="421"/>
      <c r="DO360" s="421"/>
      <c r="DP360" s="419"/>
      <c r="DQ360" s="419"/>
      <c r="DR360" s="421"/>
      <c r="DS360" s="421"/>
      <c r="DT360" s="419"/>
      <c r="DU360" s="419"/>
      <c r="DV360" s="421"/>
      <c r="DW360" s="421"/>
      <c r="DX360" s="419"/>
      <c r="DY360" s="419"/>
      <c r="DZ360" s="421"/>
      <c r="EA360" s="421"/>
      <c r="EB360" s="419"/>
      <c r="EC360" s="419"/>
      <c r="ED360" s="421"/>
      <c r="EE360" s="421"/>
      <c r="EF360" s="419"/>
      <c r="EG360" s="421"/>
      <c r="EH360" s="424">
        <f t="shared" si="153"/>
        <v>0</v>
      </c>
      <c r="EI360" s="424">
        <f t="shared" si="154"/>
        <v>0</v>
      </c>
      <c r="EJ360" s="422">
        <f t="shared" si="155"/>
        <v>0</v>
      </c>
      <c r="EK360" s="425">
        <f t="shared" si="156"/>
        <v>0</v>
      </c>
      <c r="EL360" s="425">
        <f t="shared" si="157"/>
        <v>0</v>
      </c>
      <c r="EM360" s="423">
        <f t="shared" si="158"/>
        <v>0</v>
      </c>
      <c r="EN360" s="424">
        <f t="shared" si="159"/>
        <v>0</v>
      </c>
      <c r="EO360" s="425">
        <f t="shared" si="160"/>
        <v>0</v>
      </c>
      <c r="EP360" s="419"/>
      <c r="EQ360" s="421"/>
      <c r="ER360" s="419"/>
      <c r="ES360" s="421"/>
      <c r="ET360" s="419"/>
      <c r="EU360" s="421"/>
      <c r="EV360" s="419"/>
      <c r="EW360" s="421"/>
      <c r="EX360" s="419"/>
      <c r="EY360" s="421"/>
      <c r="EZ360" s="419"/>
      <c r="FA360" s="421"/>
      <c r="FB360" s="419"/>
      <c r="FC360" s="421"/>
      <c r="FD360" s="419"/>
      <c r="FE360" s="421"/>
      <c r="FF360" s="419"/>
      <c r="FG360" s="421"/>
      <c r="FH360" s="419"/>
      <c r="FI360" s="421"/>
      <c r="FJ360" s="424">
        <f t="shared" si="161"/>
        <v>0</v>
      </c>
      <c r="FK360" s="425">
        <f t="shared" si="162"/>
        <v>0</v>
      </c>
      <c r="FL360" s="419"/>
      <c r="FM360" s="421"/>
      <c r="FN360" s="424">
        <f t="shared" si="163"/>
        <v>355</v>
      </c>
      <c r="FO360" s="425">
        <f t="shared" si="164"/>
        <v>410</v>
      </c>
    </row>
    <row r="361" spans="1:171" s="272" customFormat="1" ht="15" customHeight="1">
      <c r="A361" s="456" t="s">
        <v>164</v>
      </c>
      <c r="B361" s="27" t="s">
        <v>880</v>
      </c>
      <c r="C361" s="7"/>
      <c r="D361" s="25">
        <v>218742</v>
      </c>
      <c r="E361" s="25">
        <v>6</v>
      </c>
      <c r="F361" s="419"/>
      <c r="G361" s="421"/>
      <c r="H361" s="419"/>
      <c r="I361" s="421"/>
      <c r="J361" s="419"/>
      <c r="K361" s="421"/>
      <c r="L361" s="422">
        <f t="shared" si="143"/>
        <v>0</v>
      </c>
      <c r="M361" s="423">
        <f t="shared" si="144"/>
        <v>0</v>
      </c>
      <c r="N361" s="419">
        <v>1274</v>
      </c>
      <c r="O361" s="309">
        <f>0</f>
        <v>0</v>
      </c>
      <c r="P361" s="309">
        <f>0</f>
        <v>0</v>
      </c>
      <c r="Q361" s="309">
        <f>0</f>
        <v>0</v>
      </c>
      <c r="R361" s="424">
        <f t="shared" si="141"/>
        <v>0</v>
      </c>
      <c r="S361" s="421">
        <v>1267</v>
      </c>
      <c r="T361" s="301">
        <f>0</f>
        <v>0</v>
      </c>
      <c r="U361" s="301">
        <f>0</f>
        <v>0</v>
      </c>
      <c r="V361" s="301">
        <f>0</f>
        <v>0</v>
      </c>
      <c r="W361" s="425">
        <f t="shared" si="142"/>
        <v>0</v>
      </c>
      <c r="X361" s="419"/>
      <c r="Y361" s="419"/>
      <c r="Z361" s="421"/>
      <c r="AA361" s="421"/>
      <c r="AB361" s="419"/>
      <c r="AC361" s="419"/>
      <c r="AD361" s="421"/>
      <c r="AE361" s="421"/>
      <c r="AF361" s="419"/>
      <c r="AG361" s="419"/>
      <c r="AH361" s="421"/>
      <c r="AI361" s="421"/>
      <c r="AJ361" s="419"/>
      <c r="AK361" s="419"/>
      <c r="AL361" s="421"/>
      <c r="AM361" s="421"/>
      <c r="AN361" s="419"/>
      <c r="AO361" s="419"/>
      <c r="AP361" s="421"/>
      <c r="AQ361" s="421"/>
      <c r="AR361" s="424">
        <f t="shared" si="145"/>
        <v>0</v>
      </c>
      <c r="AS361" s="422">
        <f t="shared" si="146"/>
        <v>0.98075442648190914</v>
      </c>
      <c r="AT361" s="425">
        <f t="shared" si="147"/>
        <v>0</v>
      </c>
      <c r="AU361" s="423">
        <f t="shared" si="148"/>
        <v>0.98293250581846392</v>
      </c>
      <c r="AV361" s="419">
        <v>6</v>
      </c>
      <c r="AW361" s="420">
        <v>2</v>
      </c>
      <c r="AX361" s="419">
        <v>52</v>
      </c>
      <c r="AY361" s="419">
        <v>7</v>
      </c>
      <c r="AZ361" s="421">
        <v>13</v>
      </c>
      <c r="BA361" s="420">
        <v>15</v>
      </c>
      <c r="BB361" s="419">
        <v>13</v>
      </c>
      <c r="BC361" s="419">
        <v>6</v>
      </c>
      <c r="BD361" s="421">
        <v>52</v>
      </c>
      <c r="BE361" s="420">
        <v>3</v>
      </c>
      <c r="BF361" s="419">
        <v>51</v>
      </c>
      <c r="BG361" s="419">
        <v>6</v>
      </c>
      <c r="BH361" s="421">
        <v>51</v>
      </c>
      <c r="BI361" s="420">
        <v>2</v>
      </c>
      <c r="BJ361" s="419"/>
      <c r="BK361" s="419"/>
      <c r="BL361" s="421"/>
      <c r="BM361" s="421"/>
      <c r="BN361" s="419"/>
      <c r="BO361" s="419"/>
      <c r="BP361" s="421"/>
      <c r="BQ361" s="421"/>
      <c r="BR361" s="419"/>
      <c r="BS361" s="419"/>
      <c r="BT361" s="421"/>
      <c r="BU361" s="421"/>
      <c r="BV361" s="419"/>
      <c r="BW361" s="419"/>
      <c r="BX361" s="421"/>
      <c r="BY361" s="421"/>
      <c r="BZ361" s="419"/>
      <c r="CA361" s="419"/>
      <c r="CB361" s="421"/>
      <c r="CC361" s="421"/>
      <c r="CD361" s="419"/>
      <c r="CE361" s="419"/>
      <c r="CF361" s="421"/>
      <c r="CG361" s="421"/>
      <c r="CH361" s="419"/>
      <c r="CI361" s="419"/>
      <c r="CJ361" s="421"/>
      <c r="CK361" s="421"/>
      <c r="CL361" s="419"/>
      <c r="CM361" s="421"/>
      <c r="CN361" s="424">
        <f t="shared" si="149"/>
        <v>19</v>
      </c>
      <c r="CO361" s="424">
        <f t="shared" si="150"/>
        <v>3</v>
      </c>
      <c r="CP361" s="425">
        <f t="shared" si="151"/>
        <v>20</v>
      </c>
      <c r="CQ361" s="425">
        <f t="shared" si="152"/>
        <v>3</v>
      </c>
      <c r="CR361" s="419"/>
      <c r="CS361" s="419"/>
      <c r="CT361" s="421"/>
      <c r="CU361" s="421"/>
      <c r="CV361" s="419"/>
      <c r="CW361" s="419"/>
      <c r="CX361" s="421"/>
      <c r="CY361" s="421"/>
      <c r="CZ361" s="419"/>
      <c r="DA361" s="419"/>
      <c r="DB361" s="421"/>
      <c r="DC361" s="421"/>
      <c r="DD361" s="419"/>
      <c r="DE361" s="419"/>
      <c r="DF361" s="421"/>
      <c r="DG361" s="421"/>
      <c r="DH361" s="419"/>
      <c r="DI361" s="419"/>
      <c r="DJ361" s="421"/>
      <c r="DK361" s="421"/>
      <c r="DL361" s="419"/>
      <c r="DM361" s="419"/>
      <c r="DN361" s="421"/>
      <c r="DO361" s="421"/>
      <c r="DP361" s="419"/>
      <c r="DQ361" s="419"/>
      <c r="DR361" s="421"/>
      <c r="DS361" s="421"/>
      <c r="DT361" s="419"/>
      <c r="DU361" s="419"/>
      <c r="DV361" s="421"/>
      <c r="DW361" s="421"/>
      <c r="DX361" s="419"/>
      <c r="DY361" s="419"/>
      <c r="DZ361" s="421"/>
      <c r="EA361" s="421"/>
      <c r="EB361" s="419"/>
      <c r="EC361" s="419"/>
      <c r="ED361" s="421"/>
      <c r="EE361" s="421"/>
      <c r="EF361" s="419"/>
      <c r="EG361" s="421"/>
      <c r="EH361" s="424">
        <f t="shared" si="153"/>
        <v>0</v>
      </c>
      <c r="EI361" s="424">
        <f t="shared" si="154"/>
        <v>0</v>
      </c>
      <c r="EJ361" s="422">
        <f t="shared" si="155"/>
        <v>0</v>
      </c>
      <c r="EK361" s="425">
        <f t="shared" si="156"/>
        <v>0</v>
      </c>
      <c r="EL361" s="425">
        <f t="shared" si="157"/>
        <v>0</v>
      </c>
      <c r="EM361" s="423">
        <f t="shared" si="158"/>
        <v>0</v>
      </c>
      <c r="EN361" s="424">
        <f t="shared" si="159"/>
        <v>19</v>
      </c>
      <c r="EO361" s="425">
        <f t="shared" si="160"/>
        <v>20</v>
      </c>
      <c r="EP361" s="419"/>
      <c r="EQ361" s="421"/>
      <c r="ER361" s="419"/>
      <c r="ES361" s="421"/>
      <c r="ET361" s="419"/>
      <c r="EU361" s="421"/>
      <c r="EV361" s="419"/>
      <c r="EW361" s="421"/>
      <c r="EX361" s="419"/>
      <c r="EY361" s="421"/>
      <c r="EZ361" s="419"/>
      <c r="FA361" s="421"/>
      <c r="FB361" s="419"/>
      <c r="FC361" s="421"/>
      <c r="FD361" s="419"/>
      <c r="FE361" s="421"/>
      <c r="FF361" s="419"/>
      <c r="FG361" s="421"/>
      <c r="FH361" s="419"/>
      <c r="FI361" s="421"/>
      <c r="FJ361" s="424">
        <f t="shared" si="161"/>
        <v>0</v>
      </c>
      <c r="FK361" s="425">
        <f t="shared" si="162"/>
        <v>0</v>
      </c>
      <c r="FL361" s="419"/>
      <c r="FM361" s="421"/>
      <c r="FN361" s="424">
        <f t="shared" si="163"/>
        <v>1299</v>
      </c>
      <c r="FO361" s="425">
        <f t="shared" si="164"/>
        <v>1289</v>
      </c>
    </row>
    <row r="362" spans="1:171" s="272" customFormat="1" ht="15" customHeight="1">
      <c r="A362" s="456" t="s">
        <v>164</v>
      </c>
      <c r="B362" s="27" t="s">
        <v>881</v>
      </c>
      <c r="C362" s="7"/>
      <c r="D362" s="25">
        <v>218113</v>
      </c>
      <c r="E362" s="20">
        <v>8</v>
      </c>
      <c r="F362" s="419">
        <v>864</v>
      </c>
      <c r="G362" s="421">
        <v>813</v>
      </c>
      <c r="H362" s="419"/>
      <c r="I362" s="421"/>
      <c r="J362" s="419">
        <v>1326</v>
      </c>
      <c r="K362" s="421">
        <v>1254</v>
      </c>
      <c r="L362" s="422">
        <f t="shared" si="143"/>
        <v>0</v>
      </c>
      <c r="M362" s="423">
        <f t="shared" si="144"/>
        <v>0</v>
      </c>
      <c r="N362" s="419"/>
      <c r="O362" s="309">
        <f>0</f>
        <v>0</v>
      </c>
      <c r="P362" s="309">
        <f>0</f>
        <v>0</v>
      </c>
      <c r="Q362" s="309">
        <f>0</f>
        <v>0</v>
      </c>
      <c r="R362" s="424">
        <f t="shared" si="141"/>
        <v>0</v>
      </c>
      <c r="S362" s="421"/>
      <c r="T362" s="301">
        <f>0</f>
        <v>0</v>
      </c>
      <c r="U362" s="301">
        <f>0</f>
        <v>0</v>
      </c>
      <c r="V362" s="301">
        <f>0</f>
        <v>0</v>
      </c>
      <c r="W362" s="425">
        <f t="shared" si="142"/>
        <v>0</v>
      </c>
      <c r="X362" s="419"/>
      <c r="Y362" s="419"/>
      <c r="Z362" s="421"/>
      <c r="AA362" s="421"/>
      <c r="AB362" s="419"/>
      <c r="AC362" s="419"/>
      <c r="AD362" s="421"/>
      <c r="AE362" s="421"/>
      <c r="AF362" s="419"/>
      <c r="AG362" s="419"/>
      <c r="AH362" s="421"/>
      <c r="AI362" s="421"/>
      <c r="AJ362" s="419"/>
      <c r="AK362" s="419"/>
      <c r="AL362" s="421"/>
      <c r="AM362" s="421"/>
      <c r="AN362" s="419"/>
      <c r="AO362" s="419"/>
      <c r="AP362" s="421"/>
      <c r="AQ362" s="421"/>
      <c r="AR362" s="424">
        <f t="shared" si="145"/>
        <v>0</v>
      </c>
      <c r="AS362" s="422">
        <f t="shared" si="146"/>
        <v>0</v>
      </c>
      <c r="AT362" s="425">
        <f t="shared" si="147"/>
        <v>0</v>
      </c>
      <c r="AU362" s="423">
        <f t="shared" si="148"/>
        <v>0</v>
      </c>
      <c r="AV362" s="419"/>
      <c r="AW362" s="421"/>
      <c r="AX362" s="419"/>
      <c r="AY362" s="419"/>
      <c r="AZ362" s="421"/>
      <c r="BA362" s="421"/>
      <c r="BB362" s="419"/>
      <c r="BC362" s="419"/>
      <c r="BD362" s="421"/>
      <c r="BE362" s="421"/>
      <c r="BF362" s="419"/>
      <c r="BG362" s="419"/>
      <c r="BH362" s="421"/>
      <c r="BI362" s="421"/>
      <c r="BJ362" s="419"/>
      <c r="BK362" s="419"/>
      <c r="BL362" s="421"/>
      <c r="BM362" s="421"/>
      <c r="BN362" s="419"/>
      <c r="BO362" s="419"/>
      <c r="BP362" s="421"/>
      <c r="BQ362" s="421"/>
      <c r="BR362" s="419"/>
      <c r="BS362" s="419"/>
      <c r="BT362" s="421"/>
      <c r="BU362" s="421"/>
      <c r="BV362" s="419"/>
      <c r="BW362" s="419"/>
      <c r="BX362" s="421"/>
      <c r="BY362" s="421"/>
      <c r="BZ362" s="419"/>
      <c r="CA362" s="419"/>
      <c r="CB362" s="421"/>
      <c r="CC362" s="421"/>
      <c r="CD362" s="419"/>
      <c r="CE362" s="419"/>
      <c r="CF362" s="421"/>
      <c r="CG362" s="421"/>
      <c r="CH362" s="419"/>
      <c r="CI362" s="419"/>
      <c r="CJ362" s="421"/>
      <c r="CK362" s="421"/>
      <c r="CL362" s="419"/>
      <c r="CM362" s="421"/>
      <c r="CN362" s="424">
        <f t="shared" si="149"/>
        <v>0</v>
      </c>
      <c r="CO362" s="424">
        <f t="shared" si="150"/>
        <v>0</v>
      </c>
      <c r="CP362" s="425">
        <f t="shared" si="151"/>
        <v>0</v>
      </c>
      <c r="CQ362" s="425">
        <f t="shared" si="152"/>
        <v>0</v>
      </c>
      <c r="CR362" s="419"/>
      <c r="CS362" s="419"/>
      <c r="CT362" s="421"/>
      <c r="CU362" s="421"/>
      <c r="CV362" s="419"/>
      <c r="CW362" s="419"/>
      <c r="CX362" s="421"/>
      <c r="CY362" s="421"/>
      <c r="CZ362" s="419"/>
      <c r="DA362" s="419"/>
      <c r="DB362" s="421"/>
      <c r="DC362" s="421"/>
      <c r="DD362" s="419"/>
      <c r="DE362" s="419"/>
      <c r="DF362" s="421"/>
      <c r="DG362" s="421"/>
      <c r="DH362" s="419"/>
      <c r="DI362" s="419"/>
      <c r="DJ362" s="421"/>
      <c r="DK362" s="421"/>
      <c r="DL362" s="419"/>
      <c r="DM362" s="419"/>
      <c r="DN362" s="421"/>
      <c r="DO362" s="421"/>
      <c r="DP362" s="419"/>
      <c r="DQ362" s="419"/>
      <c r="DR362" s="421"/>
      <c r="DS362" s="421"/>
      <c r="DT362" s="419"/>
      <c r="DU362" s="419"/>
      <c r="DV362" s="421"/>
      <c r="DW362" s="421"/>
      <c r="DX362" s="419"/>
      <c r="DY362" s="419"/>
      <c r="DZ362" s="421"/>
      <c r="EA362" s="421"/>
      <c r="EB362" s="419"/>
      <c r="EC362" s="419"/>
      <c r="ED362" s="421"/>
      <c r="EE362" s="421"/>
      <c r="EF362" s="419"/>
      <c r="EG362" s="421"/>
      <c r="EH362" s="424">
        <f t="shared" si="153"/>
        <v>0</v>
      </c>
      <c r="EI362" s="424">
        <f t="shared" si="154"/>
        <v>0</v>
      </c>
      <c r="EJ362" s="422">
        <f t="shared" si="155"/>
        <v>0</v>
      </c>
      <c r="EK362" s="425">
        <f t="shared" si="156"/>
        <v>0</v>
      </c>
      <c r="EL362" s="425">
        <f t="shared" si="157"/>
        <v>0</v>
      </c>
      <c r="EM362" s="423">
        <f t="shared" si="158"/>
        <v>0</v>
      </c>
      <c r="EN362" s="424">
        <f t="shared" si="159"/>
        <v>0</v>
      </c>
      <c r="EO362" s="425">
        <f t="shared" si="160"/>
        <v>0</v>
      </c>
      <c r="EP362" s="419"/>
      <c r="EQ362" s="421"/>
      <c r="ER362" s="419"/>
      <c r="ES362" s="421"/>
      <c r="ET362" s="419"/>
      <c r="EU362" s="421"/>
      <c r="EV362" s="419"/>
      <c r="EW362" s="421"/>
      <c r="EX362" s="419"/>
      <c r="EY362" s="421"/>
      <c r="EZ362" s="419"/>
      <c r="FA362" s="421"/>
      <c r="FB362" s="419"/>
      <c r="FC362" s="421"/>
      <c r="FD362" s="419"/>
      <c r="FE362" s="421"/>
      <c r="FF362" s="419"/>
      <c r="FG362" s="421"/>
      <c r="FH362" s="419"/>
      <c r="FI362" s="421"/>
      <c r="FJ362" s="424">
        <f t="shared" si="161"/>
        <v>0</v>
      </c>
      <c r="FK362" s="425">
        <f t="shared" si="162"/>
        <v>0</v>
      </c>
      <c r="FL362" s="419"/>
      <c r="FM362" s="421"/>
      <c r="FN362" s="424">
        <f t="shared" si="163"/>
        <v>2190</v>
      </c>
      <c r="FO362" s="425">
        <f t="shared" si="164"/>
        <v>2067</v>
      </c>
    </row>
    <row r="363" spans="1:171" s="272" customFormat="1" ht="15" customHeight="1">
      <c r="A363" s="456" t="s">
        <v>164</v>
      </c>
      <c r="B363" s="19" t="s">
        <v>882</v>
      </c>
      <c r="C363" s="7" t="s">
        <v>1208</v>
      </c>
      <c r="D363" s="25">
        <v>218140</v>
      </c>
      <c r="E363" s="20">
        <v>8</v>
      </c>
      <c r="F363" s="419">
        <v>530</v>
      </c>
      <c r="G363" s="421">
        <v>528</v>
      </c>
      <c r="H363" s="419"/>
      <c r="I363" s="421"/>
      <c r="J363" s="419">
        <v>984</v>
      </c>
      <c r="K363" s="421">
        <v>1033</v>
      </c>
      <c r="L363" s="422">
        <f t="shared" si="143"/>
        <v>0</v>
      </c>
      <c r="M363" s="423">
        <f t="shared" si="144"/>
        <v>0</v>
      </c>
      <c r="N363" s="419"/>
      <c r="O363" s="309">
        <f>0</f>
        <v>0</v>
      </c>
      <c r="P363" s="309">
        <f>0</f>
        <v>0</v>
      </c>
      <c r="Q363" s="309">
        <f>0</f>
        <v>0</v>
      </c>
      <c r="R363" s="424">
        <f t="shared" si="141"/>
        <v>0</v>
      </c>
      <c r="S363" s="421"/>
      <c r="T363" s="301">
        <f>0</f>
        <v>0</v>
      </c>
      <c r="U363" s="301">
        <f>0</f>
        <v>0</v>
      </c>
      <c r="V363" s="301">
        <f>0</f>
        <v>0</v>
      </c>
      <c r="W363" s="425">
        <f t="shared" si="142"/>
        <v>0</v>
      </c>
      <c r="X363" s="419"/>
      <c r="Y363" s="419"/>
      <c r="Z363" s="421"/>
      <c r="AA363" s="421"/>
      <c r="AB363" s="419"/>
      <c r="AC363" s="419"/>
      <c r="AD363" s="421"/>
      <c r="AE363" s="421"/>
      <c r="AF363" s="419"/>
      <c r="AG363" s="419"/>
      <c r="AH363" s="421"/>
      <c r="AI363" s="421"/>
      <c r="AJ363" s="419"/>
      <c r="AK363" s="419"/>
      <c r="AL363" s="421"/>
      <c r="AM363" s="421"/>
      <c r="AN363" s="419"/>
      <c r="AO363" s="419"/>
      <c r="AP363" s="421"/>
      <c r="AQ363" s="421"/>
      <c r="AR363" s="424">
        <f t="shared" si="145"/>
        <v>0</v>
      </c>
      <c r="AS363" s="422">
        <f t="shared" si="146"/>
        <v>0</v>
      </c>
      <c r="AT363" s="425">
        <f t="shared" si="147"/>
        <v>0</v>
      </c>
      <c r="AU363" s="423">
        <f t="shared" si="148"/>
        <v>0</v>
      </c>
      <c r="AV363" s="419"/>
      <c r="AW363" s="421"/>
      <c r="AX363" s="419"/>
      <c r="AY363" s="419"/>
      <c r="AZ363" s="421"/>
      <c r="BA363" s="421"/>
      <c r="BB363" s="419"/>
      <c r="BC363" s="419"/>
      <c r="BD363" s="421"/>
      <c r="BE363" s="421"/>
      <c r="BF363" s="419"/>
      <c r="BG363" s="419"/>
      <c r="BH363" s="421"/>
      <c r="BI363" s="421"/>
      <c r="BJ363" s="419"/>
      <c r="BK363" s="419"/>
      <c r="BL363" s="421"/>
      <c r="BM363" s="421"/>
      <c r="BN363" s="419"/>
      <c r="BO363" s="419"/>
      <c r="BP363" s="421"/>
      <c r="BQ363" s="421"/>
      <c r="BR363" s="419"/>
      <c r="BS363" s="419"/>
      <c r="BT363" s="421"/>
      <c r="BU363" s="421"/>
      <c r="BV363" s="419"/>
      <c r="BW363" s="419"/>
      <c r="BX363" s="421"/>
      <c r="BY363" s="421"/>
      <c r="BZ363" s="419"/>
      <c r="CA363" s="419"/>
      <c r="CB363" s="421"/>
      <c r="CC363" s="421"/>
      <c r="CD363" s="419"/>
      <c r="CE363" s="419"/>
      <c r="CF363" s="421"/>
      <c r="CG363" s="421"/>
      <c r="CH363" s="419"/>
      <c r="CI363" s="419"/>
      <c r="CJ363" s="421"/>
      <c r="CK363" s="421"/>
      <c r="CL363" s="419"/>
      <c r="CM363" s="421"/>
      <c r="CN363" s="424">
        <f t="shared" si="149"/>
        <v>0</v>
      </c>
      <c r="CO363" s="424">
        <f t="shared" si="150"/>
        <v>0</v>
      </c>
      <c r="CP363" s="425">
        <f t="shared" si="151"/>
        <v>0</v>
      </c>
      <c r="CQ363" s="425">
        <f t="shared" si="152"/>
        <v>0</v>
      </c>
      <c r="CR363" s="419"/>
      <c r="CS363" s="419"/>
      <c r="CT363" s="421"/>
      <c r="CU363" s="421"/>
      <c r="CV363" s="419"/>
      <c r="CW363" s="419"/>
      <c r="CX363" s="421"/>
      <c r="CY363" s="421"/>
      <c r="CZ363" s="419"/>
      <c r="DA363" s="419"/>
      <c r="DB363" s="421"/>
      <c r="DC363" s="421"/>
      <c r="DD363" s="419"/>
      <c r="DE363" s="419"/>
      <c r="DF363" s="421"/>
      <c r="DG363" s="421"/>
      <c r="DH363" s="419"/>
      <c r="DI363" s="419"/>
      <c r="DJ363" s="421"/>
      <c r="DK363" s="421"/>
      <c r="DL363" s="419"/>
      <c r="DM363" s="419"/>
      <c r="DN363" s="421"/>
      <c r="DO363" s="421"/>
      <c r="DP363" s="419"/>
      <c r="DQ363" s="419"/>
      <c r="DR363" s="421"/>
      <c r="DS363" s="421"/>
      <c r="DT363" s="419"/>
      <c r="DU363" s="419"/>
      <c r="DV363" s="421"/>
      <c r="DW363" s="421"/>
      <c r="DX363" s="419"/>
      <c r="DY363" s="419"/>
      <c r="DZ363" s="421"/>
      <c r="EA363" s="421"/>
      <c r="EB363" s="419"/>
      <c r="EC363" s="419"/>
      <c r="ED363" s="421"/>
      <c r="EE363" s="421"/>
      <c r="EF363" s="419"/>
      <c r="EG363" s="421"/>
      <c r="EH363" s="424">
        <f t="shared" si="153"/>
        <v>0</v>
      </c>
      <c r="EI363" s="424">
        <f t="shared" si="154"/>
        <v>0</v>
      </c>
      <c r="EJ363" s="422">
        <f t="shared" si="155"/>
        <v>0</v>
      </c>
      <c r="EK363" s="425">
        <f t="shared" si="156"/>
        <v>0</v>
      </c>
      <c r="EL363" s="425">
        <f t="shared" si="157"/>
        <v>0</v>
      </c>
      <c r="EM363" s="423">
        <f t="shared" si="158"/>
        <v>0</v>
      </c>
      <c r="EN363" s="424">
        <f t="shared" si="159"/>
        <v>0</v>
      </c>
      <c r="EO363" s="425">
        <f t="shared" si="160"/>
        <v>0</v>
      </c>
      <c r="EP363" s="419"/>
      <c r="EQ363" s="421"/>
      <c r="ER363" s="419"/>
      <c r="ES363" s="421"/>
      <c r="ET363" s="419"/>
      <c r="EU363" s="421"/>
      <c r="EV363" s="419"/>
      <c r="EW363" s="421"/>
      <c r="EX363" s="419"/>
      <c r="EY363" s="421"/>
      <c r="EZ363" s="419"/>
      <c r="FA363" s="421"/>
      <c r="FB363" s="419"/>
      <c r="FC363" s="421"/>
      <c r="FD363" s="419"/>
      <c r="FE363" s="421"/>
      <c r="FF363" s="419"/>
      <c r="FG363" s="421"/>
      <c r="FH363" s="419"/>
      <c r="FI363" s="421"/>
      <c r="FJ363" s="424">
        <f t="shared" si="161"/>
        <v>0</v>
      </c>
      <c r="FK363" s="425">
        <f t="shared" si="162"/>
        <v>0</v>
      </c>
      <c r="FL363" s="419"/>
      <c r="FM363" s="421"/>
      <c r="FN363" s="424">
        <f t="shared" si="163"/>
        <v>1514</v>
      </c>
      <c r="FO363" s="425">
        <f t="shared" si="164"/>
        <v>1561</v>
      </c>
    </row>
    <row r="364" spans="1:171" s="272" customFormat="1" ht="15" customHeight="1">
      <c r="A364" s="456" t="s">
        <v>164</v>
      </c>
      <c r="B364" s="27" t="s">
        <v>883</v>
      </c>
      <c r="C364" s="7"/>
      <c r="D364" s="25">
        <v>218353</v>
      </c>
      <c r="E364" s="20">
        <v>8</v>
      </c>
      <c r="F364" s="419">
        <v>916</v>
      </c>
      <c r="G364" s="421">
        <v>893</v>
      </c>
      <c r="H364" s="419"/>
      <c r="I364" s="421"/>
      <c r="J364" s="419">
        <v>1209</v>
      </c>
      <c r="K364" s="421">
        <v>1248</v>
      </c>
      <c r="L364" s="422">
        <f t="shared" si="143"/>
        <v>0</v>
      </c>
      <c r="M364" s="423">
        <f t="shared" si="144"/>
        <v>0</v>
      </c>
      <c r="N364" s="419"/>
      <c r="O364" s="309">
        <f>0</f>
        <v>0</v>
      </c>
      <c r="P364" s="309">
        <f>0</f>
        <v>0</v>
      </c>
      <c r="Q364" s="309">
        <f>0</f>
        <v>0</v>
      </c>
      <c r="R364" s="424">
        <f t="shared" si="141"/>
        <v>0</v>
      </c>
      <c r="S364" s="421"/>
      <c r="T364" s="301">
        <f>0</f>
        <v>0</v>
      </c>
      <c r="U364" s="301">
        <f>0</f>
        <v>0</v>
      </c>
      <c r="V364" s="301">
        <f>0</f>
        <v>0</v>
      </c>
      <c r="W364" s="425">
        <f t="shared" si="142"/>
        <v>0</v>
      </c>
      <c r="X364" s="419"/>
      <c r="Y364" s="419"/>
      <c r="Z364" s="421"/>
      <c r="AA364" s="421"/>
      <c r="AB364" s="419"/>
      <c r="AC364" s="419"/>
      <c r="AD364" s="421"/>
      <c r="AE364" s="421"/>
      <c r="AF364" s="419"/>
      <c r="AG364" s="419"/>
      <c r="AH364" s="421"/>
      <c r="AI364" s="421"/>
      <c r="AJ364" s="419"/>
      <c r="AK364" s="419"/>
      <c r="AL364" s="421"/>
      <c r="AM364" s="421"/>
      <c r="AN364" s="419"/>
      <c r="AO364" s="419"/>
      <c r="AP364" s="421"/>
      <c r="AQ364" s="421"/>
      <c r="AR364" s="424">
        <f t="shared" si="145"/>
        <v>0</v>
      </c>
      <c r="AS364" s="422">
        <f t="shared" si="146"/>
        <v>0</v>
      </c>
      <c r="AT364" s="425">
        <f t="shared" si="147"/>
        <v>0</v>
      </c>
      <c r="AU364" s="423">
        <f t="shared" si="148"/>
        <v>0</v>
      </c>
      <c r="AV364" s="419"/>
      <c r="AW364" s="421"/>
      <c r="AX364" s="419"/>
      <c r="AY364" s="419"/>
      <c r="AZ364" s="421"/>
      <c r="BA364" s="421"/>
      <c r="BB364" s="419"/>
      <c r="BC364" s="419"/>
      <c r="BD364" s="421"/>
      <c r="BE364" s="421"/>
      <c r="BF364" s="419"/>
      <c r="BG364" s="419"/>
      <c r="BH364" s="421"/>
      <c r="BI364" s="421"/>
      <c r="BJ364" s="419"/>
      <c r="BK364" s="419"/>
      <c r="BL364" s="421"/>
      <c r="BM364" s="421"/>
      <c r="BN364" s="419"/>
      <c r="BO364" s="419"/>
      <c r="BP364" s="421"/>
      <c r="BQ364" s="421"/>
      <c r="BR364" s="419"/>
      <c r="BS364" s="419"/>
      <c r="BT364" s="421"/>
      <c r="BU364" s="421"/>
      <c r="BV364" s="419"/>
      <c r="BW364" s="419"/>
      <c r="BX364" s="421"/>
      <c r="BY364" s="421"/>
      <c r="BZ364" s="419"/>
      <c r="CA364" s="419"/>
      <c r="CB364" s="421"/>
      <c r="CC364" s="421"/>
      <c r="CD364" s="419"/>
      <c r="CE364" s="419"/>
      <c r="CF364" s="421"/>
      <c r="CG364" s="421"/>
      <c r="CH364" s="419"/>
      <c r="CI364" s="419"/>
      <c r="CJ364" s="421"/>
      <c r="CK364" s="421"/>
      <c r="CL364" s="419"/>
      <c r="CM364" s="421"/>
      <c r="CN364" s="424">
        <f t="shared" si="149"/>
        <v>0</v>
      </c>
      <c r="CO364" s="424">
        <f t="shared" si="150"/>
        <v>0</v>
      </c>
      <c r="CP364" s="425">
        <f t="shared" si="151"/>
        <v>0</v>
      </c>
      <c r="CQ364" s="425">
        <f t="shared" si="152"/>
        <v>0</v>
      </c>
      <c r="CR364" s="419"/>
      <c r="CS364" s="419"/>
      <c r="CT364" s="421"/>
      <c r="CU364" s="421"/>
      <c r="CV364" s="419"/>
      <c r="CW364" s="419"/>
      <c r="CX364" s="421"/>
      <c r="CY364" s="421"/>
      <c r="CZ364" s="419"/>
      <c r="DA364" s="419"/>
      <c r="DB364" s="421"/>
      <c r="DC364" s="421"/>
      <c r="DD364" s="419"/>
      <c r="DE364" s="419"/>
      <c r="DF364" s="421"/>
      <c r="DG364" s="421"/>
      <c r="DH364" s="419"/>
      <c r="DI364" s="419"/>
      <c r="DJ364" s="421"/>
      <c r="DK364" s="421"/>
      <c r="DL364" s="419"/>
      <c r="DM364" s="419"/>
      <c r="DN364" s="421"/>
      <c r="DO364" s="421"/>
      <c r="DP364" s="419"/>
      <c r="DQ364" s="419"/>
      <c r="DR364" s="421"/>
      <c r="DS364" s="421"/>
      <c r="DT364" s="419"/>
      <c r="DU364" s="419"/>
      <c r="DV364" s="421"/>
      <c r="DW364" s="421"/>
      <c r="DX364" s="419"/>
      <c r="DY364" s="419"/>
      <c r="DZ364" s="421"/>
      <c r="EA364" s="421"/>
      <c r="EB364" s="419"/>
      <c r="EC364" s="419"/>
      <c r="ED364" s="421"/>
      <c r="EE364" s="421"/>
      <c r="EF364" s="419"/>
      <c r="EG364" s="421"/>
      <c r="EH364" s="424">
        <f t="shared" si="153"/>
        <v>0</v>
      </c>
      <c r="EI364" s="424">
        <f t="shared" si="154"/>
        <v>0</v>
      </c>
      <c r="EJ364" s="422">
        <f t="shared" si="155"/>
        <v>0</v>
      </c>
      <c r="EK364" s="425">
        <f t="shared" si="156"/>
        <v>0</v>
      </c>
      <c r="EL364" s="425">
        <f t="shared" si="157"/>
        <v>0</v>
      </c>
      <c r="EM364" s="423">
        <f t="shared" si="158"/>
        <v>0</v>
      </c>
      <c r="EN364" s="424">
        <f t="shared" si="159"/>
        <v>0</v>
      </c>
      <c r="EO364" s="425">
        <f t="shared" si="160"/>
        <v>0</v>
      </c>
      <c r="EP364" s="419"/>
      <c r="EQ364" s="421"/>
      <c r="ER364" s="419"/>
      <c r="ES364" s="421"/>
      <c r="ET364" s="419"/>
      <c r="EU364" s="421"/>
      <c r="EV364" s="419"/>
      <c r="EW364" s="421"/>
      <c r="EX364" s="419"/>
      <c r="EY364" s="421"/>
      <c r="EZ364" s="419"/>
      <c r="FA364" s="421"/>
      <c r="FB364" s="419"/>
      <c r="FC364" s="421"/>
      <c r="FD364" s="419"/>
      <c r="FE364" s="421"/>
      <c r="FF364" s="419"/>
      <c r="FG364" s="421"/>
      <c r="FH364" s="419"/>
      <c r="FI364" s="421"/>
      <c r="FJ364" s="424">
        <f t="shared" si="161"/>
        <v>0</v>
      </c>
      <c r="FK364" s="425">
        <f t="shared" si="162"/>
        <v>0</v>
      </c>
      <c r="FL364" s="419"/>
      <c r="FM364" s="421"/>
      <c r="FN364" s="424">
        <f t="shared" si="163"/>
        <v>2125</v>
      </c>
      <c r="FO364" s="425">
        <f t="shared" si="164"/>
        <v>2141</v>
      </c>
    </row>
    <row r="365" spans="1:171" s="272" customFormat="1" ht="15" customHeight="1">
      <c r="A365" s="456" t="s">
        <v>164</v>
      </c>
      <c r="B365" s="27" t="s">
        <v>884</v>
      </c>
      <c r="C365" s="7"/>
      <c r="D365" s="25">
        <v>218894</v>
      </c>
      <c r="E365" s="20">
        <v>8</v>
      </c>
      <c r="F365" s="419">
        <v>746</v>
      </c>
      <c r="G365" s="421">
        <v>815</v>
      </c>
      <c r="H365" s="419"/>
      <c r="I365" s="421"/>
      <c r="J365" s="419">
        <v>1327</v>
      </c>
      <c r="K365" s="421">
        <v>1323</v>
      </c>
      <c r="L365" s="422">
        <f t="shared" si="143"/>
        <v>0</v>
      </c>
      <c r="M365" s="423">
        <f t="shared" si="144"/>
        <v>0</v>
      </c>
      <c r="N365" s="419"/>
      <c r="O365" s="309">
        <f>0</f>
        <v>0</v>
      </c>
      <c r="P365" s="309">
        <f>0</f>
        <v>0</v>
      </c>
      <c r="Q365" s="309">
        <f>0</f>
        <v>0</v>
      </c>
      <c r="R365" s="424">
        <f t="shared" si="141"/>
        <v>0</v>
      </c>
      <c r="S365" s="421"/>
      <c r="T365" s="301">
        <f>0</f>
        <v>0</v>
      </c>
      <c r="U365" s="301">
        <f>0</f>
        <v>0</v>
      </c>
      <c r="V365" s="301">
        <f>0</f>
        <v>0</v>
      </c>
      <c r="W365" s="425">
        <f t="shared" si="142"/>
        <v>0</v>
      </c>
      <c r="X365" s="419"/>
      <c r="Y365" s="419"/>
      <c r="Z365" s="421"/>
      <c r="AA365" s="421"/>
      <c r="AB365" s="419"/>
      <c r="AC365" s="419"/>
      <c r="AD365" s="421"/>
      <c r="AE365" s="421"/>
      <c r="AF365" s="419"/>
      <c r="AG365" s="419"/>
      <c r="AH365" s="421"/>
      <c r="AI365" s="421"/>
      <c r="AJ365" s="419"/>
      <c r="AK365" s="419"/>
      <c r="AL365" s="421"/>
      <c r="AM365" s="421"/>
      <c r="AN365" s="419"/>
      <c r="AO365" s="419"/>
      <c r="AP365" s="421"/>
      <c r="AQ365" s="421"/>
      <c r="AR365" s="424">
        <f t="shared" si="145"/>
        <v>0</v>
      </c>
      <c r="AS365" s="422">
        <f t="shared" si="146"/>
        <v>0</v>
      </c>
      <c r="AT365" s="425">
        <f t="shared" si="147"/>
        <v>0</v>
      </c>
      <c r="AU365" s="423">
        <f t="shared" si="148"/>
        <v>0</v>
      </c>
      <c r="AV365" s="419"/>
      <c r="AW365" s="421"/>
      <c r="AX365" s="419"/>
      <c r="AY365" s="419"/>
      <c r="AZ365" s="421"/>
      <c r="BA365" s="421"/>
      <c r="BB365" s="419"/>
      <c r="BC365" s="419"/>
      <c r="BD365" s="421"/>
      <c r="BE365" s="421"/>
      <c r="BF365" s="419"/>
      <c r="BG365" s="419"/>
      <c r="BH365" s="421"/>
      <c r="BI365" s="421"/>
      <c r="BJ365" s="419"/>
      <c r="BK365" s="419"/>
      <c r="BL365" s="421"/>
      <c r="BM365" s="421"/>
      <c r="BN365" s="419"/>
      <c r="BO365" s="419"/>
      <c r="BP365" s="421"/>
      <c r="BQ365" s="421"/>
      <c r="BR365" s="419"/>
      <c r="BS365" s="419"/>
      <c r="BT365" s="421"/>
      <c r="BU365" s="421"/>
      <c r="BV365" s="419"/>
      <c r="BW365" s="419"/>
      <c r="BX365" s="421"/>
      <c r="BY365" s="421"/>
      <c r="BZ365" s="419"/>
      <c r="CA365" s="419"/>
      <c r="CB365" s="421"/>
      <c r="CC365" s="421"/>
      <c r="CD365" s="419"/>
      <c r="CE365" s="419"/>
      <c r="CF365" s="421"/>
      <c r="CG365" s="421"/>
      <c r="CH365" s="419"/>
      <c r="CI365" s="419"/>
      <c r="CJ365" s="421"/>
      <c r="CK365" s="421"/>
      <c r="CL365" s="419"/>
      <c r="CM365" s="421"/>
      <c r="CN365" s="424">
        <f t="shared" si="149"/>
        <v>0</v>
      </c>
      <c r="CO365" s="424">
        <f t="shared" si="150"/>
        <v>0</v>
      </c>
      <c r="CP365" s="425">
        <f t="shared" si="151"/>
        <v>0</v>
      </c>
      <c r="CQ365" s="425">
        <f t="shared" si="152"/>
        <v>0</v>
      </c>
      <c r="CR365" s="419"/>
      <c r="CS365" s="419"/>
      <c r="CT365" s="421"/>
      <c r="CU365" s="421"/>
      <c r="CV365" s="419"/>
      <c r="CW365" s="419"/>
      <c r="CX365" s="421"/>
      <c r="CY365" s="421"/>
      <c r="CZ365" s="419"/>
      <c r="DA365" s="419"/>
      <c r="DB365" s="421"/>
      <c r="DC365" s="421"/>
      <c r="DD365" s="419"/>
      <c r="DE365" s="419"/>
      <c r="DF365" s="421"/>
      <c r="DG365" s="421"/>
      <c r="DH365" s="419"/>
      <c r="DI365" s="419"/>
      <c r="DJ365" s="421"/>
      <c r="DK365" s="421"/>
      <c r="DL365" s="419"/>
      <c r="DM365" s="419"/>
      <c r="DN365" s="421"/>
      <c r="DO365" s="421"/>
      <c r="DP365" s="419"/>
      <c r="DQ365" s="419"/>
      <c r="DR365" s="421"/>
      <c r="DS365" s="421"/>
      <c r="DT365" s="419"/>
      <c r="DU365" s="419"/>
      <c r="DV365" s="421"/>
      <c r="DW365" s="421"/>
      <c r="DX365" s="419"/>
      <c r="DY365" s="419"/>
      <c r="DZ365" s="421"/>
      <c r="EA365" s="421"/>
      <c r="EB365" s="419"/>
      <c r="EC365" s="419"/>
      <c r="ED365" s="421"/>
      <c r="EE365" s="421"/>
      <c r="EF365" s="419"/>
      <c r="EG365" s="421"/>
      <c r="EH365" s="424">
        <f t="shared" si="153"/>
        <v>0</v>
      </c>
      <c r="EI365" s="424">
        <f t="shared" si="154"/>
        <v>0</v>
      </c>
      <c r="EJ365" s="422">
        <f t="shared" si="155"/>
        <v>0</v>
      </c>
      <c r="EK365" s="425">
        <f t="shared" si="156"/>
        <v>0</v>
      </c>
      <c r="EL365" s="425">
        <f t="shared" si="157"/>
        <v>0</v>
      </c>
      <c r="EM365" s="423">
        <f t="shared" si="158"/>
        <v>0</v>
      </c>
      <c r="EN365" s="424">
        <f t="shared" si="159"/>
        <v>0</v>
      </c>
      <c r="EO365" s="425">
        <f t="shared" si="160"/>
        <v>0</v>
      </c>
      <c r="EP365" s="419"/>
      <c r="EQ365" s="421"/>
      <c r="ER365" s="419"/>
      <c r="ES365" s="421"/>
      <c r="ET365" s="419"/>
      <c r="EU365" s="421"/>
      <c r="EV365" s="419"/>
      <c r="EW365" s="421"/>
      <c r="EX365" s="419"/>
      <c r="EY365" s="421"/>
      <c r="EZ365" s="419"/>
      <c r="FA365" s="421"/>
      <c r="FB365" s="419"/>
      <c r="FC365" s="421"/>
      <c r="FD365" s="419"/>
      <c r="FE365" s="421"/>
      <c r="FF365" s="419"/>
      <c r="FG365" s="421"/>
      <c r="FH365" s="419"/>
      <c r="FI365" s="421"/>
      <c r="FJ365" s="424">
        <f t="shared" si="161"/>
        <v>0</v>
      </c>
      <c r="FK365" s="425">
        <f t="shared" si="162"/>
        <v>0</v>
      </c>
      <c r="FL365" s="419"/>
      <c r="FM365" s="421"/>
      <c r="FN365" s="424">
        <f t="shared" si="163"/>
        <v>2073</v>
      </c>
      <c r="FO365" s="425">
        <f t="shared" si="164"/>
        <v>2138</v>
      </c>
    </row>
    <row r="366" spans="1:171" s="272" customFormat="1" ht="15" customHeight="1">
      <c r="A366" s="456" t="s">
        <v>164</v>
      </c>
      <c r="B366" s="27" t="s">
        <v>885</v>
      </c>
      <c r="C366" s="7"/>
      <c r="D366" s="25">
        <v>218858</v>
      </c>
      <c r="E366" s="20">
        <v>9</v>
      </c>
      <c r="F366" s="419">
        <v>319</v>
      </c>
      <c r="G366" s="421">
        <v>315</v>
      </c>
      <c r="H366" s="419"/>
      <c r="I366" s="421"/>
      <c r="J366" s="419">
        <v>353</v>
      </c>
      <c r="K366" s="421">
        <v>388</v>
      </c>
      <c r="L366" s="422">
        <f t="shared" si="143"/>
        <v>0</v>
      </c>
      <c r="M366" s="423">
        <f t="shared" si="144"/>
        <v>0</v>
      </c>
      <c r="N366" s="419"/>
      <c r="O366" s="309">
        <f>0</f>
        <v>0</v>
      </c>
      <c r="P366" s="309">
        <f>0</f>
        <v>0</v>
      </c>
      <c r="Q366" s="309">
        <f>0</f>
        <v>0</v>
      </c>
      <c r="R366" s="424">
        <f t="shared" si="141"/>
        <v>0</v>
      </c>
      <c r="S366" s="421"/>
      <c r="T366" s="301">
        <f>0</f>
        <v>0</v>
      </c>
      <c r="U366" s="301">
        <f>0</f>
        <v>0</v>
      </c>
      <c r="V366" s="301">
        <f>0</f>
        <v>0</v>
      </c>
      <c r="W366" s="425">
        <f t="shared" si="142"/>
        <v>0</v>
      </c>
      <c r="X366" s="419"/>
      <c r="Y366" s="419"/>
      <c r="Z366" s="421"/>
      <c r="AA366" s="421"/>
      <c r="AB366" s="419"/>
      <c r="AC366" s="419"/>
      <c r="AD366" s="421"/>
      <c r="AE366" s="421"/>
      <c r="AF366" s="419"/>
      <c r="AG366" s="419"/>
      <c r="AH366" s="421"/>
      <c r="AI366" s="421"/>
      <c r="AJ366" s="419"/>
      <c r="AK366" s="419"/>
      <c r="AL366" s="421"/>
      <c r="AM366" s="421"/>
      <c r="AN366" s="419"/>
      <c r="AO366" s="419"/>
      <c r="AP366" s="421"/>
      <c r="AQ366" s="421"/>
      <c r="AR366" s="424">
        <f t="shared" si="145"/>
        <v>0</v>
      </c>
      <c r="AS366" s="422">
        <f t="shared" si="146"/>
        <v>0</v>
      </c>
      <c r="AT366" s="425">
        <f t="shared" si="147"/>
        <v>0</v>
      </c>
      <c r="AU366" s="423">
        <f t="shared" si="148"/>
        <v>0</v>
      </c>
      <c r="AV366" s="419"/>
      <c r="AW366" s="421"/>
      <c r="AX366" s="419"/>
      <c r="AY366" s="419"/>
      <c r="AZ366" s="421"/>
      <c r="BA366" s="421"/>
      <c r="BB366" s="419"/>
      <c r="BC366" s="419"/>
      <c r="BD366" s="421"/>
      <c r="BE366" s="421"/>
      <c r="BF366" s="419"/>
      <c r="BG366" s="419"/>
      <c r="BH366" s="421"/>
      <c r="BI366" s="421"/>
      <c r="BJ366" s="419"/>
      <c r="BK366" s="419"/>
      <c r="BL366" s="421"/>
      <c r="BM366" s="421"/>
      <c r="BN366" s="419"/>
      <c r="BO366" s="419"/>
      <c r="BP366" s="421"/>
      <c r="BQ366" s="421"/>
      <c r="BR366" s="419"/>
      <c r="BS366" s="419"/>
      <c r="BT366" s="421"/>
      <c r="BU366" s="421"/>
      <c r="BV366" s="419"/>
      <c r="BW366" s="419"/>
      <c r="BX366" s="421"/>
      <c r="BY366" s="421"/>
      <c r="BZ366" s="419"/>
      <c r="CA366" s="419"/>
      <c r="CB366" s="421"/>
      <c r="CC366" s="421"/>
      <c r="CD366" s="419"/>
      <c r="CE366" s="419"/>
      <c r="CF366" s="421"/>
      <c r="CG366" s="421"/>
      <c r="CH366" s="419"/>
      <c r="CI366" s="419"/>
      <c r="CJ366" s="421"/>
      <c r="CK366" s="421"/>
      <c r="CL366" s="419"/>
      <c r="CM366" s="421"/>
      <c r="CN366" s="424">
        <f t="shared" si="149"/>
        <v>0</v>
      </c>
      <c r="CO366" s="424">
        <f t="shared" si="150"/>
        <v>0</v>
      </c>
      <c r="CP366" s="425">
        <f t="shared" si="151"/>
        <v>0</v>
      </c>
      <c r="CQ366" s="425">
        <f t="shared" si="152"/>
        <v>0</v>
      </c>
      <c r="CR366" s="419"/>
      <c r="CS366" s="419"/>
      <c r="CT366" s="421"/>
      <c r="CU366" s="421"/>
      <c r="CV366" s="419"/>
      <c r="CW366" s="419"/>
      <c r="CX366" s="421"/>
      <c r="CY366" s="421"/>
      <c r="CZ366" s="419"/>
      <c r="DA366" s="419"/>
      <c r="DB366" s="421"/>
      <c r="DC366" s="421"/>
      <c r="DD366" s="419"/>
      <c r="DE366" s="419"/>
      <c r="DF366" s="421"/>
      <c r="DG366" s="421"/>
      <c r="DH366" s="419"/>
      <c r="DI366" s="419"/>
      <c r="DJ366" s="421"/>
      <c r="DK366" s="421"/>
      <c r="DL366" s="419"/>
      <c r="DM366" s="419"/>
      <c r="DN366" s="421"/>
      <c r="DO366" s="421"/>
      <c r="DP366" s="419"/>
      <c r="DQ366" s="419"/>
      <c r="DR366" s="421"/>
      <c r="DS366" s="421"/>
      <c r="DT366" s="419"/>
      <c r="DU366" s="419"/>
      <c r="DV366" s="421"/>
      <c r="DW366" s="421"/>
      <c r="DX366" s="419"/>
      <c r="DY366" s="419"/>
      <c r="DZ366" s="421"/>
      <c r="EA366" s="421"/>
      <c r="EB366" s="419"/>
      <c r="EC366" s="419"/>
      <c r="ED366" s="421"/>
      <c r="EE366" s="421"/>
      <c r="EF366" s="419"/>
      <c r="EG366" s="421"/>
      <c r="EH366" s="424">
        <f t="shared" si="153"/>
        <v>0</v>
      </c>
      <c r="EI366" s="424">
        <f t="shared" si="154"/>
        <v>0</v>
      </c>
      <c r="EJ366" s="422">
        <f t="shared" si="155"/>
        <v>0</v>
      </c>
      <c r="EK366" s="425">
        <f t="shared" si="156"/>
        <v>0</v>
      </c>
      <c r="EL366" s="425">
        <f t="shared" si="157"/>
        <v>0</v>
      </c>
      <c r="EM366" s="423">
        <f t="shared" si="158"/>
        <v>0</v>
      </c>
      <c r="EN366" s="424">
        <f t="shared" si="159"/>
        <v>0</v>
      </c>
      <c r="EO366" s="425">
        <f t="shared" si="160"/>
        <v>0</v>
      </c>
      <c r="EP366" s="419"/>
      <c r="EQ366" s="421"/>
      <c r="ER366" s="419"/>
      <c r="ES366" s="421"/>
      <c r="ET366" s="419"/>
      <c r="EU366" s="421"/>
      <c r="EV366" s="419"/>
      <c r="EW366" s="421"/>
      <c r="EX366" s="419"/>
      <c r="EY366" s="421"/>
      <c r="EZ366" s="419"/>
      <c r="FA366" s="421"/>
      <c r="FB366" s="419"/>
      <c r="FC366" s="421"/>
      <c r="FD366" s="419"/>
      <c r="FE366" s="421"/>
      <c r="FF366" s="419"/>
      <c r="FG366" s="421"/>
      <c r="FH366" s="419"/>
      <c r="FI366" s="421"/>
      <c r="FJ366" s="424">
        <f t="shared" si="161"/>
        <v>0</v>
      </c>
      <c r="FK366" s="425">
        <f t="shared" si="162"/>
        <v>0</v>
      </c>
      <c r="FL366" s="419"/>
      <c r="FM366" s="421"/>
      <c r="FN366" s="424">
        <f t="shared" si="163"/>
        <v>672</v>
      </c>
      <c r="FO366" s="425">
        <f t="shared" si="164"/>
        <v>703</v>
      </c>
    </row>
    <row r="367" spans="1:171" s="272" customFormat="1" ht="15" customHeight="1">
      <c r="A367" s="456" t="s">
        <v>164</v>
      </c>
      <c r="B367" s="19" t="s">
        <v>886</v>
      </c>
      <c r="C367" s="260"/>
      <c r="D367" s="25">
        <v>218025</v>
      </c>
      <c r="E367" s="20">
        <v>9</v>
      </c>
      <c r="F367" s="419">
        <v>326</v>
      </c>
      <c r="G367" s="421">
        <v>280</v>
      </c>
      <c r="H367" s="419"/>
      <c r="I367" s="421"/>
      <c r="J367" s="419">
        <v>443</v>
      </c>
      <c r="K367" s="421">
        <v>455</v>
      </c>
      <c r="L367" s="422">
        <f t="shared" si="143"/>
        <v>0</v>
      </c>
      <c r="M367" s="423">
        <f t="shared" si="144"/>
        <v>0</v>
      </c>
      <c r="N367" s="419"/>
      <c r="O367" s="309">
        <f>0</f>
        <v>0</v>
      </c>
      <c r="P367" s="309">
        <f>0</f>
        <v>0</v>
      </c>
      <c r="Q367" s="309">
        <f>0</f>
        <v>0</v>
      </c>
      <c r="R367" s="424">
        <f t="shared" si="141"/>
        <v>0</v>
      </c>
      <c r="S367" s="421"/>
      <c r="T367" s="301">
        <f>0</f>
        <v>0</v>
      </c>
      <c r="U367" s="301">
        <f>0</f>
        <v>0</v>
      </c>
      <c r="V367" s="301">
        <f>0</f>
        <v>0</v>
      </c>
      <c r="W367" s="425">
        <f t="shared" si="142"/>
        <v>0</v>
      </c>
      <c r="X367" s="419"/>
      <c r="Y367" s="419"/>
      <c r="Z367" s="421"/>
      <c r="AA367" s="421"/>
      <c r="AB367" s="419"/>
      <c r="AC367" s="419"/>
      <c r="AD367" s="421"/>
      <c r="AE367" s="421"/>
      <c r="AF367" s="419"/>
      <c r="AG367" s="419"/>
      <c r="AH367" s="421"/>
      <c r="AI367" s="421"/>
      <c r="AJ367" s="419"/>
      <c r="AK367" s="419"/>
      <c r="AL367" s="421"/>
      <c r="AM367" s="421"/>
      <c r="AN367" s="419"/>
      <c r="AO367" s="419"/>
      <c r="AP367" s="421"/>
      <c r="AQ367" s="421"/>
      <c r="AR367" s="424">
        <f t="shared" si="145"/>
        <v>0</v>
      </c>
      <c r="AS367" s="422">
        <f t="shared" si="146"/>
        <v>0</v>
      </c>
      <c r="AT367" s="425">
        <f t="shared" si="147"/>
        <v>0</v>
      </c>
      <c r="AU367" s="423">
        <f t="shared" si="148"/>
        <v>0</v>
      </c>
      <c r="AV367" s="419"/>
      <c r="AW367" s="421"/>
      <c r="AX367" s="419"/>
      <c r="AY367" s="419"/>
      <c r="AZ367" s="421"/>
      <c r="BA367" s="421"/>
      <c r="BB367" s="419"/>
      <c r="BC367" s="419"/>
      <c r="BD367" s="421"/>
      <c r="BE367" s="421"/>
      <c r="BF367" s="419"/>
      <c r="BG367" s="419"/>
      <c r="BH367" s="421"/>
      <c r="BI367" s="421"/>
      <c r="BJ367" s="419"/>
      <c r="BK367" s="419"/>
      <c r="BL367" s="421"/>
      <c r="BM367" s="421"/>
      <c r="BN367" s="419"/>
      <c r="BO367" s="419"/>
      <c r="BP367" s="421"/>
      <c r="BQ367" s="421"/>
      <c r="BR367" s="419"/>
      <c r="BS367" s="419"/>
      <c r="BT367" s="421"/>
      <c r="BU367" s="421"/>
      <c r="BV367" s="419"/>
      <c r="BW367" s="419"/>
      <c r="BX367" s="421"/>
      <c r="BY367" s="421"/>
      <c r="BZ367" s="419"/>
      <c r="CA367" s="419"/>
      <c r="CB367" s="421"/>
      <c r="CC367" s="421"/>
      <c r="CD367" s="419"/>
      <c r="CE367" s="419"/>
      <c r="CF367" s="421"/>
      <c r="CG367" s="421"/>
      <c r="CH367" s="419"/>
      <c r="CI367" s="419"/>
      <c r="CJ367" s="421"/>
      <c r="CK367" s="421"/>
      <c r="CL367" s="419"/>
      <c r="CM367" s="421"/>
      <c r="CN367" s="424">
        <f t="shared" si="149"/>
        <v>0</v>
      </c>
      <c r="CO367" s="424">
        <f t="shared" si="150"/>
        <v>0</v>
      </c>
      <c r="CP367" s="425">
        <f t="shared" si="151"/>
        <v>0</v>
      </c>
      <c r="CQ367" s="425">
        <f t="shared" si="152"/>
        <v>0</v>
      </c>
      <c r="CR367" s="419"/>
      <c r="CS367" s="419"/>
      <c r="CT367" s="421"/>
      <c r="CU367" s="421"/>
      <c r="CV367" s="419"/>
      <c r="CW367" s="419"/>
      <c r="CX367" s="421"/>
      <c r="CY367" s="421"/>
      <c r="CZ367" s="419"/>
      <c r="DA367" s="419"/>
      <c r="DB367" s="421"/>
      <c r="DC367" s="421"/>
      <c r="DD367" s="419"/>
      <c r="DE367" s="419"/>
      <c r="DF367" s="421"/>
      <c r="DG367" s="421"/>
      <c r="DH367" s="419"/>
      <c r="DI367" s="419"/>
      <c r="DJ367" s="421"/>
      <c r="DK367" s="421"/>
      <c r="DL367" s="419"/>
      <c r="DM367" s="419"/>
      <c r="DN367" s="421"/>
      <c r="DO367" s="421"/>
      <c r="DP367" s="419"/>
      <c r="DQ367" s="419"/>
      <c r="DR367" s="421"/>
      <c r="DS367" s="421"/>
      <c r="DT367" s="419"/>
      <c r="DU367" s="419"/>
      <c r="DV367" s="421"/>
      <c r="DW367" s="421"/>
      <c r="DX367" s="419"/>
      <c r="DY367" s="419"/>
      <c r="DZ367" s="421"/>
      <c r="EA367" s="421"/>
      <c r="EB367" s="419"/>
      <c r="EC367" s="419"/>
      <c r="ED367" s="421"/>
      <c r="EE367" s="421"/>
      <c r="EF367" s="419"/>
      <c r="EG367" s="421"/>
      <c r="EH367" s="424">
        <f t="shared" si="153"/>
        <v>0</v>
      </c>
      <c r="EI367" s="424">
        <f t="shared" si="154"/>
        <v>0</v>
      </c>
      <c r="EJ367" s="422">
        <f t="shared" si="155"/>
        <v>0</v>
      </c>
      <c r="EK367" s="425">
        <f t="shared" si="156"/>
        <v>0</v>
      </c>
      <c r="EL367" s="425">
        <f t="shared" si="157"/>
        <v>0</v>
      </c>
      <c r="EM367" s="423">
        <f t="shared" si="158"/>
        <v>0</v>
      </c>
      <c r="EN367" s="424">
        <f t="shared" si="159"/>
        <v>0</v>
      </c>
      <c r="EO367" s="425">
        <f t="shared" si="160"/>
        <v>0</v>
      </c>
      <c r="EP367" s="419"/>
      <c r="EQ367" s="421"/>
      <c r="ER367" s="419"/>
      <c r="ES367" s="421"/>
      <c r="ET367" s="419"/>
      <c r="EU367" s="421"/>
      <c r="EV367" s="419"/>
      <c r="EW367" s="421"/>
      <c r="EX367" s="419"/>
      <c r="EY367" s="421"/>
      <c r="EZ367" s="419"/>
      <c r="FA367" s="421"/>
      <c r="FB367" s="419"/>
      <c r="FC367" s="421"/>
      <c r="FD367" s="419"/>
      <c r="FE367" s="421"/>
      <c r="FF367" s="419"/>
      <c r="FG367" s="421"/>
      <c r="FH367" s="419"/>
      <c r="FI367" s="421"/>
      <c r="FJ367" s="424">
        <f t="shared" si="161"/>
        <v>0</v>
      </c>
      <c r="FK367" s="425">
        <f t="shared" si="162"/>
        <v>0</v>
      </c>
      <c r="FL367" s="419"/>
      <c r="FM367" s="421"/>
      <c r="FN367" s="424">
        <f t="shared" si="163"/>
        <v>769</v>
      </c>
      <c r="FO367" s="425">
        <f t="shared" si="164"/>
        <v>735</v>
      </c>
    </row>
    <row r="368" spans="1:171" s="272" customFormat="1" ht="15" customHeight="1">
      <c r="A368" s="456" t="s">
        <v>164</v>
      </c>
      <c r="B368" s="19" t="s">
        <v>887</v>
      </c>
      <c r="C368" s="260"/>
      <c r="D368" s="25">
        <v>218520</v>
      </c>
      <c r="E368" s="20">
        <v>9</v>
      </c>
      <c r="F368" s="419">
        <v>462</v>
      </c>
      <c r="G368" s="420">
        <v>805</v>
      </c>
      <c r="H368" s="419"/>
      <c r="I368" s="421"/>
      <c r="J368" s="419">
        <v>638</v>
      </c>
      <c r="K368" s="421">
        <v>675</v>
      </c>
      <c r="L368" s="422">
        <f t="shared" si="143"/>
        <v>0</v>
      </c>
      <c r="M368" s="423">
        <f t="shared" si="144"/>
        <v>0</v>
      </c>
      <c r="N368" s="419"/>
      <c r="O368" s="309">
        <f>0</f>
        <v>0</v>
      </c>
      <c r="P368" s="309">
        <f>0</f>
        <v>0</v>
      </c>
      <c r="Q368" s="309">
        <f>0</f>
        <v>0</v>
      </c>
      <c r="R368" s="424">
        <f t="shared" si="141"/>
        <v>0</v>
      </c>
      <c r="S368" s="421"/>
      <c r="T368" s="301">
        <f>0</f>
        <v>0</v>
      </c>
      <c r="U368" s="301">
        <f>0</f>
        <v>0</v>
      </c>
      <c r="V368" s="301">
        <f>0</f>
        <v>0</v>
      </c>
      <c r="W368" s="425">
        <f t="shared" si="142"/>
        <v>0</v>
      </c>
      <c r="X368" s="419"/>
      <c r="Y368" s="419"/>
      <c r="Z368" s="421"/>
      <c r="AA368" s="421"/>
      <c r="AB368" s="419"/>
      <c r="AC368" s="419"/>
      <c r="AD368" s="421"/>
      <c r="AE368" s="421"/>
      <c r="AF368" s="419"/>
      <c r="AG368" s="419"/>
      <c r="AH368" s="421"/>
      <c r="AI368" s="421"/>
      <c r="AJ368" s="419"/>
      <c r="AK368" s="419"/>
      <c r="AL368" s="421"/>
      <c r="AM368" s="421"/>
      <c r="AN368" s="419"/>
      <c r="AO368" s="419"/>
      <c r="AP368" s="421"/>
      <c r="AQ368" s="421"/>
      <c r="AR368" s="424">
        <f t="shared" si="145"/>
        <v>0</v>
      </c>
      <c r="AS368" s="422">
        <f t="shared" si="146"/>
        <v>0</v>
      </c>
      <c r="AT368" s="425">
        <f t="shared" si="147"/>
        <v>0</v>
      </c>
      <c r="AU368" s="423">
        <f t="shared" si="148"/>
        <v>0</v>
      </c>
      <c r="AV368" s="419"/>
      <c r="AW368" s="421"/>
      <c r="AX368" s="419"/>
      <c r="AY368" s="419"/>
      <c r="AZ368" s="421"/>
      <c r="BA368" s="421"/>
      <c r="BB368" s="419"/>
      <c r="BC368" s="419"/>
      <c r="BD368" s="421"/>
      <c r="BE368" s="421"/>
      <c r="BF368" s="419"/>
      <c r="BG368" s="419"/>
      <c r="BH368" s="421"/>
      <c r="BI368" s="421"/>
      <c r="BJ368" s="419"/>
      <c r="BK368" s="419"/>
      <c r="BL368" s="421"/>
      <c r="BM368" s="421"/>
      <c r="BN368" s="419"/>
      <c r="BO368" s="419"/>
      <c r="BP368" s="421"/>
      <c r="BQ368" s="421"/>
      <c r="BR368" s="419"/>
      <c r="BS368" s="419"/>
      <c r="BT368" s="421"/>
      <c r="BU368" s="421"/>
      <c r="BV368" s="419"/>
      <c r="BW368" s="419"/>
      <c r="BX368" s="421"/>
      <c r="BY368" s="421"/>
      <c r="BZ368" s="419"/>
      <c r="CA368" s="419"/>
      <c r="CB368" s="421"/>
      <c r="CC368" s="421"/>
      <c r="CD368" s="419"/>
      <c r="CE368" s="419"/>
      <c r="CF368" s="421"/>
      <c r="CG368" s="421"/>
      <c r="CH368" s="419"/>
      <c r="CI368" s="419"/>
      <c r="CJ368" s="421"/>
      <c r="CK368" s="421"/>
      <c r="CL368" s="419"/>
      <c r="CM368" s="421"/>
      <c r="CN368" s="424">
        <f t="shared" si="149"/>
        <v>0</v>
      </c>
      <c r="CO368" s="424">
        <f t="shared" si="150"/>
        <v>0</v>
      </c>
      <c r="CP368" s="425">
        <f t="shared" si="151"/>
        <v>0</v>
      </c>
      <c r="CQ368" s="425">
        <f t="shared" si="152"/>
        <v>0</v>
      </c>
      <c r="CR368" s="419"/>
      <c r="CS368" s="419"/>
      <c r="CT368" s="421"/>
      <c r="CU368" s="421"/>
      <c r="CV368" s="419"/>
      <c r="CW368" s="419"/>
      <c r="CX368" s="421"/>
      <c r="CY368" s="421"/>
      <c r="CZ368" s="419"/>
      <c r="DA368" s="419"/>
      <c r="DB368" s="421"/>
      <c r="DC368" s="421"/>
      <c r="DD368" s="419"/>
      <c r="DE368" s="419"/>
      <c r="DF368" s="421"/>
      <c r="DG368" s="421"/>
      <c r="DH368" s="419"/>
      <c r="DI368" s="419"/>
      <c r="DJ368" s="421"/>
      <c r="DK368" s="421"/>
      <c r="DL368" s="419"/>
      <c r="DM368" s="419"/>
      <c r="DN368" s="421"/>
      <c r="DO368" s="421"/>
      <c r="DP368" s="419"/>
      <c r="DQ368" s="419"/>
      <c r="DR368" s="421"/>
      <c r="DS368" s="421"/>
      <c r="DT368" s="419"/>
      <c r="DU368" s="419"/>
      <c r="DV368" s="421"/>
      <c r="DW368" s="421"/>
      <c r="DX368" s="419"/>
      <c r="DY368" s="419"/>
      <c r="DZ368" s="421"/>
      <c r="EA368" s="421"/>
      <c r="EB368" s="419"/>
      <c r="EC368" s="419"/>
      <c r="ED368" s="421"/>
      <c r="EE368" s="421"/>
      <c r="EF368" s="419"/>
      <c r="EG368" s="421"/>
      <c r="EH368" s="424">
        <f t="shared" si="153"/>
        <v>0</v>
      </c>
      <c r="EI368" s="424">
        <f t="shared" si="154"/>
        <v>0</v>
      </c>
      <c r="EJ368" s="422">
        <f t="shared" si="155"/>
        <v>0</v>
      </c>
      <c r="EK368" s="425">
        <f t="shared" si="156"/>
        <v>0</v>
      </c>
      <c r="EL368" s="425">
        <f t="shared" si="157"/>
        <v>0</v>
      </c>
      <c r="EM368" s="423">
        <f t="shared" si="158"/>
        <v>0</v>
      </c>
      <c r="EN368" s="424">
        <f t="shared" si="159"/>
        <v>0</v>
      </c>
      <c r="EO368" s="425">
        <f t="shared" si="160"/>
        <v>0</v>
      </c>
      <c r="EP368" s="419"/>
      <c r="EQ368" s="421"/>
      <c r="ER368" s="419"/>
      <c r="ES368" s="421"/>
      <c r="ET368" s="419"/>
      <c r="EU368" s="421"/>
      <c r="EV368" s="419"/>
      <c r="EW368" s="421"/>
      <c r="EX368" s="419"/>
      <c r="EY368" s="421"/>
      <c r="EZ368" s="419"/>
      <c r="FA368" s="421"/>
      <c r="FB368" s="419"/>
      <c r="FC368" s="421"/>
      <c r="FD368" s="419"/>
      <c r="FE368" s="421"/>
      <c r="FF368" s="419"/>
      <c r="FG368" s="421"/>
      <c r="FH368" s="419"/>
      <c r="FI368" s="421"/>
      <c r="FJ368" s="424">
        <f t="shared" si="161"/>
        <v>0</v>
      </c>
      <c r="FK368" s="425">
        <f t="shared" si="162"/>
        <v>0</v>
      </c>
      <c r="FL368" s="419"/>
      <c r="FM368" s="421"/>
      <c r="FN368" s="424">
        <f t="shared" si="163"/>
        <v>1100</v>
      </c>
      <c r="FO368" s="425">
        <f t="shared" si="164"/>
        <v>1480</v>
      </c>
    </row>
    <row r="369" spans="1:171" s="272" customFormat="1" ht="15" customHeight="1">
      <c r="A369" s="456" t="s">
        <v>164</v>
      </c>
      <c r="B369" s="19" t="s">
        <v>888</v>
      </c>
      <c r="C369" s="7"/>
      <c r="D369" s="25">
        <v>218830</v>
      </c>
      <c r="E369" s="20">
        <v>9</v>
      </c>
      <c r="F369" s="419">
        <v>137</v>
      </c>
      <c r="G369" s="420">
        <v>212</v>
      </c>
      <c r="H369" s="419"/>
      <c r="I369" s="421"/>
      <c r="J369" s="419">
        <v>523</v>
      </c>
      <c r="K369" s="421">
        <v>552</v>
      </c>
      <c r="L369" s="422">
        <f t="shared" si="143"/>
        <v>0</v>
      </c>
      <c r="M369" s="423">
        <f t="shared" si="144"/>
        <v>0</v>
      </c>
      <c r="N369" s="419"/>
      <c r="O369" s="309">
        <f>0</f>
        <v>0</v>
      </c>
      <c r="P369" s="309">
        <f>0</f>
        <v>0</v>
      </c>
      <c r="Q369" s="309">
        <f>0</f>
        <v>0</v>
      </c>
      <c r="R369" s="424">
        <f t="shared" si="141"/>
        <v>0</v>
      </c>
      <c r="S369" s="421"/>
      <c r="T369" s="301">
        <f>0</f>
        <v>0</v>
      </c>
      <c r="U369" s="301">
        <f>0</f>
        <v>0</v>
      </c>
      <c r="V369" s="301">
        <f>0</f>
        <v>0</v>
      </c>
      <c r="W369" s="425">
        <f t="shared" si="142"/>
        <v>0</v>
      </c>
      <c r="X369" s="419"/>
      <c r="Y369" s="419"/>
      <c r="Z369" s="421"/>
      <c r="AA369" s="421"/>
      <c r="AB369" s="419"/>
      <c r="AC369" s="419"/>
      <c r="AD369" s="421"/>
      <c r="AE369" s="421"/>
      <c r="AF369" s="419"/>
      <c r="AG369" s="419"/>
      <c r="AH369" s="421"/>
      <c r="AI369" s="421"/>
      <c r="AJ369" s="419"/>
      <c r="AK369" s="419"/>
      <c r="AL369" s="421"/>
      <c r="AM369" s="421"/>
      <c r="AN369" s="419"/>
      <c r="AO369" s="419"/>
      <c r="AP369" s="421"/>
      <c r="AQ369" s="421"/>
      <c r="AR369" s="424">
        <f t="shared" si="145"/>
        <v>0</v>
      </c>
      <c r="AS369" s="422">
        <f t="shared" si="146"/>
        <v>0</v>
      </c>
      <c r="AT369" s="425">
        <f t="shared" si="147"/>
        <v>0</v>
      </c>
      <c r="AU369" s="423">
        <f t="shared" si="148"/>
        <v>0</v>
      </c>
      <c r="AV369" s="419"/>
      <c r="AW369" s="421"/>
      <c r="AX369" s="419"/>
      <c r="AY369" s="419"/>
      <c r="AZ369" s="421"/>
      <c r="BA369" s="421"/>
      <c r="BB369" s="419"/>
      <c r="BC369" s="419"/>
      <c r="BD369" s="421"/>
      <c r="BE369" s="421"/>
      <c r="BF369" s="419"/>
      <c r="BG369" s="419"/>
      <c r="BH369" s="421"/>
      <c r="BI369" s="421"/>
      <c r="BJ369" s="419"/>
      <c r="BK369" s="419"/>
      <c r="BL369" s="421"/>
      <c r="BM369" s="421"/>
      <c r="BN369" s="419"/>
      <c r="BO369" s="419"/>
      <c r="BP369" s="421"/>
      <c r="BQ369" s="421"/>
      <c r="BR369" s="419"/>
      <c r="BS369" s="419"/>
      <c r="BT369" s="421"/>
      <c r="BU369" s="421"/>
      <c r="BV369" s="419"/>
      <c r="BW369" s="419"/>
      <c r="BX369" s="421"/>
      <c r="BY369" s="421"/>
      <c r="BZ369" s="419"/>
      <c r="CA369" s="419"/>
      <c r="CB369" s="421"/>
      <c r="CC369" s="421"/>
      <c r="CD369" s="419"/>
      <c r="CE369" s="419"/>
      <c r="CF369" s="421"/>
      <c r="CG369" s="421"/>
      <c r="CH369" s="419"/>
      <c r="CI369" s="419"/>
      <c r="CJ369" s="421"/>
      <c r="CK369" s="421"/>
      <c r="CL369" s="419"/>
      <c r="CM369" s="421"/>
      <c r="CN369" s="424">
        <f t="shared" si="149"/>
        <v>0</v>
      </c>
      <c r="CO369" s="424">
        <f t="shared" si="150"/>
        <v>0</v>
      </c>
      <c r="CP369" s="425">
        <f t="shared" si="151"/>
        <v>0</v>
      </c>
      <c r="CQ369" s="425">
        <f t="shared" si="152"/>
        <v>0</v>
      </c>
      <c r="CR369" s="419"/>
      <c r="CS369" s="419"/>
      <c r="CT369" s="421"/>
      <c r="CU369" s="421"/>
      <c r="CV369" s="419"/>
      <c r="CW369" s="419"/>
      <c r="CX369" s="421"/>
      <c r="CY369" s="421"/>
      <c r="CZ369" s="419"/>
      <c r="DA369" s="419"/>
      <c r="DB369" s="421"/>
      <c r="DC369" s="421"/>
      <c r="DD369" s="419"/>
      <c r="DE369" s="419"/>
      <c r="DF369" s="421"/>
      <c r="DG369" s="421"/>
      <c r="DH369" s="419"/>
      <c r="DI369" s="419"/>
      <c r="DJ369" s="421"/>
      <c r="DK369" s="421"/>
      <c r="DL369" s="419"/>
      <c r="DM369" s="419"/>
      <c r="DN369" s="421"/>
      <c r="DO369" s="421"/>
      <c r="DP369" s="419"/>
      <c r="DQ369" s="419"/>
      <c r="DR369" s="421"/>
      <c r="DS369" s="421"/>
      <c r="DT369" s="419"/>
      <c r="DU369" s="419"/>
      <c r="DV369" s="421"/>
      <c r="DW369" s="421"/>
      <c r="DX369" s="419"/>
      <c r="DY369" s="419"/>
      <c r="DZ369" s="421"/>
      <c r="EA369" s="421"/>
      <c r="EB369" s="419"/>
      <c r="EC369" s="419"/>
      <c r="ED369" s="421"/>
      <c r="EE369" s="421"/>
      <c r="EF369" s="419"/>
      <c r="EG369" s="421"/>
      <c r="EH369" s="424">
        <f t="shared" si="153"/>
        <v>0</v>
      </c>
      <c r="EI369" s="424">
        <f t="shared" si="154"/>
        <v>0</v>
      </c>
      <c r="EJ369" s="422">
        <f t="shared" si="155"/>
        <v>0</v>
      </c>
      <c r="EK369" s="425">
        <f t="shared" si="156"/>
        <v>0</v>
      </c>
      <c r="EL369" s="425">
        <f t="shared" si="157"/>
        <v>0</v>
      </c>
      <c r="EM369" s="423">
        <f t="shared" si="158"/>
        <v>0</v>
      </c>
      <c r="EN369" s="424">
        <f t="shared" si="159"/>
        <v>0</v>
      </c>
      <c r="EO369" s="425">
        <f t="shared" si="160"/>
        <v>0</v>
      </c>
      <c r="EP369" s="419"/>
      <c r="EQ369" s="421"/>
      <c r="ER369" s="419"/>
      <c r="ES369" s="421"/>
      <c r="ET369" s="419"/>
      <c r="EU369" s="421"/>
      <c r="EV369" s="419"/>
      <c r="EW369" s="421"/>
      <c r="EX369" s="419"/>
      <c r="EY369" s="421"/>
      <c r="EZ369" s="419"/>
      <c r="FA369" s="421"/>
      <c r="FB369" s="419"/>
      <c r="FC369" s="421"/>
      <c r="FD369" s="419"/>
      <c r="FE369" s="421"/>
      <c r="FF369" s="419"/>
      <c r="FG369" s="421"/>
      <c r="FH369" s="419"/>
      <c r="FI369" s="421"/>
      <c r="FJ369" s="424">
        <f t="shared" si="161"/>
        <v>0</v>
      </c>
      <c r="FK369" s="425">
        <f t="shared" si="162"/>
        <v>0</v>
      </c>
      <c r="FL369" s="419"/>
      <c r="FM369" s="421"/>
      <c r="FN369" s="424">
        <f t="shared" si="163"/>
        <v>660</v>
      </c>
      <c r="FO369" s="425">
        <f t="shared" si="164"/>
        <v>764</v>
      </c>
    </row>
    <row r="370" spans="1:171" s="272" customFormat="1" ht="15" customHeight="1">
      <c r="A370" s="456" t="s">
        <v>164</v>
      </c>
      <c r="B370" s="27" t="s">
        <v>889</v>
      </c>
      <c r="C370" s="260"/>
      <c r="D370" s="25">
        <v>218885</v>
      </c>
      <c r="E370" s="20">
        <v>9</v>
      </c>
      <c r="F370" s="419">
        <v>1407</v>
      </c>
      <c r="G370" s="421">
        <v>1380</v>
      </c>
      <c r="H370" s="419"/>
      <c r="I370" s="421"/>
      <c r="J370" s="419">
        <v>845</v>
      </c>
      <c r="K370" s="421">
        <v>831</v>
      </c>
      <c r="L370" s="422">
        <f t="shared" si="143"/>
        <v>0</v>
      </c>
      <c r="M370" s="423">
        <f t="shared" si="144"/>
        <v>0</v>
      </c>
      <c r="N370" s="419"/>
      <c r="O370" s="309">
        <f>0</f>
        <v>0</v>
      </c>
      <c r="P370" s="309">
        <f>0</f>
        <v>0</v>
      </c>
      <c r="Q370" s="309">
        <f>0</f>
        <v>0</v>
      </c>
      <c r="R370" s="424">
        <f t="shared" si="141"/>
        <v>0</v>
      </c>
      <c r="S370" s="421"/>
      <c r="T370" s="301">
        <f>0</f>
        <v>0</v>
      </c>
      <c r="U370" s="301">
        <f>0</f>
        <v>0</v>
      </c>
      <c r="V370" s="301">
        <f>0</f>
        <v>0</v>
      </c>
      <c r="W370" s="425">
        <f t="shared" si="142"/>
        <v>0</v>
      </c>
      <c r="X370" s="419"/>
      <c r="Y370" s="419"/>
      <c r="Z370" s="421"/>
      <c r="AA370" s="421"/>
      <c r="AB370" s="419"/>
      <c r="AC370" s="419"/>
      <c r="AD370" s="421"/>
      <c r="AE370" s="421"/>
      <c r="AF370" s="419"/>
      <c r="AG370" s="419"/>
      <c r="AH370" s="421"/>
      <c r="AI370" s="421"/>
      <c r="AJ370" s="419"/>
      <c r="AK370" s="419"/>
      <c r="AL370" s="421"/>
      <c r="AM370" s="421"/>
      <c r="AN370" s="419"/>
      <c r="AO370" s="419"/>
      <c r="AP370" s="421"/>
      <c r="AQ370" s="421"/>
      <c r="AR370" s="424">
        <f t="shared" si="145"/>
        <v>0</v>
      </c>
      <c r="AS370" s="422">
        <f t="shared" si="146"/>
        <v>0</v>
      </c>
      <c r="AT370" s="425">
        <f t="shared" si="147"/>
        <v>0</v>
      </c>
      <c r="AU370" s="423">
        <f t="shared" si="148"/>
        <v>0</v>
      </c>
      <c r="AV370" s="419"/>
      <c r="AW370" s="421"/>
      <c r="AX370" s="419"/>
      <c r="AY370" s="419"/>
      <c r="AZ370" s="421"/>
      <c r="BA370" s="421"/>
      <c r="BB370" s="419"/>
      <c r="BC370" s="419"/>
      <c r="BD370" s="421"/>
      <c r="BE370" s="421"/>
      <c r="BF370" s="419"/>
      <c r="BG370" s="419"/>
      <c r="BH370" s="421"/>
      <c r="BI370" s="421"/>
      <c r="BJ370" s="419"/>
      <c r="BK370" s="419"/>
      <c r="BL370" s="421"/>
      <c r="BM370" s="421"/>
      <c r="BN370" s="419"/>
      <c r="BO370" s="419"/>
      <c r="BP370" s="421"/>
      <c r="BQ370" s="421"/>
      <c r="BR370" s="419"/>
      <c r="BS370" s="419"/>
      <c r="BT370" s="421"/>
      <c r="BU370" s="421"/>
      <c r="BV370" s="419"/>
      <c r="BW370" s="419"/>
      <c r="BX370" s="421"/>
      <c r="BY370" s="421"/>
      <c r="BZ370" s="419"/>
      <c r="CA370" s="419"/>
      <c r="CB370" s="421"/>
      <c r="CC370" s="421"/>
      <c r="CD370" s="419"/>
      <c r="CE370" s="419"/>
      <c r="CF370" s="421"/>
      <c r="CG370" s="421"/>
      <c r="CH370" s="419"/>
      <c r="CI370" s="419"/>
      <c r="CJ370" s="421"/>
      <c r="CK370" s="421"/>
      <c r="CL370" s="419"/>
      <c r="CM370" s="421"/>
      <c r="CN370" s="424">
        <f t="shared" si="149"/>
        <v>0</v>
      </c>
      <c r="CO370" s="424">
        <f t="shared" si="150"/>
        <v>0</v>
      </c>
      <c r="CP370" s="425">
        <f t="shared" si="151"/>
        <v>0</v>
      </c>
      <c r="CQ370" s="425">
        <f t="shared" si="152"/>
        <v>0</v>
      </c>
      <c r="CR370" s="419"/>
      <c r="CS370" s="419"/>
      <c r="CT370" s="421"/>
      <c r="CU370" s="421"/>
      <c r="CV370" s="419"/>
      <c r="CW370" s="419"/>
      <c r="CX370" s="421"/>
      <c r="CY370" s="421"/>
      <c r="CZ370" s="419"/>
      <c r="DA370" s="419"/>
      <c r="DB370" s="421"/>
      <c r="DC370" s="421"/>
      <c r="DD370" s="419"/>
      <c r="DE370" s="419"/>
      <c r="DF370" s="421"/>
      <c r="DG370" s="421"/>
      <c r="DH370" s="419"/>
      <c r="DI370" s="419"/>
      <c r="DJ370" s="421"/>
      <c r="DK370" s="421"/>
      <c r="DL370" s="419"/>
      <c r="DM370" s="419"/>
      <c r="DN370" s="421"/>
      <c r="DO370" s="421"/>
      <c r="DP370" s="419"/>
      <c r="DQ370" s="419"/>
      <c r="DR370" s="421"/>
      <c r="DS370" s="421"/>
      <c r="DT370" s="419"/>
      <c r="DU370" s="419"/>
      <c r="DV370" s="421"/>
      <c r="DW370" s="421"/>
      <c r="DX370" s="419"/>
      <c r="DY370" s="419"/>
      <c r="DZ370" s="421"/>
      <c r="EA370" s="421"/>
      <c r="EB370" s="419"/>
      <c r="EC370" s="419"/>
      <c r="ED370" s="421"/>
      <c r="EE370" s="421"/>
      <c r="EF370" s="419"/>
      <c r="EG370" s="421"/>
      <c r="EH370" s="424">
        <f t="shared" si="153"/>
        <v>0</v>
      </c>
      <c r="EI370" s="424">
        <f t="shared" si="154"/>
        <v>0</v>
      </c>
      <c r="EJ370" s="422">
        <f t="shared" si="155"/>
        <v>0</v>
      </c>
      <c r="EK370" s="425">
        <f t="shared" si="156"/>
        <v>0</v>
      </c>
      <c r="EL370" s="425">
        <f t="shared" si="157"/>
        <v>0</v>
      </c>
      <c r="EM370" s="423">
        <f t="shared" si="158"/>
        <v>0</v>
      </c>
      <c r="EN370" s="424">
        <f t="shared" si="159"/>
        <v>0</v>
      </c>
      <c r="EO370" s="425">
        <f t="shared" si="160"/>
        <v>0</v>
      </c>
      <c r="EP370" s="419"/>
      <c r="EQ370" s="421"/>
      <c r="ER370" s="419"/>
      <c r="ES370" s="421"/>
      <c r="ET370" s="419"/>
      <c r="EU370" s="421"/>
      <c r="EV370" s="419"/>
      <c r="EW370" s="421"/>
      <c r="EX370" s="419"/>
      <c r="EY370" s="421"/>
      <c r="EZ370" s="419"/>
      <c r="FA370" s="421"/>
      <c r="FB370" s="419"/>
      <c r="FC370" s="421"/>
      <c r="FD370" s="419"/>
      <c r="FE370" s="421"/>
      <c r="FF370" s="419"/>
      <c r="FG370" s="421"/>
      <c r="FH370" s="419"/>
      <c r="FI370" s="421"/>
      <c r="FJ370" s="424">
        <f t="shared" si="161"/>
        <v>0</v>
      </c>
      <c r="FK370" s="425">
        <f t="shared" si="162"/>
        <v>0</v>
      </c>
      <c r="FL370" s="419"/>
      <c r="FM370" s="421"/>
      <c r="FN370" s="424">
        <f t="shared" si="163"/>
        <v>2252</v>
      </c>
      <c r="FO370" s="425">
        <f t="shared" si="164"/>
        <v>2211</v>
      </c>
    </row>
    <row r="371" spans="1:171" s="272" customFormat="1" ht="15" customHeight="1">
      <c r="A371" s="456" t="s">
        <v>164</v>
      </c>
      <c r="B371" s="19" t="s">
        <v>890</v>
      </c>
      <c r="C371" s="7"/>
      <c r="D371" s="25">
        <v>218991</v>
      </c>
      <c r="E371" s="20">
        <v>9</v>
      </c>
      <c r="F371" s="419">
        <v>584</v>
      </c>
      <c r="G371" s="420">
        <v>752</v>
      </c>
      <c r="H371" s="419"/>
      <c r="I371" s="421"/>
      <c r="J371" s="419">
        <v>666</v>
      </c>
      <c r="K371" s="421">
        <v>694</v>
      </c>
      <c r="L371" s="422">
        <f t="shared" si="143"/>
        <v>0</v>
      </c>
      <c r="M371" s="423">
        <f t="shared" si="144"/>
        <v>0</v>
      </c>
      <c r="N371" s="419"/>
      <c r="O371" s="309">
        <f>0</f>
        <v>0</v>
      </c>
      <c r="P371" s="309">
        <f>0</f>
        <v>0</v>
      </c>
      <c r="Q371" s="309">
        <f>0</f>
        <v>0</v>
      </c>
      <c r="R371" s="424">
        <f t="shared" si="141"/>
        <v>0</v>
      </c>
      <c r="S371" s="421"/>
      <c r="T371" s="301">
        <f>0</f>
        <v>0</v>
      </c>
      <c r="U371" s="301">
        <f>0</f>
        <v>0</v>
      </c>
      <c r="V371" s="301">
        <f>0</f>
        <v>0</v>
      </c>
      <c r="W371" s="425">
        <f t="shared" si="142"/>
        <v>0</v>
      </c>
      <c r="X371" s="419"/>
      <c r="Y371" s="419"/>
      <c r="Z371" s="421"/>
      <c r="AA371" s="421"/>
      <c r="AB371" s="419"/>
      <c r="AC371" s="419"/>
      <c r="AD371" s="421"/>
      <c r="AE371" s="421"/>
      <c r="AF371" s="419"/>
      <c r="AG371" s="419"/>
      <c r="AH371" s="421"/>
      <c r="AI371" s="421"/>
      <c r="AJ371" s="419"/>
      <c r="AK371" s="419"/>
      <c r="AL371" s="421"/>
      <c r="AM371" s="421"/>
      <c r="AN371" s="419"/>
      <c r="AO371" s="419"/>
      <c r="AP371" s="421"/>
      <c r="AQ371" s="421"/>
      <c r="AR371" s="424">
        <f t="shared" si="145"/>
        <v>0</v>
      </c>
      <c r="AS371" s="422">
        <f t="shared" si="146"/>
        <v>0</v>
      </c>
      <c r="AT371" s="425">
        <f t="shared" si="147"/>
        <v>0</v>
      </c>
      <c r="AU371" s="423">
        <f t="shared" si="148"/>
        <v>0</v>
      </c>
      <c r="AV371" s="419"/>
      <c r="AW371" s="421"/>
      <c r="AX371" s="419"/>
      <c r="AY371" s="419"/>
      <c r="AZ371" s="421"/>
      <c r="BA371" s="421"/>
      <c r="BB371" s="419"/>
      <c r="BC371" s="419"/>
      <c r="BD371" s="421"/>
      <c r="BE371" s="421"/>
      <c r="BF371" s="419"/>
      <c r="BG371" s="419"/>
      <c r="BH371" s="421"/>
      <c r="BI371" s="421"/>
      <c r="BJ371" s="419"/>
      <c r="BK371" s="419"/>
      <c r="BL371" s="421"/>
      <c r="BM371" s="421"/>
      <c r="BN371" s="419"/>
      <c r="BO371" s="419"/>
      <c r="BP371" s="421"/>
      <c r="BQ371" s="421"/>
      <c r="BR371" s="419"/>
      <c r="BS371" s="419"/>
      <c r="BT371" s="421"/>
      <c r="BU371" s="421"/>
      <c r="BV371" s="419"/>
      <c r="BW371" s="419"/>
      <c r="BX371" s="421"/>
      <c r="BY371" s="421"/>
      <c r="BZ371" s="419"/>
      <c r="CA371" s="419"/>
      <c r="CB371" s="421"/>
      <c r="CC371" s="421"/>
      <c r="CD371" s="419"/>
      <c r="CE371" s="419"/>
      <c r="CF371" s="421"/>
      <c r="CG371" s="421"/>
      <c r="CH371" s="419"/>
      <c r="CI371" s="419"/>
      <c r="CJ371" s="421"/>
      <c r="CK371" s="421"/>
      <c r="CL371" s="419"/>
      <c r="CM371" s="421"/>
      <c r="CN371" s="424">
        <f t="shared" si="149"/>
        <v>0</v>
      </c>
      <c r="CO371" s="424">
        <f t="shared" si="150"/>
        <v>0</v>
      </c>
      <c r="CP371" s="425">
        <f t="shared" si="151"/>
        <v>0</v>
      </c>
      <c r="CQ371" s="425">
        <f t="shared" si="152"/>
        <v>0</v>
      </c>
      <c r="CR371" s="419"/>
      <c r="CS371" s="419"/>
      <c r="CT371" s="421"/>
      <c r="CU371" s="421"/>
      <c r="CV371" s="419"/>
      <c r="CW371" s="419"/>
      <c r="CX371" s="421"/>
      <c r="CY371" s="421"/>
      <c r="CZ371" s="419"/>
      <c r="DA371" s="419"/>
      <c r="DB371" s="421"/>
      <c r="DC371" s="421"/>
      <c r="DD371" s="419"/>
      <c r="DE371" s="419"/>
      <c r="DF371" s="421"/>
      <c r="DG371" s="421"/>
      <c r="DH371" s="419"/>
      <c r="DI371" s="419"/>
      <c r="DJ371" s="421"/>
      <c r="DK371" s="421"/>
      <c r="DL371" s="419"/>
      <c r="DM371" s="419"/>
      <c r="DN371" s="421"/>
      <c r="DO371" s="421"/>
      <c r="DP371" s="419"/>
      <c r="DQ371" s="419"/>
      <c r="DR371" s="421"/>
      <c r="DS371" s="421"/>
      <c r="DT371" s="419"/>
      <c r="DU371" s="419"/>
      <c r="DV371" s="421"/>
      <c r="DW371" s="421"/>
      <c r="DX371" s="419"/>
      <c r="DY371" s="419"/>
      <c r="DZ371" s="421"/>
      <c r="EA371" s="421"/>
      <c r="EB371" s="419"/>
      <c r="EC371" s="419"/>
      <c r="ED371" s="421"/>
      <c r="EE371" s="421"/>
      <c r="EF371" s="419"/>
      <c r="EG371" s="421"/>
      <c r="EH371" s="424">
        <f t="shared" si="153"/>
        <v>0</v>
      </c>
      <c r="EI371" s="424">
        <f t="shared" si="154"/>
        <v>0</v>
      </c>
      <c r="EJ371" s="422">
        <f t="shared" si="155"/>
        <v>0</v>
      </c>
      <c r="EK371" s="425">
        <f t="shared" si="156"/>
        <v>0</v>
      </c>
      <c r="EL371" s="425">
        <f t="shared" si="157"/>
        <v>0</v>
      </c>
      <c r="EM371" s="423">
        <f t="shared" si="158"/>
        <v>0</v>
      </c>
      <c r="EN371" s="424">
        <f t="shared" si="159"/>
        <v>0</v>
      </c>
      <c r="EO371" s="425">
        <f t="shared" si="160"/>
        <v>0</v>
      </c>
      <c r="EP371" s="419"/>
      <c r="EQ371" s="421"/>
      <c r="ER371" s="419"/>
      <c r="ES371" s="421"/>
      <c r="ET371" s="419"/>
      <c r="EU371" s="421"/>
      <c r="EV371" s="419"/>
      <c r="EW371" s="421"/>
      <c r="EX371" s="419"/>
      <c r="EY371" s="421"/>
      <c r="EZ371" s="419"/>
      <c r="FA371" s="421"/>
      <c r="FB371" s="419"/>
      <c r="FC371" s="421"/>
      <c r="FD371" s="419"/>
      <c r="FE371" s="421"/>
      <c r="FF371" s="419"/>
      <c r="FG371" s="421"/>
      <c r="FH371" s="419"/>
      <c r="FI371" s="421"/>
      <c r="FJ371" s="424">
        <f t="shared" si="161"/>
        <v>0</v>
      </c>
      <c r="FK371" s="425">
        <f t="shared" si="162"/>
        <v>0</v>
      </c>
      <c r="FL371" s="419"/>
      <c r="FM371" s="421"/>
      <c r="FN371" s="424">
        <f t="shared" si="163"/>
        <v>1250</v>
      </c>
      <c r="FO371" s="425">
        <f t="shared" si="164"/>
        <v>1446</v>
      </c>
    </row>
    <row r="372" spans="1:171" s="272" customFormat="1" ht="15" customHeight="1">
      <c r="A372" s="456" t="s">
        <v>164</v>
      </c>
      <c r="B372" s="27" t="s">
        <v>891</v>
      </c>
      <c r="C372" s="260"/>
      <c r="D372" s="25">
        <v>217615</v>
      </c>
      <c r="E372" s="20">
        <v>10</v>
      </c>
      <c r="F372" s="419">
        <v>180</v>
      </c>
      <c r="G372" s="421">
        <v>146</v>
      </c>
      <c r="H372" s="419"/>
      <c r="I372" s="421"/>
      <c r="J372" s="419">
        <v>270</v>
      </c>
      <c r="K372" s="421">
        <v>246</v>
      </c>
      <c r="L372" s="422">
        <f t="shared" si="143"/>
        <v>0</v>
      </c>
      <c r="M372" s="423">
        <f t="shared" si="144"/>
        <v>0</v>
      </c>
      <c r="N372" s="419"/>
      <c r="O372" s="309">
        <f>0</f>
        <v>0</v>
      </c>
      <c r="P372" s="309">
        <f>0</f>
        <v>0</v>
      </c>
      <c r="Q372" s="309">
        <f>0</f>
        <v>0</v>
      </c>
      <c r="R372" s="424">
        <f t="shared" si="141"/>
        <v>0</v>
      </c>
      <c r="S372" s="421"/>
      <c r="T372" s="301">
        <f>0</f>
        <v>0</v>
      </c>
      <c r="U372" s="301">
        <f>0</f>
        <v>0</v>
      </c>
      <c r="V372" s="301">
        <f>0</f>
        <v>0</v>
      </c>
      <c r="W372" s="425">
        <f t="shared" si="142"/>
        <v>0</v>
      </c>
      <c r="X372" s="419"/>
      <c r="Y372" s="419"/>
      <c r="Z372" s="421"/>
      <c r="AA372" s="421"/>
      <c r="AB372" s="419"/>
      <c r="AC372" s="419"/>
      <c r="AD372" s="421"/>
      <c r="AE372" s="421"/>
      <c r="AF372" s="419"/>
      <c r="AG372" s="419"/>
      <c r="AH372" s="421"/>
      <c r="AI372" s="421"/>
      <c r="AJ372" s="419"/>
      <c r="AK372" s="419"/>
      <c r="AL372" s="421"/>
      <c r="AM372" s="421"/>
      <c r="AN372" s="419"/>
      <c r="AO372" s="419"/>
      <c r="AP372" s="421"/>
      <c r="AQ372" s="421"/>
      <c r="AR372" s="424">
        <f t="shared" si="145"/>
        <v>0</v>
      </c>
      <c r="AS372" s="422">
        <f t="shared" si="146"/>
        <v>0</v>
      </c>
      <c r="AT372" s="425">
        <f t="shared" si="147"/>
        <v>0</v>
      </c>
      <c r="AU372" s="423">
        <f t="shared" si="148"/>
        <v>0</v>
      </c>
      <c r="AV372" s="419"/>
      <c r="AW372" s="421"/>
      <c r="AX372" s="419"/>
      <c r="AY372" s="419"/>
      <c r="AZ372" s="421"/>
      <c r="BA372" s="421"/>
      <c r="BB372" s="419"/>
      <c r="BC372" s="419"/>
      <c r="BD372" s="421"/>
      <c r="BE372" s="421"/>
      <c r="BF372" s="419"/>
      <c r="BG372" s="419"/>
      <c r="BH372" s="421"/>
      <c r="BI372" s="421"/>
      <c r="BJ372" s="419"/>
      <c r="BK372" s="419"/>
      <c r="BL372" s="421"/>
      <c r="BM372" s="421"/>
      <c r="BN372" s="419"/>
      <c r="BO372" s="419"/>
      <c r="BP372" s="421"/>
      <c r="BQ372" s="421"/>
      <c r="BR372" s="419"/>
      <c r="BS372" s="419"/>
      <c r="BT372" s="421"/>
      <c r="BU372" s="421"/>
      <c r="BV372" s="419"/>
      <c r="BW372" s="419"/>
      <c r="BX372" s="421"/>
      <c r="BY372" s="421"/>
      <c r="BZ372" s="419"/>
      <c r="CA372" s="419"/>
      <c r="CB372" s="421"/>
      <c r="CC372" s="421"/>
      <c r="CD372" s="419"/>
      <c r="CE372" s="419"/>
      <c r="CF372" s="421"/>
      <c r="CG372" s="421"/>
      <c r="CH372" s="419"/>
      <c r="CI372" s="419"/>
      <c r="CJ372" s="421"/>
      <c r="CK372" s="421"/>
      <c r="CL372" s="419"/>
      <c r="CM372" s="421"/>
      <c r="CN372" s="424">
        <f t="shared" si="149"/>
        <v>0</v>
      </c>
      <c r="CO372" s="424">
        <f t="shared" si="150"/>
        <v>0</v>
      </c>
      <c r="CP372" s="425">
        <f t="shared" si="151"/>
        <v>0</v>
      </c>
      <c r="CQ372" s="425">
        <f t="shared" si="152"/>
        <v>0</v>
      </c>
      <c r="CR372" s="419"/>
      <c r="CS372" s="419"/>
      <c r="CT372" s="421"/>
      <c r="CU372" s="421"/>
      <c r="CV372" s="419"/>
      <c r="CW372" s="419"/>
      <c r="CX372" s="421"/>
      <c r="CY372" s="421"/>
      <c r="CZ372" s="419"/>
      <c r="DA372" s="419"/>
      <c r="DB372" s="421"/>
      <c r="DC372" s="421"/>
      <c r="DD372" s="419"/>
      <c r="DE372" s="419"/>
      <c r="DF372" s="421"/>
      <c r="DG372" s="421"/>
      <c r="DH372" s="419"/>
      <c r="DI372" s="419"/>
      <c r="DJ372" s="421"/>
      <c r="DK372" s="421"/>
      <c r="DL372" s="419"/>
      <c r="DM372" s="419"/>
      <c r="DN372" s="421"/>
      <c r="DO372" s="421"/>
      <c r="DP372" s="419"/>
      <c r="DQ372" s="419"/>
      <c r="DR372" s="421"/>
      <c r="DS372" s="421"/>
      <c r="DT372" s="419"/>
      <c r="DU372" s="419"/>
      <c r="DV372" s="421"/>
      <c r="DW372" s="421"/>
      <c r="DX372" s="419"/>
      <c r="DY372" s="419"/>
      <c r="DZ372" s="421"/>
      <c r="EA372" s="421"/>
      <c r="EB372" s="419"/>
      <c r="EC372" s="419"/>
      <c r="ED372" s="421"/>
      <c r="EE372" s="421"/>
      <c r="EF372" s="419"/>
      <c r="EG372" s="421"/>
      <c r="EH372" s="424">
        <f t="shared" si="153"/>
        <v>0</v>
      </c>
      <c r="EI372" s="424">
        <f t="shared" si="154"/>
        <v>0</v>
      </c>
      <c r="EJ372" s="422">
        <f t="shared" si="155"/>
        <v>0</v>
      </c>
      <c r="EK372" s="425">
        <f t="shared" si="156"/>
        <v>0</v>
      </c>
      <c r="EL372" s="425">
        <f t="shared" si="157"/>
        <v>0</v>
      </c>
      <c r="EM372" s="423">
        <f t="shared" si="158"/>
        <v>0</v>
      </c>
      <c r="EN372" s="424">
        <f t="shared" si="159"/>
        <v>0</v>
      </c>
      <c r="EO372" s="425">
        <f t="shared" si="160"/>
        <v>0</v>
      </c>
      <c r="EP372" s="419"/>
      <c r="EQ372" s="421"/>
      <c r="ER372" s="419"/>
      <c r="ES372" s="421"/>
      <c r="ET372" s="419"/>
      <c r="EU372" s="421"/>
      <c r="EV372" s="419"/>
      <c r="EW372" s="421"/>
      <c r="EX372" s="419"/>
      <c r="EY372" s="421"/>
      <c r="EZ372" s="419"/>
      <c r="FA372" s="421"/>
      <c r="FB372" s="419"/>
      <c r="FC372" s="421"/>
      <c r="FD372" s="419"/>
      <c r="FE372" s="421"/>
      <c r="FF372" s="419"/>
      <c r="FG372" s="421"/>
      <c r="FH372" s="419"/>
      <c r="FI372" s="421"/>
      <c r="FJ372" s="424">
        <f t="shared" si="161"/>
        <v>0</v>
      </c>
      <c r="FK372" s="425">
        <f t="shared" si="162"/>
        <v>0</v>
      </c>
      <c r="FL372" s="419"/>
      <c r="FM372" s="421"/>
      <c r="FN372" s="424">
        <f t="shared" si="163"/>
        <v>450</v>
      </c>
      <c r="FO372" s="425">
        <f t="shared" si="164"/>
        <v>392</v>
      </c>
    </row>
    <row r="373" spans="1:171">
      <c r="A373" s="456" t="s">
        <v>164</v>
      </c>
      <c r="B373" s="27" t="s">
        <v>892</v>
      </c>
      <c r="C373" s="18"/>
      <c r="D373" s="25">
        <v>217989</v>
      </c>
      <c r="E373" s="20">
        <v>10</v>
      </c>
      <c r="F373" s="419">
        <v>90</v>
      </c>
      <c r="G373" s="421">
        <v>83</v>
      </c>
      <c r="H373" s="419"/>
      <c r="I373" s="421"/>
      <c r="J373" s="419">
        <v>37</v>
      </c>
      <c r="K373" s="420">
        <v>17</v>
      </c>
      <c r="L373" s="422">
        <f t="shared" si="143"/>
        <v>0</v>
      </c>
      <c r="M373" s="423">
        <f t="shared" si="144"/>
        <v>0</v>
      </c>
      <c r="N373" s="419"/>
      <c r="O373" s="309">
        <f>0</f>
        <v>0</v>
      </c>
      <c r="P373" s="309">
        <f>0</f>
        <v>0</v>
      </c>
      <c r="Q373" s="309">
        <f>0</f>
        <v>0</v>
      </c>
      <c r="R373" s="424">
        <f t="shared" si="141"/>
        <v>0</v>
      </c>
      <c r="S373" s="421"/>
      <c r="T373" s="301">
        <f>0</f>
        <v>0</v>
      </c>
      <c r="U373" s="301">
        <f>0</f>
        <v>0</v>
      </c>
      <c r="V373" s="301">
        <f>0</f>
        <v>0</v>
      </c>
      <c r="W373" s="425">
        <f t="shared" si="142"/>
        <v>0</v>
      </c>
      <c r="X373" s="419"/>
      <c r="Y373" s="419"/>
      <c r="Z373" s="421"/>
      <c r="AA373" s="421"/>
      <c r="AB373" s="419"/>
      <c r="AC373" s="419"/>
      <c r="AD373" s="421"/>
      <c r="AE373" s="421"/>
      <c r="AF373" s="419"/>
      <c r="AG373" s="419"/>
      <c r="AH373" s="421"/>
      <c r="AI373" s="421"/>
      <c r="AJ373" s="419"/>
      <c r="AK373" s="419"/>
      <c r="AL373" s="421"/>
      <c r="AM373" s="421"/>
      <c r="AN373" s="419"/>
      <c r="AO373" s="419"/>
      <c r="AP373" s="421"/>
      <c r="AQ373" s="421"/>
      <c r="AR373" s="424">
        <f t="shared" si="145"/>
        <v>0</v>
      </c>
      <c r="AS373" s="422">
        <f t="shared" si="146"/>
        <v>0</v>
      </c>
      <c r="AT373" s="425">
        <f t="shared" si="147"/>
        <v>0</v>
      </c>
      <c r="AU373" s="423">
        <f t="shared" si="148"/>
        <v>0</v>
      </c>
      <c r="AV373" s="419"/>
      <c r="AW373" s="421"/>
      <c r="AX373" s="419"/>
      <c r="AY373" s="419"/>
      <c r="AZ373" s="421"/>
      <c r="BA373" s="421"/>
      <c r="BB373" s="419"/>
      <c r="BC373" s="419"/>
      <c r="BD373" s="421"/>
      <c r="BE373" s="421"/>
      <c r="BF373" s="419"/>
      <c r="BG373" s="419"/>
      <c r="BH373" s="421"/>
      <c r="BI373" s="421"/>
      <c r="BJ373" s="419"/>
      <c r="BK373" s="419"/>
      <c r="BL373" s="421"/>
      <c r="BM373" s="421"/>
      <c r="BN373" s="419"/>
      <c r="BO373" s="419"/>
      <c r="BP373" s="421"/>
      <c r="BQ373" s="421"/>
      <c r="BR373" s="419"/>
      <c r="BS373" s="419"/>
      <c r="BT373" s="421"/>
      <c r="BU373" s="421"/>
      <c r="BV373" s="419"/>
      <c r="BW373" s="419"/>
      <c r="BX373" s="421"/>
      <c r="BY373" s="421"/>
      <c r="BZ373" s="419"/>
      <c r="CA373" s="419"/>
      <c r="CB373" s="421"/>
      <c r="CC373" s="421"/>
      <c r="CD373" s="419"/>
      <c r="CE373" s="419"/>
      <c r="CF373" s="421"/>
      <c r="CG373" s="421"/>
      <c r="CH373" s="419"/>
      <c r="CI373" s="419"/>
      <c r="CJ373" s="421"/>
      <c r="CK373" s="421"/>
      <c r="CL373" s="419"/>
      <c r="CM373" s="421"/>
      <c r="CN373" s="424">
        <f t="shared" si="149"/>
        <v>0</v>
      </c>
      <c r="CO373" s="424">
        <f t="shared" si="150"/>
        <v>0</v>
      </c>
      <c r="CP373" s="425">
        <f t="shared" si="151"/>
        <v>0</v>
      </c>
      <c r="CQ373" s="425">
        <f t="shared" si="152"/>
        <v>0</v>
      </c>
      <c r="CR373" s="419"/>
      <c r="CS373" s="419"/>
      <c r="CT373" s="421"/>
      <c r="CU373" s="421"/>
      <c r="CV373" s="419"/>
      <c r="CW373" s="419"/>
      <c r="CX373" s="421"/>
      <c r="CY373" s="421"/>
      <c r="CZ373" s="419"/>
      <c r="DA373" s="419"/>
      <c r="DB373" s="421"/>
      <c r="DC373" s="421"/>
      <c r="DD373" s="419"/>
      <c r="DE373" s="419"/>
      <c r="DF373" s="421"/>
      <c r="DG373" s="421"/>
      <c r="DH373" s="419"/>
      <c r="DI373" s="419"/>
      <c r="DJ373" s="421"/>
      <c r="DK373" s="421"/>
      <c r="DL373" s="419"/>
      <c r="DM373" s="419"/>
      <c r="DN373" s="421"/>
      <c r="DO373" s="421"/>
      <c r="DP373" s="419"/>
      <c r="DQ373" s="419"/>
      <c r="DR373" s="421"/>
      <c r="DS373" s="421"/>
      <c r="DT373" s="419"/>
      <c r="DU373" s="419"/>
      <c r="DV373" s="421"/>
      <c r="DW373" s="421"/>
      <c r="DX373" s="419"/>
      <c r="DY373" s="419"/>
      <c r="DZ373" s="421"/>
      <c r="EA373" s="421"/>
      <c r="EB373" s="419"/>
      <c r="EC373" s="419"/>
      <c r="ED373" s="421"/>
      <c r="EE373" s="421"/>
      <c r="EF373" s="419"/>
      <c r="EG373" s="421"/>
      <c r="EH373" s="424">
        <f t="shared" si="153"/>
        <v>0</v>
      </c>
      <c r="EI373" s="424">
        <f t="shared" si="154"/>
        <v>0</v>
      </c>
      <c r="EJ373" s="422">
        <f t="shared" si="155"/>
        <v>0</v>
      </c>
      <c r="EK373" s="425">
        <f t="shared" si="156"/>
        <v>0</v>
      </c>
      <c r="EL373" s="425">
        <f t="shared" si="157"/>
        <v>0</v>
      </c>
      <c r="EM373" s="423">
        <f t="shared" si="158"/>
        <v>0</v>
      </c>
      <c r="EN373" s="424">
        <f t="shared" si="159"/>
        <v>0</v>
      </c>
      <c r="EO373" s="425">
        <f t="shared" si="160"/>
        <v>0</v>
      </c>
      <c r="EP373" s="419"/>
      <c r="EQ373" s="421"/>
      <c r="ER373" s="419"/>
      <c r="ES373" s="421"/>
      <c r="ET373" s="419"/>
      <c r="EU373" s="421"/>
      <c r="EV373" s="419"/>
      <c r="EW373" s="421"/>
      <c r="EX373" s="419"/>
      <c r="EY373" s="421"/>
      <c r="EZ373" s="419"/>
      <c r="FA373" s="421"/>
      <c r="FB373" s="419"/>
      <c r="FC373" s="421"/>
      <c r="FD373" s="419"/>
      <c r="FE373" s="421"/>
      <c r="FF373" s="419"/>
      <c r="FG373" s="421"/>
      <c r="FH373" s="419"/>
      <c r="FI373" s="421"/>
      <c r="FJ373" s="424">
        <f t="shared" si="161"/>
        <v>0</v>
      </c>
      <c r="FK373" s="425">
        <f t="shared" si="162"/>
        <v>0</v>
      </c>
      <c r="FL373" s="419"/>
      <c r="FM373" s="421"/>
      <c r="FN373" s="424">
        <f t="shared" si="163"/>
        <v>127</v>
      </c>
      <c r="FO373" s="425">
        <f t="shared" si="164"/>
        <v>100</v>
      </c>
    </row>
    <row r="374" spans="1:171">
      <c r="A374" s="456" t="s">
        <v>164</v>
      </c>
      <c r="B374" s="27" t="s">
        <v>893</v>
      </c>
      <c r="C374" s="18"/>
      <c r="D374" s="25">
        <v>217837</v>
      </c>
      <c r="E374" s="20">
        <v>10</v>
      </c>
      <c r="F374" s="419">
        <v>79</v>
      </c>
      <c r="G374" s="420">
        <v>165</v>
      </c>
      <c r="H374" s="419"/>
      <c r="I374" s="421"/>
      <c r="J374" s="419">
        <v>101</v>
      </c>
      <c r="K374" s="420">
        <v>140</v>
      </c>
      <c r="L374" s="422">
        <f t="shared" si="143"/>
        <v>0</v>
      </c>
      <c r="M374" s="423">
        <f t="shared" si="144"/>
        <v>0</v>
      </c>
      <c r="N374" s="419"/>
      <c r="O374" s="309">
        <f>0</f>
        <v>0</v>
      </c>
      <c r="P374" s="309">
        <f>0</f>
        <v>0</v>
      </c>
      <c r="Q374" s="309">
        <f>0</f>
        <v>0</v>
      </c>
      <c r="R374" s="424">
        <f t="shared" si="141"/>
        <v>0</v>
      </c>
      <c r="S374" s="421"/>
      <c r="T374" s="301">
        <f>0</f>
        <v>0</v>
      </c>
      <c r="U374" s="301">
        <f>0</f>
        <v>0</v>
      </c>
      <c r="V374" s="301">
        <f>0</f>
        <v>0</v>
      </c>
      <c r="W374" s="425">
        <f t="shared" si="142"/>
        <v>0</v>
      </c>
      <c r="X374" s="419"/>
      <c r="Y374" s="419"/>
      <c r="Z374" s="421"/>
      <c r="AA374" s="421"/>
      <c r="AB374" s="419"/>
      <c r="AC374" s="419"/>
      <c r="AD374" s="421"/>
      <c r="AE374" s="421"/>
      <c r="AF374" s="419"/>
      <c r="AG374" s="419"/>
      <c r="AH374" s="421"/>
      <c r="AI374" s="421"/>
      <c r="AJ374" s="419"/>
      <c r="AK374" s="419"/>
      <c r="AL374" s="421"/>
      <c r="AM374" s="421"/>
      <c r="AN374" s="419"/>
      <c r="AO374" s="419"/>
      <c r="AP374" s="421"/>
      <c r="AQ374" s="421"/>
      <c r="AR374" s="424">
        <f t="shared" si="145"/>
        <v>0</v>
      </c>
      <c r="AS374" s="422">
        <f t="shared" si="146"/>
        <v>0</v>
      </c>
      <c r="AT374" s="425">
        <f t="shared" si="147"/>
        <v>0</v>
      </c>
      <c r="AU374" s="423">
        <f t="shared" si="148"/>
        <v>0</v>
      </c>
      <c r="AV374" s="419"/>
      <c r="AW374" s="421"/>
      <c r="AX374" s="419"/>
      <c r="AY374" s="419"/>
      <c r="AZ374" s="421"/>
      <c r="BA374" s="421"/>
      <c r="BB374" s="419"/>
      <c r="BC374" s="419"/>
      <c r="BD374" s="421"/>
      <c r="BE374" s="421"/>
      <c r="BF374" s="419"/>
      <c r="BG374" s="419"/>
      <c r="BH374" s="421"/>
      <c r="BI374" s="421"/>
      <c r="BJ374" s="419"/>
      <c r="BK374" s="419"/>
      <c r="BL374" s="421"/>
      <c r="BM374" s="421"/>
      <c r="BN374" s="419"/>
      <c r="BO374" s="419"/>
      <c r="BP374" s="421"/>
      <c r="BQ374" s="421"/>
      <c r="BR374" s="419"/>
      <c r="BS374" s="419"/>
      <c r="BT374" s="421"/>
      <c r="BU374" s="421"/>
      <c r="BV374" s="419"/>
      <c r="BW374" s="419"/>
      <c r="BX374" s="421"/>
      <c r="BY374" s="421"/>
      <c r="BZ374" s="419"/>
      <c r="CA374" s="419"/>
      <c r="CB374" s="421"/>
      <c r="CC374" s="421"/>
      <c r="CD374" s="419"/>
      <c r="CE374" s="419"/>
      <c r="CF374" s="421"/>
      <c r="CG374" s="421"/>
      <c r="CH374" s="419"/>
      <c r="CI374" s="419"/>
      <c r="CJ374" s="421"/>
      <c r="CK374" s="421"/>
      <c r="CL374" s="419"/>
      <c r="CM374" s="421"/>
      <c r="CN374" s="424">
        <f t="shared" si="149"/>
        <v>0</v>
      </c>
      <c r="CO374" s="424">
        <f t="shared" si="150"/>
        <v>0</v>
      </c>
      <c r="CP374" s="425">
        <f t="shared" si="151"/>
        <v>0</v>
      </c>
      <c r="CQ374" s="425">
        <f t="shared" si="152"/>
        <v>0</v>
      </c>
      <c r="CR374" s="419"/>
      <c r="CS374" s="419"/>
      <c r="CT374" s="421"/>
      <c r="CU374" s="421"/>
      <c r="CV374" s="419"/>
      <c r="CW374" s="419"/>
      <c r="CX374" s="421"/>
      <c r="CY374" s="421"/>
      <c r="CZ374" s="419"/>
      <c r="DA374" s="419"/>
      <c r="DB374" s="421"/>
      <c r="DC374" s="421"/>
      <c r="DD374" s="419"/>
      <c r="DE374" s="419"/>
      <c r="DF374" s="421"/>
      <c r="DG374" s="421"/>
      <c r="DH374" s="419"/>
      <c r="DI374" s="419"/>
      <c r="DJ374" s="421"/>
      <c r="DK374" s="421"/>
      <c r="DL374" s="419"/>
      <c r="DM374" s="419"/>
      <c r="DN374" s="421"/>
      <c r="DO374" s="421"/>
      <c r="DP374" s="419"/>
      <c r="DQ374" s="419"/>
      <c r="DR374" s="421"/>
      <c r="DS374" s="421"/>
      <c r="DT374" s="419"/>
      <c r="DU374" s="419"/>
      <c r="DV374" s="421"/>
      <c r="DW374" s="421"/>
      <c r="DX374" s="419"/>
      <c r="DY374" s="419"/>
      <c r="DZ374" s="421"/>
      <c r="EA374" s="421"/>
      <c r="EB374" s="419"/>
      <c r="EC374" s="419"/>
      <c r="ED374" s="421"/>
      <c r="EE374" s="421"/>
      <c r="EF374" s="419"/>
      <c r="EG374" s="421"/>
      <c r="EH374" s="424">
        <f t="shared" si="153"/>
        <v>0</v>
      </c>
      <c r="EI374" s="424">
        <f t="shared" si="154"/>
        <v>0</v>
      </c>
      <c r="EJ374" s="422">
        <f t="shared" si="155"/>
        <v>0</v>
      </c>
      <c r="EK374" s="425">
        <f t="shared" si="156"/>
        <v>0</v>
      </c>
      <c r="EL374" s="425">
        <f t="shared" si="157"/>
        <v>0</v>
      </c>
      <c r="EM374" s="423">
        <f t="shared" si="158"/>
        <v>0</v>
      </c>
      <c r="EN374" s="424">
        <f t="shared" si="159"/>
        <v>0</v>
      </c>
      <c r="EO374" s="425">
        <f t="shared" si="160"/>
        <v>0</v>
      </c>
      <c r="EP374" s="419"/>
      <c r="EQ374" s="421"/>
      <c r="ER374" s="419"/>
      <c r="ES374" s="421"/>
      <c r="ET374" s="419"/>
      <c r="EU374" s="421"/>
      <c r="EV374" s="419"/>
      <c r="EW374" s="421"/>
      <c r="EX374" s="419"/>
      <c r="EY374" s="421"/>
      <c r="EZ374" s="419"/>
      <c r="FA374" s="421"/>
      <c r="FB374" s="419"/>
      <c r="FC374" s="421"/>
      <c r="FD374" s="419"/>
      <c r="FE374" s="421"/>
      <c r="FF374" s="419"/>
      <c r="FG374" s="421"/>
      <c r="FH374" s="419"/>
      <c r="FI374" s="421"/>
      <c r="FJ374" s="424">
        <f t="shared" si="161"/>
        <v>0</v>
      </c>
      <c r="FK374" s="425">
        <f t="shared" si="162"/>
        <v>0</v>
      </c>
      <c r="FL374" s="419"/>
      <c r="FM374" s="421"/>
      <c r="FN374" s="424">
        <f t="shared" si="163"/>
        <v>180</v>
      </c>
      <c r="FO374" s="425">
        <f t="shared" si="164"/>
        <v>305</v>
      </c>
    </row>
    <row r="375" spans="1:171" s="272" customFormat="1" ht="15" customHeight="1">
      <c r="A375" s="456" t="s">
        <v>164</v>
      </c>
      <c r="B375" s="27" t="s">
        <v>894</v>
      </c>
      <c r="C375" s="260"/>
      <c r="D375" s="25">
        <v>218487</v>
      </c>
      <c r="E375" s="20">
        <v>10</v>
      </c>
      <c r="F375" s="419">
        <v>406</v>
      </c>
      <c r="G375" s="420">
        <v>296</v>
      </c>
      <c r="H375" s="419"/>
      <c r="I375" s="421"/>
      <c r="J375" s="419">
        <v>283</v>
      </c>
      <c r="K375" s="421">
        <v>227</v>
      </c>
      <c r="L375" s="422">
        <f t="shared" si="143"/>
        <v>0</v>
      </c>
      <c r="M375" s="423">
        <f t="shared" si="144"/>
        <v>0</v>
      </c>
      <c r="N375" s="419"/>
      <c r="O375" s="309">
        <f>0</f>
        <v>0</v>
      </c>
      <c r="P375" s="309">
        <f>0</f>
        <v>0</v>
      </c>
      <c r="Q375" s="309">
        <f>0</f>
        <v>0</v>
      </c>
      <c r="R375" s="424">
        <f t="shared" si="141"/>
        <v>0</v>
      </c>
      <c r="S375" s="421"/>
      <c r="T375" s="301">
        <f>0</f>
        <v>0</v>
      </c>
      <c r="U375" s="301">
        <f>0</f>
        <v>0</v>
      </c>
      <c r="V375" s="301">
        <f>0</f>
        <v>0</v>
      </c>
      <c r="W375" s="425">
        <f t="shared" si="142"/>
        <v>0</v>
      </c>
      <c r="X375" s="419"/>
      <c r="Y375" s="419"/>
      <c r="Z375" s="421"/>
      <c r="AA375" s="421"/>
      <c r="AB375" s="419"/>
      <c r="AC375" s="419"/>
      <c r="AD375" s="421"/>
      <c r="AE375" s="421"/>
      <c r="AF375" s="419"/>
      <c r="AG375" s="419"/>
      <c r="AH375" s="421"/>
      <c r="AI375" s="421"/>
      <c r="AJ375" s="419"/>
      <c r="AK375" s="419"/>
      <c r="AL375" s="421"/>
      <c r="AM375" s="421"/>
      <c r="AN375" s="419"/>
      <c r="AO375" s="419"/>
      <c r="AP375" s="421"/>
      <c r="AQ375" s="421"/>
      <c r="AR375" s="424">
        <f t="shared" si="145"/>
        <v>0</v>
      </c>
      <c r="AS375" s="422">
        <f t="shared" si="146"/>
        <v>0</v>
      </c>
      <c r="AT375" s="425">
        <f t="shared" si="147"/>
        <v>0</v>
      </c>
      <c r="AU375" s="423">
        <f t="shared" si="148"/>
        <v>0</v>
      </c>
      <c r="AV375" s="419"/>
      <c r="AW375" s="421"/>
      <c r="AX375" s="419"/>
      <c r="AY375" s="419"/>
      <c r="AZ375" s="421"/>
      <c r="BA375" s="421"/>
      <c r="BB375" s="419"/>
      <c r="BC375" s="419"/>
      <c r="BD375" s="421"/>
      <c r="BE375" s="421"/>
      <c r="BF375" s="419"/>
      <c r="BG375" s="419"/>
      <c r="BH375" s="421"/>
      <c r="BI375" s="421"/>
      <c r="BJ375" s="419"/>
      <c r="BK375" s="419"/>
      <c r="BL375" s="421"/>
      <c r="BM375" s="421"/>
      <c r="BN375" s="419"/>
      <c r="BO375" s="419"/>
      <c r="BP375" s="421"/>
      <c r="BQ375" s="421"/>
      <c r="BR375" s="419"/>
      <c r="BS375" s="419"/>
      <c r="BT375" s="421"/>
      <c r="BU375" s="421"/>
      <c r="BV375" s="419"/>
      <c r="BW375" s="419"/>
      <c r="BX375" s="421"/>
      <c r="BY375" s="421"/>
      <c r="BZ375" s="419"/>
      <c r="CA375" s="419"/>
      <c r="CB375" s="421"/>
      <c r="CC375" s="421"/>
      <c r="CD375" s="419"/>
      <c r="CE375" s="419"/>
      <c r="CF375" s="421"/>
      <c r="CG375" s="421"/>
      <c r="CH375" s="419"/>
      <c r="CI375" s="419"/>
      <c r="CJ375" s="421"/>
      <c r="CK375" s="421"/>
      <c r="CL375" s="419"/>
      <c r="CM375" s="421"/>
      <c r="CN375" s="424">
        <f t="shared" si="149"/>
        <v>0</v>
      </c>
      <c r="CO375" s="424">
        <f t="shared" si="150"/>
        <v>0</v>
      </c>
      <c r="CP375" s="425">
        <f t="shared" si="151"/>
        <v>0</v>
      </c>
      <c r="CQ375" s="425">
        <f t="shared" si="152"/>
        <v>0</v>
      </c>
      <c r="CR375" s="419"/>
      <c r="CS375" s="419"/>
      <c r="CT375" s="421"/>
      <c r="CU375" s="421"/>
      <c r="CV375" s="419"/>
      <c r="CW375" s="419"/>
      <c r="CX375" s="421"/>
      <c r="CY375" s="421"/>
      <c r="CZ375" s="419"/>
      <c r="DA375" s="419"/>
      <c r="DB375" s="421"/>
      <c r="DC375" s="421"/>
      <c r="DD375" s="419"/>
      <c r="DE375" s="419"/>
      <c r="DF375" s="421"/>
      <c r="DG375" s="421"/>
      <c r="DH375" s="419"/>
      <c r="DI375" s="419"/>
      <c r="DJ375" s="421"/>
      <c r="DK375" s="421"/>
      <c r="DL375" s="419"/>
      <c r="DM375" s="419"/>
      <c r="DN375" s="421"/>
      <c r="DO375" s="421"/>
      <c r="DP375" s="419"/>
      <c r="DQ375" s="419"/>
      <c r="DR375" s="421"/>
      <c r="DS375" s="421"/>
      <c r="DT375" s="419"/>
      <c r="DU375" s="419"/>
      <c r="DV375" s="421"/>
      <c r="DW375" s="421"/>
      <c r="DX375" s="419"/>
      <c r="DY375" s="419"/>
      <c r="DZ375" s="421"/>
      <c r="EA375" s="421"/>
      <c r="EB375" s="419"/>
      <c r="EC375" s="419"/>
      <c r="ED375" s="421"/>
      <c r="EE375" s="421"/>
      <c r="EF375" s="419"/>
      <c r="EG375" s="421"/>
      <c r="EH375" s="424">
        <f t="shared" si="153"/>
        <v>0</v>
      </c>
      <c r="EI375" s="424">
        <f t="shared" si="154"/>
        <v>0</v>
      </c>
      <c r="EJ375" s="422">
        <f t="shared" si="155"/>
        <v>0</v>
      </c>
      <c r="EK375" s="425">
        <f t="shared" si="156"/>
        <v>0</v>
      </c>
      <c r="EL375" s="425">
        <f t="shared" si="157"/>
        <v>0</v>
      </c>
      <c r="EM375" s="423">
        <f t="shared" si="158"/>
        <v>0</v>
      </c>
      <c r="EN375" s="424">
        <f t="shared" si="159"/>
        <v>0</v>
      </c>
      <c r="EO375" s="425">
        <f t="shared" si="160"/>
        <v>0</v>
      </c>
      <c r="EP375" s="419"/>
      <c r="EQ375" s="421"/>
      <c r="ER375" s="419"/>
      <c r="ES375" s="421"/>
      <c r="ET375" s="419"/>
      <c r="EU375" s="421"/>
      <c r="EV375" s="419"/>
      <c r="EW375" s="421"/>
      <c r="EX375" s="419"/>
      <c r="EY375" s="421"/>
      <c r="EZ375" s="419"/>
      <c r="FA375" s="421"/>
      <c r="FB375" s="419"/>
      <c r="FC375" s="421"/>
      <c r="FD375" s="419"/>
      <c r="FE375" s="421"/>
      <c r="FF375" s="419"/>
      <c r="FG375" s="421"/>
      <c r="FH375" s="419"/>
      <c r="FI375" s="421"/>
      <c r="FJ375" s="424">
        <f t="shared" si="161"/>
        <v>0</v>
      </c>
      <c r="FK375" s="425">
        <f t="shared" si="162"/>
        <v>0</v>
      </c>
      <c r="FL375" s="419"/>
      <c r="FM375" s="421"/>
      <c r="FN375" s="424">
        <f t="shared" si="163"/>
        <v>689</v>
      </c>
      <c r="FO375" s="425">
        <f t="shared" si="164"/>
        <v>523</v>
      </c>
    </row>
    <row r="376" spans="1:171">
      <c r="A376" s="456" t="s">
        <v>164</v>
      </c>
      <c r="B376" s="27" t="s">
        <v>895</v>
      </c>
      <c r="C376" s="18"/>
      <c r="D376" s="25">
        <v>217712</v>
      </c>
      <c r="E376" s="20">
        <v>10</v>
      </c>
      <c r="F376" s="419">
        <v>155</v>
      </c>
      <c r="G376" s="421">
        <v>181</v>
      </c>
      <c r="H376" s="419"/>
      <c r="I376" s="421"/>
      <c r="J376" s="419">
        <v>177</v>
      </c>
      <c r="K376" s="420">
        <v>231</v>
      </c>
      <c r="L376" s="422">
        <f t="shared" si="143"/>
        <v>0</v>
      </c>
      <c r="M376" s="423">
        <f t="shared" si="144"/>
        <v>0</v>
      </c>
      <c r="N376" s="419"/>
      <c r="O376" s="309">
        <f>0</f>
        <v>0</v>
      </c>
      <c r="P376" s="309">
        <f>0</f>
        <v>0</v>
      </c>
      <c r="Q376" s="309">
        <f>0</f>
        <v>0</v>
      </c>
      <c r="R376" s="424">
        <f t="shared" si="141"/>
        <v>0</v>
      </c>
      <c r="S376" s="421"/>
      <c r="T376" s="301">
        <f>0</f>
        <v>0</v>
      </c>
      <c r="U376" s="301">
        <f>0</f>
        <v>0</v>
      </c>
      <c r="V376" s="301">
        <f>0</f>
        <v>0</v>
      </c>
      <c r="W376" s="425">
        <f t="shared" si="142"/>
        <v>0</v>
      </c>
      <c r="X376" s="419"/>
      <c r="Y376" s="419"/>
      <c r="Z376" s="421"/>
      <c r="AA376" s="421"/>
      <c r="AB376" s="419"/>
      <c r="AC376" s="419"/>
      <c r="AD376" s="421"/>
      <c r="AE376" s="421"/>
      <c r="AF376" s="419"/>
      <c r="AG376" s="419"/>
      <c r="AH376" s="421"/>
      <c r="AI376" s="421"/>
      <c r="AJ376" s="419"/>
      <c r="AK376" s="419"/>
      <c r="AL376" s="421"/>
      <c r="AM376" s="421"/>
      <c r="AN376" s="419"/>
      <c r="AO376" s="419"/>
      <c r="AP376" s="421"/>
      <c r="AQ376" s="421"/>
      <c r="AR376" s="424">
        <f t="shared" si="145"/>
        <v>0</v>
      </c>
      <c r="AS376" s="422">
        <f t="shared" si="146"/>
        <v>0</v>
      </c>
      <c r="AT376" s="425">
        <f t="shared" si="147"/>
        <v>0</v>
      </c>
      <c r="AU376" s="423">
        <f t="shared" si="148"/>
        <v>0</v>
      </c>
      <c r="AV376" s="419"/>
      <c r="AW376" s="421"/>
      <c r="AX376" s="419"/>
      <c r="AY376" s="419"/>
      <c r="AZ376" s="421"/>
      <c r="BA376" s="421"/>
      <c r="BB376" s="419"/>
      <c r="BC376" s="419"/>
      <c r="BD376" s="421"/>
      <c r="BE376" s="421"/>
      <c r="BF376" s="419"/>
      <c r="BG376" s="419"/>
      <c r="BH376" s="421"/>
      <c r="BI376" s="421"/>
      <c r="BJ376" s="419"/>
      <c r="BK376" s="419"/>
      <c r="BL376" s="421"/>
      <c r="BM376" s="421"/>
      <c r="BN376" s="419"/>
      <c r="BO376" s="419"/>
      <c r="BP376" s="421"/>
      <c r="BQ376" s="421"/>
      <c r="BR376" s="419"/>
      <c r="BS376" s="419"/>
      <c r="BT376" s="421"/>
      <c r="BU376" s="421"/>
      <c r="BV376" s="419"/>
      <c r="BW376" s="419"/>
      <c r="BX376" s="421"/>
      <c r="BY376" s="421"/>
      <c r="BZ376" s="419"/>
      <c r="CA376" s="419"/>
      <c r="CB376" s="421"/>
      <c r="CC376" s="421"/>
      <c r="CD376" s="419"/>
      <c r="CE376" s="419"/>
      <c r="CF376" s="421"/>
      <c r="CG376" s="421"/>
      <c r="CH376" s="419"/>
      <c r="CI376" s="419"/>
      <c r="CJ376" s="421"/>
      <c r="CK376" s="421"/>
      <c r="CL376" s="419"/>
      <c r="CM376" s="421"/>
      <c r="CN376" s="424">
        <f t="shared" si="149"/>
        <v>0</v>
      </c>
      <c r="CO376" s="424">
        <f t="shared" si="150"/>
        <v>0</v>
      </c>
      <c r="CP376" s="425">
        <f t="shared" si="151"/>
        <v>0</v>
      </c>
      <c r="CQ376" s="425">
        <f t="shared" si="152"/>
        <v>0</v>
      </c>
      <c r="CR376" s="419"/>
      <c r="CS376" s="419"/>
      <c r="CT376" s="421"/>
      <c r="CU376" s="421"/>
      <c r="CV376" s="419"/>
      <c r="CW376" s="419"/>
      <c r="CX376" s="421"/>
      <c r="CY376" s="421"/>
      <c r="CZ376" s="419"/>
      <c r="DA376" s="419"/>
      <c r="DB376" s="421"/>
      <c r="DC376" s="421"/>
      <c r="DD376" s="419"/>
      <c r="DE376" s="419"/>
      <c r="DF376" s="421"/>
      <c r="DG376" s="421"/>
      <c r="DH376" s="419"/>
      <c r="DI376" s="419"/>
      <c r="DJ376" s="421"/>
      <c r="DK376" s="421"/>
      <c r="DL376" s="419"/>
      <c r="DM376" s="419"/>
      <c r="DN376" s="421"/>
      <c r="DO376" s="421"/>
      <c r="DP376" s="419"/>
      <c r="DQ376" s="419"/>
      <c r="DR376" s="421"/>
      <c r="DS376" s="421"/>
      <c r="DT376" s="419"/>
      <c r="DU376" s="419"/>
      <c r="DV376" s="421"/>
      <c r="DW376" s="421"/>
      <c r="DX376" s="419"/>
      <c r="DY376" s="419"/>
      <c r="DZ376" s="421"/>
      <c r="EA376" s="421"/>
      <c r="EB376" s="419"/>
      <c r="EC376" s="419"/>
      <c r="ED376" s="421"/>
      <c r="EE376" s="421"/>
      <c r="EF376" s="419"/>
      <c r="EG376" s="421"/>
      <c r="EH376" s="424">
        <f t="shared" si="153"/>
        <v>0</v>
      </c>
      <c r="EI376" s="424">
        <f t="shared" si="154"/>
        <v>0</v>
      </c>
      <c r="EJ376" s="422">
        <f t="shared" si="155"/>
        <v>0</v>
      </c>
      <c r="EK376" s="425">
        <f t="shared" si="156"/>
        <v>0</v>
      </c>
      <c r="EL376" s="425">
        <f t="shared" si="157"/>
        <v>0</v>
      </c>
      <c r="EM376" s="423">
        <f t="shared" si="158"/>
        <v>0</v>
      </c>
      <c r="EN376" s="424">
        <f t="shared" si="159"/>
        <v>0</v>
      </c>
      <c r="EO376" s="425">
        <f t="shared" si="160"/>
        <v>0</v>
      </c>
      <c r="EP376" s="419"/>
      <c r="EQ376" s="421"/>
      <c r="ER376" s="419"/>
      <c r="ES376" s="421"/>
      <c r="ET376" s="419"/>
      <c r="EU376" s="421"/>
      <c r="EV376" s="419"/>
      <c r="EW376" s="421"/>
      <c r="EX376" s="419"/>
      <c r="EY376" s="421"/>
      <c r="EZ376" s="419"/>
      <c r="FA376" s="421"/>
      <c r="FB376" s="419"/>
      <c r="FC376" s="421"/>
      <c r="FD376" s="419"/>
      <c r="FE376" s="421"/>
      <c r="FF376" s="419"/>
      <c r="FG376" s="421"/>
      <c r="FH376" s="419"/>
      <c r="FI376" s="421"/>
      <c r="FJ376" s="424">
        <f t="shared" si="161"/>
        <v>0</v>
      </c>
      <c r="FK376" s="425">
        <f t="shared" si="162"/>
        <v>0</v>
      </c>
      <c r="FL376" s="419"/>
      <c r="FM376" s="421"/>
      <c r="FN376" s="424">
        <f t="shared" si="163"/>
        <v>332</v>
      </c>
      <c r="FO376" s="425">
        <f t="shared" si="164"/>
        <v>412</v>
      </c>
    </row>
    <row r="377" spans="1:171">
      <c r="A377" s="456" t="s">
        <v>164</v>
      </c>
      <c r="B377" s="27" t="s">
        <v>896</v>
      </c>
      <c r="C377" s="18"/>
      <c r="D377" s="25">
        <v>218672</v>
      </c>
      <c r="E377" s="20">
        <v>10</v>
      </c>
      <c r="F377" s="419"/>
      <c r="G377" s="421"/>
      <c r="H377" s="419"/>
      <c r="I377" s="421"/>
      <c r="J377" s="419">
        <v>137</v>
      </c>
      <c r="K377" s="421">
        <v>152</v>
      </c>
      <c r="L377" s="422">
        <f t="shared" si="143"/>
        <v>0</v>
      </c>
      <c r="M377" s="423">
        <f t="shared" si="144"/>
        <v>0</v>
      </c>
      <c r="N377" s="419"/>
      <c r="O377" s="309">
        <f>0</f>
        <v>0</v>
      </c>
      <c r="P377" s="309">
        <f>0</f>
        <v>0</v>
      </c>
      <c r="Q377" s="309">
        <f>0</f>
        <v>0</v>
      </c>
      <c r="R377" s="424">
        <f t="shared" si="141"/>
        <v>0</v>
      </c>
      <c r="S377" s="421"/>
      <c r="T377" s="301">
        <f>0</f>
        <v>0</v>
      </c>
      <c r="U377" s="301">
        <f>0</f>
        <v>0</v>
      </c>
      <c r="V377" s="301">
        <f>0</f>
        <v>0</v>
      </c>
      <c r="W377" s="425">
        <f t="shared" si="142"/>
        <v>0</v>
      </c>
      <c r="X377" s="419"/>
      <c r="Y377" s="419"/>
      <c r="Z377" s="421"/>
      <c r="AA377" s="421"/>
      <c r="AB377" s="419"/>
      <c r="AC377" s="419"/>
      <c r="AD377" s="421"/>
      <c r="AE377" s="421"/>
      <c r="AF377" s="419"/>
      <c r="AG377" s="419"/>
      <c r="AH377" s="421"/>
      <c r="AI377" s="421"/>
      <c r="AJ377" s="419"/>
      <c r="AK377" s="419"/>
      <c r="AL377" s="421"/>
      <c r="AM377" s="421"/>
      <c r="AN377" s="419"/>
      <c r="AO377" s="419"/>
      <c r="AP377" s="421"/>
      <c r="AQ377" s="421"/>
      <c r="AR377" s="424">
        <f t="shared" si="145"/>
        <v>0</v>
      </c>
      <c r="AS377" s="422">
        <f t="shared" si="146"/>
        <v>0</v>
      </c>
      <c r="AT377" s="425">
        <f t="shared" si="147"/>
        <v>0</v>
      </c>
      <c r="AU377" s="423">
        <f t="shared" si="148"/>
        <v>0</v>
      </c>
      <c r="AV377" s="419"/>
      <c r="AW377" s="421"/>
      <c r="AX377" s="419"/>
      <c r="AY377" s="419"/>
      <c r="AZ377" s="421"/>
      <c r="BA377" s="421"/>
      <c r="BB377" s="419"/>
      <c r="BC377" s="419"/>
      <c r="BD377" s="421"/>
      <c r="BE377" s="421"/>
      <c r="BF377" s="419"/>
      <c r="BG377" s="419"/>
      <c r="BH377" s="421"/>
      <c r="BI377" s="421"/>
      <c r="BJ377" s="419"/>
      <c r="BK377" s="419"/>
      <c r="BL377" s="421"/>
      <c r="BM377" s="421"/>
      <c r="BN377" s="419"/>
      <c r="BO377" s="419"/>
      <c r="BP377" s="421"/>
      <c r="BQ377" s="421"/>
      <c r="BR377" s="419"/>
      <c r="BS377" s="419"/>
      <c r="BT377" s="421"/>
      <c r="BU377" s="421"/>
      <c r="BV377" s="419"/>
      <c r="BW377" s="419"/>
      <c r="BX377" s="421"/>
      <c r="BY377" s="421"/>
      <c r="BZ377" s="419"/>
      <c r="CA377" s="419"/>
      <c r="CB377" s="421"/>
      <c r="CC377" s="421"/>
      <c r="CD377" s="419"/>
      <c r="CE377" s="419"/>
      <c r="CF377" s="421"/>
      <c r="CG377" s="421"/>
      <c r="CH377" s="419"/>
      <c r="CI377" s="419"/>
      <c r="CJ377" s="421"/>
      <c r="CK377" s="421"/>
      <c r="CL377" s="419"/>
      <c r="CM377" s="421"/>
      <c r="CN377" s="424">
        <f t="shared" si="149"/>
        <v>0</v>
      </c>
      <c r="CO377" s="424">
        <f t="shared" si="150"/>
        <v>0</v>
      </c>
      <c r="CP377" s="425">
        <f t="shared" si="151"/>
        <v>0</v>
      </c>
      <c r="CQ377" s="425">
        <f t="shared" si="152"/>
        <v>0</v>
      </c>
      <c r="CR377" s="419"/>
      <c r="CS377" s="419"/>
      <c r="CT377" s="421"/>
      <c r="CU377" s="421"/>
      <c r="CV377" s="419"/>
      <c r="CW377" s="419"/>
      <c r="CX377" s="421"/>
      <c r="CY377" s="421"/>
      <c r="CZ377" s="419"/>
      <c r="DA377" s="419"/>
      <c r="DB377" s="421"/>
      <c r="DC377" s="421"/>
      <c r="DD377" s="419"/>
      <c r="DE377" s="419"/>
      <c r="DF377" s="421"/>
      <c r="DG377" s="421"/>
      <c r="DH377" s="419"/>
      <c r="DI377" s="419"/>
      <c r="DJ377" s="421"/>
      <c r="DK377" s="421"/>
      <c r="DL377" s="419"/>
      <c r="DM377" s="419"/>
      <c r="DN377" s="421"/>
      <c r="DO377" s="421"/>
      <c r="DP377" s="419"/>
      <c r="DQ377" s="419"/>
      <c r="DR377" s="421"/>
      <c r="DS377" s="421"/>
      <c r="DT377" s="419"/>
      <c r="DU377" s="419"/>
      <c r="DV377" s="421"/>
      <c r="DW377" s="421"/>
      <c r="DX377" s="419"/>
      <c r="DY377" s="419"/>
      <c r="DZ377" s="421"/>
      <c r="EA377" s="421"/>
      <c r="EB377" s="419"/>
      <c r="EC377" s="419"/>
      <c r="ED377" s="421"/>
      <c r="EE377" s="421"/>
      <c r="EF377" s="419"/>
      <c r="EG377" s="421"/>
      <c r="EH377" s="424">
        <f t="shared" si="153"/>
        <v>0</v>
      </c>
      <c r="EI377" s="424">
        <f t="shared" si="154"/>
        <v>0</v>
      </c>
      <c r="EJ377" s="422">
        <f t="shared" si="155"/>
        <v>0</v>
      </c>
      <c r="EK377" s="425">
        <f t="shared" si="156"/>
        <v>0</v>
      </c>
      <c r="EL377" s="425">
        <f t="shared" si="157"/>
        <v>0</v>
      </c>
      <c r="EM377" s="423">
        <f t="shared" si="158"/>
        <v>0</v>
      </c>
      <c r="EN377" s="424">
        <f t="shared" si="159"/>
        <v>0</v>
      </c>
      <c r="EO377" s="425">
        <f t="shared" si="160"/>
        <v>0</v>
      </c>
      <c r="EP377" s="419"/>
      <c r="EQ377" s="421"/>
      <c r="ER377" s="419"/>
      <c r="ES377" s="421"/>
      <c r="ET377" s="419"/>
      <c r="EU377" s="421"/>
      <c r="EV377" s="419"/>
      <c r="EW377" s="421"/>
      <c r="EX377" s="419"/>
      <c r="EY377" s="421"/>
      <c r="EZ377" s="419"/>
      <c r="FA377" s="421"/>
      <c r="FB377" s="419"/>
      <c r="FC377" s="421"/>
      <c r="FD377" s="419"/>
      <c r="FE377" s="421"/>
      <c r="FF377" s="419"/>
      <c r="FG377" s="421"/>
      <c r="FH377" s="419"/>
      <c r="FI377" s="421"/>
      <c r="FJ377" s="424">
        <f t="shared" si="161"/>
        <v>0</v>
      </c>
      <c r="FK377" s="425">
        <f t="shared" si="162"/>
        <v>0</v>
      </c>
      <c r="FL377" s="419"/>
      <c r="FM377" s="421"/>
      <c r="FN377" s="424">
        <f t="shared" si="163"/>
        <v>137</v>
      </c>
      <c r="FO377" s="425">
        <f t="shared" si="164"/>
        <v>152</v>
      </c>
    </row>
    <row r="378" spans="1:171">
      <c r="A378" s="456" t="s">
        <v>164</v>
      </c>
      <c r="B378" s="27" t="s">
        <v>897</v>
      </c>
      <c r="C378" s="18"/>
      <c r="D378" s="25">
        <v>218681</v>
      </c>
      <c r="E378" s="20">
        <v>10</v>
      </c>
      <c r="F378" s="419"/>
      <c r="G378" s="421"/>
      <c r="H378" s="419"/>
      <c r="I378" s="421"/>
      <c r="J378" s="419">
        <v>164</v>
      </c>
      <c r="K378" s="421">
        <v>134</v>
      </c>
      <c r="L378" s="422">
        <f t="shared" si="143"/>
        <v>0</v>
      </c>
      <c r="M378" s="423">
        <f t="shared" si="144"/>
        <v>0</v>
      </c>
      <c r="N378" s="419"/>
      <c r="O378" s="309">
        <f>0</f>
        <v>0</v>
      </c>
      <c r="P378" s="309">
        <f>0</f>
        <v>0</v>
      </c>
      <c r="Q378" s="309">
        <f>0</f>
        <v>0</v>
      </c>
      <c r="R378" s="424">
        <f t="shared" si="141"/>
        <v>0</v>
      </c>
      <c r="S378" s="421"/>
      <c r="T378" s="301">
        <f>0</f>
        <v>0</v>
      </c>
      <c r="U378" s="301">
        <f>0</f>
        <v>0</v>
      </c>
      <c r="V378" s="301">
        <f>0</f>
        <v>0</v>
      </c>
      <c r="W378" s="425">
        <f t="shared" si="142"/>
        <v>0</v>
      </c>
      <c r="X378" s="419"/>
      <c r="Y378" s="419"/>
      <c r="Z378" s="421"/>
      <c r="AA378" s="421"/>
      <c r="AB378" s="419"/>
      <c r="AC378" s="419"/>
      <c r="AD378" s="421"/>
      <c r="AE378" s="421"/>
      <c r="AF378" s="419"/>
      <c r="AG378" s="419"/>
      <c r="AH378" s="421"/>
      <c r="AI378" s="421"/>
      <c r="AJ378" s="419"/>
      <c r="AK378" s="419"/>
      <c r="AL378" s="421"/>
      <c r="AM378" s="421"/>
      <c r="AN378" s="419"/>
      <c r="AO378" s="419"/>
      <c r="AP378" s="421"/>
      <c r="AQ378" s="421"/>
      <c r="AR378" s="424">
        <f t="shared" si="145"/>
        <v>0</v>
      </c>
      <c r="AS378" s="422">
        <f t="shared" si="146"/>
        <v>0</v>
      </c>
      <c r="AT378" s="425">
        <f t="shared" si="147"/>
        <v>0</v>
      </c>
      <c r="AU378" s="423">
        <f t="shared" si="148"/>
        <v>0</v>
      </c>
      <c r="AV378" s="419"/>
      <c r="AW378" s="421"/>
      <c r="AX378" s="419"/>
      <c r="AY378" s="419"/>
      <c r="AZ378" s="421"/>
      <c r="BA378" s="421"/>
      <c r="BB378" s="419"/>
      <c r="BC378" s="419"/>
      <c r="BD378" s="421"/>
      <c r="BE378" s="421"/>
      <c r="BF378" s="419"/>
      <c r="BG378" s="419"/>
      <c r="BH378" s="421"/>
      <c r="BI378" s="421"/>
      <c r="BJ378" s="419"/>
      <c r="BK378" s="419"/>
      <c r="BL378" s="421"/>
      <c r="BM378" s="421"/>
      <c r="BN378" s="419"/>
      <c r="BO378" s="419"/>
      <c r="BP378" s="421"/>
      <c r="BQ378" s="421"/>
      <c r="BR378" s="419"/>
      <c r="BS378" s="419"/>
      <c r="BT378" s="421"/>
      <c r="BU378" s="421"/>
      <c r="BV378" s="419"/>
      <c r="BW378" s="419"/>
      <c r="BX378" s="421"/>
      <c r="BY378" s="421"/>
      <c r="BZ378" s="419"/>
      <c r="CA378" s="419"/>
      <c r="CB378" s="421"/>
      <c r="CC378" s="421"/>
      <c r="CD378" s="419"/>
      <c r="CE378" s="419"/>
      <c r="CF378" s="421"/>
      <c r="CG378" s="421"/>
      <c r="CH378" s="419"/>
      <c r="CI378" s="419"/>
      <c r="CJ378" s="421"/>
      <c r="CK378" s="421"/>
      <c r="CL378" s="419"/>
      <c r="CM378" s="421"/>
      <c r="CN378" s="424">
        <f t="shared" si="149"/>
        <v>0</v>
      </c>
      <c r="CO378" s="424">
        <f t="shared" si="150"/>
        <v>0</v>
      </c>
      <c r="CP378" s="425">
        <f t="shared" si="151"/>
        <v>0</v>
      </c>
      <c r="CQ378" s="425">
        <f t="shared" si="152"/>
        <v>0</v>
      </c>
      <c r="CR378" s="419"/>
      <c r="CS378" s="419"/>
      <c r="CT378" s="421"/>
      <c r="CU378" s="421"/>
      <c r="CV378" s="419"/>
      <c r="CW378" s="419"/>
      <c r="CX378" s="421"/>
      <c r="CY378" s="421"/>
      <c r="CZ378" s="419"/>
      <c r="DA378" s="419"/>
      <c r="DB378" s="421"/>
      <c r="DC378" s="421"/>
      <c r="DD378" s="419"/>
      <c r="DE378" s="419"/>
      <c r="DF378" s="421"/>
      <c r="DG378" s="421"/>
      <c r="DH378" s="419"/>
      <c r="DI378" s="419"/>
      <c r="DJ378" s="421"/>
      <c r="DK378" s="421"/>
      <c r="DL378" s="419"/>
      <c r="DM378" s="419"/>
      <c r="DN378" s="421"/>
      <c r="DO378" s="421"/>
      <c r="DP378" s="419"/>
      <c r="DQ378" s="419"/>
      <c r="DR378" s="421"/>
      <c r="DS378" s="421"/>
      <c r="DT378" s="419"/>
      <c r="DU378" s="419"/>
      <c r="DV378" s="421"/>
      <c r="DW378" s="421"/>
      <c r="DX378" s="419"/>
      <c r="DY378" s="419"/>
      <c r="DZ378" s="421"/>
      <c r="EA378" s="421"/>
      <c r="EB378" s="419"/>
      <c r="EC378" s="419"/>
      <c r="ED378" s="421"/>
      <c r="EE378" s="421"/>
      <c r="EF378" s="419"/>
      <c r="EG378" s="421"/>
      <c r="EH378" s="424">
        <f t="shared" si="153"/>
        <v>0</v>
      </c>
      <c r="EI378" s="424">
        <f t="shared" si="154"/>
        <v>0</v>
      </c>
      <c r="EJ378" s="422">
        <f t="shared" si="155"/>
        <v>0</v>
      </c>
      <c r="EK378" s="425">
        <f t="shared" si="156"/>
        <v>0</v>
      </c>
      <c r="EL378" s="425">
        <f t="shared" si="157"/>
        <v>0</v>
      </c>
      <c r="EM378" s="423">
        <f t="shared" si="158"/>
        <v>0</v>
      </c>
      <c r="EN378" s="424">
        <f t="shared" si="159"/>
        <v>0</v>
      </c>
      <c r="EO378" s="425">
        <f t="shared" si="160"/>
        <v>0</v>
      </c>
      <c r="EP378" s="419"/>
      <c r="EQ378" s="421"/>
      <c r="ER378" s="419"/>
      <c r="ES378" s="421"/>
      <c r="ET378" s="419"/>
      <c r="EU378" s="421"/>
      <c r="EV378" s="419"/>
      <c r="EW378" s="421"/>
      <c r="EX378" s="419"/>
      <c r="EY378" s="421"/>
      <c r="EZ378" s="419"/>
      <c r="FA378" s="421"/>
      <c r="FB378" s="419"/>
      <c r="FC378" s="421"/>
      <c r="FD378" s="419"/>
      <c r="FE378" s="421"/>
      <c r="FF378" s="419"/>
      <c r="FG378" s="421"/>
      <c r="FH378" s="419"/>
      <c r="FI378" s="421"/>
      <c r="FJ378" s="424">
        <f t="shared" si="161"/>
        <v>0</v>
      </c>
      <c r="FK378" s="425">
        <f t="shared" si="162"/>
        <v>0</v>
      </c>
      <c r="FL378" s="419"/>
      <c r="FM378" s="421"/>
      <c r="FN378" s="424">
        <f t="shared" si="163"/>
        <v>164</v>
      </c>
      <c r="FO378" s="425">
        <f t="shared" si="164"/>
        <v>134</v>
      </c>
    </row>
    <row r="379" spans="1:171" s="272" customFormat="1" ht="15" customHeight="1">
      <c r="A379" s="456" t="s">
        <v>164</v>
      </c>
      <c r="B379" s="27" t="s">
        <v>898</v>
      </c>
      <c r="C379" s="7"/>
      <c r="D379" s="25">
        <v>218690</v>
      </c>
      <c r="E379" s="20">
        <v>10</v>
      </c>
      <c r="F379" s="419"/>
      <c r="G379" s="421"/>
      <c r="H379" s="419"/>
      <c r="I379" s="421"/>
      <c r="J379" s="419">
        <v>133</v>
      </c>
      <c r="K379" s="420">
        <v>163</v>
      </c>
      <c r="L379" s="422">
        <f t="shared" si="143"/>
        <v>0</v>
      </c>
      <c r="M379" s="423">
        <f t="shared" si="144"/>
        <v>0</v>
      </c>
      <c r="N379" s="419"/>
      <c r="O379" s="309">
        <f>0</f>
        <v>0</v>
      </c>
      <c r="P379" s="309">
        <f>0</f>
        <v>0</v>
      </c>
      <c r="Q379" s="309">
        <f>0</f>
        <v>0</v>
      </c>
      <c r="R379" s="424">
        <f t="shared" si="141"/>
        <v>0</v>
      </c>
      <c r="S379" s="421"/>
      <c r="T379" s="301">
        <f>0</f>
        <v>0</v>
      </c>
      <c r="U379" s="301">
        <f>0</f>
        <v>0</v>
      </c>
      <c r="V379" s="301">
        <f>0</f>
        <v>0</v>
      </c>
      <c r="W379" s="425">
        <f t="shared" si="142"/>
        <v>0</v>
      </c>
      <c r="X379" s="419"/>
      <c r="Y379" s="419"/>
      <c r="Z379" s="421"/>
      <c r="AA379" s="421"/>
      <c r="AB379" s="419"/>
      <c r="AC379" s="419"/>
      <c r="AD379" s="421"/>
      <c r="AE379" s="421"/>
      <c r="AF379" s="419"/>
      <c r="AG379" s="419"/>
      <c r="AH379" s="421"/>
      <c r="AI379" s="421"/>
      <c r="AJ379" s="419"/>
      <c r="AK379" s="419"/>
      <c r="AL379" s="421"/>
      <c r="AM379" s="421"/>
      <c r="AN379" s="419"/>
      <c r="AO379" s="419"/>
      <c r="AP379" s="421"/>
      <c r="AQ379" s="421"/>
      <c r="AR379" s="424">
        <f t="shared" si="145"/>
        <v>0</v>
      </c>
      <c r="AS379" s="422">
        <f t="shared" si="146"/>
        <v>0</v>
      </c>
      <c r="AT379" s="425">
        <f t="shared" si="147"/>
        <v>0</v>
      </c>
      <c r="AU379" s="423">
        <f t="shared" si="148"/>
        <v>0</v>
      </c>
      <c r="AV379" s="419"/>
      <c r="AW379" s="421"/>
      <c r="AX379" s="419"/>
      <c r="AY379" s="419"/>
      <c r="AZ379" s="421"/>
      <c r="BA379" s="421"/>
      <c r="BB379" s="419"/>
      <c r="BC379" s="419"/>
      <c r="BD379" s="421"/>
      <c r="BE379" s="421"/>
      <c r="BF379" s="419"/>
      <c r="BG379" s="419"/>
      <c r="BH379" s="421"/>
      <c r="BI379" s="421"/>
      <c r="BJ379" s="419"/>
      <c r="BK379" s="419"/>
      <c r="BL379" s="421"/>
      <c r="BM379" s="421"/>
      <c r="BN379" s="419"/>
      <c r="BO379" s="419"/>
      <c r="BP379" s="421"/>
      <c r="BQ379" s="421"/>
      <c r="BR379" s="419"/>
      <c r="BS379" s="419"/>
      <c r="BT379" s="421"/>
      <c r="BU379" s="421"/>
      <c r="BV379" s="419"/>
      <c r="BW379" s="419"/>
      <c r="BX379" s="421"/>
      <c r="BY379" s="421"/>
      <c r="BZ379" s="419"/>
      <c r="CA379" s="419"/>
      <c r="CB379" s="421"/>
      <c r="CC379" s="421"/>
      <c r="CD379" s="419"/>
      <c r="CE379" s="419"/>
      <c r="CF379" s="421"/>
      <c r="CG379" s="421"/>
      <c r="CH379" s="419"/>
      <c r="CI379" s="419"/>
      <c r="CJ379" s="421"/>
      <c r="CK379" s="421"/>
      <c r="CL379" s="419"/>
      <c r="CM379" s="421"/>
      <c r="CN379" s="424">
        <f t="shared" si="149"/>
        <v>0</v>
      </c>
      <c r="CO379" s="424">
        <f t="shared" si="150"/>
        <v>0</v>
      </c>
      <c r="CP379" s="425">
        <f t="shared" si="151"/>
        <v>0</v>
      </c>
      <c r="CQ379" s="425">
        <f t="shared" si="152"/>
        <v>0</v>
      </c>
      <c r="CR379" s="419"/>
      <c r="CS379" s="419"/>
      <c r="CT379" s="421"/>
      <c r="CU379" s="421"/>
      <c r="CV379" s="419"/>
      <c r="CW379" s="419"/>
      <c r="CX379" s="421"/>
      <c r="CY379" s="421"/>
      <c r="CZ379" s="419"/>
      <c r="DA379" s="419"/>
      <c r="DB379" s="421"/>
      <c r="DC379" s="421"/>
      <c r="DD379" s="419"/>
      <c r="DE379" s="419"/>
      <c r="DF379" s="421"/>
      <c r="DG379" s="421"/>
      <c r="DH379" s="419"/>
      <c r="DI379" s="419"/>
      <c r="DJ379" s="421"/>
      <c r="DK379" s="421"/>
      <c r="DL379" s="419"/>
      <c r="DM379" s="419"/>
      <c r="DN379" s="421"/>
      <c r="DO379" s="421"/>
      <c r="DP379" s="419"/>
      <c r="DQ379" s="419"/>
      <c r="DR379" s="421"/>
      <c r="DS379" s="421"/>
      <c r="DT379" s="419"/>
      <c r="DU379" s="419"/>
      <c r="DV379" s="421"/>
      <c r="DW379" s="421"/>
      <c r="DX379" s="419"/>
      <c r="DY379" s="419"/>
      <c r="DZ379" s="421"/>
      <c r="EA379" s="421"/>
      <c r="EB379" s="419"/>
      <c r="EC379" s="419"/>
      <c r="ED379" s="421"/>
      <c r="EE379" s="421"/>
      <c r="EF379" s="419"/>
      <c r="EG379" s="421"/>
      <c r="EH379" s="424">
        <f t="shared" si="153"/>
        <v>0</v>
      </c>
      <c r="EI379" s="424">
        <f t="shared" si="154"/>
        <v>0</v>
      </c>
      <c r="EJ379" s="422">
        <f t="shared" si="155"/>
        <v>0</v>
      </c>
      <c r="EK379" s="425">
        <f t="shared" si="156"/>
        <v>0</v>
      </c>
      <c r="EL379" s="425">
        <f t="shared" si="157"/>
        <v>0</v>
      </c>
      <c r="EM379" s="423">
        <f t="shared" si="158"/>
        <v>0</v>
      </c>
      <c r="EN379" s="424">
        <f t="shared" si="159"/>
        <v>0</v>
      </c>
      <c r="EO379" s="425">
        <f t="shared" si="160"/>
        <v>0</v>
      </c>
      <c r="EP379" s="419"/>
      <c r="EQ379" s="421"/>
      <c r="ER379" s="419"/>
      <c r="ES379" s="421"/>
      <c r="ET379" s="419"/>
      <c r="EU379" s="421"/>
      <c r="EV379" s="419"/>
      <c r="EW379" s="421"/>
      <c r="EX379" s="419"/>
      <c r="EY379" s="421"/>
      <c r="EZ379" s="419"/>
      <c r="FA379" s="421"/>
      <c r="FB379" s="419"/>
      <c r="FC379" s="421"/>
      <c r="FD379" s="419"/>
      <c r="FE379" s="421"/>
      <c r="FF379" s="419"/>
      <c r="FG379" s="421"/>
      <c r="FH379" s="419"/>
      <c r="FI379" s="421"/>
      <c r="FJ379" s="424">
        <f t="shared" si="161"/>
        <v>0</v>
      </c>
      <c r="FK379" s="425">
        <f t="shared" si="162"/>
        <v>0</v>
      </c>
      <c r="FL379" s="419"/>
      <c r="FM379" s="421"/>
      <c r="FN379" s="424">
        <f t="shared" si="163"/>
        <v>133</v>
      </c>
      <c r="FO379" s="425">
        <f t="shared" si="164"/>
        <v>163</v>
      </c>
    </row>
    <row r="380" spans="1:171" s="272" customFormat="1" ht="15" customHeight="1">
      <c r="A380" s="456" t="s">
        <v>164</v>
      </c>
      <c r="B380" s="27" t="s">
        <v>899</v>
      </c>
      <c r="C380" s="7"/>
      <c r="D380" s="25">
        <v>218706</v>
      </c>
      <c r="E380" s="20">
        <v>10</v>
      </c>
      <c r="F380" s="419"/>
      <c r="G380" s="421"/>
      <c r="H380" s="419"/>
      <c r="I380" s="421"/>
      <c r="J380" s="419">
        <v>91</v>
      </c>
      <c r="K380" s="420">
        <v>52</v>
      </c>
      <c r="L380" s="422">
        <f t="shared" si="143"/>
        <v>0</v>
      </c>
      <c r="M380" s="423">
        <f t="shared" si="144"/>
        <v>0</v>
      </c>
      <c r="N380" s="419"/>
      <c r="O380" s="309">
        <f>0</f>
        <v>0</v>
      </c>
      <c r="P380" s="309">
        <f>0</f>
        <v>0</v>
      </c>
      <c r="Q380" s="309">
        <f>0</f>
        <v>0</v>
      </c>
      <c r="R380" s="424">
        <f t="shared" si="141"/>
        <v>0</v>
      </c>
      <c r="S380" s="421"/>
      <c r="T380" s="301">
        <f>0</f>
        <v>0</v>
      </c>
      <c r="U380" s="301">
        <f>0</f>
        <v>0</v>
      </c>
      <c r="V380" s="301">
        <f>0</f>
        <v>0</v>
      </c>
      <c r="W380" s="425">
        <f t="shared" si="142"/>
        <v>0</v>
      </c>
      <c r="X380" s="419"/>
      <c r="Y380" s="419"/>
      <c r="Z380" s="421"/>
      <c r="AA380" s="421"/>
      <c r="AB380" s="419"/>
      <c r="AC380" s="419"/>
      <c r="AD380" s="421"/>
      <c r="AE380" s="421"/>
      <c r="AF380" s="419"/>
      <c r="AG380" s="419"/>
      <c r="AH380" s="421"/>
      <c r="AI380" s="421"/>
      <c r="AJ380" s="419"/>
      <c r="AK380" s="419"/>
      <c r="AL380" s="421"/>
      <c r="AM380" s="421"/>
      <c r="AN380" s="419"/>
      <c r="AO380" s="419"/>
      <c r="AP380" s="421"/>
      <c r="AQ380" s="421"/>
      <c r="AR380" s="424">
        <f t="shared" si="145"/>
        <v>0</v>
      </c>
      <c r="AS380" s="422">
        <f t="shared" si="146"/>
        <v>0</v>
      </c>
      <c r="AT380" s="425">
        <f t="shared" si="147"/>
        <v>0</v>
      </c>
      <c r="AU380" s="423">
        <f t="shared" si="148"/>
        <v>0</v>
      </c>
      <c r="AV380" s="419"/>
      <c r="AW380" s="421"/>
      <c r="AX380" s="419"/>
      <c r="AY380" s="419"/>
      <c r="AZ380" s="421"/>
      <c r="BA380" s="421"/>
      <c r="BB380" s="419"/>
      <c r="BC380" s="419"/>
      <c r="BD380" s="421"/>
      <c r="BE380" s="421"/>
      <c r="BF380" s="419"/>
      <c r="BG380" s="419"/>
      <c r="BH380" s="421"/>
      <c r="BI380" s="421"/>
      <c r="BJ380" s="419"/>
      <c r="BK380" s="419"/>
      <c r="BL380" s="421"/>
      <c r="BM380" s="421"/>
      <c r="BN380" s="419"/>
      <c r="BO380" s="419"/>
      <c r="BP380" s="421"/>
      <c r="BQ380" s="421"/>
      <c r="BR380" s="419"/>
      <c r="BS380" s="419"/>
      <c r="BT380" s="421"/>
      <c r="BU380" s="421"/>
      <c r="BV380" s="419"/>
      <c r="BW380" s="419"/>
      <c r="BX380" s="421"/>
      <c r="BY380" s="421"/>
      <c r="BZ380" s="419"/>
      <c r="CA380" s="419"/>
      <c r="CB380" s="421"/>
      <c r="CC380" s="421"/>
      <c r="CD380" s="419"/>
      <c r="CE380" s="419"/>
      <c r="CF380" s="421"/>
      <c r="CG380" s="421"/>
      <c r="CH380" s="419"/>
      <c r="CI380" s="419"/>
      <c r="CJ380" s="421"/>
      <c r="CK380" s="421"/>
      <c r="CL380" s="419"/>
      <c r="CM380" s="421"/>
      <c r="CN380" s="424">
        <f t="shared" si="149"/>
        <v>0</v>
      </c>
      <c r="CO380" s="424">
        <f t="shared" si="150"/>
        <v>0</v>
      </c>
      <c r="CP380" s="425">
        <f t="shared" si="151"/>
        <v>0</v>
      </c>
      <c r="CQ380" s="425">
        <f t="shared" si="152"/>
        <v>0</v>
      </c>
      <c r="CR380" s="419"/>
      <c r="CS380" s="419"/>
      <c r="CT380" s="421"/>
      <c r="CU380" s="421"/>
      <c r="CV380" s="419"/>
      <c r="CW380" s="419"/>
      <c r="CX380" s="421"/>
      <c r="CY380" s="421"/>
      <c r="CZ380" s="419"/>
      <c r="DA380" s="419"/>
      <c r="DB380" s="421"/>
      <c r="DC380" s="421"/>
      <c r="DD380" s="419"/>
      <c r="DE380" s="419"/>
      <c r="DF380" s="421"/>
      <c r="DG380" s="421"/>
      <c r="DH380" s="419"/>
      <c r="DI380" s="419"/>
      <c r="DJ380" s="421"/>
      <c r="DK380" s="421"/>
      <c r="DL380" s="419"/>
      <c r="DM380" s="419"/>
      <c r="DN380" s="421"/>
      <c r="DO380" s="421"/>
      <c r="DP380" s="419"/>
      <c r="DQ380" s="419"/>
      <c r="DR380" s="421"/>
      <c r="DS380" s="421"/>
      <c r="DT380" s="419"/>
      <c r="DU380" s="419"/>
      <c r="DV380" s="421"/>
      <c r="DW380" s="421"/>
      <c r="DX380" s="419"/>
      <c r="DY380" s="419"/>
      <c r="DZ380" s="421"/>
      <c r="EA380" s="421"/>
      <c r="EB380" s="419"/>
      <c r="EC380" s="419"/>
      <c r="ED380" s="421"/>
      <c r="EE380" s="421"/>
      <c r="EF380" s="419"/>
      <c r="EG380" s="421"/>
      <c r="EH380" s="424">
        <f t="shared" si="153"/>
        <v>0</v>
      </c>
      <c r="EI380" s="424">
        <f t="shared" si="154"/>
        <v>0</v>
      </c>
      <c r="EJ380" s="422">
        <f t="shared" si="155"/>
        <v>0</v>
      </c>
      <c r="EK380" s="425">
        <f t="shared" si="156"/>
        <v>0</v>
      </c>
      <c r="EL380" s="425">
        <f t="shared" si="157"/>
        <v>0</v>
      </c>
      <c r="EM380" s="423">
        <f t="shared" si="158"/>
        <v>0</v>
      </c>
      <c r="EN380" s="424">
        <f t="shared" si="159"/>
        <v>0</v>
      </c>
      <c r="EO380" s="425">
        <f t="shared" si="160"/>
        <v>0</v>
      </c>
      <c r="EP380" s="419"/>
      <c r="EQ380" s="421"/>
      <c r="ER380" s="419"/>
      <c r="ES380" s="421"/>
      <c r="ET380" s="419"/>
      <c r="EU380" s="421"/>
      <c r="EV380" s="419"/>
      <c r="EW380" s="421"/>
      <c r="EX380" s="419"/>
      <c r="EY380" s="421"/>
      <c r="EZ380" s="419"/>
      <c r="FA380" s="421"/>
      <c r="FB380" s="419"/>
      <c r="FC380" s="421"/>
      <c r="FD380" s="419"/>
      <c r="FE380" s="421"/>
      <c r="FF380" s="419"/>
      <c r="FG380" s="421"/>
      <c r="FH380" s="419"/>
      <c r="FI380" s="421"/>
      <c r="FJ380" s="424">
        <f t="shared" si="161"/>
        <v>0</v>
      </c>
      <c r="FK380" s="425">
        <f t="shared" si="162"/>
        <v>0</v>
      </c>
      <c r="FL380" s="419"/>
      <c r="FM380" s="421"/>
      <c r="FN380" s="424">
        <f t="shared" si="163"/>
        <v>91</v>
      </c>
      <c r="FO380" s="425">
        <f t="shared" si="164"/>
        <v>52</v>
      </c>
    </row>
    <row r="381" spans="1:171" s="272" customFormat="1" ht="15" customHeight="1">
      <c r="A381" s="456" t="s">
        <v>164</v>
      </c>
      <c r="B381" s="307" t="s">
        <v>900</v>
      </c>
      <c r="C381" s="7"/>
      <c r="D381" s="25">
        <v>218955</v>
      </c>
      <c r="E381" s="20">
        <v>10</v>
      </c>
      <c r="F381" s="419">
        <v>71</v>
      </c>
      <c r="G381" s="420">
        <v>46</v>
      </c>
      <c r="H381" s="419"/>
      <c r="I381" s="421"/>
      <c r="J381" s="419">
        <v>39</v>
      </c>
      <c r="K381" s="420">
        <v>54</v>
      </c>
      <c r="L381" s="422">
        <f t="shared" si="143"/>
        <v>0</v>
      </c>
      <c r="M381" s="423">
        <f t="shared" si="144"/>
        <v>0</v>
      </c>
      <c r="N381" s="419"/>
      <c r="O381" s="309">
        <f>0</f>
        <v>0</v>
      </c>
      <c r="P381" s="309">
        <f>0</f>
        <v>0</v>
      </c>
      <c r="Q381" s="309">
        <f>0</f>
        <v>0</v>
      </c>
      <c r="R381" s="424">
        <f t="shared" si="141"/>
        <v>0</v>
      </c>
      <c r="S381" s="421"/>
      <c r="T381" s="301">
        <f>0</f>
        <v>0</v>
      </c>
      <c r="U381" s="301">
        <f>0</f>
        <v>0</v>
      </c>
      <c r="V381" s="301">
        <f>0</f>
        <v>0</v>
      </c>
      <c r="W381" s="425">
        <f t="shared" si="142"/>
        <v>0</v>
      </c>
      <c r="X381" s="419"/>
      <c r="Y381" s="419"/>
      <c r="Z381" s="421"/>
      <c r="AA381" s="421"/>
      <c r="AB381" s="419"/>
      <c r="AC381" s="419"/>
      <c r="AD381" s="421"/>
      <c r="AE381" s="421"/>
      <c r="AF381" s="419"/>
      <c r="AG381" s="419"/>
      <c r="AH381" s="421"/>
      <c r="AI381" s="421"/>
      <c r="AJ381" s="419"/>
      <c r="AK381" s="419"/>
      <c r="AL381" s="421"/>
      <c r="AM381" s="421"/>
      <c r="AN381" s="419"/>
      <c r="AO381" s="419"/>
      <c r="AP381" s="421"/>
      <c r="AQ381" s="421"/>
      <c r="AR381" s="424">
        <f t="shared" si="145"/>
        <v>0</v>
      </c>
      <c r="AS381" s="422">
        <f t="shared" si="146"/>
        <v>0</v>
      </c>
      <c r="AT381" s="425">
        <f t="shared" si="147"/>
        <v>0</v>
      </c>
      <c r="AU381" s="423">
        <f t="shared" si="148"/>
        <v>0</v>
      </c>
      <c r="AV381" s="419"/>
      <c r="AW381" s="421"/>
      <c r="AX381" s="419"/>
      <c r="AY381" s="419"/>
      <c r="AZ381" s="421"/>
      <c r="BA381" s="421"/>
      <c r="BB381" s="419"/>
      <c r="BC381" s="419"/>
      <c r="BD381" s="421"/>
      <c r="BE381" s="421"/>
      <c r="BF381" s="419"/>
      <c r="BG381" s="419"/>
      <c r="BH381" s="421"/>
      <c r="BI381" s="421"/>
      <c r="BJ381" s="419"/>
      <c r="BK381" s="419"/>
      <c r="BL381" s="421"/>
      <c r="BM381" s="421"/>
      <c r="BN381" s="419"/>
      <c r="BO381" s="419"/>
      <c r="BP381" s="421"/>
      <c r="BQ381" s="421"/>
      <c r="BR381" s="419"/>
      <c r="BS381" s="419"/>
      <c r="BT381" s="421"/>
      <c r="BU381" s="421"/>
      <c r="BV381" s="419"/>
      <c r="BW381" s="419"/>
      <c r="BX381" s="421"/>
      <c r="BY381" s="421"/>
      <c r="BZ381" s="419"/>
      <c r="CA381" s="419"/>
      <c r="CB381" s="421"/>
      <c r="CC381" s="421"/>
      <c r="CD381" s="419"/>
      <c r="CE381" s="419"/>
      <c r="CF381" s="421"/>
      <c r="CG381" s="421"/>
      <c r="CH381" s="419"/>
      <c r="CI381" s="419"/>
      <c r="CJ381" s="421"/>
      <c r="CK381" s="421"/>
      <c r="CL381" s="419"/>
      <c r="CM381" s="421"/>
      <c r="CN381" s="424">
        <f t="shared" si="149"/>
        <v>0</v>
      </c>
      <c r="CO381" s="424">
        <f t="shared" si="150"/>
        <v>0</v>
      </c>
      <c r="CP381" s="425">
        <f t="shared" si="151"/>
        <v>0</v>
      </c>
      <c r="CQ381" s="425">
        <f t="shared" si="152"/>
        <v>0</v>
      </c>
      <c r="CR381" s="419"/>
      <c r="CS381" s="419"/>
      <c r="CT381" s="421"/>
      <c r="CU381" s="421"/>
      <c r="CV381" s="419"/>
      <c r="CW381" s="419"/>
      <c r="CX381" s="421"/>
      <c r="CY381" s="421"/>
      <c r="CZ381" s="419"/>
      <c r="DA381" s="419"/>
      <c r="DB381" s="421"/>
      <c r="DC381" s="421"/>
      <c r="DD381" s="419"/>
      <c r="DE381" s="419"/>
      <c r="DF381" s="421"/>
      <c r="DG381" s="421"/>
      <c r="DH381" s="419"/>
      <c r="DI381" s="419"/>
      <c r="DJ381" s="421"/>
      <c r="DK381" s="421"/>
      <c r="DL381" s="419"/>
      <c r="DM381" s="419"/>
      <c r="DN381" s="421"/>
      <c r="DO381" s="421"/>
      <c r="DP381" s="419"/>
      <c r="DQ381" s="419"/>
      <c r="DR381" s="421"/>
      <c r="DS381" s="421"/>
      <c r="DT381" s="419"/>
      <c r="DU381" s="419"/>
      <c r="DV381" s="421"/>
      <c r="DW381" s="421"/>
      <c r="DX381" s="419"/>
      <c r="DY381" s="419"/>
      <c r="DZ381" s="421"/>
      <c r="EA381" s="421"/>
      <c r="EB381" s="419"/>
      <c r="EC381" s="419"/>
      <c r="ED381" s="421"/>
      <c r="EE381" s="421"/>
      <c r="EF381" s="419"/>
      <c r="EG381" s="421"/>
      <c r="EH381" s="424">
        <f t="shared" si="153"/>
        <v>0</v>
      </c>
      <c r="EI381" s="424">
        <f t="shared" si="154"/>
        <v>0</v>
      </c>
      <c r="EJ381" s="422">
        <f t="shared" si="155"/>
        <v>0</v>
      </c>
      <c r="EK381" s="425">
        <f t="shared" si="156"/>
        <v>0</v>
      </c>
      <c r="EL381" s="425">
        <f t="shared" si="157"/>
        <v>0</v>
      </c>
      <c r="EM381" s="423">
        <f t="shared" si="158"/>
        <v>0</v>
      </c>
      <c r="EN381" s="424">
        <f t="shared" si="159"/>
        <v>0</v>
      </c>
      <c r="EO381" s="425">
        <f t="shared" si="160"/>
        <v>0</v>
      </c>
      <c r="EP381" s="419"/>
      <c r="EQ381" s="421"/>
      <c r="ER381" s="419"/>
      <c r="ES381" s="421"/>
      <c r="ET381" s="419"/>
      <c r="EU381" s="421"/>
      <c r="EV381" s="419"/>
      <c r="EW381" s="421"/>
      <c r="EX381" s="419"/>
      <c r="EY381" s="421"/>
      <c r="EZ381" s="419"/>
      <c r="FA381" s="421"/>
      <c r="FB381" s="419"/>
      <c r="FC381" s="421"/>
      <c r="FD381" s="419"/>
      <c r="FE381" s="421"/>
      <c r="FF381" s="419"/>
      <c r="FG381" s="421"/>
      <c r="FH381" s="419"/>
      <c r="FI381" s="421"/>
      <c r="FJ381" s="424">
        <f t="shared" si="161"/>
        <v>0</v>
      </c>
      <c r="FK381" s="425">
        <f t="shared" si="162"/>
        <v>0</v>
      </c>
      <c r="FL381" s="419"/>
      <c r="FM381" s="421"/>
      <c r="FN381" s="424">
        <f t="shared" si="163"/>
        <v>110</v>
      </c>
      <c r="FO381" s="425">
        <f t="shared" si="164"/>
        <v>100</v>
      </c>
    </row>
    <row r="382" spans="1:171">
      <c r="A382" s="456" t="s">
        <v>164</v>
      </c>
      <c r="B382" s="27" t="s">
        <v>901</v>
      </c>
      <c r="C382" s="18"/>
      <c r="D382" s="25">
        <v>218335</v>
      </c>
      <c r="E382" s="20">
        <v>15</v>
      </c>
      <c r="F382" s="419"/>
      <c r="G382" s="421"/>
      <c r="H382" s="419"/>
      <c r="I382" s="421"/>
      <c r="J382" s="419"/>
      <c r="K382" s="421"/>
      <c r="L382" s="422">
        <f t="shared" si="143"/>
        <v>0</v>
      </c>
      <c r="M382" s="423">
        <f t="shared" si="144"/>
        <v>0</v>
      </c>
      <c r="N382" s="419">
        <v>223</v>
      </c>
      <c r="O382" s="309">
        <f>0</f>
        <v>0</v>
      </c>
      <c r="P382" s="309">
        <f>0</f>
        <v>0</v>
      </c>
      <c r="Q382" s="309">
        <f>0</f>
        <v>0</v>
      </c>
      <c r="R382" s="424">
        <f t="shared" si="141"/>
        <v>0</v>
      </c>
      <c r="S382" s="421">
        <v>213</v>
      </c>
      <c r="T382" s="301">
        <f>0</f>
        <v>0</v>
      </c>
      <c r="U382" s="301">
        <f>0</f>
        <v>0</v>
      </c>
      <c r="V382" s="301">
        <f>0</f>
        <v>0</v>
      </c>
      <c r="W382" s="425">
        <f t="shared" si="142"/>
        <v>0</v>
      </c>
      <c r="X382" s="419"/>
      <c r="Y382" s="419"/>
      <c r="Z382" s="421"/>
      <c r="AA382" s="421"/>
      <c r="AB382" s="419"/>
      <c r="AC382" s="419"/>
      <c r="AD382" s="421"/>
      <c r="AE382" s="421"/>
      <c r="AF382" s="419"/>
      <c r="AG382" s="419"/>
      <c r="AH382" s="421"/>
      <c r="AI382" s="421"/>
      <c r="AJ382" s="419"/>
      <c r="AK382" s="419"/>
      <c r="AL382" s="421"/>
      <c r="AM382" s="421"/>
      <c r="AN382" s="419"/>
      <c r="AO382" s="419"/>
      <c r="AP382" s="421"/>
      <c r="AQ382" s="421"/>
      <c r="AR382" s="424">
        <f t="shared" si="145"/>
        <v>0</v>
      </c>
      <c r="AS382" s="422">
        <f t="shared" si="146"/>
        <v>0.2214498510427011</v>
      </c>
      <c r="AT382" s="425">
        <f t="shared" si="147"/>
        <v>0</v>
      </c>
      <c r="AU382" s="423">
        <f t="shared" si="148"/>
        <v>0.21823770491803279</v>
      </c>
      <c r="AV382" s="419">
        <v>1</v>
      </c>
      <c r="AW382" s="420"/>
      <c r="AX382" s="419">
        <v>51</v>
      </c>
      <c r="AY382" s="419">
        <v>298</v>
      </c>
      <c r="AZ382" s="421">
        <v>51</v>
      </c>
      <c r="BA382" s="420">
        <v>223</v>
      </c>
      <c r="BB382" s="419">
        <v>26</v>
      </c>
      <c r="BC382" s="419">
        <v>26</v>
      </c>
      <c r="BD382" s="421">
        <v>26</v>
      </c>
      <c r="BE382" s="420">
        <v>34</v>
      </c>
      <c r="BF382" s="419"/>
      <c r="BG382" s="419"/>
      <c r="BH382" s="421"/>
      <c r="BI382" s="421"/>
      <c r="BJ382" s="419"/>
      <c r="BK382" s="419"/>
      <c r="BL382" s="421"/>
      <c r="BM382" s="421"/>
      <c r="BN382" s="419"/>
      <c r="BO382" s="419"/>
      <c r="BP382" s="421"/>
      <c r="BQ382" s="421"/>
      <c r="BR382" s="419"/>
      <c r="BS382" s="419"/>
      <c r="BT382" s="421"/>
      <c r="BU382" s="421"/>
      <c r="BV382" s="419"/>
      <c r="BW382" s="419"/>
      <c r="BX382" s="421"/>
      <c r="BY382" s="421"/>
      <c r="BZ382" s="419"/>
      <c r="CA382" s="419"/>
      <c r="CB382" s="421"/>
      <c r="CC382" s="421"/>
      <c r="CD382" s="419"/>
      <c r="CE382" s="419"/>
      <c r="CF382" s="421"/>
      <c r="CG382" s="421"/>
      <c r="CH382" s="419"/>
      <c r="CI382" s="419"/>
      <c r="CJ382" s="421"/>
      <c r="CK382" s="421"/>
      <c r="CL382" s="419"/>
      <c r="CM382" s="421"/>
      <c r="CN382" s="424">
        <f t="shared" si="149"/>
        <v>324</v>
      </c>
      <c r="CO382" s="424">
        <f t="shared" si="150"/>
        <v>2</v>
      </c>
      <c r="CP382" s="425">
        <f t="shared" si="151"/>
        <v>257</v>
      </c>
      <c r="CQ382" s="425">
        <f t="shared" si="152"/>
        <v>2</v>
      </c>
      <c r="CR382" s="419">
        <v>51</v>
      </c>
      <c r="CS382" s="419">
        <v>121</v>
      </c>
      <c r="CT382" s="421">
        <v>51</v>
      </c>
      <c r="CU382" s="420">
        <v>161</v>
      </c>
      <c r="CV382" s="419">
        <v>26</v>
      </c>
      <c r="CW382" s="419">
        <v>29</v>
      </c>
      <c r="CX382" s="421">
        <v>26</v>
      </c>
      <c r="CY382" s="420">
        <v>20</v>
      </c>
      <c r="CZ382" s="419"/>
      <c r="DA382" s="419"/>
      <c r="DB382" s="421"/>
      <c r="DC382" s="421"/>
      <c r="DD382" s="419"/>
      <c r="DE382" s="419"/>
      <c r="DF382" s="421"/>
      <c r="DG382" s="421"/>
      <c r="DH382" s="419"/>
      <c r="DI382" s="419"/>
      <c r="DJ382" s="421"/>
      <c r="DK382" s="421"/>
      <c r="DL382" s="419"/>
      <c r="DM382" s="419"/>
      <c r="DN382" s="421"/>
      <c r="DO382" s="421"/>
      <c r="DP382" s="419"/>
      <c r="DQ382" s="419"/>
      <c r="DR382" s="421"/>
      <c r="DS382" s="421"/>
      <c r="DT382" s="419"/>
      <c r="DU382" s="419"/>
      <c r="DV382" s="421"/>
      <c r="DW382" s="421"/>
      <c r="DX382" s="419"/>
      <c r="DY382" s="419"/>
      <c r="DZ382" s="421"/>
      <c r="EA382" s="421"/>
      <c r="EB382" s="419"/>
      <c r="EC382" s="419"/>
      <c r="ED382" s="421"/>
      <c r="EE382" s="421"/>
      <c r="EF382" s="419"/>
      <c r="EG382" s="421"/>
      <c r="EH382" s="424">
        <f t="shared" si="153"/>
        <v>150</v>
      </c>
      <c r="EI382" s="424">
        <f t="shared" si="154"/>
        <v>2</v>
      </c>
      <c r="EJ382" s="422">
        <f t="shared" si="155"/>
        <v>0.80666666666666664</v>
      </c>
      <c r="EK382" s="425">
        <f t="shared" si="156"/>
        <v>181</v>
      </c>
      <c r="EL382" s="425">
        <f t="shared" si="157"/>
        <v>2</v>
      </c>
      <c r="EM382" s="423">
        <f t="shared" si="158"/>
        <v>0.88950276243093918</v>
      </c>
      <c r="EN382" s="424">
        <f t="shared" si="159"/>
        <v>474</v>
      </c>
      <c r="EO382" s="425">
        <f t="shared" si="160"/>
        <v>438</v>
      </c>
      <c r="EP382" s="419"/>
      <c r="EQ382" s="421"/>
      <c r="ER382" s="419">
        <v>169</v>
      </c>
      <c r="ES382" s="421">
        <v>167</v>
      </c>
      <c r="ET382" s="419">
        <v>70</v>
      </c>
      <c r="EU382" s="421">
        <v>73</v>
      </c>
      <c r="EV382" s="419">
        <v>70</v>
      </c>
      <c r="EW382" s="420">
        <v>85</v>
      </c>
      <c r="EX382" s="419"/>
      <c r="EY382" s="421"/>
      <c r="EZ382" s="419"/>
      <c r="FA382" s="421"/>
      <c r="FB382" s="419"/>
      <c r="FC382" s="421"/>
      <c r="FD382" s="419"/>
      <c r="FE382" s="421"/>
      <c r="FF382" s="419"/>
      <c r="FG382" s="421"/>
      <c r="FH382" s="419"/>
      <c r="FI382" s="421"/>
      <c r="FJ382" s="424">
        <f t="shared" si="161"/>
        <v>309</v>
      </c>
      <c r="FK382" s="425">
        <f t="shared" si="162"/>
        <v>325</v>
      </c>
      <c r="FL382" s="419"/>
      <c r="FM382" s="421"/>
      <c r="FN382" s="424">
        <f t="shared" si="163"/>
        <v>1007</v>
      </c>
      <c r="FO382" s="425">
        <f t="shared" si="164"/>
        <v>976</v>
      </c>
    </row>
    <row r="383" spans="1:171">
      <c r="A383" s="428" t="s">
        <v>165</v>
      </c>
      <c r="B383" s="50" t="s">
        <v>902</v>
      </c>
      <c r="C383" s="49"/>
      <c r="D383" s="48">
        <v>220862</v>
      </c>
      <c r="E383" s="48">
        <v>1</v>
      </c>
      <c r="F383" s="419"/>
      <c r="G383" s="421"/>
      <c r="H383" s="419"/>
      <c r="I383" s="421"/>
      <c r="J383" s="419"/>
      <c r="K383" s="421"/>
      <c r="L383" s="422">
        <f t="shared" si="143"/>
        <v>0</v>
      </c>
      <c r="M383" s="423">
        <f t="shared" si="144"/>
        <v>0</v>
      </c>
      <c r="N383" s="419">
        <v>2971</v>
      </c>
      <c r="O383" s="309">
        <f>0</f>
        <v>0</v>
      </c>
      <c r="P383" s="309">
        <f>0</f>
        <v>0</v>
      </c>
      <c r="Q383" s="309">
        <f>0</f>
        <v>0</v>
      </c>
      <c r="R383" s="424">
        <f t="shared" si="141"/>
        <v>0</v>
      </c>
      <c r="S383" s="421">
        <v>3076</v>
      </c>
      <c r="T383" s="301">
        <f>0</f>
        <v>0</v>
      </c>
      <c r="U383" s="301">
        <f>0</f>
        <v>0</v>
      </c>
      <c r="V383" s="301">
        <f>0</f>
        <v>0</v>
      </c>
      <c r="W383" s="425">
        <f t="shared" si="142"/>
        <v>0</v>
      </c>
      <c r="X383" s="419"/>
      <c r="Y383" s="419"/>
      <c r="Z383" s="463"/>
      <c r="AA383" s="464"/>
      <c r="AB383" s="419"/>
      <c r="AC383" s="419"/>
      <c r="AD383" s="463"/>
      <c r="AE383" s="464"/>
      <c r="AF383" s="419"/>
      <c r="AG383" s="419"/>
      <c r="AH383" s="463"/>
      <c r="AI383" s="464"/>
      <c r="AJ383" s="419"/>
      <c r="AK383" s="419"/>
      <c r="AL383" s="463"/>
      <c r="AM383" s="464"/>
      <c r="AN383" s="419"/>
      <c r="AO383" s="419"/>
      <c r="AP383" s="421"/>
      <c r="AQ383" s="421"/>
      <c r="AR383" s="424">
        <f t="shared" si="145"/>
        <v>0</v>
      </c>
      <c r="AS383" s="422">
        <f t="shared" si="146"/>
        <v>0.71178725443219937</v>
      </c>
      <c r="AT383" s="425">
        <f t="shared" si="147"/>
        <v>0</v>
      </c>
      <c r="AU383" s="423">
        <f t="shared" si="148"/>
        <v>0.71435206688341846</v>
      </c>
      <c r="AV383" s="419"/>
      <c r="AW383" s="421"/>
      <c r="AX383" s="419" t="s">
        <v>610</v>
      </c>
      <c r="AY383" s="419">
        <v>209</v>
      </c>
      <c r="AZ383" s="421" t="s">
        <v>610</v>
      </c>
      <c r="BA383" s="421">
        <v>186</v>
      </c>
      <c r="BB383" s="419" t="s">
        <v>611</v>
      </c>
      <c r="BC383" s="419">
        <v>175</v>
      </c>
      <c r="BD383" s="421">
        <v>13</v>
      </c>
      <c r="BE383" s="421">
        <v>179</v>
      </c>
      <c r="BF383" s="419" t="s">
        <v>612</v>
      </c>
      <c r="BG383" s="419">
        <v>161</v>
      </c>
      <c r="BH383" s="421" t="s">
        <v>612</v>
      </c>
      <c r="BI383" s="421">
        <v>172</v>
      </c>
      <c r="BJ383" s="419" t="s">
        <v>614</v>
      </c>
      <c r="BK383" s="419">
        <v>70</v>
      </c>
      <c r="BL383" s="421" t="s">
        <v>614</v>
      </c>
      <c r="BM383" s="421">
        <v>72</v>
      </c>
      <c r="BN383" s="419" t="s">
        <v>625</v>
      </c>
      <c r="BO383" s="419">
        <v>46</v>
      </c>
      <c r="BP383" s="421" t="s">
        <v>613</v>
      </c>
      <c r="BQ383" s="420">
        <v>64</v>
      </c>
      <c r="BR383" s="419" t="s">
        <v>613</v>
      </c>
      <c r="BS383" s="419">
        <v>39</v>
      </c>
      <c r="BT383" s="421" t="s">
        <v>625</v>
      </c>
      <c r="BU383" s="421">
        <v>42</v>
      </c>
      <c r="BV383" s="419" t="s">
        <v>620</v>
      </c>
      <c r="BW383" s="419">
        <v>37</v>
      </c>
      <c r="BX383" s="421" t="s">
        <v>620</v>
      </c>
      <c r="BY383" s="421">
        <v>35</v>
      </c>
      <c r="BZ383" s="419" t="s">
        <v>617</v>
      </c>
      <c r="CA383" s="419">
        <v>29</v>
      </c>
      <c r="CB383" s="421" t="s">
        <v>616</v>
      </c>
      <c r="CC383" s="421">
        <v>28</v>
      </c>
      <c r="CD383" s="419" t="s">
        <v>629</v>
      </c>
      <c r="CE383" s="419">
        <v>26</v>
      </c>
      <c r="CF383" s="421" t="s">
        <v>619</v>
      </c>
      <c r="CG383" s="421">
        <v>25</v>
      </c>
      <c r="CH383" s="419" t="s">
        <v>619</v>
      </c>
      <c r="CI383" s="419">
        <v>25</v>
      </c>
      <c r="CJ383" s="421" t="s">
        <v>629</v>
      </c>
      <c r="CK383" s="421">
        <v>23</v>
      </c>
      <c r="CL383" s="419">
        <v>149</v>
      </c>
      <c r="CM383" s="420">
        <v>118</v>
      </c>
      <c r="CN383" s="424">
        <f t="shared" si="149"/>
        <v>966</v>
      </c>
      <c r="CO383" s="424">
        <f t="shared" si="150"/>
        <v>10</v>
      </c>
      <c r="CP383" s="425">
        <f t="shared" si="151"/>
        <v>944</v>
      </c>
      <c r="CQ383" s="425">
        <f t="shared" si="152"/>
        <v>10</v>
      </c>
      <c r="CR383" s="419" t="s">
        <v>611</v>
      </c>
      <c r="CS383" s="419">
        <v>36</v>
      </c>
      <c r="CT383" s="421" t="s">
        <v>611</v>
      </c>
      <c r="CU383" s="420">
        <v>46</v>
      </c>
      <c r="CV383" s="419" t="s">
        <v>619</v>
      </c>
      <c r="CW383" s="419">
        <v>25</v>
      </c>
      <c r="CX383" s="421" t="s">
        <v>621</v>
      </c>
      <c r="CY383" s="421">
        <v>22</v>
      </c>
      <c r="CZ383" s="419" t="s">
        <v>612</v>
      </c>
      <c r="DA383" s="419">
        <v>21</v>
      </c>
      <c r="DB383" s="421" t="s">
        <v>629</v>
      </c>
      <c r="DC383" s="421">
        <v>21</v>
      </c>
      <c r="DD383" s="419" t="s">
        <v>621</v>
      </c>
      <c r="DE383" s="419">
        <v>15</v>
      </c>
      <c r="DF383" s="421">
        <v>42</v>
      </c>
      <c r="DG383" s="420">
        <v>20</v>
      </c>
      <c r="DH383" s="419" t="s">
        <v>617</v>
      </c>
      <c r="DI383" s="419">
        <v>8</v>
      </c>
      <c r="DJ383" s="421">
        <v>51</v>
      </c>
      <c r="DK383" s="420">
        <v>17</v>
      </c>
      <c r="DL383" s="419" t="s">
        <v>629</v>
      </c>
      <c r="DM383" s="419">
        <v>7</v>
      </c>
      <c r="DN383" s="421">
        <v>40</v>
      </c>
      <c r="DO383" s="420">
        <v>13</v>
      </c>
      <c r="DP383" s="419" t="s">
        <v>620</v>
      </c>
      <c r="DQ383" s="419">
        <v>7</v>
      </c>
      <c r="DR383" s="421">
        <v>52</v>
      </c>
      <c r="DS383" s="420">
        <v>13</v>
      </c>
      <c r="DT383" s="419" t="s">
        <v>631</v>
      </c>
      <c r="DU383" s="419">
        <v>7</v>
      </c>
      <c r="DV383" s="421">
        <v>26</v>
      </c>
      <c r="DW383" s="420">
        <v>12</v>
      </c>
      <c r="DX383" s="419" t="s">
        <v>615</v>
      </c>
      <c r="DY383" s="419">
        <v>6</v>
      </c>
      <c r="DZ383" s="421">
        <v>9</v>
      </c>
      <c r="EA383" s="420">
        <v>10</v>
      </c>
      <c r="EB383" s="419" t="s">
        <v>613</v>
      </c>
      <c r="EC383" s="419">
        <v>5</v>
      </c>
      <c r="ED383" s="421">
        <v>50</v>
      </c>
      <c r="EE383" s="420">
        <v>8</v>
      </c>
      <c r="EF383" s="419">
        <v>14</v>
      </c>
      <c r="EG383" s="421">
        <v>16</v>
      </c>
      <c r="EH383" s="424">
        <f t="shared" si="153"/>
        <v>151</v>
      </c>
      <c r="EI383" s="424">
        <f t="shared" si="154"/>
        <v>10</v>
      </c>
      <c r="EJ383" s="422">
        <f t="shared" si="155"/>
        <v>0.23841059602649006</v>
      </c>
      <c r="EK383" s="425">
        <f t="shared" si="156"/>
        <v>198</v>
      </c>
      <c r="EL383" s="425">
        <f t="shared" si="157"/>
        <v>10</v>
      </c>
      <c r="EM383" s="423">
        <f t="shared" si="158"/>
        <v>0.23232323232323232</v>
      </c>
      <c r="EN383" s="424">
        <f t="shared" si="159"/>
        <v>1117</v>
      </c>
      <c r="EO383" s="425">
        <f t="shared" si="160"/>
        <v>1142</v>
      </c>
      <c r="EP383" s="419">
        <v>86</v>
      </c>
      <c r="EQ383" s="421">
        <v>88</v>
      </c>
      <c r="ER383" s="419"/>
      <c r="ES383" s="421"/>
      <c r="ET383" s="419"/>
      <c r="EU383" s="421"/>
      <c r="EV383" s="419"/>
      <c r="EW383" s="421"/>
      <c r="EX383" s="419"/>
      <c r="EY383" s="421"/>
      <c r="EZ383" s="419"/>
      <c r="FA383" s="421"/>
      <c r="FB383" s="419"/>
      <c r="FC383" s="421"/>
      <c r="FD383" s="419"/>
      <c r="FE383" s="421"/>
      <c r="FF383" s="419"/>
      <c r="FG383" s="421"/>
      <c r="FH383" s="419"/>
      <c r="FI383" s="421"/>
      <c r="FJ383" s="424">
        <f t="shared" si="161"/>
        <v>86</v>
      </c>
      <c r="FK383" s="425">
        <f t="shared" si="162"/>
        <v>88</v>
      </c>
      <c r="FL383" s="419"/>
      <c r="FM383" s="421"/>
      <c r="FN383" s="424">
        <f t="shared" si="163"/>
        <v>4174</v>
      </c>
      <c r="FO383" s="425">
        <f t="shared" si="164"/>
        <v>4306</v>
      </c>
    </row>
    <row r="384" spans="1:171">
      <c r="A384" s="428" t="s">
        <v>165</v>
      </c>
      <c r="B384" s="50" t="s">
        <v>903</v>
      </c>
      <c r="C384" s="47"/>
      <c r="D384" s="48">
        <v>221759</v>
      </c>
      <c r="E384" s="48">
        <v>1</v>
      </c>
      <c r="F384" s="419"/>
      <c r="G384" s="421"/>
      <c r="H384" s="419"/>
      <c r="I384" s="421"/>
      <c r="J384" s="419"/>
      <c r="K384" s="421"/>
      <c r="L384" s="422">
        <f t="shared" si="143"/>
        <v>0</v>
      </c>
      <c r="M384" s="423">
        <f t="shared" si="144"/>
        <v>0</v>
      </c>
      <c r="N384" s="419">
        <v>4919</v>
      </c>
      <c r="O384" s="309">
        <f>0</f>
        <v>0</v>
      </c>
      <c r="P384" s="309">
        <f>0</f>
        <v>0</v>
      </c>
      <c r="Q384" s="309">
        <f>0</f>
        <v>0</v>
      </c>
      <c r="R384" s="424">
        <f t="shared" si="141"/>
        <v>0</v>
      </c>
      <c r="S384" s="421">
        <v>5080</v>
      </c>
      <c r="T384" s="301">
        <f>0</f>
        <v>0</v>
      </c>
      <c r="U384" s="301">
        <f>0</f>
        <v>0</v>
      </c>
      <c r="V384" s="301">
        <f>0</f>
        <v>0</v>
      </c>
      <c r="W384" s="425">
        <f t="shared" si="142"/>
        <v>0</v>
      </c>
      <c r="X384" s="419"/>
      <c r="Y384" s="419"/>
      <c r="Z384" s="421"/>
      <c r="AA384" s="421"/>
      <c r="AB384" s="419"/>
      <c r="AC384" s="419"/>
      <c r="AD384" s="421"/>
      <c r="AE384" s="421"/>
      <c r="AF384" s="419"/>
      <c r="AG384" s="419"/>
      <c r="AH384" s="421"/>
      <c r="AI384" s="421"/>
      <c r="AJ384" s="419"/>
      <c r="AK384" s="419"/>
      <c r="AL384" s="421"/>
      <c r="AM384" s="421"/>
      <c r="AN384" s="419"/>
      <c r="AO384" s="419"/>
      <c r="AP384" s="421"/>
      <c r="AQ384" s="421"/>
      <c r="AR384" s="424">
        <f t="shared" si="145"/>
        <v>0</v>
      </c>
      <c r="AS384" s="422">
        <f t="shared" si="146"/>
        <v>0.70321658327376702</v>
      </c>
      <c r="AT384" s="425">
        <f t="shared" si="147"/>
        <v>0</v>
      </c>
      <c r="AU384" s="423">
        <f t="shared" si="148"/>
        <v>0.69474835886214437</v>
      </c>
      <c r="AV384" s="419"/>
      <c r="AW384" s="421"/>
      <c r="AX384" s="419" t="s">
        <v>610</v>
      </c>
      <c r="AY384" s="419">
        <v>372</v>
      </c>
      <c r="AZ384" s="421" t="s">
        <v>610</v>
      </c>
      <c r="BA384" s="421">
        <v>378</v>
      </c>
      <c r="BB384" s="419" t="s">
        <v>614</v>
      </c>
      <c r="BC384" s="419">
        <v>217</v>
      </c>
      <c r="BD384" s="421" t="s">
        <v>614</v>
      </c>
      <c r="BE384" s="421">
        <v>252</v>
      </c>
      <c r="BF384" s="419" t="s">
        <v>629</v>
      </c>
      <c r="BG384" s="419">
        <v>197</v>
      </c>
      <c r="BH384" s="421" t="s">
        <v>629</v>
      </c>
      <c r="BI384" s="421">
        <v>215</v>
      </c>
      <c r="BJ384" s="419" t="s">
        <v>611</v>
      </c>
      <c r="BK384" s="419">
        <v>148</v>
      </c>
      <c r="BL384" s="421" t="s">
        <v>611</v>
      </c>
      <c r="BM384" s="421">
        <v>172</v>
      </c>
      <c r="BN384" s="419" t="s">
        <v>612</v>
      </c>
      <c r="BO384" s="419">
        <v>85</v>
      </c>
      <c r="BP384" s="421" t="s">
        <v>639</v>
      </c>
      <c r="BQ384" s="421">
        <v>100</v>
      </c>
      <c r="BR384" s="419" t="s">
        <v>624</v>
      </c>
      <c r="BS384" s="419">
        <v>69</v>
      </c>
      <c r="BT384" s="421" t="s">
        <v>624</v>
      </c>
      <c r="BU384" s="421">
        <v>58</v>
      </c>
      <c r="BV384" s="419" t="s">
        <v>625</v>
      </c>
      <c r="BW384" s="419">
        <v>64</v>
      </c>
      <c r="BX384" s="421" t="s">
        <v>625</v>
      </c>
      <c r="BY384" s="421">
        <v>57</v>
      </c>
      <c r="BZ384" s="419" t="s">
        <v>639</v>
      </c>
      <c r="CA384" s="419">
        <v>57</v>
      </c>
      <c r="CB384" s="421" t="s">
        <v>619</v>
      </c>
      <c r="CC384" s="421">
        <v>50</v>
      </c>
      <c r="CD384" s="419" t="s">
        <v>620</v>
      </c>
      <c r="CE384" s="419">
        <v>41</v>
      </c>
      <c r="CF384" s="421" t="s">
        <v>620</v>
      </c>
      <c r="CG384" s="421">
        <v>46</v>
      </c>
      <c r="CH384" s="419" t="s">
        <v>619</v>
      </c>
      <c r="CI384" s="419">
        <v>39</v>
      </c>
      <c r="CJ384" s="421" t="s">
        <v>612</v>
      </c>
      <c r="CK384" s="421">
        <v>42</v>
      </c>
      <c r="CL384" s="419">
        <v>207</v>
      </c>
      <c r="CM384" s="421">
        <v>242</v>
      </c>
      <c r="CN384" s="424">
        <f t="shared" si="149"/>
        <v>1496</v>
      </c>
      <c r="CO384" s="424">
        <f t="shared" si="150"/>
        <v>10</v>
      </c>
      <c r="CP384" s="425">
        <f t="shared" si="151"/>
        <v>1612</v>
      </c>
      <c r="CQ384" s="425">
        <f t="shared" si="152"/>
        <v>10</v>
      </c>
      <c r="CR384" s="419" t="s">
        <v>629</v>
      </c>
      <c r="CS384" s="419">
        <v>114</v>
      </c>
      <c r="CT384" s="421" t="s">
        <v>629</v>
      </c>
      <c r="CU384" s="421">
        <v>122</v>
      </c>
      <c r="CV384" s="419" t="s">
        <v>617</v>
      </c>
      <c r="CW384" s="419">
        <v>41</v>
      </c>
      <c r="CX384" s="421" t="s">
        <v>617</v>
      </c>
      <c r="CY384" s="421">
        <v>40</v>
      </c>
      <c r="CZ384" s="419" t="s">
        <v>616</v>
      </c>
      <c r="DA384" s="419">
        <v>29</v>
      </c>
      <c r="DB384" s="421" t="s">
        <v>611</v>
      </c>
      <c r="DC384" s="420">
        <v>38</v>
      </c>
      <c r="DD384" s="419" t="s">
        <v>615</v>
      </c>
      <c r="DE384" s="419">
        <v>29</v>
      </c>
      <c r="DF384" s="421" t="s">
        <v>619</v>
      </c>
      <c r="DG384" s="421">
        <v>29</v>
      </c>
      <c r="DH384" s="419" t="s">
        <v>611</v>
      </c>
      <c r="DI384" s="419">
        <v>28</v>
      </c>
      <c r="DJ384" s="421" t="s">
        <v>614</v>
      </c>
      <c r="DK384" s="421">
        <v>25</v>
      </c>
      <c r="DL384" s="419" t="s">
        <v>619</v>
      </c>
      <c r="DM384" s="419">
        <v>27</v>
      </c>
      <c r="DN384" s="421" t="s">
        <v>615</v>
      </c>
      <c r="DO384" s="421">
        <v>25</v>
      </c>
      <c r="DP384" s="419" t="s">
        <v>614</v>
      </c>
      <c r="DQ384" s="419">
        <v>24</v>
      </c>
      <c r="DR384" s="421" t="s">
        <v>612</v>
      </c>
      <c r="DS384" s="421">
        <v>24</v>
      </c>
      <c r="DT384" s="419" t="s">
        <v>610</v>
      </c>
      <c r="DU384" s="419">
        <v>13</v>
      </c>
      <c r="DV384" s="421" t="s">
        <v>616</v>
      </c>
      <c r="DW384" s="420">
        <v>21</v>
      </c>
      <c r="DX384" s="419" t="s">
        <v>618</v>
      </c>
      <c r="DY384" s="419">
        <v>13</v>
      </c>
      <c r="DZ384" s="421" t="s">
        <v>624</v>
      </c>
      <c r="EA384" s="420">
        <v>16</v>
      </c>
      <c r="EB384" s="419" t="s">
        <v>612</v>
      </c>
      <c r="EC384" s="419">
        <v>11</v>
      </c>
      <c r="ED384" s="421" t="s">
        <v>618</v>
      </c>
      <c r="EE384" s="420">
        <v>16</v>
      </c>
      <c r="EF384" s="419">
        <v>54</v>
      </c>
      <c r="EG384" s="420">
        <v>67</v>
      </c>
      <c r="EH384" s="424">
        <f t="shared" si="153"/>
        <v>383</v>
      </c>
      <c r="EI384" s="424">
        <f t="shared" si="154"/>
        <v>10</v>
      </c>
      <c r="EJ384" s="422">
        <f t="shared" si="155"/>
        <v>0.29765013054830286</v>
      </c>
      <c r="EK384" s="425">
        <f t="shared" si="156"/>
        <v>423</v>
      </c>
      <c r="EL384" s="425">
        <f t="shared" si="157"/>
        <v>10</v>
      </c>
      <c r="EM384" s="423">
        <f t="shared" si="158"/>
        <v>0.28841607565011823</v>
      </c>
      <c r="EN384" s="424">
        <f t="shared" si="159"/>
        <v>1879</v>
      </c>
      <c r="EO384" s="425">
        <f t="shared" si="160"/>
        <v>2035</v>
      </c>
      <c r="EP384" s="419">
        <v>113</v>
      </c>
      <c r="EQ384" s="421">
        <v>118</v>
      </c>
      <c r="ER384" s="419"/>
      <c r="ES384" s="421"/>
      <c r="ET384" s="419"/>
      <c r="EU384" s="421"/>
      <c r="EV384" s="419"/>
      <c r="EW384" s="421"/>
      <c r="EX384" s="419"/>
      <c r="EY384" s="421"/>
      <c r="EZ384" s="419"/>
      <c r="FA384" s="421"/>
      <c r="FB384" s="419"/>
      <c r="FC384" s="421"/>
      <c r="FD384" s="419">
        <v>84</v>
      </c>
      <c r="FE384" s="421">
        <v>79</v>
      </c>
      <c r="FF384" s="419"/>
      <c r="FG384" s="421"/>
      <c r="FH384" s="419"/>
      <c r="FI384" s="421"/>
      <c r="FJ384" s="424">
        <f t="shared" si="161"/>
        <v>197</v>
      </c>
      <c r="FK384" s="425">
        <f t="shared" si="162"/>
        <v>197</v>
      </c>
      <c r="FL384" s="419"/>
      <c r="FM384" s="421"/>
      <c r="FN384" s="424">
        <f t="shared" si="163"/>
        <v>6995</v>
      </c>
      <c r="FO384" s="425">
        <f t="shared" si="164"/>
        <v>7312</v>
      </c>
    </row>
    <row r="385" spans="1:171">
      <c r="A385" s="428" t="s">
        <v>165</v>
      </c>
      <c r="B385" s="429" t="s">
        <v>904</v>
      </c>
      <c r="C385" s="430"/>
      <c r="D385" s="48">
        <v>220075</v>
      </c>
      <c r="E385" s="48">
        <v>2</v>
      </c>
      <c r="F385" s="419"/>
      <c r="G385" s="421"/>
      <c r="H385" s="419"/>
      <c r="I385" s="421"/>
      <c r="J385" s="419"/>
      <c r="K385" s="421"/>
      <c r="L385" s="422">
        <f t="shared" si="143"/>
        <v>0</v>
      </c>
      <c r="M385" s="423">
        <f t="shared" si="144"/>
        <v>0</v>
      </c>
      <c r="N385" s="419">
        <v>2448</v>
      </c>
      <c r="O385" s="309">
        <f>0</f>
        <v>0</v>
      </c>
      <c r="P385" s="309">
        <f>0</f>
        <v>0</v>
      </c>
      <c r="Q385" s="309">
        <f>0</f>
        <v>0</v>
      </c>
      <c r="R385" s="424">
        <f t="shared" si="141"/>
        <v>0</v>
      </c>
      <c r="S385" s="421">
        <v>2567</v>
      </c>
      <c r="T385" s="301">
        <f>0</f>
        <v>0</v>
      </c>
      <c r="U385" s="301">
        <f>0</f>
        <v>0</v>
      </c>
      <c r="V385" s="301">
        <f>0</f>
        <v>0</v>
      </c>
      <c r="W385" s="425">
        <f t="shared" si="142"/>
        <v>0</v>
      </c>
      <c r="X385" s="419"/>
      <c r="Y385" s="419"/>
      <c r="Z385" s="421"/>
      <c r="AA385" s="421"/>
      <c r="AB385" s="419"/>
      <c r="AC385" s="419"/>
      <c r="AD385" s="421"/>
      <c r="AE385" s="421"/>
      <c r="AF385" s="419"/>
      <c r="AG385" s="419"/>
      <c r="AH385" s="421"/>
      <c r="AI385" s="421"/>
      <c r="AJ385" s="419"/>
      <c r="AK385" s="419"/>
      <c r="AL385" s="421"/>
      <c r="AM385" s="421"/>
      <c r="AN385" s="419"/>
      <c r="AO385" s="419"/>
      <c r="AP385" s="421"/>
      <c r="AQ385" s="421"/>
      <c r="AR385" s="424">
        <f t="shared" si="145"/>
        <v>0</v>
      </c>
      <c r="AS385" s="422">
        <f t="shared" si="146"/>
        <v>0.71495327102803741</v>
      </c>
      <c r="AT385" s="425">
        <f t="shared" si="147"/>
        <v>0</v>
      </c>
      <c r="AU385" s="423">
        <f t="shared" si="148"/>
        <v>0.71583937534857778</v>
      </c>
      <c r="AV385" s="419"/>
      <c r="AW385" s="421"/>
      <c r="AX385" s="419" t="s">
        <v>612</v>
      </c>
      <c r="AY385" s="419">
        <v>218</v>
      </c>
      <c r="AZ385" s="421" t="s">
        <v>612</v>
      </c>
      <c r="BA385" s="421">
        <v>250</v>
      </c>
      <c r="BB385" s="419" t="s">
        <v>611</v>
      </c>
      <c r="BC385" s="419">
        <v>131</v>
      </c>
      <c r="BD385" s="421" t="s">
        <v>611</v>
      </c>
      <c r="BE385" s="421">
        <v>117</v>
      </c>
      <c r="BF385" s="419" t="s">
        <v>610</v>
      </c>
      <c r="BG385" s="419">
        <v>102</v>
      </c>
      <c r="BH385" s="421" t="s">
        <v>614</v>
      </c>
      <c r="BI385" s="421">
        <v>91</v>
      </c>
      <c r="BJ385" s="419" t="s">
        <v>614</v>
      </c>
      <c r="BK385" s="419">
        <v>75</v>
      </c>
      <c r="BL385" s="421" t="s">
        <v>610</v>
      </c>
      <c r="BM385" s="421">
        <v>81</v>
      </c>
      <c r="BN385" s="419" t="s">
        <v>625</v>
      </c>
      <c r="BO385" s="419">
        <v>38</v>
      </c>
      <c r="BP385" s="421" t="s">
        <v>622</v>
      </c>
      <c r="BQ385" s="421">
        <v>36</v>
      </c>
      <c r="BR385" s="419" t="s">
        <v>634</v>
      </c>
      <c r="BS385" s="419">
        <v>22</v>
      </c>
      <c r="BT385" s="421" t="s">
        <v>617</v>
      </c>
      <c r="BU385" s="420">
        <v>33</v>
      </c>
      <c r="BV385" s="419" t="s">
        <v>622</v>
      </c>
      <c r="BW385" s="419">
        <v>22</v>
      </c>
      <c r="BX385" s="421" t="s">
        <v>625</v>
      </c>
      <c r="BY385" s="420">
        <v>30</v>
      </c>
      <c r="BZ385" s="419" t="s">
        <v>617</v>
      </c>
      <c r="CA385" s="419">
        <v>19</v>
      </c>
      <c r="CB385" s="421" t="s">
        <v>613</v>
      </c>
      <c r="CC385" s="420">
        <v>15</v>
      </c>
      <c r="CD385" s="419" t="s">
        <v>615</v>
      </c>
      <c r="CE385" s="419">
        <v>17</v>
      </c>
      <c r="CF385" s="421" t="s">
        <v>631</v>
      </c>
      <c r="CG385" s="420">
        <v>12</v>
      </c>
      <c r="CH385" s="419" t="s">
        <v>618</v>
      </c>
      <c r="CI385" s="419">
        <v>14</v>
      </c>
      <c r="CJ385" s="421" t="s">
        <v>618</v>
      </c>
      <c r="CK385" s="420">
        <v>11</v>
      </c>
      <c r="CL385" s="419">
        <v>58</v>
      </c>
      <c r="CM385" s="421">
        <v>60</v>
      </c>
      <c r="CN385" s="424">
        <f t="shared" si="149"/>
        <v>716</v>
      </c>
      <c r="CO385" s="424">
        <f t="shared" si="150"/>
        <v>10</v>
      </c>
      <c r="CP385" s="425">
        <f t="shared" si="151"/>
        <v>736</v>
      </c>
      <c r="CQ385" s="425">
        <f t="shared" si="152"/>
        <v>10</v>
      </c>
      <c r="CR385" s="419" t="s">
        <v>612</v>
      </c>
      <c r="CS385" s="419">
        <v>69</v>
      </c>
      <c r="CT385" s="421" t="s">
        <v>612</v>
      </c>
      <c r="CU385" s="421">
        <v>78</v>
      </c>
      <c r="CV385" s="419" t="s">
        <v>611</v>
      </c>
      <c r="CW385" s="419">
        <v>27</v>
      </c>
      <c r="CX385" s="421" t="s">
        <v>611</v>
      </c>
      <c r="CY385" s="421">
        <v>30</v>
      </c>
      <c r="CZ385" s="419" t="s">
        <v>610</v>
      </c>
      <c r="DA385" s="419">
        <v>10</v>
      </c>
      <c r="DB385" s="421" t="s">
        <v>610</v>
      </c>
      <c r="DC385" s="420">
        <v>15</v>
      </c>
      <c r="DD385" s="419" t="s">
        <v>615</v>
      </c>
      <c r="DE385" s="419">
        <v>9</v>
      </c>
      <c r="DF385" s="421" t="s">
        <v>625</v>
      </c>
      <c r="DG385" s="421">
        <v>9</v>
      </c>
      <c r="DH385" s="419" t="s">
        <v>619</v>
      </c>
      <c r="DI385" s="419">
        <v>6</v>
      </c>
      <c r="DJ385" s="421" t="s">
        <v>619</v>
      </c>
      <c r="DK385" s="420">
        <v>8</v>
      </c>
      <c r="DL385" s="419" t="s">
        <v>625</v>
      </c>
      <c r="DM385" s="419">
        <v>5</v>
      </c>
      <c r="DN385" s="421" t="s">
        <v>615</v>
      </c>
      <c r="DO385" s="421">
        <v>6</v>
      </c>
      <c r="DP385" s="419"/>
      <c r="DQ385" s="419"/>
      <c r="DR385" s="421"/>
      <c r="DS385" s="421"/>
      <c r="DT385" s="419"/>
      <c r="DU385" s="419"/>
      <c r="DV385" s="421"/>
      <c r="DW385" s="421"/>
      <c r="DX385" s="419"/>
      <c r="DY385" s="419"/>
      <c r="DZ385" s="421"/>
      <c r="EA385" s="421"/>
      <c r="EB385" s="419"/>
      <c r="EC385" s="419"/>
      <c r="ED385" s="421"/>
      <c r="EE385" s="421"/>
      <c r="EF385" s="419"/>
      <c r="EG385" s="421"/>
      <c r="EH385" s="424">
        <f t="shared" si="153"/>
        <v>126</v>
      </c>
      <c r="EI385" s="424">
        <f t="shared" si="154"/>
        <v>6</v>
      </c>
      <c r="EJ385" s="422">
        <f t="shared" si="155"/>
        <v>0.54761904761904767</v>
      </c>
      <c r="EK385" s="425">
        <f t="shared" si="156"/>
        <v>146</v>
      </c>
      <c r="EL385" s="425">
        <f t="shared" si="157"/>
        <v>6</v>
      </c>
      <c r="EM385" s="423">
        <f t="shared" si="158"/>
        <v>0.53424657534246578</v>
      </c>
      <c r="EN385" s="424">
        <f t="shared" si="159"/>
        <v>842</v>
      </c>
      <c r="EO385" s="425">
        <f t="shared" si="160"/>
        <v>882</v>
      </c>
      <c r="EP385" s="419"/>
      <c r="EQ385" s="421"/>
      <c r="ER385" s="419">
        <v>60</v>
      </c>
      <c r="ES385" s="421">
        <v>69</v>
      </c>
      <c r="ET385" s="419"/>
      <c r="EU385" s="421"/>
      <c r="EV385" s="419">
        <v>74</v>
      </c>
      <c r="EW385" s="421">
        <v>68</v>
      </c>
      <c r="EX385" s="419"/>
      <c r="EY385" s="421"/>
      <c r="EZ385" s="419"/>
      <c r="FA385" s="421"/>
      <c r="FB385" s="419"/>
      <c r="FC385" s="421"/>
      <c r="FD385" s="419"/>
      <c r="FE385" s="421"/>
      <c r="FF385" s="419"/>
      <c r="FG385" s="421"/>
      <c r="FH385" s="419"/>
      <c r="FI385" s="421"/>
      <c r="FJ385" s="424">
        <f t="shared" si="161"/>
        <v>134</v>
      </c>
      <c r="FK385" s="425">
        <f t="shared" si="162"/>
        <v>137</v>
      </c>
      <c r="FL385" s="419"/>
      <c r="FM385" s="421"/>
      <c r="FN385" s="424">
        <f t="shared" si="163"/>
        <v>3424</v>
      </c>
      <c r="FO385" s="425">
        <f t="shared" si="164"/>
        <v>3586</v>
      </c>
    </row>
    <row r="386" spans="1:171" s="272" customFormat="1" ht="15" customHeight="1">
      <c r="A386" s="428" t="s">
        <v>165</v>
      </c>
      <c r="B386" s="429" t="s">
        <v>905</v>
      </c>
      <c r="C386" s="5"/>
      <c r="D386" s="48">
        <v>220978</v>
      </c>
      <c r="E386" s="48">
        <v>2</v>
      </c>
      <c r="F386" s="419"/>
      <c r="G386" s="421"/>
      <c r="H386" s="419"/>
      <c r="I386" s="421"/>
      <c r="J386" s="419"/>
      <c r="K386" s="421"/>
      <c r="L386" s="422">
        <f t="shared" si="143"/>
        <v>0</v>
      </c>
      <c r="M386" s="423">
        <f t="shared" si="144"/>
        <v>0</v>
      </c>
      <c r="N386" s="419">
        <v>4047</v>
      </c>
      <c r="O386" s="309">
        <f>0</f>
        <v>0</v>
      </c>
      <c r="P386" s="309">
        <f>0</f>
        <v>0</v>
      </c>
      <c r="Q386" s="309">
        <f>0</f>
        <v>0</v>
      </c>
      <c r="R386" s="424">
        <f t="shared" si="141"/>
        <v>0</v>
      </c>
      <c r="S386" s="421">
        <v>4039</v>
      </c>
      <c r="T386" s="301">
        <f>0</f>
        <v>0</v>
      </c>
      <c r="U386" s="301">
        <f>0</f>
        <v>0</v>
      </c>
      <c r="V386" s="301">
        <f>0</f>
        <v>0</v>
      </c>
      <c r="W386" s="425">
        <f t="shared" si="142"/>
        <v>0</v>
      </c>
      <c r="X386" s="419"/>
      <c r="Y386" s="419"/>
      <c r="Z386" s="421"/>
      <c r="AA386" s="421"/>
      <c r="AB386" s="419"/>
      <c r="AC386" s="419"/>
      <c r="AD386" s="421"/>
      <c r="AE386" s="421"/>
      <c r="AF386" s="419"/>
      <c r="AG386" s="419"/>
      <c r="AH386" s="421"/>
      <c r="AI386" s="421"/>
      <c r="AJ386" s="419"/>
      <c r="AK386" s="419"/>
      <c r="AL386" s="421"/>
      <c r="AM386" s="421"/>
      <c r="AN386" s="419"/>
      <c r="AO386" s="419"/>
      <c r="AP386" s="421"/>
      <c r="AQ386" s="421"/>
      <c r="AR386" s="424">
        <f t="shared" si="145"/>
        <v>0</v>
      </c>
      <c r="AS386" s="422">
        <f t="shared" si="146"/>
        <v>0.8287937743190662</v>
      </c>
      <c r="AT386" s="425">
        <f t="shared" si="147"/>
        <v>0</v>
      </c>
      <c r="AU386" s="423">
        <f t="shared" si="148"/>
        <v>0.82800328003280033</v>
      </c>
      <c r="AV386" s="419"/>
      <c r="AW386" s="421"/>
      <c r="AX386" s="419" t="s">
        <v>611</v>
      </c>
      <c r="AY386" s="419">
        <v>204</v>
      </c>
      <c r="AZ386" s="421" t="s">
        <v>611</v>
      </c>
      <c r="BA386" s="421">
        <v>199</v>
      </c>
      <c r="BB386" s="419" t="s">
        <v>610</v>
      </c>
      <c r="BC386" s="419">
        <v>137</v>
      </c>
      <c r="BD386" s="421" t="s">
        <v>610</v>
      </c>
      <c r="BE386" s="421">
        <v>132</v>
      </c>
      <c r="BF386" s="419" t="s">
        <v>613</v>
      </c>
      <c r="BG386" s="419">
        <v>61</v>
      </c>
      <c r="BH386" s="421" t="s">
        <v>615</v>
      </c>
      <c r="BI386" s="420">
        <v>87</v>
      </c>
      <c r="BJ386" s="419" t="s">
        <v>612</v>
      </c>
      <c r="BK386" s="419">
        <v>52</v>
      </c>
      <c r="BL386" s="421" t="s">
        <v>613</v>
      </c>
      <c r="BM386" s="420">
        <v>68</v>
      </c>
      <c r="BN386" s="419" t="s">
        <v>615</v>
      </c>
      <c r="BO386" s="419">
        <v>47</v>
      </c>
      <c r="BP386" s="421" t="s">
        <v>612</v>
      </c>
      <c r="BQ386" s="420">
        <v>67</v>
      </c>
      <c r="BR386" s="419" t="s">
        <v>644</v>
      </c>
      <c r="BS386" s="419">
        <v>41</v>
      </c>
      <c r="BT386" s="421" t="s">
        <v>644</v>
      </c>
      <c r="BU386" s="421">
        <v>34</v>
      </c>
      <c r="BV386" s="419" t="s">
        <v>619</v>
      </c>
      <c r="BW386" s="419">
        <v>39</v>
      </c>
      <c r="BX386" s="421" t="s">
        <v>625</v>
      </c>
      <c r="BY386" s="420">
        <v>29</v>
      </c>
      <c r="BZ386" s="419" t="s">
        <v>625</v>
      </c>
      <c r="CA386" s="419">
        <v>34</v>
      </c>
      <c r="CB386" s="421" t="s">
        <v>619</v>
      </c>
      <c r="CC386" s="420">
        <v>27</v>
      </c>
      <c r="CD386" s="419" t="s">
        <v>616</v>
      </c>
      <c r="CE386" s="419">
        <v>25</v>
      </c>
      <c r="CF386" s="421" t="s">
        <v>614</v>
      </c>
      <c r="CG386" s="421">
        <v>25</v>
      </c>
      <c r="CH386" s="419" t="s">
        <v>631</v>
      </c>
      <c r="CI386" s="419">
        <v>22</v>
      </c>
      <c r="CJ386" s="421" t="s">
        <v>616</v>
      </c>
      <c r="CK386" s="420">
        <v>15</v>
      </c>
      <c r="CL386" s="419">
        <v>127</v>
      </c>
      <c r="CM386" s="420">
        <v>100</v>
      </c>
      <c r="CN386" s="424">
        <f t="shared" si="149"/>
        <v>789</v>
      </c>
      <c r="CO386" s="424">
        <f t="shared" si="150"/>
        <v>10</v>
      </c>
      <c r="CP386" s="425">
        <f t="shared" si="151"/>
        <v>783</v>
      </c>
      <c r="CQ386" s="425">
        <f t="shared" si="152"/>
        <v>10</v>
      </c>
      <c r="CR386" s="419" t="s">
        <v>611</v>
      </c>
      <c r="CS386" s="419">
        <v>18</v>
      </c>
      <c r="CT386" s="421" t="s">
        <v>611</v>
      </c>
      <c r="CU386" s="421">
        <v>21</v>
      </c>
      <c r="CV386" s="419" t="s">
        <v>625</v>
      </c>
      <c r="CW386" s="419">
        <v>10</v>
      </c>
      <c r="CX386" s="421" t="s">
        <v>618</v>
      </c>
      <c r="CY386" s="421">
        <v>8</v>
      </c>
      <c r="CZ386" s="419" t="s">
        <v>631</v>
      </c>
      <c r="DA386" s="419">
        <v>5</v>
      </c>
      <c r="DB386" s="421" t="s">
        <v>615</v>
      </c>
      <c r="DC386" s="420">
        <v>7</v>
      </c>
      <c r="DD386" s="419" t="s">
        <v>615</v>
      </c>
      <c r="DE386" s="419">
        <v>4</v>
      </c>
      <c r="DF386" s="421" t="s">
        <v>621</v>
      </c>
      <c r="DG386" s="420">
        <v>6</v>
      </c>
      <c r="DH386" s="419" t="s">
        <v>616</v>
      </c>
      <c r="DI386" s="419">
        <v>4</v>
      </c>
      <c r="DJ386" s="421" t="s">
        <v>631</v>
      </c>
      <c r="DK386" s="420">
        <v>5</v>
      </c>
      <c r="DL386" s="419" t="s">
        <v>621</v>
      </c>
      <c r="DM386" s="419">
        <v>4</v>
      </c>
      <c r="DN386" s="421" t="s">
        <v>625</v>
      </c>
      <c r="DO386" s="420">
        <v>5</v>
      </c>
      <c r="DP386" s="419" t="s">
        <v>618</v>
      </c>
      <c r="DQ386" s="419">
        <v>2</v>
      </c>
      <c r="DR386" s="421" t="s">
        <v>616</v>
      </c>
      <c r="DS386" s="420">
        <v>4</v>
      </c>
      <c r="DT386" s="419"/>
      <c r="DU386" s="419"/>
      <c r="DV386" s="421"/>
      <c r="DW386" s="421"/>
      <c r="DX386" s="419"/>
      <c r="DY386" s="419"/>
      <c r="DZ386" s="421"/>
      <c r="EA386" s="421"/>
      <c r="EB386" s="419"/>
      <c r="EC386" s="419"/>
      <c r="ED386" s="421"/>
      <c r="EE386" s="421"/>
      <c r="EF386" s="419"/>
      <c r="EG386" s="421"/>
      <c r="EH386" s="424">
        <f t="shared" si="153"/>
        <v>47</v>
      </c>
      <c r="EI386" s="424">
        <f t="shared" si="154"/>
        <v>7</v>
      </c>
      <c r="EJ386" s="422">
        <f t="shared" si="155"/>
        <v>0.38297872340425532</v>
      </c>
      <c r="EK386" s="425">
        <f t="shared" si="156"/>
        <v>56</v>
      </c>
      <c r="EL386" s="425">
        <f t="shared" si="157"/>
        <v>7</v>
      </c>
      <c r="EM386" s="423">
        <f t="shared" si="158"/>
        <v>0.375</v>
      </c>
      <c r="EN386" s="424">
        <f t="shared" si="159"/>
        <v>836</v>
      </c>
      <c r="EO386" s="425">
        <f t="shared" si="160"/>
        <v>839</v>
      </c>
      <c r="EP386" s="419"/>
      <c r="EQ386" s="421"/>
      <c r="ER386" s="419"/>
      <c r="ES386" s="421"/>
      <c r="ET386" s="419"/>
      <c r="EU386" s="421"/>
      <c r="EV386" s="419"/>
      <c r="EW386" s="421"/>
      <c r="EX386" s="419"/>
      <c r="EY386" s="421"/>
      <c r="EZ386" s="419"/>
      <c r="FA386" s="421"/>
      <c r="FB386" s="419"/>
      <c r="FC386" s="421"/>
      <c r="FD386" s="419"/>
      <c r="FE386" s="421"/>
      <c r="FF386" s="419"/>
      <c r="FG386" s="421"/>
      <c r="FH386" s="419"/>
      <c r="FI386" s="421"/>
      <c r="FJ386" s="424">
        <f t="shared" si="161"/>
        <v>0</v>
      </c>
      <c r="FK386" s="425">
        <f t="shared" si="162"/>
        <v>0</v>
      </c>
      <c r="FL386" s="419"/>
      <c r="FM386" s="421"/>
      <c r="FN386" s="424">
        <f t="shared" si="163"/>
        <v>4883</v>
      </c>
      <c r="FO386" s="425">
        <f t="shared" si="164"/>
        <v>4878</v>
      </c>
    </row>
    <row r="387" spans="1:171">
      <c r="A387" s="428" t="s">
        <v>165</v>
      </c>
      <c r="B387" s="50" t="s">
        <v>906</v>
      </c>
      <c r="C387" s="49"/>
      <c r="D387" s="48">
        <v>221838</v>
      </c>
      <c r="E387" s="48">
        <v>2</v>
      </c>
      <c r="F387" s="419"/>
      <c r="G387" s="421"/>
      <c r="H387" s="419"/>
      <c r="I387" s="421"/>
      <c r="J387" s="419">
        <v>41</v>
      </c>
      <c r="K387" s="420">
        <v>9</v>
      </c>
      <c r="L387" s="422">
        <f t="shared" si="143"/>
        <v>3.7580201649862512E-2</v>
      </c>
      <c r="M387" s="423">
        <f t="shared" si="144"/>
        <v>9.3071354705274046E-3</v>
      </c>
      <c r="N387" s="419">
        <v>1091</v>
      </c>
      <c r="O387" s="309">
        <f>0</f>
        <v>0</v>
      </c>
      <c r="P387" s="309">
        <f>0</f>
        <v>0</v>
      </c>
      <c r="Q387" s="309">
        <f>0</f>
        <v>0</v>
      </c>
      <c r="R387" s="424">
        <f t="shared" si="141"/>
        <v>0</v>
      </c>
      <c r="S387" s="421">
        <v>967</v>
      </c>
      <c r="T387" s="301">
        <f>0</f>
        <v>0</v>
      </c>
      <c r="U387" s="301">
        <f>0</f>
        <v>0</v>
      </c>
      <c r="V387" s="301">
        <f>0</f>
        <v>0</v>
      </c>
      <c r="W387" s="425">
        <f t="shared" si="142"/>
        <v>0</v>
      </c>
      <c r="X387" s="419"/>
      <c r="Y387" s="419"/>
      <c r="Z387" s="421"/>
      <c r="AA387" s="421"/>
      <c r="AB387" s="419"/>
      <c r="AC387" s="419"/>
      <c r="AD387" s="421"/>
      <c r="AE387" s="421"/>
      <c r="AF387" s="419"/>
      <c r="AG387" s="419"/>
      <c r="AH387" s="421"/>
      <c r="AI387" s="421"/>
      <c r="AJ387" s="419"/>
      <c r="AK387" s="419"/>
      <c r="AL387" s="421"/>
      <c r="AM387" s="421"/>
      <c r="AN387" s="419"/>
      <c r="AO387" s="419"/>
      <c r="AP387" s="421"/>
      <c r="AQ387" s="421"/>
      <c r="AR387" s="424">
        <f t="shared" si="145"/>
        <v>0</v>
      </c>
      <c r="AS387" s="422">
        <f t="shared" si="146"/>
        <v>0.71167645140247882</v>
      </c>
      <c r="AT387" s="425">
        <f t="shared" si="147"/>
        <v>0</v>
      </c>
      <c r="AU387" s="423">
        <f t="shared" si="148"/>
        <v>0.68290960451977401</v>
      </c>
      <c r="AV387" s="419"/>
      <c r="AW387" s="421"/>
      <c r="AX387" s="419" t="s">
        <v>612</v>
      </c>
      <c r="AY387" s="419">
        <v>109</v>
      </c>
      <c r="AZ387" s="421" t="s">
        <v>612</v>
      </c>
      <c r="BA387" s="421">
        <v>111</v>
      </c>
      <c r="BB387" s="419" t="s">
        <v>610</v>
      </c>
      <c r="BC387" s="419">
        <v>56</v>
      </c>
      <c r="BD387" s="421" t="s">
        <v>610</v>
      </c>
      <c r="BE387" s="421">
        <v>63</v>
      </c>
      <c r="BF387" s="419" t="s">
        <v>611</v>
      </c>
      <c r="BG387" s="419">
        <v>38</v>
      </c>
      <c r="BH387" s="421" t="s">
        <v>614</v>
      </c>
      <c r="BI387" s="421">
        <v>37</v>
      </c>
      <c r="BJ387" s="419" t="s">
        <v>614</v>
      </c>
      <c r="BK387" s="419">
        <v>28</v>
      </c>
      <c r="BL387" s="421" t="s">
        <v>611</v>
      </c>
      <c r="BM387" s="421">
        <v>31</v>
      </c>
      <c r="BN387" s="419" t="s">
        <v>629</v>
      </c>
      <c r="BO387" s="419">
        <v>19</v>
      </c>
      <c r="BP387" s="421" t="s">
        <v>644</v>
      </c>
      <c r="BQ387" s="420">
        <v>25</v>
      </c>
      <c r="BR387" s="419" t="s">
        <v>625</v>
      </c>
      <c r="BS387" s="419">
        <v>14</v>
      </c>
      <c r="BT387" s="421" t="s">
        <v>624</v>
      </c>
      <c r="BU387" s="420">
        <v>20</v>
      </c>
      <c r="BV387" s="419" t="s">
        <v>644</v>
      </c>
      <c r="BW387" s="419">
        <v>12</v>
      </c>
      <c r="BX387" s="421" t="s">
        <v>613</v>
      </c>
      <c r="BY387" s="420">
        <v>16</v>
      </c>
      <c r="BZ387" s="419" t="s">
        <v>624</v>
      </c>
      <c r="CA387" s="419">
        <v>12</v>
      </c>
      <c r="CB387" s="421" t="s">
        <v>625</v>
      </c>
      <c r="CC387" s="421">
        <v>12</v>
      </c>
      <c r="CD387" s="419" t="s">
        <v>613</v>
      </c>
      <c r="CE387" s="419">
        <v>11</v>
      </c>
      <c r="CF387" s="421" t="s">
        <v>619</v>
      </c>
      <c r="CG387" s="421">
        <v>11</v>
      </c>
      <c r="CH387" s="419" t="s">
        <v>641</v>
      </c>
      <c r="CI387" s="419">
        <v>8</v>
      </c>
      <c r="CJ387" s="421" t="s">
        <v>629</v>
      </c>
      <c r="CK387" s="420">
        <v>6</v>
      </c>
      <c r="CL387" s="419">
        <v>19</v>
      </c>
      <c r="CM387" s="420">
        <v>15</v>
      </c>
      <c r="CN387" s="424">
        <f t="shared" si="149"/>
        <v>326</v>
      </c>
      <c r="CO387" s="424">
        <f t="shared" si="150"/>
        <v>10</v>
      </c>
      <c r="CP387" s="425">
        <f t="shared" si="151"/>
        <v>347</v>
      </c>
      <c r="CQ387" s="425">
        <f t="shared" si="152"/>
        <v>10</v>
      </c>
      <c r="CR387" s="419" t="s">
        <v>612</v>
      </c>
      <c r="CS387" s="419">
        <v>31</v>
      </c>
      <c r="CT387" s="421" t="s">
        <v>612</v>
      </c>
      <c r="CU387" s="421">
        <v>37</v>
      </c>
      <c r="CV387" s="419" t="s">
        <v>619</v>
      </c>
      <c r="CW387" s="419">
        <v>12</v>
      </c>
      <c r="CX387" s="421" t="s">
        <v>611</v>
      </c>
      <c r="CY387" s="420">
        <v>31</v>
      </c>
      <c r="CZ387" s="419" t="s">
        <v>611</v>
      </c>
      <c r="DA387" s="419">
        <v>12</v>
      </c>
      <c r="DB387" s="421" t="s">
        <v>619</v>
      </c>
      <c r="DC387" s="421">
        <v>10</v>
      </c>
      <c r="DD387" s="419" t="s">
        <v>615</v>
      </c>
      <c r="DE387" s="419">
        <v>11</v>
      </c>
      <c r="DF387" s="421" t="s">
        <v>615</v>
      </c>
      <c r="DG387" s="421">
        <v>9</v>
      </c>
      <c r="DH387" s="419" t="s">
        <v>629</v>
      </c>
      <c r="DI387" s="419">
        <v>7</v>
      </c>
      <c r="DJ387" s="421" t="s">
        <v>629</v>
      </c>
      <c r="DK387" s="420">
        <v>3</v>
      </c>
      <c r="DL387" s="419" t="s">
        <v>614</v>
      </c>
      <c r="DM387" s="419">
        <v>2</v>
      </c>
      <c r="DN387" s="421" t="s">
        <v>614</v>
      </c>
      <c r="DO387" s="420">
        <v>3</v>
      </c>
      <c r="DP387" s="419"/>
      <c r="DQ387" s="419"/>
      <c r="DR387" s="421"/>
      <c r="DS387" s="421"/>
      <c r="DT387" s="419"/>
      <c r="DU387" s="419"/>
      <c r="DV387" s="421"/>
      <c r="DW387" s="421"/>
      <c r="DX387" s="419"/>
      <c r="DY387" s="419"/>
      <c r="DZ387" s="421"/>
      <c r="EA387" s="421"/>
      <c r="EB387" s="419"/>
      <c r="EC387" s="419"/>
      <c r="ED387" s="421"/>
      <c r="EE387" s="421"/>
      <c r="EF387" s="419"/>
      <c r="EG387" s="421"/>
      <c r="EH387" s="424">
        <f t="shared" si="153"/>
        <v>75</v>
      </c>
      <c r="EI387" s="424">
        <f t="shared" si="154"/>
        <v>6</v>
      </c>
      <c r="EJ387" s="422">
        <f t="shared" si="155"/>
        <v>0.41333333333333333</v>
      </c>
      <c r="EK387" s="425">
        <f t="shared" si="156"/>
        <v>93</v>
      </c>
      <c r="EL387" s="425">
        <f t="shared" si="157"/>
        <v>6</v>
      </c>
      <c r="EM387" s="423">
        <f t="shared" si="158"/>
        <v>0.39784946236559138</v>
      </c>
      <c r="EN387" s="424">
        <f t="shared" si="159"/>
        <v>401</v>
      </c>
      <c r="EO387" s="425">
        <f t="shared" si="160"/>
        <v>440</v>
      </c>
      <c r="EP387" s="419"/>
      <c r="EQ387" s="421"/>
      <c r="ER387" s="419"/>
      <c r="ES387" s="421"/>
      <c r="ET387" s="419"/>
      <c r="EU387" s="421"/>
      <c r="EV387" s="419"/>
      <c r="EW387" s="421"/>
      <c r="EX387" s="419"/>
      <c r="EY387" s="421"/>
      <c r="EZ387" s="419"/>
      <c r="FA387" s="421"/>
      <c r="FB387" s="419"/>
      <c r="FC387" s="421"/>
      <c r="FD387" s="419"/>
      <c r="FE387" s="421"/>
      <c r="FF387" s="419"/>
      <c r="FG387" s="421"/>
      <c r="FH387" s="419"/>
      <c r="FI387" s="421"/>
      <c r="FJ387" s="424">
        <f t="shared" si="161"/>
        <v>0</v>
      </c>
      <c r="FK387" s="425">
        <f t="shared" si="162"/>
        <v>0</v>
      </c>
      <c r="FL387" s="419"/>
      <c r="FM387" s="421"/>
      <c r="FN387" s="424">
        <f t="shared" si="163"/>
        <v>1533</v>
      </c>
      <c r="FO387" s="425">
        <f t="shared" si="164"/>
        <v>1416</v>
      </c>
    </row>
    <row r="388" spans="1:171">
      <c r="A388" s="428" t="s">
        <v>165</v>
      </c>
      <c r="B388" s="50" t="s">
        <v>907</v>
      </c>
      <c r="C388" s="47"/>
      <c r="D388" s="48">
        <v>219602</v>
      </c>
      <c r="E388" s="48">
        <v>3</v>
      </c>
      <c r="F388" s="419"/>
      <c r="G388" s="421"/>
      <c r="H388" s="419"/>
      <c r="I388" s="421"/>
      <c r="J388" s="419">
        <v>406</v>
      </c>
      <c r="K388" s="420">
        <v>1059</v>
      </c>
      <c r="L388" s="422">
        <f t="shared" si="143"/>
        <v>0.26798679867986797</v>
      </c>
      <c r="M388" s="423">
        <f t="shared" si="144"/>
        <v>0.63795180722891565</v>
      </c>
      <c r="N388" s="419">
        <v>1515</v>
      </c>
      <c r="O388" s="309">
        <f>0</f>
        <v>0</v>
      </c>
      <c r="P388" s="309">
        <f>0</f>
        <v>0</v>
      </c>
      <c r="Q388" s="309">
        <f>0</f>
        <v>0</v>
      </c>
      <c r="R388" s="424">
        <f t="shared" si="141"/>
        <v>0</v>
      </c>
      <c r="S388" s="421">
        <v>1660</v>
      </c>
      <c r="T388" s="301">
        <f>0</f>
        <v>0</v>
      </c>
      <c r="U388" s="301">
        <f>0</f>
        <v>0</v>
      </c>
      <c r="V388" s="301">
        <f>0</f>
        <v>0</v>
      </c>
      <c r="W388" s="425">
        <f t="shared" si="142"/>
        <v>0</v>
      </c>
      <c r="X388" s="419"/>
      <c r="Y388" s="419"/>
      <c r="Z388" s="421"/>
      <c r="AA388" s="421"/>
      <c r="AB388" s="419"/>
      <c r="AC388" s="419"/>
      <c r="AD388" s="421"/>
      <c r="AE388" s="421"/>
      <c r="AF388" s="419"/>
      <c r="AG388" s="419"/>
      <c r="AH388" s="421"/>
      <c r="AI388" s="421"/>
      <c r="AJ388" s="419"/>
      <c r="AK388" s="419"/>
      <c r="AL388" s="421"/>
      <c r="AM388" s="421"/>
      <c r="AN388" s="419"/>
      <c r="AO388" s="419"/>
      <c r="AP388" s="421"/>
      <c r="AQ388" s="421"/>
      <c r="AR388" s="424">
        <f t="shared" si="145"/>
        <v>0</v>
      </c>
      <c r="AS388" s="422">
        <f t="shared" si="146"/>
        <v>0.64965694682675812</v>
      </c>
      <c r="AT388" s="425">
        <f t="shared" si="147"/>
        <v>0</v>
      </c>
      <c r="AU388" s="423">
        <f t="shared" si="148"/>
        <v>0.52564914502849902</v>
      </c>
      <c r="AV388" s="419"/>
      <c r="AW388" s="421"/>
      <c r="AX388" s="419" t="s">
        <v>611</v>
      </c>
      <c r="AY388" s="419">
        <v>128</v>
      </c>
      <c r="AZ388" s="421" t="s">
        <v>611</v>
      </c>
      <c r="BA388" s="421">
        <v>116</v>
      </c>
      <c r="BB388" s="419" t="s">
        <v>612</v>
      </c>
      <c r="BC388" s="419">
        <v>66</v>
      </c>
      <c r="BD388" s="421" t="s">
        <v>612</v>
      </c>
      <c r="BE388" s="420">
        <v>91</v>
      </c>
      <c r="BF388" s="419" t="s">
        <v>613</v>
      </c>
      <c r="BG388" s="419">
        <v>36</v>
      </c>
      <c r="BH388" s="421" t="s">
        <v>613</v>
      </c>
      <c r="BI388" s="420">
        <v>48</v>
      </c>
      <c r="BJ388" s="419" t="s">
        <v>614</v>
      </c>
      <c r="BK388" s="419">
        <v>34</v>
      </c>
      <c r="BL388" s="421" t="s">
        <v>644</v>
      </c>
      <c r="BM388" s="421">
        <v>36</v>
      </c>
      <c r="BN388" s="419" t="s">
        <v>610</v>
      </c>
      <c r="BO388" s="419">
        <v>32</v>
      </c>
      <c r="BP388" s="421" t="s">
        <v>610</v>
      </c>
      <c r="BQ388" s="421">
        <v>31</v>
      </c>
      <c r="BR388" s="419" t="s">
        <v>644</v>
      </c>
      <c r="BS388" s="419">
        <v>29</v>
      </c>
      <c r="BT388" s="421" t="s">
        <v>625</v>
      </c>
      <c r="BU388" s="421">
        <v>28</v>
      </c>
      <c r="BV388" s="419" t="s">
        <v>622</v>
      </c>
      <c r="BW388" s="419">
        <v>21</v>
      </c>
      <c r="BX388" s="421" t="s">
        <v>622</v>
      </c>
      <c r="BY388" s="421">
        <v>18</v>
      </c>
      <c r="BZ388" s="419" t="s">
        <v>619</v>
      </c>
      <c r="CA388" s="419">
        <v>14</v>
      </c>
      <c r="CB388" s="421" t="s">
        <v>614</v>
      </c>
      <c r="CC388" s="421">
        <v>16</v>
      </c>
      <c r="CD388" s="419" t="s">
        <v>631</v>
      </c>
      <c r="CE388" s="419">
        <v>14</v>
      </c>
      <c r="CF388" s="421" t="s">
        <v>631</v>
      </c>
      <c r="CG388" s="421">
        <v>15</v>
      </c>
      <c r="CH388" s="419" t="s">
        <v>620</v>
      </c>
      <c r="CI388" s="419">
        <v>14</v>
      </c>
      <c r="CJ388" s="421" t="s">
        <v>615</v>
      </c>
      <c r="CK388" s="421">
        <v>13</v>
      </c>
      <c r="CL388" s="419">
        <v>23</v>
      </c>
      <c r="CM388" s="421">
        <v>27</v>
      </c>
      <c r="CN388" s="424">
        <f t="shared" si="149"/>
        <v>411</v>
      </c>
      <c r="CO388" s="424">
        <f t="shared" si="150"/>
        <v>10</v>
      </c>
      <c r="CP388" s="425">
        <f t="shared" si="151"/>
        <v>439</v>
      </c>
      <c r="CQ388" s="425">
        <f t="shared" si="152"/>
        <v>10</v>
      </c>
      <c r="CR388" s="419"/>
      <c r="CS388" s="419"/>
      <c r="CT388" s="421"/>
      <c r="CU388" s="421"/>
      <c r="CV388" s="419"/>
      <c r="CW388" s="419"/>
      <c r="CX388" s="421"/>
      <c r="CY388" s="421"/>
      <c r="CZ388" s="419"/>
      <c r="DA388" s="419"/>
      <c r="DB388" s="421"/>
      <c r="DC388" s="421"/>
      <c r="DD388" s="419"/>
      <c r="DE388" s="419"/>
      <c r="DF388" s="421"/>
      <c r="DG388" s="421"/>
      <c r="DH388" s="419"/>
      <c r="DI388" s="419"/>
      <c r="DJ388" s="421"/>
      <c r="DK388" s="421"/>
      <c r="DL388" s="419"/>
      <c r="DM388" s="419"/>
      <c r="DN388" s="421"/>
      <c r="DO388" s="421"/>
      <c r="DP388" s="419"/>
      <c r="DQ388" s="419"/>
      <c r="DR388" s="421"/>
      <c r="DS388" s="421"/>
      <c r="DT388" s="419"/>
      <c r="DU388" s="419"/>
      <c r="DV388" s="421"/>
      <c r="DW388" s="421"/>
      <c r="DX388" s="419"/>
      <c r="DY388" s="419"/>
      <c r="DZ388" s="421"/>
      <c r="EA388" s="421"/>
      <c r="EB388" s="419"/>
      <c r="EC388" s="419"/>
      <c r="ED388" s="421"/>
      <c r="EE388" s="421"/>
      <c r="EF388" s="419"/>
      <c r="EG388" s="421"/>
      <c r="EH388" s="424">
        <f t="shared" si="153"/>
        <v>0</v>
      </c>
      <c r="EI388" s="424">
        <f t="shared" si="154"/>
        <v>0</v>
      </c>
      <c r="EJ388" s="422">
        <f t="shared" si="155"/>
        <v>0</v>
      </c>
      <c r="EK388" s="425">
        <f t="shared" si="156"/>
        <v>0</v>
      </c>
      <c r="EL388" s="425">
        <f t="shared" si="157"/>
        <v>0</v>
      </c>
      <c r="EM388" s="423">
        <f t="shared" si="158"/>
        <v>0</v>
      </c>
      <c r="EN388" s="424">
        <f t="shared" si="159"/>
        <v>411</v>
      </c>
      <c r="EO388" s="425">
        <f t="shared" si="160"/>
        <v>439</v>
      </c>
      <c r="EP388" s="419"/>
      <c r="EQ388" s="421"/>
      <c r="ER388" s="419"/>
      <c r="ES388" s="421"/>
      <c r="ET388" s="419"/>
      <c r="EU388" s="421"/>
      <c r="EV388" s="419"/>
      <c r="EW388" s="421"/>
      <c r="EX388" s="419"/>
      <c r="EY388" s="421"/>
      <c r="EZ388" s="419"/>
      <c r="FA388" s="421"/>
      <c r="FB388" s="419"/>
      <c r="FC388" s="421"/>
      <c r="FD388" s="419"/>
      <c r="FE388" s="421"/>
      <c r="FF388" s="419"/>
      <c r="FG388" s="421"/>
      <c r="FH388" s="419"/>
      <c r="FI388" s="421"/>
      <c r="FJ388" s="424">
        <f t="shared" si="161"/>
        <v>0</v>
      </c>
      <c r="FK388" s="425">
        <f t="shared" si="162"/>
        <v>0</v>
      </c>
      <c r="FL388" s="419"/>
      <c r="FM388" s="421"/>
      <c r="FN388" s="424">
        <f t="shared" si="163"/>
        <v>2332</v>
      </c>
      <c r="FO388" s="425">
        <f t="shared" si="164"/>
        <v>3158</v>
      </c>
    </row>
    <row r="389" spans="1:171" s="272" customFormat="1" ht="15" customHeight="1">
      <c r="A389" s="428" t="s">
        <v>165</v>
      </c>
      <c r="B389" s="50" t="s">
        <v>908</v>
      </c>
      <c r="C389" s="6"/>
      <c r="D389" s="48">
        <v>221847</v>
      </c>
      <c r="E389" s="48">
        <v>3</v>
      </c>
      <c r="F389" s="419"/>
      <c r="G389" s="421"/>
      <c r="H389" s="419"/>
      <c r="I389" s="421"/>
      <c r="J389" s="419"/>
      <c r="K389" s="421"/>
      <c r="L389" s="422">
        <f t="shared" si="143"/>
        <v>0</v>
      </c>
      <c r="M389" s="423">
        <f t="shared" si="144"/>
        <v>0</v>
      </c>
      <c r="N389" s="419">
        <v>1966</v>
      </c>
      <c r="O389" s="309">
        <f>0</f>
        <v>0</v>
      </c>
      <c r="P389" s="309">
        <f>0</f>
        <v>0</v>
      </c>
      <c r="Q389" s="309">
        <f>0</f>
        <v>0</v>
      </c>
      <c r="R389" s="424">
        <f t="shared" si="141"/>
        <v>0</v>
      </c>
      <c r="S389" s="421">
        <v>1991</v>
      </c>
      <c r="T389" s="301">
        <f>0</f>
        <v>0</v>
      </c>
      <c r="U389" s="301">
        <f>0</f>
        <v>0</v>
      </c>
      <c r="V389" s="301">
        <f>0</f>
        <v>0</v>
      </c>
      <c r="W389" s="425">
        <f t="shared" si="142"/>
        <v>0</v>
      </c>
      <c r="X389" s="419"/>
      <c r="Y389" s="419"/>
      <c r="Z389" s="421"/>
      <c r="AA389" s="421"/>
      <c r="AB389" s="419"/>
      <c r="AC389" s="419"/>
      <c r="AD389" s="421"/>
      <c r="AE389" s="421"/>
      <c r="AF389" s="419"/>
      <c r="AG389" s="419"/>
      <c r="AH389" s="421"/>
      <c r="AI389" s="421"/>
      <c r="AJ389" s="419"/>
      <c r="AK389" s="419"/>
      <c r="AL389" s="421"/>
      <c r="AM389" s="421"/>
      <c r="AN389" s="419"/>
      <c r="AO389" s="419"/>
      <c r="AP389" s="421"/>
      <c r="AQ389" s="421"/>
      <c r="AR389" s="424">
        <f t="shared" si="145"/>
        <v>0</v>
      </c>
      <c r="AS389" s="422">
        <f t="shared" si="146"/>
        <v>0.82397317686504612</v>
      </c>
      <c r="AT389" s="425">
        <f t="shared" si="147"/>
        <v>0</v>
      </c>
      <c r="AU389" s="423">
        <f t="shared" si="148"/>
        <v>0.82035434693036668</v>
      </c>
      <c r="AV389" s="419"/>
      <c r="AW389" s="421"/>
      <c r="AX389" s="419" t="s">
        <v>611</v>
      </c>
      <c r="AY389" s="419">
        <v>144</v>
      </c>
      <c r="AZ389" s="421" t="s">
        <v>611</v>
      </c>
      <c r="BA389" s="421">
        <v>131</v>
      </c>
      <c r="BB389" s="419" t="s">
        <v>610</v>
      </c>
      <c r="BC389" s="419">
        <v>101</v>
      </c>
      <c r="BD389" s="421" t="s">
        <v>610</v>
      </c>
      <c r="BE389" s="421">
        <v>92</v>
      </c>
      <c r="BF389" s="419" t="s">
        <v>644</v>
      </c>
      <c r="BG389" s="419">
        <v>33</v>
      </c>
      <c r="BH389" s="421" t="s">
        <v>629</v>
      </c>
      <c r="BI389" s="420">
        <v>47</v>
      </c>
      <c r="BJ389" s="419" t="s">
        <v>629</v>
      </c>
      <c r="BK389" s="419">
        <v>32</v>
      </c>
      <c r="BL389" s="421" t="s">
        <v>644</v>
      </c>
      <c r="BM389" s="421">
        <v>32</v>
      </c>
      <c r="BN389" s="419" t="s">
        <v>612</v>
      </c>
      <c r="BO389" s="419">
        <v>29</v>
      </c>
      <c r="BP389" s="421" t="s">
        <v>612</v>
      </c>
      <c r="BQ389" s="421">
        <v>29</v>
      </c>
      <c r="BR389" s="419" t="s">
        <v>625</v>
      </c>
      <c r="BS389" s="419">
        <v>20</v>
      </c>
      <c r="BT389" s="421" t="s">
        <v>625</v>
      </c>
      <c r="BU389" s="421">
        <v>23</v>
      </c>
      <c r="BV389" s="419" t="s">
        <v>613</v>
      </c>
      <c r="BW389" s="419">
        <v>13</v>
      </c>
      <c r="BX389" s="421" t="s">
        <v>613</v>
      </c>
      <c r="BY389" s="420">
        <v>18</v>
      </c>
      <c r="BZ389" s="419" t="s">
        <v>615</v>
      </c>
      <c r="CA389" s="419">
        <v>8</v>
      </c>
      <c r="CB389" s="421" t="s">
        <v>617</v>
      </c>
      <c r="CC389" s="420">
        <v>11</v>
      </c>
      <c r="CD389" s="419" t="s">
        <v>621</v>
      </c>
      <c r="CE389" s="419">
        <v>4</v>
      </c>
      <c r="CF389" s="421" t="s">
        <v>615</v>
      </c>
      <c r="CG389" s="420">
        <v>6</v>
      </c>
      <c r="CH389" s="419" t="s">
        <v>626</v>
      </c>
      <c r="CI389" s="419">
        <v>4</v>
      </c>
      <c r="CJ389" s="421" t="s">
        <v>626</v>
      </c>
      <c r="CK389" s="420">
        <v>5</v>
      </c>
      <c r="CL389" s="419">
        <v>7</v>
      </c>
      <c r="CM389" s="420">
        <v>10</v>
      </c>
      <c r="CN389" s="424">
        <f t="shared" si="149"/>
        <v>395</v>
      </c>
      <c r="CO389" s="424">
        <f t="shared" si="150"/>
        <v>10</v>
      </c>
      <c r="CP389" s="425">
        <f t="shared" si="151"/>
        <v>404</v>
      </c>
      <c r="CQ389" s="425">
        <f t="shared" si="152"/>
        <v>10</v>
      </c>
      <c r="CR389" s="419" t="s">
        <v>629</v>
      </c>
      <c r="CS389" s="419">
        <v>15</v>
      </c>
      <c r="CT389" s="421" t="s">
        <v>629</v>
      </c>
      <c r="CU389" s="420">
        <v>21</v>
      </c>
      <c r="CV389" s="419" t="s">
        <v>626</v>
      </c>
      <c r="CW389" s="419">
        <v>5</v>
      </c>
      <c r="CX389" s="421" t="s">
        <v>611</v>
      </c>
      <c r="CY389" s="420">
        <v>7</v>
      </c>
      <c r="CZ389" s="419" t="s">
        <v>611</v>
      </c>
      <c r="DA389" s="419">
        <v>5</v>
      </c>
      <c r="DB389" s="421" t="s">
        <v>626</v>
      </c>
      <c r="DC389" s="421">
        <v>4</v>
      </c>
      <c r="DD389" s="419"/>
      <c r="DE389" s="419"/>
      <c r="DF389" s="421"/>
      <c r="DG389" s="421"/>
      <c r="DH389" s="419"/>
      <c r="DI389" s="419"/>
      <c r="DJ389" s="421"/>
      <c r="DK389" s="421"/>
      <c r="DL389" s="419"/>
      <c r="DM389" s="419"/>
      <c r="DN389" s="421"/>
      <c r="DO389" s="421"/>
      <c r="DP389" s="419"/>
      <c r="DQ389" s="419"/>
      <c r="DR389" s="421"/>
      <c r="DS389" s="421"/>
      <c r="DT389" s="419"/>
      <c r="DU389" s="419"/>
      <c r="DV389" s="421"/>
      <c r="DW389" s="421"/>
      <c r="DX389" s="419"/>
      <c r="DY389" s="419"/>
      <c r="DZ389" s="421"/>
      <c r="EA389" s="421"/>
      <c r="EB389" s="419"/>
      <c r="EC389" s="419"/>
      <c r="ED389" s="421"/>
      <c r="EE389" s="421"/>
      <c r="EF389" s="419"/>
      <c r="EG389" s="421"/>
      <c r="EH389" s="424">
        <f t="shared" si="153"/>
        <v>25</v>
      </c>
      <c r="EI389" s="424">
        <f t="shared" si="154"/>
        <v>3</v>
      </c>
      <c r="EJ389" s="422">
        <f t="shared" si="155"/>
        <v>0.6</v>
      </c>
      <c r="EK389" s="425">
        <f t="shared" si="156"/>
        <v>32</v>
      </c>
      <c r="EL389" s="425">
        <f t="shared" si="157"/>
        <v>3</v>
      </c>
      <c r="EM389" s="423">
        <f t="shared" si="158"/>
        <v>0.65625</v>
      </c>
      <c r="EN389" s="424">
        <f t="shared" si="159"/>
        <v>420</v>
      </c>
      <c r="EO389" s="425">
        <f t="shared" si="160"/>
        <v>436</v>
      </c>
      <c r="EP389" s="419"/>
      <c r="EQ389" s="421"/>
      <c r="ER389" s="419"/>
      <c r="ES389" s="421"/>
      <c r="ET389" s="419"/>
      <c r="EU389" s="421"/>
      <c r="EV389" s="419"/>
      <c r="EW389" s="421"/>
      <c r="EX389" s="419"/>
      <c r="EY389" s="421"/>
      <c r="EZ389" s="419"/>
      <c r="FA389" s="421"/>
      <c r="FB389" s="419"/>
      <c r="FC389" s="421"/>
      <c r="FD389" s="419"/>
      <c r="FE389" s="421"/>
      <c r="FF389" s="419"/>
      <c r="FG389" s="421"/>
      <c r="FH389" s="419"/>
      <c r="FI389" s="421"/>
      <c r="FJ389" s="424">
        <f t="shared" si="161"/>
        <v>0</v>
      </c>
      <c r="FK389" s="425">
        <f t="shared" si="162"/>
        <v>0</v>
      </c>
      <c r="FL389" s="419"/>
      <c r="FM389" s="421"/>
      <c r="FN389" s="424">
        <f t="shared" si="163"/>
        <v>2386</v>
      </c>
      <c r="FO389" s="425">
        <f t="shared" si="164"/>
        <v>2427</v>
      </c>
    </row>
    <row r="390" spans="1:171" s="272" customFormat="1" ht="15" customHeight="1">
      <c r="A390" s="428" t="s">
        <v>165</v>
      </c>
      <c r="B390" s="50" t="s">
        <v>909</v>
      </c>
      <c r="C390" s="6"/>
      <c r="D390" s="48">
        <v>221740</v>
      </c>
      <c r="E390" s="120">
        <v>3</v>
      </c>
      <c r="F390" s="419"/>
      <c r="G390" s="421"/>
      <c r="H390" s="419"/>
      <c r="I390" s="421"/>
      <c r="J390" s="419"/>
      <c r="K390" s="421"/>
      <c r="L390" s="422">
        <f t="shared" si="143"/>
        <v>0</v>
      </c>
      <c r="M390" s="423">
        <f t="shared" si="144"/>
        <v>0</v>
      </c>
      <c r="N390" s="419">
        <v>2082</v>
      </c>
      <c r="O390" s="309">
        <f>0</f>
        <v>0</v>
      </c>
      <c r="P390" s="309">
        <f>0</f>
        <v>0</v>
      </c>
      <c r="Q390" s="309">
        <f>0</f>
        <v>0</v>
      </c>
      <c r="R390" s="424">
        <f t="shared" si="141"/>
        <v>0</v>
      </c>
      <c r="S390" s="421">
        <v>2061</v>
      </c>
      <c r="T390" s="301">
        <f>0</f>
        <v>0</v>
      </c>
      <c r="U390" s="301">
        <f>0</f>
        <v>0</v>
      </c>
      <c r="V390" s="301">
        <f>0</f>
        <v>0</v>
      </c>
      <c r="W390" s="425">
        <f t="shared" si="142"/>
        <v>0</v>
      </c>
      <c r="X390" s="419"/>
      <c r="Y390" s="419"/>
      <c r="Z390" s="421"/>
      <c r="AA390" s="421"/>
      <c r="AB390" s="419"/>
      <c r="AC390" s="419"/>
      <c r="AD390" s="421"/>
      <c r="AE390" s="421"/>
      <c r="AF390" s="419"/>
      <c r="AG390" s="419"/>
      <c r="AH390" s="421"/>
      <c r="AI390" s="421"/>
      <c r="AJ390" s="419"/>
      <c r="AK390" s="419"/>
      <c r="AL390" s="421"/>
      <c r="AM390" s="421"/>
      <c r="AN390" s="419"/>
      <c r="AO390" s="419"/>
      <c r="AP390" s="421"/>
      <c r="AQ390" s="421"/>
      <c r="AR390" s="424">
        <f t="shared" si="145"/>
        <v>0</v>
      </c>
      <c r="AS390" s="422">
        <f t="shared" si="146"/>
        <v>0.81583072100313481</v>
      </c>
      <c r="AT390" s="425">
        <f t="shared" si="147"/>
        <v>0</v>
      </c>
      <c r="AU390" s="423">
        <f t="shared" si="148"/>
        <v>0.8041357783847054</v>
      </c>
      <c r="AV390" s="419"/>
      <c r="AW390" s="421"/>
      <c r="AX390" s="419" t="s">
        <v>610</v>
      </c>
      <c r="AY390" s="419">
        <v>138</v>
      </c>
      <c r="AZ390" s="421" t="s">
        <v>610</v>
      </c>
      <c r="BA390" s="421">
        <v>131</v>
      </c>
      <c r="BB390" s="419" t="s">
        <v>611</v>
      </c>
      <c r="BC390" s="419">
        <v>65</v>
      </c>
      <c r="BD390" s="421" t="s">
        <v>612</v>
      </c>
      <c r="BE390" s="421">
        <v>70</v>
      </c>
      <c r="BF390" s="419" t="s">
        <v>612</v>
      </c>
      <c r="BG390" s="419">
        <v>62</v>
      </c>
      <c r="BH390" s="421" t="s">
        <v>611</v>
      </c>
      <c r="BI390" s="421">
        <v>63</v>
      </c>
      <c r="BJ390" s="419" t="s">
        <v>614</v>
      </c>
      <c r="BK390" s="419">
        <v>34</v>
      </c>
      <c r="BL390" s="421" t="s">
        <v>619</v>
      </c>
      <c r="BM390" s="420">
        <v>26</v>
      </c>
      <c r="BN390" s="419" t="s">
        <v>629</v>
      </c>
      <c r="BO390" s="419">
        <v>27</v>
      </c>
      <c r="BP390" s="421" t="s">
        <v>614</v>
      </c>
      <c r="BQ390" s="421">
        <v>23</v>
      </c>
      <c r="BR390" s="419" t="s">
        <v>619</v>
      </c>
      <c r="BS390" s="419">
        <v>18</v>
      </c>
      <c r="BT390" s="421" t="s">
        <v>629</v>
      </c>
      <c r="BU390" s="420">
        <v>22</v>
      </c>
      <c r="BV390" s="419" t="s">
        <v>634</v>
      </c>
      <c r="BW390" s="419">
        <v>16</v>
      </c>
      <c r="BX390" s="421" t="s">
        <v>634</v>
      </c>
      <c r="BY390" s="420">
        <v>21</v>
      </c>
      <c r="BZ390" s="419" t="s">
        <v>613</v>
      </c>
      <c r="CA390" s="419">
        <v>14</v>
      </c>
      <c r="CB390" s="421" t="s">
        <v>613</v>
      </c>
      <c r="CC390" s="420">
        <v>18</v>
      </c>
      <c r="CD390" s="419" t="s">
        <v>626</v>
      </c>
      <c r="CE390" s="419">
        <v>9</v>
      </c>
      <c r="CF390" s="421" t="s">
        <v>626</v>
      </c>
      <c r="CG390" s="420">
        <v>17</v>
      </c>
      <c r="CH390" s="419" t="s">
        <v>641</v>
      </c>
      <c r="CI390" s="419">
        <v>6</v>
      </c>
      <c r="CJ390" s="421" t="s">
        <v>641</v>
      </c>
      <c r="CK390" s="420">
        <v>9</v>
      </c>
      <c r="CL390" s="419">
        <v>13</v>
      </c>
      <c r="CM390" s="421">
        <v>15</v>
      </c>
      <c r="CN390" s="424">
        <f t="shared" si="149"/>
        <v>402</v>
      </c>
      <c r="CO390" s="424">
        <f t="shared" si="150"/>
        <v>10</v>
      </c>
      <c r="CP390" s="425">
        <f t="shared" si="151"/>
        <v>415</v>
      </c>
      <c r="CQ390" s="425">
        <f t="shared" si="152"/>
        <v>10</v>
      </c>
      <c r="CR390" s="419" t="s">
        <v>612</v>
      </c>
      <c r="CS390" s="419">
        <v>63</v>
      </c>
      <c r="CT390" s="421" t="s">
        <v>612</v>
      </c>
      <c r="CU390" s="421">
        <v>74</v>
      </c>
      <c r="CV390" s="419" t="s">
        <v>611</v>
      </c>
      <c r="CW390" s="419">
        <v>5</v>
      </c>
      <c r="CX390" s="421" t="s">
        <v>611</v>
      </c>
      <c r="CY390" s="420">
        <v>10</v>
      </c>
      <c r="CZ390" s="419"/>
      <c r="DA390" s="419"/>
      <c r="DB390" s="421" t="s">
        <v>636</v>
      </c>
      <c r="DC390" s="420">
        <v>2</v>
      </c>
      <c r="DD390" s="419"/>
      <c r="DE390" s="419"/>
      <c r="DF390" s="421" t="s">
        <v>629</v>
      </c>
      <c r="DG390" s="420">
        <v>1</v>
      </c>
      <c r="DH390" s="419"/>
      <c r="DI390" s="419"/>
      <c r="DJ390" s="421"/>
      <c r="DK390" s="421"/>
      <c r="DL390" s="419"/>
      <c r="DM390" s="419"/>
      <c r="DN390" s="421"/>
      <c r="DO390" s="421"/>
      <c r="DP390" s="419"/>
      <c r="DQ390" s="419"/>
      <c r="DR390" s="421"/>
      <c r="DS390" s="421"/>
      <c r="DT390" s="419"/>
      <c r="DU390" s="419"/>
      <c r="DV390" s="421"/>
      <c r="DW390" s="421"/>
      <c r="DX390" s="419"/>
      <c r="DY390" s="419"/>
      <c r="DZ390" s="421"/>
      <c r="EA390" s="421"/>
      <c r="EB390" s="419"/>
      <c r="EC390" s="419"/>
      <c r="ED390" s="421"/>
      <c r="EE390" s="421"/>
      <c r="EF390" s="419"/>
      <c r="EG390" s="421"/>
      <c r="EH390" s="424">
        <f t="shared" si="153"/>
        <v>68</v>
      </c>
      <c r="EI390" s="424">
        <f t="shared" si="154"/>
        <v>2</v>
      </c>
      <c r="EJ390" s="422">
        <f t="shared" si="155"/>
        <v>0.92647058823529416</v>
      </c>
      <c r="EK390" s="425">
        <f t="shared" si="156"/>
        <v>87</v>
      </c>
      <c r="EL390" s="425">
        <f t="shared" si="157"/>
        <v>4</v>
      </c>
      <c r="EM390" s="423">
        <f t="shared" si="158"/>
        <v>0.85057471264367812</v>
      </c>
      <c r="EN390" s="424">
        <f t="shared" si="159"/>
        <v>470</v>
      </c>
      <c r="EO390" s="425">
        <f t="shared" si="160"/>
        <v>502</v>
      </c>
      <c r="EP390" s="419"/>
      <c r="EQ390" s="421"/>
      <c r="ER390" s="419"/>
      <c r="ES390" s="421"/>
      <c r="ET390" s="419"/>
      <c r="EU390" s="421"/>
      <c r="EV390" s="419"/>
      <c r="EW390" s="421"/>
      <c r="EX390" s="419"/>
      <c r="EY390" s="421"/>
      <c r="EZ390" s="419"/>
      <c r="FA390" s="421"/>
      <c r="FB390" s="419"/>
      <c r="FC390" s="421"/>
      <c r="FD390" s="419"/>
      <c r="FE390" s="421"/>
      <c r="FF390" s="419"/>
      <c r="FG390" s="421"/>
      <c r="FH390" s="419"/>
      <c r="FI390" s="421"/>
      <c r="FJ390" s="424">
        <f t="shared" si="161"/>
        <v>0</v>
      </c>
      <c r="FK390" s="425">
        <f t="shared" si="162"/>
        <v>0</v>
      </c>
      <c r="FL390" s="419"/>
      <c r="FM390" s="421"/>
      <c r="FN390" s="424">
        <f t="shared" si="163"/>
        <v>2552</v>
      </c>
      <c r="FO390" s="425">
        <f t="shared" si="164"/>
        <v>2563</v>
      </c>
    </row>
    <row r="391" spans="1:171" s="272" customFormat="1" ht="15" customHeight="1">
      <c r="A391" s="428" t="s">
        <v>165</v>
      </c>
      <c r="B391" s="429" t="s">
        <v>910</v>
      </c>
      <c r="C391" s="5" t="s">
        <v>1198</v>
      </c>
      <c r="D391" s="48">
        <v>221768</v>
      </c>
      <c r="E391" s="488">
        <v>4</v>
      </c>
      <c r="F391" s="419"/>
      <c r="G391" s="421"/>
      <c r="H391" s="419"/>
      <c r="I391" s="421"/>
      <c r="J391" s="419"/>
      <c r="K391" s="421"/>
      <c r="L391" s="422">
        <f t="shared" si="143"/>
        <v>0</v>
      </c>
      <c r="M391" s="423">
        <f t="shared" si="144"/>
        <v>0</v>
      </c>
      <c r="N391" s="419">
        <v>1166</v>
      </c>
      <c r="O391" s="309">
        <f>0</f>
        <v>0</v>
      </c>
      <c r="P391" s="309">
        <f>0</f>
        <v>0</v>
      </c>
      <c r="Q391" s="309">
        <f>0</f>
        <v>0</v>
      </c>
      <c r="R391" s="424">
        <f t="shared" si="141"/>
        <v>0</v>
      </c>
      <c r="S391" s="421">
        <v>1096</v>
      </c>
      <c r="T391" s="301">
        <f>0</f>
        <v>0</v>
      </c>
      <c r="U391" s="301">
        <f>0</f>
        <v>0</v>
      </c>
      <c r="V391" s="301">
        <f>0</f>
        <v>0</v>
      </c>
      <c r="W391" s="425">
        <f t="shared" si="142"/>
        <v>0</v>
      </c>
      <c r="X391" s="419"/>
      <c r="Y391" s="419"/>
      <c r="Z391" s="421"/>
      <c r="AA391" s="421"/>
      <c r="AB391" s="419"/>
      <c r="AC391" s="419"/>
      <c r="AD391" s="421"/>
      <c r="AE391" s="421"/>
      <c r="AF391" s="419"/>
      <c r="AG391" s="419"/>
      <c r="AH391" s="421"/>
      <c r="AI391" s="421"/>
      <c r="AJ391" s="419"/>
      <c r="AK391" s="419"/>
      <c r="AL391" s="421"/>
      <c r="AM391" s="421"/>
      <c r="AN391" s="419"/>
      <c r="AO391" s="419"/>
      <c r="AP391" s="421"/>
      <c r="AQ391" s="421"/>
      <c r="AR391" s="424">
        <f t="shared" si="145"/>
        <v>0</v>
      </c>
      <c r="AS391" s="422">
        <f t="shared" si="146"/>
        <v>0.91450980392156866</v>
      </c>
      <c r="AT391" s="425">
        <f t="shared" si="147"/>
        <v>0</v>
      </c>
      <c r="AU391" s="423">
        <f t="shared" si="148"/>
        <v>0.90429042904290424</v>
      </c>
      <c r="AV391" s="419"/>
      <c r="AW391" s="421"/>
      <c r="AX391" s="419" t="s">
        <v>611</v>
      </c>
      <c r="AY391" s="419">
        <v>51</v>
      </c>
      <c r="AZ391" s="421" t="s">
        <v>611</v>
      </c>
      <c r="BA391" s="421">
        <v>55</v>
      </c>
      <c r="BB391" s="419" t="s">
        <v>610</v>
      </c>
      <c r="BC391" s="419">
        <v>39</v>
      </c>
      <c r="BD391" s="421" t="s">
        <v>610</v>
      </c>
      <c r="BE391" s="420">
        <v>31</v>
      </c>
      <c r="BF391" s="419" t="s">
        <v>911</v>
      </c>
      <c r="BG391" s="419">
        <v>9</v>
      </c>
      <c r="BH391" s="421" t="s">
        <v>911</v>
      </c>
      <c r="BI391" s="420">
        <v>12</v>
      </c>
      <c r="BJ391" s="419" t="s">
        <v>624</v>
      </c>
      <c r="BK391" s="419">
        <v>9</v>
      </c>
      <c r="BL391" s="421" t="s">
        <v>624</v>
      </c>
      <c r="BM391" s="420">
        <v>11</v>
      </c>
      <c r="BN391" s="419" t="s">
        <v>622</v>
      </c>
      <c r="BO391" s="419">
        <v>1</v>
      </c>
      <c r="BP391" s="421" t="s">
        <v>622</v>
      </c>
      <c r="BQ391" s="420">
        <v>7</v>
      </c>
      <c r="BR391" s="419"/>
      <c r="BS391" s="419"/>
      <c r="BT391" s="421"/>
      <c r="BU391" s="421"/>
      <c r="BV391" s="419"/>
      <c r="BW391" s="419"/>
      <c r="BX391" s="421"/>
      <c r="BY391" s="421"/>
      <c r="BZ391" s="419"/>
      <c r="CA391" s="419"/>
      <c r="CB391" s="421"/>
      <c r="CC391" s="421"/>
      <c r="CD391" s="419"/>
      <c r="CE391" s="419"/>
      <c r="CF391" s="421"/>
      <c r="CG391" s="421"/>
      <c r="CH391" s="419"/>
      <c r="CI391" s="419"/>
      <c r="CJ391" s="421"/>
      <c r="CK391" s="421"/>
      <c r="CL391" s="419"/>
      <c r="CM391" s="421"/>
      <c r="CN391" s="424">
        <f t="shared" si="149"/>
        <v>109</v>
      </c>
      <c r="CO391" s="424">
        <f t="shared" si="150"/>
        <v>5</v>
      </c>
      <c r="CP391" s="425">
        <f t="shared" si="151"/>
        <v>116</v>
      </c>
      <c r="CQ391" s="425">
        <f t="shared" si="152"/>
        <v>5</v>
      </c>
      <c r="CR391" s="419"/>
      <c r="CS391" s="419"/>
      <c r="CT391" s="421"/>
      <c r="CU391" s="421"/>
      <c r="CV391" s="419"/>
      <c r="CW391" s="419"/>
      <c r="CX391" s="421"/>
      <c r="CY391" s="421"/>
      <c r="CZ391" s="419"/>
      <c r="DA391" s="419"/>
      <c r="DB391" s="421"/>
      <c r="DC391" s="421"/>
      <c r="DD391" s="419"/>
      <c r="DE391" s="419"/>
      <c r="DF391" s="421"/>
      <c r="DG391" s="421"/>
      <c r="DH391" s="419"/>
      <c r="DI391" s="419"/>
      <c r="DJ391" s="421"/>
      <c r="DK391" s="421"/>
      <c r="DL391" s="419"/>
      <c r="DM391" s="419"/>
      <c r="DN391" s="421"/>
      <c r="DO391" s="421"/>
      <c r="DP391" s="419"/>
      <c r="DQ391" s="419"/>
      <c r="DR391" s="421"/>
      <c r="DS391" s="421"/>
      <c r="DT391" s="419"/>
      <c r="DU391" s="419"/>
      <c r="DV391" s="421"/>
      <c r="DW391" s="421"/>
      <c r="DX391" s="419"/>
      <c r="DY391" s="419"/>
      <c r="DZ391" s="421"/>
      <c r="EA391" s="421"/>
      <c r="EB391" s="419"/>
      <c r="EC391" s="419"/>
      <c r="ED391" s="421"/>
      <c r="EE391" s="421"/>
      <c r="EF391" s="419"/>
      <c r="EG391" s="421"/>
      <c r="EH391" s="424">
        <f t="shared" si="153"/>
        <v>0</v>
      </c>
      <c r="EI391" s="424">
        <f t="shared" si="154"/>
        <v>0</v>
      </c>
      <c r="EJ391" s="422">
        <f t="shared" si="155"/>
        <v>0</v>
      </c>
      <c r="EK391" s="425">
        <f t="shared" si="156"/>
        <v>0</v>
      </c>
      <c r="EL391" s="425">
        <f t="shared" si="157"/>
        <v>0</v>
      </c>
      <c r="EM391" s="423">
        <f t="shared" si="158"/>
        <v>0</v>
      </c>
      <c r="EN391" s="424">
        <f t="shared" si="159"/>
        <v>109</v>
      </c>
      <c r="EO391" s="425">
        <f t="shared" si="160"/>
        <v>116</v>
      </c>
      <c r="EP391" s="419"/>
      <c r="EQ391" s="421"/>
      <c r="ER391" s="419"/>
      <c r="ES391" s="421"/>
      <c r="ET391" s="419"/>
      <c r="EU391" s="421"/>
      <c r="EV391" s="419"/>
      <c r="EW391" s="421"/>
      <c r="EX391" s="419"/>
      <c r="EY391" s="421"/>
      <c r="EZ391" s="419"/>
      <c r="FA391" s="421"/>
      <c r="FB391" s="419"/>
      <c r="FC391" s="421"/>
      <c r="FD391" s="419"/>
      <c r="FE391" s="421"/>
      <c r="FF391" s="419"/>
      <c r="FG391" s="421"/>
      <c r="FH391" s="419"/>
      <c r="FI391" s="421"/>
      <c r="FJ391" s="424">
        <f t="shared" si="161"/>
        <v>0</v>
      </c>
      <c r="FK391" s="425">
        <f t="shared" si="162"/>
        <v>0</v>
      </c>
      <c r="FL391" s="419"/>
      <c r="FM391" s="421"/>
      <c r="FN391" s="424">
        <f t="shared" si="163"/>
        <v>1275</v>
      </c>
      <c r="FO391" s="425">
        <f t="shared" si="164"/>
        <v>1212</v>
      </c>
    </row>
    <row r="392" spans="1:171" s="272" customFormat="1" ht="15" customHeight="1">
      <c r="A392" s="428" t="s">
        <v>165</v>
      </c>
      <c r="B392" s="50" t="s">
        <v>912</v>
      </c>
      <c r="C392" s="6"/>
      <c r="D392" s="48">
        <v>219824</v>
      </c>
      <c r="E392" s="120">
        <v>8</v>
      </c>
      <c r="F392" s="419"/>
      <c r="G392" s="421"/>
      <c r="H392" s="419"/>
      <c r="I392" s="421"/>
      <c r="J392" s="419">
        <v>1128</v>
      </c>
      <c r="K392" s="421">
        <v>1164</v>
      </c>
      <c r="L392" s="422">
        <f t="shared" si="143"/>
        <v>0</v>
      </c>
      <c r="M392" s="423">
        <f t="shared" si="144"/>
        <v>0</v>
      </c>
      <c r="N392" s="419"/>
      <c r="O392" s="309">
        <f>0</f>
        <v>0</v>
      </c>
      <c r="P392" s="309">
        <f>0</f>
        <v>0</v>
      </c>
      <c r="Q392" s="309">
        <f>0</f>
        <v>0</v>
      </c>
      <c r="R392" s="424">
        <f t="shared" si="141"/>
        <v>0</v>
      </c>
      <c r="S392" s="421"/>
      <c r="T392" s="301">
        <f>0</f>
        <v>0</v>
      </c>
      <c r="U392" s="301">
        <f>0</f>
        <v>0</v>
      </c>
      <c r="V392" s="301">
        <f>0</f>
        <v>0</v>
      </c>
      <c r="W392" s="425">
        <f t="shared" si="142"/>
        <v>0</v>
      </c>
      <c r="X392" s="419"/>
      <c r="Y392" s="419"/>
      <c r="Z392" s="421"/>
      <c r="AA392" s="421"/>
      <c r="AB392" s="419"/>
      <c r="AC392" s="419"/>
      <c r="AD392" s="421"/>
      <c r="AE392" s="421"/>
      <c r="AF392" s="419"/>
      <c r="AG392" s="419"/>
      <c r="AH392" s="421"/>
      <c r="AI392" s="421"/>
      <c r="AJ392" s="419"/>
      <c r="AK392" s="419"/>
      <c r="AL392" s="421"/>
      <c r="AM392" s="421"/>
      <c r="AN392" s="419"/>
      <c r="AO392" s="419"/>
      <c r="AP392" s="421"/>
      <c r="AQ392" s="421"/>
      <c r="AR392" s="424">
        <f t="shared" si="145"/>
        <v>0</v>
      </c>
      <c r="AS392" s="422">
        <f t="shared" si="146"/>
        <v>0</v>
      </c>
      <c r="AT392" s="425">
        <f t="shared" si="147"/>
        <v>0</v>
      </c>
      <c r="AU392" s="423">
        <f t="shared" si="148"/>
        <v>0</v>
      </c>
      <c r="AV392" s="419"/>
      <c r="AW392" s="421"/>
      <c r="AX392" s="419"/>
      <c r="AY392" s="419"/>
      <c r="AZ392" s="421"/>
      <c r="BA392" s="421"/>
      <c r="BB392" s="419"/>
      <c r="BC392" s="419"/>
      <c r="BD392" s="421"/>
      <c r="BE392" s="421"/>
      <c r="BF392" s="419"/>
      <c r="BG392" s="419"/>
      <c r="BH392" s="421"/>
      <c r="BI392" s="421"/>
      <c r="BJ392" s="419"/>
      <c r="BK392" s="419"/>
      <c r="BL392" s="421"/>
      <c r="BM392" s="421"/>
      <c r="BN392" s="419"/>
      <c r="BO392" s="419"/>
      <c r="BP392" s="421"/>
      <c r="BQ392" s="421"/>
      <c r="BR392" s="419"/>
      <c r="BS392" s="419"/>
      <c r="BT392" s="421"/>
      <c r="BU392" s="421"/>
      <c r="BV392" s="419"/>
      <c r="BW392" s="419"/>
      <c r="BX392" s="421"/>
      <c r="BY392" s="421"/>
      <c r="BZ392" s="419"/>
      <c r="CA392" s="419"/>
      <c r="CB392" s="421"/>
      <c r="CC392" s="421"/>
      <c r="CD392" s="419"/>
      <c r="CE392" s="419"/>
      <c r="CF392" s="421"/>
      <c r="CG392" s="421"/>
      <c r="CH392" s="419"/>
      <c r="CI392" s="419"/>
      <c r="CJ392" s="421"/>
      <c r="CK392" s="421"/>
      <c r="CL392" s="419"/>
      <c r="CM392" s="421"/>
      <c r="CN392" s="424">
        <f t="shared" si="149"/>
        <v>0</v>
      </c>
      <c r="CO392" s="424">
        <f t="shared" si="150"/>
        <v>0</v>
      </c>
      <c r="CP392" s="425">
        <f t="shared" si="151"/>
        <v>0</v>
      </c>
      <c r="CQ392" s="425">
        <f t="shared" si="152"/>
        <v>0</v>
      </c>
      <c r="CR392" s="419"/>
      <c r="CS392" s="419"/>
      <c r="CT392" s="421"/>
      <c r="CU392" s="421"/>
      <c r="CV392" s="419"/>
      <c r="CW392" s="419"/>
      <c r="CX392" s="421"/>
      <c r="CY392" s="421"/>
      <c r="CZ392" s="419"/>
      <c r="DA392" s="419"/>
      <c r="DB392" s="421"/>
      <c r="DC392" s="421"/>
      <c r="DD392" s="419"/>
      <c r="DE392" s="419"/>
      <c r="DF392" s="421"/>
      <c r="DG392" s="421"/>
      <c r="DH392" s="419"/>
      <c r="DI392" s="419"/>
      <c r="DJ392" s="421"/>
      <c r="DK392" s="421"/>
      <c r="DL392" s="419"/>
      <c r="DM392" s="419"/>
      <c r="DN392" s="421"/>
      <c r="DO392" s="421"/>
      <c r="DP392" s="419"/>
      <c r="DQ392" s="419"/>
      <c r="DR392" s="421"/>
      <c r="DS392" s="421"/>
      <c r="DT392" s="419"/>
      <c r="DU392" s="419"/>
      <c r="DV392" s="421"/>
      <c r="DW392" s="421"/>
      <c r="DX392" s="419"/>
      <c r="DY392" s="419"/>
      <c r="DZ392" s="421"/>
      <c r="EA392" s="421"/>
      <c r="EB392" s="419"/>
      <c r="EC392" s="419"/>
      <c r="ED392" s="421"/>
      <c r="EE392" s="421"/>
      <c r="EF392" s="419"/>
      <c r="EG392" s="421"/>
      <c r="EH392" s="424">
        <f t="shared" si="153"/>
        <v>0</v>
      </c>
      <c r="EI392" s="424">
        <f t="shared" si="154"/>
        <v>0</v>
      </c>
      <c r="EJ392" s="422">
        <f t="shared" si="155"/>
        <v>0</v>
      </c>
      <c r="EK392" s="425">
        <f t="shared" si="156"/>
        <v>0</v>
      </c>
      <c r="EL392" s="425">
        <f t="shared" si="157"/>
        <v>0</v>
      </c>
      <c r="EM392" s="423">
        <f t="shared" si="158"/>
        <v>0</v>
      </c>
      <c r="EN392" s="424">
        <f t="shared" si="159"/>
        <v>0</v>
      </c>
      <c r="EO392" s="425">
        <f t="shared" si="160"/>
        <v>0</v>
      </c>
      <c r="EP392" s="419"/>
      <c r="EQ392" s="421"/>
      <c r="ER392" s="419"/>
      <c r="ES392" s="421"/>
      <c r="ET392" s="419"/>
      <c r="EU392" s="421"/>
      <c r="EV392" s="419"/>
      <c r="EW392" s="421"/>
      <c r="EX392" s="419"/>
      <c r="EY392" s="421"/>
      <c r="EZ392" s="419"/>
      <c r="FA392" s="421"/>
      <c r="FB392" s="419"/>
      <c r="FC392" s="421"/>
      <c r="FD392" s="419"/>
      <c r="FE392" s="421"/>
      <c r="FF392" s="419"/>
      <c r="FG392" s="421"/>
      <c r="FH392" s="419"/>
      <c r="FI392" s="421"/>
      <c r="FJ392" s="424">
        <f t="shared" si="161"/>
        <v>0</v>
      </c>
      <c r="FK392" s="425">
        <f t="shared" si="162"/>
        <v>0</v>
      </c>
      <c r="FL392" s="419"/>
      <c r="FM392" s="421"/>
      <c r="FN392" s="424">
        <f t="shared" si="163"/>
        <v>1128</v>
      </c>
      <c r="FO392" s="425">
        <f t="shared" si="164"/>
        <v>1164</v>
      </c>
    </row>
    <row r="393" spans="1:171" s="272" customFormat="1" ht="15" customHeight="1">
      <c r="A393" s="428" t="s">
        <v>165</v>
      </c>
      <c r="B393" s="50" t="s">
        <v>913</v>
      </c>
      <c r="C393" s="6"/>
      <c r="D393" s="48">
        <v>221184</v>
      </c>
      <c r="E393" s="120">
        <v>8</v>
      </c>
      <c r="F393" s="419"/>
      <c r="G393" s="421"/>
      <c r="H393" s="419"/>
      <c r="I393" s="421"/>
      <c r="J393" s="419">
        <v>902</v>
      </c>
      <c r="K393" s="421">
        <v>932</v>
      </c>
      <c r="L393" s="422">
        <f t="shared" si="143"/>
        <v>0</v>
      </c>
      <c r="M393" s="423">
        <f t="shared" si="144"/>
        <v>0</v>
      </c>
      <c r="N393" s="419"/>
      <c r="O393" s="309">
        <f>0</f>
        <v>0</v>
      </c>
      <c r="P393" s="309">
        <f>0</f>
        <v>0</v>
      </c>
      <c r="Q393" s="309">
        <f>0</f>
        <v>0</v>
      </c>
      <c r="R393" s="424">
        <f t="shared" si="141"/>
        <v>0</v>
      </c>
      <c r="S393" s="421"/>
      <c r="T393" s="301">
        <f>0</f>
        <v>0</v>
      </c>
      <c r="U393" s="301">
        <f>0</f>
        <v>0</v>
      </c>
      <c r="V393" s="301">
        <f>0</f>
        <v>0</v>
      </c>
      <c r="W393" s="425">
        <f t="shared" si="142"/>
        <v>0</v>
      </c>
      <c r="X393" s="419"/>
      <c r="Y393" s="419"/>
      <c r="Z393" s="421"/>
      <c r="AA393" s="421"/>
      <c r="AB393" s="419"/>
      <c r="AC393" s="419"/>
      <c r="AD393" s="421"/>
      <c r="AE393" s="421"/>
      <c r="AF393" s="419"/>
      <c r="AG393" s="419"/>
      <c r="AH393" s="421"/>
      <c r="AI393" s="421"/>
      <c r="AJ393" s="419"/>
      <c r="AK393" s="419"/>
      <c r="AL393" s="421"/>
      <c r="AM393" s="421"/>
      <c r="AN393" s="419"/>
      <c r="AO393" s="419"/>
      <c r="AP393" s="421"/>
      <c r="AQ393" s="421"/>
      <c r="AR393" s="424">
        <f t="shared" si="145"/>
        <v>0</v>
      </c>
      <c r="AS393" s="422">
        <f t="shared" si="146"/>
        <v>0</v>
      </c>
      <c r="AT393" s="425">
        <f t="shared" si="147"/>
        <v>0</v>
      </c>
      <c r="AU393" s="423">
        <f t="shared" si="148"/>
        <v>0</v>
      </c>
      <c r="AV393" s="419"/>
      <c r="AW393" s="421"/>
      <c r="AX393" s="419"/>
      <c r="AY393" s="419"/>
      <c r="AZ393" s="421"/>
      <c r="BA393" s="421"/>
      <c r="BB393" s="419"/>
      <c r="BC393" s="419"/>
      <c r="BD393" s="421"/>
      <c r="BE393" s="421"/>
      <c r="BF393" s="419"/>
      <c r="BG393" s="419"/>
      <c r="BH393" s="421"/>
      <c r="BI393" s="421"/>
      <c r="BJ393" s="419"/>
      <c r="BK393" s="419"/>
      <c r="BL393" s="421"/>
      <c r="BM393" s="421"/>
      <c r="BN393" s="419"/>
      <c r="BO393" s="419"/>
      <c r="BP393" s="421"/>
      <c r="BQ393" s="421"/>
      <c r="BR393" s="419"/>
      <c r="BS393" s="419"/>
      <c r="BT393" s="421"/>
      <c r="BU393" s="421"/>
      <c r="BV393" s="419"/>
      <c r="BW393" s="419"/>
      <c r="BX393" s="421"/>
      <c r="BY393" s="421"/>
      <c r="BZ393" s="419"/>
      <c r="CA393" s="419"/>
      <c r="CB393" s="421"/>
      <c r="CC393" s="421"/>
      <c r="CD393" s="419"/>
      <c r="CE393" s="419"/>
      <c r="CF393" s="421"/>
      <c r="CG393" s="421"/>
      <c r="CH393" s="419"/>
      <c r="CI393" s="419"/>
      <c r="CJ393" s="421"/>
      <c r="CK393" s="421"/>
      <c r="CL393" s="419"/>
      <c r="CM393" s="421"/>
      <c r="CN393" s="424">
        <f t="shared" si="149"/>
        <v>0</v>
      </c>
      <c r="CO393" s="424">
        <f t="shared" si="150"/>
        <v>0</v>
      </c>
      <c r="CP393" s="425">
        <f t="shared" si="151"/>
        <v>0</v>
      </c>
      <c r="CQ393" s="425">
        <f t="shared" si="152"/>
        <v>0</v>
      </c>
      <c r="CR393" s="419"/>
      <c r="CS393" s="419"/>
      <c r="CT393" s="421"/>
      <c r="CU393" s="421"/>
      <c r="CV393" s="419"/>
      <c r="CW393" s="419"/>
      <c r="CX393" s="421"/>
      <c r="CY393" s="421"/>
      <c r="CZ393" s="419"/>
      <c r="DA393" s="419"/>
      <c r="DB393" s="421"/>
      <c r="DC393" s="421"/>
      <c r="DD393" s="419"/>
      <c r="DE393" s="419"/>
      <c r="DF393" s="421"/>
      <c r="DG393" s="421"/>
      <c r="DH393" s="419"/>
      <c r="DI393" s="419"/>
      <c r="DJ393" s="421"/>
      <c r="DK393" s="421"/>
      <c r="DL393" s="419"/>
      <c r="DM393" s="419"/>
      <c r="DN393" s="421"/>
      <c r="DO393" s="421"/>
      <c r="DP393" s="419"/>
      <c r="DQ393" s="419"/>
      <c r="DR393" s="421"/>
      <c r="DS393" s="421"/>
      <c r="DT393" s="419"/>
      <c r="DU393" s="419"/>
      <c r="DV393" s="421"/>
      <c r="DW393" s="421"/>
      <c r="DX393" s="419"/>
      <c r="DY393" s="419"/>
      <c r="DZ393" s="421"/>
      <c r="EA393" s="421"/>
      <c r="EB393" s="419"/>
      <c r="EC393" s="419"/>
      <c r="ED393" s="421"/>
      <c r="EE393" s="421"/>
      <c r="EF393" s="419"/>
      <c r="EG393" s="421"/>
      <c r="EH393" s="424">
        <f t="shared" si="153"/>
        <v>0</v>
      </c>
      <c r="EI393" s="424">
        <f t="shared" si="154"/>
        <v>0</v>
      </c>
      <c r="EJ393" s="422">
        <f t="shared" si="155"/>
        <v>0</v>
      </c>
      <c r="EK393" s="425">
        <f t="shared" si="156"/>
        <v>0</v>
      </c>
      <c r="EL393" s="425">
        <f t="shared" si="157"/>
        <v>0</v>
      </c>
      <c r="EM393" s="423">
        <f t="shared" si="158"/>
        <v>0</v>
      </c>
      <c r="EN393" s="424">
        <f t="shared" si="159"/>
        <v>0</v>
      </c>
      <c r="EO393" s="425">
        <f t="shared" si="160"/>
        <v>0</v>
      </c>
      <c r="EP393" s="419"/>
      <c r="EQ393" s="421"/>
      <c r="ER393" s="419"/>
      <c r="ES393" s="421"/>
      <c r="ET393" s="419"/>
      <c r="EU393" s="421"/>
      <c r="EV393" s="419"/>
      <c r="EW393" s="421"/>
      <c r="EX393" s="419"/>
      <c r="EY393" s="421"/>
      <c r="EZ393" s="419"/>
      <c r="FA393" s="421"/>
      <c r="FB393" s="419"/>
      <c r="FC393" s="421"/>
      <c r="FD393" s="419"/>
      <c r="FE393" s="421"/>
      <c r="FF393" s="419"/>
      <c r="FG393" s="421"/>
      <c r="FH393" s="419"/>
      <c r="FI393" s="421"/>
      <c r="FJ393" s="424">
        <f t="shared" si="161"/>
        <v>0</v>
      </c>
      <c r="FK393" s="425">
        <f t="shared" si="162"/>
        <v>0</v>
      </c>
      <c r="FL393" s="419"/>
      <c r="FM393" s="421"/>
      <c r="FN393" s="424">
        <f t="shared" si="163"/>
        <v>902</v>
      </c>
      <c r="FO393" s="425">
        <f t="shared" si="164"/>
        <v>932</v>
      </c>
    </row>
    <row r="394" spans="1:171" s="272" customFormat="1" ht="15" customHeight="1">
      <c r="A394" s="428" t="s">
        <v>165</v>
      </c>
      <c r="B394" s="429" t="s">
        <v>914</v>
      </c>
      <c r="C394" s="6"/>
      <c r="D394" s="48">
        <v>221643</v>
      </c>
      <c r="E394" s="120">
        <v>8</v>
      </c>
      <c r="F394" s="419"/>
      <c r="G394" s="421"/>
      <c r="H394" s="419"/>
      <c r="I394" s="421"/>
      <c r="J394" s="419">
        <v>1461</v>
      </c>
      <c r="K394" s="421">
        <v>1644</v>
      </c>
      <c r="L394" s="422">
        <f t="shared" si="143"/>
        <v>0</v>
      </c>
      <c r="M394" s="423">
        <f t="shared" si="144"/>
        <v>0</v>
      </c>
      <c r="N394" s="419"/>
      <c r="O394" s="309">
        <f>0</f>
        <v>0</v>
      </c>
      <c r="P394" s="309">
        <f>0</f>
        <v>0</v>
      </c>
      <c r="Q394" s="309">
        <f>0</f>
        <v>0</v>
      </c>
      <c r="R394" s="424">
        <f t="shared" ref="R394:R457" si="165">SUM(O394:Q394)</f>
        <v>0</v>
      </c>
      <c r="S394" s="421"/>
      <c r="T394" s="301">
        <f>0</f>
        <v>0</v>
      </c>
      <c r="U394" s="301">
        <f>0</f>
        <v>0</v>
      </c>
      <c r="V394" s="301">
        <f>0</f>
        <v>0</v>
      </c>
      <c r="W394" s="425">
        <f t="shared" ref="W394:W457" si="166">SUM(T394:V394)</f>
        <v>0</v>
      </c>
      <c r="X394" s="419"/>
      <c r="Y394" s="419"/>
      <c r="Z394" s="421"/>
      <c r="AA394" s="421"/>
      <c r="AB394" s="419"/>
      <c r="AC394" s="419"/>
      <c r="AD394" s="421"/>
      <c r="AE394" s="421"/>
      <c r="AF394" s="419"/>
      <c r="AG394" s="419"/>
      <c r="AH394" s="421"/>
      <c r="AI394" s="421"/>
      <c r="AJ394" s="419"/>
      <c r="AK394" s="419"/>
      <c r="AL394" s="421"/>
      <c r="AM394" s="421"/>
      <c r="AN394" s="419"/>
      <c r="AO394" s="419"/>
      <c r="AP394" s="421"/>
      <c r="AQ394" s="421"/>
      <c r="AR394" s="424">
        <f t="shared" si="145"/>
        <v>0</v>
      </c>
      <c r="AS394" s="422">
        <f t="shared" si="146"/>
        <v>0</v>
      </c>
      <c r="AT394" s="425">
        <f t="shared" si="147"/>
        <v>0</v>
      </c>
      <c r="AU394" s="423">
        <f t="shared" si="148"/>
        <v>0</v>
      </c>
      <c r="AV394" s="419"/>
      <c r="AW394" s="421"/>
      <c r="AX394" s="419"/>
      <c r="AY394" s="419"/>
      <c r="AZ394" s="421"/>
      <c r="BA394" s="421"/>
      <c r="BB394" s="419"/>
      <c r="BC394" s="419"/>
      <c r="BD394" s="421"/>
      <c r="BE394" s="421"/>
      <c r="BF394" s="419"/>
      <c r="BG394" s="419"/>
      <c r="BH394" s="421"/>
      <c r="BI394" s="421"/>
      <c r="BJ394" s="419"/>
      <c r="BK394" s="419"/>
      <c r="BL394" s="421"/>
      <c r="BM394" s="421"/>
      <c r="BN394" s="419"/>
      <c r="BO394" s="419"/>
      <c r="BP394" s="421"/>
      <c r="BQ394" s="421"/>
      <c r="BR394" s="419"/>
      <c r="BS394" s="419"/>
      <c r="BT394" s="421"/>
      <c r="BU394" s="421"/>
      <c r="BV394" s="419"/>
      <c r="BW394" s="419"/>
      <c r="BX394" s="421"/>
      <c r="BY394" s="421"/>
      <c r="BZ394" s="419"/>
      <c r="CA394" s="419"/>
      <c r="CB394" s="421"/>
      <c r="CC394" s="421"/>
      <c r="CD394" s="419"/>
      <c r="CE394" s="419"/>
      <c r="CF394" s="421"/>
      <c r="CG394" s="421"/>
      <c r="CH394" s="419"/>
      <c r="CI394" s="419"/>
      <c r="CJ394" s="421"/>
      <c r="CK394" s="421"/>
      <c r="CL394" s="419"/>
      <c r="CM394" s="421"/>
      <c r="CN394" s="424">
        <f t="shared" si="149"/>
        <v>0</v>
      </c>
      <c r="CO394" s="424">
        <f t="shared" si="150"/>
        <v>0</v>
      </c>
      <c r="CP394" s="425">
        <f t="shared" si="151"/>
        <v>0</v>
      </c>
      <c r="CQ394" s="425">
        <f t="shared" si="152"/>
        <v>0</v>
      </c>
      <c r="CR394" s="419"/>
      <c r="CS394" s="419"/>
      <c r="CT394" s="421"/>
      <c r="CU394" s="421"/>
      <c r="CV394" s="419"/>
      <c r="CW394" s="419"/>
      <c r="CX394" s="421"/>
      <c r="CY394" s="421"/>
      <c r="CZ394" s="419"/>
      <c r="DA394" s="419"/>
      <c r="DB394" s="421"/>
      <c r="DC394" s="421"/>
      <c r="DD394" s="419"/>
      <c r="DE394" s="419"/>
      <c r="DF394" s="421"/>
      <c r="DG394" s="421"/>
      <c r="DH394" s="419"/>
      <c r="DI394" s="419"/>
      <c r="DJ394" s="421"/>
      <c r="DK394" s="421"/>
      <c r="DL394" s="419"/>
      <c r="DM394" s="419"/>
      <c r="DN394" s="421"/>
      <c r="DO394" s="421"/>
      <c r="DP394" s="419"/>
      <c r="DQ394" s="419"/>
      <c r="DR394" s="421"/>
      <c r="DS394" s="421"/>
      <c r="DT394" s="419"/>
      <c r="DU394" s="419"/>
      <c r="DV394" s="421"/>
      <c r="DW394" s="421"/>
      <c r="DX394" s="419"/>
      <c r="DY394" s="419"/>
      <c r="DZ394" s="421"/>
      <c r="EA394" s="421"/>
      <c r="EB394" s="419"/>
      <c r="EC394" s="419"/>
      <c r="ED394" s="421"/>
      <c r="EE394" s="421"/>
      <c r="EF394" s="419"/>
      <c r="EG394" s="421"/>
      <c r="EH394" s="424">
        <f t="shared" si="153"/>
        <v>0</v>
      </c>
      <c r="EI394" s="424">
        <f t="shared" si="154"/>
        <v>0</v>
      </c>
      <c r="EJ394" s="422">
        <f t="shared" si="155"/>
        <v>0</v>
      </c>
      <c r="EK394" s="425">
        <f t="shared" si="156"/>
        <v>0</v>
      </c>
      <c r="EL394" s="425">
        <f t="shared" si="157"/>
        <v>0</v>
      </c>
      <c r="EM394" s="423">
        <f t="shared" si="158"/>
        <v>0</v>
      </c>
      <c r="EN394" s="424">
        <f t="shared" si="159"/>
        <v>0</v>
      </c>
      <c r="EO394" s="425">
        <f t="shared" si="160"/>
        <v>0</v>
      </c>
      <c r="EP394" s="419"/>
      <c r="EQ394" s="421"/>
      <c r="ER394" s="419"/>
      <c r="ES394" s="421"/>
      <c r="ET394" s="419"/>
      <c r="EU394" s="421"/>
      <c r="EV394" s="419"/>
      <c r="EW394" s="421"/>
      <c r="EX394" s="419"/>
      <c r="EY394" s="421"/>
      <c r="EZ394" s="419"/>
      <c r="FA394" s="421"/>
      <c r="FB394" s="419"/>
      <c r="FC394" s="421"/>
      <c r="FD394" s="419"/>
      <c r="FE394" s="421"/>
      <c r="FF394" s="419"/>
      <c r="FG394" s="421"/>
      <c r="FH394" s="419"/>
      <c r="FI394" s="421"/>
      <c r="FJ394" s="424">
        <f t="shared" si="161"/>
        <v>0</v>
      </c>
      <c r="FK394" s="425">
        <f t="shared" si="162"/>
        <v>0</v>
      </c>
      <c r="FL394" s="419"/>
      <c r="FM394" s="421"/>
      <c r="FN394" s="424">
        <f t="shared" si="163"/>
        <v>1461</v>
      </c>
      <c r="FO394" s="425">
        <f t="shared" si="164"/>
        <v>1644</v>
      </c>
    </row>
    <row r="395" spans="1:171" s="272" customFormat="1" ht="15" customHeight="1">
      <c r="A395" s="428" t="s">
        <v>165</v>
      </c>
      <c r="B395" s="50" t="s">
        <v>915</v>
      </c>
      <c r="C395" s="6"/>
      <c r="D395" s="48">
        <v>221485</v>
      </c>
      <c r="E395" s="120">
        <v>8</v>
      </c>
      <c r="F395" s="419"/>
      <c r="G395" s="421"/>
      <c r="H395" s="419"/>
      <c r="I395" s="421"/>
      <c r="J395" s="419">
        <v>849</v>
      </c>
      <c r="K395" s="421">
        <v>955</v>
      </c>
      <c r="L395" s="422">
        <f t="shared" ref="L395:L458" si="167">IF(N395&gt;0,J395/N395, )</f>
        <v>0</v>
      </c>
      <c r="M395" s="423">
        <f t="shared" ref="M395:M458" si="168">IF(S395&gt;0,K395/S395, )</f>
        <v>0</v>
      </c>
      <c r="N395" s="419"/>
      <c r="O395" s="309">
        <f>0</f>
        <v>0</v>
      </c>
      <c r="P395" s="309">
        <f>0</f>
        <v>0</v>
      </c>
      <c r="Q395" s="309">
        <f>0</f>
        <v>0</v>
      </c>
      <c r="R395" s="424">
        <f t="shared" si="165"/>
        <v>0</v>
      </c>
      <c r="S395" s="421"/>
      <c r="T395" s="301">
        <f>0</f>
        <v>0</v>
      </c>
      <c r="U395" s="301">
        <f>0</f>
        <v>0</v>
      </c>
      <c r="V395" s="301">
        <f>0</f>
        <v>0</v>
      </c>
      <c r="W395" s="425">
        <f t="shared" si="166"/>
        <v>0</v>
      </c>
      <c r="X395" s="419"/>
      <c r="Y395" s="419"/>
      <c r="Z395" s="421"/>
      <c r="AA395" s="421"/>
      <c r="AB395" s="419"/>
      <c r="AC395" s="419"/>
      <c r="AD395" s="421"/>
      <c r="AE395" s="421"/>
      <c r="AF395" s="419"/>
      <c r="AG395" s="419"/>
      <c r="AH395" s="421"/>
      <c r="AI395" s="421"/>
      <c r="AJ395" s="419"/>
      <c r="AK395" s="419"/>
      <c r="AL395" s="421"/>
      <c r="AM395" s="421"/>
      <c r="AN395" s="419"/>
      <c r="AO395" s="419"/>
      <c r="AP395" s="421"/>
      <c r="AQ395" s="421"/>
      <c r="AR395" s="424">
        <f t="shared" ref="AR395:AR458" si="169">COUNTA(X395,AB395,AF395,AJ395,AN395)</f>
        <v>0</v>
      </c>
      <c r="AS395" s="422">
        <f t="shared" ref="AS395:AS458" si="170">IF(FN395&gt;0,N395/FN395,)</f>
        <v>0</v>
      </c>
      <c r="AT395" s="425">
        <f t="shared" ref="AT395:AT458" si="171">COUNTA(Z395,AD395,AH395,AL395,AP395)</f>
        <v>0</v>
      </c>
      <c r="AU395" s="423">
        <f t="shared" ref="AU395:AU458" si="172">IF(FO395&gt;0,S395/FO395,)</f>
        <v>0</v>
      </c>
      <c r="AV395" s="419"/>
      <c r="AW395" s="421"/>
      <c r="AX395" s="419"/>
      <c r="AY395" s="419"/>
      <c r="AZ395" s="421"/>
      <c r="BA395" s="421"/>
      <c r="BB395" s="419"/>
      <c r="BC395" s="419"/>
      <c r="BD395" s="421"/>
      <c r="BE395" s="421"/>
      <c r="BF395" s="419"/>
      <c r="BG395" s="419"/>
      <c r="BH395" s="421"/>
      <c r="BI395" s="421"/>
      <c r="BJ395" s="419"/>
      <c r="BK395" s="419"/>
      <c r="BL395" s="421"/>
      <c r="BM395" s="421"/>
      <c r="BN395" s="419"/>
      <c r="BO395" s="419"/>
      <c r="BP395" s="421"/>
      <c r="BQ395" s="421"/>
      <c r="BR395" s="419"/>
      <c r="BS395" s="419"/>
      <c r="BT395" s="421"/>
      <c r="BU395" s="421"/>
      <c r="BV395" s="419"/>
      <c r="BW395" s="419"/>
      <c r="BX395" s="421"/>
      <c r="BY395" s="421"/>
      <c r="BZ395" s="419"/>
      <c r="CA395" s="419"/>
      <c r="CB395" s="421"/>
      <c r="CC395" s="421"/>
      <c r="CD395" s="419"/>
      <c r="CE395" s="419"/>
      <c r="CF395" s="421"/>
      <c r="CG395" s="421"/>
      <c r="CH395" s="419"/>
      <c r="CI395" s="419"/>
      <c r="CJ395" s="421"/>
      <c r="CK395" s="421"/>
      <c r="CL395" s="419"/>
      <c r="CM395" s="421"/>
      <c r="CN395" s="424">
        <f t="shared" ref="CN395:CN458" si="173">AY395+BC395+BG395+BK395+BO395+BS395+BW395+CA395+CE395+CI395+CL395</f>
        <v>0</v>
      </c>
      <c r="CO395" s="424">
        <f t="shared" ref="CO395:CO458" si="174">COUNTA(AX395,BB395,BF395,BJ395,BN395,BR395,BV395,BZ395,CD395,CH395)</f>
        <v>0</v>
      </c>
      <c r="CP395" s="425">
        <f t="shared" ref="CP395:CP458" si="175">BA395+BE395+BI395+BM395+BQ395+BU395+BY395+CC395+CG395+CK395+CM395</f>
        <v>0</v>
      </c>
      <c r="CQ395" s="425">
        <f t="shared" ref="CQ395:CQ458" si="176">COUNTA(AZ395,BD395,BH395,BL395,BP395,BT395,BX395,CB395,CF395,CJ395)</f>
        <v>0</v>
      </c>
      <c r="CR395" s="419"/>
      <c r="CS395" s="419"/>
      <c r="CT395" s="421"/>
      <c r="CU395" s="421"/>
      <c r="CV395" s="419"/>
      <c r="CW395" s="419"/>
      <c r="CX395" s="421"/>
      <c r="CY395" s="421"/>
      <c r="CZ395" s="419"/>
      <c r="DA395" s="419"/>
      <c r="DB395" s="421"/>
      <c r="DC395" s="421"/>
      <c r="DD395" s="419"/>
      <c r="DE395" s="419"/>
      <c r="DF395" s="421"/>
      <c r="DG395" s="421"/>
      <c r="DH395" s="419"/>
      <c r="DI395" s="419"/>
      <c r="DJ395" s="421"/>
      <c r="DK395" s="421"/>
      <c r="DL395" s="419"/>
      <c r="DM395" s="419"/>
      <c r="DN395" s="421"/>
      <c r="DO395" s="421"/>
      <c r="DP395" s="419"/>
      <c r="DQ395" s="419"/>
      <c r="DR395" s="421"/>
      <c r="DS395" s="421"/>
      <c r="DT395" s="419"/>
      <c r="DU395" s="419"/>
      <c r="DV395" s="421"/>
      <c r="DW395" s="421"/>
      <c r="DX395" s="419"/>
      <c r="DY395" s="419"/>
      <c r="DZ395" s="421"/>
      <c r="EA395" s="421"/>
      <c r="EB395" s="419"/>
      <c r="EC395" s="419"/>
      <c r="ED395" s="421"/>
      <c r="EE395" s="421"/>
      <c r="EF395" s="419"/>
      <c r="EG395" s="421"/>
      <c r="EH395" s="424">
        <f t="shared" ref="EH395:EH458" si="177">CS395+CW395+DA395+DE395+DI395+DM395+DQ395+DU395+DY395+EC395+EF395</f>
        <v>0</v>
      </c>
      <c r="EI395" s="424">
        <f t="shared" ref="EI395:EI458" si="178">COUNTA(CR395,CV395,CZ395,DD395,DH395,DL395,DP395,DT395,DX395,EB395)</f>
        <v>0</v>
      </c>
      <c r="EJ395" s="422">
        <f t="shared" ref="EJ395:EJ458" si="179">IF(EH395&gt;0,CS395/EH395,)</f>
        <v>0</v>
      </c>
      <c r="EK395" s="425">
        <f t="shared" ref="EK395:EK458" si="180">CU395+CY395+DC395+DG395+DK395+DO395+DS395+DW395+EA395+EE395+EG395</f>
        <v>0</v>
      </c>
      <c r="EL395" s="425">
        <f t="shared" ref="EL395:EL458" si="181">COUNTA(CT395,CX395,DB395,DF395,DJ395,DN395,DR395,DV395,DZ395,ED395)</f>
        <v>0</v>
      </c>
      <c r="EM395" s="423">
        <f t="shared" ref="EM395:EM458" si="182">IF(EK395&gt;0,CU395/EK395,)</f>
        <v>0</v>
      </c>
      <c r="EN395" s="424">
        <f t="shared" ref="EN395:EN458" si="183">CN395+EH395</f>
        <v>0</v>
      </c>
      <c r="EO395" s="425">
        <f t="shared" ref="EO395:EO458" si="184">CP395+EK395</f>
        <v>0</v>
      </c>
      <c r="EP395" s="419"/>
      <c r="EQ395" s="421"/>
      <c r="ER395" s="419"/>
      <c r="ES395" s="421"/>
      <c r="ET395" s="419"/>
      <c r="EU395" s="421"/>
      <c r="EV395" s="419"/>
      <c r="EW395" s="421"/>
      <c r="EX395" s="419"/>
      <c r="EY395" s="421"/>
      <c r="EZ395" s="419"/>
      <c r="FA395" s="421"/>
      <c r="FB395" s="419"/>
      <c r="FC395" s="421"/>
      <c r="FD395" s="419"/>
      <c r="FE395" s="421"/>
      <c r="FF395" s="419"/>
      <c r="FG395" s="421"/>
      <c r="FH395" s="419"/>
      <c r="FI395" s="421"/>
      <c r="FJ395" s="424">
        <f t="shared" ref="FJ395:FJ458" si="185">EP395+ER395+ET395+EV395+EX395+EZ395+FB395+FD395+FF395+FH395</f>
        <v>0</v>
      </c>
      <c r="FK395" s="425">
        <f t="shared" ref="FK395:FK458" si="186">EQ395+ES395+EU395+EW395+EY395+FA395+FC395+FE395+FG395+FI395</f>
        <v>0</v>
      </c>
      <c r="FL395" s="419"/>
      <c r="FM395" s="421"/>
      <c r="FN395" s="424">
        <f t="shared" ref="FN395:FN458" si="187">F395+H395+J395+N395+AV395+EN395+FJ395+FL395</f>
        <v>849</v>
      </c>
      <c r="FO395" s="425">
        <f t="shared" ref="FO395:FO458" si="188">G395+I395+K395+S395+AW395+EO395+FK395+FM395</f>
        <v>955</v>
      </c>
    </row>
    <row r="396" spans="1:171" s="272" customFormat="1" ht="15" customHeight="1">
      <c r="A396" s="428" t="s">
        <v>165</v>
      </c>
      <c r="B396" s="50" t="s">
        <v>916</v>
      </c>
      <c r="C396" s="6"/>
      <c r="D396" s="48">
        <v>222053</v>
      </c>
      <c r="E396" s="120">
        <v>8</v>
      </c>
      <c r="F396" s="419"/>
      <c r="G396" s="421"/>
      <c r="H396" s="419"/>
      <c r="I396" s="421"/>
      <c r="J396" s="419">
        <v>1198</v>
      </c>
      <c r="K396" s="421">
        <v>1227</v>
      </c>
      <c r="L396" s="422">
        <f t="shared" si="167"/>
        <v>0</v>
      </c>
      <c r="M396" s="423">
        <f t="shared" si="168"/>
        <v>0</v>
      </c>
      <c r="N396" s="419"/>
      <c r="O396" s="309">
        <f>0</f>
        <v>0</v>
      </c>
      <c r="P396" s="309">
        <f>0</f>
        <v>0</v>
      </c>
      <c r="Q396" s="309">
        <f>0</f>
        <v>0</v>
      </c>
      <c r="R396" s="424">
        <f t="shared" si="165"/>
        <v>0</v>
      </c>
      <c r="S396" s="421"/>
      <c r="T396" s="301">
        <f>0</f>
        <v>0</v>
      </c>
      <c r="U396" s="301">
        <f>0</f>
        <v>0</v>
      </c>
      <c r="V396" s="301">
        <f>0</f>
        <v>0</v>
      </c>
      <c r="W396" s="425">
        <f t="shared" si="166"/>
        <v>0</v>
      </c>
      <c r="X396" s="419"/>
      <c r="Y396" s="419"/>
      <c r="Z396" s="421"/>
      <c r="AA396" s="421"/>
      <c r="AB396" s="419"/>
      <c r="AC396" s="419"/>
      <c r="AD396" s="421"/>
      <c r="AE396" s="421"/>
      <c r="AF396" s="419"/>
      <c r="AG396" s="419"/>
      <c r="AH396" s="421"/>
      <c r="AI396" s="421"/>
      <c r="AJ396" s="419"/>
      <c r="AK396" s="419"/>
      <c r="AL396" s="421"/>
      <c r="AM396" s="421"/>
      <c r="AN396" s="419"/>
      <c r="AO396" s="419"/>
      <c r="AP396" s="421"/>
      <c r="AQ396" s="421"/>
      <c r="AR396" s="424">
        <f t="shared" si="169"/>
        <v>0</v>
      </c>
      <c r="AS396" s="422">
        <f t="shared" si="170"/>
        <v>0</v>
      </c>
      <c r="AT396" s="425">
        <f t="shared" si="171"/>
        <v>0</v>
      </c>
      <c r="AU396" s="423">
        <f t="shared" si="172"/>
        <v>0</v>
      </c>
      <c r="AV396" s="419"/>
      <c r="AW396" s="421"/>
      <c r="AX396" s="419"/>
      <c r="AY396" s="419"/>
      <c r="AZ396" s="421"/>
      <c r="BA396" s="421"/>
      <c r="BB396" s="419"/>
      <c r="BC396" s="419"/>
      <c r="BD396" s="421"/>
      <c r="BE396" s="421"/>
      <c r="BF396" s="419"/>
      <c r="BG396" s="419"/>
      <c r="BH396" s="421"/>
      <c r="BI396" s="421"/>
      <c r="BJ396" s="419"/>
      <c r="BK396" s="419"/>
      <c r="BL396" s="421"/>
      <c r="BM396" s="421"/>
      <c r="BN396" s="419"/>
      <c r="BO396" s="419"/>
      <c r="BP396" s="421"/>
      <c r="BQ396" s="421"/>
      <c r="BR396" s="419"/>
      <c r="BS396" s="419"/>
      <c r="BT396" s="421"/>
      <c r="BU396" s="421"/>
      <c r="BV396" s="419"/>
      <c r="BW396" s="419"/>
      <c r="BX396" s="421"/>
      <c r="BY396" s="421"/>
      <c r="BZ396" s="419"/>
      <c r="CA396" s="419"/>
      <c r="CB396" s="421"/>
      <c r="CC396" s="421"/>
      <c r="CD396" s="419"/>
      <c r="CE396" s="419"/>
      <c r="CF396" s="421"/>
      <c r="CG396" s="421"/>
      <c r="CH396" s="419"/>
      <c r="CI396" s="419"/>
      <c r="CJ396" s="421"/>
      <c r="CK396" s="421"/>
      <c r="CL396" s="419"/>
      <c r="CM396" s="421"/>
      <c r="CN396" s="424">
        <f t="shared" si="173"/>
        <v>0</v>
      </c>
      <c r="CO396" s="424">
        <f t="shared" si="174"/>
        <v>0</v>
      </c>
      <c r="CP396" s="425">
        <f t="shared" si="175"/>
        <v>0</v>
      </c>
      <c r="CQ396" s="425">
        <f t="shared" si="176"/>
        <v>0</v>
      </c>
      <c r="CR396" s="419"/>
      <c r="CS396" s="419"/>
      <c r="CT396" s="421"/>
      <c r="CU396" s="421"/>
      <c r="CV396" s="419"/>
      <c r="CW396" s="419"/>
      <c r="CX396" s="421"/>
      <c r="CY396" s="421"/>
      <c r="CZ396" s="419"/>
      <c r="DA396" s="419"/>
      <c r="DB396" s="421"/>
      <c r="DC396" s="421"/>
      <c r="DD396" s="419"/>
      <c r="DE396" s="419"/>
      <c r="DF396" s="421"/>
      <c r="DG396" s="421"/>
      <c r="DH396" s="419"/>
      <c r="DI396" s="419"/>
      <c r="DJ396" s="421"/>
      <c r="DK396" s="421"/>
      <c r="DL396" s="419"/>
      <c r="DM396" s="419"/>
      <c r="DN396" s="421"/>
      <c r="DO396" s="421"/>
      <c r="DP396" s="419"/>
      <c r="DQ396" s="419"/>
      <c r="DR396" s="421"/>
      <c r="DS396" s="421"/>
      <c r="DT396" s="419"/>
      <c r="DU396" s="419"/>
      <c r="DV396" s="421"/>
      <c r="DW396" s="421"/>
      <c r="DX396" s="419"/>
      <c r="DY396" s="419"/>
      <c r="DZ396" s="421"/>
      <c r="EA396" s="421"/>
      <c r="EB396" s="419"/>
      <c r="EC396" s="419"/>
      <c r="ED396" s="421"/>
      <c r="EE396" s="421"/>
      <c r="EF396" s="419"/>
      <c r="EG396" s="421"/>
      <c r="EH396" s="424">
        <f t="shared" si="177"/>
        <v>0</v>
      </c>
      <c r="EI396" s="424">
        <f t="shared" si="178"/>
        <v>0</v>
      </c>
      <c r="EJ396" s="422">
        <f t="shared" si="179"/>
        <v>0</v>
      </c>
      <c r="EK396" s="425">
        <f t="shared" si="180"/>
        <v>0</v>
      </c>
      <c r="EL396" s="425">
        <f t="shared" si="181"/>
        <v>0</v>
      </c>
      <c r="EM396" s="423">
        <f t="shared" si="182"/>
        <v>0</v>
      </c>
      <c r="EN396" s="424">
        <f t="shared" si="183"/>
        <v>0</v>
      </c>
      <c r="EO396" s="425">
        <f t="shared" si="184"/>
        <v>0</v>
      </c>
      <c r="EP396" s="419"/>
      <c r="EQ396" s="421"/>
      <c r="ER396" s="419"/>
      <c r="ES396" s="421"/>
      <c r="ET396" s="419"/>
      <c r="EU396" s="421"/>
      <c r="EV396" s="419"/>
      <c r="EW396" s="421"/>
      <c r="EX396" s="419"/>
      <c r="EY396" s="421"/>
      <c r="EZ396" s="419"/>
      <c r="FA396" s="421"/>
      <c r="FB396" s="419"/>
      <c r="FC396" s="421"/>
      <c r="FD396" s="419"/>
      <c r="FE396" s="421"/>
      <c r="FF396" s="419"/>
      <c r="FG396" s="421"/>
      <c r="FH396" s="419"/>
      <c r="FI396" s="421"/>
      <c r="FJ396" s="424">
        <f t="shared" si="185"/>
        <v>0</v>
      </c>
      <c r="FK396" s="425">
        <f t="shared" si="186"/>
        <v>0</v>
      </c>
      <c r="FL396" s="419"/>
      <c r="FM396" s="421"/>
      <c r="FN396" s="424">
        <f t="shared" si="187"/>
        <v>1198</v>
      </c>
      <c r="FO396" s="425">
        <f t="shared" si="188"/>
        <v>1227</v>
      </c>
    </row>
    <row r="397" spans="1:171" s="272" customFormat="1" ht="15" customHeight="1">
      <c r="A397" s="428" t="s">
        <v>165</v>
      </c>
      <c r="B397" s="429" t="s">
        <v>917</v>
      </c>
      <c r="C397" s="6"/>
      <c r="D397" s="48">
        <v>219879</v>
      </c>
      <c r="E397" s="120">
        <v>9</v>
      </c>
      <c r="F397" s="419"/>
      <c r="G397" s="421"/>
      <c r="H397" s="419"/>
      <c r="I397" s="421"/>
      <c r="J397" s="419">
        <v>387</v>
      </c>
      <c r="K397" s="421">
        <v>460</v>
      </c>
      <c r="L397" s="422">
        <f t="shared" si="167"/>
        <v>0</v>
      </c>
      <c r="M397" s="423">
        <f t="shared" si="168"/>
        <v>0</v>
      </c>
      <c r="N397" s="419"/>
      <c r="O397" s="309">
        <f>0</f>
        <v>0</v>
      </c>
      <c r="P397" s="309">
        <f>0</f>
        <v>0</v>
      </c>
      <c r="Q397" s="309">
        <f>0</f>
        <v>0</v>
      </c>
      <c r="R397" s="424">
        <f t="shared" si="165"/>
        <v>0</v>
      </c>
      <c r="S397" s="421"/>
      <c r="T397" s="301">
        <f>0</f>
        <v>0</v>
      </c>
      <c r="U397" s="301">
        <f>0</f>
        <v>0</v>
      </c>
      <c r="V397" s="301">
        <f>0</f>
        <v>0</v>
      </c>
      <c r="W397" s="425">
        <f t="shared" si="166"/>
        <v>0</v>
      </c>
      <c r="X397" s="419"/>
      <c r="Y397" s="419"/>
      <c r="Z397" s="421"/>
      <c r="AA397" s="421"/>
      <c r="AB397" s="419"/>
      <c r="AC397" s="419"/>
      <c r="AD397" s="421"/>
      <c r="AE397" s="421"/>
      <c r="AF397" s="419"/>
      <c r="AG397" s="419"/>
      <c r="AH397" s="421"/>
      <c r="AI397" s="421"/>
      <c r="AJ397" s="419"/>
      <c r="AK397" s="419"/>
      <c r="AL397" s="421"/>
      <c r="AM397" s="421"/>
      <c r="AN397" s="419"/>
      <c r="AO397" s="419"/>
      <c r="AP397" s="421"/>
      <c r="AQ397" s="421"/>
      <c r="AR397" s="424">
        <f t="shared" si="169"/>
        <v>0</v>
      </c>
      <c r="AS397" s="422">
        <f t="shared" si="170"/>
        <v>0</v>
      </c>
      <c r="AT397" s="425">
        <f t="shared" si="171"/>
        <v>0</v>
      </c>
      <c r="AU397" s="423">
        <f t="shared" si="172"/>
        <v>0</v>
      </c>
      <c r="AV397" s="419"/>
      <c r="AW397" s="421"/>
      <c r="AX397" s="419"/>
      <c r="AY397" s="419"/>
      <c r="AZ397" s="421"/>
      <c r="BA397" s="421"/>
      <c r="BB397" s="419"/>
      <c r="BC397" s="419"/>
      <c r="BD397" s="421"/>
      <c r="BE397" s="421"/>
      <c r="BF397" s="419"/>
      <c r="BG397" s="419"/>
      <c r="BH397" s="421"/>
      <c r="BI397" s="421"/>
      <c r="BJ397" s="419"/>
      <c r="BK397" s="419"/>
      <c r="BL397" s="421"/>
      <c r="BM397" s="421"/>
      <c r="BN397" s="419"/>
      <c r="BO397" s="419"/>
      <c r="BP397" s="421"/>
      <c r="BQ397" s="421"/>
      <c r="BR397" s="419"/>
      <c r="BS397" s="419"/>
      <c r="BT397" s="421"/>
      <c r="BU397" s="421"/>
      <c r="BV397" s="419"/>
      <c r="BW397" s="419"/>
      <c r="BX397" s="421"/>
      <c r="BY397" s="421"/>
      <c r="BZ397" s="419"/>
      <c r="CA397" s="419"/>
      <c r="CB397" s="421"/>
      <c r="CC397" s="421"/>
      <c r="CD397" s="419"/>
      <c r="CE397" s="419"/>
      <c r="CF397" s="421"/>
      <c r="CG397" s="421"/>
      <c r="CH397" s="419"/>
      <c r="CI397" s="419"/>
      <c r="CJ397" s="421"/>
      <c r="CK397" s="421"/>
      <c r="CL397" s="419"/>
      <c r="CM397" s="421"/>
      <c r="CN397" s="424">
        <f t="shared" si="173"/>
        <v>0</v>
      </c>
      <c r="CO397" s="424">
        <f t="shared" si="174"/>
        <v>0</v>
      </c>
      <c r="CP397" s="425">
        <f t="shared" si="175"/>
        <v>0</v>
      </c>
      <c r="CQ397" s="425">
        <f t="shared" si="176"/>
        <v>0</v>
      </c>
      <c r="CR397" s="419"/>
      <c r="CS397" s="419"/>
      <c r="CT397" s="421"/>
      <c r="CU397" s="421"/>
      <c r="CV397" s="419"/>
      <c r="CW397" s="419"/>
      <c r="CX397" s="421"/>
      <c r="CY397" s="421"/>
      <c r="CZ397" s="419"/>
      <c r="DA397" s="419"/>
      <c r="DB397" s="421"/>
      <c r="DC397" s="421"/>
      <c r="DD397" s="419"/>
      <c r="DE397" s="419"/>
      <c r="DF397" s="421"/>
      <c r="DG397" s="421"/>
      <c r="DH397" s="419"/>
      <c r="DI397" s="419"/>
      <c r="DJ397" s="421"/>
      <c r="DK397" s="421"/>
      <c r="DL397" s="419"/>
      <c r="DM397" s="419"/>
      <c r="DN397" s="421"/>
      <c r="DO397" s="421"/>
      <c r="DP397" s="419"/>
      <c r="DQ397" s="419"/>
      <c r="DR397" s="421"/>
      <c r="DS397" s="421"/>
      <c r="DT397" s="419"/>
      <c r="DU397" s="419"/>
      <c r="DV397" s="421"/>
      <c r="DW397" s="421"/>
      <c r="DX397" s="419"/>
      <c r="DY397" s="419"/>
      <c r="DZ397" s="421"/>
      <c r="EA397" s="421"/>
      <c r="EB397" s="419"/>
      <c r="EC397" s="419"/>
      <c r="ED397" s="421"/>
      <c r="EE397" s="421"/>
      <c r="EF397" s="419"/>
      <c r="EG397" s="421"/>
      <c r="EH397" s="424">
        <f t="shared" si="177"/>
        <v>0</v>
      </c>
      <c r="EI397" s="424">
        <f t="shared" si="178"/>
        <v>0</v>
      </c>
      <c r="EJ397" s="422">
        <f t="shared" si="179"/>
        <v>0</v>
      </c>
      <c r="EK397" s="425">
        <f t="shared" si="180"/>
        <v>0</v>
      </c>
      <c r="EL397" s="425">
        <f t="shared" si="181"/>
        <v>0</v>
      </c>
      <c r="EM397" s="423">
        <f t="shared" si="182"/>
        <v>0</v>
      </c>
      <c r="EN397" s="424">
        <f t="shared" si="183"/>
        <v>0</v>
      </c>
      <c r="EO397" s="425">
        <f t="shared" si="184"/>
        <v>0</v>
      </c>
      <c r="EP397" s="419"/>
      <c r="EQ397" s="421"/>
      <c r="ER397" s="419"/>
      <c r="ES397" s="421"/>
      <c r="ET397" s="419"/>
      <c r="EU397" s="421"/>
      <c r="EV397" s="419"/>
      <c r="EW397" s="421"/>
      <c r="EX397" s="419"/>
      <c r="EY397" s="421"/>
      <c r="EZ397" s="419"/>
      <c r="FA397" s="421"/>
      <c r="FB397" s="419"/>
      <c r="FC397" s="421"/>
      <c r="FD397" s="419"/>
      <c r="FE397" s="421"/>
      <c r="FF397" s="419"/>
      <c r="FG397" s="421"/>
      <c r="FH397" s="419"/>
      <c r="FI397" s="421"/>
      <c r="FJ397" s="424">
        <f t="shared" si="185"/>
        <v>0</v>
      </c>
      <c r="FK397" s="425">
        <f t="shared" si="186"/>
        <v>0</v>
      </c>
      <c r="FL397" s="419"/>
      <c r="FM397" s="421"/>
      <c r="FN397" s="424">
        <f t="shared" si="187"/>
        <v>387</v>
      </c>
      <c r="FO397" s="425">
        <f t="shared" si="188"/>
        <v>460</v>
      </c>
    </row>
    <row r="398" spans="1:171" s="272" customFormat="1" ht="15" customHeight="1">
      <c r="A398" s="428" t="s">
        <v>165</v>
      </c>
      <c r="B398" s="50" t="s">
        <v>918</v>
      </c>
      <c r="C398" s="6"/>
      <c r="D398" s="48">
        <v>219888</v>
      </c>
      <c r="E398" s="120">
        <v>9</v>
      </c>
      <c r="F398" s="419"/>
      <c r="G398" s="421"/>
      <c r="H398" s="419"/>
      <c r="I398" s="421"/>
      <c r="J398" s="419">
        <v>779</v>
      </c>
      <c r="K398" s="421">
        <v>875</v>
      </c>
      <c r="L398" s="422">
        <f t="shared" si="167"/>
        <v>0</v>
      </c>
      <c r="M398" s="423">
        <f t="shared" si="168"/>
        <v>0</v>
      </c>
      <c r="N398" s="419"/>
      <c r="O398" s="309">
        <f>0</f>
        <v>0</v>
      </c>
      <c r="P398" s="309">
        <f>0</f>
        <v>0</v>
      </c>
      <c r="Q398" s="309">
        <f>0</f>
        <v>0</v>
      </c>
      <c r="R398" s="424">
        <f t="shared" si="165"/>
        <v>0</v>
      </c>
      <c r="S398" s="421"/>
      <c r="T398" s="301">
        <f>0</f>
        <v>0</v>
      </c>
      <c r="U398" s="301">
        <f>0</f>
        <v>0</v>
      </c>
      <c r="V398" s="301">
        <f>0</f>
        <v>0</v>
      </c>
      <c r="W398" s="425">
        <f t="shared" si="166"/>
        <v>0</v>
      </c>
      <c r="X398" s="419"/>
      <c r="Y398" s="419"/>
      <c r="Z398" s="421"/>
      <c r="AA398" s="421"/>
      <c r="AB398" s="419"/>
      <c r="AC398" s="419"/>
      <c r="AD398" s="421"/>
      <c r="AE398" s="421"/>
      <c r="AF398" s="419"/>
      <c r="AG398" s="419"/>
      <c r="AH398" s="421"/>
      <c r="AI398" s="421"/>
      <c r="AJ398" s="419"/>
      <c r="AK398" s="419"/>
      <c r="AL398" s="421"/>
      <c r="AM398" s="421"/>
      <c r="AN398" s="419"/>
      <c r="AO398" s="419"/>
      <c r="AP398" s="421"/>
      <c r="AQ398" s="421"/>
      <c r="AR398" s="424">
        <f t="shared" si="169"/>
        <v>0</v>
      </c>
      <c r="AS398" s="422">
        <f t="shared" si="170"/>
        <v>0</v>
      </c>
      <c r="AT398" s="425">
        <f t="shared" si="171"/>
        <v>0</v>
      </c>
      <c r="AU398" s="423">
        <f t="shared" si="172"/>
        <v>0</v>
      </c>
      <c r="AV398" s="419"/>
      <c r="AW398" s="421"/>
      <c r="AX398" s="419"/>
      <c r="AY398" s="419"/>
      <c r="AZ398" s="421"/>
      <c r="BA398" s="421"/>
      <c r="BB398" s="419"/>
      <c r="BC398" s="419"/>
      <c r="BD398" s="421"/>
      <c r="BE398" s="421"/>
      <c r="BF398" s="419"/>
      <c r="BG398" s="419"/>
      <c r="BH398" s="421"/>
      <c r="BI398" s="421"/>
      <c r="BJ398" s="419"/>
      <c r="BK398" s="419"/>
      <c r="BL398" s="421"/>
      <c r="BM398" s="421"/>
      <c r="BN398" s="419"/>
      <c r="BO398" s="419"/>
      <c r="BP398" s="421"/>
      <c r="BQ398" s="421"/>
      <c r="BR398" s="419"/>
      <c r="BS398" s="419"/>
      <c r="BT398" s="421"/>
      <c r="BU398" s="421"/>
      <c r="BV398" s="419"/>
      <c r="BW398" s="419"/>
      <c r="BX398" s="421"/>
      <c r="BY398" s="421"/>
      <c r="BZ398" s="419"/>
      <c r="CA398" s="419"/>
      <c r="CB398" s="421"/>
      <c r="CC398" s="421"/>
      <c r="CD398" s="419"/>
      <c r="CE398" s="419"/>
      <c r="CF398" s="421"/>
      <c r="CG398" s="421"/>
      <c r="CH398" s="419"/>
      <c r="CI398" s="419"/>
      <c r="CJ398" s="421"/>
      <c r="CK398" s="421"/>
      <c r="CL398" s="419"/>
      <c r="CM398" s="421"/>
      <c r="CN398" s="424">
        <f t="shared" si="173"/>
        <v>0</v>
      </c>
      <c r="CO398" s="424">
        <f t="shared" si="174"/>
        <v>0</v>
      </c>
      <c r="CP398" s="425">
        <f t="shared" si="175"/>
        <v>0</v>
      </c>
      <c r="CQ398" s="425">
        <f t="shared" si="176"/>
        <v>0</v>
      </c>
      <c r="CR398" s="419"/>
      <c r="CS398" s="419"/>
      <c r="CT398" s="421"/>
      <c r="CU398" s="421"/>
      <c r="CV398" s="419"/>
      <c r="CW398" s="419"/>
      <c r="CX398" s="421"/>
      <c r="CY398" s="421"/>
      <c r="CZ398" s="419"/>
      <c r="DA398" s="419"/>
      <c r="DB398" s="421"/>
      <c r="DC398" s="421"/>
      <c r="DD398" s="419"/>
      <c r="DE398" s="419"/>
      <c r="DF398" s="421"/>
      <c r="DG398" s="421"/>
      <c r="DH398" s="419"/>
      <c r="DI398" s="419"/>
      <c r="DJ398" s="421"/>
      <c r="DK398" s="421"/>
      <c r="DL398" s="419"/>
      <c r="DM398" s="419"/>
      <c r="DN398" s="421"/>
      <c r="DO398" s="421"/>
      <c r="DP398" s="419"/>
      <c r="DQ398" s="419"/>
      <c r="DR398" s="421"/>
      <c r="DS398" s="421"/>
      <c r="DT398" s="419"/>
      <c r="DU398" s="419"/>
      <c r="DV398" s="421"/>
      <c r="DW398" s="421"/>
      <c r="DX398" s="419"/>
      <c r="DY398" s="419"/>
      <c r="DZ398" s="421"/>
      <c r="EA398" s="421"/>
      <c r="EB398" s="419"/>
      <c r="EC398" s="419"/>
      <c r="ED398" s="421"/>
      <c r="EE398" s="421"/>
      <c r="EF398" s="419"/>
      <c r="EG398" s="421"/>
      <c r="EH398" s="424">
        <f t="shared" si="177"/>
        <v>0</v>
      </c>
      <c r="EI398" s="424">
        <f t="shared" si="178"/>
        <v>0</v>
      </c>
      <c r="EJ398" s="422">
        <f t="shared" si="179"/>
        <v>0</v>
      </c>
      <c r="EK398" s="425">
        <f t="shared" si="180"/>
        <v>0</v>
      </c>
      <c r="EL398" s="425">
        <f t="shared" si="181"/>
        <v>0</v>
      </c>
      <c r="EM398" s="423">
        <f t="shared" si="182"/>
        <v>0</v>
      </c>
      <c r="EN398" s="424">
        <f t="shared" si="183"/>
        <v>0</v>
      </c>
      <c r="EO398" s="425">
        <f t="shared" si="184"/>
        <v>0</v>
      </c>
      <c r="EP398" s="419"/>
      <c r="EQ398" s="421"/>
      <c r="ER398" s="419"/>
      <c r="ES398" s="421"/>
      <c r="ET398" s="419"/>
      <c r="EU398" s="421"/>
      <c r="EV398" s="419"/>
      <c r="EW398" s="421"/>
      <c r="EX398" s="419"/>
      <c r="EY398" s="421"/>
      <c r="EZ398" s="419"/>
      <c r="FA398" s="421"/>
      <c r="FB398" s="419"/>
      <c r="FC398" s="421"/>
      <c r="FD398" s="419"/>
      <c r="FE398" s="421"/>
      <c r="FF398" s="419"/>
      <c r="FG398" s="421"/>
      <c r="FH398" s="419"/>
      <c r="FI398" s="421"/>
      <c r="FJ398" s="424">
        <f t="shared" si="185"/>
        <v>0</v>
      </c>
      <c r="FK398" s="425">
        <f t="shared" si="186"/>
        <v>0</v>
      </c>
      <c r="FL398" s="419"/>
      <c r="FM398" s="421"/>
      <c r="FN398" s="424">
        <f t="shared" si="187"/>
        <v>779</v>
      </c>
      <c r="FO398" s="425">
        <f t="shared" si="188"/>
        <v>875</v>
      </c>
    </row>
    <row r="399" spans="1:171" s="272" customFormat="1" ht="15" customHeight="1">
      <c r="A399" s="428" t="s">
        <v>165</v>
      </c>
      <c r="B399" s="429" t="s">
        <v>919</v>
      </c>
      <c r="C399" s="6"/>
      <c r="D399" s="48">
        <v>220400</v>
      </c>
      <c r="E399" s="120">
        <v>9</v>
      </c>
      <c r="F399" s="419"/>
      <c r="G399" s="421"/>
      <c r="H399" s="419"/>
      <c r="I399" s="421"/>
      <c r="J399" s="419">
        <v>498</v>
      </c>
      <c r="K399" s="420">
        <v>622</v>
      </c>
      <c r="L399" s="422">
        <f t="shared" si="167"/>
        <v>0</v>
      </c>
      <c r="M399" s="423">
        <f t="shared" si="168"/>
        <v>0</v>
      </c>
      <c r="N399" s="419"/>
      <c r="O399" s="309">
        <f>0</f>
        <v>0</v>
      </c>
      <c r="P399" s="309">
        <f>0</f>
        <v>0</v>
      </c>
      <c r="Q399" s="309">
        <f>0</f>
        <v>0</v>
      </c>
      <c r="R399" s="424">
        <f t="shared" si="165"/>
        <v>0</v>
      </c>
      <c r="S399" s="421"/>
      <c r="T399" s="301">
        <f>0</f>
        <v>0</v>
      </c>
      <c r="U399" s="301">
        <f>0</f>
        <v>0</v>
      </c>
      <c r="V399" s="301">
        <f>0</f>
        <v>0</v>
      </c>
      <c r="W399" s="425">
        <f t="shared" si="166"/>
        <v>0</v>
      </c>
      <c r="X399" s="419"/>
      <c r="Y399" s="419"/>
      <c r="Z399" s="421"/>
      <c r="AA399" s="421"/>
      <c r="AB399" s="419"/>
      <c r="AC399" s="419"/>
      <c r="AD399" s="421"/>
      <c r="AE399" s="421"/>
      <c r="AF399" s="419"/>
      <c r="AG399" s="419"/>
      <c r="AH399" s="421"/>
      <c r="AI399" s="421"/>
      <c r="AJ399" s="419"/>
      <c r="AK399" s="419"/>
      <c r="AL399" s="421"/>
      <c r="AM399" s="421"/>
      <c r="AN399" s="419"/>
      <c r="AO399" s="419"/>
      <c r="AP399" s="421"/>
      <c r="AQ399" s="421"/>
      <c r="AR399" s="424">
        <f t="shared" si="169"/>
        <v>0</v>
      </c>
      <c r="AS399" s="422">
        <f t="shared" si="170"/>
        <v>0</v>
      </c>
      <c r="AT399" s="425">
        <f t="shared" si="171"/>
        <v>0</v>
      </c>
      <c r="AU399" s="423">
        <f t="shared" si="172"/>
        <v>0</v>
      </c>
      <c r="AV399" s="419"/>
      <c r="AW399" s="421"/>
      <c r="AX399" s="419"/>
      <c r="AY399" s="419"/>
      <c r="AZ399" s="421"/>
      <c r="BA399" s="421"/>
      <c r="BB399" s="419"/>
      <c r="BC399" s="419"/>
      <c r="BD399" s="421"/>
      <c r="BE399" s="421"/>
      <c r="BF399" s="419"/>
      <c r="BG399" s="419"/>
      <c r="BH399" s="421"/>
      <c r="BI399" s="421"/>
      <c r="BJ399" s="419"/>
      <c r="BK399" s="419"/>
      <c r="BL399" s="421"/>
      <c r="BM399" s="421"/>
      <c r="BN399" s="419"/>
      <c r="BO399" s="419"/>
      <c r="BP399" s="421"/>
      <c r="BQ399" s="421"/>
      <c r="BR399" s="419"/>
      <c r="BS399" s="419"/>
      <c r="BT399" s="421"/>
      <c r="BU399" s="421"/>
      <c r="BV399" s="419"/>
      <c r="BW399" s="419"/>
      <c r="BX399" s="421"/>
      <c r="BY399" s="421"/>
      <c r="BZ399" s="419"/>
      <c r="CA399" s="419"/>
      <c r="CB399" s="421"/>
      <c r="CC399" s="421"/>
      <c r="CD399" s="419"/>
      <c r="CE399" s="419"/>
      <c r="CF399" s="421"/>
      <c r="CG399" s="421"/>
      <c r="CH399" s="419"/>
      <c r="CI399" s="419"/>
      <c r="CJ399" s="421"/>
      <c r="CK399" s="421"/>
      <c r="CL399" s="419"/>
      <c r="CM399" s="421"/>
      <c r="CN399" s="424">
        <f t="shared" si="173"/>
        <v>0</v>
      </c>
      <c r="CO399" s="424">
        <f t="shared" si="174"/>
        <v>0</v>
      </c>
      <c r="CP399" s="425">
        <f t="shared" si="175"/>
        <v>0</v>
      </c>
      <c r="CQ399" s="425">
        <f t="shared" si="176"/>
        <v>0</v>
      </c>
      <c r="CR399" s="419"/>
      <c r="CS399" s="419"/>
      <c r="CT399" s="421"/>
      <c r="CU399" s="421"/>
      <c r="CV399" s="419"/>
      <c r="CW399" s="419"/>
      <c r="CX399" s="421"/>
      <c r="CY399" s="421"/>
      <c r="CZ399" s="419"/>
      <c r="DA399" s="419"/>
      <c r="DB399" s="421"/>
      <c r="DC399" s="421"/>
      <c r="DD399" s="419"/>
      <c r="DE399" s="419"/>
      <c r="DF399" s="421"/>
      <c r="DG399" s="421"/>
      <c r="DH399" s="419"/>
      <c r="DI399" s="419"/>
      <c r="DJ399" s="421"/>
      <c r="DK399" s="421"/>
      <c r="DL399" s="419"/>
      <c r="DM399" s="419"/>
      <c r="DN399" s="421"/>
      <c r="DO399" s="421"/>
      <c r="DP399" s="419"/>
      <c r="DQ399" s="419"/>
      <c r="DR399" s="421"/>
      <c r="DS399" s="421"/>
      <c r="DT399" s="419"/>
      <c r="DU399" s="419"/>
      <c r="DV399" s="421"/>
      <c r="DW399" s="421"/>
      <c r="DX399" s="419"/>
      <c r="DY399" s="419"/>
      <c r="DZ399" s="421"/>
      <c r="EA399" s="421"/>
      <c r="EB399" s="419"/>
      <c r="EC399" s="419"/>
      <c r="ED399" s="421"/>
      <c r="EE399" s="421"/>
      <c r="EF399" s="419"/>
      <c r="EG399" s="421"/>
      <c r="EH399" s="424">
        <f t="shared" si="177"/>
        <v>0</v>
      </c>
      <c r="EI399" s="424">
        <f t="shared" si="178"/>
        <v>0</v>
      </c>
      <c r="EJ399" s="422">
        <f t="shared" si="179"/>
        <v>0</v>
      </c>
      <c r="EK399" s="425">
        <f t="shared" si="180"/>
        <v>0</v>
      </c>
      <c r="EL399" s="425">
        <f t="shared" si="181"/>
        <v>0</v>
      </c>
      <c r="EM399" s="423">
        <f t="shared" si="182"/>
        <v>0</v>
      </c>
      <c r="EN399" s="424">
        <f t="shared" si="183"/>
        <v>0</v>
      </c>
      <c r="EO399" s="425">
        <f t="shared" si="184"/>
        <v>0</v>
      </c>
      <c r="EP399" s="419"/>
      <c r="EQ399" s="421"/>
      <c r="ER399" s="419"/>
      <c r="ES399" s="421"/>
      <c r="ET399" s="419"/>
      <c r="EU399" s="421"/>
      <c r="EV399" s="419"/>
      <c r="EW399" s="421"/>
      <c r="EX399" s="419"/>
      <c r="EY399" s="421"/>
      <c r="EZ399" s="419"/>
      <c r="FA399" s="421"/>
      <c r="FB399" s="419"/>
      <c r="FC399" s="421"/>
      <c r="FD399" s="419"/>
      <c r="FE399" s="421"/>
      <c r="FF399" s="419"/>
      <c r="FG399" s="421"/>
      <c r="FH399" s="419"/>
      <c r="FI399" s="421"/>
      <c r="FJ399" s="424">
        <f t="shared" si="185"/>
        <v>0</v>
      </c>
      <c r="FK399" s="425">
        <f t="shared" si="186"/>
        <v>0</v>
      </c>
      <c r="FL399" s="419"/>
      <c r="FM399" s="421"/>
      <c r="FN399" s="424">
        <f t="shared" si="187"/>
        <v>498</v>
      </c>
      <c r="FO399" s="425">
        <f t="shared" si="188"/>
        <v>622</v>
      </c>
    </row>
    <row r="400" spans="1:171" s="272" customFormat="1" ht="15" customHeight="1">
      <c r="A400" s="428" t="s">
        <v>165</v>
      </c>
      <c r="B400" s="50" t="s">
        <v>920</v>
      </c>
      <c r="C400" s="6"/>
      <c r="D400" s="48">
        <v>221096</v>
      </c>
      <c r="E400" s="120">
        <v>9</v>
      </c>
      <c r="F400" s="419"/>
      <c r="G400" s="421"/>
      <c r="H400" s="419"/>
      <c r="I400" s="421"/>
      <c r="J400" s="419">
        <v>1070</v>
      </c>
      <c r="K400" s="421">
        <v>1123</v>
      </c>
      <c r="L400" s="422">
        <f t="shared" si="167"/>
        <v>0</v>
      </c>
      <c r="M400" s="423">
        <f t="shared" si="168"/>
        <v>0</v>
      </c>
      <c r="N400" s="419"/>
      <c r="O400" s="309">
        <f>0</f>
        <v>0</v>
      </c>
      <c r="P400" s="309">
        <f>0</f>
        <v>0</v>
      </c>
      <c r="Q400" s="309">
        <f>0</f>
        <v>0</v>
      </c>
      <c r="R400" s="424">
        <f t="shared" si="165"/>
        <v>0</v>
      </c>
      <c r="S400" s="421"/>
      <c r="T400" s="301">
        <f>0</f>
        <v>0</v>
      </c>
      <c r="U400" s="301">
        <f>0</f>
        <v>0</v>
      </c>
      <c r="V400" s="301">
        <f>0</f>
        <v>0</v>
      </c>
      <c r="W400" s="425">
        <f t="shared" si="166"/>
        <v>0</v>
      </c>
      <c r="X400" s="419"/>
      <c r="Y400" s="419"/>
      <c r="Z400" s="421"/>
      <c r="AA400" s="421"/>
      <c r="AB400" s="419"/>
      <c r="AC400" s="419"/>
      <c r="AD400" s="421"/>
      <c r="AE400" s="421"/>
      <c r="AF400" s="419"/>
      <c r="AG400" s="419"/>
      <c r="AH400" s="421"/>
      <c r="AI400" s="421"/>
      <c r="AJ400" s="419"/>
      <c r="AK400" s="419"/>
      <c r="AL400" s="421"/>
      <c r="AM400" s="421"/>
      <c r="AN400" s="419"/>
      <c r="AO400" s="419"/>
      <c r="AP400" s="421"/>
      <c r="AQ400" s="421"/>
      <c r="AR400" s="424">
        <f t="shared" si="169"/>
        <v>0</v>
      </c>
      <c r="AS400" s="422">
        <f t="shared" si="170"/>
        <v>0</v>
      </c>
      <c r="AT400" s="425">
        <f t="shared" si="171"/>
        <v>0</v>
      </c>
      <c r="AU400" s="423">
        <f t="shared" si="172"/>
        <v>0</v>
      </c>
      <c r="AV400" s="419"/>
      <c r="AW400" s="421"/>
      <c r="AX400" s="419"/>
      <c r="AY400" s="419"/>
      <c r="AZ400" s="421"/>
      <c r="BA400" s="421"/>
      <c r="BB400" s="419"/>
      <c r="BC400" s="419"/>
      <c r="BD400" s="421"/>
      <c r="BE400" s="421"/>
      <c r="BF400" s="419"/>
      <c r="BG400" s="419"/>
      <c r="BH400" s="421"/>
      <c r="BI400" s="421"/>
      <c r="BJ400" s="419"/>
      <c r="BK400" s="419"/>
      <c r="BL400" s="421"/>
      <c r="BM400" s="421"/>
      <c r="BN400" s="419"/>
      <c r="BO400" s="419"/>
      <c r="BP400" s="421"/>
      <c r="BQ400" s="421"/>
      <c r="BR400" s="419"/>
      <c r="BS400" s="419"/>
      <c r="BT400" s="421"/>
      <c r="BU400" s="421"/>
      <c r="BV400" s="419"/>
      <c r="BW400" s="419"/>
      <c r="BX400" s="421"/>
      <c r="BY400" s="421"/>
      <c r="BZ400" s="419"/>
      <c r="CA400" s="419"/>
      <c r="CB400" s="421"/>
      <c r="CC400" s="421"/>
      <c r="CD400" s="419"/>
      <c r="CE400" s="419"/>
      <c r="CF400" s="421"/>
      <c r="CG400" s="421"/>
      <c r="CH400" s="419"/>
      <c r="CI400" s="419"/>
      <c r="CJ400" s="421"/>
      <c r="CK400" s="421"/>
      <c r="CL400" s="419"/>
      <c r="CM400" s="421"/>
      <c r="CN400" s="424">
        <f t="shared" si="173"/>
        <v>0</v>
      </c>
      <c r="CO400" s="424">
        <f t="shared" si="174"/>
        <v>0</v>
      </c>
      <c r="CP400" s="425">
        <f t="shared" si="175"/>
        <v>0</v>
      </c>
      <c r="CQ400" s="425">
        <f t="shared" si="176"/>
        <v>0</v>
      </c>
      <c r="CR400" s="419"/>
      <c r="CS400" s="419"/>
      <c r="CT400" s="421"/>
      <c r="CU400" s="421"/>
      <c r="CV400" s="419"/>
      <c r="CW400" s="419"/>
      <c r="CX400" s="421"/>
      <c r="CY400" s="421"/>
      <c r="CZ400" s="419"/>
      <c r="DA400" s="419"/>
      <c r="DB400" s="421"/>
      <c r="DC400" s="421"/>
      <c r="DD400" s="419"/>
      <c r="DE400" s="419"/>
      <c r="DF400" s="421"/>
      <c r="DG400" s="421"/>
      <c r="DH400" s="419"/>
      <c r="DI400" s="419"/>
      <c r="DJ400" s="421"/>
      <c r="DK400" s="421"/>
      <c r="DL400" s="419"/>
      <c r="DM400" s="419"/>
      <c r="DN400" s="421"/>
      <c r="DO400" s="421"/>
      <c r="DP400" s="419"/>
      <c r="DQ400" s="419"/>
      <c r="DR400" s="421"/>
      <c r="DS400" s="421"/>
      <c r="DT400" s="419"/>
      <c r="DU400" s="419"/>
      <c r="DV400" s="421"/>
      <c r="DW400" s="421"/>
      <c r="DX400" s="419"/>
      <c r="DY400" s="419"/>
      <c r="DZ400" s="421"/>
      <c r="EA400" s="421"/>
      <c r="EB400" s="419"/>
      <c r="EC400" s="419"/>
      <c r="ED400" s="421"/>
      <c r="EE400" s="421"/>
      <c r="EF400" s="419"/>
      <c r="EG400" s="421"/>
      <c r="EH400" s="424">
        <f t="shared" si="177"/>
        <v>0</v>
      </c>
      <c r="EI400" s="424">
        <f t="shared" si="178"/>
        <v>0</v>
      </c>
      <c r="EJ400" s="422">
        <f t="shared" si="179"/>
        <v>0</v>
      </c>
      <c r="EK400" s="425">
        <f t="shared" si="180"/>
        <v>0</v>
      </c>
      <c r="EL400" s="425">
        <f t="shared" si="181"/>
        <v>0</v>
      </c>
      <c r="EM400" s="423">
        <f t="shared" si="182"/>
        <v>0</v>
      </c>
      <c r="EN400" s="424">
        <f t="shared" si="183"/>
        <v>0</v>
      </c>
      <c r="EO400" s="425">
        <f t="shared" si="184"/>
        <v>0</v>
      </c>
      <c r="EP400" s="419"/>
      <c r="EQ400" s="421"/>
      <c r="ER400" s="419"/>
      <c r="ES400" s="421"/>
      <c r="ET400" s="419"/>
      <c r="EU400" s="421"/>
      <c r="EV400" s="419"/>
      <c r="EW400" s="421"/>
      <c r="EX400" s="419"/>
      <c r="EY400" s="421"/>
      <c r="EZ400" s="419"/>
      <c r="FA400" s="421"/>
      <c r="FB400" s="419"/>
      <c r="FC400" s="421"/>
      <c r="FD400" s="419"/>
      <c r="FE400" s="421"/>
      <c r="FF400" s="419"/>
      <c r="FG400" s="421"/>
      <c r="FH400" s="419"/>
      <c r="FI400" s="421"/>
      <c r="FJ400" s="424">
        <f t="shared" si="185"/>
        <v>0</v>
      </c>
      <c r="FK400" s="425">
        <f t="shared" si="186"/>
        <v>0</v>
      </c>
      <c r="FL400" s="419"/>
      <c r="FM400" s="421"/>
      <c r="FN400" s="424">
        <f t="shared" si="187"/>
        <v>1070</v>
      </c>
      <c r="FO400" s="425">
        <f t="shared" si="188"/>
        <v>1123</v>
      </c>
    </row>
    <row r="401" spans="1:171" s="272" customFormat="1" ht="15" customHeight="1">
      <c r="A401" s="428" t="s">
        <v>165</v>
      </c>
      <c r="B401" s="50" t="s">
        <v>921</v>
      </c>
      <c r="C401" s="6"/>
      <c r="D401" s="48">
        <v>221908</v>
      </c>
      <c r="E401" s="120">
        <v>9</v>
      </c>
      <c r="F401" s="419"/>
      <c r="G401" s="421"/>
      <c r="H401" s="419"/>
      <c r="I401" s="421"/>
      <c r="J401" s="419">
        <v>980</v>
      </c>
      <c r="K401" s="421">
        <v>988</v>
      </c>
      <c r="L401" s="422">
        <f t="shared" si="167"/>
        <v>0</v>
      </c>
      <c r="M401" s="423">
        <f t="shared" si="168"/>
        <v>0</v>
      </c>
      <c r="N401" s="419"/>
      <c r="O401" s="309">
        <f>0</f>
        <v>0</v>
      </c>
      <c r="P401" s="309">
        <f>0</f>
        <v>0</v>
      </c>
      <c r="Q401" s="309">
        <f>0</f>
        <v>0</v>
      </c>
      <c r="R401" s="424">
        <f t="shared" si="165"/>
        <v>0</v>
      </c>
      <c r="S401" s="421"/>
      <c r="T401" s="301">
        <f>0</f>
        <v>0</v>
      </c>
      <c r="U401" s="301">
        <f>0</f>
        <v>0</v>
      </c>
      <c r="V401" s="301">
        <f>0</f>
        <v>0</v>
      </c>
      <c r="W401" s="425">
        <f t="shared" si="166"/>
        <v>0</v>
      </c>
      <c r="X401" s="419"/>
      <c r="Y401" s="419"/>
      <c r="Z401" s="421"/>
      <c r="AA401" s="421"/>
      <c r="AB401" s="419"/>
      <c r="AC401" s="419"/>
      <c r="AD401" s="421"/>
      <c r="AE401" s="421"/>
      <c r="AF401" s="419"/>
      <c r="AG401" s="419"/>
      <c r="AH401" s="421"/>
      <c r="AI401" s="421"/>
      <c r="AJ401" s="419"/>
      <c r="AK401" s="419"/>
      <c r="AL401" s="421"/>
      <c r="AM401" s="421"/>
      <c r="AN401" s="419"/>
      <c r="AO401" s="419"/>
      <c r="AP401" s="421"/>
      <c r="AQ401" s="421"/>
      <c r="AR401" s="424">
        <f t="shared" si="169"/>
        <v>0</v>
      </c>
      <c r="AS401" s="422">
        <f t="shared" si="170"/>
        <v>0</v>
      </c>
      <c r="AT401" s="425">
        <f t="shared" si="171"/>
        <v>0</v>
      </c>
      <c r="AU401" s="423">
        <f t="shared" si="172"/>
        <v>0</v>
      </c>
      <c r="AV401" s="419"/>
      <c r="AW401" s="421"/>
      <c r="AX401" s="419"/>
      <c r="AY401" s="419"/>
      <c r="AZ401" s="421"/>
      <c r="BA401" s="421"/>
      <c r="BB401" s="419"/>
      <c r="BC401" s="419"/>
      <c r="BD401" s="421"/>
      <c r="BE401" s="421"/>
      <c r="BF401" s="419"/>
      <c r="BG401" s="419"/>
      <c r="BH401" s="421"/>
      <c r="BI401" s="421"/>
      <c r="BJ401" s="419"/>
      <c r="BK401" s="419"/>
      <c r="BL401" s="421"/>
      <c r="BM401" s="421"/>
      <c r="BN401" s="419"/>
      <c r="BO401" s="419"/>
      <c r="BP401" s="421"/>
      <c r="BQ401" s="421"/>
      <c r="BR401" s="419"/>
      <c r="BS401" s="419"/>
      <c r="BT401" s="421"/>
      <c r="BU401" s="421"/>
      <c r="BV401" s="419"/>
      <c r="BW401" s="419"/>
      <c r="BX401" s="421"/>
      <c r="BY401" s="421"/>
      <c r="BZ401" s="419"/>
      <c r="CA401" s="419"/>
      <c r="CB401" s="421"/>
      <c r="CC401" s="421"/>
      <c r="CD401" s="419"/>
      <c r="CE401" s="419"/>
      <c r="CF401" s="421"/>
      <c r="CG401" s="421"/>
      <c r="CH401" s="419"/>
      <c r="CI401" s="419"/>
      <c r="CJ401" s="421"/>
      <c r="CK401" s="421"/>
      <c r="CL401" s="419"/>
      <c r="CM401" s="421"/>
      <c r="CN401" s="424">
        <f t="shared" si="173"/>
        <v>0</v>
      </c>
      <c r="CO401" s="424">
        <f t="shared" si="174"/>
        <v>0</v>
      </c>
      <c r="CP401" s="425">
        <f t="shared" si="175"/>
        <v>0</v>
      </c>
      <c r="CQ401" s="425">
        <f t="shared" si="176"/>
        <v>0</v>
      </c>
      <c r="CR401" s="419"/>
      <c r="CS401" s="419"/>
      <c r="CT401" s="421"/>
      <c r="CU401" s="421"/>
      <c r="CV401" s="419"/>
      <c r="CW401" s="419"/>
      <c r="CX401" s="421"/>
      <c r="CY401" s="421"/>
      <c r="CZ401" s="419"/>
      <c r="DA401" s="419"/>
      <c r="DB401" s="421"/>
      <c r="DC401" s="421"/>
      <c r="DD401" s="419"/>
      <c r="DE401" s="419"/>
      <c r="DF401" s="421"/>
      <c r="DG401" s="421"/>
      <c r="DH401" s="419"/>
      <c r="DI401" s="419"/>
      <c r="DJ401" s="421"/>
      <c r="DK401" s="421"/>
      <c r="DL401" s="419"/>
      <c r="DM401" s="419"/>
      <c r="DN401" s="421"/>
      <c r="DO401" s="421"/>
      <c r="DP401" s="419"/>
      <c r="DQ401" s="419"/>
      <c r="DR401" s="421"/>
      <c r="DS401" s="421"/>
      <c r="DT401" s="419"/>
      <c r="DU401" s="419"/>
      <c r="DV401" s="421"/>
      <c r="DW401" s="421"/>
      <c r="DX401" s="419"/>
      <c r="DY401" s="419"/>
      <c r="DZ401" s="421"/>
      <c r="EA401" s="421"/>
      <c r="EB401" s="419"/>
      <c r="EC401" s="419"/>
      <c r="ED401" s="421"/>
      <c r="EE401" s="421"/>
      <c r="EF401" s="419"/>
      <c r="EG401" s="421"/>
      <c r="EH401" s="424">
        <f t="shared" si="177"/>
        <v>0</v>
      </c>
      <c r="EI401" s="424">
        <f t="shared" si="178"/>
        <v>0</v>
      </c>
      <c r="EJ401" s="422">
        <f t="shared" si="179"/>
        <v>0</v>
      </c>
      <c r="EK401" s="425">
        <f t="shared" si="180"/>
        <v>0</v>
      </c>
      <c r="EL401" s="425">
        <f t="shared" si="181"/>
        <v>0</v>
      </c>
      <c r="EM401" s="423">
        <f t="shared" si="182"/>
        <v>0</v>
      </c>
      <c r="EN401" s="424">
        <f t="shared" si="183"/>
        <v>0</v>
      </c>
      <c r="EO401" s="425">
        <f t="shared" si="184"/>
        <v>0</v>
      </c>
      <c r="EP401" s="419"/>
      <c r="EQ401" s="421"/>
      <c r="ER401" s="419"/>
      <c r="ES401" s="421"/>
      <c r="ET401" s="419"/>
      <c r="EU401" s="421"/>
      <c r="EV401" s="419"/>
      <c r="EW401" s="421"/>
      <c r="EX401" s="419"/>
      <c r="EY401" s="421"/>
      <c r="EZ401" s="419"/>
      <c r="FA401" s="421"/>
      <c r="FB401" s="419"/>
      <c r="FC401" s="421"/>
      <c r="FD401" s="419"/>
      <c r="FE401" s="421"/>
      <c r="FF401" s="419"/>
      <c r="FG401" s="421"/>
      <c r="FH401" s="419"/>
      <c r="FI401" s="421"/>
      <c r="FJ401" s="424">
        <f t="shared" si="185"/>
        <v>0</v>
      </c>
      <c r="FK401" s="425">
        <f t="shared" si="186"/>
        <v>0</v>
      </c>
      <c r="FL401" s="419"/>
      <c r="FM401" s="421"/>
      <c r="FN401" s="424">
        <f t="shared" si="187"/>
        <v>980</v>
      </c>
      <c r="FO401" s="425">
        <f t="shared" si="188"/>
        <v>988</v>
      </c>
    </row>
    <row r="402" spans="1:171" s="272" customFormat="1" ht="15" customHeight="1">
      <c r="A402" s="428" t="s">
        <v>165</v>
      </c>
      <c r="B402" s="429" t="s">
        <v>922</v>
      </c>
      <c r="C402" s="6"/>
      <c r="D402" s="48">
        <v>221397</v>
      </c>
      <c r="E402" s="120">
        <v>9</v>
      </c>
      <c r="F402" s="419"/>
      <c r="G402" s="421"/>
      <c r="H402" s="419"/>
      <c r="I402" s="421"/>
      <c r="J402" s="419">
        <v>962</v>
      </c>
      <c r="K402" s="421">
        <v>983</v>
      </c>
      <c r="L402" s="422">
        <f t="shared" si="167"/>
        <v>0</v>
      </c>
      <c r="M402" s="423">
        <f t="shared" si="168"/>
        <v>0</v>
      </c>
      <c r="N402" s="419"/>
      <c r="O402" s="309">
        <f>0</f>
        <v>0</v>
      </c>
      <c r="P402" s="309">
        <f>0</f>
        <v>0</v>
      </c>
      <c r="Q402" s="309">
        <f>0</f>
        <v>0</v>
      </c>
      <c r="R402" s="424">
        <f t="shared" si="165"/>
        <v>0</v>
      </c>
      <c r="S402" s="421"/>
      <c r="T402" s="301">
        <f>0</f>
        <v>0</v>
      </c>
      <c r="U402" s="301">
        <f>0</f>
        <v>0</v>
      </c>
      <c r="V402" s="301">
        <f>0</f>
        <v>0</v>
      </c>
      <c r="W402" s="425">
        <f t="shared" si="166"/>
        <v>0</v>
      </c>
      <c r="X402" s="419"/>
      <c r="Y402" s="419"/>
      <c r="Z402" s="421"/>
      <c r="AA402" s="421"/>
      <c r="AB402" s="419"/>
      <c r="AC402" s="419"/>
      <c r="AD402" s="421"/>
      <c r="AE402" s="421"/>
      <c r="AF402" s="419"/>
      <c r="AG402" s="419"/>
      <c r="AH402" s="421"/>
      <c r="AI402" s="421"/>
      <c r="AJ402" s="419"/>
      <c r="AK402" s="419"/>
      <c r="AL402" s="421"/>
      <c r="AM402" s="421"/>
      <c r="AN402" s="419"/>
      <c r="AO402" s="419"/>
      <c r="AP402" s="421"/>
      <c r="AQ402" s="421"/>
      <c r="AR402" s="424">
        <f t="shared" si="169"/>
        <v>0</v>
      </c>
      <c r="AS402" s="422">
        <f t="shared" si="170"/>
        <v>0</v>
      </c>
      <c r="AT402" s="425">
        <f t="shared" si="171"/>
        <v>0</v>
      </c>
      <c r="AU402" s="423">
        <f t="shared" si="172"/>
        <v>0</v>
      </c>
      <c r="AV402" s="419"/>
      <c r="AW402" s="421"/>
      <c r="AX402" s="419"/>
      <c r="AY402" s="419"/>
      <c r="AZ402" s="421"/>
      <c r="BA402" s="421"/>
      <c r="BB402" s="419"/>
      <c r="BC402" s="419"/>
      <c r="BD402" s="421"/>
      <c r="BE402" s="421"/>
      <c r="BF402" s="419"/>
      <c r="BG402" s="419"/>
      <c r="BH402" s="421"/>
      <c r="BI402" s="421"/>
      <c r="BJ402" s="419"/>
      <c r="BK402" s="419"/>
      <c r="BL402" s="421"/>
      <c r="BM402" s="421"/>
      <c r="BN402" s="419"/>
      <c r="BO402" s="419"/>
      <c r="BP402" s="421"/>
      <c r="BQ402" s="421"/>
      <c r="BR402" s="419"/>
      <c r="BS402" s="419"/>
      <c r="BT402" s="421"/>
      <c r="BU402" s="421"/>
      <c r="BV402" s="419"/>
      <c r="BW402" s="419"/>
      <c r="BX402" s="421"/>
      <c r="BY402" s="421"/>
      <c r="BZ402" s="419"/>
      <c r="CA402" s="419"/>
      <c r="CB402" s="421"/>
      <c r="CC402" s="421"/>
      <c r="CD402" s="419"/>
      <c r="CE402" s="419"/>
      <c r="CF402" s="421"/>
      <c r="CG402" s="421"/>
      <c r="CH402" s="419"/>
      <c r="CI402" s="419"/>
      <c r="CJ402" s="421"/>
      <c r="CK402" s="421"/>
      <c r="CL402" s="419"/>
      <c r="CM402" s="421"/>
      <c r="CN402" s="424">
        <f t="shared" si="173"/>
        <v>0</v>
      </c>
      <c r="CO402" s="424">
        <f t="shared" si="174"/>
        <v>0</v>
      </c>
      <c r="CP402" s="425">
        <f t="shared" si="175"/>
        <v>0</v>
      </c>
      <c r="CQ402" s="425">
        <f t="shared" si="176"/>
        <v>0</v>
      </c>
      <c r="CR402" s="419"/>
      <c r="CS402" s="419"/>
      <c r="CT402" s="421"/>
      <c r="CU402" s="421"/>
      <c r="CV402" s="419"/>
      <c r="CW402" s="419"/>
      <c r="CX402" s="421"/>
      <c r="CY402" s="421"/>
      <c r="CZ402" s="419"/>
      <c r="DA402" s="419"/>
      <c r="DB402" s="421"/>
      <c r="DC402" s="421"/>
      <c r="DD402" s="419"/>
      <c r="DE402" s="419"/>
      <c r="DF402" s="421"/>
      <c r="DG402" s="421"/>
      <c r="DH402" s="419"/>
      <c r="DI402" s="419"/>
      <c r="DJ402" s="421"/>
      <c r="DK402" s="421"/>
      <c r="DL402" s="419"/>
      <c r="DM402" s="419"/>
      <c r="DN402" s="421"/>
      <c r="DO402" s="421"/>
      <c r="DP402" s="419"/>
      <c r="DQ402" s="419"/>
      <c r="DR402" s="421"/>
      <c r="DS402" s="421"/>
      <c r="DT402" s="419"/>
      <c r="DU402" s="419"/>
      <c r="DV402" s="421"/>
      <c r="DW402" s="421"/>
      <c r="DX402" s="419"/>
      <c r="DY402" s="419"/>
      <c r="DZ402" s="421"/>
      <c r="EA402" s="421"/>
      <c r="EB402" s="419"/>
      <c r="EC402" s="419"/>
      <c r="ED402" s="421"/>
      <c r="EE402" s="421"/>
      <c r="EF402" s="419"/>
      <c r="EG402" s="421"/>
      <c r="EH402" s="424">
        <f t="shared" si="177"/>
        <v>0</v>
      </c>
      <c r="EI402" s="424">
        <f t="shared" si="178"/>
        <v>0</v>
      </c>
      <c r="EJ402" s="422">
        <f t="shared" si="179"/>
        <v>0</v>
      </c>
      <c r="EK402" s="425">
        <f t="shared" si="180"/>
        <v>0</v>
      </c>
      <c r="EL402" s="425">
        <f t="shared" si="181"/>
        <v>0</v>
      </c>
      <c r="EM402" s="423">
        <f t="shared" si="182"/>
        <v>0</v>
      </c>
      <c r="EN402" s="424">
        <f t="shared" si="183"/>
        <v>0</v>
      </c>
      <c r="EO402" s="425">
        <f t="shared" si="184"/>
        <v>0</v>
      </c>
      <c r="EP402" s="419"/>
      <c r="EQ402" s="421"/>
      <c r="ER402" s="419"/>
      <c r="ES402" s="421"/>
      <c r="ET402" s="419"/>
      <c r="EU402" s="421"/>
      <c r="EV402" s="419"/>
      <c r="EW402" s="421"/>
      <c r="EX402" s="419"/>
      <c r="EY402" s="421"/>
      <c r="EZ402" s="419"/>
      <c r="FA402" s="421"/>
      <c r="FB402" s="419"/>
      <c r="FC402" s="421"/>
      <c r="FD402" s="419"/>
      <c r="FE402" s="421"/>
      <c r="FF402" s="419"/>
      <c r="FG402" s="421"/>
      <c r="FH402" s="419"/>
      <c r="FI402" s="421"/>
      <c r="FJ402" s="424">
        <f t="shared" si="185"/>
        <v>0</v>
      </c>
      <c r="FK402" s="425">
        <f t="shared" si="186"/>
        <v>0</v>
      </c>
      <c r="FL402" s="419"/>
      <c r="FM402" s="421"/>
      <c r="FN402" s="424">
        <f t="shared" si="187"/>
        <v>962</v>
      </c>
      <c r="FO402" s="425">
        <f t="shared" si="188"/>
        <v>983</v>
      </c>
    </row>
    <row r="403" spans="1:171" s="272" customFormat="1" ht="15" customHeight="1">
      <c r="A403" s="428" t="s">
        <v>165</v>
      </c>
      <c r="B403" s="50" t="s">
        <v>923</v>
      </c>
      <c r="C403" s="6"/>
      <c r="D403" s="48">
        <v>222062</v>
      </c>
      <c r="E403" s="48">
        <v>9</v>
      </c>
      <c r="F403" s="419"/>
      <c r="G403" s="421"/>
      <c r="H403" s="419"/>
      <c r="I403" s="421"/>
      <c r="J403" s="419">
        <v>939</v>
      </c>
      <c r="K403" s="421">
        <v>959</v>
      </c>
      <c r="L403" s="422">
        <f t="shared" si="167"/>
        <v>0</v>
      </c>
      <c r="M403" s="423">
        <f t="shared" si="168"/>
        <v>0</v>
      </c>
      <c r="N403" s="419"/>
      <c r="O403" s="309">
        <f>0</f>
        <v>0</v>
      </c>
      <c r="P403" s="309">
        <f>0</f>
        <v>0</v>
      </c>
      <c r="Q403" s="309">
        <f>0</f>
        <v>0</v>
      </c>
      <c r="R403" s="424">
        <f t="shared" si="165"/>
        <v>0</v>
      </c>
      <c r="S403" s="421"/>
      <c r="T403" s="301">
        <f>0</f>
        <v>0</v>
      </c>
      <c r="U403" s="301">
        <f>0</f>
        <v>0</v>
      </c>
      <c r="V403" s="301">
        <f>0</f>
        <v>0</v>
      </c>
      <c r="W403" s="425">
        <f t="shared" si="166"/>
        <v>0</v>
      </c>
      <c r="X403" s="419"/>
      <c r="Y403" s="419"/>
      <c r="Z403" s="421"/>
      <c r="AA403" s="421"/>
      <c r="AB403" s="419"/>
      <c r="AC403" s="419"/>
      <c r="AD403" s="421"/>
      <c r="AE403" s="421"/>
      <c r="AF403" s="419"/>
      <c r="AG403" s="419"/>
      <c r="AH403" s="421"/>
      <c r="AI403" s="421"/>
      <c r="AJ403" s="419"/>
      <c r="AK403" s="419"/>
      <c r="AL403" s="421"/>
      <c r="AM403" s="421"/>
      <c r="AN403" s="419"/>
      <c r="AO403" s="419"/>
      <c r="AP403" s="421"/>
      <c r="AQ403" s="421"/>
      <c r="AR403" s="424">
        <f t="shared" si="169"/>
        <v>0</v>
      </c>
      <c r="AS403" s="422">
        <f t="shared" si="170"/>
        <v>0</v>
      </c>
      <c r="AT403" s="425">
        <f t="shared" si="171"/>
        <v>0</v>
      </c>
      <c r="AU403" s="423">
        <f t="shared" si="172"/>
        <v>0</v>
      </c>
      <c r="AV403" s="419"/>
      <c r="AW403" s="421"/>
      <c r="AX403" s="419"/>
      <c r="AY403" s="419"/>
      <c r="AZ403" s="421"/>
      <c r="BA403" s="421"/>
      <c r="BB403" s="419"/>
      <c r="BC403" s="419"/>
      <c r="BD403" s="421"/>
      <c r="BE403" s="421"/>
      <c r="BF403" s="419"/>
      <c r="BG403" s="419"/>
      <c r="BH403" s="421"/>
      <c r="BI403" s="421"/>
      <c r="BJ403" s="419"/>
      <c r="BK403" s="419"/>
      <c r="BL403" s="421"/>
      <c r="BM403" s="421"/>
      <c r="BN403" s="419"/>
      <c r="BO403" s="419"/>
      <c r="BP403" s="421"/>
      <c r="BQ403" s="421"/>
      <c r="BR403" s="419"/>
      <c r="BS403" s="419"/>
      <c r="BT403" s="421"/>
      <c r="BU403" s="421"/>
      <c r="BV403" s="419"/>
      <c r="BW403" s="419"/>
      <c r="BX403" s="421"/>
      <c r="BY403" s="421"/>
      <c r="BZ403" s="419"/>
      <c r="CA403" s="419"/>
      <c r="CB403" s="421"/>
      <c r="CC403" s="421"/>
      <c r="CD403" s="419"/>
      <c r="CE403" s="419"/>
      <c r="CF403" s="421"/>
      <c r="CG403" s="421"/>
      <c r="CH403" s="419"/>
      <c r="CI403" s="419"/>
      <c r="CJ403" s="421"/>
      <c r="CK403" s="421"/>
      <c r="CL403" s="419"/>
      <c r="CM403" s="421"/>
      <c r="CN403" s="424">
        <f t="shared" si="173"/>
        <v>0</v>
      </c>
      <c r="CO403" s="424">
        <f t="shared" si="174"/>
        <v>0</v>
      </c>
      <c r="CP403" s="425">
        <f t="shared" si="175"/>
        <v>0</v>
      </c>
      <c r="CQ403" s="425">
        <f t="shared" si="176"/>
        <v>0</v>
      </c>
      <c r="CR403" s="419"/>
      <c r="CS403" s="419"/>
      <c r="CT403" s="421"/>
      <c r="CU403" s="421"/>
      <c r="CV403" s="419"/>
      <c r="CW403" s="419"/>
      <c r="CX403" s="421"/>
      <c r="CY403" s="421"/>
      <c r="CZ403" s="419"/>
      <c r="DA403" s="419"/>
      <c r="DB403" s="421"/>
      <c r="DC403" s="421"/>
      <c r="DD403" s="419"/>
      <c r="DE403" s="419"/>
      <c r="DF403" s="421"/>
      <c r="DG403" s="421"/>
      <c r="DH403" s="419"/>
      <c r="DI403" s="419"/>
      <c r="DJ403" s="421"/>
      <c r="DK403" s="421"/>
      <c r="DL403" s="419"/>
      <c r="DM403" s="419"/>
      <c r="DN403" s="421"/>
      <c r="DO403" s="421"/>
      <c r="DP403" s="419"/>
      <c r="DQ403" s="419"/>
      <c r="DR403" s="421"/>
      <c r="DS403" s="421"/>
      <c r="DT403" s="419"/>
      <c r="DU403" s="419"/>
      <c r="DV403" s="421"/>
      <c r="DW403" s="421"/>
      <c r="DX403" s="419"/>
      <c r="DY403" s="419"/>
      <c r="DZ403" s="421"/>
      <c r="EA403" s="421"/>
      <c r="EB403" s="419"/>
      <c r="EC403" s="419"/>
      <c r="ED403" s="421"/>
      <c r="EE403" s="421"/>
      <c r="EF403" s="419"/>
      <c r="EG403" s="421"/>
      <c r="EH403" s="424">
        <f t="shared" si="177"/>
        <v>0</v>
      </c>
      <c r="EI403" s="424">
        <f t="shared" si="178"/>
        <v>0</v>
      </c>
      <c r="EJ403" s="422">
        <f t="shared" si="179"/>
        <v>0</v>
      </c>
      <c r="EK403" s="425">
        <f t="shared" si="180"/>
        <v>0</v>
      </c>
      <c r="EL403" s="425">
        <f t="shared" si="181"/>
        <v>0</v>
      </c>
      <c r="EM403" s="423">
        <f t="shared" si="182"/>
        <v>0</v>
      </c>
      <c r="EN403" s="424">
        <f t="shared" si="183"/>
        <v>0</v>
      </c>
      <c r="EO403" s="425">
        <f t="shared" si="184"/>
        <v>0</v>
      </c>
      <c r="EP403" s="419"/>
      <c r="EQ403" s="421"/>
      <c r="ER403" s="419"/>
      <c r="ES403" s="421"/>
      <c r="ET403" s="419"/>
      <c r="EU403" s="421"/>
      <c r="EV403" s="419"/>
      <c r="EW403" s="421"/>
      <c r="EX403" s="419"/>
      <c r="EY403" s="421"/>
      <c r="EZ403" s="419"/>
      <c r="FA403" s="421"/>
      <c r="FB403" s="419"/>
      <c r="FC403" s="421"/>
      <c r="FD403" s="419"/>
      <c r="FE403" s="421"/>
      <c r="FF403" s="419"/>
      <c r="FG403" s="421"/>
      <c r="FH403" s="419"/>
      <c r="FI403" s="421"/>
      <c r="FJ403" s="424">
        <f t="shared" si="185"/>
        <v>0</v>
      </c>
      <c r="FK403" s="425">
        <f t="shared" si="186"/>
        <v>0</v>
      </c>
      <c r="FL403" s="419"/>
      <c r="FM403" s="421"/>
      <c r="FN403" s="424">
        <f t="shared" si="187"/>
        <v>939</v>
      </c>
      <c r="FO403" s="425">
        <f t="shared" si="188"/>
        <v>959</v>
      </c>
    </row>
    <row r="404" spans="1:171" s="272" customFormat="1" ht="15" customHeight="1">
      <c r="A404" s="428" t="s">
        <v>165</v>
      </c>
      <c r="B404" s="50" t="s">
        <v>924</v>
      </c>
      <c r="C404" s="5"/>
      <c r="D404" s="48">
        <v>220057</v>
      </c>
      <c r="E404" s="120">
        <v>10</v>
      </c>
      <c r="F404" s="419"/>
      <c r="G404" s="421"/>
      <c r="H404" s="419"/>
      <c r="I404" s="421"/>
      <c r="J404" s="419">
        <v>360</v>
      </c>
      <c r="K404" s="421">
        <v>365</v>
      </c>
      <c r="L404" s="422">
        <f t="shared" si="167"/>
        <v>0</v>
      </c>
      <c r="M404" s="423">
        <f t="shared" si="168"/>
        <v>0</v>
      </c>
      <c r="N404" s="419"/>
      <c r="O404" s="309">
        <f>0</f>
        <v>0</v>
      </c>
      <c r="P404" s="309">
        <f>0</f>
        <v>0</v>
      </c>
      <c r="Q404" s="309">
        <f>0</f>
        <v>0</v>
      </c>
      <c r="R404" s="424">
        <f t="shared" si="165"/>
        <v>0</v>
      </c>
      <c r="S404" s="421"/>
      <c r="T404" s="301">
        <f>0</f>
        <v>0</v>
      </c>
      <c r="U404" s="301">
        <f>0</f>
        <v>0</v>
      </c>
      <c r="V404" s="301">
        <f>0</f>
        <v>0</v>
      </c>
      <c r="W404" s="425">
        <f t="shared" si="166"/>
        <v>0</v>
      </c>
      <c r="X404" s="419"/>
      <c r="Y404" s="419"/>
      <c r="Z404" s="421"/>
      <c r="AA404" s="421"/>
      <c r="AB404" s="419"/>
      <c r="AC404" s="419"/>
      <c r="AD404" s="421"/>
      <c r="AE404" s="421"/>
      <c r="AF404" s="419"/>
      <c r="AG404" s="419"/>
      <c r="AH404" s="421"/>
      <c r="AI404" s="421"/>
      <c r="AJ404" s="419"/>
      <c r="AK404" s="419"/>
      <c r="AL404" s="421"/>
      <c r="AM404" s="421"/>
      <c r="AN404" s="419"/>
      <c r="AO404" s="419"/>
      <c r="AP404" s="421"/>
      <c r="AQ404" s="421"/>
      <c r="AR404" s="424">
        <f t="shared" si="169"/>
        <v>0</v>
      </c>
      <c r="AS404" s="422">
        <f t="shared" si="170"/>
        <v>0</v>
      </c>
      <c r="AT404" s="425">
        <f t="shared" si="171"/>
        <v>0</v>
      </c>
      <c r="AU404" s="423">
        <f t="shared" si="172"/>
        <v>0</v>
      </c>
      <c r="AV404" s="419"/>
      <c r="AW404" s="421"/>
      <c r="AX404" s="419"/>
      <c r="AY404" s="419"/>
      <c r="AZ404" s="421"/>
      <c r="BA404" s="421"/>
      <c r="BB404" s="419"/>
      <c r="BC404" s="419"/>
      <c r="BD404" s="421"/>
      <c r="BE404" s="421"/>
      <c r="BF404" s="419"/>
      <c r="BG404" s="419"/>
      <c r="BH404" s="421"/>
      <c r="BI404" s="421"/>
      <c r="BJ404" s="419"/>
      <c r="BK404" s="419"/>
      <c r="BL404" s="421"/>
      <c r="BM404" s="421"/>
      <c r="BN404" s="419"/>
      <c r="BO404" s="419"/>
      <c r="BP404" s="421"/>
      <c r="BQ404" s="421"/>
      <c r="BR404" s="419"/>
      <c r="BS404" s="419"/>
      <c r="BT404" s="421"/>
      <c r="BU404" s="421"/>
      <c r="BV404" s="419"/>
      <c r="BW404" s="419"/>
      <c r="BX404" s="421"/>
      <c r="BY404" s="421"/>
      <c r="BZ404" s="419"/>
      <c r="CA404" s="419"/>
      <c r="CB404" s="421"/>
      <c r="CC404" s="421"/>
      <c r="CD404" s="419"/>
      <c r="CE404" s="419"/>
      <c r="CF404" s="421"/>
      <c r="CG404" s="421"/>
      <c r="CH404" s="419"/>
      <c r="CI404" s="419"/>
      <c r="CJ404" s="421"/>
      <c r="CK404" s="421"/>
      <c r="CL404" s="419"/>
      <c r="CM404" s="421"/>
      <c r="CN404" s="424">
        <f t="shared" si="173"/>
        <v>0</v>
      </c>
      <c r="CO404" s="424">
        <f t="shared" si="174"/>
        <v>0</v>
      </c>
      <c r="CP404" s="425">
        <f t="shared" si="175"/>
        <v>0</v>
      </c>
      <c r="CQ404" s="425">
        <f t="shared" si="176"/>
        <v>0</v>
      </c>
      <c r="CR404" s="419"/>
      <c r="CS404" s="419"/>
      <c r="CT404" s="421"/>
      <c r="CU404" s="421"/>
      <c r="CV404" s="419"/>
      <c r="CW404" s="419"/>
      <c r="CX404" s="421"/>
      <c r="CY404" s="421"/>
      <c r="CZ404" s="419"/>
      <c r="DA404" s="419"/>
      <c r="DB404" s="421"/>
      <c r="DC404" s="421"/>
      <c r="DD404" s="419"/>
      <c r="DE404" s="419"/>
      <c r="DF404" s="421"/>
      <c r="DG404" s="421"/>
      <c r="DH404" s="419"/>
      <c r="DI404" s="419"/>
      <c r="DJ404" s="421"/>
      <c r="DK404" s="421"/>
      <c r="DL404" s="419"/>
      <c r="DM404" s="419"/>
      <c r="DN404" s="421"/>
      <c r="DO404" s="421"/>
      <c r="DP404" s="419"/>
      <c r="DQ404" s="419"/>
      <c r="DR404" s="421"/>
      <c r="DS404" s="421"/>
      <c r="DT404" s="419"/>
      <c r="DU404" s="419"/>
      <c r="DV404" s="421"/>
      <c r="DW404" s="421"/>
      <c r="DX404" s="419"/>
      <c r="DY404" s="419"/>
      <c r="DZ404" s="421"/>
      <c r="EA404" s="421"/>
      <c r="EB404" s="419"/>
      <c r="EC404" s="419"/>
      <c r="ED404" s="421"/>
      <c r="EE404" s="421"/>
      <c r="EF404" s="419"/>
      <c r="EG404" s="421"/>
      <c r="EH404" s="424">
        <f t="shared" si="177"/>
        <v>0</v>
      </c>
      <c r="EI404" s="424">
        <f t="shared" si="178"/>
        <v>0</v>
      </c>
      <c r="EJ404" s="422">
        <f t="shared" si="179"/>
        <v>0</v>
      </c>
      <c r="EK404" s="425">
        <f t="shared" si="180"/>
        <v>0</v>
      </c>
      <c r="EL404" s="425">
        <f t="shared" si="181"/>
        <v>0</v>
      </c>
      <c r="EM404" s="423">
        <f t="shared" si="182"/>
        <v>0</v>
      </c>
      <c r="EN404" s="424">
        <f t="shared" si="183"/>
        <v>0</v>
      </c>
      <c r="EO404" s="425">
        <f t="shared" si="184"/>
        <v>0</v>
      </c>
      <c r="EP404" s="419"/>
      <c r="EQ404" s="421"/>
      <c r="ER404" s="419"/>
      <c r="ES404" s="421"/>
      <c r="ET404" s="419"/>
      <c r="EU404" s="421"/>
      <c r="EV404" s="419"/>
      <c r="EW404" s="421"/>
      <c r="EX404" s="419"/>
      <c r="EY404" s="421"/>
      <c r="EZ404" s="419"/>
      <c r="FA404" s="421"/>
      <c r="FB404" s="419"/>
      <c r="FC404" s="421"/>
      <c r="FD404" s="419"/>
      <c r="FE404" s="421"/>
      <c r="FF404" s="419"/>
      <c r="FG404" s="421"/>
      <c r="FH404" s="419"/>
      <c r="FI404" s="421"/>
      <c r="FJ404" s="424">
        <f t="shared" si="185"/>
        <v>0</v>
      </c>
      <c r="FK404" s="425">
        <f t="shared" si="186"/>
        <v>0</v>
      </c>
      <c r="FL404" s="419"/>
      <c r="FM404" s="421"/>
      <c r="FN404" s="424">
        <f t="shared" si="187"/>
        <v>360</v>
      </c>
      <c r="FO404" s="425">
        <f t="shared" si="188"/>
        <v>365</v>
      </c>
    </row>
    <row r="405" spans="1:171">
      <c r="A405" s="428" t="s">
        <v>165</v>
      </c>
      <c r="B405" s="429" t="s">
        <v>927</v>
      </c>
      <c r="C405" s="430"/>
      <c r="D405" s="48">
        <v>219596</v>
      </c>
      <c r="E405" s="48">
        <v>13</v>
      </c>
      <c r="F405" s="419">
        <v>160</v>
      </c>
      <c r="G405" s="421">
        <v>146</v>
      </c>
      <c r="H405" s="419"/>
      <c r="I405" s="421"/>
      <c r="J405" s="419"/>
      <c r="K405" s="421"/>
      <c r="L405" s="422">
        <f t="shared" si="167"/>
        <v>0</v>
      </c>
      <c r="M405" s="423">
        <f t="shared" si="168"/>
        <v>0</v>
      </c>
      <c r="N405" s="419"/>
      <c r="O405" s="309">
        <f>0</f>
        <v>0</v>
      </c>
      <c r="P405" s="309">
        <f>0</f>
        <v>0</v>
      </c>
      <c r="Q405" s="309">
        <f>0</f>
        <v>0</v>
      </c>
      <c r="R405" s="424">
        <f t="shared" si="165"/>
        <v>0</v>
      </c>
      <c r="S405" s="421"/>
      <c r="T405" s="301">
        <f>0</f>
        <v>0</v>
      </c>
      <c r="U405" s="301">
        <f>0</f>
        <v>0</v>
      </c>
      <c r="V405" s="301">
        <f>0</f>
        <v>0</v>
      </c>
      <c r="W405" s="425">
        <f t="shared" si="166"/>
        <v>0</v>
      </c>
      <c r="X405" s="419"/>
      <c r="Y405" s="419"/>
      <c r="Z405" s="421"/>
      <c r="AA405" s="421"/>
      <c r="AB405" s="419"/>
      <c r="AC405" s="419"/>
      <c r="AD405" s="421"/>
      <c r="AE405" s="421"/>
      <c r="AF405" s="419"/>
      <c r="AG405" s="419"/>
      <c r="AH405" s="421"/>
      <c r="AI405" s="421"/>
      <c r="AJ405" s="419"/>
      <c r="AK405" s="419"/>
      <c r="AL405" s="421"/>
      <c r="AM405" s="421"/>
      <c r="AN405" s="419"/>
      <c r="AO405" s="419"/>
      <c r="AP405" s="421"/>
      <c r="AQ405" s="421"/>
      <c r="AR405" s="424">
        <f t="shared" si="169"/>
        <v>0</v>
      </c>
      <c r="AS405" s="422">
        <f t="shared" si="170"/>
        <v>0</v>
      </c>
      <c r="AT405" s="425">
        <f t="shared" si="171"/>
        <v>0</v>
      </c>
      <c r="AU405" s="423">
        <f t="shared" si="172"/>
        <v>0</v>
      </c>
      <c r="AV405" s="419"/>
      <c r="AW405" s="421"/>
      <c r="AX405" s="419"/>
      <c r="AY405" s="419"/>
      <c r="AZ405" s="421"/>
      <c r="BA405" s="421"/>
      <c r="BB405" s="419"/>
      <c r="BC405" s="419"/>
      <c r="BD405" s="421"/>
      <c r="BE405" s="421"/>
      <c r="BF405" s="419"/>
      <c r="BG405" s="419"/>
      <c r="BH405" s="421"/>
      <c r="BI405" s="421"/>
      <c r="BJ405" s="419"/>
      <c r="BK405" s="419"/>
      <c r="BL405" s="421"/>
      <c r="BM405" s="421"/>
      <c r="BN405" s="419"/>
      <c r="BO405" s="419"/>
      <c r="BP405" s="421"/>
      <c r="BQ405" s="421"/>
      <c r="BR405" s="419"/>
      <c r="BS405" s="419"/>
      <c r="BT405" s="421"/>
      <c r="BU405" s="421"/>
      <c r="BV405" s="419"/>
      <c r="BW405" s="419"/>
      <c r="BX405" s="421"/>
      <c r="BY405" s="421"/>
      <c r="BZ405" s="419"/>
      <c r="CA405" s="419"/>
      <c r="CB405" s="421"/>
      <c r="CC405" s="421"/>
      <c r="CD405" s="419"/>
      <c r="CE405" s="419"/>
      <c r="CF405" s="421"/>
      <c r="CG405" s="421"/>
      <c r="CH405" s="419"/>
      <c r="CI405" s="419"/>
      <c r="CJ405" s="421"/>
      <c r="CK405" s="421"/>
      <c r="CL405" s="419"/>
      <c r="CM405" s="421"/>
      <c r="CN405" s="424">
        <f t="shared" si="173"/>
        <v>0</v>
      </c>
      <c r="CO405" s="424">
        <f t="shared" si="174"/>
        <v>0</v>
      </c>
      <c r="CP405" s="425">
        <f t="shared" si="175"/>
        <v>0</v>
      </c>
      <c r="CQ405" s="425">
        <f t="shared" si="176"/>
        <v>0</v>
      </c>
      <c r="CR405" s="419"/>
      <c r="CS405" s="419"/>
      <c r="CT405" s="421"/>
      <c r="CU405" s="421"/>
      <c r="CV405" s="419"/>
      <c r="CW405" s="419"/>
      <c r="CX405" s="421"/>
      <c r="CY405" s="421"/>
      <c r="CZ405" s="419"/>
      <c r="DA405" s="419"/>
      <c r="DB405" s="421"/>
      <c r="DC405" s="421"/>
      <c r="DD405" s="419"/>
      <c r="DE405" s="419"/>
      <c r="DF405" s="421"/>
      <c r="DG405" s="421"/>
      <c r="DH405" s="419"/>
      <c r="DI405" s="419"/>
      <c r="DJ405" s="421"/>
      <c r="DK405" s="421"/>
      <c r="DL405" s="419"/>
      <c r="DM405" s="419"/>
      <c r="DN405" s="421"/>
      <c r="DO405" s="421"/>
      <c r="DP405" s="419"/>
      <c r="DQ405" s="419"/>
      <c r="DR405" s="421"/>
      <c r="DS405" s="421"/>
      <c r="DT405" s="419"/>
      <c r="DU405" s="419"/>
      <c r="DV405" s="421"/>
      <c r="DW405" s="421"/>
      <c r="DX405" s="419"/>
      <c r="DY405" s="419"/>
      <c r="DZ405" s="421"/>
      <c r="EA405" s="421"/>
      <c r="EB405" s="419"/>
      <c r="EC405" s="419"/>
      <c r="ED405" s="421"/>
      <c r="EE405" s="421"/>
      <c r="EF405" s="419"/>
      <c r="EG405" s="421"/>
      <c r="EH405" s="424">
        <f t="shared" si="177"/>
        <v>0</v>
      </c>
      <c r="EI405" s="424">
        <f t="shared" si="178"/>
        <v>0</v>
      </c>
      <c r="EJ405" s="422">
        <f t="shared" si="179"/>
        <v>0</v>
      </c>
      <c r="EK405" s="425">
        <f t="shared" si="180"/>
        <v>0</v>
      </c>
      <c r="EL405" s="425">
        <f t="shared" si="181"/>
        <v>0</v>
      </c>
      <c r="EM405" s="423">
        <f t="shared" si="182"/>
        <v>0</v>
      </c>
      <c r="EN405" s="424">
        <f t="shared" si="183"/>
        <v>0</v>
      </c>
      <c r="EO405" s="425">
        <f t="shared" si="184"/>
        <v>0</v>
      </c>
      <c r="EP405" s="419"/>
      <c r="EQ405" s="421"/>
      <c r="ER405" s="419"/>
      <c r="ES405" s="421"/>
      <c r="ET405" s="419"/>
      <c r="EU405" s="421"/>
      <c r="EV405" s="419"/>
      <c r="EW405" s="421"/>
      <c r="EX405" s="419"/>
      <c r="EY405" s="421"/>
      <c r="EZ405" s="419"/>
      <c r="FA405" s="421"/>
      <c r="FB405" s="419"/>
      <c r="FC405" s="421"/>
      <c r="FD405" s="419"/>
      <c r="FE405" s="421"/>
      <c r="FF405" s="419"/>
      <c r="FG405" s="421"/>
      <c r="FH405" s="419"/>
      <c r="FI405" s="421"/>
      <c r="FJ405" s="424">
        <f t="shared" si="185"/>
        <v>0</v>
      </c>
      <c r="FK405" s="425">
        <f t="shared" si="186"/>
        <v>0</v>
      </c>
      <c r="FL405" s="419"/>
      <c r="FM405" s="421"/>
      <c r="FN405" s="424">
        <f t="shared" si="187"/>
        <v>160</v>
      </c>
      <c r="FO405" s="425">
        <f t="shared" si="188"/>
        <v>146</v>
      </c>
    </row>
    <row r="406" spans="1:171" s="272" customFormat="1" ht="15" customHeight="1">
      <c r="A406" s="428" t="s">
        <v>165</v>
      </c>
      <c r="B406" s="50" t="s">
        <v>925</v>
      </c>
      <c r="C406" s="489"/>
      <c r="D406" s="48" t="s">
        <v>926</v>
      </c>
      <c r="E406" s="48">
        <v>13</v>
      </c>
      <c r="F406" s="419">
        <v>659</v>
      </c>
      <c r="G406" s="421">
        <v>767</v>
      </c>
      <c r="H406" s="419"/>
      <c r="I406" s="421"/>
      <c r="J406" s="419"/>
      <c r="K406" s="421"/>
      <c r="L406" s="422">
        <f t="shared" si="167"/>
        <v>0</v>
      </c>
      <c r="M406" s="423">
        <f t="shared" si="168"/>
        <v>0</v>
      </c>
      <c r="N406" s="419"/>
      <c r="O406" s="309">
        <f>0</f>
        <v>0</v>
      </c>
      <c r="P406" s="309">
        <f>0</f>
        <v>0</v>
      </c>
      <c r="Q406" s="309">
        <f>0</f>
        <v>0</v>
      </c>
      <c r="R406" s="424">
        <f t="shared" si="165"/>
        <v>0</v>
      </c>
      <c r="S406" s="421"/>
      <c r="T406" s="301">
        <f>0</f>
        <v>0</v>
      </c>
      <c r="U406" s="301">
        <f>0</f>
        <v>0</v>
      </c>
      <c r="V406" s="301">
        <f>0</f>
        <v>0</v>
      </c>
      <c r="W406" s="425">
        <f t="shared" si="166"/>
        <v>0</v>
      </c>
      <c r="X406" s="419"/>
      <c r="Y406" s="419"/>
      <c r="Z406" s="421"/>
      <c r="AA406" s="421"/>
      <c r="AB406" s="419"/>
      <c r="AC406" s="419"/>
      <c r="AD406" s="421"/>
      <c r="AE406" s="421"/>
      <c r="AF406" s="419"/>
      <c r="AG406" s="419"/>
      <c r="AH406" s="421"/>
      <c r="AI406" s="421"/>
      <c r="AJ406" s="419"/>
      <c r="AK406" s="419"/>
      <c r="AL406" s="421"/>
      <c r="AM406" s="421"/>
      <c r="AN406" s="419"/>
      <c r="AO406" s="419"/>
      <c r="AP406" s="421"/>
      <c r="AQ406" s="421"/>
      <c r="AR406" s="424">
        <f t="shared" si="169"/>
        <v>0</v>
      </c>
      <c r="AS406" s="422">
        <f t="shared" si="170"/>
        <v>0</v>
      </c>
      <c r="AT406" s="425">
        <f t="shared" si="171"/>
        <v>0</v>
      </c>
      <c r="AU406" s="423">
        <f t="shared" si="172"/>
        <v>0</v>
      </c>
      <c r="AV406" s="419"/>
      <c r="AW406" s="421"/>
      <c r="AX406" s="419"/>
      <c r="AY406" s="419"/>
      <c r="AZ406" s="421"/>
      <c r="BA406" s="421"/>
      <c r="BB406" s="419"/>
      <c r="BC406" s="419"/>
      <c r="BD406" s="421"/>
      <c r="BE406" s="421"/>
      <c r="BF406" s="419"/>
      <c r="BG406" s="419"/>
      <c r="BH406" s="421"/>
      <c r="BI406" s="421"/>
      <c r="BJ406" s="419"/>
      <c r="BK406" s="419"/>
      <c r="BL406" s="421"/>
      <c r="BM406" s="421"/>
      <c r="BN406" s="419"/>
      <c r="BO406" s="419"/>
      <c r="BP406" s="421"/>
      <c r="BQ406" s="421"/>
      <c r="BR406" s="419"/>
      <c r="BS406" s="419"/>
      <c r="BT406" s="421"/>
      <c r="BU406" s="421"/>
      <c r="BV406" s="419"/>
      <c r="BW406" s="419"/>
      <c r="BX406" s="421"/>
      <c r="BY406" s="421"/>
      <c r="BZ406" s="419"/>
      <c r="CA406" s="419"/>
      <c r="CB406" s="421"/>
      <c r="CC406" s="421"/>
      <c r="CD406" s="419"/>
      <c r="CE406" s="419"/>
      <c r="CF406" s="421"/>
      <c r="CG406" s="421"/>
      <c r="CH406" s="419"/>
      <c r="CI406" s="419"/>
      <c r="CJ406" s="421"/>
      <c r="CK406" s="421"/>
      <c r="CL406" s="419"/>
      <c r="CM406" s="421"/>
      <c r="CN406" s="424">
        <f t="shared" si="173"/>
        <v>0</v>
      </c>
      <c r="CO406" s="424">
        <f t="shared" si="174"/>
        <v>0</v>
      </c>
      <c r="CP406" s="425">
        <f t="shared" si="175"/>
        <v>0</v>
      </c>
      <c r="CQ406" s="425">
        <f t="shared" si="176"/>
        <v>0</v>
      </c>
      <c r="CR406" s="419"/>
      <c r="CS406" s="419"/>
      <c r="CT406" s="421"/>
      <c r="CU406" s="421"/>
      <c r="CV406" s="419"/>
      <c r="CW406" s="419"/>
      <c r="CX406" s="421"/>
      <c r="CY406" s="421"/>
      <c r="CZ406" s="419"/>
      <c r="DA406" s="419"/>
      <c r="DB406" s="421"/>
      <c r="DC406" s="421"/>
      <c r="DD406" s="419"/>
      <c r="DE406" s="419"/>
      <c r="DF406" s="421"/>
      <c r="DG406" s="421"/>
      <c r="DH406" s="419"/>
      <c r="DI406" s="419"/>
      <c r="DJ406" s="421"/>
      <c r="DK406" s="421"/>
      <c r="DL406" s="419"/>
      <c r="DM406" s="419"/>
      <c r="DN406" s="421"/>
      <c r="DO406" s="421"/>
      <c r="DP406" s="419"/>
      <c r="DQ406" s="419"/>
      <c r="DR406" s="421"/>
      <c r="DS406" s="421"/>
      <c r="DT406" s="419"/>
      <c r="DU406" s="419"/>
      <c r="DV406" s="421"/>
      <c r="DW406" s="421"/>
      <c r="DX406" s="419"/>
      <c r="DY406" s="419"/>
      <c r="DZ406" s="421"/>
      <c r="EA406" s="421"/>
      <c r="EB406" s="419"/>
      <c r="EC406" s="419"/>
      <c r="ED406" s="421"/>
      <c r="EE406" s="421"/>
      <c r="EF406" s="419"/>
      <c r="EG406" s="421"/>
      <c r="EH406" s="424">
        <f t="shared" si="177"/>
        <v>0</v>
      </c>
      <c r="EI406" s="424">
        <f t="shared" si="178"/>
        <v>0</v>
      </c>
      <c r="EJ406" s="422">
        <f t="shared" si="179"/>
        <v>0</v>
      </c>
      <c r="EK406" s="425">
        <f t="shared" si="180"/>
        <v>0</v>
      </c>
      <c r="EL406" s="425">
        <f t="shared" si="181"/>
        <v>0</v>
      </c>
      <c r="EM406" s="423">
        <f t="shared" si="182"/>
        <v>0</v>
      </c>
      <c r="EN406" s="424">
        <f t="shared" si="183"/>
        <v>0</v>
      </c>
      <c r="EO406" s="425">
        <f t="shared" si="184"/>
        <v>0</v>
      </c>
      <c r="EP406" s="419"/>
      <c r="EQ406" s="421"/>
      <c r="ER406" s="419"/>
      <c r="ES406" s="421"/>
      <c r="ET406" s="419"/>
      <c r="EU406" s="421"/>
      <c r="EV406" s="419"/>
      <c r="EW406" s="421"/>
      <c r="EX406" s="419"/>
      <c r="EY406" s="421"/>
      <c r="EZ406" s="419"/>
      <c r="FA406" s="421"/>
      <c r="FB406" s="419"/>
      <c r="FC406" s="421"/>
      <c r="FD406" s="419"/>
      <c r="FE406" s="421"/>
      <c r="FF406" s="419"/>
      <c r="FG406" s="421"/>
      <c r="FH406" s="419"/>
      <c r="FI406" s="421"/>
      <c r="FJ406" s="424">
        <f t="shared" si="185"/>
        <v>0</v>
      </c>
      <c r="FK406" s="425">
        <f t="shared" si="186"/>
        <v>0</v>
      </c>
      <c r="FL406" s="419"/>
      <c r="FM406" s="421"/>
      <c r="FN406" s="424">
        <f t="shared" si="187"/>
        <v>659</v>
      </c>
      <c r="FO406" s="425">
        <f t="shared" si="188"/>
        <v>767</v>
      </c>
    </row>
    <row r="407" spans="1:171">
      <c r="A407" s="428" t="s">
        <v>165</v>
      </c>
      <c r="B407" s="50" t="s">
        <v>928</v>
      </c>
      <c r="C407" s="49"/>
      <c r="D407" s="48">
        <v>219921</v>
      </c>
      <c r="E407" s="48">
        <v>13</v>
      </c>
      <c r="F407" s="419">
        <v>155</v>
      </c>
      <c r="G407" s="421">
        <v>160</v>
      </c>
      <c r="H407" s="419"/>
      <c r="I407" s="421"/>
      <c r="J407" s="419"/>
      <c r="K407" s="421"/>
      <c r="L407" s="422">
        <f t="shared" si="167"/>
        <v>0</v>
      </c>
      <c r="M407" s="423">
        <f t="shared" si="168"/>
        <v>0</v>
      </c>
      <c r="N407" s="419"/>
      <c r="O407" s="309">
        <f>0</f>
        <v>0</v>
      </c>
      <c r="P407" s="309">
        <f>0</f>
        <v>0</v>
      </c>
      <c r="Q407" s="309">
        <f>0</f>
        <v>0</v>
      </c>
      <c r="R407" s="424">
        <f t="shared" si="165"/>
        <v>0</v>
      </c>
      <c r="S407" s="421"/>
      <c r="T407" s="301">
        <f>0</f>
        <v>0</v>
      </c>
      <c r="U407" s="301">
        <f>0</f>
        <v>0</v>
      </c>
      <c r="V407" s="301">
        <f>0</f>
        <v>0</v>
      </c>
      <c r="W407" s="425">
        <f t="shared" si="166"/>
        <v>0</v>
      </c>
      <c r="X407" s="419"/>
      <c r="Y407" s="419"/>
      <c r="Z407" s="421"/>
      <c r="AA407" s="421"/>
      <c r="AB407" s="419"/>
      <c r="AC407" s="419"/>
      <c r="AD407" s="421"/>
      <c r="AE407" s="421"/>
      <c r="AF407" s="419"/>
      <c r="AG407" s="419"/>
      <c r="AH407" s="421"/>
      <c r="AI407" s="421"/>
      <c r="AJ407" s="419"/>
      <c r="AK407" s="419"/>
      <c r="AL407" s="421"/>
      <c r="AM407" s="421"/>
      <c r="AN407" s="419"/>
      <c r="AO407" s="419"/>
      <c r="AP407" s="421"/>
      <c r="AQ407" s="421"/>
      <c r="AR407" s="424">
        <f t="shared" si="169"/>
        <v>0</v>
      </c>
      <c r="AS407" s="422">
        <f t="shared" si="170"/>
        <v>0</v>
      </c>
      <c r="AT407" s="425">
        <f t="shared" si="171"/>
        <v>0</v>
      </c>
      <c r="AU407" s="423">
        <f t="shared" si="172"/>
        <v>0</v>
      </c>
      <c r="AV407" s="419"/>
      <c r="AW407" s="421"/>
      <c r="AX407" s="419"/>
      <c r="AY407" s="419"/>
      <c r="AZ407" s="421"/>
      <c r="BA407" s="421"/>
      <c r="BB407" s="419"/>
      <c r="BC407" s="419"/>
      <c r="BD407" s="421"/>
      <c r="BE407" s="421"/>
      <c r="BF407" s="419"/>
      <c r="BG407" s="419"/>
      <c r="BH407" s="421"/>
      <c r="BI407" s="421"/>
      <c r="BJ407" s="419"/>
      <c r="BK407" s="419"/>
      <c r="BL407" s="421"/>
      <c r="BM407" s="421"/>
      <c r="BN407" s="419"/>
      <c r="BO407" s="419"/>
      <c r="BP407" s="421"/>
      <c r="BQ407" s="421"/>
      <c r="BR407" s="419"/>
      <c r="BS407" s="419"/>
      <c r="BT407" s="421"/>
      <c r="BU407" s="421"/>
      <c r="BV407" s="419"/>
      <c r="BW407" s="419"/>
      <c r="BX407" s="421"/>
      <c r="BY407" s="421"/>
      <c r="BZ407" s="419"/>
      <c r="CA407" s="419"/>
      <c r="CB407" s="421"/>
      <c r="CC407" s="421"/>
      <c r="CD407" s="419"/>
      <c r="CE407" s="419"/>
      <c r="CF407" s="421"/>
      <c r="CG407" s="421"/>
      <c r="CH407" s="419"/>
      <c r="CI407" s="419"/>
      <c r="CJ407" s="421"/>
      <c r="CK407" s="421"/>
      <c r="CL407" s="419"/>
      <c r="CM407" s="421"/>
      <c r="CN407" s="424">
        <f t="shared" si="173"/>
        <v>0</v>
      </c>
      <c r="CO407" s="424">
        <f t="shared" si="174"/>
        <v>0</v>
      </c>
      <c r="CP407" s="425">
        <f t="shared" si="175"/>
        <v>0</v>
      </c>
      <c r="CQ407" s="425">
        <f t="shared" si="176"/>
        <v>0</v>
      </c>
      <c r="CR407" s="419"/>
      <c r="CS407" s="419"/>
      <c r="CT407" s="421"/>
      <c r="CU407" s="421"/>
      <c r="CV407" s="419"/>
      <c r="CW407" s="419"/>
      <c r="CX407" s="421"/>
      <c r="CY407" s="421"/>
      <c r="CZ407" s="419"/>
      <c r="DA407" s="419"/>
      <c r="DB407" s="421"/>
      <c r="DC407" s="421"/>
      <c r="DD407" s="419"/>
      <c r="DE407" s="419"/>
      <c r="DF407" s="421"/>
      <c r="DG407" s="421"/>
      <c r="DH407" s="419"/>
      <c r="DI407" s="419"/>
      <c r="DJ407" s="421"/>
      <c r="DK407" s="421"/>
      <c r="DL407" s="419"/>
      <c r="DM407" s="419"/>
      <c r="DN407" s="421"/>
      <c r="DO407" s="421"/>
      <c r="DP407" s="419"/>
      <c r="DQ407" s="419"/>
      <c r="DR407" s="421"/>
      <c r="DS407" s="421"/>
      <c r="DT407" s="419"/>
      <c r="DU407" s="419"/>
      <c r="DV407" s="421"/>
      <c r="DW407" s="421"/>
      <c r="DX407" s="419"/>
      <c r="DY407" s="419"/>
      <c r="DZ407" s="421"/>
      <c r="EA407" s="421"/>
      <c r="EB407" s="419"/>
      <c r="EC407" s="419"/>
      <c r="ED407" s="421"/>
      <c r="EE407" s="421"/>
      <c r="EF407" s="419"/>
      <c r="EG407" s="421"/>
      <c r="EH407" s="424">
        <f t="shared" si="177"/>
        <v>0</v>
      </c>
      <c r="EI407" s="424">
        <f t="shared" si="178"/>
        <v>0</v>
      </c>
      <c r="EJ407" s="422">
        <f t="shared" si="179"/>
        <v>0</v>
      </c>
      <c r="EK407" s="425">
        <f t="shared" si="180"/>
        <v>0</v>
      </c>
      <c r="EL407" s="425">
        <f t="shared" si="181"/>
        <v>0</v>
      </c>
      <c r="EM407" s="423">
        <f t="shared" si="182"/>
        <v>0</v>
      </c>
      <c r="EN407" s="424">
        <f t="shared" si="183"/>
        <v>0</v>
      </c>
      <c r="EO407" s="425">
        <f t="shared" si="184"/>
        <v>0</v>
      </c>
      <c r="EP407" s="419"/>
      <c r="EQ407" s="421"/>
      <c r="ER407" s="419"/>
      <c r="ES407" s="421"/>
      <c r="ET407" s="419"/>
      <c r="EU407" s="421"/>
      <c r="EV407" s="419"/>
      <c r="EW407" s="421"/>
      <c r="EX407" s="419"/>
      <c r="EY407" s="421"/>
      <c r="EZ407" s="419"/>
      <c r="FA407" s="421"/>
      <c r="FB407" s="419"/>
      <c r="FC407" s="421"/>
      <c r="FD407" s="419"/>
      <c r="FE407" s="421"/>
      <c r="FF407" s="419"/>
      <c r="FG407" s="421"/>
      <c r="FH407" s="419"/>
      <c r="FI407" s="421"/>
      <c r="FJ407" s="424">
        <f t="shared" si="185"/>
        <v>0</v>
      </c>
      <c r="FK407" s="425">
        <f t="shared" si="186"/>
        <v>0</v>
      </c>
      <c r="FL407" s="419"/>
      <c r="FM407" s="421"/>
      <c r="FN407" s="424">
        <f t="shared" si="187"/>
        <v>155</v>
      </c>
      <c r="FO407" s="425">
        <f t="shared" si="188"/>
        <v>160</v>
      </c>
    </row>
    <row r="408" spans="1:171">
      <c r="A408" s="428" t="s">
        <v>165</v>
      </c>
      <c r="B408" s="50" t="s">
        <v>929</v>
      </c>
      <c r="C408" s="47"/>
      <c r="D408" s="48">
        <v>221591</v>
      </c>
      <c r="E408" s="48">
        <v>13</v>
      </c>
      <c r="F408" s="419">
        <v>284</v>
      </c>
      <c r="G408" s="421">
        <v>283</v>
      </c>
      <c r="H408" s="419"/>
      <c r="I408" s="421"/>
      <c r="J408" s="419"/>
      <c r="K408" s="421"/>
      <c r="L408" s="422">
        <f t="shared" si="167"/>
        <v>0</v>
      </c>
      <c r="M408" s="423">
        <f t="shared" si="168"/>
        <v>0</v>
      </c>
      <c r="N408" s="419"/>
      <c r="O408" s="309">
        <f>0</f>
        <v>0</v>
      </c>
      <c r="P408" s="309">
        <f>0</f>
        <v>0</v>
      </c>
      <c r="Q408" s="309">
        <f>0</f>
        <v>0</v>
      </c>
      <c r="R408" s="424">
        <f t="shared" si="165"/>
        <v>0</v>
      </c>
      <c r="S408" s="421"/>
      <c r="T408" s="301">
        <f>0</f>
        <v>0</v>
      </c>
      <c r="U408" s="301">
        <f>0</f>
        <v>0</v>
      </c>
      <c r="V408" s="301">
        <f>0</f>
        <v>0</v>
      </c>
      <c r="W408" s="425">
        <f t="shared" si="166"/>
        <v>0</v>
      </c>
      <c r="X408" s="419"/>
      <c r="Y408" s="419"/>
      <c r="Z408" s="421"/>
      <c r="AA408" s="421"/>
      <c r="AB408" s="419"/>
      <c r="AC408" s="419"/>
      <c r="AD408" s="421"/>
      <c r="AE408" s="421"/>
      <c r="AF408" s="419"/>
      <c r="AG408" s="419"/>
      <c r="AH408" s="421"/>
      <c r="AI408" s="421"/>
      <c r="AJ408" s="419"/>
      <c r="AK408" s="419"/>
      <c r="AL408" s="421"/>
      <c r="AM408" s="421"/>
      <c r="AN408" s="419"/>
      <c r="AO408" s="419"/>
      <c r="AP408" s="421"/>
      <c r="AQ408" s="421"/>
      <c r="AR408" s="424">
        <f t="shared" si="169"/>
        <v>0</v>
      </c>
      <c r="AS408" s="422">
        <f t="shared" si="170"/>
        <v>0</v>
      </c>
      <c r="AT408" s="425">
        <f t="shared" si="171"/>
        <v>0</v>
      </c>
      <c r="AU408" s="423">
        <f t="shared" si="172"/>
        <v>0</v>
      </c>
      <c r="AV408" s="419"/>
      <c r="AW408" s="421"/>
      <c r="AX408" s="419"/>
      <c r="AY408" s="419"/>
      <c r="AZ408" s="421"/>
      <c r="BA408" s="421"/>
      <c r="BB408" s="419"/>
      <c r="BC408" s="419"/>
      <c r="BD408" s="421"/>
      <c r="BE408" s="421"/>
      <c r="BF408" s="419"/>
      <c r="BG408" s="419"/>
      <c r="BH408" s="421"/>
      <c r="BI408" s="421"/>
      <c r="BJ408" s="419"/>
      <c r="BK408" s="419"/>
      <c r="BL408" s="421"/>
      <c r="BM408" s="421"/>
      <c r="BN408" s="419"/>
      <c r="BO408" s="419"/>
      <c r="BP408" s="421"/>
      <c r="BQ408" s="421"/>
      <c r="BR408" s="419"/>
      <c r="BS408" s="419"/>
      <c r="BT408" s="421"/>
      <c r="BU408" s="421"/>
      <c r="BV408" s="419"/>
      <c r="BW408" s="419"/>
      <c r="BX408" s="421"/>
      <c r="BY408" s="421"/>
      <c r="BZ408" s="419"/>
      <c r="CA408" s="419"/>
      <c r="CB408" s="421"/>
      <c r="CC408" s="421"/>
      <c r="CD408" s="419"/>
      <c r="CE408" s="419"/>
      <c r="CF408" s="421"/>
      <c r="CG408" s="421"/>
      <c r="CH408" s="419"/>
      <c r="CI408" s="419"/>
      <c r="CJ408" s="421"/>
      <c r="CK408" s="421"/>
      <c r="CL408" s="419"/>
      <c r="CM408" s="421"/>
      <c r="CN408" s="424">
        <f t="shared" si="173"/>
        <v>0</v>
      </c>
      <c r="CO408" s="424">
        <f t="shared" si="174"/>
        <v>0</v>
      </c>
      <c r="CP408" s="425">
        <f t="shared" si="175"/>
        <v>0</v>
      </c>
      <c r="CQ408" s="425">
        <f t="shared" si="176"/>
        <v>0</v>
      </c>
      <c r="CR408" s="419"/>
      <c r="CS408" s="419"/>
      <c r="CT408" s="421"/>
      <c r="CU408" s="421"/>
      <c r="CV408" s="419"/>
      <c r="CW408" s="419"/>
      <c r="CX408" s="421"/>
      <c r="CY408" s="421"/>
      <c r="CZ408" s="419"/>
      <c r="DA408" s="419"/>
      <c r="DB408" s="421"/>
      <c r="DC408" s="421"/>
      <c r="DD408" s="419"/>
      <c r="DE408" s="419"/>
      <c r="DF408" s="421"/>
      <c r="DG408" s="421"/>
      <c r="DH408" s="419"/>
      <c r="DI408" s="419"/>
      <c r="DJ408" s="421"/>
      <c r="DK408" s="421"/>
      <c r="DL408" s="419"/>
      <c r="DM408" s="419"/>
      <c r="DN408" s="421"/>
      <c r="DO408" s="421"/>
      <c r="DP408" s="419"/>
      <c r="DQ408" s="419"/>
      <c r="DR408" s="421"/>
      <c r="DS408" s="421"/>
      <c r="DT408" s="419"/>
      <c r="DU408" s="419"/>
      <c r="DV408" s="421"/>
      <c r="DW408" s="421"/>
      <c r="DX408" s="419"/>
      <c r="DY408" s="419"/>
      <c r="DZ408" s="421"/>
      <c r="EA408" s="421"/>
      <c r="EB408" s="419"/>
      <c r="EC408" s="419"/>
      <c r="ED408" s="421"/>
      <c r="EE408" s="421"/>
      <c r="EF408" s="419"/>
      <c r="EG408" s="421"/>
      <c r="EH408" s="424">
        <f t="shared" si="177"/>
        <v>0</v>
      </c>
      <c r="EI408" s="424">
        <f t="shared" si="178"/>
        <v>0</v>
      </c>
      <c r="EJ408" s="422">
        <f t="shared" si="179"/>
        <v>0</v>
      </c>
      <c r="EK408" s="425">
        <f t="shared" si="180"/>
        <v>0</v>
      </c>
      <c r="EL408" s="425">
        <f t="shared" si="181"/>
        <v>0</v>
      </c>
      <c r="EM408" s="423">
        <f t="shared" si="182"/>
        <v>0</v>
      </c>
      <c r="EN408" s="424">
        <f t="shared" si="183"/>
        <v>0</v>
      </c>
      <c r="EO408" s="425">
        <f t="shared" si="184"/>
        <v>0</v>
      </c>
      <c r="EP408" s="419"/>
      <c r="EQ408" s="421"/>
      <c r="ER408" s="419"/>
      <c r="ES408" s="421"/>
      <c r="ET408" s="419"/>
      <c r="EU408" s="421"/>
      <c r="EV408" s="419"/>
      <c r="EW408" s="421"/>
      <c r="EX408" s="419"/>
      <c r="EY408" s="421"/>
      <c r="EZ408" s="419"/>
      <c r="FA408" s="421"/>
      <c r="FB408" s="419"/>
      <c r="FC408" s="421"/>
      <c r="FD408" s="419"/>
      <c r="FE408" s="421"/>
      <c r="FF408" s="419"/>
      <c r="FG408" s="421"/>
      <c r="FH408" s="419"/>
      <c r="FI408" s="421"/>
      <c r="FJ408" s="424">
        <f t="shared" si="185"/>
        <v>0</v>
      </c>
      <c r="FK408" s="425">
        <f t="shared" si="186"/>
        <v>0</v>
      </c>
      <c r="FL408" s="419"/>
      <c r="FM408" s="421"/>
      <c r="FN408" s="424">
        <f t="shared" si="187"/>
        <v>284</v>
      </c>
      <c r="FO408" s="425">
        <f t="shared" si="188"/>
        <v>283</v>
      </c>
    </row>
    <row r="409" spans="1:171">
      <c r="A409" s="428" t="s">
        <v>165</v>
      </c>
      <c r="B409" s="429" t="s">
        <v>930</v>
      </c>
      <c r="C409" s="430"/>
      <c r="D409" s="48">
        <v>221430</v>
      </c>
      <c r="E409" s="48">
        <v>13</v>
      </c>
      <c r="F409" s="419">
        <v>165</v>
      </c>
      <c r="G409" s="420">
        <v>62</v>
      </c>
      <c r="H409" s="419"/>
      <c r="I409" s="421"/>
      <c r="J409" s="419"/>
      <c r="K409" s="421"/>
      <c r="L409" s="422">
        <f t="shared" si="167"/>
        <v>0</v>
      </c>
      <c r="M409" s="423">
        <f t="shared" si="168"/>
        <v>0</v>
      </c>
      <c r="N409" s="419"/>
      <c r="O409" s="309">
        <f>0</f>
        <v>0</v>
      </c>
      <c r="P409" s="309">
        <f>0</f>
        <v>0</v>
      </c>
      <c r="Q409" s="309">
        <f>0</f>
        <v>0</v>
      </c>
      <c r="R409" s="424">
        <f t="shared" si="165"/>
        <v>0</v>
      </c>
      <c r="S409" s="421"/>
      <c r="T409" s="301">
        <f>0</f>
        <v>0</v>
      </c>
      <c r="U409" s="301">
        <f>0</f>
        <v>0</v>
      </c>
      <c r="V409" s="301">
        <f>0</f>
        <v>0</v>
      </c>
      <c r="W409" s="425">
        <f t="shared" si="166"/>
        <v>0</v>
      </c>
      <c r="X409" s="419"/>
      <c r="Y409" s="419"/>
      <c r="Z409" s="421"/>
      <c r="AA409" s="421"/>
      <c r="AB409" s="419"/>
      <c r="AC409" s="419"/>
      <c r="AD409" s="421"/>
      <c r="AE409" s="421"/>
      <c r="AF409" s="419"/>
      <c r="AG409" s="419"/>
      <c r="AH409" s="421"/>
      <c r="AI409" s="421"/>
      <c r="AJ409" s="419"/>
      <c r="AK409" s="419"/>
      <c r="AL409" s="421"/>
      <c r="AM409" s="421"/>
      <c r="AN409" s="419"/>
      <c r="AO409" s="419"/>
      <c r="AP409" s="421"/>
      <c r="AQ409" s="421"/>
      <c r="AR409" s="424">
        <f t="shared" si="169"/>
        <v>0</v>
      </c>
      <c r="AS409" s="422">
        <f t="shared" si="170"/>
        <v>0</v>
      </c>
      <c r="AT409" s="425">
        <f t="shared" si="171"/>
        <v>0</v>
      </c>
      <c r="AU409" s="423">
        <f t="shared" si="172"/>
        <v>0</v>
      </c>
      <c r="AV409" s="419"/>
      <c r="AW409" s="421"/>
      <c r="AX409" s="419"/>
      <c r="AY409" s="419"/>
      <c r="AZ409" s="421"/>
      <c r="BA409" s="421"/>
      <c r="BB409" s="419"/>
      <c r="BC409" s="419"/>
      <c r="BD409" s="421"/>
      <c r="BE409" s="421"/>
      <c r="BF409" s="419"/>
      <c r="BG409" s="419"/>
      <c r="BH409" s="421"/>
      <c r="BI409" s="421"/>
      <c r="BJ409" s="419"/>
      <c r="BK409" s="419"/>
      <c r="BL409" s="421"/>
      <c r="BM409" s="421"/>
      <c r="BN409" s="419"/>
      <c r="BO409" s="419"/>
      <c r="BP409" s="421"/>
      <c r="BQ409" s="421"/>
      <c r="BR409" s="419"/>
      <c r="BS409" s="419"/>
      <c r="BT409" s="421"/>
      <c r="BU409" s="421"/>
      <c r="BV409" s="419"/>
      <c r="BW409" s="419"/>
      <c r="BX409" s="421"/>
      <c r="BY409" s="421"/>
      <c r="BZ409" s="419"/>
      <c r="CA409" s="419"/>
      <c r="CB409" s="421"/>
      <c r="CC409" s="421"/>
      <c r="CD409" s="419"/>
      <c r="CE409" s="419"/>
      <c r="CF409" s="421"/>
      <c r="CG409" s="421"/>
      <c r="CH409" s="419"/>
      <c r="CI409" s="419"/>
      <c r="CJ409" s="421"/>
      <c r="CK409" s="421"/>
      <c r="CL409" s="419"/>
      <c r="CM409" s="421"/>
      <c r="CN409" s="424">
        <f t="shared" si="173"/>
        <v>0</v>
      </c>
      <c r="CO409" s="424">
        <f t="shared" si="174"/>
        <v>0</v>
      </c>
      <c r="CP409" s="425">
        <f t="shared" si="175"/>
        <v>0</v>
      </c>
      <c r="CQ409" s="425">
        <f t="shared" si="176"/>
        <v>0</v>
      </c>
      <c r="CR409" s="419"/>
      <c r="CS409" s="419"/>
      <c r="CT409" s="421"/>
      <c r="CU409" s="421"/>
      <c r="CV409" s="419"/>
      <c r="CW409" s="419"/>
      <c r="CX409" s="421"/>
      <c r="CY409" s="421"/>
      <c r="CZ409" s="419"/>
      <c r="DA409" s="419"/>
      <c r="DB409" s="421"/>
      <c r="DC409" s="421"/>
      <c r="DD409" s="419"/>
      <c r="DE409" s="419"/>
      <c r="DF409" s="421"/>
      <c r="DG409" s="421"/>
      <c r="DH409" s="419"/>
      <c r="DI409" s="419"/>
      <c r="DJ409" s="421"/>
      <c r="DK409" s="421"/>
      <c r="DL409" s="419"/>
      <c r="DM409" s="419"/>
      <c r="DN409" s="421"/>
      <c r="DO409" s="421"/>
      <c r="DP409" s="419"/>
      <c r="DQ409" s="419"/>
      <c r="DR409" s="421"/>
      <c r="DS409" s="421"/>
      <c r="DT409" s="419"/>
      <c r="DU409" s="419"/>
      <c r="DV409" s="421"/>
      <c r="DW409" s="421"/>
      <c r="DX409" s="419"/>
      <c r="DY409" s="419"/>
      <c r="DZ409" s="421"/>
      <c r="EA409" s="421"/>
      <c r="EB409" s="419"/>
      <c r="EC409" s="419"/>
      <c r="ED409" s="421"/>
      <c r="EE409" s="421"/>
      <c r="EF409" s="419"/>
      <c r="EG409" s="421"/>
      <c r="EH409" s="424">
        <f t="shared" si="177"/>
        <v>0</v>
      </c>
      <c r="EI409" s="424">
        <f t="shared" si="178"/>
        <v>0</v>
      </c>
      <c r="EJ409" s="422">
        <f t="shared" si="179"/>
        <v>0</v>
      </c>
      <c r="EK409" s="425">
        <f t="shared" si="180"/>
        <v>0</v>
      </c>
      <c r="EL409" s="425">
        <f t="shared" si="181"/>
        <v>0</v>
      </c>
      <c r="EM409" s="423">
        <f t="shared" si="182"/>
        <v>0</v>
      </c>
      <c r="EN409" s="424">
        <f t="shared" si="183"/>
        <v>0</v>
      </c>
      <c r="EO409" s="425">
        <f t="shared" si="184"/>
        <v>0</v>
      </c>
      <c r="EP409" s="419"/>
      <c r="EQ409" s="421"/>
      <c r="ER409" s="419"/>
      <c r="ES409" s="421"/>
      <c r="ET409" s="419"/>
      <c r="EU409" s="421"/>
      <c r="EV409" s="419"/>
      <c r="EW409" s="421"/>
      <c r="EX409" s="419"/>
      <c r="EY409" s="421"/>
      <c r="EZ409" s="419"/>
      <c r="FA409" s="421"/>
      <c r="FB409" s="419"/>
      <c r="FC409" s="421"/>
      <c r="FD409" s="419"/>
      <c r="FE409" s="421"/>
      <c r="FF409" s="419"/>
      <c r="FG409" s="421"/>
      <c r="FH409" s="419"/>
      <c r="FI409" s="421"/>
      <c r="FJ409" s="424">
        <f t="shared" si="185"/>
        <v>0</v>
      </c>
      <c r="FK409" s="425">
        <f t="shared" si="186"/>
        <v>0</v>
      </c>
      <c r="FL409" s="419"/>
      <c r="FM409" s="421"/>
      <c r="FN409" s="424">
        <f t="shared" si="187"/>
        <v>165</v>
      </c>
      <c r="FO409" s="425">
        <f t="shared" si="188"/>
        <v>62</v>
      </c>
    </row>
    <row r="410" spans="1:171">
      <c r="A410" s="428" t="s">
        <v>165</v>
      </c>
      <c r="B410" s="50" t="s">
        <v>931</v>
      </c>
      <c r="C410" s="49"/>
      <c r="D410" s="48">
        <v>219994</v>
      </c>
      <c r="E410" s="48">
        <v>13</v>
      </c>
      <c r="F410" s="419">
        <v>403</v>
      </c>
      <c r="G410" s="420">
        <v>251</v>
      </c>
      <c r="H410" s="419"/>
      <c r="I410" s="421"/>
      <c r="J410" s="419"/>
      <c r="K410" s="421"/>
      <c r="L410" s="422">
        <f t="shared" si="167"/>
        <v>0</v>
      </c>
      <c r="M410" s="423">
        <f t="shared" si="168"/>
        <v>0</v>
      </c>
      <c r="N410" s="419"/>
      <c r="O410" s="309">
        <f>0</f>
        <v>0</v>
      </c>
      <c r="P410" s="309">
        <f>0</f>
        <v>0</v>
      </c>
      <c r="Q410" s="309">
        <f>0</f>
        <v>0</v>
      </c>
      <c r="R410" s="424">
        <f t="shared" si="165"/>
        <v>0</v>
      </c>
      <c r="S410" s="421"/>
      <c r="T410" s="301">
        <f>0</f>
        <v>0</v>
      </c>
      <c r="U410" s="301">
        <f>0</f>
        <v>0</v>
      </c>
      <c r="V410" s="301">
        <f>0</f>
        <v>0</v>
      </c>
      <c r="W410" s="425">
        <f t="shared" si="166"/>
        <v>0</v>
      </c>
      <c r="X410" s="419"/>
      <c r="Y410" s="419"/>
      <c r="Z410" s="421"/>
      <c r="AA410" s="421"/>
      <c r="AB410" s="419"/>
      <c r="AC410" s="419"/>
      <c r="AD410" s="421"/>
      <c r="AE410" s="421"/>
      <c r="AF410" s="419"/>
      <c r="AG410" s="419"/>
      <c r="AH410" s="421"/>
      <c r="AI410" s="421"/>
      <c r="AJ410" s="419"/>
      <c r="AK410" s="419"/>
      <c r="AL410" s="421"/>
      <c r="AM410" s="421"/>
      <c r="AN410" s="419"/>
      <c r="AO410" s="419"/>
      <c r="AP410" s="421"/>
      <c r="AQ410" s="421"/>
      <c r="AR410" s="424">
        <f t="shared" si="169"/>
        <v>0</v>
      </c>
      <c r="AS410" s="422">
        <f t="shared" si="170"/>
        <v>0</v>
      </c>
      <c r="AT410" s="425">
        <f t="shared" si="171"/>
        <v>0</v>
      </c>
      <c r="AU410" s="423">
        <f t="shared" si="172"/>
        <v>0</v>
      </c>
      <c r="AV410" s="419"/>
      <c r="AW410" s="421"/>
      <c r="AX410" s="419"/>
      <c r="AY410" s="419"/>
      <c r="AZ410" s="421"/>
      <c r="BA410" s="421"/>
      <c r="BB410" s="419"/>
      <c r="BC410" s="419"/>
      <c r="BD410" s="421"/>
      <c r="BE410" s="421"/>
      <c r="BF410" s="419"/>
      <c r="BG410" s="419"/>
      <c r="BH410" s="421"/>
      <c r="BI410" s="421"/>
      <c r="BJ410" s="419"/>
      <c r="BK410" s="419"/>
      <c r="BL410" s="421"/>
      <c r="BM410" s="421"/>
      <c r="BN410" s="419"/>
      <c r="BO410" s="419"/>
      <c r="BP410" s="421"/>
      <c r="BQ410" s="421"/>
      <c r="BR410" s="419"/>
      <c r="BS410" s="419"/>
      <c r="BT410" s="421"/>
      <c r="BU410" s="421"/>
      <c r="BV410" s="419"/>
      <c r="BW410" s="419"/>
      <c r="BX410" s="421"/>
      <c r="BY410" s="421"/>
      <c r="BZ410" s="419"/>
      <c r="CA410" s="419"/>
      <c r="CB410" s="421"/>
      <c r="CC410" s="421"/>
      <c r="CD410" s="419"/>
      <c r="CE410" s="419"/>
      <c r="CF410" s="421"/>
      <c r="CG410" s="421"/>
      <c r="CH410" s="419"/>
      <c r="CI410" s="419"/>
      <c r="CJ410" s="421"/>
      <c r="CK410" s="421"/>
      <c r="CL410" s="419"/>
      <c r="CM410" s="421"/>
      <c r="CN410" s="424">
        <f t="shared" si="173"/>
        <v>0</v>
      </c>
      <c r="CO410" s="424">
        <f t="shared" si="174"/>
        <v>0</v>
      </c>
      <c r="CP410" s="425">
        <f t="shared" si="175"/>
        <v>0</v>
      </c>
      <c r="CQ410" s="425">
        <f t="shared" si="176"/>
        <v>0</v>
      </c>
      <c r="CR410" s="419"/>
      <c r="CS410" s="419"/>
      <c r="CT410" s="421"/>
      <c r="CU410" s="421"/>
      <c r="CV410" s="419"/>
      <c r="CW410" s="419"/>
      <c r="CX410" s="421"/>
      <c r="CY410" s="421"/>
      <c r="CZ410" s="419"/>
      <c r="DA410" s="419"/>
      <c r="DB410" s="421"/>
      <c r="DC410" s="421"/>
      <c r="DD410" s="419"/>
      <c r="DE410" s="419"/>
      <c r="DF410" s="421"/>
      <c r="DG410" s="421"/>
      <c r="DH410" s="419"/>
      <c r="DI410" s="419"/>
      <c r="DJ410" s="421"/>
      <c r="DK410" s="421"/>
      <c r="DL410" s="419"/>
      <c r="DM410" s="419"/>
      <c r="DN410" s="421"/>
      <c r="DO410" s="421"/>
      <c r="DP410" s="419"/>
      <c r="DQ410" s="419"/>
      <c r="DR410" s="421"/>
      <c r="DS410" s="421"/>
      <c r="DT410" s="419"/>
      <c r="DU410" s="419"/>
      <c r="DV410" s="421"/>
      <c r="DW410" s="421"/>
      <c r="DX410" s="419"/>
      <c r="DY410" s="419"/>
      <c r="DZ410" s="421"/>
      <c r="EA410" s="421"/>
      <c r="EB410" s="419"/>
      <c r="EC410" s="419"/>
      <c r="ED410" s="421"/>
      <c r="EE410" s="421"/>
      <c r="EF410" s="419"/>
      <c r="EG410" s="421"/>
      <c r="EH410" s="424">
        <f t="shared" si="177"/>
        <v>0</v>
      </c>
      <c r="EI410" s="424">
        <f t="shared" si="178"/>
        <v>0</v>
      </c>
      <c r="EJ410" s="422">
        <f t="shared" si="179"/>
        <v>0</v>
      </c>
      <c r="EK410" s="425">
        <f t="shared" si="180"/>
        <v>0</v>
      </c>
      <c r="EL410" s="425">
        <f t="shared" si="181"/>
        <v>0</v>
      </c>
      <c r="EM410" s="423">
        <f t="shared" si="182"/>
        <v>0</v>
      </c>
      <c r="EN410" s="424">
        <f t="shared" si="183"/>
        <v>0</v>
      </c>
      <c r="EO410" s="425">
        <f t="shared" si="184"/>
        <v>0</v>
      </c>
      <c r="EP410" s="419"/>
      <c r="EQ410" s="421"/>
      <c r="ER410" s="419"/>
      <c r="ES410" s="421"/>
      <c r="ET410" s="419"/>
      <c r="EU410" s="421"/>
      <c r="EV410" s="419"/>
      <c r="EW410" s="421"/>
      <c r="EX410" s="419"/>
      <c r="EY410" s="421"/>
      <c r="EZ410" s="419"/>
      <c r="FA410" s="421"/>
      <c r="FB410" s="419"/>
      <c r="FC410" s="421"/>
      <c r="FD410" s="419"/>
      <c r="FE410" s="421"/>
      <c r="FF410" s="419"/>
      <c r="FG410" s="421"/>
      <c r="FH410" s="419"/>
      <c r="FI410" s="421"/>
      <c r="FJ410" s="424">
        <f t="shared" si="185"/>
        <v>0</v>
      </c>
      <c r="FK410" s="425">
        <f t="shared" si="186"/>
        <v>0</v>
      </c>
      <c r="FL410" s="419"/>
      <c r="FM410" s="421"/>
      <c r="FN410" s="424">
        <f t="shared" si="187"/>
        <v>403</v>
      </c>
      <c r="FO410" s="425">
        <f t="shared" si="188"/>
        <v>251</v>
      </c>
    </row>
    <row r="411" spans="1:171">
      <c r="A411" s="428" t="s">
        <v>165</v>
      </c>
      <c r="B411" s="50" t="s">
        <v>932</v>
      </c>
      <c r="C411" s="47"/>
      <c r="D411" s="48">
        <v>220127</v>
      </c>
      <c r="E411" s="48">
        <v>13</v>
      </c>
      <c r="F411" s="419">
        <v>334</v>
      </c>
      <c r="G411" s="421">
        <v>285</v>
      </c>
      <c r="H411" s="419"/>
      <c r="I411" s="421"/>
      <c r="J411" s="419"/>
      <c r="K411" s="421"/>
      <c r="L411" s="422">
        <f t="shared" si="167"/>
        <v>0</v>
      </c>
      <c r="M411" s="423">
        <f t="shared" si="168"/>
        <v>0</v>
      </c>
      <c r="N411" s="419"/>
      <c r="O411" s="309">
        <f>0</f>
        <v>0</v>
      </c>
      <c r="P411" s="309">
        <f>0</f>
        <v>0</v>
      </c>
      <c r="Q411" s="309">
        <f>0</f>
        <v>0</v>
      </c>
      <c r="R411" s="424">
        <f t="shared" si="165"/>
        <v>0</v>
      </c>
      <c r="S411" s="421"/>
      <c r="T411" s="301">
        <f>0</f>
        <v>0</v>
      </c>
      <c r="U411" s="301">
        <f>0</f>
        <v>0</v>
      </c>
      <c r="V411" s="301">
        <f>0</f>
        <v>0</v>
      </c>
      <c r="W411" s="425">
        <f t="shared" si="166"/>
        <v>0</v>
      </c>
      <c r="X411" s="419"/>
      <c r="Y411" s="419"/>
      <c r="Z411" s="421"/>
      <c r="AA411" s="421"/>
      <c r="AB411" s="419"/>
      <c r="AC411" s="419"/>
      <c r="AD411" s="421"/>
      <c r="AE411" s="421"/>
      <c r="AF411" s="419"/>
      <c r="AG411" s="419"/>
      <c r="AH411" s="421"/>
      <c r="AI411" s="421"/>
      <c r="AJ411" s="419"/>
      <c r="AK411" s="419"/>
      <c r="AL411" s="421"/>
      <c r="AM411" s="421"/>
      <c r="AN411" s="419"/>
      <c r="AO411" s="419"/>
      <c r="AP411" s="421"/>
      <c r="AQ411" s="421"/>
      <c r="AR411" s="424">
        <f t="shared" si="169"/>
        <v>0</v>
      </c>
      <c r="AS411" s="422">
        <f t="shared" si="170"/>
        <v>0</v>
      </c>
      <c r="AT411" s="425">
        <f t="shared" si="171"/>
        <v>0</v>
      </c>
      <c r="AU411" s="423">
        <f t="shared" si="172"/>
        <v>0</v>
      </c>
      <c r="AV411" s="419"/>
      <c r="AW411" s="421"/>
      <c r="AX411" s="419"/>
      <c r="AY411" s="419"/>
      <c r="AZ411" s="421"/>
      <c r="BA411" s="421"/>
      <c r="BB411" s="419"/>
      <c r="BC411" s="419"/>
      <c r="BD411" s="421"/>
      <c r="BE411" s="421"/>
      <c r="BF411" s="419"/>
      <c r="BG411" s="419"/>
      <c r="BH411" s="421"/>
      <c r="BI411" s="421"/>
      <c r="BJ411" s="419"/>
      <c r="BK411" s="419"/>
      <c r="BL411" s="421"/>
      <c r="BM411" s="421"/>
      <c r="BN411" s="419"/>
      <c r="BO411" s="419"/>
      <c r="BP411" s="421"/>
      <c r="BQ411" s="421"/>
      <c r="BR411" s="419"/>
      <c r="BS411" s="419"/>
      <c r="BT411" s="421"/>
      <c r="BU411" s="421"/>
      <c r="BV411" s="419"/>
      <c r="BW411" s="419"/>
      <c r="BX411" s="421"/>
      <c r="BY411" s="421"/>
      <c r="BZ411" s="419"/>
      <c r="CA411" s="419"/>
      <c r="CB411" s="421"/>
      <c r="CC411" s="421"/>
      <c r="CD411" s="419"/>
      <c r="CE411" s="419"/>
      <c r="CF411" s="421"/>
      <c r="CG411" s="421"/>
      <c r="CH411" s="419"/>
      <c r="CI411" s="419"/>
      <c r="CJ411" s="421"/>
      <c r="CK411" s="421"/>
      <c r="CL411" s="419"/>
      <c r="CM411" s="421"/>
      <c r="CN411" s="424">
        <f t="shared" si="173"/>
        <v>0</v>
      </c>
      <c r="CO411" s="424">
        <f t="shared" si="174"/>
        <v>0</v>
      </c>
      <c r="CP411" s="425">
        <f t="shared" si="175"/>
        <v>0</v>
      </c>
      <c r="CQ411" s="425">
        <f t="shared" si="176"/>
        <v>0</v>
      </c>
      <c r="CR411" s="419"/>
      <c r="CS411" s="419"/>
      <c r="CT411" s="421"/>
      <c r="CU411" s="421"/>
      <c r="CV411" s="419"/>
      <c r="CW411" s="419"/>
      <c r="CX411" s="421"/>
      <c r="CY411" s="421"/>
      <c r="CZ411" s="419"/>
      <c r="DA411" s="419"/>
      <c r="DB411" s="421"/>
      <c r="DC411" s="421"/>
      <c r="DD411" s="419"/>
      <c r="DE411" s="419"/>
      <c r="DF411" s="421"/>
      <c r="DG411" s="421"/>
      <c r="DH411" s="419"/>
      <c r="DI411" s="419"/>
      <c r="DJ411" s="421"/>
      <c r="DK411" s="421"/>
      <c r="DL411" s="419"/>
      <c r="DM411" s="419"/>
      <c r="DN411" s="421"/>
      <c r="DO411" s="421"/>
      <c r="DP411" s="419"/>
      <c r="DQ411" s="419"/>
      <c r="DR411" s="421"/>
      <c r="DS411" s="421"/>
      <c r="DT411" s="419"/>
      <c r="DU411" s="419"/>
      <c r="DV411" s="421"/>
      <c r="DW411" s="421"/>
      <c r="DX411" s="419"/>
      <c r="DY411" s="419"/>
      <c r="DZ411" s="421"/>
      <c r="EA411" s="421"/>
      <c r="EB411" s="419"/>
      <c r="EC411" s="419"/>
      <c r="ED411" s="421"/>
      <c r="EE411" s="421"/>
      <c r="EF411" s="419"/>
      <c r="EG411" s="421"/>
      <c r="EH411" s="424">
        <f t="shared" si="177"/>
        <v>0</v>
      </c>
      <c r="EI411" s="424">
        <f t="shared" si="178"/>
        <v>0</v>
      </c>
      <c r="EJ411" s="422">
        <f t="shared" si="179"/>
        <v>0</v>
      </c>
      <c r="EK411" s="425">
        <f t="shared" si="180"/>
        <v>0</v>
      </c>
      <c r="EL411" s="425">
        <f t="shared" si="181"/>
        <v>0</v>
      </c>
      <c r="EM411" s="423">
        <f t="shared" si="182"/>
        <v>0</v>
      </c>
      <c r="EN411" s="424">
        <f t="shared" si="183"/>
        <v>0</v>
      </c>
      <c r="EO411" s="425">
        <f t="shared" si="184"/>
        <v>0</v>
      </c>
      <c r="EP411" s="419"/>
      <c r="EQ411" s="421"/>
      <c r="ER411" s="419"/>
      <c r="ES411" s="421"/>
      <c r="ET411" s="419"/>
      <c r="EU411" s="421"/>
      <c r="EV411" s="419"/>
      <c r="EW411" s="421"/>
      <c r="EX411" s="419"/>
      <c r="EY411" s="421"/>
      <c r="EZ411" s="419"/>
      <c r="FA411" s="421"/>
      <c r="FB411" s="419"/>
      <c r="FC411" s="421"/>
      <c r="FD411" s="419"/>
      <c r="FE411" s="421"/>
      <c r="FF411" s="419"/>
      <c r="FG411" s="421"/>
      <c r="FH411" s="419"/>
      <c r="FI411" s="421"/>
      <c r="FJ411" s="424">
        <f t="shared" si="185"/>
        <v>0</v>
      </c>
      <c r="FK411" s="425">
        <f t="shared" si="186"/>
        <v>0</v>
      </c>
      <c r="FL411" s="419"/>
      <c r="FM411" s="421"/>
      <c r="FN411" s="424">
        <f t="shared" si="187"/>
        <v>334</v>
      </c>
      <c r="FO411" s="425">
        <f t="shared" si="188"/>
        <v>285</v>
      </c>
    </row>
    <row r="412" spans="1:171">
      <c r="A412" s="428" t="s">
        <v>165</v>
      </c>
      <c r="B412" s="429" t="s">
        <v>933</v>
      </c>
      <c r="C412" s="430"/>
      <c r="D412" s="48">
        <v>220251</v>
      </c>
      <c r="E412" s="48">
        <v>13</v>
      </c>
      <c r="F412" s="419">
        <v>159</v>
      </c>
      <c r="G412" s="420">
        <v>87</v>
      </c>
      <c r="H412" s="419"/>
      <c r="I412" s="421"/>
      <c r="J412" s="419"/>
      <c r="K412" s="421"/>
      <c r="L412" s="422">
        <f t="shared" si="167"/>
        <v>0</v>
      </c>
      <c r="M412" s="423">
        <f t="shared" si="168"/>
        <v>0</v>
      </c>
      <c r="N412" s="419"/>
      <c r="O412" s="309">
        <f>0</f>
        <v>0</v>
      </c>
      <c r="P412" s="309">
        <f>0</f>
        <v>0</v>
      </c>
      <c r="Q412" s="309">
        <f>0</f>
        <v>0</v>
      </c>
      <c r="R412" s="424">
        <f t="shared" si="165"/>
        <v>0</v>
      </c>
      <c r="S412" s="421"/>
      <c r="T412" s="301">
        <f>0</f>
        <v>0</v>
      </c>
      <c r="U412" s="301">
        <f>0</f>
        <v>0</v>
      </c>
      <c r="V412" s="301">
        <f>0</f>
        <v>0</v>
      </c>
      <c r="W412" s="425">
        <f t="shared" si="166"/>
        <v>0</v>
      </c>
      <c r="X412" s="419"/>
      <c r="Y412" s="419"/>
      <c r="Z412" s="421"/>
      <c r="AA412" s="421"/>
      <c r="AB412" s="419"/>
      <c r="AC412" s="419"/>
      <c r="AD412" s="421"/>
      <c r="AE412" s="421"/>
      <c r="AF412" s="419"/>
      <c r="AG412" s="419"/>
      <c r="AH412" s="421"/>
      <c r="AI412" s="421"/>
      <c r="AJ412" s="419"/>
      <c r="AK412" s="419"/>
      <c r="AL412" s="421"/>
      <c r="AM412" s="421"/>
      <c r="AN412" s="419"/>
      <c r="AO412" s="419"/>
      <c r="AP412" s="421"/>
      <c r="AQ412" s="421"/>
      <c r="AR412" s="424">
        <f t="shared" si="169"/>
        <v>0</v>
      </c>
      <c r="AS412" s="422">
        <f t="shared" si="170"/>
        <v>0</v>
      </c>
      <c r="AT412" s="425">
        <f t="shared" si="171"/>
        <v>0</v>
      </c>
      <c r="AU412" s="423">
        <f t="shared" si="172"/>
        <v>0</v>
      </c>
      <c r="AV412" s="419"/>
      <c r="AW412" s="421"/>
      <c r="AX412" s="419"/>
      <c r="AY412" s="419"/>
      <c r="AZ412" s="421"/>
      <c r="BA412" s="421"/>
      <c r="BB412" s="419"/>
      <c r="BC412" s="419"/>
      <c r="BD412" s="421"/>
      <c r="BE412" s="421"/>
      <c r="BF412" s="419"/>
      <c r="BG412" s="419"/>
      <c r="BH412" s="421"/>
      <c r="BI412" s="421"/>
      <c r="BJ412" s="419"/>
      <c r="BK412" s="419"/>
      <c r="BL412" s="421"/>
      <c r="BM412" s="421"/>
      <c r="BN412" s="419"/>
      <c r="BO412" s="419"/>
      <c r="BP412" s="421"/>
      <c r="BQ412" s="421"/>
      <c r="BR412" s="419"/>
      <c r="BS412" s="419"/>
      <c r="BT412" s="421"/>
      <c r="BU412" s="421"/>
      <c r="BV412" s="419"/>
      <c r="BW412" s="419"/>
      <c r="BX412" s="421"/>
      <c r="BY412" s="421"/>
      <c r="BZ412" s="419"/>
      <c r="CA412" s="419"/>
      <c r="CB412" s="421"/>
      <c r="CC412" s="421"/>
      <c r="CD412" s="419"/>
      <c r="CE412" s="419"/>
      <c r="CF412" s="421"/>
      <c r="CG412" s="421"/>
      <c r="CH412" s="419"/>
      <c r="CI412" s="419"/>
      <c r="CJ412" s="421"/>
      <c r="CK412" s="421"/>
      <c r="CL412" s="419"/>
      <c r="CM412" s="421"/>
      <c r="CN412" s="424">
        <f t="shared" si="173"/>
        <v>0</v>
      </c>
      <c r="CO412" s="424">
        <f t="shared" si="174"/>
        <v>0</v>
      </c>
      <c r="CP412" s="425">
        <f t="shared" si="175"/>
        <v>0</v>
      </c>
      <c r="CQ412" s="425">
        <f t="shared" si="176"/>
        <v>0</v>
      </c>
      <c r="CR412" s="419"/>
      <c r="CS412" s="419"/>
      <c r="CT412" s="421"/>
      <c r="CU412" s="421"/>
      <c r="CV412" s="419"/>
      <c r="CW412" s="419"/>
      <c r="CX412" s="421"/>
      <c r="CY412" s="421"/>
      <c r="CZ412" s="419"/>
      <c r="DA412" s="419"/>
      <c r="DB412" s="421"/>
      <c r="DC412" s="421"/>
      <c r="DD412" s="419"/>
      <c r="DE412" s="419"/>
      <c r="DF412" s="421"/>
      <c r="DG412" s="421"/>
      <c r="DH412" s="419"/>
      <c r="DI412" s="419"/>
      <c r="DJ412" s="421"/>
      <c r="DK412" s="421"/>
      <c r="DL412" s="419"/>
      <c r="DM412" s="419"/>
      <c r="DN412" s="421"/>
      <c r="DO412" s="421"/>
      <c r="DP412" s="419"/>
      <c r="DQ412" s="419"/>
      <c r="DR412" s="421"/>
      <c r="DS412" s="421"/>
      <c r="DT412" s="419"/>
      <c r="DU412" s="419"/>
      <c r="DV412" s="421"/>
      <c r="DW412" s="421"/>
      <c r="DX412" s="419"/>
      <c r="DY412" s="419"/>
      <c r="DZ412" s="421"/>
      <c r="EA412" s="421"/>
      <c r="EB412" s="419"/>
      <c r="EC412" s="419"/>
      <c r="ED412" s="421"/>
      <c r="EE412" s="421"/>
      <c r="EF412" s="419"/>
      <c r="EG412" s="421"/>
      <c r="EH412" s="424">
        <f t="shared" si="177"/>
        <v>0</v>
      </c>
      <c r="EI412" s="424">
        <f t="shared" si="178"/>
        <v>0</v>
      </c>
      <c r="EJ412" s="422">
        <f t="shared" si="179"/>
        <v>0</v>
      </c>
      <c r="EK412" s="425">
        <f t="shared" si="180"/>
        <v>0</v>
      </c>
      <c r="EL412" s="425">
        <f t="shared" si="181"/>
        <v>0</v>
      </c>
      <c r="EM412" s="423">
        <f t="shared" si="182"/>
        <v>0</v>
      </c>
      <c r="EN412" s="424">
        <f t="shared" si="183"/>
        <v>0</v>
      </c>
      <c r="EO412" s="425">
        <f t="shared" si="184"/>
        <v>0</v>
      </c>
      <c r="EP412" s="419"/>
      <c r="EQ412" s="421"/>
      <c r="ER412" s="419"/>
      <c r="ES412" s="421"/>
      <c r="ET412" s="419"/>
      <c r="EU412" s="421"/>
      <c r="EV412" s="419"/>
      <c r="EW412" s="421"/>
      <c r="EX412" s="419"/>
      <c r="EY412" s="421"/>
      <c r="EZ412" s="419"/>
      <c r="FA412" s="421"/>
      <c r="FB412" s="419"/>
      <c r="FC412" s="421"/>
      <c r="FD412" s="419"/>
      <c r="FE412" s="421"/>
      <c r="FF412" s="419"/>
      <c r="FG412" s="421"/>
      <c r="FH412" s="419"/>
      <c r="FI412" s="421"/>
      <c r="FJ412" s="424">
        <f t="shared" si="185"/>
        <v>0</v>
      </c>
      <c r="FK412" s="425">
        <f t="shared" si="186"/>
        <v>0</v>
      </c>
      <c r="FL412" s="419"/>
      <c r="FM412" s="421"/>
      <c r="FN412" s="424">
        <f t="shared" si="187"/>
        <v>159</v>
      </c>
      <c r="FO412" s="425">
        <f t="shared" si="188"/>
        <v>87</v>
      </c>
    </row>
    <row r="413" spans="1:171">
      <c r="A413" s="428" t="s">
        <v>165</v>
      </c>
      <c r="B413" s="50" t="s">
        <v>934</v>
      </c>
      <c r="C413" s="49"/>
      <c r="D413" s="48">
        <v>220279</v>
      </c>
      <c r="E413" s="48">
        <v>13</v>
      </c>
      <c r="F413" s="419">
        <v>131</v>
      </c>
      <c r="G413" s="421">
        <v>155</v>
      </c>
      <c r="H413" s="419"/>
      <c r="I413" s="421"/>
      <c r="J413" s="419"/>
      <c r="K413" s="421"/>
      <c r="L413" s="422">
        <f t="shared" si="167"/>
        <v>0</v>
      </c>
      <c r="M413" s="423">
        <f t="shared" si="168"/>
        <v>0</v>
      </c>
      <c r="N413" s="419"/>
      <c r="O413" s="309">
        <f>0</f>
        <v>0</v>
      </c>
      <c r="P413" s="309">
        <f>0</f>
        <v>0</v>
      </c>
      <c r="Q413" s="309">
        <f>0</f>
        <v>0</v>
      </c>
      <c r="R413" s="424">
        <f t="shared" si="165"/>
        <v>0</v>
      </c>
      <c r="S413" s="421"/>
      <c r="T413" s="301">
        <f>0</f>
        <v>0</v>
      </c>
      <c r="U413" s="301">
        <f>0</f>
        <v>0</v>
      </c>
      <c r="V413" s="301">
        <f>0</f>
        <v>0</v>
      </c>
      <c r="W413" s="425">
        <f t="shared" si="166"/>
        <v>0</v>
      </c>
      <c r="X413" s="419"/>
      <c r="Y413" s="419"/>
      <c r="Z413" s="421"/>
      <c r="AA413" s="421"/>
      <c r="AB413" s="419"/>
      <c r="AC413" s="419"/>
      <c r="AD413" s="421"/>
      <c r="AE413" s="421"/>
      <c r="AF413" s="419"/>
      <c r="AG413" s="419"/>
      <c r="AH413" s="421"/>
      <c r="AI413" s="421"/>
      <c r="AJ413" s="419"/>
      <c r="AK413" s="419"/>
      <c r="AL413" s="421"/>
      <c r="AM413" s="421"/>
      <c r="AN413" s="419"/>
      <c r="AO413" s="419"/>
      <c r="AP413" s="421"/>
      <c r="AQ413" s="421"/>
      <c r="AR413" s="424">
        <f t="shared" si="169"/>
        <v>0</v>
      </c>
      <c r="AS413" s="422">
        <f t="shared" si="170"/>
        <v>0</v>
      </c>
      <c r="AT413" s="425">
        <f t="shared" si="171"/>
        <v>0</v>
      </c>
      <c r="AU413" s="423">
        <f t="shared" si="172"/>
        <v>0</v>
      </c>
      <c r="AV413" s="419"/>
      <c r="AW413" s="421"/>
      <c r="AX413" s="419"/>
      <c r="AY413" s="419"/>
      <c r="AZ413" s="421"/>
      <c r="BA413" s="421"/>
      <c r="BB413" s="419"/>
      <c r="BC413" s="419"/>
      <c r="BD413" s="421"/>
      <c r="BE413" s="421"/>
      <c r="BF413" s="419"/>
      <c r="BG413" s="419"/>
      <c r="BH413" s="421"/>
      <c r="BI413" s="421"/>
      <c r="BJ413" s="419"/>
      <c r="BK413" s="419"/>
      <c r="BL413" s="421"/>
      <c r="BM413" s="421"/>
      <c r="BN413" s="419"/>
      <c r="BO413" s="419"/>
      <c r="BP413" s="421"/>
      <c r="BQ413" s="421"/>
      <c r="BR413" s="419"/>
      <c r="BS413" s="419"/>
      <c r="BT413" s="421"/>
      <c r="BU413" s="421"/>
      <c r="BV413" s="419"/>
      <c r="BW413" s="419"/>
      <c r="BX413" s="421"/>
      <c r="BY413" s="421"/>
      <c r="BZ413" s="419"/>
      <c r="CA413" s="419"/>
      <c r="CB413" s="421"/>
      <c r="CC413" s="421"/>
      <c r="CD413" s="419"/>
      <c r="CE413" s="419"/>
      <c r="CF413" s="421"/>
      <c r="CG413" s="421"/>
      <c r="CH413" s="419"/>
      <c r="CI413" s="419"/>
      <c r="CJ413" s="421"/>
      <c r="CK413" s="421"/>
      <c r="CL413" s="419"/>
      <c r="CM413" s="421"/>
      <c r="CN413" s="424">
        <f t="shared" si="173"/>
        <v>0</v>
      </c>
      <c r="CO413" s="424">
        <f t="shared" si="174"/>
        <v>0</v>
      </c>
      <c r="CP413" s="425">
        <f t="shared" si="175"/>
        <v>0</v>
      </c>
      <c r="CQ413" s="425">
        <f t="shared" si="176"/>
        <v>0</v>
      </c>
      <c r="CR413" s="419"/>
      <c r="CS413" s="419"/>
      <c r="CT413" s="421"/>
      <c r="CU413" s="421"/>
      <c r="CV413" s="419"/>
      <c r="CW413" s="419"/>
      <c r="CX413" s="421"/>
      <c r="CY413" s="421"/>
      <c r="CZ413" s="419"/>
      <c r="DA413" s="419"/>
      <c r="DB413" s="421"/>
      <c r="DC413" s="421"/>
      <c r="DD413" s="419"/>
      <c r="DE413" s="419"/>
      <c r="DF413" s="421"/>
      <c r="DG413" s="421"/>
      <c r="DH413" s="419"/>
      <c r="DI413" s="419"/>
      <c r="DJ413" s="421"/>
      <c r="DK413" s="421"/>
      <c r="DL413" s="419"/>
      <c r="DM413" s="419"/>
      <c r="DN413" s="421"/>
      <c r="DO413" s="421"/>
      <c r="DP413" s="419"/>
      <c r="DQ413" s="419"/>
      <c r="DR413" s="421"/>
      <c r="DS413" s="421"/>
      <c r="DT413" s="419"/>
      <c r="DU413" s="419"/>
      <c r="DV413" s="421"/>
      <c r="DW413" s="421"/>
      <c r="DX413" s="419"/>
      <c r="DY413" s="419"/>
      <c r="DZ413" s="421"/>
      <c r="EA413" s="421"/>
      <c r="EB413" s="419"/>
      <c r="EC413" s="419"/>
      <c r="ED413" s="421"/>
      <c r="EE413" s="421"/>
      <c r="EF413" s="419"/>
      <c r="EG413" s="421"/>
      <c r="EH413" s="424">
        <f t="shared" si="177"/>
        <v>0</v>
      </c>
      <c r="EI413" s="424">
        <f t="shared" si="178"/>
        <v>0</v>
      </c>
      <c r="EJ413" s="422">
        <f t="shared" si="179"/>
        <v>0</v>
      </c>
      <c r="EK413" s="425">
        <f t="shared" si="180"/>
        <v>0</v>
      </c>
      <c r="EL413" s="425">
        <f t="shared" si="181"/>
        <v>0</v>
      </c>
      <c r="EM413" s="423">
        <f t="shared" si="182"/>
        <v>0</v>
      </c>
      <c r="EN413" s="424">
        <f t="shared" si="183"/>
        <v>0</v>
      </c>
      <c r="EO413" s="425">
        <f t="shared" si="184"/>
        <v>0</v>
      </c>
      <c r="EP413" s="419"/>
      <c r="EQ413" s="421"/>
      <c r="ER413" s="419"/>
      <c r="ES413" s="421"/>
      <c r="ET413" s="419"/>
      <c r="EU413" s="421"/>
      <c r="EV413" s="419"/>
      <c r="EW413" s="421"/>
      <c r="EX413" s="419"/>
      <c r="EY413" s="421"/>
      <c r="EZ413" s="419"/>
      <c r="FA413" s="421"/>
      <c r="FB413" s="419"/>
      <c r="FC413" s="421"/>
      <c r="FD413" s="419"/>
      <c r="FE413" s="421"/>
      <c r="FF413" s="419"/>
      <c r="FG413" s="421"/>
      <c r="FH413" s="419"/>
      <c r="FI413" s="421"/>
      <c r="FJ413" s="424">
        <f t="shared" si="185"/>
        <v>0</v>
      </c>
      <c r="FK413" s="425">
        <f t="shared" si="186"/>
        <v>0</v>
      </c>
      <c r="FL413" s="419"/>
      <c r="FM413" s="421"/>
      <c r="FN413" s="424">
        <f t="shared" si="187"/>
        <v>131</v>
      </c>
      <c r="FO413" s="425">
        <f t="shared" si="188"/>
        <v>155</v>
      </c>
    </row>
    <row r="414" spans="1:171">
      <c r="A414" s="428" t="s">
        <v>165</v>
      </c>
      <c r="B414" s="50" t="s">
        <v>935</v>
      </c>
      <c r="C414" s="47"/>
      <c r="D414" s="48">
        <v>220321</v>
      </c>
      <c r="E414" s="48">
        <v>13</v>
      </c>
      <c r="F414" s="419">
        <v>201</v>
      </c>
      <c r="G414" s="420">
        <v>116</v>
      </c>
      <c r="H414" s="419"/>
      <c r="I414" s="421"/>
      <c r="J414" s="419"/>
      <c r="K414" s="421"/>
      <c r="L414" s="422">
        <f t="shared" si="167"/>
        <v>0</v>
      </c>
      <c r="M414" s="423">
        <f t="shared" si="168"/>
        <v>0</v>
      </c>
      <c r="N414" s="419"/>
      <c r="O414" s="309">
        <f>0</f>
        <v>0</v>
      </c>
      <c r="P414" s="309">
        <f>0</f>
        <v>0</v>
      </c>
      <c r="Q414" s="309">
        <f>0</f>
        <v>0</v>
      </c>
      <c r="R414" s="424">
        <f t="shared" si="165"/>
        <v>0</v>
      </c>
      <c r="S414" s="421"/>
      <c r="T414" s="301">
        <f>0</f>
        <v>0</v>
      </c>
      <c r="U414" s="301">
        <f>0</f>
        <v>0</v>
      </c>
      <c r="V414" s="301">
        <f>0</f>
        <v>0</v>
      </c>
      <c r="W414" s="425">
        <f t="shared" si="166"/>
        <v>0</v>
      </c>
      <c r="X414" s="419"/>
      <c r="Y414" s="419"/>
      <c r="Z414" s="421"/>
      <c r="AA414" s="421"/>
      <c r="AB414" s="419"/>
      <c r="AC414" s="419"/>
      <c r="AD414" s="421"/>
      <c r="AE414" s="421"/>
      <c r="AF414" s="419"/>
      <c r="AG414" s="419"/>
      <c r="AH414" s="421"/>
      <c r="AI414" s="421"/>
      <c r="AJ414" s="419"/>
      <c r="AK414" s="419"/>
      <c r="AL414" s="421"/>
      <c r="AM414" s="421"/>
      <c r="AN414" s="419"/>
      <c r="AO414" s="419"/>
      <c r="AP414" s="421"/>
      <c r="AQ414" s="421"/>
      <c r="AR414" s="424">
        <f t="shared" si="169"/>
        <v>0</v>
      </c>
      <c r="AS414" s="422">
        <f t="shared" si="170"/>
        <v>0</v>
      </c>
      <c r="AT414" s="425">
        <f t="shared" si="171"/>
        <v>0</v>
      </c>
      <c r="AU414" s="423">
        <f t="shared" si="172"/>
        <v>0</v>
      </c>
      <c r="AV414" s="419"/>
      <c r="AW414" s="421"/>
      <c r="AX414" s="419"/>
      <c r="AY414" s="419"/>
      <c r="AZ414" s="421"/>
      <c r="BA414" s="421"/>
      <c r="BB414" s="419"/>
      <c r="BC414" s="419"/>
      <c r="BD414" s="421"/>
      <c r="BE414" s="421"/>
      <c r="BF414" s="419"/>
      <c r="BG414" s="419"/>
      <c r="BH414" s="421"/>
      <c r="BI414" s="421"/>
      <c r="BJ414" s="419"/>
      <c r="BK414" s="419"/>
      <c r="BL414" s="421"/>
      <c r="BM414" s="421"/>
      <c r="BN414" s="419"/>
      <c r="BO414" s="419"/>
      <c r="BP414" s="421"/>
      <c r="BQ414" s="421"/>
      <c r="BR414" s="419"/>
      <c r="BS414" s="419"/>
      <c r="BT414" s="421"/>
      <c r="BU414" s="421"/>
      <c r="BV414" s="419"/>
      <c r="BW414" s="419"/>
      <c r="BX414" s="421"/>
      <c r="BY414" s="421"/>
      <c r="BZ414" s="419"/>
      <c r="CA414" s="419"/>
      <c r="CB414" s="421"/>
      <c r="CC414" s="421"/>
      <c r="CD414" s="419"/>
      <c r="CE414" s="419"/>
      <c r="CF414" s="421"/>
      <c r="CG414" s="421"/>
      <c r="CH414" s="419"/>
      <c r="CI414" s="419"/>
      <c r="CJ414" s="421"/>
      <c r="CK414" s="421"/>
      <c r="CL414" s="419"/>
      <c r="CM414" s="421"/>
      <c r="CN414" s="424">
        <f t="shared" si="173"/>
        <v>0</v>
      </c>
      <c r="CO414" s="424">
        <f t="shared" si="174"/>
        <v>0</v>
      </c>
      <c r="CP414" s="425">
        <f t="shared" si="175"/>
        <v>0</v>
      </c>
      <c r="CQ414" s="425">
        <f t="shared" si="176"/>
        <v>0</v>
      </c>
      <c r="CR414" s="419"/>
      <c r="CS414" s="419"/>
      <c r="CT414" s="421"/>
      <c r="CU414" s="421"/>
      <c r="CV414" s="419"/>
      <c r="CW414" s="419"/>
      <c r="CX414" s="421"/>
      <c r="CY414" s="421"/>
      <c r="CZ414" s="419"/>
      <c r="DA414" s="419"/>
      <c r="DB414" s="421"/>
      <c r="DC414" s="421"/>
      <c r="DD414" s="419"/>
      <c r="DE414" s="419"/>
      <c r="DF414" s="421"/>
      <c r="DG414" s="421"/>
      <c r="DH414" s="419"/>
      <c r="DI414" s="419"/>
      <c r="DJ414" s="421"/>
      <c r="DK414" s="421"/>
      <c r="DL414" s="419"/>
      <c r="DM414" s="419"/>
      <c r="DN414" s="421"/>
      <c r="DO414" s="421"/>
      <c r="DP414" s="419"/>
      <c r="DQ414" s="419"/>
      <c r="DR414" s="421"/>
      <c r="DS414" s="421"/>
      <c r="DT414" s="419"/>
      <c r="DU414" s="419"/>
      <c r="DV414" s="421"/>
      <c r="DW414" s="421"/>
      <c r="DX414" s="419"/>
      <c r="DY414" s="419"/>
      <c r="DZ414" s="421"/>
      <c r="EA414" s="421"/>
      <c r="EB414" s="419"/>
      <c r="EC414" s="419"/>
      <c r="ED414" s="421"/>
      <c r="EE414" s="421"/>
      <c r="EF414" s="419"/>
      <c r="EG414" s="421"/>
      <c r="EH414" s="424">
        <f t="shared" si="177"/>
        <v>0</v>
      </c>
      <c r="EI414" s="424">
        <f t="shared" si="178"/>
        <v>0</v>
      </c>
      <c r="EJ414" s="422">
        <f t="shared" si="179"/>
        <v>0</v>
      </c>
      <c r="EK414" s="425">
        <f t="shared" si="180"/>
        <v>0</v>
      </c>
      <c r="EL414" s="425">
        <f t="shared" si="181"/>
        <v>0</v>
      </c>
      <c r="EM414" s="423">
        <f t="shared" si="182"/>
        <v>0</v>
      </c>
      <c r="EN414" s="424">
        <f t="shared" si="183"/>
        <v>0</v>
      </c>
      <c r="EO414" s="425">
        <f t="shared" si="184"/>
        <v>0</v>
      </c>
      <c r="EP414" s="419"/>
      <c r="EQ414" s="421"/>
      <c r="ER414" s="419"/>
      <c r="ES414" s="421"/>
      <c r="ET414" s="419"/>
      <c r="EU414" s="421"/>
      <c r="EV414" s="419"/>
      <c r="EW414" s="421"/>
      <c r="EX414" s="419"/>
      <c r="EY414" s="421"/>
      <c r="EZ414" s="419"/>
      <c r="FA414" s="421"/>
      <c r="FB414" s="419"/>
      <c r="FC414" s="421"/>
      <c r="FD414" s="419"/>
      <c r="FE414" s="421"/>
      <c r="FF414" s="419"/>
      <c r="FG414" s="421"/>
      <c r="FH414" s="419"/>
      <c r="FI414" s="421"/>
      <c r="FJ414" s="424">
        <f t="shared" si="185"/>
        <v>0</v>
      </c>
      <c r="FK414" s="425">
        <f t="shared" si="186"/>
        <v>0</v>
      </c>
      <c r="FL414" s="419"/>
      <c r="FM414" s="421"/>
      <c r="FN414" s="424">
        <f t="shared" si="187"/>
        <v>201</v>
      </c>
      <c r="FO414" s="425">
        <f t="shared" si="188"/>
        <v>116</v>
      </c>
    </row>
    <row r="415" spans="1:171">
      <c r="A415" s="428" t="s">
        <v>165</v>
      </c>
      <c r="B415" s="429" t="s">
        <v>936</v>
      </c>
      <c r="C415" s="430"/>
      <c r="D415" s="48">
        <v>220394</v>
      </c>
      <c r="E415" s="48">
        <v>13</v>
      </c>
      <c r="F415" s="419">
        <v>114</v>
      </c>
      <c r="G415" s="421">
        <v>98</v>
      </c>
      <c r="H415" s="419"/>
      <c r="I415" s="421"/>
      <c r="J415" s="419"/>
      <c r="K415" s="421"/>
      <c r="L415" s="422">
        <f t="shared" si="167"/>
        <v>0</v>
      </c>
      <c r="M415" s="423">
        <f t="shared" si="168"/>
        <v>0</v>
      </c>
      <c r="N415" s="419"/>
      <c r="O415" s="309">
        <f>0</f>
        <v>0</v>
      </c>
      <c r="P415" s="309">
        <f>0</f>
        <v>0</v>
      </c>
      <c r="Q415" s="309">
        <f>0</f>
        <v>0</v>
      </c>
      <c r="R415" s="424">
        <f t="shared" si="165"/>
        <v>0</v>
      </c>
      <c r="S415" s="421"/>
      <c r="T415" s="301">
        <f>0</f>
        <v>0</v>
      </c>
      <c r="U415" s="301">
        <f>0</f>
        <v>0</v>
      </c>
      <c r="V415" s="301">
        <f>0</f>
        <v>0</v>
      </c>
      <c r="W415" s="425">
        <f t="shared" si="166"/>
        <v>0</v>
      </c>
      <c r="X415" s="419"/>
      <c r="Y415" s="419"/>
      <c r="Z415" s="421"/>
      <c r="AA415" s="421"/>
      <c r="AB415" s="419"/>
      <c r="AC415" s="419"/>
      <c r="AD415" s="421"/>
      <c r="AE415" s="421"/>
      <c r="AF415" s="419"/>
      <c r="AG415" s="419"/>
      <c r="AH415" s="421"/>
      <c r="AI415" s="421"/>
      <c r="AJ415" s="419"/>
      <c r="AK415" s="419"/>
      <c r="AL415" s="421"/>
      <c r="AM415" s="421"/>
      <c r="AN415" s="419"/>
      <c r="AO415" s="419"/>
      <c r="AP415" s="421"/>
      <c r="AQ415" s="421"/>
      <c r="AR415" s="424">
        <f t="shared" si="169"/>
        <v>0</v>
      </c>
      <c r="AS415" s="422">
        <f t="shared" si="170"/>
        <v>0</v>
      </c>
      <c r="AT415" s="425">
        <f t="shared" si="171"/>
        <v>0</v>
      </c>
      <c r="AU415" s="423">
        <f t="shared" si="172"/>
        <v>0</v>
      </c>
      <c r="AV415" s="419"/>
      <c r="AW415" s="421"/>
      <c r="AX415" s="419"/>
      <c r="AY415" s="419"/>
      <c r="AZ415" s="421"/>
      <c r="BA415" s="421"/>
      <c r="BB415" s="419"/>
      <c r="BC415" s="419"/>
      <c r="BD415" s="421"/>
      <c r="BE415" s="421"/>
      <c r="BF415" s="419"/>
      <c r="BG415" s="419"/>
      <c r="BH415" s="421"/>
      <c r="BI415" s="421"/>
      <c r="BJ415" s="419"/>
      <c r="BK415" s="419"/>
      <c r="BL415" s="421"/>
      <c r="BM415" s="421"/>
      <c r="BN415" s="419"/>
      <c r="BO415" s="419"/>
      <c r="BP415" s="421"/>
      <c r="BQ415" s="421"/>
      <c r="BR415" s="419"/>
      <c r="BS415" s="419"/>
      <c r="BT415" s="421"/>
      <c r="BU415" s="421"/>
      <c r="BV415" s="419"/>
      <c r="BW415" s="419"/>
      <c r="BX415" s="421"/>
      <c r="BY415" s="421"/>
      <c r="BZ415" s="419"/>
      <c r="CA415" s="419"/>
      <c r="CB415" s="421"/>
      <c r="CC415" s="421"/>
      <c r="CD415" s="419"/>
      <c r="CE415" s="419"/>
      <c r="CF415" s="421"/>
      <c r="CG415" s="421"/>
      <c r="CH415" s="419"/>
      <c r="CI415" s="419"/>
      <c r="CJ415" s="421"/>
      <c r="CK415" s="421"/>
      <c r="CL415" s="419"/>
      <c r="CM415" s="421"/>
      <c r="CN415" s="424">
        <f t="shared" si="173"/>
        <v>0</v>
      </c>
      <c r="CO415" s="424">
        <f t="shared" si="174"/>
        <v>0</v>
      </c>
      <c r="CP415" s="425">
        <f t="shared" si="175"/>
        <v>0</v>
      </c>
      <c r="CQ415" s="425">
        <f t="shared" si="176"/>
        <v>0</v>
      </c>
      <c r="CR415" s="419"/>
      <c r="CS415" s="419"/>
      <c r="CT415" s="421"/>
      <c r="CU415" s="421"/>
      <c r="CV415" s="419"/>
      <c r="CW415" s="419"/>
      <c r="CX415" s="421"/>
      <c r="CY415" s="421"/>
      <c r="CZ415" s="419"/>
      <c r="DA415" s="419"/>
      <c r="DB415" s="421"/>
      <c r="DC415" s="421"/>
      <c r="DD415" s="419"/>
      <c r="DE415" s="419"/>
      <c r="DF415" s="421"/>
      <c r="DG415" s="421"/>
      <c r="DH415" s="419"/>
      <c r="DI415" s="419"/>
      <c r="DJ415" s="421"/>
      <c r="DK415" s="421"/>
      <c r="DL415" s="419"/>
      <c r="DM415" s="419"/>
      <c r="DN415" s="421"/>
      <c r="DO415" s="421"/>
      <c r="DP415" s="419"/>
      <c r="DQ415" s="419"/>
      <c r="DR415" s="421"/>
      <c r="DS415" s="421"/>
      <c r="DT415" s="419"/>
      <c r="DU415" s="419"/>
      <c r="DV415" s="421"/>
      <c r="DW415" s="421"/>
      <c r="DX415" s="419"/>
      <c r="DY415" s="419"/>
      <c r="DZ415" s="421"/>
      <c r="EA415" s="421"/>
      <c r="EB415" s="419"/>
      <c r="EC415" s="419"/>
      <c r="ED415" s="421"/>
      <c r="EE415" s="421"/>
      <c r="EF415" s="419"/>
      <c r="EG415" s="421"/>
      <c r="EH415" s="424">
        <f t="shared" si="177"/>
        <v>0</v>
      </c>
      <c r="EI415" s="424">
        <f t="shared" si="178"/>
        <v>0</v>
      </c>
      <c r="EJ415" s="422">
        <f t="shared" si="179"/>
        <v>0</v>
      </c>
      <c r="EK415" s="425">
        <f t="shared" si="180"/>
        <v>0</v>
      </c>
      <c r="EL415" s="425">
        <f t="shared" si="181"/>
        <v>0</v>
      </c>
      <c r="EM415" s="423">
        <f t="shared" si="182"/>
        <v>0</v>
      </c>
      <c r="EN415" s="424">
        <f t="shared" si="183"/>
        <v>0</v>
      </c>
      <c r="EO415" s="425">
        <f t="shared" si="184"/>
        <v>0</v>
      </c>
      <c r="EP415" s="419"/>
      <c r="EQ415" s="421"/>
      <c r="ER415" s="419"/>
      <c r="ES415" s="421"/>
      <c r="ET415" s="419"/>
      <c r="EU415" s="421"/>
      <c r="EV415" s="419"/>
      <c r="EW415" s="421"/>
      <c r="EX415" s="419"/>
      <c r="EY415" s="421"/>
      <c r="EZ415" s="419"/>
      <c r="FA415" s="421"/>
      <c r="FB415" s="419"/>
      <c r="FC415" s="421"/>
      <c r="FD415" s="419"/>
      <c r="FE415" s="421"/>
      <c r="FF415" s="419"/>
      <c r="FG415" s="421"/>
      <c r="FH415" s="419"/>
      <c r="FI415" s="421"/>
      <c r="FJ415" s="424">
        <f t="shared" si="185"/>
        <v>0</v>
      </c>
      <c r="FK415" s="425">
        <f t="shared" si="186"/>
        <v>0</v>
      </c>
      <c r="FL415" s="419"/>
      <c r="FM415" s="421"/>
      <c r="FN415" s="424">
        <f t="shared" si="187"/>
        <v>114</v>
      </c>
      <c r="FO415" s="425">
        <f t="shared" si="188"/>
        <v>98</v>
      </c>
    </row>
    <row r="416" spans="1:171">
      <c r="A416" s="428" t="s">
        <v>165</v>
      </c>
      <c r="B416" s="50" t="s">
        <v>937</v>
      </c>
      <c r="C416" s="49"/>
      <c r="D416" s="48">
        <v>221616</v>
      </c>
      <c r="E416" s="48">
        <v>13</v>
      </c>
      <c r="F416" s="419">
        <v>239</v>
      </c>
      <c r="G416" s="421">
        <v>277</v>
      </c>
      <c r="H416" s="419"/>
      <c r="I416" s="421"/>
      <c r="J416" s="419"/>
      <c r="K416" s="421"/>
      <c r="L416" s="422">
        <f t="shared" si="167"/>
        <v>0</v>
      </c>
      <c r="M416" s="423">
        <f t="shared" si="168"/>
        <v>0</v>
      </c>
      <c r="N416" s="419"/>
      <c r="O416" s="309">
        <f>0</f>
        <v>0</v>
      </c>
      <c r="P416" s="309">
        <f>0</f>
        <v>0</v>
      </c>
      <c r="Q416" s="309">
        <f>0</f>
        <v>0</v>
      </c>
      <c r="R416" s="424">
        <f t="shared" si="165"/>
        <v>0</v>
      </c>
      <c r="S416" s="421"/>
      <c r="T416" s="301">
        <f>0</f>
        <v>0</v>
      </c>
      <c r="U416" s="301">
        <f>0</f>
        <v>0</v>
      </c>
      <c r="V416" s="301">
        <f>0</f>
        <v>0</v>
      </c>
      <c r="W416" s="425">
        <f t="shared" si="166"/>
        <v>0</v>
      </c>
      <c r="X416" s="419"/>
      <c r="Y416" s="419"/>
      <c r="Z416" s="421"/>
      <c r="AA416" s="421"/>
      <c r="AB416" s="419"/>
      <c r="AC416" s="419"/>
      <c r="AD416" s="421"/>
      <c r="AE416" s="421"/>
      <c r="AF416" s="419"/>
      <c r="AG416" s="419"/>
      <c r="AH416" s="421"/>
      <c r="AI416" s="421"/>
      <c r="AJ416" s="419"/>
      <c r="AK416" s="419"/>
      <c r="AL416" s="421"/>
      <c r="AM416" s="421"/>
      <c r="AN416" s="419"/>
      <c r="AO416" s="419"/>
      <c r="AP416" s="421"/>
      <c r="AQ416" s="421"/>
      <c r="AR416" s="424">
        <f t="shared" si="169"/>
        <v>0</v>
      </c>
      <c r="AS416" s="422">
        <f t="shared" si="170"/>
        <v>0</v>
      </c>
      <c r="AT416" s="425">
        <f t="shared" si="171"/>
        <v>0</v>
      </c>
      <c r="AU416" s="423">
        <f t="shared" si="172"/>
        <v>0</v>
      </c>
      <c r="AV416" s="419"/>
      <c r="AW416" s="421"/>
      <c r="AX416" s="419"/>
      <c r="AY416" s="419"/>
      <c r="AZ416" s="421"/>
      <c r="BA416" s="421"/>
      <c r="BB416" s="419"/>
      <c r="BC416" s="419"/>
      <c r="BD416" s="421"/>
      <c r="BE416" s="421"/>
      <c r="BF416" s="419"/>
      <c r="BG416" s="419"/>
      <c r="BH416" s="421"/>
      <c r="BI416" s="421"/>
      <c r="BJ416" s="419"/>
      <c r="BK416" s="419"/>
      <c r="BL416" s="421"/>
      <c r="BM416" s="421"/>
      <c r="BN416" s="419"/>
      <c r="BO416" s="419"/>
      <c r="BP416" s="421"/>
      <c r="BQ416" s="421"/>
      <c r="BR416" s="419"/>
      <c r="BS416" s="419"/>
      <c r="BT416" s="421"/>
      <c r="BU416" s="421"/>
      <c r="BV416" s="419"/>
      <c r="BW416" s="419"/>
      <c r="BX416" s="421"/>
      <c r="BY416" s="421"/>
      <c r="BZ416" s="419"/>
      <c r="CA416" s="419"/>
      <c r="CB416" s="421"/>
      <c r="CC416" s="421"/>
      <c r="CD416" s="419"/>
      <c r="CE416" s="419"/>
      <c r="CF416" s="421"/>
      <c r="CG416" s="421"/>
      <c r="CH416" s="419"/>
      <c r="CI416" s="419"/>
      <c r="CJ416" s="421"/>
      <c r="CK416" s="421"/>
      <c r="CL416" s="419"/>
      <c r="CM416" s="421"/>
      <c r="CN416" s="424">
        <f t="shared" si="173"/>
        <v>0</v>
      </c>
      <c r="CO416" s="424">
        <f t="shared" si="174"/>
        <v>0</v>
      </c>
      <c r="CP416" s="425">
        <f t="shared" si="175"/>
        <v>0</v>
      </c>
      <c r="CQ416" s="425">
        <f t="shared" si="176"/>
        <v>0</v>
      </c>
      <c r="CR416" s="419"/>
      <c r="CS416" s="419"/>
      <c r="CT416" s="421"/>
      <c r="CU416" s="421"/>
      <c r="CV416" s="419"/>
      <c r="CW416" s="419"/>
      <c r="CX416" s="421"/>
      <c r="CY416" s="421"/>
      <c r="CZ416" s="419"/>
      <c r="DA416" s="419"/>
      <c r="DB416" s="421"/>
      <c r="DC416" s="421"/>
      <c r="DD416" s="419"/>
      <c r="DE416" s="419"/>
      <c r="DF416" s="421"/>
      <c r="DG416" s="421"/>
      <c r="DH416" s="419"/>
      <c r="DI416" s="419"/>
      <c r="DJ416" s="421"/>
      <c r="DK416" s="421"/>
      <c r="DL416" s="419"/>
      <c r="DM416" s="419"/>
      <c r="DN416" s="421"/>
      <c r="DO416" s="421"/>
      <c r="DP416" s="419"/>
      <c r="DQ416" s="419"/>
      <c r="DR416" s="421"/>
      <c r="DS416" s="421"/>
      <c r="DT416" s="419"/>
      <c r="DU416" s="419"/>
      <c r="DV416" s="421"/>
      <c r="DW416" s="421"/>
      <c r="DX416" s="419"/>
      <c r="DY416" s="419"/>
      <c r="DZ416" s="421"/>
      <c r="EA416" s="421"/>
      <c r="EB416" s="419"/>
      <c r="EC416" s="419"/>
      <c r="ED416" s="421"/>
      <c r="EE416" s="421"/>
      <c r="EF416" s="419"/>
      <c r="EG416" s="421"/>
      <c r="EH416" s="424">
        <f t="shared" si="177"/>
        <v>0</v>
      </c>
      <c r="EI416" s="424">
        <f t="shared" si="178"/>
        <v>0</v>
      </c>
      <c r="EJ416" s="422">
        <f t="shared" si="179"/>
        <v>0</v>
      </c>
      <c r="EK416" s="425">
        <f t="shared" si="180"/>
        <v>0</v>
      </c>
      <c r="EL416" s="425">
        <f t="shared" si="181"/>
        <v>0</v>
      </c>
      <c r="EM416" s="423">
        <f t="shared" si="182"/>
        <v>0</v>
      </c>
      <c r="EN416" s="424">
        <f t="shared" si="183"/>
        <v>0</v>
      </c>
      <c r="EO416" s="425">
        <f t="shared" si="184"/>
        <v>0</v>
      </c>
      <c r="EP416" s="419"/>
      <c r="EQ416" s="421"/>
      <c r="ER416" s="419"/>
      <c r="ES416" s="421"/>
      <c r="ET416" s="419"/>
      <c r="EU416" s="421"/>
      <c r="EV416" s="419"/>
      <c r="EW416" s="421"/>
      <c r="EX416" s="419"/>
      <c r="EY416" s="421"/>
      <c r="EZ416" s="419"/>
      <c r="FA416" s="421"/>
      <c r="FB416" s="419"/>
      <c r="FC416" s="421"/>
      <c r="FD416" s="419"/>
      <c r="FE416" s="421"/>
      <c r="FF416" s="419"/>
      <c r="FG416" s="421"/>
      <c r="FH416" s="419"/>
      <c r="FI416" s="421"/>
      <c r="FJ416" s="424">
        <f t="shared" si="185"/>
        <v>0</v>
      </c>
      <c r="FK416" s="425">
        <f t="shared" si="186"/>
        <v>0</v>
      </c>
      <c r="FL416" s="419"/>
      <c r="FM416" s="421"/>
      <c r="FN416" s="424">
        <f t="shared" si="187"/>
        <v>239</v>
      </c>
      <c r="FO416" s="425">
        <f t="shared" si="188"/>
        <v>277</v>
      </c>
    </row>
    <row r="417" spans="1:171">
      <c r="A417" s="428" t="s">
        <v>165</v>
      </c>
      <c r="B417" s="50" t="s">
        <v>938</v>
      </c>
      <c r="C417" s="47"/>
      <c r="D417" s="48">
        <v>221625</v>
      </c>
      <c r="E417" s="48">
        <v>13</v>
      </c>
      <c r="F417" s="419">
        <v>546</v>
      </c>
      <c r="G417" s="420">
        <v>390</v>
      </c>
      <c r="H417" s="419"/>
      <c r="I417" s="421"/>
      <c r="J417" s="419"/>
      <c r="K417" s="421"/>
      <c r="L417" s="422">
        <f t="shared" si="167"/>
        <v>0</v>
      </c>
      <c r="M417" s="423">
        <f t="shared" si="168"/>
        <v>0</v>
      </c>
      <c r="N417" s="419"/>
      <c r="O417" s="309">
        <f>0</f>
        <v>0</v>
      </c>
      <c r="P417" s="309">
        <f>0</f>
        <v>0</v>
      </c>
      <c r="Q417" s="309">
        <f>0</f>
        <v>0</v>
      </c>
      <c r="R417" s="424">
        <f t="shared" si="165"/>
        <v>0</v>
      </c>
      <c r="S417" s="421"/>
      <c r="T417" s="301">
        <f>0</f>
        <v>0</v>
      </c>
      <c r="U417" s="301">
        <f>0</f>
        <v>0</v>
      </c>
      <c r="V417" s="301">
        <f>0</f>
        <v>0</v>
      </c>
      <c r="W417" s="425">
        <f t="shared" si="166"/>
        <v>0</v>
      </c>
      <c r="X417" s="419"/>
      <c r="Y417" s="419"/>
      <c r="Z417" s="421"/>
      <c r="AA417" s="421"/>
      <c r="AB417" s="419"/>
      <c r="AC417" s="419"/>
      <c r="AD417" s="421"/>
      <c r="AE417" s="421"/>
      <c r="AF417" s="419"/>
      <c r="AG417" s="419"/>
      <c r="AH417" s="421"/>
      <c r="AI417" s="421"/>
      <c r="AJ417" s="419"/>
      <c r="AK417" s="419"/>
      <c r="AL417" s="421"/>
      <c r="AM417" s="421"/>
      <c r="AN417" s="419"/>
      <c r="AO417" s="419"/>
      <c r="AP417" s="421"/>
      <c r="AQ417" s="421"/>
      <c r="AR417" s="424">
        <f t="shared" si="169"/>
        <v>0</v>
      </c>
      <c r="AS417" s="422">
        <f t="shared" si="170"/>
        <v>0</v>
      </c>
      <c r="AT417" s="425">
        <f t="shared" si="171"/>
        <v>0</v>
      </c>
      <c r="AU417" s="423">
        <f t="shared" si="172"/>
        <v>0</v>
      </c>
      <c r="AV417" s="419"/>
      <c r="AW417" s="421"/>
      <c r="AX417" s="419"/>
      <c r="AY417" s="419"/>
      <c r="AZ417" s="421"/>
      <c r="BA417" s="421"/>
      <c r="BB417" s="419"/>
      <c r="BC417" s="419"/>
      <c r="BD417" s="421"/>
      <c r="BE417" s="421"/>
      <c r="BF417" s="419"/>
      <c r="BG417" s="419"/>
      <c r="BH417" s="421"/>
      <c r="BI417" s="421"/>
      <c r="BJ417" s="419"/>
      <c r="BK417" s="419"/>
      <c r="BL417" s="421"/>
      <c r="BM417" s="421"/>
      <c r="BN417" s="419"/>
      <c r="BO417" s="419"/>
      <c r="BP417" s="421"/>
      <c r="BQ417" s="421"/>
      <c r="BR417" s="419"/>
      <c r="BS417" s="419"/>
      <c r="BT417" s="421"/>
      <c r="BU417" s="421"/>
      <c r="BV417" s="419"/>
      <c r="BW417" s="419"/>
      <c r="BX417" s="421"/>
      <c r="BY417" s="421"/>
      <c r="BZ417" s="419"/>
      <c r="CA417" s="419"/>
      <c r="CB417" s="421"/>
      <c r="CC417" s="421"/>
      <c r="CD417" s="419"/>
      <c r="CE417" s="419"/>
      <c r="CF417" s="421"/>
      <c r="CG417" s="421"/>
      <c r="CH417" s="419"/>
      <c r="CI417" s="419"/>
      <c r="CJ417" s="421"/>
      <c r="CK417" s="421"/>
      <c r="CL417" s="419"/>
      <c r="CM417" s="421"/>
      <c r="CN417" s="424">
        <f t="shared" si="173"/>
        <v>0</v>
      </c>
      <c r="CO417" s="424">
        <f t="shared" si="174"/>
        <v>0</v>
      </c>
      <c r="CP417" s="425">
        <f t="shared" si="175"/>
        <v>0</v>
      </c>
      <c r="CQ417" s="425">
        <f t="shared" si="176"/>
        <v>0</v>
      </c>
      <c r="CR417" s="419"/>
      <c r="CS417" s="419"/>
      <c r="CT417" s="421"/>
      <c r="CU417" s="421"/>
      <c r="CV417" s="419"/>
      <c r="CW417" s="419"/>
      <c r="CX417" s="421"/>
      <c r="CY417" s="421"/>
      <c r="CZ417" s="419"/>
      <c r="DA417" s="419"/>
      <c r="DB417" s="421"/>
      <c r="DC417" s="421"/>
      <c r="DD417" s="419"/>
      <c r="DE417" s="419"/>
      <c r="DF417" s="421"/>
      <c r="DG417" s="421"/>
      <c r="DH417" s="419"/>
      <c r="DI417" s="419"/>
      <c r="DJ417" s="421"/>
      <c r="DK417" s="421"/>
      <c r="DL417" s="419"/>
      <c r="DM417" s="419"/>
      <c r="DN417" s="421"/>
      <c r="DO417" s="421"/>
      <c r="DP417" s="419"/>
      <c r="DQ417" s="419"/>
      <c r="DR417" s="421"/>
      <c r="DS417" s="421"/>
      <c r="DT417" s="419"/>
      <c r="DU417" s="419"/>
      <c r="DV417" s="421"/>
      <c r="DW417" s="421"/>
      <c r="DX417" s="419"/>
      <c r="DY417" s="419"/>
      <c r="DZ417" s="421"/>
      <c r="EA417" s="421"/>
      <c r="EB417" s="419"/>
      <c r="EC417" s="419"/>
      <c r="ED417" s="421"/>
      <c r="EE417" s="421"/>
      <c r="EF417" s="419"/>
      <c r="EG417" s="421"/>
      <c r="EH417" s="424">
        <f t="shared" si="177"/>
        <v>0</v>
      </c>
      <c r="EI417" s="424">
        <f t="shared" si="178"/>
        <v>0</v>
      </c>
      <c r="EJ417" s="422">
        <f t="shared" si="179"/>
        <v>0</v>
      </c>
      <c r="EK417" s="425">
        <f t="shared" si="180"/>
        <v>0</v>
      </c>
      <c r="EL417" s="425">
        <f t="shared" si="181"/>
        <v>0</v>
      </c>
      <c r="EM417" s="423">
        <f t="shared" si="182"/>
        <v>0</v>
      </c>
      <c r="EN417" s="424">
        <f t="shared" si="183"/>
        <v>0</v>
      </c>
      <c r="EO417" s="425">
        <f t="shared" si="184"/>
        <v>0</v>
      </c>
      <c r="EP417" s="419"/>
      <c r="EQ417" s="421"/>
      <c r="ER417" s="419"/>
      <c r="ES417" s="421"/>
      <c r="ET417" s="419"/>
      <c r="EU417" s="421"/>
      <c r="EV417" s="419"/>
      <c r="EW417" s="421"/>
      <c r="EX417" s="419"/>
      <c r="EY417" s="421"/>
      <c r="EZ417" s="419"/>
      <c r="FA417" s="421"/>
      <c r="FB417" s="419"/>
      <c r="FC417" s="421"/>
      <c r="FD417" s="419"/>
      <c r="FE417" s="421"/>
      <c r="FF417" s="419"/>
      <c r="FG417" s="421"/>
      <c r="FH417" s="419"/>
      <c r="FI417" s="421"/>
      <c r="FJ417" s="424">
        <f t="shared" si="185"/>
        <v>0</v>
      </c>
      <c r="FK417" s="425">
        <f t="shared" si="186"/>
        <v>0</v>
      </c>
      <c r="FL417" s="419"/>
      <c r="FM417" s="421"/>
      <c r="FN417" s="424">
        <f t="shared" si="187"/>
        <v>546</v>
      </c>
      <c r="FO417" s="425">
        <f t="shared" si="188"/>
        <v>390</v>
      </c>
    </row>
    <row r="418" spans="1:171">
      <c r="A418" s="428" t="s">
        <v>165</v>
      </c>
      <c r="B418" s="429" t="s">
        <v>939</v>
      </c>
      <c r="C418" s="430"/>
      <c r="D418" s="48">
        <v>220640</v>
      </c>
      <c r="E418" s="48">
        <v>13</v>
      </c>
      <c r="F418" s="419">
        <v>264</v>
      </c>
      <c r="G418" s="421">
        <v>256</v>
      </c>
      <c r="H418" s="419"/>
      <c r="I418" s="421"/>
      <c r="J418" s="419"/>
      <c r="K418" s="421"/>
      <c r="L418" s="422">
        <f t="shared" si="167"/>
        <v>0</v>
      </c>
      <c r="M418" s="423">
        <f t="shared" si="168"/>
        <v>0</v>
      </c>
      <c r="N418" s="419"/>
      <c r="O418" s="309">
        <f>0</f>
        <v>0</v>
      </c>
      <c r="P418" s="309">
        <f>0</f>
        <v>0</v>
      </c>
      <c r="Q418" s="309">
        <f>0</f>
        <v>0</v>
      </c>
      <c r="R418" s="424">
        <f t="shared" si="165"/>
        <v>0</v>
      </c>
      <c r="S418" s="421"/>
      <c r="T418" s="301">
        <f>0</f>
        <v>0</v>
      </c>
      <c r="U418" s="301">
        <f>0</f>
        <v>0</v>
      </c>
      <c r="V418" s="301">
        <f>0</f>
        <v>0</v>
      </c>
      <c r="W418" s="425">
        <f t="shared" si="166"/>
        <v>0</v>
      </c>
      <c r="X418" s="419"/>
      <c r="Y418" s="419"/>
      <c r="Z418" s="421"/>
      <c r="AA418" s="421"/>
      <c r="AB418" s="419"/>
      <c r="AC418" s="419"/>
      <c r="AD418" s="421"/>
      <c r="AE418" s="421"/>
      <c r="AF418" s="419"/>
      <c r="AG418" s="419"/>
      <c r="AH418" s="421"/>
      <c r="AI418" s="421"/>
      <c r="AJ418" s="419"/>
      <c r="AK418" s="419"/>
      <c r="AL418" s="421"/>
      <c r="AM418" s="421"/>
      <c r="AN418" s="419"/>
      <c r="AO418" s="419"/>
      <c r="AP418" s="421"/>
      <c r="AQ418" s="421"/>
      <c r="AR418" s="424">
        <f t="shared" si="169"/>
        <v>0</v>
      </c>
      <c r="AS418" s="422">
        <f t="shared" si="170"/>
        <v>0</v>
      </c>
      <c r="AT418" s="425">
        <f t="shared" si="171"/>
        <v>0</v>
      </c>
      <c r="AU418" s="423">
        <f t="shared" si="172"/>
        <v>0</v>
      </c>
      <c r="AV418" s="419"/>
      <c r="AW418" s="421"/>
      <c r="AX418" s="419"/>
      <c r="AY418" s="419"/>
      <c r="AZ418" s="421"/>
      <c r="BA418" s="421"/>
      <c r="BB418" s="419"/>
      <c r="BC418" s="419"/>
      <c r="BD418" s="421"/>
      <c r="BE418" s="421"/>
      <c r="BF418" s="419"/>
      <c r="BG418" s="419"/>
      <c r="BH418" s="421"/>
      <c r="BI418" s="421"/>
      <c r="BJ418" s="419"/>
      <c r="BK418" s="419"/>
      <c r="BL418" s="421"/>
      <c r="BM418" s="421"/>
      <c r="BN418" s="419"/>
      <c r="BO418" s="419"/>
      <c r="BP418" s="421"/>
      <c r="BQ418" s="421"/>
      <c r="BR418" s="419"/>
      <c r="BS418" s="419"/>
      <c r="BT418" s="421"/>
      <c r="BU418" s="421"/>
      <c r="BV418" s="419"/>
      <c r="BW418" s="419"/>
      <c r="BX418" s="421"/>
      <c r="BY418" s="421"/>
      <c r="BZ418" s="419"/>
      <c r="CA418" s="419"/>
      <c r="CB418" s="421"/>
      <c r="CC418" s="421"/>
      <c r="CD418" s="419"/>
      <c r="CE418" s="419"/>
      <c r="CF418" s="421"/>
      <c r="CG418" s="421"/>
      <c r="CH418" s="419"/>
      <c r="CI418" s="419"/>
      <c r="CJ418" s="421"/>
      <c r="CK418" s="421"/>
      <c r="CL418" s="419"/>
      <c r="CM418" s="421"/>
      <c r="CN418" s="424">
        <f t="shared" si="173"/>
        <v>0</v>
      </c>
      <c r="CO418" s="424">
        <f t="shared" si="174"/>
        <v>0</v>
      </c>
      <c r="CP418" s="425">
        <f t="shared" si="175"/>
        <v>0</v>
      </c>
      <c r="CQ418" s="425">
        <f t="shared" si="176"/>
        <v>0</v>
      </c>
      <c r="CR418" s="419"/>
      <c r="CS418" s="419"/>
      <c r="CT418" s="421"/>
      <c r="CU418" s="421"/>
      <c r="CV418" s="419"/>
      <c r="CW418" s="419"/>
      <c r="CX418" s="421"/>
      <c r="CY418" s="421"/>
      <c r="CZ418" s="419"/>
      <c r="DA418" s="419"/>
      <c r="DB418" s="421"/>
      <c r="DC418" s="421"/>
      <c r="DD418" s="419"/>
      <c r="DE418" s="419"/>
      <c r="DF418" s="421"/>
      <c r="DG418" s="421"/>
      <c r="DH418" s="419"/>
      <c r="DI418" s="419"/>
      <c r="DJ418" s="421"/>
      <c r="DK418" s="421"/>
      <c r="DL418" s="419"/>
      <c r="DM418" s="419"/>
      <c r="DN418" s="421"/>
      <c r="DO418" s="421"/>
      <c r="DP418" s="419"/>
      <c r="DQ418" s="419"/>
      <c r="DR418" s="421"/>
      <c r="DS418" s="421"/>
      <c r="DT418" s="419"/>
      <c r="DU418" s="419"/>
      <c r="DV418" s="421"/>
      <c r="DW418" s="421"/>
      <c r="DX418" s="419"/>
      <c r="DY418" s="419"/>
      <c r="DZ418" s="421"/>
      <c r="EA418" s="421"/>
      <c r="EB418" s="419"/>
      <c r="EC418" s="419"/>
      <c r="ED418" s="421"/>
      <c r="EE418" s="421"/>
      <c r="EF418" s="419"/>
      <c r="EG418" s="421"/>
      <c r="EH418" s="424">
        <f t="shared" si="177"/>
        <v>0</v>
      </c>
      <c r="EI418" s="424">
        <f t="shared" si="178"/>
        <v>0</v>
      </c>
      <c r="EJ418" s="422">
        <f t="shared" si="179"/>
        <v>0</v>
      </c>
      <c r="EK418" s="425">
        <f t="shared" si="180"/>
        <v>0</v>
      </c>
      <c r="EL418" s="425">
        <f t="shared" si="181"/>
        <v>0</v>
      </c>
      <c r="EM418" s="423">
        <f t="shared" si="182"/>
        <v>0</v>
      </c>
      <c r="EN418" s="424">
        <f t="shared" si="183"/>
        <v>0</v>
      </c>
      <c r="EO418" s="425">
        <f t="shared" si="184"/>
        <v>0</v>
      </c>
      <c r="EP418" s="419"/>
      <c r="EQ418" s="421"/>
      <c r="ER418" s="419"/>
      <c r="ES418" s="421"/>
      <c r="ET418" s="419"/>
      <c r="EU418" s="421"/>
      <c r="EV418" s="419"/>
      <c r="EW418" s="421"/>
      <c r="EX418" s="419"/>
      <c r="EY418" s="421"/>
      <c r="EZ418" s="419"/>
      <c r="FA418" s="421"/>
      <c r="FB418" s="419"/>
      <c r="FC418" s="421"/>
      <c r="FD418" s="419"/>
      <c r="FE418" s="421"/>
      <c r="FF418" s="419"/>
      <c r="FG418" s="421"/>
      <c r="FH418" s="419"/>
      <c r="FI418" s="421"/>
      <c r="FJ418" s="424">
        <f t="shared" si="185"/>
        <v>0</v>
      </c>
      <c r="FK418" s="425">
        <f t="shared" si="186"/>
        <v>0</v>
      </c>
      <c r="FL418" s="419"/>
      <c r="FM418" s="421"/>
      <c r="FN418" s="424">
        <f t="shared" si="187"/>
        <v>264</v>
      </c>
      <c r="FO418" s="425">
        <f t="shared" si="188"/>
        <v>256</v>
      </c>
    </row>
    <row r="419" spans="1:171">
      <c r="A419" s="428" t="s">
        <v>165</v>
      </c>
      <c r="B419" s="50" t="s">
        <v>940</v>
      </c>
      <c r="C419" s="49"/>
      <c r="D419" s="48">
        <v>220756</v>
      </c>
      <c r="E419" s="48">
        <v>13</v>
      </c>
      <c r="F419" s="419">
        <v>117</v>
      </c>
      <c r="G419" s="421">
        <v>108</v>
      </c>
      <c r="H419" s="419"/>
      <c r="I419" s="421"/>
      <c r="J419" s="419"/>
      <c r="K419" s="421"/>
      <c r="L419" s="422">
        <f t="shared" si="167"/>
        <v>0</v>
      </c>
      <c r="M419" s="423">
        <f t="shared" si="168"/>
        <v>0</v>
      </c>
      <c r="N419" s="419"/>
      <c r="O419" s="309">
        <f>0</f>
        <v>0</v>
      </c>
      <c r="P419" s="309">
        <f>0</f>
        <v>0</v>
      </c>
      <c r="Q419" s="309">
        <f>0</f>
        <v>0</v>
      </c>
      <c r="R419" s="424">
        <f t="shared" si="165"/>
        <v>0</v>
      </c>
      <c r="S419" s="421"/>
      <c r="T419" s="301">
        <f>0</f>
        <v>0</v>
      </c>
      <c r="U419" s="301">
        <f>0</f>
        <v>0</v>
      </c>
      <c r="V419" s="301">
        <f>0</f>
        <v>0</v>
      </c>
      <c r="W419" s="425">
        <f t="shared" si="166"/>
        <v>0</v>
      </c>
      <c r="X419" s="419"/>
      <c r="Y419" s="419"/>
      <c r="Z419" s="421"/>
      <c r="AA419" s="421"/>
      <c r="AB419" s="419"/>
      <c r="AC419" s="419"/>
      <c r="AD419" s="421"/>
      <c r="AE419" s="421"/>
      <c r="AF419" s="419"/>
      <c r="AG419" s="419"/>
      <c r="AH419" s="421"/>
      <c r="AI419" s="421"/>
      <c r="AJ419" s="419"/>
      <c r="AK419" s="419"/>
      <c r="AL419" s="421"/>
      <c r="AM419" s="421"/>
      <c r="AN419" s="419"/>
      <c r="AO419" s="419"/>
      <c r="AP419" s="421"/>
      <c r="AQ419" s="421"/>
      <c r="AR419" s="424">
        <f t="shared" si="169"/>
        <v>0</v>
      </c>
      <c r="AS419" s="422">
        <f t="shared" si="170"/>
        <v>0</v>
      </c>
      <c r="AT419" s="425">
        <f t="shared" si="171"/>
        <v>0</v>
      </c>
      <c r="AU419" s="423">
        <f t="shared" si="172"/>
        <v>0</v>
      </c>
      <c r="AV419" s="419"/>
      <c r="AW419" s="421"/>
      <c r="AX419" s="419"/>
      <c r="AY419" s="419"/>
      <c r="AZ419" s="421"/>
      <c r="BA419" s="421"/>
      <c r="BB419" s="419"/>
      <c r="BC419" s="419"/>
      <c r="BD419" s="421"/>
      <c r="BE419" s="421"/>
      <c r="BF419" s="419"/>
      <c r="BG419" s="419"/>
      <c r="BH419" s="421"/>
      <c r="BI419" s="421"/>
      <c r="BJ419" s="419"/>
      <c r="BK419" s="419"/>
      <c r="BL419" s="421"/>
      <c r="BM419" s="421"/>
      <c r="BN419" s="419"/>
      <c r="BO419" s="419"/>
      <c r="BP419" s="421"/>
      <c r="BQ419" s="421"/>
      <c r="BR419" s="419"/>
      <c r="BS419" s="419"/>
      <c r="BT419" s="421"/>
      <c r="BU419" s="421"/>
      <c r="BV419" s="419"/>
      <c r="BW419" s="419"/>
      <c r="BX419" s="421"/>
      <c r="BY419" s="421"/>
      <c r="BZ419" s="419"/>
      <c r="CA419" s="419"/>
      <c r="CB419" s="421"/>
      <c r="CC419" s="421"/>
      <c r="CD419" s="419"/>
      <c r="CE419" s="419"/>
      <c r="CF419" s="421"/>
      <c r="CG419" s="421"/>
      <c r="CH419" s="419"/>
      <c r="CI419" s="419"/>
      <c r="CJ419" s="421"/>
      <c r="CK419" s="421"/>
      <c r="CL419" s="419"/>
      <c r="CM419" s="421"/>
      <c r="CN419" s="424">
        <f t="shared" si="173"/>
        <v>0</v>
      </c>
      <c r="CO419" s="424">
        <f t="shared" si="174"/>
        <v>0</v>
      </c>
      <c r="CP419" s="425">
        <f t="shared" si="175"/>
        <v>0</v>
      </c>
      <c r="CQ419" s="425">
        <f t="shared" si="176"/>
        <v>0</v>
      </c>
      <c r="CR419" s="419"/>
      <c r="CS419" s="419"/>
      <c r="CT419" s="421"/>
      <c r="CU419" s="421"/>
      <c r="CV419" s="419"/>
      <c r="CW419" s="419"/>
      <c r="CX419" s="421"/>
      <c r="CY419" s="421"/>
      <c r="CZ419" s="419"/>
      <c r="DA419" s="419"/>
      <c r="DB419" s="421"/>
      <c r="DC419" s="421"/>
      <c r="DD419" s="419"/>
      <c r="DE419" s="419"/>
      <c r="DF419" s="421"/>
      <c r="DG419" s="421"/>
      <c r="DH419" s="419"/>
      <c r="DI419" s="419"/>
      <c r="DJ419" s="421"/>
      <c r="DK419" s="421"/>
      <c r="DL419" s="419"/>
      <c r="DM419" s="419"/>
      <c r="DN419" s="421"/>
      <c r="DO419" s="421"/>
      <c r="DP419" s="419"/>
      <c r="DQ419" s="419"/>
      <c r="DR419" s="421"/>
      <c r="DS419" s="421"/>
      <c r="DT419" s="419"/>
      <c r="DU419" s="419"/>
      <c r="DV419" s="421"/>
      <c r="DW419" s="421"/>
      <c r="DX419" s="419"/>
      <c r="DY419" s="419"/>
      <c r="DZ419" s="421"/>
      <c r="EA419" s="421"/>
      <c r="EB419" s="419"/>
      <c r="EC419" s="419"/>
      <c r="ED419" s="421"/>
      <c r="EE419" s="421"/>
      <c r="EF419" s="419"/>
      <c r="EG419" s="421"/>
      <c r="EH419" s="424">
        <f t="shared" si="177"/>
        <v>0</v>
      </c>
      <c r="EI419" s="424">
        <f t="shared" si="178"/>
        <v>0</v>
      </c>
      <c r="EJ419" s="422">
        <f t="shared" si="179"/>
        <v>0</v>
      </c>
      <c r="EK419" s="425">
        <f t="shared" si="180"/>
        <v>0</v>
      </c>
      <c r="EL419" s="425">
        <f t="shared" si="181"/>
        <v>0</v>
      </c>
      <c r="EM419" s="423">
        <f t="shared" si="182"/>
        <v>0</v>
      </c>
      <c r="EN419" s="424">
        <f t="shared" si="183"/>
        <v>0</v>
      </c>
      <c r="EO419" s="425">
        <f t="shared" si="184"/>
        <v>0</v>
      </c>
      <c r="EP419" s="419"/>
      <c r="EQ419" s="421"/>
      <c r="ER419" s="419"/>
      <c r="ES419" s="421"/>
      <c r="ET419" s="419"/>
      <c r="EU419" s="421"/>
      <c r="EV419" s="419"/>
      <c r="EW419" s="421"/>
      <c r="EX419" s="419"/>
      <c r="EY419" s="421"/>
      <c r="EZ419" s="419"/>
      <c r="FA419" s="421"/>
      <c r="FB419" s="419"/>
      <c r="FC419" s="421"/>
      <c r="FD419" s="419"/>
      <c r="FE419" s="421"/>
      <c r="FF419" s="419"/>
      <c r="FG419" s="421"/>
      <c r="FH419" s="419"/>
      <c r="FI419" s="421"/>
      <c r="FJ419" s="424">
        <f t="shared" si="185"/>
        <v>0</v>
      </c>
      <c r="FK419" s="425">
        <f t="shared" si="186"/>
        <v>0</v>
      </c>
      <c r="FL419" s="419"/>
      <c r="FM419" s="421"/>
      <c r="FN419" s="424">
        <f t="shared" si="187"/>
        <v>117</v>
      </c>
      <c r="FO419" s="425">
        <f t="shared" si="188"/>
        <v>108</v>
      </c>
    </row>
    <row r="420" spans="1:171">
      <c r="A420" s="428" t="s">
        <v>165</v>
      </c>
      <c r="B420" s="50" t="s">
        <v>941</v>
      </c>
      <c r="C420" s="47"/>
      <c r="D420" s="48">
        <v>221607</v>
      </c>
      <c r="E420" s="48">
        <v>13</v>
      </c>
      <c r="F420" s="419">
        <v>92</v>
      </c>
      <c r="G420" s="420">
        <v>127</v>
      </c>
      <c r="H420" s="419"/>
      <c r="I420" s="421"/>
      <c r="J420" s="419"/>
      <c r="K420" s="421"/>
      <c r="L420" s="422">
        <f t="shared" si="167"/>
        <v>0</v>
      </c>
      <c r="M420" s="423">
        <f t="shared" si="168"/>
        <v>0</v>
      </c>
      <c r="N420" s="419"/>
      <c r="O420" s="309">
        <f>0</f>
        <v>0</v>
      </c>
      <c r="P420" s="309">
        <f>0</f>
        <v>0</v>
      </c>
      <c r="Q420" s="309">
        <f>0</f>
        <v>0</v>
      </c>
      <c r="R420" s="424">
        <f t="shared" si="165"/>
        <v>0</v>
      </c>
      <c r="S420" s="421"/>
      <c r="T420" s="301">
        <f>0</f>
        <v>0</v>
      </c>
      <c r="U420" s="301">
        <f>0</f>
        <v>0</v>
      </c>
      <c r="V420" s="301">
        <f>0</f>
        <v>0</v>
      </c>
      <c r="W420" s="425">
        <f t="shared" si="166"/>
        <v>0</v>
      </c>
      <c r="X420" s="419"/>
      <c r="Y420" s="419"/>
      <c r="Z420" s="421"/>
      <c r="AA420" s="421"/>
      <c r="AB420" s="419"/>
      <c r="AC420" s="419"/>
      <c r="AD420" s="421"/>
      <c r="AE420" s="421"/>
      <c r="AF420" s="419"/>
      <c r="AG420" s="419"/>
      <c r="AH420" s="421"/>
      <c r="AI420" s="421"/>
      <c r="AJ420" s="419"/>
      <c r="AK420" s="419"/>
      <c r="AL420" s="421"/>
      <c r="AM420" s="421"/>
      <c r="AN420" s="419"/>
      <c r="AO420" s="419"/>
      <c r="AP420" s="421"/>
      <c r="AQ420" s="421"/>
      <c r="AR420" s="424">
        <f t="shared" si="169"/>
        <v>0</v>
      </c>
      <c r="AS420" s="422">
        <f t="shared" si="170"/>
        <v>0</v>
      </c>
      <c r="AT420" s="425">
        <f t="shared" si="171"/>
        <v>0</v>
      </c>
      <c r="AU420" s="423">
        <f t="shared" si="172"/>
        <v>0</v>
      </c>
      <c r="AV420" s="419"/>
      <c r="AW420" s="421"/>
      <c r="AX420" s="419"/>
      <c r="AY420" s="419"/>
      <c r="AZ420" s="421"/>
      <c r="BA420" s="421"/>
      <c r="BB420" s="419"/>
      <c r="BC420" s="419"/>
      <c r="BD420" s="421"/>
      <c r="BE420" s="421"/>
      <c r="BF420" s="419"/>
      <c r="BG420" s="419"/>
      <c r="BH420" s="421"/>
      <c r="BI420" s="421"/>
      <c r="BJ420" s="419"/>
      <c r="BK420" s="419"/>
      <c r="BL420" s="421"/>
      <c r="BM420" s="421"/>
      <c r="BN420" s="419"/>
      <c r="BO420" s="419"/>
      <c r="BP420" s="421"/>
      <c r="BQ420" s="421"/>
      <c r="BR420" s="419"/>
      <c r="BS420" s="419"/>
      <c r="BT420" s="421"/>
      <c r="BU420" s="421"/>
      <c r="BV420" s="419"/>
      <c r="BW420" s="419"/>
      <c r="BX420" s="421"/>
      <c r="BY420" s="421"/>
      <c r="BZ420" s="419"/>
      <c r="CA420" s="419"/>
      <c r="CB420" s="421"/>
      <c r="CC420" s="421"/>
      <c r="CD420" s="419"/>
      <c r="CE420" s="419"/>
      <c r="CF420" s="421"/>
      <c r="CG420" s="421"/>
      <c r="CH420" s="419"/>
      <c r="CI420" s="419"/>
      <c r="CJ420" s="421"/>
      <c r="CK420" s="421"/>
      <c r="CL420" s="419"/>
      <c r="CM420" s="421"/>
      <c r="CN420" s="424">
        <f t="shared" si="173"/>
        <v>0</v>
      </c>
      <c r="CO420" s="424">
        <f t="shared" si="174"/>
        <v>0</v>
      </c>
      <c r="CP420" s="425">
        <f t="shared" si="175"/>
        <v>0</v>
      </c>
      <c r="CQ420" s="425">
        <f t="shared" si="176"/>
        <v>0</v>
      </c>
      <c r="CR420" s="419"/>
      <c r="CS420" s="419"/>
      <c r="CT420" s="421"/>
      <c r="CU420" s="421"/>
      <c r="CV420" s="419"/>
      <c r="CW420" s="419"/>
      <c r="CX420" s="421"/>
      <c r="CY420" s="421"/>
      <c r="CZ420" s="419"/>
      <c r="DA420" s="419"/>
      <c r="DB420" s="421"/>
      <c r="DC420" s="421"/>
      <c r="DD420" s="419"/>
      <c r="DE420" s="419"/>
      <c r="DF420" s="421"/>
      <c r="DG420" s="421"/>
      <c r="DH420" s="419"/>
      <c r="DI420" s="419"/>
      <c r="DJ420" s="421"/>
      <c r="DK420" s="421"/>
      <c r="DL420" s="419"/>
      <c r="DM420" s="419"/>
      <c r="DN420" s="421"/>
      <c r="DO420" s="421"/>
      <c r="DP420" s="419"/>
      <c r="DQ420" s="419"/>
      <c r="DR420" s="421"/>
      <c r="DS420" s="421"/>
      <c r="DT420" s="419"/>
      <c r="DU420" s="419"/>
      <c r="DV420" s="421"/>
      <c r="DW420" s="421"/>
      <c r="DX420" s="419"/>
      <c r="DY420" s="419"/>
      <c r="DZ420" s="421"/>
      <c r="EA420" s="421"/>
      <c r="EB420" s="419"/>
      <c r="EC420" s="419"/>
      <c r="ED420" s="421"/>
      <c r="EE420" s="421"/>
      <c r="EF420" s="419"/>
      <c r="EG420" s="421"/>
      <c r="EH420" s="424">
        <f t="shared" si="177"/>
        <v>0</v>
      </c>
      <c r="EI420" s="424">
        <f t="shared" si="178"/>
        <v>0</v>
      </c>
      <c r="EJ420" s="422">
        <f t="shared" si="179"/>
        <v>0</v>
      </c>
      <c r="EK420" s="425">
        <f t="shared" si="180"/>
        <v>0</v>
      </c>
      <c r="EL420" s="425">
        <f t="shared" si="181"/>
        <v>0</v>
      </c>
      <c r="EM420" s="423">
        <f t="shared" si="182"/>
        <v>0</v>
      </c>
      <c r="EN420" s="424">
        <f t="shared" si="183"/>
        <v>0</v>
      </c>
      <c r="EO420" s="425">
        <f t="shared" si="184"/>
        <v>0</v>
      </c>
      <c r="EP420" s="419"/>
      <c r="EQ420" s="421"/>
      <c r="ER420" s="419"/>
      <c r="ES420" s="421"/>
      <c r="ET420" s="419"/>
      <c r="EU420" s="421"/>
      <c r="EV420" s="419"/>
      <c r="EW420" s="421"/>
      <c r="EX420" s="419"/>
      <c r="EY420" s="421"/>
      <c r="EZ420" s="419"/>
      <c r="FA420" s="421"/>
      <c r="FB420" s="419"/>
      <c r="FC420" s="421"/>
      <c r="FD420" s="419"/>
      <c r="FE420" s="421"/>
      <c r="FF420" s="419"/>
      <c r="FG420" s="421"/>
      <c r="FH420" s="419"/>
      <c r="FI420" s="421"/>
      <c r="FJ420" s="424">
        <f t="shared" si="185"/>
        <v>0</v>
      </c>
      <c r="FK420" s="425">
        <f t="shared" si="186"/>
        <v>0</v>
      </c>
      <c r="FL420" s="419"/>
      <c r="FM420" s="421"/>
      <c r="FN420" s="424">
        <f t="shared" si="187"/>
        <v>92</v>
      </c>
      <c r="FO420" s="425">
        <f t="shared" si="188"/>
        <v>127</v>
      </c>
    </row>
    <row r="421" spans="1:171">
      <c r="A421" s="428" t="s">
        <v>165</v>
      </c>
      <c r="B421" s="429" t="s">
        <v>942</v>
      </c>
      <c r="C421" s="430" t="s">
        <v>1215</v>
      </c>
      <c r="D421" s="48">
        <v>220853</v>
      </c>
      <c r="E421" s="48">
        <v>13</v>
      </c>
      <c r="F421" s="419">
        <v>508</v>
      </c>
      <c r="G421" s="420">
        <v>166</v>
      </c>
      <c r="H421" s="419"/>
      <c r="I421" s="421"/>
      <c r="J421" s="419"/>
      <c r="K421" s="421"/>
      <c r="L421" s="422">
        <f t="shared" si="167"/>
        <v>0</v>
      </c>
      <c r="M421" s="423">
        <f t="shared" si="168"/>
        <v>0</v>
      </c>
      <c r="N421" s="419"/>
      <c r="O421" s="309">
        <f>0</f>
        <v>0</v>
      </c>
      <c r="P421" s="309">
        <f>0</f>
        <v>0</v>
      </c>
      <c r="Q421" s="309">
        <f>0</f>
        <v>0</v>
      </c>
      <c r="R421" s="424">
        <f t="shared" si="165"/>
        <v>0</v>
      </c>
      <c r="S421" s="421"/>
      <c r="T421" s="301">
        <f>0</f>
        <v>0</v>
      </c>
      <c r="U421" s="301">
        <f>0</f>
        <v>0</v>
      </c>
      <c r="V421" s="301">
        <f>0</f>
        <v>0</v>
      </c>
      <c r="W421" s="425">
        <f t="shared" si="166"/>
        <v>0</v>
      </c>
      <c r="X421" s="419"/>
      <c r="Y421" s="419"/>
      <c r="Z421" s="421"/>
      <c r="AA421" s="421"/>
      <c r="AB421" s="419"/>
      <c r="AC421" s="419"/>
      <c r="AD421" s="421"/>
      <c r="AE421" s="421"/>
      <c r="AF421" s="419"/>
      <c r="AG421" s="419"/>
      <c r="AH421" s="421"/>
      <c r="AI421" s="421"/>
      <c r="AJ421" s="419"/>
      <c r="AK421" s="419"/>
      <c r="AL421" s="421"/>
      <c r="AM421" s="421"/>
      <c r="AN421" s="419"/>
      <c r="AO421" s="419"/>
      <c r="AP421" s="421"/>
      <c r="AQ421" s="421"/>
      <c r="AR421" s="424">
        <f t="shared" si="169"/>
        <v>0</v>
      </c>
      <c r="AS421" s="422">
        <f t="shared" si="170"/>
        <v>0</v>
      </c>
      <c r="AT421" s="425">
        <f t="shared" si="171"/>
        <v>0</v>
      </c>
      <c r="AU421" s="423">
        <f t="shared" si="172"/>
        <v>0</v>
      </c>
      <c r="AV421" s="419"/>
      <c r="AW421" s="421"/>
      <c r="AX421" s="419"/>
      <c r="AY421" s="419"/>
      <c r="AZ421" s="421"/>
      <c r="BA421" s="421"/>
      <c r="BB421" s="419"/>
      <c r="BC421" s="419"/>
      <c r="BD421" s="421"/>
      <c r="BE421" s="421"/>
      <c r="BF421" s="419"/>
      <c r="BG421" s="419"/>
      <c r="BH421" s="421"/>
      <c r="BI421" s="421"/>
      <c r="BJ421" s="419"/>
      <c r="BK421" s="419"/>
      <c r="BL421" s="421"/>
      <c r="BM421" s="421"/>
      <c r="BN421" s="419"/>
      <c r="BO421" s="419"/>
      <c r="BP421" s="421"/>
      <c r="BQ421" s="421"/>
      <c r="BR421" s="419"/>
      <c r="BS421" s="419"/>
      <c r="BT421" s="421"/>
      <c r="BU421" s="421"/>
      <c r="BV421" s="419"/>
      <c r="BW421" s="419"/>
      <c r="BX421" s="421"/>
      <c r="BY421" s="421"/>
      <c r="BZ421" s="419"/>
      <c r="CA421" s="419"/>
      <c r="CB421" s="421"/>
      <c r="CC421" s="421"/>
      <c r="CD421" s="419"/>
      <c r="CE421" s="419"/>
      <c r="CF421" s="421"/>
      <c r="CG421" s="421"/>
      <c r="CH421" s="419"/>
      <c r="CI421" s="419"/>
      <c r="CJ421" s="421"/>
      <c r="CK421" s="421"/>
      <c r="CL421" s="419"/>
      <c r="CM421" s="421"/>
      <c r="CN421" s="424">
        <f t="shared" si="173"/>
        <v>0</v>
      </c>
      <c r="CO421" s="424">
        <f t="shared" si="174"/>
        <v>0</v>
      </c>
      <c r="CP421" s="425">
        <f t="shared" si="175"/>
        <v>0</v>
      </c>
      <c r="CQ421" s="425">
        <f t="shared" si="176"/>
        <v>0</v>
      </c>
      <c r="CR421" s="419"/>
      <c r="CS421" s="419"/>
      <c r="CT421" s="421"/>
      <c r="CU421" s="421"/>
      <c r="CV421" s="419"/>
      <c r="CW421" s="419"/>
      <c r="CX421" s="421"/>
      <c r="CY421" s="421"/>
      <c r="CZ421" s="419"/>
      <c r="DA421" s="419"/>
      <c r="DB421" s="421"/>
      <c r="DC421" s="421"/>
      <c r="DD421" s="419"/>
      <c r="DE421" s="419"/>
      <c r="DF421" s="421"/>
      <c r="DG421" s="421"/>
      <c r="DH421" s="419"/>
      <c r="DI421" s="419"/>
      <c r="DJ421" s="421"/>
      <c r="DK421" s="421"/>
      <c r="DL421" s="419"/>
      <c r="DM421" s="419"/>
      <c r="DN421" s="421"/>
      <c r="DO421" s="421"/>
      <c r="DP421" s="419"/>
      <c r="DQ421" s="419"/>
      <c r="DR421" s="421"/>
      <c r="DS421" s="421"/>
      <c r="DT421" s="419"/>
      <c r="DU421" s="419"/>
      <c r="DV421" s="421"/>
      <c r="DW421" s="421"/>
      <c r="DX421" s="419"/>
      <c r="DY421" s="419"/>
      <c r="DZ421" s="421"/>
      <c r="EA421" s="421"/>
      <c r="EB421" s="419"/>
      <c r="EC421" s="419"/>
      <c r="ED421" s="421"/>
      <c r="EE421" s="421"/>
      <c r="EF421" s="419"/>
      <c r="EG421" s="421"/>
      <c r="EH421" s="424">
        <f t="shared" si="177"/>
        <v>0</v>
      </c>
      <c r="EI421" s="424">
        <f t="shared" si="178"/>
        <v>0</v>
      </c>
      <c r="EJ421" s="422">
        <f t="shared" si="179"/>
        <v>0</v>
      </c>
      <c r="EK421" s="425">
        <f t="shared" si="180"/>
        <v>0</v>
      </c>
      <c r="EL421" s="425">
        <f t="shared" si="181"/>
        <v>0</v>
      </c>
      <c r="EM421" s="423">
        <f t="shared" si="182"/>
        <v>0</v>
      </c>
      <c r="EN421" s="424">
        <f t="shared" si="183"/>
        <v>0</v>
      </c>
      <c r="EO421" s="425">
        <f t="shared" si="184"/>
        <v>0</v>
      </c>
      <c r="EP421" s="419"/>
      <c r="EQ421" s="421"/>
      <c r="ER421" s="419"/>
      <c r="ES421" s="421"/>
      <c r="ET421" s="419"/>
      <c r="EU421" s="421"/>
      <c r="EV421" s="419"/>
      <c r="EW421" s="421"/>
      <c r="EX421" s="419"/>
      <c r="EY421" s="421"/>
      <c r="EZ421" s="419"/>
      <c r="FA421" s="421"/>
      <c r="FB421" s="419"/>
      <c r="FC421" s="421"/>
      <c r="FD421" s="419"/>
      <c r="FE421" s="421"/>
      <c r="FF421" s="419"/>
      <c r="FG421" s="421"/>
      <c r="FH421" s="419"/>
      <c r="FI421" s="421"/>
      <c r="FJ421" s="424">
        <f t="shared" si="185"/>
        <v>0</v>
      </c>
      <c r="FK421" s="425">
        <f t="shared" si="186"/>
        <v>0</v>
      </c>
      <c r="FL421" s="419"/>
      <c r="FM421" s="421"/>
      <c r="FN421" s="424">
        <f t="shared" si="187"/>
        <v>508</v>
      </c>
      <c r="FO421" s="425">
        <f t="shared" si="188"/>
        <v>166</v>
      </c>
    </row>
    <row r="422" spans="1:171">
      <c r="A422" s="428" t="s">
        <v>165</v>
      </c>
      <c r="B422" s="50" t="s">
        <v>943</v>
      </c>
      <c r="C422" s="49"/>
      <c r="D422" s="48">
        <v>221050</v>
      </c>
      <c r="E422" s="48">
        <v>13</v>
      </c>
      <c r="F422" s="419">
        <v>463</v>
      </c>
      <c r="G422" s="420">
        <v>369</v>
      </c>
      <c r="H422" s="419"/>
      <c r="I422" s="421"/>
      <c r="J422" s="419"/>
      <c r="K422" s="421"/>
      <c r="L422" s="422">
        <f t="shared" si="167"/>
        <v>0</v>
      </c>
      <c r="M422" s="423">
        <f t="shared" si="168"/>
        <v>0</v>
      </c>
      <c r="N422" s="419"/>
      <c r="O422" s="309">
        <f>0</f>
        <v>0</v>
      </c>
      <c r="P422" s="309">
        <f>0</f>
        <v>0</v>
      </c>
      <c r="Q422" s="309">
        <f>0</f>
        <v>0</v>
      </c>
      <c r="R422" s="424">
        <f t="shared" si="165"/>
        <v>0</v>
      </c>
      <c r="S422" s="421"/>
      <c r="T422" s="301">
        <f>0</f>
        <v>0</v>
      </c>
      <c r="U422" s="301">
        <f>0</f>
        <v>0</v>
      </c>
      <c r="V422" s="301">
        <f>0</f>
        <v>0</v>
      </c>
      <c r="W422" s="425">
        <f t="shared" si="166"/>
        <v>0</v>
      </c>
      <c r="X422" s="419"/>
      <c r="Y422" s="419"/>
      <c r="Z422" s="421"/>
      <c r="AA422" s="421"/>
      <c r="AB422" s="419"/>
      <c r="AC422" s="419"/>
      <c r="AD422" s="421"/>
      <c r="AE422" s="421"/>
      <c r="AF422" s="419"/>
      <c r="AG422" s="419"/>
      <c r="AH422" s="421"/>
      <c r="AI422" s="421"/>
      <c r="AJ422" s="419"/>
      <c r="AK422" s="419"/>
      <c r="AL422" s="421"/>
      <c r="AM422" s="421"/>
      <c r="AN422" s="419"/>
      <c r="AO422" s="419"/>
      <c r="AP422" s="421"/>
      <c r="AQ422" s="421"/>
      <c r="AR422" s="424">
        <f t="shared" si="169"/>
        <v>0</v>
      </c>
      <c r="AS422" s="422">
        <f t="shared" si="170"/>
        <v>0</v>
      </c>
      <c r="AT422" s="425">
        <f t="shared" si="171"/>
        <v>0</v>
      </c>
      <c r="AU422" s="423">
        <f t="shared" si="172"/>
        <v>0</v>
      </c>
      <c r="AV422" s="419"/>
      <c r="AW422" s="421"/>
      <c r="AX422" s="419"/>
      <c r="AY422" s="419"/>
      <c r="AZ422" s="421"/>
      <c r="BA422" s="421"/>
      <c r="BB422" s="419"/>
      <c r="BC422" s="419"/>
      <c r="BD422" s="421"/>
      <c r="BE422" s="421"/>
      <c r="BF422" s="419"/>
      <c r="BG422" s="419"/>
      <c r="BH422" s="421"/>
      <c r="BI422" s="421"/>
      <c r="BJ422" s="419"/>
      <c r="BK422" s="419"/>
      <c r="BL422" s="421"/>
      <c r="BM422" s="421"/>
      <c r="BN422" s="419"/>
      <c r="BO422" s="419"/>
      <c r="BP422" s="421"/>
      <c r="BQ422" s="421"/>
      <c r="BR422" s="419"/>
      <c r="BS422" s="419"/>
      <c r="BT422" s="421"/>
      <c r="BU422" s="421"/>
      <c r="BV422" s="419"/>
      <c r="BW422" s="419"/>
      <c r="BX422" s="421"/>
      <c r="BY422" s="421"/>
      <c r="BZ422" s="419"/>
      <c r="CA422" s="419"/>
      <c r="CB422" s="421"/>
      <c r="CC422" s="421"/>
      <c r="CD422" s="419"/>
      <c r="CE422" s="419"/>
      <c r="CF422" s="421"/>
      <c r="CG422" s="421"/>
      <c r="CH422" s="419"/>
      <c r="CI422" s="419"/>
      <c r="CJ422" s="421"/>
      <c r="CK422" s="421"/>
      <c r="CL422" s="419"/>
      <c r="CM422" s="421"/>
      <c r="CN422" s="424">
        <f t="shared" si="173"/>
        <v>0</v>
      </c>
      <c r="CO422" s="424">
        <f t="shared" si="174"/>
        <v>0</v>
      </c>
      <c r="CP422" s="425">
        <f t="shared" si="175"/>
        <v>0</v>
      </c>
      <c r="CQ422" s="425">
        <f t="shared" si="176"/>
        <v>0</v>
      </c>
      <c r="CR422" s="419"/>
      <c r="CS422" s="419"/>
      <c r="CT422" s="421"/>
      <c r="CU422" s="421"/>
      <c r="CV422" s="419"/>
      <c r="CW422" s="419"/>
      <c r="CX422" s="421"/>
      <c r="CY422" s="421"/>
      <c r="CZ422" s="419"/>
      <c r="DA422" s="419"/>
      <c r="DB422" s="421"/>
      <c r="DC422" s="421"/>
      <c r="DD422" s="419"/>
      <c r="DE422" s="419"/>
      <c r="DF422" s="421"/>
      <c r="DG422" s="421"/>
      <c r="DH422" s="419"/>
      <c r="DI422" s="419"/>
      <c r="DJ422" s="421"/>
      <c r="DK422" s="421"/>
      <c r="DL422" s="419"/>
      <c r="DM422" s="419"/>
      <c r="DN422" s="421"/>
      <c r="DO422" s="421"/>
      <c r="DP422" s="419"/>
      <c r="DQ422" s="419"/>
      <c r="DR422" s="421"/>
      <c r="DS422" s="421"/>
      <c r="DT422" s="419"/>
      <c r="DU422" s="419"/>
      <c r="DV422" s="421"/>
      <c r="DW422" s="421"/>
      <c r="DX422" s="419"/>
      <c r="DY422" s="419"/>
      <c r="DZ422" s="421"/>
      <c r="EA422" s="421"/>
      <c r="EB422" s="419"/>
      <c r="EC422" s="419"/>
      <c r="ED422" s="421"/>
      <c r="EE422" s="421"/>
      <c r="EF422" s="419"/>
      <c r="EG422" s="421"/>
      <c r="EH422" s="424">
        <f t="shared" si="177"/>
        <v>0</v>
      </c>
      <c r="EI422" s="424">
        <f t="shared" si="178"/>
        <v>0</v>
      </c>
      <c r="EJ422" s="422">
        <f t="shared" si="179"/>
        <v>0</v>
      </c>
      <c r="EK422" s="425">
        <f t="shared" si="180"/>
        <v>0</v>
      </c>
      <c r="EL422" s="425">
        <f t="shared" si="181"/>
        <v>0</v>
      </c>
      <c r="EM422" s="423">
        <f t="shared" si="182"/>
        <v>0</v>
      </c>
      <c r="EN422" s="424">
        <f t="shared" si="183"/>
        <v>0</v>
      </c>
      <c r="EO422" s="425">
        <f t="shared" si="184"/>
        <v>0</v>
      </c>
      <c r="EP422" s="419"/>
      <c r="EQ422" s="421"/>
      <c r="ER422" s="419"/>
      <c r="ES422" s="421"/>
      <c r="ET422" s="419"/>
      <c r="EU422" s="421"/>
      <c r="EV422" s="419"/>
      <c r="EW422" s="421"/>
      <c r="EX422" s="419"/>
      <c r="EY422" s="421"/>
      <c r="EZ422" s="419"/>
      <c r="FA422" s="421"/>
      <c r="FB422" s="419"/>
      <c r="FC422" s="421"/>
      <c r="FD422" s="419"/>
      <c r="FE422" s="421"/>
      <c r="FF422" s="419"/>
      <c r="FG422" s="421"/>
      <c r="FH422" s="419"/>
      <c r="FI422" s="421"/>
      <c r="FJ422" s="424">
        <f t="shared" si="185"/>
        <v>0</v>
      </c>
      <c r="FK422" s="425">
        <f t="shared" si="186"/>
        <v>0</v>
      </c>
      <c r="FL422" s="419"/>
      <c r="FM422" s="421"/>
      <c r="FN422" s="424">
        <f t="shared" si="187"/>
        <v>463</v>
      </c>
      <c r="FO422" s="425">
        <f t="shared" si="188"/>
        <v>369</v>
      </c>
    </row>
    <row r="423" spans="1:171">
      <c r="A423" s="428" t="s">
        <v>165</v>
      </c>
      <c r="B423" s="50" t="s">
        <v>944</v>
      </c>
      <c r="C423" s="47"/>
      <c r="D423" s="48">
        <v>221102</v>
      </c>
      <c r="E423" s="48">
        <v>13</v>
      </c>
      <c r="F423" s="419">
        <v>319</v>
      </c>
      <c r="G423" s="421">
        <v>276</v>
      </c>
      <c r="H423" s="419"/>
      <c r="I423" s="421"/>
      <c r="J423" s="419"/>
      <c r="K423" s="421"/>
      <c r="L423" s="422">
        <f t="shared" si="167"/>
        <v>0</v>
      </c>
      <c r="M423" s="423">
        <f t="shared" si="168"/>
        <v>0</v>
      </c>
      <c r="N423" s="419"/>
      <c r="O423" s="309">
        <f>0</f>
        <v>0</v>
      </c>
      <c r="P423" s="309">
        <f>0</f>
        <v>0</v>
      </c>
      <c r="Q423" s="309">
        <f>0</f>
        <v>0</v>
      </c>
      <c r="R423" s="424">
        <f t="shared" si="165"/>
        <v>0</v>
      </c>
      <c r="S423" s="421"/>
      <c r="T423" s="301">
        <f>0</f>
        <v>0</v>
      </c>
      <c r="U423" s="301">
        <f>0</f>
        <v>0</v>
      </c>
      <c r="V423" s="301">
        <f>0</f>
        <v>0</v>
      </c>
      <c r="W423" s="425">
        <f t="shared" si="166"/>
        <v>0</v>
      </c>
      <c r="X423" s="419"/>
      <c r="Y423" s="419"/>
      <c r="Z423" s="421"/>
      <c r="AA423" s="421"/>
      <c r="AB423" s="419"/>
      <c r="AC423" s="419"/>
      <c r="AD423" s="421"/>
      <c r="AE423" s="421"/>
      <c r="AF423" s="419"/>
      <c r="AG423" s="419"/>
      <c r="AH423" s="421"/>
      <c r="AI423" s="421"/>
      <c r="AJ423" s="419"/>
      <c r="AK423" s="419"/>
      <c r="AL423" s="421"/>
      <c r="AM423" s="421"/>
      <c r="AN423" s="419"/>
      <c r="AO423" s="419"/>
      <c r="AP423" s="421"/>
      <c r="AQ423" s="421"/>
      <c r="AR423" s="424">
        <f t="shared" si="169"/>
        <v>0</v>
      </c>
      <c r="AS423" s="422">
        <f t="shared" si="170"/>
        <v>0</v>
      </c>
      <c r="AT423" s="425">
        <f t="shared" si="171"/>
        <v>0</v>
      </c>
      <c r="AU423" s="423">
        <f t="shared" si="172"/>
        <v>0</v>
      </c>
      <c r="AV423" s="419"/>
      <c r="AW423" s="421"/>
      <c r="AX423" s="419"/>
      <c r="AY423" s="419"/>
      <c r="AZ423" s="421"/>
      <c r="BA423" s="421"/>
      <c r="BB423" s="419"/>
      <c r="BC423" s="419"/>
      <c r="BD423" s="421"/>
      <c r="BE423" s="421"/>
      <c r="BF423" s="419"/>
      <c r="BG423" s="419"/>
      <c r="BH423" s="421"/>
      <c r="BI423" s="421"/>
      <c r="BJ423" s="419"/>
      <c r="BK423" s="419"/>
      <c r="BL423" s="421"/>
      <c r="BM423" s="421"/>
      <c r="BN423" s="419"/>
      <c r="BO423" s="419"/>
      <c r="BP423" s="421"/>
      <c r="BQ423" s="421"/>
      <c r="BR423" s="419"/>
      <c r="BS423" s="419"/>
      <c r="BT423" s="421"/>
      <c r="BU423" s="421"/>
      <c r="BV423" s="419"/>
      <c r="BW423" s="419"/>
      <c r="BX423" s="421"/>
      <c r="BY423" s="421"/>
      <c r="BZ423" s="419"/>
      <c r="CA423" s="419"/>
      <c r="CB423" s="421"/>
      <c r="CC423" s="421"/>
      <c r="CD423" s="419"/>
      <c r="CE423" s="419"/>
      <c r="CF423" s="421"/>
      <c r="CG423" s="421"/>
      <c r="CH423" s="419"/>
      <c r="CI423" s="419"/>
      <c r="CJ423" s="421"/>
      <c r="CK423" s="421"/>
      <c r="CL423" s="419"/>
      <c r="CM423" s="421"/>
      <c r="CN423" s="424">
        <f t="shared" si="173"/>
        <v>0</v>
      </c>
      <c r="CO423" s="424">
        <f t="shared" si="174"/>
        <v>0</v>
      </c>
      <c r="CP423" s="425">
        <f t="shared" si="175"/>
        <v>0</v>
      </c>
      <c r="CQ423" s="425">
        <f t="shared" si="176"/>
        <v>0</v>
      </c>
      <c r="CR423" s="419"/>
      <c r="CS423" s="419"/>
      <c r="CT423" s="421"/>
      <c r="CU423" s="421"/>
      <c r="CV423" s="419"/>
      <c r="CW423" s="419"/>
      <c r="CX423" s="421"/>
      <c r="CY423" s="421"/>
      <c r="CZ423" s="419"/>
      <c r="DA423" s="419"/>
      <c r="DB423" s="421"/>
      <c r="DC423" s="421"/>
      <c r="DD423" s="419"/>
      <c r="DE423" s="419"/>
      <c r="DF423" s="421"/>
      <c r="DG423" s="421"/>
      <c r="DH423" s="419"/>
      <c r="DI423" s="419"/>
      <c r="DJ423" s="421"/>
      <c r="DK423" s="421"/>
      <c r="DL423" s="419"/>
      <c r="DM423" s="419"/>
      <c r="DN423" s="421"/>
      <c r="DO423" s="421"/>
      <c r="DP423" s="419"/>
      <c r="DQ423" s="419"/>
      <c r="DR423" s="421"/>
      <c r="DS423" s="421"/>
      <c r="DT423" s="419"/>
      <c r="DU423" s="419"/>
      <c r="DV423" s="421"/>
      <c r="DW423" s="421"/>
      <c r="DX423" s="419"/>
      <c r="DY423" s="419"/>
      <c r="DZ423" s="421"/>
      <c r="EA423" s="421"/>
      <c r="EB423" s="419"/>
      <c r="EC423" s="419"/>
      <c r="ED423" s="421"/>
      <c r="EE423" s="421"/>
      <c r="EF423" s="419"/>
      <c r="EG423" s="421"/>
      <c r="EH423" s="424">
        <f t="shared" si="177"/>
        <v>0</v>
      </c>
      <c r="EI423" s="424">
        <f t="shared" si="178"/>
        <v>0</v>
      </c>
      <c r="EJ423" s="422">
        <f t="shared" si="179"/>
        <v>0</v>
      </c>
      <c r="EK423" s="425">
        <f t="shared" si="180"/>
        <v>0</v>
      </c>
      <c r="EL423" s="425">
        <f t="shared" si="181"/>
        <v>0</v>
      </c>
      <c r="EM423" s="423">
        <f t="shared" si="182"/>
        <v>0</v>
      </c>
      <c r="EN423" s="424">
        <f t="shared" si="183"/>
        <v>0</v>
      </c>
      <c r="EO423" s="425">
        <f t="shared" si="184"/>
        <v>0</v>
      </c>
      <c r="EP423" s="419"/>
      <c r="EQ423" s="421"/>
      <c r="ER423" s="419"/>
      <c r="ES423" s="421"/>
      <c r="ET423" s="419"/>
      <c r="EU423" s="421"/>
      <c r="EV423" s="419"/>
      <c r="EW423" s="421"/>
      <c r="EX423" s="419"/>
      <c r="EY423" s="421"/>
      <c r="EZ423" s="419"/>
      <c r="FA423" s="421"/>
      <c r="FB423" s="419"/>
      <c r="FC423" s="421"/>
      <c r="FD423" s="419"/>
      <c r="FE423" s="421"/>
      <c r="FF423" s="419"/>
      <c r="FG423" s="421"/>
      <c r="FH423" s="419"/>
      <c r="FI423" s="421"/>
      <c r="FJ423" s="424">
        <f t="shared" si="185"/>
        <v>0</v>
      </c>
      <c r="FK423" s="425">
        <f t="shared" si="186"/>
        <v>0</v>
      </c>
      <c r="FL423" s="419"/>
      <c r="FM423" s="421"/>
      <c r="FN423" s="424">
        <f t="shared" si="187"/>
        <v>319</v>
      </c>
      <c r="FO423" s="425">
        <f t="shared" si="188"/>
        <v>276</v>
      </c>
    </row>
    <row r="424" spans="1:171">
      <c r="A424" s="428" t="s">
        <v>165</v>
      </c>
      <c r="B424" s="429" t="s">
        <v>945</v>
      </c>
      <c r="C424" s="430"/>
      <c r="D424" s="48">
        <v>248925</v>
      </c>
      <c r="E424" s="48">
        <v>13</v>
      </c>
      <c r="F424" s="419">
        <v>627</v>
      </c>
      <c r="G424" s="420">
        <v>493</v>
      </c>
      <c r="H424" s="419"/>
      <c r="I424" s="421"/>
      <c r="J424" s="419"/>
      <c r="K424" s="421"/>
      <c r="L424" s="422">
        <f t="shared" si="167"/>
        <v>0</v>
      </c>
      <c r="M424" s="423">
        <f t="shared" si="168"/>
        <v>0</v>
      </c>
      <c r="N424" s="419"/>
      <c r="O424" s="309">
        <f>0</f>
        <v>0</v>
      </c>
      <c r="P424" s="309">
        <f>0</f>
        <v>0</v>
      </c>
      <c r="Q424" s="309">
        <f>0</f>
        <v>0</v>
      </c>
      <c r="R424" s="424">
        <f t="shared" si="165"/>
        <v>0</v>
      </c>
      <c r="S424" s="421"/>
      <c r="T424" s="301">
        <f>0</f>
        <v>0</v>
      </c>
      <c r="U424" s="301">
        <f>0</f>
        <v>0</v>
      </c>
      <c r="V424" s="301">
        <f>0</f>
        <v>0</v>
      </c>
      <c r="W424" s="425">
        <f t="shared" si="166"/>
        <v>0</v>
      </c>
      <c r="X424" s="419"/>
      <c r="Y424" s="419"/>
      <c r="Z424" s="421"/>
      <c r="AA424" s="421"/>
      <c r="AB424" s="419"/>
      <c r="AC424" s="419"/>
      <c r="AD424" s="421"/>
      <c r="AE424" s="421"/>
      <c r="AF424" s="419"/>
      <c r="AG424" s="419"/>
      <c r="AH424" s="421"/>
      <c r="AI424" s="421"/>
      <c r="AJ424" s="419"/>
      <c r="AK424" s="419"/>
      <c r="AL424" s="421"/>
      <c r="AM424" s="421"/>
      <c r="AN424" s="419"/>
      <c r="AO424" s="419"/>
      <c r="AP424" s="421"/>
      <c r="AQ424" s="421"/>
      <c r="AR424" s="424">
        <f t="shared" si="169"/>
        <v>0</v>
      </c>
      <c r="AS424" s="422">
        <f t="shared" si="170"/>
        <v>0</v>
      </c>
      <c r="AT424" s="425">
        <f t="shared" si="171"/>
        <v>0</v>
      </c>
      <c r="AU424" s="423">
        <f t="shared" si="172"/>
        <v>0</v>
      </c>
      <c r="AV424" s="419"/>
      <c r="AW424" s="421"/>
      <c r="AX424" s="419"/>
      <c r="AY424" s="419"/>
      <c r="AZ424" s="421"/>
      <c r="BA424" s="421"/>
      <c r="BB424" s="419"/>
      <c r="BC424" s="419"/>
      <c r="BD424" s="421"/>
      <c r="BE424" s="421"/>
      <c r="BF424" s="419"/>
      <c r="BG424" s="419"/>
      <c r="BH424" s="421"/>
      <c r="BI424" s="421"/>
      <c r="BJ424" s="419"/>
      <c r="BK424" s="419"/>
      <c r="BL424" s="421"/>
      <c r="BM424" s="421"/>
      <c r="BN424" s="419"/>
      <c r="BO424" s="419"/>
      <c r="BP424" s="421"/>
      <c r="BQ424" s="421"/>
      <c r="BR424" s="419"/>
      <c r="BS424" s="419"/>
      <c r="BT424" s="421"/>
      <c r="BU424" s="421"/>
      <c r="BV424" s="419"/>
      <c r="BW424" s="419"/>
      <c r="BX424" s="421"/>
      <c r="BY424" s="421"/>
      <c r="BZ424" s="419"/>
      <c r="CA424" s="419"/>
      <c r="CB424" s="421"/>
      <c r="CC424" s="421"/>
      <c r="CD424" s="419"/>
      <c r="CE424" s="419"/>
      <c r="CF424" s="421"/>
      <c r="CG424" s="421"/>
      <c r="CH424" s="419"/>
      <c r="CI424" s="419"/>
      <c r="CJ424" s="421"/>
      <c r="CK424" s="421"/>
      <c r="CL424" s="419"/>
      <c r="CM424" s="421"/>
      <c r="CN424" s="424">
        <f t="shared" si="173"/>
        <v>0</v>
      </c>
      <c r="CO424" s="424">
        <f t="shared" si="174"/>
        <v>0</v>
      </c>
      <c r="CP424" s="425">
        <f t="shared" si="175"/>
        <v>0</v>
      </c>
      <c r="CQ424" s="425">
        <f t="shared" si="176"/>
        <v>0</v>
      </c>
      <c r="CR424" s="419"/>
      <c r="CS424" s="419"/>
      <c r="CT424" s="421"/>
      <c r="CU424" s="421"/>
      <c r="CV424" s="419"/>
      <c r="CW424" s="419"/>
      <c r="CX424" s="421"/>
      <c r="CY424" s="421"/>
      <c r="CZ424" s="419"/>
      <c r="DA424" s="419"/>
      <c r="DB424" s="421"/>
      <c r="DC424" s="421"/>
      <c r="DD424" s="419"/>
      <c r="DE424" s="419"/>
      <c r="DF424" s="421"/>
      <c r="DG424" s="421"/>
      <c r="DH424" s="419"/>
      <c r="DI424" s="419"/>
      <c r="DJ424" s="421"/>
      <c r="DK424" s="421"/>
      <c r="DL424" s="419"/>
      <c r="DM424" s="419"/>
      <c r="DN424" s="421"/>
      <c r="DO424" s="421"/>
      <c r="DP424" s="419"/>
      <c r="DQ424" s="419"/>
      <c r="DR424" s="421"/>
      <c r="DS424" s="421"/>
      <c r="DT424" s="419"/>
      <c r="DU424" s="419"/>
      <c r="DV424" s="421"/>
      <c r="DW424" s="421"/>
      <c r="DX424" s="419"/>
      <c r="DY424" s="419"/>
      <c r="DZ424" s="421"/>
      <c r="EA424" s="421"/>
      <c r="EB424" s="419"/>
      <c r="EC424" s="419"/>
      <c r="ED424" s="421"/>
      <c r="EE424" s="421"/>
      <c r="EF424" s="419"/>
      <c r="EG424" s="421"/>
      <c r="EH424" s="424">
        <f t="shared" si="177"/>
        <v>0</v>
      </c>
      <c r="EI424" s="424">
        <f t="shared" si="178"/>
        <v>0</v>
      </c>
      <c r="EJ424" s="422">
        <f t="shared" si="179"/>
        <v>0</v>
      </c>
      <c r="EK424" s="425">
        <f t="shared" si="180"/>
        <v>0</v>
      </c>
      <c r="EL424" s="425">
        <f t="shared" si="181"/>
        <v>0</v>
      </c>
      <c r="EM424" s="423">
        <f t="shared" si="182"/>
        <v>0</v>
      </c>
      <c r="EN424" s="424">
        <f t="shared" si="183"/>
        <v>0</v>
      </c>
      <c r="EO424" s="425">
        <f t="shared" si="184"/>
        <v>0</v>
      </c>
      <c r="EP424" s="419"/>
      <c r="EQ424" s="421"/>
      <c r="ER424" s="419"/>
      <c r="ES424" s="421"/>
      <c r="ET424" s="419"/>
      <c r="EU424" s="421"/>
      <c r="EV424" s="419"/>
      <c r="EW424" s="421"/>
      <c r="EX424" s="419"/>
      <c r="EY424" s="421"/>
      <c r="EZ424" s="419"/>
      <c r="FA424" s="421"/>
      <c r="FB424" s="419"/>
      <c r="FC424" s="421"/>
      <c r="FD424" s="419"/>
      <c r="FE424" s="421"/>
      <c r="FF424" s="419"/>
      <c r="FG424" s="421"/>
      <c r="FH424" s="419"/>
      <c r="FI424" s="421"/>
      <c r="FJ424" s="424">
        <f t="shared" si="185"/>
        <v>0</v>
      </c>
      <c r="FK424" s="425">
        <f t="shared" si="186"/>
        <v>0</v>
      </c>
      <c r="FL424" s="419"/>
      <c r="FM424" s="421"/>
      <c r="FN424" s="424">
        <f t="shared" si="187"/>
        <v>627</v>
      </c>
      <c r="FO424" s="425">
        <f t="shared" si="188"/>
        <v>493</v>
      </c>
    </row>
    <row r="425" spans="1:171">
      <c r="A425" s="428" t="s">
        <v>165</v>
      </c>
      <c r="B425" s="50" t="s">
        <v>946</v>
      </c>
      <c r="C425" s="49"/>
      <c r="D425" s="48">
        <v>221236</v>
      </c>
      <c r="E425" s="48">
        <v>13</v>
      </c>
      <c r="F425" s="419">
        <v>211</v>
      </c>
      <c r="G425" s="420">
        <v>261</v>
      </c>
      <c r="H425" s="419"/>
      <c r="I425" s="421"/>
      <c r="J425" s="419"/>
      <c r="K425" s="421"/>
      <c r="L425" s="422">
        <f t="shared" si="167"/>
        <v>0</v>
      </c>
      <c r="M425" s="423">
        <f t="shared" si="168"/>
        <v>0</v>
      </c>
      <c r="N425" s="419"/>
      <c r="O425" s="309">
        <f>0</f>
        <v>0</v>
      </c>
      <c r="P425" s="309">
        <f>0</f>
        <v>0</v>
      </c>
      <c r="Q425" s="309">
        <f>0</f>
        <v>0</v>
      </c>
      <c r="R425" s="424">
        <f t="shared" si="165"/>
        <v>0</v>
      </c>
      <c r="S425" s="421"/>
      <c r="T425" s="301">
        <f>0</f>
        <v>0</v>
      </c>
      <c r="U425" s="301">
        <f>0</f>
        <v>0</v>
      </c>
      <c r="V425" s="301">
        <f>0</f>
        <v>0</v>
      </c>
      <c r="W425" s="425">
        <f t="shared" si="166"/>
        <v>0</v>
      </c>
      <c r="X425" s="419"/>
      <c r="Y425" s="419"/>
      <c r="Z425" s="421"/>
      <c r="AA425" s="421"/>
      <c r="AB425" s="419"/>
      <c r="AC425" s="419"/>
      <c r="AD425" s="421"/>
      <c r="AE425" s="421"/>
      <c r="AF425" s="419"/>
      <c r="AG425" s="419"/>
      <c r="AH425" s="421"/>
      <c r="AI425" s="421"/>
      <c r="AJ425" s="419"/>
      <c r="AK425" s="419"/>
      <c r="AL425" s="421"/>
      <c r="AM425" s="421"/>
      <c r="AN425" s="419"/>
      <c r="AO425" s="419"/>
      <c r="AP425" s="421"/>
      <c r="AQ425" s="421"/>
      <c r="AR425" s="424">
        <f t="shared" si="169"/>
        <v>0</v>
      </c>
      <c r="AS425" s="422">
        <f t="shared" si="170"/>
        <v>0</v>
      </c>
      <c r="AT425" s="425">
        <f t="shared" si="171"/>
        <v>0</v>
      </c>
      <c r="AU425" s="423">
        <f t="shared" si="172"/>
        <v>0</v>
      </c>
      <c r="AV425" s="419"/>
      <c r="AW425" s="421"/>
      <c r="AX425" s="419"/>
      <c r="AY425" s="419"/>
      <c r="AZ425" s="421"/>
      <c r="BA425" s="421"/>
      <c r="BB425" s="419"/>
      <c r="BC425" s="419"/>
      <c r="BD425" s="421"/>
      <c r="BE425" s="421"/>
      <c r="BF425" s="419"/>
      <c r="BG425" s="419"/>
      <c r="BH425" s="421"/>
      <c r="BI425" s="421"/>
      <c r="BJ425" s="419"/>
      <c r="BK425" s="419"/>
      <c r="BL425" s="421"/>
      <c r="BM425" s="421"/>
      <c r="BN425" s="419"/>
      <c r="BO425" s="419"/>
      <c r="BP425" s="421"/>
      <c r="BQ425" s="421"/>
      <c r="BR425" s="419"/>
      <c r="BS425" s="419"/>
      <c r="BT425" s="421"/>
      <c r="BU425" s="421"/>
      <c r="BV425" s="419"/>
      <c r="BW425" s="419"/>
      <c r="BX425" s="421"/>
      <c r="BY425" s="421"/>
      <c r="BZ425" s="419"/>
      <c r="CA425" s="419"/>
      <c r="CB425" s="421"/>
      <c r="CC425" s="421"/>
      <c r="CD425" s="419"/>
      <c r="CE425" s="419"/>
      <c r="CF425" s="421"/>
      <c r="CG425" s="421"/>
      <c r="CH425" s="419"/>
      <c r="CI425" s="419"/>
      <c r="CJ425" s="421"/>
      <c r="CK425" s="421"/>
      <c r="CL425" s="419"/>
      <c r="CM425" s="421"/>
      <c r="CN425" s="424">
        <f t="shared" si="173"/>
        <v>0</v>
      </c>
      <c r="CO425" s="424">
        <f t="shared" si="174"/>
        <v>0</v>
      </c>
      <c r="CP425" s="425">
        <f t="shared" si="175"/>
        <v>0</v>
      </c>
      <c r="CQ425" s="425">
        <f t="shared" si="176"/>
        <v>0</v>
      </c>
      <c r="CR425" s="419"/>
      <c r="CS425" s="419"/>
      <c r="CT425" s="421"/>
      <c r="CU425" s="421"/>
      <c r="CV425" s="419"/>
      <c r="CW425" s="419"/>
      <c r="CX425" s="421"/>
      <c r="CY425" s="421"/>
      <c r="CZ425" s="419"/>
      <c r="DA425" s="419"/>
      <c r="DB425" s="421"/>
      <c r="DC425" s="421"/>
      <c r="DD425" s="419"/>
      <c r="DE425" s="419"/>
      <c r="DF425" s="421"/>
      <c r="DG425" s="421"/>
      <c r="DH425" s="419"/>
      <c r="DI425" s="419"/>
      <c r="DJ425" s="421"/>
      <c r="DK425" s="421"/>
      <c r="DL425" s="419"/>
      <c r="DM425" s="419"/>
      <c r="DN425" s="421"/>
      <c r="DO425" s="421"/>
      <c r="DP425" s="419"/>
      <c r="DQ425" s="419"/>
      <c r="DR425" s="421"/>
      <c r="DS425" s="421"/>
      <c r="DT425" s="419"/>
      <c r="DU425" s="419"/>
      <c r="DV425" s="421"/>
      <c r="DW425" s="421"/>
      <c r="DX425" s="419"/>
      <c r="DY425" s="419"/>
      <c r="DZ425" s="421"/>
      <c r="EA425" s="421"/>
      <c r="EB425" s="419"/>
      <c r="EC425" s="419"/>
      <c r="ED425" s="421"/>
      <c r="EE425" s="421"/>
      <c r="EF425" s="419"/>
      <c r="EG425" s="421"/>
      <c r="EH425" s="424">
        <f t="shared" si="177"/>
        <v>0</v>
      </c>
      <c r="EI425" s="424">
        <f t="shared" si="178"/>
        <v>0</v>
      </c>
      <c r="EJ425" s="422">
        <f t="shared" si="179"/>
        <v>0</v>
      </c>
      <c r="EK425" s="425">
        <f t="shared" si="180"/>
        <v>0</v>
      </c>
      <c r="EL425" s="425">
        <f t="shared" si="181"/>
        <v>0</v>
      </c>
      <c r="EM425" s="423">
        <f t="shared" si="182"/>
        <v>0</v>
      </c>
      <c r="EN425" s="424">
        <f t="shared" si="183"/>
        <v>0</v>
      </c>
      <c r="EO425" s="425">
        <f t="shared" si="184"/>
        <v>0</v>
      </c>
      <c r="EP425" s="419"/>
      <c r="EQ425" s="421"/>
      <c r="ER425" s="419"/>
      <c r="ES425" s="421"/>
      <c r="ET425" s="419"/>
      <c r="EU425" s="421"/>
      <c r="EV425" s="419"/>
      <c r="EW425" s="421"/>
      <c r="EX425" s="419"/>
      <c r="EY425" s="421"/>
      <c r="EZ425" s="419"/>
      <c r="FA425" s="421"/>
      <c r="FB425" s="419"/>
      <c r="FC425" s="421"/>
      <c r="FD425" s="419"/>
      <c r="FE425" s="421"/>
      <c r="FF425" s="419"/>
      <c r="FG425" s="421"/>
      <c r="FH425" s="419"/>
      <c r="FI425" s="421"/>
      <c r="FJ425" s="424">
        <f t="shared" si="185"/>
        <v>0</v>
      </c>
      <c r="FK425" s="425">
        <f t="shared" si="186"/>
        <v>0</v>
      </c>
      <c r="FL425" s="419"/>
      <c r="FM425" s="421"/>
      <c r="FN425" s="424">
        <f t="shared" si="187"/>
        <v>211</v>
      </c>
      <c r="FO425" s="425">
        <f t="shared" si="188"/>
        <v>261</v>
      </c>
    </row>
    <row r="426" spans="1:171">
      <c r="A426" s="428" t="s">
        <v>165</v>
      </c>
      <c r="B426" s="50" t="s">
        <v>947</v>
      </c>
      <c r="C426" s="47"/>
      <c r="D426" s="48">
        <v>221582</v>
      </c>
      <c r="E426" s="48">
        <v>13</v>
      </c>
      <c r="F426" s="419">
        <v>150</v>
      </c>
      <c r="G426" s="420">
        <v>27</v>
      </c>
      <c r="H426" s="419"/>
      <c r="I426" s="421"/>
      <c r="J426" s="419"/>
      <c r="K426" s="421"/>
      <c r="L426" s="422">
        <f t="shared" si="167"/>
        <v>0</v>
      </c>
      <c r="M426" s="423">
        <f t="shared" si="168"/>
        <v>0</v>
      </c>
      <c r="N426" s="419"/>
      <c r="O426" s="309">
        <f>0</f>
        <v>0</v>
      </c>
      <c r="P426" s="309">
        <f>0</f>
        <v>0</v>
      </c>
      <c r="Q426" s="309">
        <f>0</f>
        <v>0</v>
      </c>
      <c r="R426" s="424">
        <f t="shared" si="165"/>
        <v>0</v>
      </c>
      <c r="S426" s="421"/>
      <c r="T426" s="301">
        <f>0</f>
        <v>0</v>
      </c>
      <c r="U426" s="301">
        <f>0</f>
        <v>0</v>
      </c>
      <c r="V426" s="301">
        <f>0</f>
        <v>0</v>
      </c>
      <c r="W426" s="425">
        <f t="shared" si="166"/>
        <v>0</v>
      </c>
      <c r="X426" s="419"/>
      <c r="Y426" s="419"/>
      <c r="Z426" s="421"/>
      <c r="AA426" s="421"/>
      <c r="AB426" s="419"/>
      <c r="AC426" s="419"/>
      <c r="AD426" s="421"/>
      <c r="AE426" s="421"/>
      <c r="AF426" s="419"/>
      <c r="AG426" s="419"/>
      <c r="AH426" s="421"/>
      <c r="AI426" s="421"/>
      <c r="AJ426" s="419"/>
      <c r="AK426" s="419"/>
      <c r="AL426" s="421"/>
      <c r="AM426" s="421"/>
      <c r="AN426" s="419"/>
      <c r="AO426" s="419"/>
      <c r="AP426" s="421"/>
      <c r="AQ426" s="421"/>
      <c r="AR426" s="424">
        <f t="shared" si="169"/>
        <v>0</v>
      </c>
      <c r="AS426" s="422">
        <f t="shared" si="170"/>
        <v>0</v>
      </c>
      <c r="AT426" s="425">
        <f t="shared" si="171"/>
        <v>0</v>
      </c>
      <c r="AU426" s="423">
        <f t="shared" si="172"/>
        <v>0</v>
      </c>
      <c r="AV426" s="419"/>
      <c r="AW426" s="421"/>
      <c r="AX426" s="419"/>
      <c r="AY426" s="419"/>
      <c r="AZ426" s="421"/>
      <c r="BA426" s="421"/>
      <c r="BB426" s="419"/>
      <c r="BC426" s="419"/>
      <c r="BD426" s="421"/>
      <c r="BE426" s="421"/>
      <c r="BF426" s="419"/>
      <c r="BG426" s="419"/>
      <c r="BH426" s="421"/>
      <c r="BI426" s="421"/>
      <c r="BJ426" s="419"/>
      <c r="BK426" s="419"/>
      <c r="BL426" s="421"/>
      <c r="BM426" s="421"/>
      <c r="BN426" s="419"/>
      <c r="BO426" s="419"/>
      <c r="BP426" s="421"/>
      <c r="BQ426" s="421"/>
      <c r="BR426" s="419"/>
      <c r="BS426" s="419"/>
      <c r="BT426" s="421"/>
      <c r="BU426" s="421"/>
      <c r="BV426" s="419"/>
      <c r="BW426" s="419"/>
      <c r="BX426" s="421"/>
      <c r="BY426" s="421"/>
      <c r="BZ426" s="419"/>
      <c r="CA426" s="419"/>
      <c r="CB426" s="421"/>
      <c r="CC426" s="421"/>
      <c r="CD426" s="419"/>
      <c r="CE426" s="419"/>
      <c r="CF426" s="421"/>
      <c r="CG426" s="421"/>
      <c r="CH426" s="419"/>
      <c r="CI426" s="419"/>
      <c r="CJ426" s="421"/>
      <c r="CK426" s="421"/>
      <c r="CL426" s="419"/>
      <c r="CM426" s="421"/>
      <c r="CN426" s="424">
        <f t="shared" si="173"/>
        <v>0</v>
      </c>
      <c r="CO426" s="424">
        <f t="shared" si="174"/>
        <v>0</v>
      </c>
      <c r="CP426" s="425">
        <f t="shared" si="175"/>
        <v>0</v>
      </c>
      <c r="CQ426" s="425">
        <f t="shared" si="176"/>
        <v>0</v>
      </c>
      <c r="CR426" s="419"/>
      <c r="CS426" s="419"/>
      <c r="CT426" s="421"/>
      <c r="CU426" s="421"/>
      <c r="CV426" s="419"/>
      <c r="CW426" s="419"/>
      <c r="CX426" s="421"/>
      <c r="CY426" s="421"/>
      <c r="CZ426" s="419"/>
      <c r="DA426" s="419"/>
      <c r="DB426" s="421"/>
      <c r="DC426" s="421"/>
      <c r="DD426" s="419"/>
      <c r="DE426" s="419"/>
      <c r="DF426" s="421"/>
      <c r="DG426" s="421"/>
      <c r="DH426" s="419"/>
      <c r="DI426" s="419"/>
      <c r="DJ426" s="421"/>
      <c r="DK426" s="421"/>
      <c r="DL426" s="419"/>
      <c r="DM426" s="419"/>
      <c r="DN426" s="421"/>
      <c r="DO426" s="421"/>
      <c r="DP426" s="419"/>
      <c r="DQ426" s="419"/>
      <c r="DR426" s="421"/>
      <c r="DS426" s="421"/>
      <c r="DT426" s="419"/>
      <c r="DU426" s="419"/>
      <c r="DV426" s="421"/>
      <c r="DW426" s="421"/>
      <c r="DX426" s="419"/>
      <c r="DY426" s="419"/>
      <c r="DZ426" s="421"/>
      <c r="EA426" s="421"/>
      <c r="EB426" s="419"/>
      <c r="EC426" s="419"/>
      <c r="ED426" s="421"/>
      <c r="EE426" s="421"/>
      <c r="EF426" s="419"/>
      <c r="EG426" s="421"/>
      <c r="EH426" s="424">
        <f t="shared" si="177"/>
        <v>0</v>
      </c>
      <c r="EI426" s="424">
        <f t="shared" si="178"/>
        <v>0</v>
      </c>
      <c r="EJ426" s="422">
        <f t="shared" si="179"/>
        <v>0</v>
      </c>
      <c r="EK426" s="425">
        <f t="shared" si="180"/>
        <v>0</v>
      </c>
      <c r="EL426" s="425">
        <f t="shared" si="181"/>
        <v>0</v>
      </c>
      <c r="EM426" s="423">
        <f t="shared" si="182"/>
        <v>0</v>
      </c>
      <c r="EN426" s="424">
        <f t="shared" si="183"/>
        <v>0</v>
      </c>
      <c r="EO426" s="425">
        <f t="shared" si="184"/>
        <v>0</v>
      </c>
      <c r="EP426" s="419"/>
      <c r="EQ426" s="421"/>
      <c r="ER426" s="419"/>
      <c r="ES426" s="421"/>
      <c r="ET426" s="419"/>
      <c r="EU426" s="421"/>
      <c r="EV426" s="419"/>
      <c r="EW426" s="421"/>
      <c r="EX426" s="419"/>
      <c r="EY426" s="421"/>
      <c r="EZ426" s="419"/>
      <c r="FA426" s="421"/>
      <c r="FB426" s="419"/>
      <c r="FC426" s="421"/>
      <c r="FD426" s="419"/>
      <c r="FE426" s="421"/>
      <c r="FF426" s="419"/>
      <c r="FG426" s="421"/>
      <c r="FH426" s="419"/>
      <c r="FI426" s="421"/>
      <c r="FJ426" s="424">
        <f t="shared" si="185"/>
        <v>0</v>
      </c>
      <c r="FK426" s="425">
        <f t="shared" si="186"/>
        <v>0</v>
      </c>
      <c r="FL426" s="419"/>
      <c r="FM426" s="421"/>
      <c r="FN426" s="424">
        <f t="shared" si="187"/>
        <v>150</v>
      </c>
      <c r="FO426" s="425">
        <f t="shared" si="188"/>
        <v>27</v>
      </c>
    </row>
    <row r="427" spans="1:171">
      <c r="A427" s="428" t="s">
        <v>165</v>
      </c>
      <c r="B427" s="429" t="s">
        <v>948</v>
      </c>
      <c r="C427" s="430"/>
      <c r="D427" s="48">
        <v>221281</v>
      </c>
      <c r="E427" s="48">
        <v>13</v>
      </c>
      <c r="F427" s="419">
        <v>191</v>
      </c>
      <c r="G427" s="421">
        <v>157</v>
      </c>
      <c r="H427" s="419"/>
      <c r="I427" s="421"/>
      <c r="J427" s="419"/>
      <c r="K427" s="421"/>
      <c r="L427" s="422">
        <f t="shared" si="167"/>
        <v>0</v>
      </c>
      <c r="M427" s="423">
        <f t="shared" si="168"/>
        <v>0</v>
      </c>
      <c r="N427" s="419"/>
      <c r="O427" s="309">
        <f>0</f>
        <v>0</v>
      </c>
      <c r="P427" s="309">
        <f>0</f>
        <v>0</v>
      </c>
      <c r="Q427" s="309">
        <f>0</f>
        <v>0</v>
      </c>
      <c r="R427" s="424">
        <f t="shared" si="165"/>
        <v>0</v>
      </c>
      <c r="S427" s="421"/>
      <c r="T427" s="301">
        <f>0</f>
        <v>0</v>
      </c>
      <c r="U427" s="301">
        <f>0</f>
        <v>0</v>
      </c>
      <c r="V427" s="301">
        <f>0</f>
        <v>0</v>
      </c>
      <c r="W427" s="425">
        <f t="shared" si="166"/>
        <v>0</v>
      </c>
      <c r="X427" s="419"/>
      <c r="Y427" s="419"/>
      <c r="Z427" s="421"/>
      <c r="AA427" s="421"/>
      <c r="AB427" s="419"/>
      <c r="AC427" s="419"/>
      <c r="AD427" s="421"/>
      <c r="AE427" s="421"/>
      <c r="AF427" s="419"/>
      <c r="AG427" s="419"/>
      <c r="AH427" s="421"/>
      <c r="AI427" s="421"/>
      <c r="AJ427" s="419"/>
      <c r="AK427" s="419"/>
      <c r="AL427" s="421"/>
      <c r="AM427" s="421"/>
      <c r="AN427" s="419"/>
      <c r="AO427" s="419"/>
      <c r="AP427" s="421"/>
      <c r="AQ427" s="421"/>
      <c r="AR427" s="424">
        <f t="shared" si="169"/>
        <v>0</v>
      </c>
      <c r="AS427" s="422">
        <f t="shared" si="170"/>
        <v>0</v>
      </c>
      <c r="AT427" s="425">
        <f t="shared" si="171"/>
        <v>0</v>
      </c>
      <c r="AU427" s="423">
        <f t="shared" si="172"/>
        <v>0</v>
      </c>
      <c r="AV427" s="419"/>
      <c r="AW427" s="421"/>
      <c r="AX427" s="419"/>
      <c r="AY427" s="419"/>
      <c r="AZ427" s="421"/>
      <c r="BA427" s="421"/>
      <c r="BB427" s="419"/>
      <c r="BC427" s="419"/>
      <c r="BD427" s="421"/>
      <c r="BE427" s="421"/>
      <c r="BF427" s="419"/>
      <c r="BG427" s="419"/>
      <c r="BH427" s="421"/>
      <c r="BI427" s="421"/>
      <c r="BJ427" s="419"/>
      <c r="BK427" s="419"/>
      <c r="BL427" s="421"/>
      <c r="BM427" s="421"/>
      <c r="BN427" s="419"/>
      <c r="BO427" s="419"/>
      <c r="BP427" s="421"/>
      <c r="BQ427" s="421"/>
      <c r="BR427" s="419"/>
      <c r="BS427" s="419"/>
      <c r="BT427" s="421"/>
      <c r="BU427" s="421"/>
      <c r="BV427" s="419"/>
      <c r="BW427" s="419"/>
      <c r="BX427" s="421"/>
      <c r="BY427" s="421"/>
      <c r="BZ427" s="419"/>
      <c r="CA427" s="419"/>
      <c r="CB427" s="421"/>
      <c r="CC427" s="421"/>
      <c r="CD427" s="419"/>
      <c r="CE427" s="419"/>
      <c r="CF427" s="421"/>
      <c r="CG427" s="421"/>
      <c r="CH427" s="419"/>
      <c r="CI427" s="419"/>
      <c r="CJ427" s="421"/>
      <c r="CK427" s="421"/>
      <c r="CL427" s="419"/>
      <c r="CM427" s="421"/>
      <c r="CN427" s="424">
        <f t="shared" si="173"/>
        <v>0</v>
      </c>
      <c r="CO427" s="424">
        <f t="shared" si="174"/>
        <v>0</v>
      </c>
      <c r="CP427" s="425">
        <f t="shared" si="175"/>
        <v>0</v>
      </c>
      <c r="CQ427" s="425">
        <f t="shared" si="176"/>
        <v>0</v>
      </c>
      <c r="CR427" s="419"/>
      <c r="CS427" s="419"/>
      <c r="CT427" s="421"/>
      <c r="CU427" s="421"/>
      <c r="CV427" s="419"/>
      <c r="CW427" s="419"/>
      <c r="CX427" s="421"/>
      <c r="CY427" s="421"/>
      <c r="CZ427" s="419"/>
      <c r="DA427" s="419"/>
      <c r="DB427" s="421"/>
      <c r="DC427" s="421"/>
      <c r="DD427" s="419"/>
      <c r="DE427" s="419"/>
      <c r="DF427" s="421"/>
      <c r="DG427" s="421"/>
      <c r="DH427" s="419"/>
      <c r="DI427" s="419"/>
      <c r="DJ427" s="421"/>
      <c r="DK427" s="421"/>
      <c r="DL427" s="419"/>
      <c r="DM427" s="419"/>
      <c r="DN427" s="421"/>
      <c r="DO427" s="421"/>
      <c r="DP427" s="419"/>
      <c r="DQ427" s="419"/>
      <c r="DR427" s="421"/>
      <c r="DS427" s="421"/>
      <c r="DT427" s="419"/>
      <c r="DU427" s="419"/>
      <c r="DV427" s="421"/>
      <c r="DW427" s="421"/>
      <c r="DX427" s="419"/>
      <c r="DY427" s="419"/>
      <c r="DZ427" s="421"/>
      <c r="EA427" s="421"/>
      <c r="EB427" s="419"/>
      <c r="EC427" s="419"/>
      <c r="ED427" s="421"/>
      <c r="EE427" s="421"/>
      <c r="EF427" s="419"/>
      <c r="EG427" s="421"/>
      <c r="EH427" s="424">
        <f t="shared" si="177"/>
        <v>0</v>
      </c>
      <c r="EI427" s="424">
        <f t="shared" si="178"/>
        <v>0</v>
      </c>
      <c r="EJ427" s="422">
        <f t="shared" si="179"/>
        <v>0</v>
      </c>
      <c r="EK427" s="425">
        <f t="shared" si="180"/>
        <v>0</v>
      </c>
      <c r="EL427" s="425">
        <f t="shared" si="181"/>
        <v>0</v>
      </c>
      <c r="EM427" s="423">
        <f t="shared" si="182"/>
        <v>0</v>
      </c>
      <c r="EN427" s="424">
        <f t="shared" si="183"/>
        <v>0</v>
      </c>
      <c r="EO427" s="425">
        <f t="shared" si="184"/>
        <v>0</v>
      </c>
      <c r="EP427" s="419"/>
      <c r="EQ427" s="421"/>
      <c r="ER427" s="419"/>
      <c r="ES427" s="421"/>
      <c r="ET427" s="419"/>
      <c r="EU427" s="421"/>
      <c r="EV427" s="419"/>
      <c r="EW427" s="421"/>
      <c r="EX427" s="419"/>
      <c r="EY427" s="421"/>
      <c r="EZ427" s="419"/>
      <c r="FA427" s="421"/>
      <c r="FB427" s="419"/>
      <c r="FC427" s="421"/>
      <c r="FD427" s="419"/>
      <c r="FE427" s="421"/>
      <c r="FF427" s="419"/>
      <c r="FG427" s="421"/>
      <c r="FH427" s="419"/>
      <c r="FI427" s="421"/>
      <c r="FJ427" s="424">
        <f t="shared" si="185"/>
        <v>0</v>
      </c>
      <c r="FK427" s="425">
        <f t="shared" si="186"/>
        <v>0</v>
      </c>
      <c r="FL427" s="419"/>
      <c r="FM427" s="421"/>
      <c r="FN427" s="424">
        <f t="shared" si="187"/>
        <v>191</v>
      </c>
      <c r="FO427" s="425">
        <f t="shared" si="188"/>
        <v>157</v>
      </c>
    </row>
    <row r="428" spans="1:171">
      <c r="A428" s="428" t="s">
        <v>165</v>
      </c>
      <c r="B428" s="50" t="s">
        <v>949</v>
      </c>
      <c r="C428" s="49"/>
      <c r="D428" s="48">
        <v>221333</v>
      </c>
      <c r="E428" s="48">
        <v>13</v>
      </c>
      <c r="F428" s="419">
        <v>314</v>
      </c>
      <c r="G428" s="420">
        <v>93</v>
      </c>
      <c r="H428" s="419"/>
      <c r="I428" s="421"/>
      <c r="J428" s="419"/>
      <c r="K428" s="421"/>
      <c r="L428" s="422">
        <f t="shared" si="167"/>
        <v>0</v>
      </c>
      <c r="M428" s="423">
        <f t="shared" si="168"/>
        <v>0</v>
      </c>
      <c r="N428" s="419"/>
      <c r="O428" s="309">
        <f>0</f>
        <v>0</v>
      </c>
      <c r="P428" s="309">
        <f>0</f>
        <v>0</v>
      </c>
      <c r="Q428" s="309">
        <f>0</f>
        <v>0</v>
      </c>
      <c r="R428" s="424">
        <f t="shared" si="165"/>
        <v>0</v>
      </c>
      <c r="S428" s="421"/>
      <c r="T428" s="301">
        <f>0</f>
        <v>0</v>
      </c>
      <c r="U428" s="301">
        <f>0</f>
        <v>0</v>
      </c>
      <c r="V428" s="301">
        <f>0</f>
        <v>0</v>
      </c>
      <c r="W428" s="425">
        <f t="shared" si="166"/>
        <v>0</v>
      </c>
      <c r="X428" s="419"/>
      <c r="Y428" s="419"/>
      <c r="Z428" s="421"/>
      <c r="AA428" s="421"/>
      <c r="AB428" s="419"/>
      <c r="AC428" s="419"/>
      <c r="AD428" s="421"/>
      <c r="AE428" s="421"/>
      <c r="AF428" s="419"/>
      <c r="AG428" s="419"/>
      <c r="AH428" s="421"/>
      <c r="AI428" s="421"/>
      <c r="AJ428" s="419"/>
      <c r="AK428" s="419"/>
      <c r="AL428" s="421"/>
      <c r="AM428" s="421"/>
      <c r="AN428" s="419"/>
      <c r="AO428" s="419"/>
      <c r="AP428" s="421"/>
      <c r="AQ428" s="421"/>
      <c r="AR428" s="424">
        <f t="shared" si="169"/>
        <v>0</v>
      </c>
      <c r="AS428" s="422">
        <f t="shared" si="170"/>
        <v>0</v>
      </c>
      <c r="AT428" s="425">
        <f t="shared" si="171"/>
        <v>0</v>
      </c>
      <c r="AU428" s="423">
        <f t="shared" si="172"/>
        <v>0</v>
      </c>
      <c r="AV428" s="419"/>
      <c r="AW428" s="421"/>
      <c r="AX428" s="419"/>
      <c r="AY428" s="419"/>
      <c r="AZ428" s="421"/>
      <c r="BA428" s="421"/>
      <c r="BB428" s="419"/>
      <c r="BC428" s="419"/>
      <c r="BD428" s="421"/>
      <c r="BE428" s="421"/>
      <c r="BF428" s="419"/>
      <c r="BG428" s="419"/>
      <c r="BH428" s="421"/>
      <c r="BI428" s="421"/>
      <c r="BJ428" s="419"/>
      <c r="BK428" s="419"/>
      <c r="BL428" s="421"/>
      <c r="BM428" s="421"/>
      <c r="BN428" s="419"/>
      <c r="BO428" s="419"/>
      <c r="BP428" s="421"/>
      <c r="BQ428" s="421"/>
      <c r="BR428" s="419"/>
      <c r="BS428" s="419"/>
      <c r="BT428" s="421"/>
      <c r="BU428" s="421"/>
      <c r="BV428" s="419"/>
      <c r="BW428" s="419"/>
      <c r="BX428" s="421"/>
      <c r="BY428" s="421"/>
      <c r="BZ428" s="419"/>
      <c r="CA428" s="419"/>
      <c r="CB428" s="421"/>
      <c r="CC428" s="421"/>
      <c r="CD428" s="419"/>
      <c r="CE428" s="419"/>
      <c r="CF428" s="421"/>
      <c r="CG428" s="421"/>
      <c r="CH428" s="419"/>
      <c r="CI428" s="419"/>
      <c r="CJ428" s="421"/>
      <c r="CK428" s="421"/>
      <c r="CL428" s="419"/>
      <c r="CM428" s="421"/>
      <c r="CN428" s="424">
        <f t="shared" si="173"/>
        <v>0</v>
      </c>
      <c r="CO428" s="424">
        <f t="shared" si="174"/>
        <v>0</v>
      </c>
      <c r="CP428" s="425">
        <f t="shared" si="175"/>
        <v>0</v>
      </c>
      <c r="CQ428" s="425">
        <f t="shared" si="176"/>
        <v>0</v>
      </c>
      <c r="CR428" s="419"/>
      <c r="CS428" s="419"/>
      <c r="CT428" s="421"/>
      <c r="CU428" s="421"/>
      <c r="CV428" s="419"/>
      <c r="CW428" s="419"/>
      <c r="CX428" s="421"/>
      <c r="CY428" s="421"/>
      <c r="CZ428" s="419"/>
      <c r="DA428" s="419"/>
      <c r="DB428" s="421"/>
      <c r="DC428" s="421"/>
      <c r="DD428" s="419"/>
      <c r="DE428" s="419"/>
      <c r="DF428" s="421"/>
      <c r="DG428" s="421"/>
      <c r="DH428" s="419"/>
      <c r="DI428" s="419"/>
      <c r="DJ428" s="421"/>
      <c r="DK428" s="421"/>
      <c r="DL428" s="419"/>
      <c r="DM428" s="419"/>
      <c r="DN428" s="421"/>
      <c r="DO428" s="421"/>
      <c r="DP428" s="419"/>
      <c r="DQ428" s="419"/>
      <c r="DR428" s="421"/>
      <c r="DS428" s="421"/>
      <c r="DT428" s="419"/>
      <c r="DU428" s="419"/>
      <c r="DV428" s="421"/>
      <c r="DW428" s="421"/>
      <c r="DX428" s="419"/>
      <c r="DY428" s="419"/>
      <c r="DZ428" s="421"/>
      <c r="EA428" s="421"/>
      <c r="EB428" s="419"/>
      <c r="EC428" s="419"/>
      <c r="ED428" s="421"/>
      <c r="EE428" s="421"/>
      <c r="EF428" s="419"/>
      <c r="EG428" s="421"/>
      <c r="EH428" s="424">
        <f t="shared" si="177"/>
        <v>0</v>
      </c>
      <c r="EI428" s="424">
        <f t="shared" si="178"/>
        <v>0</v>
      </c>
      <c r="EJ428" s="422">
        <f t="shared" si="179"/>
        <v>0</v>
      </c>
      <c r="EK428" s="425">
        <f t="shared" si="180"/>
        <v>0</v>
      </c>
      <c r="EL428" s="425">
        <f t="shared" si="181"/>
        <v>0</v>
      </c>
      <c r="EM428" s="423">
        <f t="shared" si="182"/>
        <v>0</v>
      </c>
      <c r="EN428" s="424">
        <f t="shared" si="183"/>
        <v>0</v>
      </c>
      <c r="EO428" s="425">
        <f t="shared" si="184"/>
        <v>0</v>
      </c>
      <c r="EP428" s="419"/>
      <c r="EQ428" s="421"/>
      <c r="ER428" s="419"/>
      <c r="ES428" s="421"/>
      <c r="ET428" s="419"/>
      <c r="EU428" s="421"/>
      <c r="EV428" s="419"/>
      <c r="EW428" s="421"/>
      <c r="EX428" s="419"/>
      <c r="EY428" s="421"/>
      <c r="EZ428" s="419"/>
      <c r="FA428" s="421"/>
      <c r="FB428" s="419"/>
      <c r="FC428" s="421"/>
      <c r="FD428" s="419"/>
      <c r="FE428" s="421"/>
      <c r="FF428" s="419"/>
      <c r="FG428" s="421"/>
      <c r="FH428" s="419"/>
      <c r="FI428" s="421"/>
      <c r="FJ428" s="424">
        <f t="shared" si="185"/>
        <v>0</v>
      </c>
      <c r="FK428" s="425">
        <f t="shared" si="186"/>
        <v>0</v>
      </c>
      <c r="FL428" s="419"/>
      <c r="FM428" s="421"/>
      <c r="FN428" s="424">
        <f t="shared" si="187"/>
        <v>314</v>
      </c>
      <c r="FO428" s="425">
        <f t="shared" si="188"/>
        <v>93</v>
      </c>
    </row>
    <row r="429" spans="1:171">
      <c r="A429" s="428" t="s">
        <v>165</v>
      </c>
      <c r="B429" s="50" t="s">
        <v>950</v>
      </c>
      <c r="C429" s="47"/>
      <c r="D429" s="48">
        <v>221388</v>
      </c>
      <c r="E429" s="48">
        <v>13</v>
      </c>
      <c r="F429" s="419">
        <v>117</v>
      </c>
      <c r="G429" s="421">
        <v>134</v>
      </c>
      <c r="H429" s="419"/>
      <c r="I429" s="421"/>
      <c r="J429" s="419"/>
      <c r="K429" s="421"/>
      <c r="L429" s="422">
        <f t="shared" si="167"/>
        <v>0</v>
      </c>
      <c r="M429" s="423">
        <f t="shared" si="168"/>
        <v>0</v>
      </c>
      <c r="N429" s="419"/>
      <c r="O429" s="309">
        <f>0</f>
        <v>0</v>
      </c>
      <c r="P429" s="309">
        <f>0</f>
        <v>0</v>
      </c>
      <c r="Q429" s="309">
        <f>0</f>
        <v>0</v>
      </c>
      <c r="R429" s="424">
        <f t="shared" si="165"/>
        <v>0</v>
      </c>
      <c r="S429" s="421"/>
      <c r="T429" s="301">
        <f>0</f>
        <v>0</v>
      </c>
      <c r="U429" s="301">
        <f>0</f>
        <v>0</v>
      </c>
      <c r="V429" s="301">
        <f>0</f>
        <v>0</v>
      </c>
      <c r="W429" s="425">
        <f t="shared" si="166"/>
        <v>0</v>
      </c>
      <c r="X429" s="419"/>
      <c r="Y429" s="419"/>
      <c r="Z429" s="421"/>
      <c r="AA429" s="421"/>
      <c r="AB429" s="419"/>
      <c r="AC429" s="419"/>
      <c r="AD429" s="421"/>
      <c r="AE429" s="421"/>
      <c r="AF429" s="419"/>
      <c r="AG429" s="419"/>
      <c r="AH429" s="421"/>
      <c r="AI429" s="421"/>
      <c r="AJ429" s="419"/>
      <c r="AK429" s="419"/>
      <c r="AL429" s="421"/>
      <c r="AM429" s="421"/>
      <c r="AN429" s="419"/>
      <c r="AO429" s="419"/>
      <c r="AP429" s="421"/>
      <c r="AQ429" s="421"/>
      <c r="AR429" s="424">
        <f t="shared" si="169"/>
        <v>0</v>
      </c>
      <c r="AS429" s="422">
        <f t="shared" si="170"/>
        <v>0</v>
      </c>
      <c r="AT429" s="425">
        <f t="shared" si="171"/>
        <v>0</v>
      </c>
      <c r="AU429" s="423">
        <f t="shared" si="172"/>
        <v>0</v>
      </c>
      <c r="AV429" s="419"/>
      <c r="AW429" s="421"/>
      <c r="AX429" s="419"/>
      <c r="AY429" s="419"/>
      <c r="AZ429" s="421"/>
      <c r="BA429" s="421"/>
      <c r="BB429" s="419"/>
      <c r="BC429" s="419"/>
      <c r="BD429" s="421"/>
      <c r="BE429" s="421"/>
      <c r="BF429" s="419"/>
      <c r="BG429" s="419"/>
      <c r="BH429" s="421"/>
      <c r="BI429" s="421"/>
      <c r="BJ429" s="419"/>
      <c r="BK429" s="419"/>
      <c r="BL429" s="421"/>
      <c r="BM429" s="421"/>
      <c r="BN429" s="419"/>
      <c r="BO429" s="419"/>
      <c r="BP429" s="421"/>
      <c r="BQ429" s="421"/>
      <c r="BR429" s="419"/>
      <c r="BS429" s="419"/>
      <c r="BT429" s="421"/>
      <c r="BU429" s="421"/>
      <c r="BV429" s="419"/>
      <c r="BW429" s="419"/>
      <c r="BX429" s="421"/>
      <c r="BY429" s="421"/>
      <c r="BZ429" s="419"/>
      <c r="CA429" s="419"/>
      <c r="CB429" s="421"/>
      <c r="CC429" s="421"/>
      <c r="CD429" s="419"/>
      <c r="CE429" s="419"/>
      <c r="CF429" s="421"/>
      <c r="CG429" s="421"/>
      <c r="CH429" s="419"/>
      <c r="CI429" s="419"/>
      <c r="CJ429" s="421"/>
      <c r="CK429" s="421"/>
      <c r="CL429" s="419"/>
      <c r="CM429" s="421"/>
      <c r="CN429" s="424">
        <f t="shared" si="173"/>
        <v>0</v>
      </c>
      <c r="CO429" s="424">
        <f t="shared" si="174"/>
        <v>0</v>
      </c>
      <c r="CP429" s="425">
        <f t="shared" si="175"/>
        <v>0</v>
      </c>
      <c r="CQ429" s="425">
        <f t="shared" si="176"/>
        <v>0</v>
      </c>
      <c r="CR429" s="419"/>
      <c r="CS429" s="419"/>
      <c r="CT429" s="421"/>
      <c r="CU429" s="421"/>
      <c r="CV429" s="419"/>
      <c r="CW429" s="419"/>
      <c r="CX429" s="421"/>
      <c r="CY429" s="421"/>
      <c r="CZ429" s="419"/>
      <c r="DA429" s="419"/>
      <c r="DB429" s="421"/>
      <c r="DC429" s="421"/>
      <c r="DD429" s="419"/>
      <c r="DE429" s="419"/>
      <c r="DF429" s="421"/>
      <c r="DG429" s="421"/>
      <c r="DH429" s="419"/>
      <c r="DI429" s="419"/>
      <c r="DJ429" s="421"/>
      <c r="DK429" s="421"/>
      <c r="DL429" s="419"/>
      <c r="DM429" s="419"/>
      <c r="DN429" s="421"/>
      <c r="DO429" s="421"/>
      <c r="DP429" s="419"/>
      <c r="DQ429" s="419"/>
      <c r="DR429" s="421"/>
      <c r="DS429" s="421"/>
      <c r="DT429" s="419"/>
      <c r="DU429" s="419"/>
      <c r="DV429" s="421"/>
      <c r="DW429" s="421"/>
      <c r="DX429" s="419"/>
      <c r="DY429" s="419"/>
      <c r="DZ429" s="421"/>
      <c r="EA429" s="421"/>
      <c r="EB429" s="419"/>
      <c r="EC429" s="419"/>
      <c r="ED429" s="421"/>
      <c r="EE429" s="421"/>
      <c r="EF429" s="419"/>
      <c r="EG429" s="421"/>
      <c r="EH429" s="424">
        <f t="shared" si="177"/>
        <v>0</v>
      </c>
      <c r="EI429" s="424">
        <f t="shared" si="178"/>
        <v>0</v>
      </c>
      <c r="EJ429" s="422">
        <f t="shared" si="179"/>
        <v>0</v>
      </c>
      <c r="EK429" s="425">
        <f t="shared" si="180"/>
        <v>0</v>
      </c>
      <c r="EL429" s="425">
        <f t="shared" si="181"/>
        <v>0</v>
      </c>
      <c r="EM429" s="423">
        <f t="shared" si="182"/>
        <v>0</v>
      </c>
      <c r="EN429" s="424">
        <f t="shared" si="183"/>
        <v>0</v>
      </c>
      <c r="EO429" s="425">
        <f t="shared" si="184"/>
        <v>0</v>
      </c>
      <c r="EP429" s="419"/>
      <c r="EQ429" s="421"/>
      <c r="ER429" s="419"/>
      <c r="ES429" s="421"/>
      <c r="ET429" s="419"/>
      <c r="EU429" s="421"/>
      <c r="EV429" s="419"/>
      <c r="EW429" s="421"/>
      <c r="EX429" s="419"/>
      <c r="EY429" s="421"/>
      <c r="EZ429" s="419"/>
      <c r="FA429" s="421"/>
      <c r="FB429" s="419"/>
      <c r="FC429" s="421"/>
      <c r="FD429" s="419"/>
      <c r="FE429" s="421"/>
      <c r="FF429" s="419"/>
      <c r="FG429" s="421"/>
      <c r="FH429" s="419"/>
      <c r="FI429" s="421"/>
      <c r="FJ429" s="424">
        <f t="shared" si="185"/>
        <v>0</v>
      </c>
      <c r="FK429" s="425">
        <f t="shared" si="186"/>
        <v>0</v>
      </c>
      <c r="FL429" s="419"/>
      <c r="FM429" s="421"/>
      <c r="FN429" s="424">
        <f t="shared" si="187"/>
        <v>117</v>
      </c>
      <c r="FO429" s="425">
        <f t="shared" si="188"/>
        <v>134</v>
      </c>
    </row>
    <row r="430" spans="1:171">
      <c r="A430" s="428" t="s">
        <v>165</v>
      </c>
      <c r="B430" s="429" t="s">
        <v>951</v>
      </c>
      <c r="C430" s="430"/>
      <c r="D430" s="48">
        <v>221494</v>
      </c>
      <c r="E430" s="48">
        <v>13</v>
      </c>
      <c r="F430" s="419">
        <v>214</v>
      </c>
      <c r="G430" s="421">
        <v>209</v>
      </c>
      <c r="H430" s="419"/>
      <c r="I430" s="421"/>
      <c r="J430" s="419"/>
      <c r="K430" s="421"/>
      <c r="L430" s="422">
        <f t="shared" si="167"/>
        <v>0</v>
      </c>
      <c r="M430" s="423">
        <f t="shared" si="168"/>
        <v>0</v>
      </c>
      <c r="N430" s="419"/>
      <c r="O430" s="309">
        <f>0</f>
        <v>0</v>
      </c>
      <c r="P430" s="309">
        <f>0</f>
        <v>0</v>
      </c>
      <c r="Q430" s="309">
        <f>0</f>
        <v>0</v>
      </c>
      <c r="R430" s="424">
        <f t="shared" si="165"/>
        <v>0</v>
      </c>
      <c r="S430" s="421"/>
      <c r="T430" s="301">
        <f>0</f>
        <v>0</v>
      </c>
      <c r="U430" s="301">
        <f>0</f>
        <v>0</v>
      </c>
      <c r="V430" s="301">
        <f>0</f>
        <v>0</v>
      </c>
      <c r="W430" s="425">
        <f t="shared" si="166"/>
        <v>0</v>
      </c>
      <c r="X430" s="419"/>
      <c r="Y430" s="419"/>
      <c r="Z430" s="421"/>
      <c r="AA430" s="421"/>
      <c r="AB430" s="419"/>
      <c r="AC430" s="419"/>
      <c r="AD430" s="421"/>
      <c r="AE430" s="421"/>
      <c r="AF430" s="419"/>
      <c r="AG430" s="419"/>
      <c r="AH430" s="421"/>
      <c r="AI430" s="421"/>
      <c r="AJ430" s="419"/>
      <c r="AK430" s="419"/>
      <c r="AL430" s="421"/>
      <c r="AM430" s="421"/>
      <c r="AN430" s="419"/>
      <c r="AO430" s="419"/>
      <c r="AP430" s="421"/>
      <c r="AQ430" s="421"/>
      <c r="AR430" s="424">
        <f t="shared" si="169"/>
        <v>0</v>
      </c>
      <c r="AS430" s="422">
        <f t="shared" si="170"/>
        <v>0</v>
      </c>
      <c r="AT430" s="425">
        <f t="shared" si="171"/>
        <v>0</v>
      </c>
      <c r="AU430" s="423">
        <f t="shared" si="172"/>
        <v>0</v>
      </c>
      <c r="AV430" s="419"/>
      <c r="AW430" s="421"/>
      <c r="AX430" s="419"/>
      <c r="AY430" s="419"/>
      <c r="AZ430" s="421"/>
      <c r="BA430" s="421"/>
      <c r="BB430" s="419"/>
      <c r="BC430" s="419"/>
      <c r="BD430" s="421"/>
      <c r="BE430" s="421"/>
      <c r="BF430" s="419"/>
      <c r="BG430" s="419"/>
      <c r="BH430" s="421"/>
      <c r="BI430" s="421"/>
      <c r="BJ430" s="419"/>
      <c r="BK430" s="419"/>
      <c r="BL430" s="421"/>
      <c r="BM430" s="421"/>
      <c r="BN430" s="419"/>
      <c r="BO430" s="419"/>
      <c r="BP430" s="421"/>
      <c r="BQ430" s="421"/>
      <c r="BR430" s="419"/>
      <c r="BS430" s="419"/>
      <c r="BT430" s="421"/>
      <c r="BU430" s="421"/>
      <c r="BV430" s="419"/>
      <c r="BW430" s="419"/>
      <c r="BX430" s="421"/>
      <c r="BY430" s="421"/>
      <c r="BZ430" s="419"/>
      <c r="CA430" s="419"/>
      <c r="CB430" s="421"/>
      <c r="CC430" s="421"/>
      <c r="CD430" s="419"/>
      <c r="CE430" s="419"/>
      <c r="CF430" s="421"/>
      <c r="CG430" s="421"/>
      <c r="CH430" s="419"/>
      <c r="CI430" s="419"/>
      <c r="CJ430" s="421"/>
      <c r="CK430" s="421"/>
      <c r="CL430" s="419"/>
      <c r="CM430" s="421"/>
      <c r="CN430" s="424">
        <f t="shared" si="173"/>
        <v>0</v>
      </c>
      <c r="CO430" s="424">
        <f t="shared" si="174"/>
        <v>0</v>
      </c>
      <c r="CP430" s="425">
        <f t="shared" si="175"/>
        <v>0</v>
      </c>
      <c r="CQ430" s="425">
        <f t="shared" si="176"/>
        <v>0</v>
      </c>
      <c r="CR430" s="419"/>
      <c r="CS430" s="419"/>
      <c r="CT430" s="421"/>
      <c r="CU430" s="421"/>
      <c r="CV430" s="419"/>
      <c r="CW430" s="419"/>
      <c r="CX430" s="421"/>
      <c r="CY430" s="421"/>
      <c r="CZ430" s="419"/>
      <c r="DA430" s="419"/>
      <c r="DB430" s="421"/>
      <c r="DC430" s="421"/>
      <c r="DD430" s="419"/>
      <c r="DE430" s="419"/>
      <c r="DF430" s="421"/>
      <c r="DG430" s="421"/>
      <c r="DH430" s="419"/>
      <c r="DI430" s="419"/>
      <c r="DJ430" s="421"/>
      <c r="DK430" s="421"/>
      <c r="DL430" s="419"/>
      <c r="DM430" s="419"/>
      <c r="DN430" s="421"/>
      <c r="DO430" s="421"/>
      <c r="DP430" s="419"/>
      <c r="DQ430" s="419"/>
      <c r="DR430" s="421"/>
      <c r="DS430" s="421"/>
      <c r="DT430" s="419"/>
      <c r="DU430" s="419"/>
      <c r="DV430" s="421"/>
      <c r="DW430" s="421"/>
      <c r="DX430" s="419"/>
      <c r="DY430" s="419"/>
      <c r="DZ430" s="421"/>
      <c r="EA430" s="421"/>
      <c r="EB430" s="419"/>
      <c r="EC430" s="419"/>
      <c r="ED430" s="421"/>
      <c r="EE430" s="421"/>
      <c r="EF430" s="419"/>
      <c r="EG430" s="421"/>
      <c r="EH430" s="424">
        <f t="shared" si="177"/>
        <v>0</v>
      </c>
      <c r="EI430" s="424">
        <f t="shared" si="178"/>
        <v>0</v>
      </c>
      <c r="EJ430" s="422">
        <f t="shared" si="179"/>
        <v>0</v>
      </c>
      <c r="EK430" s="425">
        <f t="shared" si="180"/>
        <v>0</v>
      </c>
      <c r="EL430" s="425">
        <f t="shared" si="181"/>
        <v>0</v>
      </c>
      <c r="EM430" s="423">
        <f t="shared" si="182"/>
        <v>0</v>
      </c>
      <c r="EN430" s="424">
        <f t="shared" si="183"/>
        <v>0</v>
      </c>
      <c r="EO430" s="425">
        <f t="shared" si="184"/>
        <v>0</v>
      </c>
      <c r="EP430" s="419"/>
      <c r="EQ430" s="421"/>
      <c r="ER430" s="419"/>
      <c r="ES430" s="421"/>
      <c r="ET430" s="419"/>
      <c r="EU430" s="421"/>
      <c r="EV430" s="419"/>
      <c r="EW430" s="421"/>
      <c r="EX430" s="419"/>
      <c r="EY430" s="421"/>
      <c r="EZ430" s="419"/>
      <c r="FA430" s="421"/>
      <c r="FB430" s="419"/>
      <c r="FC430" s="421"/>
      <c r="FD430" s="419"/>
      <c r="FE430" s="421"/>
      <c r="FF430" s="419"/>
      <c r="FG430" s="421"/>
      <c r="FH430" s="419"/>
      <c r="FI430" s="421"/>
      <c r="FJ430" s="424">
        <f t="shared" si="185"/>
        <v>0</v>
      </c>
      <c r="FK430" s="425">
        <f t="shared" si="186"/>
        <v>0</v>
      </c>
      <c r="FL430" s="419"/>
      <c r="FM430" s="421"/>
      <c r="FN430" s="424">
        <f t="shared" si="187"/>
        <v>214</v>
      </c>
      <c r="FO430" s="425">
        <f t="shared" si="188"/>
        <v>209</v>
      </c>
    </row>
    <row r="431" spans="1:171">
      <c r="A431" s="428" t="s">
        <v>165</v>
      </c>
      <c r="B431" s="50" t="s">
        <v>952</v>
      </c>
      <c r="C431" s="49"/>
      <c r="D431" s="48">
        <v>221634</v>
      </c>
      <c r="E431" s="48">
        <v>13</v>
      </c>
      <c r="F431" s="419">
        <v>121</v>
      </c>
      <c r="G431" s="421">
        <v>98</v>
      </c>
      <c r="H431" s="419"/>
      <c r="I431" s="421"/>
      <c r="J431" s="419"/>
      <c r="K431" s="421"/>
      <c r="L431" s="422">
        <f t="shared" si="167"/>
        <v>0</v>
      </c>
      <c r="M431" s="423">
        <f t="shared" si="168"/>
        <v>0</v>
      </c>
      <c r="N431" s="419"/>
      <c r="O431" s="309">
        <f>0</f>
        <v>0</v>
      </c>
      <c r="P431" s="309">
        <f>0</f>
        <v>0</v>
      </c>
      <c r="Q431" s="309">
        <f>0</f>
        <v>0</v>
      </c>
      <c r="R431" s="424">
        <f t="shared" si="165"/>
        <v>0</v>
      </c>
      <c r="S431" s="421"/>
      <c r="T431" s="301">
        <f>0</f>
        <v>0</v>
      </c>
      <c r="U431" s="301">
        <f>0</f>
        <v>0</v>
      </c>
      <c r="V431" s="301">
        <f>0</f>
        <v>0</v>
      </c>
      <c r="W431" s="425">
        <f t="shared" si="166"/>
        <v>0</v>
      </c>
      <c r="X431" s="419"/>
      <c r="Y431" s="419"/>
      <c r="Z431" s="421"/>
      <c r="AA431" s="421"/>
      <c r="AB431" s="419"/>
      <c r="AC431" s="419"/>
      <c r="AD431" s="421"/>
      <c r="AE431" s="421"/>
      <c r="AF431" s="419"/>
      <c r="AG431" s="419"/>
      <c r="AH431" s="421"/>
      <c r="AI431" s="421"/>
      <c r="AJ431" s="419"/>
      <c r="AK431" s="419"/>
      <c r="AL431" s="421"/>
      <c r="AM431" s="421"/>
      <c r="AN431" s="419"/>
      <c r="AO431" s="419"/>
      <c r="AP431" s="421"/>
      <c r="AQ431" s="421"/>
      <c r="AR431" s="424">
        <f t="shared" si="169"/>
        <v>0</v>
      </c>
      <c r="AS431" s="422">
        <f t="shared" si="170"/>
        <v>0</v>
      </c>
      <c r="AT431" s="425">
        <f t="shared" si="171"/>
        <v>0</v>
      </c>
      <c r="AU431" s="423">
        <f t="shared" si="172"/>
        <v>0</v>
      </c>
      <c r="AV431" s="419"/>
      <c r="AW431" s="421"/>
      <c r="AX431" s="419"/>
      <c r="AY431" s="419"/>
      <c r="AZ431" s="421"/>
      <c r="BA431" s="421"/>
      <c r="BB431" s="419"/>
      <c r="BC431" s="419"/>
      <c r="BD431" s="421"/>
      <c r="BE431" s="421"/>
      <c r="BF431" s="419"/>
      <c r="BG431" s="419"/>
      <c r="BH431" s="421"/>
      <c r="BI431" s="421"/>
      <c r="BJ431" s="419"/>
      <c r="BK431" s="419"/>
      <c r="BL431" s="421"/>
      <c r="BM431" s="421"/>
      <c r="BN431" s="419"/>
      <c r="BO431" s="419"/>
      <c r="BP431" s="421"/>
      <c r="BQ431" s="421"/>
      <c r="BR431" s="419"/>
      <c r="BS431" s="419"/>
      <c r="BT431" s="421"/>
      <c r="BU431" s="421"/>
      <c r="BV431" s="419"/>
      <c r="BW431" s="419"/>
      <c r="BX431" s="421"/>
      <c r="BY431" s="421"/>
      <c r="BZ431" s="419"/>
      <c r="CA431" s="419"/>
      <c r="CB431" s="421"/>
      <c r="CC431" s="421"/>
      <c r="CD431" s="419"/>
      <c r="CE431" s="419"/>
      <c r="CF431" s="421"/>
      <c r="CG431" s="421"/>
      <c r="CH431" s="419"/>
      <c r="CI431" s="419"/>
      <c r="CJ431" s="421"/>
      <c r="CK431" s="421"/>
      <c r="CL431" s="419"/>
      <c r="CM431" s="421"/>
      <c r="CN431" s="424">
        <f t="shared" si="173"/>
        <v>0</v>
      </c>
      <c r="CO431" s="424">
        <f t="shared" si="174"/>
        <v>0</v>
      </c>
      <c r="CP431" s="425">
        <f t="shared" si="175"/>
        <v>0</v>
      </c>
      <c r="CQ431" s="425">
        <f t="shared" si="176"/>
        <v>0</v>
      </c>
      <c r="CR431" s="419"/>
      <c r="CS431" s="419"/>
      <c r="CT431" s="421"/>
      <c r="CU431" s="421"/>
      <c r="CV431" s="419"/>
      <c r="CW431" s="419"/>
      <c r="CX431" s="421"/>
      <c r="CY431" s="421"/>
      <c r="CZ431" s="419"/>
      <c r="DA431" s="419"/>
      <c r="DB431" s="421"/>
      <c r="DC431" s="421"/>
      <c r="DD431" s="419"/>
      <c r="DE431" s="419"/>
      <c r="DF431" s="421"/>
      <c r="DG431" s="421"/>
      <c r="DH431" s="419"/>
      <c r="DI431" s="419"/>
      <c r="DJ431" s="421"/>
      <c r="DK431" s="421"/>
      <c r="DL431" s="419"/>
      <c r="DM431" s="419"/>
      <c r="DN431" s="421"/>
      <c r="DO431" s="421"/>
      <c r="DP431" s="419"/>
      <c r="DQ431" s="419"/>
      <c r="DR431" s="421"/>
      <c r="DS431" s="421"/>
      <c r="DT431" s="419"/>
      <c r="DU431" s="419"/>
      <c r="DV431" s="421"/>
      <c r="DW431" s="421"/>
      <c r="DX431" s="419"/>
      <c r="DY431" s="419"/>
      <c r="DZ431" s="421"/>
      <c r="EA431" s="421"/>
      <c r="EB431" s="419"/>
      <c r="EC431" s="419"/>
      <c r="ED431" s="421"/>
      <c r="EE431" s="421"/>
      <c r="EF431" s="419"/>
      <c r="EG431" s="421"/>
      <c r="EH431" s="424">
        <f t="shared" si="177"/>
        <v>0</v>
      </c>
      <c r="EI431" s="424">
        <f t="shared" si="178"/>
        <v>0</v>
      </c>
      <c r="EJ431" s="422">
        <f t="shared" si="179"/>
        <v>0</v>
      </c>
      <c r="EK431" s="425">
        <f t="shared" si="180"/>
        <v>0</v>
      </c>
      <c r="EL431" s="425">
        <f t="shared" si="181"/>
        <v>0</v>
      </c>
      <c r="EM431" s="423">
        <f t="shared" si="182"/>
        <v>0</v>
      </c>
      <c r="EN431" s="424">
        <f t="shared" si="183"/>
        <v>0</v>
      </c>
      <c r="EO431" s="425">
        <f t="shared" si="184"/>
        <v>0</v>
      </c>
      <c r="EP431" s="419"/>
      <c r="EQ431" s="421"/>
      <c r="ER431" s="419"/>
      <c r="ES431" s="421"/>
      <c r="ET431" s="419"/>
      <c r="EU431" s="421"/>
      <c r="EV431" s="419"/>
      <c r="EW431" s="421"/>
      <c r="EX431" s="419"/>
      <c r="EY431" s="421"/>
      <c r="EZ431" s="419"/>
      <c r="FA431" s="421"/>
      <c r="FB431" s="419"/>
      <c r="FC431" s="421"/>
      <c r="FD431" s="419"/>
      <c r="FE431" s="421"/>
      <c r="FF431" s="419"/>
      <c r="FG431" s="421"/>
      <c r="FH431" s="419"/>
      <c r="FI431" s="421"/>
      <c r="FJ431" s="424">
        <f t="shared" si="185"/>
        <v>0</v>
      </c>
      <c r="FK431" s="425">
        <f t="shared" si="186"/>
        <v>0</v>
      </c>
      <c r="FL431" s="419"/>
      <c r="FM431" s="421"/>
      <c r="FN431" s="424">
        <f t="shared" si="187"/>
        <v>121</v>
      </c>
      <c r="FO431" s="425">
        <f t="shared" si="188"/>
        <v>98</v>
      </c>
    </row>
    <row r="432" spans="1:171">
      <c r="A432" s="428" t="s">
        <v>165</v>
      </c>
      <c r="B432" s="50" t="s">
        <v>953</v>
      </c>
      <c r="C432" s="47"/>
      <c r="D432" s="48">
        <v>221704</v>
      </c>
      <c r="E432" s="48">
        <v>15</v>
      </c>
      <c r="F432" s="419"/>
      <c r="G432" s="421"/>
      <c r="H432" s="419"/>
      <c r="I432" s="421"/>
      <c r="J432" s="419"/>
      <c r="K432" s="421"/>
      <c r="L432" s="422">
        <f t="shared" si="167"/>
        <v>0</v>
      </c>
      <c r="M432" s="423">
        <f t="shared" si="168"/>
        <v>0</v>
      </c>
      <c r="N432" s="419">
        <v>228</v>
      </c>
      <c r="O432" s="309">
        <f>0</f>
        <v>0</v>
      </c>
      <c r="P432" s="309">
        <f>0</f>
        <v>0</v>
      </c>
      <c r="Q432" s="309">
        <f>0</f>
        <v>0</v>
      </c>
      <c r="R432" s="424">
        <f t="shared" si="165"/>
        <v>0</v>
      </c>
      <c r="S432" s="420">
        <v>182</v>
      </c>
      <c r="T432" s="301">
        <f>0</f>
        <v>0</v>
      </c>
      <c r="U432" s="301">
        <f>0</f>
        <v>0</v>
      </c>
      <c r="V432" s="301">
        <f>0</f>
        <v>0</v>
      </c>
      <c r="W432" s="425">
        <f t="shared" si="166"/>
        <v>0</v>
      </c>
      <c r="X432" s="419"/>
      <c r="Y432" s="419"/>
      <c r="Z432" s="421"/>
      <c r="AA432" s="421"/>
      <c r="AB432" s="419"/>
      <c r="AC432" s="419"/>
      <c r="AD432" s="421"/>
      <c r="AE432" s="421"/>
      <c r="AF432" s="419"/>
      <c r="AG432" s="419"/>
      <c r="AH432" s="421"/>
      <c r="AI432" s="421"/>
      <c r="AJ432" s="419"/>
      <c r="AK432" s="419"/>
      <c r="AL432" s="421"/>
      <c r="AM432" s="421"/>
      <c r="AN432" s="419"/>
      <c r="AO432" s="419"/>
      <c r="AP432" s="421"/>
      <c r="AQ432" s="421"/>
      <c r="AR432" s="424">
        <f t="shared" si="169"/>
        <v>0</v>
      </c>
      <c r="AS432" s="422">
        <f t="shared" si="170"/>
        <v>0.2177650429799427</v>
      </c>
      <c r="AT432" s="425">
        <f t="shared" si="171"/>
        <v>0</v>
      </c>
      <c r="AU432" s="423">
        <f t="shared" si="172"/>
        <v>0.18439716312056736</v>
      </c>
      <c r="AV432" s="419"/>
      <c r="AW432" s="421"/>
      <c r="AX432" s="419" t="s">
        <v>612</v>
      </c>
      <c r="AY432" s="419">
        <v>163</v>
      </c>
      <c r="AZ432" s="421" t="s">
        <v>612</v>
      </c>
      <c r="BA432" s="421">
        <v>182</v>
      </c>
      <c r="BB432" s="419" t="s">
        <v>615</v>
      </c>
      <c r="BC432" s="419">
        <v>35</v>
      </c>
      <c r="BD432" s="421" t="s">
        <v>615</v>
      </c>
      <c r="BE432" s="421">
        <v>29</v>
      </c>
      <c r="BF432" s="419" t="s">
        <v>629</v>
      </c>
      <c r="BG432" s="419">
        <v>1</v>
      </c>
      <c r="BH432" s="421" t="s">
        <v>629</v>
      </c>
      <c r="BI432" s="420">
        <v>2</v>
      </c>
      <c r="BJ432" s="419"/>
      <c r="BK432" s="419"/>
      <c r="BL432" s="421"/>
      <c r="BM432" s="421"/>
      <c r="BN432" s="419"/>
      <c r="BO432" s="419"/>
      <c r="BP432" s="421"/>
      <c r="BQ432" s="421"/>
      <c r="BR432" s="419"/>
      <c r="BS432" s="419"/>
      <c r="BT432" s="421"/>
      <c r="BU432" s="421"/>
      <c r="BV432" s="419"/>
      <c r="BW432" s="419"/>
      <c r="BX432" s="421"/>
      <c r="BY432" s="421"/>
      <c r="BZ432" s="419"/>
      <c r="CA432" s="419"/>
      <c r="CB432" s="421"/>
      <c r="CC432" s="421"/>
      <c r="CD432" s="419"/>
      <c r="CE432" s="419"/>
      <c r="CF432" s="421"/>
      <c r="CG432" s="421"/>
      <c r="CH432" s="419"/>
      <c r="CI432" s="419"/>
      <c r="CJ432" s="421"/>
      <c r="CK432" s="421"/>
      <c r="CL432" s="419"/>
      <c r="CM432" s="421"/>
      <c r="CN432" s="424">
        <f t="shared" si="173"/>
        <v>199</v>
      </c>
      <c r="CO432" s="424">
        <f t="shared" si="174"/>
        <v>3</v>
      </c>
      <c r="CP432" s="425">
        <f t="shared" si="175"/>
        <v>213</v>
      </c>
      <c r="CQ432" s="425">
        <f t="shared" si="176"/>
        <v>3</v>
      </c>
      <c r="CR432" s="419" t="s">
        <v>612</v>
      </c>
      <c r="CS432" s="419">
        <v>170</v>
      </c>
      <c r="CT432" s="421" t="s">
        <v>612</v>
      </c>
      <c r="CU432" s="421">
        <v>168</v>
      </c>
      <c r="CV432" s="419" t="s">
        <v>615</v>
      </c>
      <c r="CW432" s="419">
        <v>12</v>
      </c>
      <c r="CX432" s="421" t="s">
        <v>615</v>
      </c>
      <c r="CY432" s="421">
        <v>10</v>
      </c>
      <c r="CZ432" s="419"/>
      <c r="DA432" s="419"/>
      <c r="DB432" s="421" t="s">
        <v>629</v>
      </c>
      <c r="DC432" s="420">
        <v>1</v>
      </c>
      <c r="DD432" s="419"/>
      <c r="DE432" s="419"/>
      <c r="DF432" s="421"/>
      <c r="DG432" s="421"/>
      <c r="DH432" s="419"/>
      <c r="DI432" s="419"/>
      <c r="DJ432" s="421"/>
      <c r="DK432" s="421"/>
      <c r="DL432" s="419"/>
      <c r="DM432" s="419"/>
      <c r="DN432" s="421"/>
      <c r="DO432" s="421"/>
      <c r="DP432" s="419"/>
      <c r="DQ432" s="419"/>
      <c r="DR432" s="421"/>
      <c r="DS432" s="421"/>
      <c r="DT432" s="419"/>
      <c r="DU432" s="419"/>
      <c r="DV432" s="421"/>
      <c r="DW432" s="421"/>
      <c r="DX432" s="419"/>
      <c r="DY432" s="419"/>
      <c r="DZ432" s="421"/>
      <c r="EA432" s="421"/>
      <c r="EB432" s="419"/>
      <c r="EC432" s="419"/>
      <c r="ED432" s="421"/>
      <c r="EE432" s="421"/>
      <c r="EF432" s="419"/>
      <c r="EG432" s="421"/>
      <c r="EH432" s="424">
        <f t="shared" si="177"/>
        <v>182</v>
      </c>
      <c r="EI432" s="424">
        <f t="shared" si="178"/>
        <v>2</v>
      </c>
      <c r="EJ432" s="422">
        <f t="shared" si="179"/>
        <v>0.93406593406593408</v>
      </c>
      <c r="EK432" s="425">
        <f t="shared" si="180"/>
        <v>179</v>
      </c>
      <c r="EL432" s="425">
        <f t="shared" si="181"/>
        <v>3</v>
      </c>
      <c r="EM432" s="423">
        <f t="shared" si="182"/>
        <v>0.93854748603351956</v>
      </c>
      <c r="EN432" s="424">
        <f t="shared" si="183"/>
        <v>381</v>
      </c>
      <c r="EO432" s="425">
        <f t="shared" si="184"/>
        <v>392</v>
      </c>
      <c r="EP432" s="419"/>
      <c r="EQ432" s="421"/>
      <c r="ER432" s="419">
        <v>161</v>
      </c>
      <c r="ES432" s="421">
        <v>158</v>
      </c>
      <c r="ET432" s="419">
        <v>90</v>
      </c>
      <c r="EU432" s="421">
        <v>100</v>
      </c>
      <c r="EV432" s="419">
        <v>187</v>
      </c>
      <c r="EW432" s="421">
        <v>155</v>
      </c>
      <c r="EX432" s="419"/>
      <c r="EY432" s="421"/>
      <c r="EZ432" s="419"/>
      <c r="FA432" s="421"/>
      <c r="FB432" s="419"/>
      <c r="FC432" s="421"/>
      <c r="FD432" s="419"/>
      <c r="FE432" s="421"/>
      <c r="FF432" s="419"/>
      <c r="FG432" s="421"/>
      <c r="FH432" s="419"/>
      <c r="FI432" s="421"/>
      <c r="FJ432" s="424">
        <f t="shared" si="185"/>
        <v>438</v>
      </c>
      <c r="FK432" s="425">
        <f t="shared" si="186"/>
        <v>413</v>
      </c>
      <c r="FL432" s="419"/>
      <c r="FM432" s="421"/>
      <c r="FN432" s="424">
        <f t="shared" si="187"/>
        <v>1047</v>
      </c>
      <c r="FO432" s="425">
        <f t="shared" si="188"/>
        <v>987</v>
      </c>
    </row>
    <row r="433" spans="1:171" customFormat="1" ht="15" customHeight="1">
      <c r="A433" s="457" t="s">
        <v>166</v>
      </c>
      <c r="B433" s="46" t="s">
        <v>954</v>
      </c>
      <c r="C433" s="16"/>
      <c r="D433" s="44">
        <v>228723</v>
      </c>
      <c r="E433" s="44">
        <v>1</v>
      </c>
      <c r="F433" s="419"/>
      <c r="G433" s="421"/>
      <c r="H433" s="419"/>
      <c r="I433" s="421"/>
      <c r="J433" s="419"/>
      <c r="K433" s="421"/>
      <c r="L433" s="422">
        <f t="shared" si="167"/>
        <v>0</v>
      </c>
      <c r="M433" s="423">
        <f t="shared" si="168"/>
        <v>0</v>
      </c>
      <c r="N433" s="419">
        <v>12072</v>
      </c>
      <c r="O433" s="525">
        <f>0</f>
        <v>0</v>
      </c>
      <c r="P433" s="525">
        <f>0</f>
        <v>0</v>
      </c>
      <c r="Q433" s="525">
        <f>0</f>
        <v>0</v>
      </c>
      <c r="R433" s="424">
        <f t="shared" si="165"/>
        <v>0</v>
      </c>
      <c r="S433" s="434"/>
      <c r="T433" s="526">
        <f>0</f>
        <v>0</v>
      </c>
      <c r="U433" s="526">
        <f>0</f>
        <v>0</v>
      </c>
      <c r="V433" s="526">
        <f>0</f>
        <v>0</v>
      </c>
      <c r="W433" s="425">
        <f t="shared" si="166"/>
        <v>0</v>
      </c>
      <c r="X433" s="419"/>
      <c r="Y433" s="419"/>
      <c r="Z433" s="421"/>
      <c r="AA433" s="421"/>
      <c r="AB433" s="419"/>
      <c r="AC433" s="419"/>
      <c r="AD433" s="421"/>
      <c r="AE433" s="421"/>
      <c r="AF433" s="419"/>
      <c r="AG433" s="419"/>
      <c r="AH433" s="421"/>
      <c r="AI433" s="421"/>
      <c r="AJ433" s="419"/>
      <c r="AK433" s="419"/>
      <c r="AL433" s="421"/>
      <c r="AM433" s="421"/>
      <c r="AN433" s="419"/>
      <c r="AO433" s="419"/>
      <c r="AP433" s="421"/>
      <c r="AQ433" s="421"/>
      <c r="AR433" s="424">
        <f t="shared" si="169"/>
        <v>0</v>
      </c>
      <c r="AS433" s="422">
        <f t="shared" si="170"/>
        <v>0.74043179587831209</v>
      </c>
      <c r="AT433" s="425">
        <f t="shared" si="171"/>
        <v>0</v>
      </c>
      <c r="AU433" s="423">
        <f t="shared" si="172"/>
        <v>0</v>
      </c>
      <c r="AV433" s="419"/>
      <c r="AW433" s="421"/>
      <c r="AX433" s="419">
        <v>14</v>
      </c>
      <c r="AY433" s="419">
        <v>780</v>
      </c>
      <c r="AZ433" s="527">
        <v>52</v>
      </c>
      <c r="BA433" s="527">
        <v>742</v>
      </c>
      <c r="BB433" s="419">
        <v>52</v>
      </c>
      <c r="BC433" s="419">
        <v>754</v>
      </c>
      <c r="BD433" s="527">
        <v>14</v>
      </c>
      <c r="BE433" s="527">
        <v>735</v>
      </c>
      <c r="BF433" s="419">
        <v>13</v>
      </c>
      <c r="BG433" s="419">
        <v>406</v>
      </c>
      <c r="BH433" s="527">
        <v>13</v>
      </c>
      <c r="BI433" s="527">
        <v>437</v>
      </c>
      <c r="BJ433" s="419">
        <v>11</v>
      </c>
      <c r="BK433" s="419">
        <v>260</v>
      </c>
      <c r="BL433" s="527">
        <v>11</v>
      </c>
      <c r="BM433" s="527">
        <v>292</v>
      </c>
      <c r="BN433" s="419">
        <v>45</v>
      </c>
      <c r="BO433" s="419">
        <v>206</v>
      </c>
      <c r="BP433" s="527">
        <v>45</v>
      </c>
      <c r="BQ433" s="527">
        <v>217</v>
      </c>
      <c r="BR433" s="419">
        <v>1</v>
      </c>
      <c r="BS433" s="419">
        <v>114</v>
      </c>
      <c r="BT433" s="527">
        <v>44</v>
      </c>
      <c r="BU433" s="527">
        <v>118</v>
      </c>
      <c r="BV433" s="419">
        <v>44</v>
      </c>
      <c r="BW433" s="419">
        <v>104</v>
      </c>
      <c r="BX433" s="527">
        <v>27</v>
      </c>
      <c r="BY433" s="527">
        <v>88</v>
      </c>
      <c r="BZ433" s="419">
        <v>27</v>
      </c>
      <c r="CA433" s="419">
        <v>96</v>
      </c>
      <c r="CB433" s="527">
        <v>1</v>
      </c>
      <c r="CC433" s="527">
        <v>83</v>
      </c>
      <c r="CD433" s="419">
        <v>31</v>
      </c>
      <c r="CE433" s="419">
        <v>83</v>
      </c>
      <c r="CF433" s="527">
        <v>26</v>
      </c>
      <c r="CG433" s="527">
        <v>83</v>
      </c>
      <c r="CH433" s="419">
        <v>26</v>
      </c>
      <c r="CI433" s="419">
        <v>81</v>
      </c>
      <c r="CJ433" s="527">
        <v>31</v>
      </c>
      <c r="CK433" s="527">
        <v>80</v>
      </c>
      <c r="CL433" s="419">
        <v>344</v>
      </c>
      <c r="CM433" s="528">
        <v>424</v>
      </c>
      <c r="CN433" s="424">
        <f t="shared" si="173"/>
        <v>3228</v>
      </c>
      <c r="CO433" s="424">
        <f t="shared" si="174"/>
        <v>10</v>
      </c>
      <c r="CP433" s="425">
        <f t="shared" si="175"/>
        <v>3299</v>
      </c>
      <c r="CQ433" s="425">
        <f t="shared" si="176"/>
        <v>10</v>
      </c>
      <c r="CR433" s="419">
        <v>14</v>
      </c>
      <c r="CS433" s="419">
        <v>273</v>
      </c>
      <c r="CT433" s="527">
        <v>14</v>
      </c>
      <c r="CU433" s="527">
        <v>265</v>
      </c>
      <c r="CV433" s="419">
        <v>40</v>
      </c>
      <c r="CW433" s="419">
        <v>77</v>
      </c>
      <c r="CX433" s="527">
        <v>26</v>
      </c>
      <c r="CY433" s="528">
        <v>98</v>
      </c>
      <c r="CZ433" s="419">
        <v>26</v>
      </c>
      <c r="DA433" s="419">
        <v>67</v>
      </c>
      <c r="DB433" s="527">
        <v>13</v>
      </c>
      <c r="DC433" s="528">
        <v>91</v>
      </c>
      <c r="DD433" s="419">
        <v>1</v>
      </c>
      <c r="DE433" s="419">
        <v>64</v>
      </c>
      <c r="DF433" s="527">
        <v>40</v>
      </c>
      <c r="DG433" s="528">
        <v>79</v>
      </c>
      <c r="DH433" s="419">
        <v>13</v>
      </c>
      <c r="DI433" s="419">
        <v>64</v>
      </c>
      <c r="DJ433" s="527">
        <v>1</v>
      </c>
      <c r="DK433" s="528">
        <v>46</v>
      </c>
      <c r="DL433" s="419">
        <v>45</v>
      </c>
      <c r="DM433" s="419">
        <v>39</v>
      </c>
      <c r="DN433" s="527">
        <v>42</v>
      </c>
      <c r="DO433" s="527">
        <v>43</v>
      </c>
      <c r="DP433" s="419">
        <v>42</v>
      </c>
      <c r="DQ433" s="419">
        <v>29</v>
      </c>
      <c r="DR433" s="527">
        <v>45</v>
      </c>
      <c r="DS433" s="528">
        <v>39</v>
      </c>
      <c r="DT433" s="419">
        <v>52</v>
      </c>
      <c r="DU433" s="419">
        <v>24</v>
      </c>
      <c r="DV433" s="527">
        <v>27</v>
      </c>
      <c r="DW433" s="527">
        <v>28</v>
      </c>
      <c r="DX433" s="419">
        <v>27</v>
      </c>
      <c r="DY433" s="419">
        <v>23</v>
      </c>
      <c r="DZ433" s="527">
        <v>11</v>
      </c>
      <c r="EA433" s="528">
        <v>17</v>
      </c>
      <c r="EB433" s="419">
        <v>3</v>
      </c>
      <c r="EC433" s="419">
        <v>13</v>
      </c>
      <c r="ED433" s="527">
        <v>3</v>
      </c>
      <c r="EE433" s="527">
        <v>13</v>
      </c>
      <c r="EF433" s="419">
        <v>70</v>
      </c>
      <c r="EG433" s="527">
        <v>58</v>
      </c>
      <c r="EH433" s="424">
        <f t="shared" si="177"/>
        <v>743</v>
      </c>
      <c r="EI433" s="424">
        <f t="shared" si="178"/>
        <v>10</v>
      </c>
      <c r="EJ433" s="422">
        <f t="shared" si="179"/>
        <v>0.36742934051144011</v>
      </c>
      <c r="EK433" s="425">
        <f t="shared" si="180"/>
        <v>777</v>
      </c>
      <c r="EL433" s="425">
        <f t="shared" si="181"/>
        <v>10</v>
      </c>
      <c r="EM433" s="423">
        <f t="shared" si="182"/>
        <v>0.34105534105534108</v>
      </c>
      <c r="EN433" s="424">
        <f t="shared" si="183"/>
        <v>3971</v>
      </c>
      <c r="EO433" s="425">
        <f t="shared" si="184"/>
        <v>4076</v>
      </c>
      <c r="EP433" s="419">
        <v>130</v>
      </c>
      <c r="EQ433" s="527">
        <v>130</v>
      </c>
      <c r="ER433" s="419"/>
      <c r="ES433" s="421"/>
      <c r="ET433" s="419"/>
      <c r="EU433" s="421"/>
      <c r="EV433" s="419"/>
      <c r="EW433" s="421"/>
      <c r="EX433" s="419"/>
      <c r="EY433" s="421"/>
      <c r="EZ433" s="419"/>
      <c r="FA433" s="421"/>
      <c r="FB433" s="419"/>
      <c r="FC433" s="421"/>
      <c r="FD433" s="419">
        <v>131</v>
      </c>
      <c r="FE433" s="421">
        <v>133</v>
      </c>
      <c r="FF433" s="419"/>
      <c r="FG433" s="421"/>
      <c r="FH433" s="419"/>
      <c r="FI433" s="421"/>
      <c r="FJ433" s="424">
        <f t="shared" si="185"/>
        <v>261</v>
      </c>
      <c r="FK433" s="425">
        <f t="shared" si="186"/>
        <v>263</v>
      </c>
      <c r="FL433" s="419"/>
      <c r="FM433" s="421"/>
      <c r="FN433" s="424">
        <f t="shared" si="187"/>
        <v>16304</v>
      </c>
      <c r="FO433" s="425">
        <f t="shared" si="188"/>
        <v>4339</v>
      </c>
    </row>
    <row r="434" spans="1:171" customFormat="1" ht="15" customHeight="1">
      <c r="A434" s="457" t="s">
        <v>166</v>
      </c>
      <c r="B434" s="46" t="s">
        <v>955</v>
      </c>
      <c r="C434" s="16"/>
      <c r="D434" s="44">
        <v>229115</v>
      </c>
      <c r="E434" s="44">
        <v>1</v>
      </c>
      <c r="F434" s="419"/>
      <c r="G434" s="421"/>
      <c r="H434" s="419"/>
      <c r="I434" s="421"/>
      <c r="J434" s="419"/>
      <c r="K434" s="421"/>
      <c r="L434" s="422">
        <f t="shared" si="167"/>
        <v>0</v>
      </c>
      <c r="M434" s="423">
        <f t="shared" si="168"/>
        <v>0</v>
      </c>
      <c r="N434" s="419">
        <v>6440</v>
      </c>
      <c r="O434" s="525">
        <f>0</f>
        <v>0</v>
      </c>
      <c r="P434" s="525">
        <f>0</f>
        <v>0</v>
      </c>
      <c r="Q434" s="525">
        <f>0</f>
        <v>0</v>
      </c>
      <c r="R434" s="424">
        <f t="shared" si="165"/>
        <v>0</v>
      </c>
      <c r="S434" s="434"/>
      <c r="T434" s="526">
        <f>0</f>
        <v>0</v>
      </c>
      <c r="U434" s="526">
        <f>0</f>
        <v>0</v>
      </c>
      <c r="V434" s="526">
        <f>0</f>
        <v>0</v>
      </c>
      <c r="W434" s="425">
        <f t="shared" si="166"/>
        <v>0</v>
      </c>
      <c r="X434" s="419"/>
      <c r="Y434" s="419"/>
      <c r="Z434" s="421"/>
      <c r="AA434" s="421"/>
      <c r="AB434" s="419"/>
      <c r="AC434" s="419"/>
      <c r="AD434" s="421"/>
      <c r="AE434" s="421"/>
      <c r="AF434" s="419"/>
      <c r="AG434" s="419"/>
      <c r="AH434" s="421"/>
      <c r="AI434" s="421"/>
      <c r="AJ434" s="419"/>
      <c r="AK434" s="419"/>
      <c r="AL434" s="421"/>
      <c r="AM434" s="421"/>
      <c r="AN434" s="419"/>
      <c r="AO434" s="419"/>
      <c r="AP434" s="421"/>
      <c r="AQ434" s="421"/>
      <c r="AR434" s="424">
        <f t="shared" si="169"/>
        <v>0</v>
      </c>
      <c r="AS434" s="422">
        <f t="shared" si="170"/>
        <v>0.7592548927139825</v>
      </c>
      <c r="AT434" s="425">
        <f t="shared" si="171"/>
        <v>0</v>
      </c>
      <c r="AU434" s="423">
        <f t="shared" si="172"/>
        <v>0</v>
      </c>
      <c r="AV434" s="419"/>
      <c r="AW434" s="421"/>
      <c r="AX434" s="419">
        <v>52</v>
      </c>
      <c r="AY434" s="419">
        <v>368</v>
      </c>
      <c r="AZ434" s="527">
        <v>52</v>
      </c>
      <c r="BA434" s="527">
        <v>388</v>
      </c>
      <c r="BB434" s="419">
        <v>13</v>
      </c>
      <c r="BC434" s="419">
        <v>292</v>
      </c>
      <c r="BD434" s="527">
        <v>13</v>
      </c>
      <c r="BE434" s="527">
        <v>317</v>
      </c>
      <c r="BF434" s="419">
        <v>14</v>
      </c>
      <c r="BG434" s="419">
        <v>138</v>
      </c>
      <c r="BH434" s="527">
        <v>14</v>
      </c>
      <c r="BI434" s="527">
        <v>160</v>
      </c>
      <c r="BJ434" s="419">
        <v>9</v>
      </c>
      <c r="BK434" s="419">
        <v>98</v>
      </c>
      <c r="BL434" s="527">
        <v>9</v>
      </c>
      <c r="BM434" s="527">
        <v>100</v>
      </c>
      <c r="BN434" s="419">
        <v>1</v>
      </c>
      <c r="BO434" s="419">
        <v>82</v>
      </c>
      <c r="BP434" s="527">
        <v>11</v>
      </c>
      <c r="BQ434" s="527">
        <v>94</v>
      </c>
      <c r="BR434" s="419">
        <v>19</v>
      </c>
      <c r="BS434" s="419">
        <v>74</v>
      </c>
      <c r="BT434" s="527">
        <v>19</v>
      </c>
      <c r="BU434" s="528">
        <v>91</v>
      </c>
      <c r="BV434" s="419">
        <v>30</v>
      </c>
      <c r="BW434" s="419">
        <v>74</v>
      </c>
      <c r="BX434" s="527">
        <v>30</v>
      </c>
      <c r="BY434" s="527">
        <v>72</v>
      </c>
      <c r="BZ434" s="419">
        <v>11</v>
      </c>
      <c r="CA434" s="419">
        <v>63</v>
      </c>
      <c r="CB434" s="527">
        <v>1</v>
      </c>
      <c r="CC434" s="527">
        <v>62</v>
      </c>
      <c r="CD434" s="419">
        <v>50</v>
      </c>
      <c r="CE434" s="419">
        <v>48</v>
      </c>
      <c r="CF434" s="527">
        <v>23</v>
      </c>
      <c r="CG434" s="527">
        <v>47</v>
      </c>
      <c r="CH434" s="419">
        <v>4</v>
      </c>
      <c r="CI434" s="419">
        <v>42</v>
      </c>
      <c r="CJ434" s="527">
        <v>31</v>
      </c>
      <c r="CK434" s="527">
        <v>39</v>
      </c>
      <c r="CL434" s="419">
        <v>288</v>
      </c>
      <c r="CM434" s="527">
        <v>289</v>
      </c>
      <c r="CN434" s="424">
        <f t="shared" si="173"/>
        <v>1567</v>
      </c>
      <c r="CO434" s="424">
        <f t="shared" si="174"/>
        <v>10</v>
      </c>
      <c r="CP434" s="425">
        <f t="shared" si="175"/>
        <v>1659</v>
      </c>
      <c r="CQ434" s="425">
        <f t="shared" si="176"/>
        <v>10</v>
      </c>
      <c r="CR434" s="419">
        <v>14</v>
      </c>
      <c r="CS434" s="419">
        <v>71</v>
      </c>
      <c r="CT434" s="527">
        <v>13</v>
      </c>
      <c r="CU434" s="528">
        <v>87</v>
      </c>
      <c r="CV434" s="419">
        <v>13</v>
      </c>
      <c r="CW434" s="419">
        <v>56</v>
      </c>
      <c r="CX434" s="527">
        <v>14</v>
      </c>
      <c r="CY434" s="527">
        <v>53</v>
      </c>
      <c r="CZ434" s="419">
        <v>1</v>
      </c>
      <c r="DA434" s="419">
        <v>32</v>
      </c>
      <c r="DB434" s="527">
        <v>42</v>
      </c>
      <c r="DC434" s="527">
        <v>35</v>
      </c>
      <c r="DD434" s="419">
        <v>23</v>
      </c>
      <c r="DE434" s="419">
        <v>28</v>
      </c>
      <c r="DF434" s="527">
        <v>1</v>
      </c>
      <c r="DG434" s="527">
        <v>33</v>
      </c>
      <c r="DH434" s="419">
        <v>50</v>
      </c>
      <c r="DI434" s="419">
        <v>26</v>
      </c>
      <c r="DJ434" s="527">
        <v>50</v>
      </c>
      <c r="DK434" s="527">
        <v>28</v>
      </c>
      <c r="DL434" s="419">
        <v>52</v>
      </c>
      <c r="DM434" s="419">
        <v>21</v>
      </c>
      <c r="DN434" s="527">
        <v>40</v>
      </c>
      <c r="DO434" s="528">
        <v>26</v>
      </c>
      <c r="DP434" s="419">
        <v>40</v>
      </c>
      <c r="DQ434" s="419">
        <v>19</v>
      </c>
      <c r="DR434" s="527">
        <v>52</v>
      </c>
      <c r="DS434" s="528">
        <v>25</v>
      </c>
      <c r="DT434" s="419">
        <v>42</v>
      </c>
      <c r="DU434" s="419">
        <v>18</v>
      </c>
      <c r="DV434" s="527">
        <v>26</v>
      </c>
      <c r="DW434" s="527">
        <v>18</v>
      </c>
      <c r="DX434" s="419">
        <v>26</v>
      </c>
      <c r="DY434" s="419">
        <v>13</v>
      </c>
      <c r="DZ434" s="527">
        <v>23</v>
      </c>
      <c r="EA434" s="528">
        <v>17</v>
      </c>
      <c r="EB434" s="419">
        <v>51</v>
      </c>
      <c r="EC434" s="419">
        <v>10</v>
      </c>
      <c r="ED434" s="527">
        <v>27</v>
      </c>
      <c r="EE434" s="527">
        <v>11</v>
      </c>
      <c r="EF434" s="419">
        <v>46</v>
      </c>
      <c r="EG434" s="528">
        <v>57</v>
      </c>
      <c r="EH434" s="424">
        <f t="shared" si="177"/>
        <v>340</v>
      </c>
      <c r="EI434" s="424">
        <f t="shared" si="178"/>
        <v>10</v>
      </c>
      <c r="EJ434" s="422">
        <f t="shared" si="179"/>
        <v>0.20882352941176471</v>
      </c>
      <c r="EK434" s="425">
        <f t="shared" si="180"/>
        <v>390</v>
      </c>
      <c r="EL434" s="425">
        <f t="shared" si="181"/>
        <v>10</v>
      </c>
      <c r="EM434" s="423">
        <f t="shared" si="182"/>
        <v>0.22307692307692309</v>
      </c>
      <c r="EN434" s="424">
        <f t="shared" si="183"/>
        <v>1907</v>
      </c>
      <c r="EO434" s="425">
        <f t="shared" si="184"/>
        <v>2049</v>
      </c>
      <c r="EP434" s="419">
        <v>135</v>
      </c>
      <c r="EQ434" s="527">
        <v>127</v>
      </c>
      <c r="ER434" s="419"/>
      <c r="ES434" s="421"/>
      <c r="ET434" s="419"/>
      <c r="EU434" s="421"/>
      <c r="EV434" s="419"/>
      <c r="EW434" s="421"/>
      <c r="EX434" s="419"/>
      <c r="EY434" s="421"/>
      <c r="EZ434" s="419"/>
      <c r="FA434" s="421"/>
      <c r="FB434" s="419"/>
      <c r="FC434" s="421"/>
      <c r="FD434" s="419"/>
      <c r="FE434" s="421"/>
      <c r="FF434" s="419"/>
      <c r="FG434" s="421"/>
      <c r="FH434" s="419"/>
      <c r="FI434" s="421"/>
      <c r="FJ434" s="424">
        <f t="shared" si="185"/>
        <v>135</v>
      </c>
      <c r="FK434" s="425">
        <f t="shared" si="186"/>
        <v>127</v>
      </c>
      <c r="FL434" s="419"/>
      <c r="FM434" s="421"/>
      <c r="FN434" s="424">
        <f t="shared" si="187"/>
        <v>8482</v>
      </c>
      <c r="FO434" s="425">
        <f t="shared" si="188"/>
        <v>2176</v>
      </c>
    </row>
    <row r="435" spans="1:171" customFormat="1" ht="15" customHeight="1">
      <c r="A435" s="457" t="s">
        <v>166</v>
      </c>
      <c r="B435" s="46" t="s">
        <v>956</v>
      </c>
      <c r="C435" s="16"/>
      <c r="D435" s="44">
        <v>225511</v>
      </c>
      <c r="E435" s="44">
        <v>1</v>
      </c>
      <c r="F435" s="419"/>
      <c r="G435" s="421"/>
      <c r="H435" s="419"/>
      <c r="I435" s="421"/>
      <c r="J435" s="419"/>
      <c r="K435" s="421"/>
      <c r="L435" s="422">
        <f t="shared" si="167"/>
        <v>0</v>
      </c>
      <c r="M435" s="423">
        <f t="shared" si="168"/>
        <v>0</v>
      </c>
      <c r="N435" s="419">
        <v>7750</v>
      </c>
      <c r="O435" s="525">
        <f>0</f>
        <v>0</v>
      </c>
      <c r="P435" s="525">
        <f>0</f>
        <v>0</v>
      </c>
      <c r="Q435" s="525">
        <f>0</f>
        <v>0</v>
      </c>
      <c r="R435" s="424">
        <f t="shared" si="165"/>
        <v>0</v>
      </c>
      <c r="S435" s="434"/>
      <c r="T435" s="526">
        <f>0</f>
        <v>0</v>
      </c>
      <c r="U435" s="526">
        <f>0</f>
        <v>0</v>
      </c>
      <c r="V435" s="526">
        <f>0</f>
        <v>0</v>
      </c>
      <c r="W435" s="425">
        <f t="shared" si="166"/>
        <v>0</v>
      </c>
      <c r="X435" s="419"/>
      <c r="Y435" s="419"/>
      <c r="Z435" s="421"/>
      <c r="AA435" s="421"/>
      <c r="AB435" s="419"/>
      <c r="AC435" s="419"/>
      <c r="AD435" s="421"/>
      <c r="AE435" s="421"/>
      <c r="AF435" s="419"/>
      <c r="AG435" s="419"/>
      <c r="AH435" s="421"/>
      <c r="AI435" s="421"/>
      <c r="AJ435" s="419"/>
      <c r="AK435" s="419"/>
      <c r="AL435" s="421"/>
      <c r="AM435" s="421"/>
      <c r="AN435" s="419"/>
      <c r="AO435" s="419"/>
      <c r="AP435" s="421"/>
      <c r="AQ435" s="421"/>
      <c r="AR435" s="424">
        <f t="shared" si="169"/>
        <v>0</v>
      </c>
      <c r="AS435" s="422">
        <f t="shared" si="170"/>
        <v>0.73334595003785008</v>
      </c>
      <c r="AT435" s="425">
        <f t="shared" si="171"/>
        <v>0</v>
      </c>
      <c r="AU435" s="423">
        <f t="shared" si="172"/>
        <v>0</v>
      </c>
      <c r="AV435" s="419"/>
      <c r="AW435" s="421"/>
      <c r="AX435" s="419">
        <v>52</v>
      </c>
      <c r="AY435" s="419">
        <v>539</v>
      </c>
      <c r="AZ435" s="527">
        <v>52</v>
      </c>
      <c r="BA435" s="527">
        <v>446</v>
      </c>
      <c r="BB435" s="419">
        <v>14</v>
      </c>
      <c r="BC435" s="419">
        <v>350</v>
      </c>
      <c r="BD435" s="527">
        <v>14</v>
      </c>
      <c r="BE435" s="528">
        <v>252</v>
      </c>
      <c r="BF435" s="419">
        <v>13</v>
      </c>
      <c r="BG435" s="419">
        <v>223</v>
      </c>
      <c r="BH435" s="527">
        <v>44</v>
      </c>
      <c r="BI435" s="527">
        <v>247</v>
      </c>
      <c r="BJ435" s="419">
        <v>44</v>
      </c>
      <c r="BK435" s="419">
        <v>222</v>
      </c>
      <c r="BL435" s="527">
        <v>13</v>
      </c>
      <c r="BM435" s="527">
        <v>182</v>
      </c>
      <c r="BN435" s="419">
        <v>11</v>
      </c>
      <c r="BO435" s="419">
        <v>109</v>
      </c>
      <c r="BP435" s="527">
        <v>11</v>
      </c>
      <c r="BQ435" s="527">
        <v>99</v>
      </c>
      <c r="BR435" s="419">
        <v>50</v>
      </c>
      <c r="BS435" s="419">
        <v>87</v>
      </c>
      <c r="BT435" s="527">
        <v>50</v>
      </c>
      <c r="BU435" s="527">
        <v>92</v>
      </c>
      <c r="BV435" s="419">
        <v>22</v>
      </c>
      <c r="BW435" s="419">
        <v>65</v>
      </c>
      <c r="BX435" s="527">
        <v>27</v>
      </c>
      <c r="BY435" s="528">
        <v>82</v>
      </c>
      <c r="BZ435" s="419">
        <v>51</v>
      </c>
      <c r="CA435" s="419">
        <v>63</v>
      </c>
      <c r="CB435" s="527">
        <v>51</v>
      </c>
      <c r="CC435" s="527">
        <v>73</v>
      </c>
      <c r="CD435" s="419">
        <v>45</v>
      </c>
      <c r="CE435" s="419">
        <v>61</v>
      </c>
      <c r="CF435" s="527">
        <v>22</v>
      </c>
      <c r="CG435" s="527">
        <v>52</v>
      </c>
      <c r="CH435" s="419">
        <v>40</v>
      </c>
      <c r="CI435" s="419">
        <v>53</v>
      </c>
      <c r="CJ435" s="527">
        <v>45</v>
      </c>
      <c r="CK435" s="527">
        <v>50</v>
      </c>
      <c r="CL435" s="419">
        <v>250</v>
      </c>
      <c r="CM435" s="527">
        <v>249</v>
      </c>
      <c r="CN435" s="424">
        <f t="shared" si="173"/>
        <v>2022</v>
      </c>
      <c r="CO435" s="424">
        <f t="shared" si="174"/>
        <v>10</v>
      </c>
      <c r="CP435" s="425">
        <f t="shared" si="175"/>
        <v>1824</v>
      </c>
      <c r="CQ435" s="425">
        <f t="shared" si="176"/>
        <v>10</v>
      </c>
      <c r="CR435" s="419">
        <v>14</v>
      </c>
      <c r="CS435" s="419">
        <v>84</v>
      </c>
      <c r="CT435" s="527">
        <v>14</v>
      </c>
      <c r="CU435" s="527">
        <v>86</v>
      </c>
      <c r="CV435" s="419">
        <v>40</v>
      </c>
      <c r="CW435" s="419">
        <v>54</v>
      </c>
      <c r="CX435" s="527">
        <v>13</v>
      </c>
      <c r="CY435" s="528">
        <v>66</v>
      </c>
      <c r="CZ435" s="419">
        <v>13</v>
      </c>
      <c r="DA435" s="419">
        <v>29</v>
      </c>
      <c r="DB435" s="527">
        <v>40</v>
      </c>
      <c r="DC435" s="529">
        <v>53</v>
      </c>
      <c r="DD435" s="419">
        <v>52</v>
      </c>
      <c r="DE435" s="419">
        <v>29</v>
      </c>
      <c r="DF435" s="527">
        <v>42</v>
      </c>
      <c r="DG435" s="527">
        <v>27</v>
      </c>
      <c r="DH435" s="419">
        <v>42</v>
      </c>
      <c r="DI435" s="419">
        <v>27</v>
      </c>
      <c r="DJ435" s="527">
        <v>26</v>
      </c>
      <c r="DK435" s="527">
        <v>24</v>
      </c>
      <c r="DL435" s="419">
        <v>26</v>
      </c>
      <c r="DM435" s="419">
        <v>18</v>
      </c>
      <c r="DN435" s="527">
        <v>11</v>
      </c>
      <c r="DO435" s="527">
        <v>17</v>
      </c>
      <c r="DP435" s="419">
        <v>27</v>
      </c>
      <c r="DQ435" s="419">
        <v>18</v>
      </c>
      <c r="DR435" s="527">
        <v>31</v>
      </c>
      <c r="DS435" s="527">
        <v>15</v>
      </c>
      <c r="DT435" s="419">
        <v>11</v>
      </c>
      <c r="DU435" s="419">
        <v>12</v>
      </c>
      <c r="DV435" s="527">
        <v>27</v>
      </c>
      <c r="DW435" s="527">
        <v>12</v>
      </c>
      <c r="DX435" s="419">
        <v>23</v>
      </c>
      <c r="DY435" s="419">
        <v>11</v>
      </c>
      <c r="DZ435" s="527">
        <v>45</v>
      </c>
      <c r="EA435" s="527">
        <v>11</v>
      </c>
      <c r="EB435" s="419">
        <v>45</v>
      </c>
      <c r="EC435" s="419">
        <v>11</v>
      </c>
      <c r="ED435" s="527">
        <v>52</v>
      </c>
      <c r="EE435" s="527">
        <v>10</v>
      </c>
      <c r="EF435" s="419">
        <v>40</v>
      </c>
      <c r="EG435" s="527">
        <v>43</v>
      </c>
      <c r="EH435" s="424">
        <f t="shared" si="177"/>
        <v>333</v>
      </c>
      <c r="EI435" s="424">
        <f t="shared" si="178"/>
        <v>10</v>
      </c>
      <c r="EJ435" s="422">
        <f t="shared" si="179"/>
        <v>0.25225225225225223</v>
      </c>
      <c r="EK435" s="425">
        <f t="shared" si="180"/>
        <v>364</v>
      </c>
      <c r="EL435" s="425">
        <f t="shared" si="181"/>
        <v>10</v>
      </c>
      <c r="EM435" s="423">
        <f t="shared" si="182"/>
        <v>0.23626373626373626</v>
      </c>
      <c r="EN435" s="424">
        <f t="shared" si="183"/>
        <v>2355</v>
      </c>
      <c r="EO435" s="425">
        <f t="shared" si="184"/>
        <v>2188</v>
      </c>
      <c r="EP435" s="419">
        <v>231</v>
      </c>
      <c r="EQ435" s="527">
        <v>232</v>
      </c>
      <c r="ER435" s="419"/>
      <c r="ES435" s="421"/>
      <c r="ET435" s="419"/>
      <c r="EU435" s="421"/>
      <c r="EV435" s="419">
        <v>130</v>
      </c>
      <c r="EW435" s="527">
        <v>109</v>
      </c>
      <c r="EX435" s="419"/>
      <c r="EY435" s="421"/>
      <c r="EZ435" s="419">
        <v>102</v>
      </c>
      <c r="FA435" s="527">
        <v>92</v>
      </c>
      <c r="FB435" s="419"/>
      <c r="FC435" s="421"/>
      <c r="FD435" s="419"/>
      <c r="FE435" s="421"/>
      <c r="FF435" s="419"/>
      <c r="FG435" s="421"/>
      <c r="FH435" s="419"/>
      <c r="FI435" s="421"/>
      <c r="FJ435" s="424">
        <f t="shared" si="185"/>
        <v>463</v>
      </c>
      <c r="FK435" s="425">
        <f t="shared" si="186"/>
        <v>433</v>
      </c>
      <c r="FL435" s="419"/>
      <c r="FM435" s="421"/>
      <c r="FN435" s="424">
        <f t="shared" si="187"/>
        <v>10568</v>
      </c>
      <c r="FO435" s="425">
        <f t="shared" si="188"/>
        <v>2621</v>
      </c>
    </row>
    <row r="436" spans="1:171" customFormat="1" ht="15" customHeight="1">
      <c r="A436" s="457" t="s">
        <v>166</v>
      </c>
      <c r="B436" s="46" t="s">
        <v>957</v>
      </c>
      <c r="C436" s="16"/>
      <c r="D436" s="44">
        <v>227216</v>
      </c>
      <c r="E436" s="44">
        <v>1</v>
      </c>
      <c r="F436" s="419"/>
      <c r="G436" s="421"/>
      <c r="H436" s="419"/>
      <c r="I436" s="421"/>
      <c r="J436" s="419"/>
      <c r="K436" s="421"/>
      <c r="L436" s="422">
        <f t="shared" si="167"/>
        <v>0</v>
      </c>
      <c r="M436" s="423">
        <f t="shared" si="168"/>
        <v>0</v>
      </c>
      <c r="N436" s="419">
        <v>7337</v>
      </c>
      <c r="O436" s="525">
        <f>0</f>
        <v>0</v>
      </c>
      <c r="P436" s="525">
        <f>0</f>
        <v>0</v>
      </c>
      <c r="Q436" s="525">
        <f>0</f>
        <v>0</v>
      </c>
      <c r="R436" s="424">
        <f t="shared" si="165"/>
        <v>0</v>
      </c>
      <c r="S436" s="434"/>
      <c r="T436" s="526">
        <f>0</f>
        <v>0</v>
      </c>
      <c r="U436" s="526">
        <f>0</f>
        <v>0</v>
      </c>
      <c r="V436" s="526">
        <f>0</f>
        <v>0</v>
      </c>
      <c r="W436" s="425">
        <f t="shared" si="166"/>
        <v>0</v>
      </c>
      <c r="X436" s="419"/>
      <c r="Y436" s="419"/>
      <c r="Z436" s="421"/>
      <c r="AA436" s="421"/>
      <c r="AB436" s="419"/>
      <c r="AC436" s="419"/>
      <c r="AD436" s="421"/>
      <c r="AE436" s="421"/>
      <c r="AF436" s="419"/>
      <c r="AG436" s="419"/>
      <c r="AH436" s="421"/>
      <c r="AI436" s="421"/>
      <c r="AJ436" s="419"/>
      <c r="AK436" s="419"/>
      <c r="AL436" s="421"/>
      <c r="AM436" s="421"/>
      <c r="AN436" s="419"/>
      <c r="AO436" s="419"/>
      <c r="AP436" s="421"/>
      <c r="AQ436" s="421"/>
      <c r="AR436" s="424">
        <f t="shared" si="169"/>
        <v>0</v>
      </c>
      <c r="AS436" s="422">
        <f t="shared" si="170"/>
        <v>0.77582742941736282</v>
      </c>
      <c r="AT436" s="425">
        <f t="shared" si="171"/>
        <v>0</v>
      </c>
      <c r="AU436" s="423">
        <f t="shared" si="172"/>
        <v>0</v>
      </c>
      <c r="AV436" s="419"/>
      <c r="AW436" s="421"/>
      <c r="AX436" s="419">
        <v>13</v>
      </c>
      <c r="AY436" s="419">
        <v>522</v>
      </c>
      <c r="AZ436" s="527">
        <v>13</v>
      </c>
      <c r="BA436" s="527">
        <v>444</v>
      </c>
      <c r="BB436" s="419">
        <v>52</v>
      </c>
      <c r="BC436" s="419">
        <v>312</v>
      </c>
      <c r="BD436" s="527">
        <v>52</v>
      </c>
      <c r="BE436" s="527">
        <v>372</v>
      </c>
      <c r="BF436" s="419">
        <v>25</v>
      </c>
      <c r="BG436" s="419">
        <v>275</v>
      </c>
      <c r="BH436" s="527">
        <v>25</v>
      </c>
      <c r="BI436" s="527">
        <v>243</v>
      </c>
      <c r="BJ436" s="419">
        <v>11</v>
      </c>
      <c r="BK436" s="419">
        <v>109</v>
      </c>
      <c r="BL436" s="527">
        <v>50</v>
      </c>
      <c r="BM436" s="527">
        <v>121</v>
      </c>
      <c r="BN436" s="419">
        <v>50</v>
      </c>
      <c r="BO436" s="419">
        <v>90</v>
      </c>
      <c r="BP436" s="527">
        <v>11</v>
      </c>
      <c r="BQ436" s="527">
        <v>108</v>
      </c>
      <c r="BR436" s="419">
        <v>51</v>
      </c>
      <c r="BS436" s="419">
        <v>84</v>
      </c>
      <c r="BT436" s="527">
        <v>51</v>
      </c>
      <c r="BU436" s="528">
        <v>101</v>
      </c>
      <c r="BV436" s="419">
        <v>14</v>
      </c>
      <c r="BW436" s="419">
        <v>73</v>
      </c>
      <c r="BX436" s="527">
        <v>44</v>
      </c>
      <c r="BY436" s="527">
        <v>83</v>
      </c>
      <c r="BZ436" s="419">
        <v>42</v>
      </c>
      <c r="CA436" s="419">
        <v>51</v>
      </c>
      <c r="CB436" s="527">
        <v>42</v>
      </c>
      <c r="CC436" s="527">
        <v>61</v>
      </c>
      <c r="CD436" s="419">
        <v>44</v>
      </c>
      <c r="CE436" s="419">
        <v>49</v>
      </c>
      <c r="CF436" s="527">
        <v>14</v>
      </c>
      <c r="CG436" s="527">
        <v>54</v>
      </c>
      <c r="CH436" s="419">
        <v>45</v>
      </c>
      <c r="CI436" s="419">
        <v>35</v>
      </c>
      <c r="CJ436" s="527">
        <v>27</v>
      </c>
      <c r="CK436" s="528">
        <v>47</v>
      </c>
      <c r="CL436" s="419">
        <v>208</v>
      </c>
      <c r="CM436" s="528">
        <v>296</v>
      </c>
      <c r="CN436" s="424">
        <f t="shared" si="173"/>
        <v>1808</v>
      </c>
      <c r="CO436" s="424">
        <f t="shared" si="174"/>
        <v>10</v>
      </c>
      <c r="CP436" s="425">
        <f t="shared" si="175"/>
        <v>1930</v>
      </c>
      <c r="CQ436" s="425">
        <f t="shared" si="176"/>
        <v>10</v>
      </c>
      <c r="CR436" s="419">
        <v>13</v>
      </c>
      <c r="CS436" s="419">
        <v>70</v>
      </c>
      <c r="CT436" s="527">
        <v>13</v>
      </c>
      <c r="CU436" s="527">
        <v>72</v>
      </c>
      <c r="CV436" s="419">
        <v>50</v>
      </c>
      <c r="CW436" s="419">
        <v>58</v>
      </c>
      <c r="CX436" s="527">
        <v>50</v>
      </c>
      <c r="CY436" s="527">
        <v>55</v>
      </c>
      <c r="CZ436" s="419">
        <v>11</v>
      </c>
      <c r="DA436" s="419">
        <v>29</v>
      </c>
      <c r="DB436" s="527">
        <v>42</v>
      </c>
      <c r="DC436" s="527">
        <v>29</v>
      </c>
      <c r="DD436" s="419">
        <v>42</v>
      </c>
      <c r="DE436" s="419">
        <v>27</v>
      </c>
      <c r="DF436" s="527">
        <v>11</v>
      </c>
      <c r="DG436" s="527">
        <v>24</v>
      </c>
      <c r="DH436" s="419">
        <v>52</v>
      </c>
      <c r="DI436" s="419">
        <v>26</v>
      </c>
      <c r="DJ436" s="527">
        <v>52</v>
      </c>
      <c r="DK436" s="527">
        <v>23</v>
      </c>
      <c r="DL436" s="419">
        <v>40</v>
      </c>
      <c r="DM436" s="419">
        <v>23</v>
      </c>
      <c r="DN436" s="527">
        <v>40</v>
      </c>
      <c r="DO436" s="527">
        <v>19</v>
      </c>
      <c r="DP436" s="419">
        <v>14</v>
      </c>
      <c r="DQ436" s="419">
        <v>19</v>
      </c>
      <c r="DR436" s="527">
        <v>14</v>
      </c>
      <c r="DS436" s="528">
        <v>15</v>
      </c>
      <c r="DT436" s="419">
        <v>26</v>
      </c>
      <c r="DU436" s="419">
        <v>10</v>
      </c>
      <c r="DV436" s="527">
        <v>45</v>
      </c>
      <c r="DW436" s="528">
        <v>14</v>
      </c>
      <c r="DX436" s="419">
        <v>27</v>
      </c>
      <c r="DY436" s="419">
        <v>9</v>
      </c>
      <c r="DZ436" s="527">
        <v>44</v>
      </c>
      <c r="EA436" s="528">
        <v>13</v>
      </c>
      <c r="EB436" s="419">
        <v>23</v>
      </c>
      <c r="EC436" s="419">
        <v>8</v>
      </c>
      <c r="ED436" s="527">
        <v>23</v>
      </c>
      <c r="EE436" s="528">
        <v>12</v>
      </c>
      <c r="EF436" s="419">
        <v>23</v>
      </c>
      <c r="EG436" s="529">
        <v>35</v>
      </c>
      <c r="EH436" s="424">
        <f t="shared" si="177"/>
        <v>302</v>
      </c>
      <c r="EI436" s="424">
        <f t="shared" si="178"/>
        <v>10</v>
      </c>
      <c r="EJ436" s="422">
        <f t="shared" si="179"/>
        <v>0.23178807947019867</v>
      </c>
      <c r="EK436" s="425">
        <f t="shared" si="180"/>
        <v>311</v>
      </c>
      <c r="EL436" s="425">
        <f t="shared" si="181"/>
        <v>10</v>
      </c>
      <c r="EM436" s="423">
        <f t="shared" si="182"/>
        <v>0.23151125401929259</v>
      </c>
      <c r="EN436" s="424">
        <f t="shared" si="183"/>
        <v>2110</v>
      </c>
      <c r="EO436" s="425">
        <f t="shared" si="184"/>
        <v>2241</v>
      </c>
      <c r="EP436" s="419"/>
      <c r="EQ436" s="421"/>
      <c r="ER436" s="419"/>
      <c r="ES436" s="421"/>
      <c r="ET436" s="419"/>
      <c r="EU436" s="421"/>
      <c r="EV436" s="419"/>
      <c r="EW436" s="421"/>
      <c r="EX436" s="419"/>
      <c r="EY436" s="421"/>
      <c r="EZ436" s="419"/>
      <c r="FA436" s="421"/>
      <c r="FB436" s="419"/>
      <c r="FC436" s="421"/>
      <c r="FD436" s="419"/>
      <c r="FE436" s="421"/>
      <c r="FF436" s="419"/>
      <c r="FG436" s="421"/>
      <c r="FH436" s="419">
        <v>10</v>
      </c>
      <c r="FI436" s="421">
        <v>11</v>
      </c>
      <c r="FJ436" s="424">
        <f t="shared" si="185"/>
        <v>10</v>
      </c>
      <c r="FK436" s="425">
        <f t="shared" si="186"/>
        <v>11</v>
      </c>
      <c r="FL436" s="419"/>
      <c r="FM436" s="421"/>
      <c r="FN436" s="424">
        <f t="shared" si="187"/>
        <v>9457</v>
      </c>
      <c r="FO436" s="425">
        <f t="shared" si="188"/>
        <v>2252</v>
      </c>
    </row>
    <row r="437" spans="1:171" customFormat="1" ht="15" customHeight="1">
      <c r="A437" s="457" t="s">
        <v>166</v>
      </c>
      <c r="B437" s="46" t="s">
        <v>958</v>
      </c>
      <c r="C437" s="16"/>
      <c r="D437" s="44">
        <v>228769</v>
      </c>
      <c r="E437" s="44">
        <v>1</v>
      </c>
      <c r="F437" s="419"/>
      <c r="G437" s="421"/>
      <c r="H437" s="419"/>
      <c r="I437" s="421"/>
      <c r="J437" s="419"/>
      <c r="K437" s="421"/>
      <c r="L437" s="422">
        <f t="shared" si="167"/>
        <v>0</v>
      </c>
      <c r="M437" s="423">
        <f t="shared" si="168"/>
        <v>0</v>
      </c>
      <c r="N437" s="419">
        <v>8866</v>
      </c>
      <c r="O437" s="525">
        <f>0</f>
        <v>0</v>
      </c>
      <c r="P437" s="525">
        <f>0</f>
        <v>0</v>
      </c>
      <c r="Q437" s="525">
        <f>0</f>
        <v>0</v>
      </c>
      <c r="R437" s="424">
        <f t="shared" si="165"/>
        <v>0</v>
      </c>
      <c r="S437" s="434"/>
      <c r="T437" s="526">
        <f>0</f>
        <v>0</v>
      </c>
      <c r="U437" s="526">
        <f>0</f>
        <v>0</v>
      </c>
      <c r="V437" s="526">
        <f>0</f>
        <v>0</v>
      </c>
      <c r="W437" s="425">
        <f t="shared" si="166"/>
        <v>0</v>
      </c>
      <c r="X437" s="419"/>
      <c r="Y437" s="419"/>
      <c r="Z437" s="421"/>
      <c r="AA437" s="421"/>
      <c r="AB437" s="419"/>
      <c r="AC437" s="419"/>
      <c r="AD437" s="421"/>
      <c r="AE437" s="421"/>
      <c r="AF437" s="419"/>
      <c r="AG437" s="419"/>
      <c r="AH437" s="421"/>
      <c r="AI437" s="421"/>
      <c r="AJ437" s="419"/>
      <c r="AK437" s="419"/>
      <c r="AL437" s="421"/>
      <c r="AM437" s="421"/>
      <c r="AN437" s="419"/>
      <c r="AO437" s="419"/>
      <c r="AP437" s="421"/>
      <c r="AQ437" s="421"/>
      <c r="AR437" s="424">
        <f t="shared" si="169"/>
        <v>0</v>
      </c>
      <c r="AS437" s="422">
        <f t="shared" si="170"/>
        <v>0.64691718350966798</v>
      </c>
      <c r="AT437" s="425">
        <f t="shared" si="171"/>
        <v>0</v>
      </c>
      <c r="AU437" s="423">
        <f t="shared" si="172"/>
        <v>0</v>
      </c>
      <c r="AV437" s="419"/>
      <c r="AW437" s="421"/>
      <c r="AX437" s="419">
        <v>51</v>
      </c>
      <c r="AY437" s="419">
        <v>1335</v>
      </c>
      <c r="AZ437" s="527">
        <v>51</v>
      </c>
      <c r="BA437" s="527">
        <v>1549</v>
      </c>
      <c r="BB437" s="419">
        <v>44</v>
      </c>
      <c r="BC437" s="419">
        <v>745</v>
      </c>
      <c r="BD437" s="527">
        <v>13</v>
      </c>
      <c r="BE437" s="527">
        <v>735</v>
      </c>
      <c r="BF437" s="419">
        <v>13</v>
      </c>
      <c r="BG437" s="419">
        <v>706</v>
      </c>
      <c r="BH437" s="527">
        <v>44</v>
      </c>
      <c r="BI437" s="527">
        <v>722</v>
      </c>
      <c r="BJ437" s="419">
        <v>14</v>
      </c>
      <c r="BK437" s="419">
        <v>613</v>
      </c>
      <c r="BL437" s="527">
        <v>52</v>
      </c>
      <c r="BM437" s="527">
        <v>681</v>
      </c>
      <c r="BN437" s="419">
        <v>52</v>
      </c>
      <c r="BO437" s="419">
        <v>527</v>
      </c>
      <c r="BP437" s="527">
        <v>14</v>
      </c>
      <c r="BQ437" s="527">
        <v>551</v>
      </c>
      <c r="BR437" s="419">
        <v>11</v>
      </c>
      <c r="BS437" s="419">
        <v>374</v>
      </c>
      <c r="BT437" s="527">
        <v>11</v>
      </c>
      <c r="BU437" s="527">
        <v>417</v>
      </c>
      <c r="BV437" s="419">
        <v>4</v>
      </c>
      <c r="BW437" s="419">
        <v>64</v>
      </c>
      <c r="BX437" s="527">
        <v>4</v>
      </c>
      <c r="BY437" s="528">
        <v>78</v>
      </c>
      <c r="BZ437" s="419">
        <v>43</v>
      </c>
      <c r="CA437" s="419">
        <v>43</v>
      </c>
      <c r="CB437" s="527">
        <v>43</v>
      </c>
      <c r="CC437" s="528">
        <v>29</v>
      </c>
      <c r="CD437" s="419">
        <v>15</v>
      </c>
      <c r="CE437" s="419">
        <v>42</v>
      </c>
      <c r="CF437" s="527">
        <v>27</v>
      </c>
      <c r="CG437" s="528">
        <v>27</v>
      </c>
      <c r="CH437" s="419">
        <v>42</v>
      </c>
      <c r="CI437" s="419">
        <v>25</v>
      </c>
      <c r="CJ437" s="527">
        <v>45</v>
      </c>
      <c r="CK437" s="527">
        <v>24</v>
      </c>
      <c r="CL437" s="419">
        <v>140</v>
      </c>
      <c r="CM437" s="527">
        <v>158</v>
      </c>
      <c r="CN437" s="424">
        <f t="shared" si="173"/>
        <v>4614</v>
      </c>
      <c r="CO437" s="424">
        <f t="shared" si="174"/>
        <v>10</v>
      </c>
      <c r="CP437" s="425">
        <f t="shared" si="175"/>
        <v>4971</v>
      </c>
      <c r="CQ437" s="425">
        <f t="shared" si="176"/>
        <v>10</v>
      </c>
      <c r="CR437" s="419">
        <v>14</v>
      </c>
      <c r="CS437" s="419">
        <v>83</v>
      </c>
      <c r="CT437" s="527">
        <v>14</v>
      </c>
      <c r="CU437" s="527">
        <v>91</v>
      </c>
      <c r="CV437" s="419">
        <v>51</v>
      </c>
      <c r="CW437" s="419">
        <v>26</v>
      </c>
      <c r="CX437" s="527">
        <v>51</v>
      </c>
      <c r="CY437" s="530">
        <v>54</v>
      </c>
      <c r="CZ437" s="419">
        <v>40</v>
      </c>
      <c r="DA437" s="419">
        <v>25</v>
      </c>
      <c r="DB437" s="527">
        <v>44</v>
      </c>
      <c r="DC437" s="527">
        <v>26</v>
      </c>
      <c r="DD437" s="419">
        <v>44</v>
      </c>
      <c r="DE437" s="419">
        <v>18</v>
      </c>
      <c r="DF437" s="527">
        <v>40</v>
      </c>
      <c r="DG437" s="527">
        <v>19</v>
      </c>
      <c r="DH437" s="419">
        <v>13</v>
      </c>
      <c r="DI437" s="419">
        <v>13</v>
      </c>
      <c r="DJ437" s="527">
        <v>11</v>
      </c>
      <c r="DK437" s="528">
        <v>17</v>
      </c>
      <c r="DL437" s="419">
        <v>52</v>
      </c>
      <c r="DM437" s="419">
        <v>12</v>
      </c>
      <c r="DN437" s="527">
        <v>27</v>
      </c>
      <c r="DO437" s="528">
        <v>15</v>
      </c>
      <c r="DP437" s="419">
        <v>11</v>
      </c>
      <c r="DQ437" s="419">
        <v>11</v>
      </c>
      <c r="DR437" s="527">
        <v>52</v>
      </c>
      <c r="DS437" s="528">
        <v>15</v>
      </c>
      <c r="DT437" s="419">
        <v>3</v>
      </c>
      <c r="DU437" s="419">
        <v>7</v>
      </c>
      <c r="DV437" s="527">
        <v>26</v>
      </c>
      <c r="DW437" s="528">
        <v>10</v>
      </c>
      <c r="DX437" s="419">
        <v>26</v>
      </c>
      <c r="DY437" s="419">
        <v>7</v>
      </c>
      <c r="DZ437" s="527">
        <v>31</v>
      </c>
      <c r="EA437" s="528">
        <v>9</v>
      </c>
      <c r="EB437" s="419">
        <v>23</v>
      </c>
      <c r="EC437" s="419">
        <v>6</v>
      </c>
      <c r="ED437" s="527">
        <v>13</v>
      </c>
      <c r="EE437" s="528">
        <v>8</v>
      </c>
      <c r="EF437" s="419">
        <v>17</v>
      </c>
      <c r="EG437" s="527">
        <v>16</v>
      </c>
      <c r="EH437" s="424">
        <f t="shared" si="177"/>
        <v>225</v>
      </c>
      <c r="EI437" s="424">
        <f t="shared" si="178"/>
        <v>10</v>
      </c>
      <c r="EJ437" s="422">
        <f t="shared" si="179"/>
        <v>0.36888888888888888</v>
      </c>
      <c r="EK437" s="425">
        <f t="shared" si="180"/>
        <v>280</v>
      </c>
      <c r="EL437" s="425">
        <f t="shared" si="181"/>
        <v>10</v>
      </c>
      <c r="EM437" s="423">
        <f t="shared" si="182"/>
        <v>0.32500000000000001</v>
      </c>
      <c r="EN437" s="424">
        <f t="shared" si="183"/>
        <v>4839</v>
      </c>
      <c r="EO437" s="425">
        <f t="shared" si="184"/>
        <v>5251</v>
      </c>
      <c r="EP437" s="419"/>
      <c r="EQ437" s="421"/>
      <c r="ER437" s="419"/>
      <c r="ES437" s="421"/>
      <c r="ET437" s="419"/>
      <c r="EU437" s="421"/>
      <c r="EV437" s="419"/>
      <c r="EW437" s="421"/>
      <c r="EX437" s="419"/>
      <c r="EY437" s="421"/>
      <c r="EZ437" s="419"/>
      <c r="FA437" s="421"/>
      <c r="FB437" s="419"/>
      <c r="FC437" s="421"/>
      <c r="FD437" s="419"/>
      <c r="FE437" s="421"/>
      <c r="FF437" s="419"/>
      <c r="FG437" s="421"/>
      <c r="FH437" s="419"/>
      <c r="FI437" s="421"/>
      <c r="FJ437" s="424">
        <f t="shared" si="185"/>
        <v>0</v>
      </c>
      <c r="FK437" s="425">
        <f t="shared" si="186"/>
        <v>0</v>
      </c>
      <c r="FL437" s="419"/>
      <c r="FM437" s="421"/>
      <c r="FN437" s="424">
        <f t="shared" si="187"/>
        <v>13705</v>
      </c>
      <c r="FO437" s="425">
        <f t="shared" si="188"/>
        <v>5251</v>
      </c>
    </row>
    <row r="438" spans="1:171" customFormat="1" ht="15" customHeight="1">
      <c r="A438" s="457" t="s">
        <v>166</v>
      </c>
      <c r="B438" s="46" t="s">
        <v>959</v>
      </c>
      <c r="C438" s="16"/>
      <c r="D438" s="44">
        <v>228778</v>
      </c>
      <c r="E438" s="44">
        <v>1</v>
      </c>
      <c r="F438" s="419"/>
      <c r="G438" s="421"/>
      <c r="H438" s="419"/>
      <c r="I438" s="421"/>
      <c r="J438" s="419"/>
      <c r="K438" s="421"/>
      <c r="L438" s="422">
        <f t="shared" si="167"/>
        <v>0</v>
      </c>
      <c r="M438" s="423">
        <f t="shared" si="168"/>
        <v>0</v>
      </c>
      <c r="N438" s="419">
        <v>10114</v>
      </c>
      <c r="O438" s="525">
        <f>0</f>
        <v>0</v>
      </c>
      <c r="P438" s="525">
        <f>0</f>
        <v>0</v>
      </c>
      <c r="Q438" s="525">
        <f>0</f>
        <v>0</v>
      </c>
      <c r="R438" s="424">
        <f t="shared" si="165"/>
        <v>0</v>
      </c>
      <c r="S438" s="434"/>
      <c r="T438" s="526">
        <f>0</f>
        <v>0</v>
      </c>
      <c r="U438" s="526">
        <f>0</f>
        <v>0</v>
      </c>
      <c r="V438" s="526">
        <f>0</f>
        <v>0</v>
      </c>
      <c r="W438" s="425">
        <f t="shared" si="166"/>
        <v>0</v>
      </c>
      <c r="X438" s="419"/>
      <c r="Y438" s="419"/>
      <c r="Z438" s="421"/>
      <c r="AA438" s="421"/>
      <c r="AB438" s="419"/>
      <c r="AC438" s="419"/>
      <c r="AD438" s="421"/>
      <c r="AE438" s="421"/>
      <c r="AF438" s="419"/>
      <c r="AG438" s="419"/>
      <c r="AH438" s="421"/>
      <c r="AI438" s="421"/>
      <c r="AJ438" s="419"/>
      <c r="AK438" s="419"/>
      <c r="AL438" s="421"/>
      <c r="AM438" s="421"/>
      <c r="AN438" s="419"/>
      <c r="AO438" s="419"/>
      <c r="AP438" s="421"/>
      <c r="AQ438" s="421"/>
      <c r="AR438" s="424">
        <f t="shared" si="169"/>
        <v>0</v>
      </c>
      <c r="AS438" s="422">
        <f t="shared" si="170"/>
        <v>0.70377844269709833</v>
      </c>
      <c r="AT438" s="425">
        <f t="shared" si="171"/>
        <v>0</v>
      </c>
      <c r="AU438" s="423">
        <f t="shared" si="172"/>
        <v>0</v>
      </c>
      <c r="AV438" s="419"/>
      <c r="AW438" s="421"/>
      <c r="AX438" s="419">
        <v>52</v>
      </c>
      <c r="AY438" s="419">
        <v>1006</v>
      </c>
      <c r="AZ438" s="527">
        <v>52</v>
      </c>
      <c r="BA438" s="527">
        <v>1073</v>
      </c>
      <c r="BB438" s="419">
        <v>14</v>
      </c>
      <c r="BC438" s="419">
        <v>387</v>
      </c>
      <c r="BD438" s="527">
        <v>14</v>
      </c>
      <c r="BE438" s="527">
        <v>384</v>
      </c>
      <c r="BF438" s="419">
        <v>44</v>
      </c>
      <c r="BG438" s="419">
        <v>252</v>
      </c>
      <c r="BH438" s="527">
        <v>44</v>
      </c>
      <c r="BI438" s="527">
        <v>270</v>
      </c>
      <c r="BJ438" s="419">
        <v>13</v>
      </c>
      <c r="BK438" s="419">
        <v>200</v>
      </c>
      <c r="BL438" s="527">
        <v>11</v>
      </c>
      <c r="BM438" s="527">
        <v>237</v>
      </c>
      <c r="BN438" s="419">
        <v>11</v>
      </c>
      <c r="BO438" s="419">
        <v>195</v>
      </c>
      <c r="BP438" s="527">
        <v>13</v>
      </c>
      <c r="BQ438" s="527">
        <v>165</v>
      </c>
      <c r="BR438" s="419">
        <v>45</v>
      </c>
      <c r="BS438" s="419">
        <v>140</v>
      </c>
      <c r="BT438" s="527">
        <v>51</v>
      </c>
      <c r="BU438" s="527">
        <v>164</v>
      </c>
      <c r="BV438" s="419">
        <v>51</v>
      </c>
      <c r="BW438" s="419">
        <v>106</v>
      </c>
      <c r="BX438" s="527">
        <v>45</v>
      </c>
      <c r="BY438" s="527">
        <v>126</v>
      </c>
      <c r="BZ438" s="419">
        <v>4</v>
      </c>
      <c r="CA438" s="419">
        <v>101</v>
      </c>
      <c r="CB438" s="527">
        <v>4</v>
      </c>
      <c r="CC438" s="527">
        <v>104</v>
      </c>
      <c r="CD438" s="419">
        <v>50</v>
      </c>
      <c r="CE438" s="419">
        <v>97</v>
      </c>
      <c r="CF438" s="527">
        <v>27</v>
      </c>
      <c r="CG438" s="527">
        <v>86</v>
      </c>
      <c r="CH438" s="419">
        <v>9</v>
      </c>
      <c r="CI438" s="419">
        <v>81</v>
      </c>
      <c r="CJ438" s="527">
        <v>50</v>
      </c>
      <c r="CK438" s="527">
        <v>86</v>
      </c>
      <c r="CL438" s="419">
        <v>404</v>
      </c>
      <c r="CM438" s="527">
        <v>423</v>
      </c>
      <c r="CN438" s="424">
        <f t="shared" si="173"/>
        <v>2969</v>
      </c>
      <c r="CO438" s="424">
        <f t="shared" si="174"/>
        <v>10</v>
      </c>
      <c r="CP438" s="425">
        <f t="shared" si="175"/>
        <v>3118</v>
      </c>
      <c r="CQ438" s="425">
        <f t="shared" si="176"/>
        <v>10</v>
      </c>
      <c r="CR438" s="419">
        <v>14</v>
      </c>
      <c r="CS438" s="419">
        <v>230</v>
      </c>
      <c r="CT438" s="527">
        <v>14</v>
      </c>
      <c r="CU438" s="527">
        <v>220</v>
      </c>
      <c r="CV438" s="419">
        <v>40</v>
      </c>
      <c r="CW438" s="419">
        <v>89</v>
      </c>
      <c r="CX438" s="527">
        <v>40</v>
      </c>
      <c r="CY438" s="527">
        <v>74</v>
      </c>
      <c r="CZ438" s="419">
        <v>13</v>
      </c>
      <c r="DA438" s="419">
        <v>72</v>
      </c>
      <c r="DB438" s="527">
        <v>13</v>
      </c>
      <c r="DC438" s="527">
        <v>73</v>
      </c>
      <c r="DD438" s="419">
        <v>50</v>
      </c>
      <c r="DE438" s="419">
        <v>58</v>
      </c>
      <c r="DF438" s="527">
        <v>16</v>
      </c>
      <c r="DG438" s="528">
        <v>44</v>
      </c>
      <c r="DH438" s="419">
        <v>26</v>
      </c>
      <c r="DI438" s="419">
        <v>55</v>
      </c>
      <c r="DJ438" s="527">
        <v>51</v>
      </c>
      <c r="DK438" s="528">
        <v>43</v>
      </c>
      <c r="DL438" s="419">
        <v>51</v>
      </c>
      <c r="DM438" s="419">
        <v>47</v>
      </c>
      <c r="DN438" s="527">
        <v>45</v>
      </c>
      <c r="DO438" s="527">
        <v>41</v>
      </c>
      <c r="DP438" s="419">
        <v>42</v>
      </c>
      <c r="DQ438" s="419">
        <v>44</v>
      </c>
      <c r="DR438" s="527">
        <v>50</v>
      </c>
      <c r="DS438" s="527">
        <v>41</v>
      </c>
      <c r="DT438" s="419">
        <v>45</v>
      </c>
      <c r="DU438" s="419">
        <v>41</v>
      </c>
      <c r="DV438" s="527">
        <v>42</v>
      </c>
      <c r="DW438" s="527">
        <v>40</v>
      </c>
      <c r="DX438" s="419">
        <v>16</v>
      </c>
      <c r="DY438" s="419">
        <v>39</v>
      </c>
      <c r="DZ438" s="527">
        <v>26</v>
      </c>
      <c r="EA438" s="527">
        <v>33</v>
      </c>
      <c r="EB438" s="419">
        <v>9</v>
      </c>
      <c r="EC438" s="419">
        <v>26</v>
      </c>
      <c r="ED438" s="527">
        <v>23</v>
      </c>
      <c r="EE438" s="527">
        <v>31</v>
      </c>
      <c r="EF438" s="419">
        <v>154</v>
      </c>
      <c r="EG438" s="527">
        <v>173</v>
      </c>
      <c r="EH438" s="424">
        <f t="shared" si="177"/>
        <v>855</v>
      </c>
      <c r="EI438" s="424">
        <f t="shared" si="178"/>
        <v>10</v>
      </c>
      <c r="EJ438" s="422">
        <f t="shared" si="179"/>
        <v>0.26900584795321636</v>
      </c>
      <c r="EK438" s="425">
        <f t="shared" si="180"/>
        <v>813</v>
      </c>
      <c r="EL438" s="425">
        <f t="shared" si="181"/>
        <v>10</v>
      </c>
      <c r="EM438" s="423">
        <f t="shared" si="182"/>
        <v>0.27060270602706027</v>
      </c>
      <c r="EN438" s="424">
        <f t="shared" si="183"/>
        <v>3824</v>
      </c>
      <c r="EO438" s="425">
        <f t="shared" si="184"/>
        <v>3931</v>
      </c>
      <c r="EP438" s="419">
        <v>297</v>
      </c>
      <c r="EQ438" s="527">
        <v>322</v>
      </c>
      <c r="ER438" s="419"/>
      <c r="ES438" s="421"/>
      <c r="ET438" s="419"/>
      <c r="EU438" s="421"/>
      <c r="EV438" s="419">
        <v>126</v>
      </c>
      <c r="EW438" s="527">
        <v>117</v>
      </c>
      <c r="EX438" s="419"/>
      <c r="EY438" s="421"/>
      <c r="EZ438" s="419"/>
      <c r="FA438" s="421"/>
      <c r="FB438" s="419"/>
      <c r="FC438" s="421"/>
      <c r="FD438" s="419"/>
      <c r="FE438" s="421"/>
      <c r="FF438" s="419"/>
      <c r="FG438" s="421"/>
      <c r="FH438" s="419">
        <v>10</v>
      </c>
      <c r="FI438" s="421">
        <v>10</v>
      </c>
      <c r="FJ438" s="424">
        <f t="shared" si="185"/>
        <v>433</v>
      </c>
      <c r="FK438" s="425">
        <f t="shared" si="186"/>
        <v>449</v>
      </c>
      <c r="FL438" s="419"/>
      <c r="FM438" s="421"/>
      <c r="FN438" s="424">
        <f t="shared" si="187"/>
        <v>14371</v>
      </c>
      <c r="FO438" s="425">
        <f t="shared" si="188"/>
        <v>4380</v>
      </c>
    </row>
    <row r="439" spans="1:171" customFormat="1" ht="15" customHeight="1">
      <c r="A439" s="457" t="s">
        <v>166</v>
      </c>
      <c r="B439" s="46" t="s">
        <v>960</v>
      </c>
      <c r="C439" s="16"/>
      <c r="D439" s="44">
        <v>228787</v>
      </c>
      <c r="E439" s="44">
        <v>1</v>
      </c>
      <c r="F439" s="419"/>
      <c r="G439" s="421"/>
      <c r="H439" s="419"/>
      <c r="I439" s="421"/>
      <c r="J439" s="419"/>
      <c r="K439" s="421"/>
      <c r="L439" s="422">
        <f t="shared" si="167"/>
        <v>0</v>
      </c>
      <c r="M439" s="423">
        <f t="shared" si="168"/>
        <v>0</v>
      </c>
      <c r="N439" s="419">
        <v>4215</v>
      </c>
      <c r="O439" s="525">
        <f>0</f>
        <v>0</v>
      </c>
      <c r="P439" s="525">
        <f>0</f>
        <v>0</v>
      </c>
      <c r="Q439" s="525">
        <f>0</f>
        <v>0</v>
      </c>
      <c r="R439" s="424">
        <f t="shared" si="165"/>
        <v>0</v>
      </c>
      <c r="S439" s="434"/>
      <c r="T439" s="526">
        <f>0</f>
        <v>0</v>
      </c>
      <c r="U439" s="526">
        <f>0</f>
        <v>0</v>
      </c>
      <c r="V439" s="526">
        <f>0</f>
        <v>0</v>
      </c>
      <c r="W439" s="425">
        <f t="shared" si="166"/>
        <v>0</v>
      </c>
      <c r="X439" s="419"/>
      <c r="Y439" s="419"/>
      <c r="Z439" s="421"/>
      <c r="AA439" s="421"/>
      <c r="AB439" s="419"/>
      <c r="AC439" s="419"/>
      <c r="AD439" s="421"/>
      <c r="AE439" s="421"/>
      <c r="AF439" s="419"/>
      <c r="AG439" s="419"/>
      <c r="AH439" s="421"/>
      <c r="AI439" s="421"/>
      <c r="AJ439" s="419"/>
      <c r="AK439" s="419"/>
      <c r="AL439" s="421"/>
      <c r="AM439" s="421"/>
      <c r="AN439" s="419"/>
      <c r="AO439" s="419"/>
      <c r="AP439" s="421"/>
      <c r="AQ439" s="421"/>
      <c r="AR439" s="424">
        <f t="shared" si="169"/>
        <v>0</v>
      </c>
      <c r="AS439" s="422">
        <f t="shared" si="170"/>
        <v>0.53300455235204858</v>
      </c>
      <c r="AT439" s="425">
        <f t="shared" si="171"/>
        <v>0</v>
      </c>
      <c r="AU439" s="423">
        <f t="shared" si="172"/>
        <v>0</v>
      </c>
      <c r="AV439" s="419"/>
      <c r="AW439" s="421"/>
      <c r="AX439" s="419">
        <v>52</v>
      </c>
      <c r="AY439" s="419">
        <v>1528</v>
      </c>
      <c r="AZ439" s="527">
        <v>52</v>
      </c>
      <c r="BA439" s="527">
        <v>1589</v>
      </c>
      <c r="BB439" s="419">
        <v>11</v>
      </c>
      <c r="BC439" s="419">
        <v>850</v>
      </c>
      <c r="BD439" s="527">
        <v>11</v>
      </c>
      <c r="BE439" s="527">
        <v>908</v>
      </c>
      <c r="BF439" s="419">
        <v>14</v>
      </c>
      <c r="BG439" s="419">
        <v>338</v>
      </c>
      <c r="BH439" s="527">
        <v>14</v>
      </c>
      <c r="BI439" s="527">
        <v>297</v>
      </c>
      <c r="BJ439" s="419">
        <v>27</v>
      </c>
      <c r="BK439" s="419">
        <v>209</v>
      </c>
      <c r="BL439" s="527">
        <v>51</v>
      </c>
      <c r="BM439" s="527">
        <v>204</v>
      </c>
      <c r="BN439" s="419">
        <v>51</v>
      </c>
      <c r="BO439" s="419">
        <v>205</v>
      </c>
      <c r="BP439" s="527">
        <v>27</v>
      </c>
      <c r="BQ439" s="527">
        <v>183</v>
      </c>
      <c r="BR439" s="419">
        <v>30</v>
      </c>
      <c r="BS439" s="419">
        <v>76</v>
      </c>
      <c r="BT439" s="527">
        <v>30</v>
      </c>
      <c r="BU439" s="527">
        <v>89</v>
      </c>
      <c r="BV439" s="419">
        <v>45</v>
      </c>
      <c r="BW439" s="419">
        <v>49</v>
      </c>
      <c r="BX439" s="527">
        <v>45</v>
      </c>
      <c r="BY439" s="528">
        <v>63</v>
      </c>
      <c r="BZ439" s="419">
        <v>44</v>
      </c>
      <c r="CA439" s="419">
        <v>47</v>
      </c>
      <c r="CB439" s="527">
        <v>40</v>
      </c>
      <c r="CC439" s="527">
        <v>41</v>
      </c>
      <c r="CD439" s="419">
        <v>40</v>
      </c>
      <c r="CE439" s="419">
        <v>44</v>
      </c>
      <c r="CF439" s="527">
        <v>26</v>
      </c>
      <c r="CG439" s="527">
        <v>36</v>
      </c>
      <c r="CH439" s="419">
        <v>26</v>
      </c>
      <c r="CI439" s="419">
        <v>36</v>
      </c>
      <c r="CJ439" s="527">
        <v>42</v>
      </c>
      <c r="CK439" s="527">
        <v>31</v>
      </c>
      <c r="CL439" s="419">
        <v>83</v>
      </c>
      <c r="CM439" s="527">
        <v>67</v>
      </c>
      <c r="CN439" s="424">
        <f t="shared" si="173"/>
        <v>3465</v>
      </c>
      <c r="CO439" s="424">
        <f t="shared" si="174"/>
        <v>10</v>
      </c>
      <c r="CP439" s="425">
        <f t="shared" si="175"/>
        <v>3508</v>
      </c>
      <c r="CQ439" s="425">
        <f t="shared" si="176"/>
        <v>10</v>
      </c>
      <c r="CR439" s="419">
        <v>14</v>
      </c>
      <c r="CS439" s="419">
        <v>70</v>
      </c>
      <c r="CT439" s="527">
        <v>14</v>
      </c>
      <c r="CU439" s="527">
        <v>77</v>
      </c>
      <c r="CV439" s="419">
        <v>40</v>
      </c>
      <c r="CW439" s="419">
        <v>25</v>
      </c>
      <c r="CX439" s="527">
        <v>11</v>
      </c>
      <c r="CY439" s="527">
        <v>29</v>
      </c>
      <c r="CZ439" s="419">
        <v>45</v>
      </c>
      <c r="DA439" s="419">
        <v>20</v>
      </c>
      <c r="DB439" s="527">
        <v>40</v>
      </c>
      <c r="DC439" s="528">
        <v>25</v>
      </c>
      <c r="DD439" s="419">
        <v>11</v>
      </c>
      <c r="DE439" s="419">
        <v>19</v>
      </c>
      <c r="DF439" s="527">
        <v>26</v>
      </c>
      <c r="DG439" s="527">
        <v>22</v>
      </c>
      <c r="DH439" s="419">
        <v>52</v>
      </c>
      <c r="DI439" s="419">
        <v>19</v>
      </c>
      <c r="DJ439" s="527">
        <v>45</v>
      </c>
      <c r="DK439" s="527">
        <v>19</v>
      </c>
      <c r="DL439" s="419">
        <v>24</v>
      </c>
      <c r="DM439" s="419">
        <v>16</v>
      </c>
      <c r="DN439" s="527">
        <v>24</v>
      </c>
      <c r="DO439" s="527">
        <v>17</v>
      </c>
      <c r="DP439" s="419">
        <v>26</v>
      </c>
      <c r="DQ439" s="419">
        <v>12</v>
      </c>
      <c r="DR439" s="527">
        <v>27</v>
      </c>
      <c r="DS439" s="528">
        <v>15</v>
      </c>
      <c r="DT439" s="419">
        <v>27</v>
      </c>
      <c r="DU439" s="419">
        <v>12</v>
      </c>
      <c r="DV439" s="527">
        <v>44</v>
      </c>
      <c r="DW439" s="528">
        <v>15</v>
      </c>
      <c r="DX439" s="419">
        <v>44</v>
      </c>
      <c r="DY439" s="419">
        <v>11</v>
      </c>
      <c r="DZ439" s="527">
        <v>52</v>
      </c>
      <c r="EA439" s="528">
        <v>14</v>
      </c>
      <c r="EB439" s="419">
        <v>42</v>
      </c>
      <c r="EC439" s="419">
        <v>6</v>
      </c>
      <c r="ED439" s="527">
        <v>42</v>
      </c>
      <c r="EE439" s="527">
        <v>7</v>
      </c>
      <c r="EF439" s="419">
        <v>6</v>
      </c>
      <c r="EG439" s="527">
        <v>5</v>
      </c>
      <c r="EH439" s="424">
        <f t="shared" si="177"/>
        <v>216</v>
      </c>
      <c r="EI439" s="424">
        <f t="shared" si="178"/>
        <v>10</v>
      </c>
      <c r="EJ439" s="422">
        <f t="shared" si="179"/>
        <v>0.32407407407407407</v>
      </c>
      <c r="EK439" s="425">
        <f t="shared" si="180"/>
        <v>245</v>
      </c>
      <c r="EL439" s="425">
        <f t="shared" si="181"/>
        <v>10</v>
      </c>
      <c r="EM439" s="423">
        <f t="shared" si="182"/>
        <v>0.31428571428571428</v>
      </c>
      <c r="EN439" s="424">
        <f t="shared" si="183"/>
        <v>3681</v>
      </c>
      <c r="EO439" s="425">
        <f t="shared" si="184"/>
        <v>3753</v>
      </c>
      <c r="EP439" s="419"/>
      <c r="EQ439" s="421"/>
      <c r="ER439" s="419"/>
      <c r="ES439" s="421"/>
      <c r="ET439" s="419"/>
      <c r="EU439" s="421"/>
      <c r="EV439" s="419"/>
      <c r="EW439" s="421"/>
      <c r="EX439" s="419"/>
      <c r="EY439" s="421"/>
      <c r="EZ439" s="419"/>
      <c r="FA439" s="421"/>
      <c r="FB439" s="419"/>
      <c r="FC439" s="421"/>
      <c r="FD439" s="419"/>
      <c r="FE439" s="421"/>
      <c r="FF439" s="419"/>
      <c r="FG439" s="421"/>
      <c r="FH439" s="419">
        <v>12</v>
      </c>
      <c r="FI439" s="421">
        <v>14</v>
      </c>
      <c r="FJ439" s="424">
        <f t="shared" si="185"/>
        <v>12</v>
      </c>
      <c r="FK439" s="425">
        <f t="shared" si="186"/>
        <v>14</v>
      </c>
      <c r="FL439" s="419"/>
      <c r="FM439" s="421"/>
      <c r="FN439" s="424">
        <f t="shared" si="187"/>
        <v>7908</v>
      </c>
      <c r="FO439" s="425">
        <f t="shared" si="188"/>
        <v>3767</v>
      </c>
    </row>
    <row r="440" spans="1:171" customFormat="1" ht="15.75" customHeight="1">
      <c r="A440" s="457" t="s">
        <v>166</v>
      </c>
      <c r="B440" s="46" t="s">
        <v>961</v>
      </c>
      <c r="C440" s="4"/>
      <c r="D440" s="44">
        <v>229027</v>
      </c>
      <c r="E440" s="44">
        <v>1</v>
      </c>
      <c r="F440" s="419"/>
      <c r="G440" s="421"/>
      <c r="H440" s="419"/>
      <c r="I440" s="421"/>
      <c r="J440" s="419"/>
      <c r="K440" s="421"/>
      <c r="L440" s="422">
        <f t="shared" si="167"/>
        <v>0</v>
      </c>
      <c r="M440" s="423">
        <f t="shared" si="168"/>
        <v>0</v>
      </c>
      <c r="N440" s="419">
        <v>5578</v>
      </c>
      <c r="O440" s="525">
        <f>0</f>
        <v>0</v>
      </c>
      <c r="P440" s="525">
        <f>0</f>
        <v>0</v>
      </c>
      <c r="Q440" s="525">
        <f>0</f>
        <v>0</v>
      </c>
      <c r="R440" s="424">
        <f t="shared" si="165"/>
        <v>0</v>
      </c>
      <c r="S440" s="434"/>
      <c r="T440" s="526">
        <f>0</f>
        <v>0</v>
      </c>
      <c r="U440" s="526">
        <f>0</f>
        <v>0</v>
      </c>
      <c r="V440" s="526">
        <f>0</f>
        <v>0</v>
      </c>
      <c r="W440" s="425">
        <f t="shared" si="166"/>
        <v>0</v>
      </c>
      <c r="X440" s="419"/>
      <c r="Y440" s="419"/>
      <c r="Z440" s="421"/>
      <c r="AA440" s="421"/>
      <c r="AB440" s="419"/>
      <c r="AC440" s="419"/>
      <c r="AD440" s="421"/>
      <c r="AE440" s="421"/>
      <c r="AF440" s="419"/>
      <c r="AG440" s="419"/>
      <c r="AH440" s="421"/>
      <c r="AI440" s="421"/>
      <c r="AJ440" s="419"/>
      <c r="AK440" s="419"/>
      <c r="AL440" s="421"/>
      <c r="AM440" s="421"/>
      <c r="AN440" s="419"/>
      <c r="AO440" s="419"/>
      <c r="AP440" s="421"/>
      <c r="AQ440" s="421"/>
      <c r="AR440" s="424">
        <f t="shared" si="169"/>
        <v>0</v>
      </c>
      <c r="AS440" s="422">
        <f t="shared" si="170"/>
        <v>0.79176721078779277</v>
      </c>
      <c r="AT440" s="425">
        <f t="shared" si="171"/>
        <v>0</v>
      </c>
      <c r="AU440" s="423">
        <f t="shared" si="172"/>
        <v>0</v>
      </c>
      <c r="AV440" s="419"/>
      <c r="AW440" s="421"/>
      <c r="AX440" s="419">
        <v>52</v>
      </c>
      <c r="AY440" s="419">
        <v>364</v>
      </c>
      <c r="AZ440" s="527">
        <v>52</v>
      </c>
      <c r="BA440" s="527">
        <v>320</v>
      </c>
      <c r="BB440" s="419">
        <v>13</v>
      </c>
      <c r="BC440" s="419">
        <v>298</v>
      </c>
      <c r="BD440" s="527">
        <v>13</v>
      </c>
      <c r="BE440" s="528">
        <v>219</v>
      </c>
      <c r="BF440" s="419">
        <v>51</v>
      </c>
      <c r="BG440" s="419">
        <v>109</v>
      </c>
      <c r="BH440" s="527">
        <v>44</v>
      </c>
      <c r="BI440" s="527">
        <v>127</v>
      </c>
      <c r="BJ440" s="419">
        <v>14</v>
      </c>
      <c r="BK440" s="419">
        <v>104</v>
      </c>
      <c r="BL440" s="527">
        <v>51</v>
      </c>
      <c r="BM440" s="527">
        <v>115</v>
      </c>
      <c r="BN440" s="419">
        <v>44</v>
      </c>
      <c r="BO440" s="419">
        <v>101</v>
      </c>
      <c r="BP440" s="527">
        <v>14</v>
      </c>
      <c r="BQ440" s="527">
        <v>92</v>
      </c>
      <c r="BR440" s="419">
        <v>4</v>
      </c>
      <c r="BS440" s="419">
        <v>50</v>
      </c>
      <c r="BT440" s="527">
        <v>11</v>
      </c>
      <c r="BU440" s="529">
        <v>77</v>
      </c>
      <c r="BV440" s="419">
        <v>11</v>
      </c>
      <c r="BW440" s="419">
        <v>48</v>
      </c>
      <c r="BX440" s="527">
        <v>30</v>
      </c>
      <c r="BY440" s="529">
        <v>73</v>
      </c>
      <c r="BZ440" s="419">
        <v>45</v>
      </c>
      <c r="CA440" s="419">
        <v>44</v>
      </c>
      <c r="CB440" s="527">
        <v>45</v>
      </c>
      <c r="CC440" s="527">
        <v>44</v>
      </c>
      <c r="CD440" s="419">
        <v>31</v>
      </c>
      <c r="CE440" s="419">
        <v>38</v>
      </c>
      <c r="CF440" s="527">
        <v>26</v>
      </c>
      <c r="CG440" s="527">
        <v>41</v>
      </c>
      <c r="CH440" s="419">
        <v>42</v>
      </c>
      <c r="CI440" s="419">
        <v>33</v>
      </c>
      <c r="CJ440" s="527">
        <v>4</v>
      </c>
      <c r="CK440" s="527">
        <v>34</v>
      </c>
      <c r="CL440" s="419">
        <v>162</v>
      </c>
      <c r="CM440" s="528">
        <v>196</v>
      </c>
      <c r="CN440" s="424">
        <f t="shared" si="173"/>
        <v>1351</v>
      </c>
      <c r="CO440" s="424">
        <f t="shared" si="174"/>
        <v>10</v>
      </c>
      <c r="CP440" s="425">
        <f t="shared" si="175"/>
        <v>1338</v>
      </c>
      <c r="CQ440" s="425">
        <f t="shared" si="176"/>
        <v>10</v>
      </c>
      <c r="CR440" s="419">
        <v>13</v>
      </c>
      <c r="CS440" s="419">
        <v>35</v>
      </c>
      <c r="CT440" s="527">
        <v>13</v>
      </c>
      <c r="CU440" s="527">
        <v>41</v>
      </c>
      <c r="CV440" s="419">
        <v>14</v>
      </c>
      <c r="CW440" s="419">
        <v>16</v>
      </c>
      <c r="CX440" s="527">
        <v>14</v>
      </c>
      <c r="CY440" s="529">
        <v>32</v>
      </c>
      <c r="CZ440" s="419">
        <v>11</v>
      </c>
      <c r="DA440" s="419">
        <v>12</v>
      </c>
      <c r="DB440" s="527">
        <v>40</v>
      </c>
      <c r="DC440" s="528">
        <v>16</v>
      </c>
      <c r="DD440" s="419">
        <v>42</v>
      </c>
      <c r="DE440" s="419">
        <v>11</v>
      </c>
      <c r="DF440" s="527">
        <v>45</v>
      </c>
      <c r="DG440" s="528">
        <v>16</v>
      </c>
      <c r="DH440" s="419">
        <v>52</v>
      </c>
      <c r="DI440" s="419">
        <v>11</v>
      </c>
      <c r="DJ440" s="527">
        <v>52</v>
      </c>
      <c r="DK440" s="528">
        <v>15</v>
      </c>
      <c r="DL440" s="419">
        <v>40</v>
      </c>
      <c r="DM440" s="419">
        <v>10</v>
      </c>
      <c r="DN440" s="527">
        <v>11</v>
      </c>
      <c r="DO440" s="527">
        <v>9</v>
      </c>
      <c r="DP440" s="419">
        <v>45</v>
      </c>
      <c r="DQ440" s="419">
        <v>10</v>
      </c>
      <c r="DR440" s="527">
        <v>30</v>
      </c>
      <c r="DS440" s="527">
        <v>9</v>
      </c>
      <c r="DT440" s="419">
        <v>26</v>
      </c>
      <c r="DU440" s="419">
        <v>5</v>
      </c>
      <c r="DV440" s="527">
        <v>26</v>
      </c>
      <c r="DW440" s="528">
        <v>7</v>
      </c>
      <c r="DX440" s="419">
        <v>27</v>
      </c>
      <c r="DY440" s="419">
        <v>4</v>
      </c>
      <c r="DZ440" s="527">
        <v>42</v>
      </c>
      <c r="EA440" s="527">
        <v>4</v>
      </c>
      <c r="EB440" s="419">
        <v>23</v>
      </c>
      <c r="EC440" s="419">
        <v>2</v>
      </c>
      <c r="ED440" s="527">
        <v>27</v>
      </c>
      <c r="EE440" s="527">
        <v>2</v>
      </c>
      <c r="EF440" s="419"/>
      <c r="EG440" s="530">
        <v>2</v>
      </c>
      <c r="EH440" s="424">
        <f t="shared" si="177"/>
        <v>116</v>
      </c>
      <c r="EI440" s="424">
        <f t="shared" si="178"/>
        <v>10</v>
      </c>
      <c r="EJ440" s="422">
        <f t="shared" si="179"/>
        <v>0.30172413793103448</v>
      </c>
      <c r="EK440" s="425">
        <f t="shared" si="180"/>
        <v>153</v>
      </c>
      <c r="EL440" s="425">
        <f t="shared" si="181"/>
        <v>10</v>
      </c>
      <c r="EM440" s="423">
        <f t="shared" si="182"/>
        <v>0.26797385620915032</v>
      </c>
      <c r="EN440" s="424">
        <f t="shared" si="183"/>
        <v>1467</v>
      </c>
      <c r="EO440" s="425">
        <f t="shared" si="184"/>
        <v>1491</v>
      </c>
      <c r="EP440" s="419"/>
      <c r="EQ440" s="421"/>
      <c r="ER440" s="419"/>
      <c r="ES440" s="421"/>
      <c r="ET440" s="419"/>
      <c r="EU440" s="421"/>
      <c r="EV440" s="419"/>
      <c r="EW440" s="421"/>
      <c r="EX440" s="419"/>
      <c r="EY440" s="421"/>
      <c r="EZ440" s="419"/>
      <c r="FA440" s="421"/>
      <c r="FB440" s="419"/>
      <c r="FC440" s="421"/>
      <c r="FD440" s="419"/>
      <c r="FE440" s="421"/>
      <c r="FF440" s="419"/>
      <c r="FG440" s="421"/>
      <c r="FH440" s="419"/>
      <c r="FI440" s="421"/>
      <c r="FJ440" s="424">
        <f t="shared" si="185"/>
        <v>0</v>
      </c>
      <c r="FK440" s="425">
        <f t="shared" si="186"/>
        <v>0</v>
      </c>
      <c r="FL440" s="419"/>
      <c r="FM440" s="421"/>
      <c r="FN440" s="424">
        <f t="shared" si="187"/>
        <v>7045</v>
      </c>
      <c r="FO440" s="425">
        <f t="shared" si="188"/>
        <v>1491</v>
      </c>
    </row>
    <row r="441" spans="1:171" customFormat="1" ht="15.75" customHeight="1">
      <c r="A441" s="457" t="s">
        <v>166</v>
      </c>
      <c r="B441" s="1" t="s">
        <v>962</v>
      </c>
      <c r="C441" s="4"/>
      <c r="D441" s="44">
        <v>228459</v>
      </c>
      <c r="E441" s="44">
        <v>2</v>
      </c>
      <c r="F441" s="419"/>
      <c r="G441" s="421"/>
      <c r="H441" s="419"/>
      <c r="I441" s="421"/>
      <c r="J441" s="419"/>
      <c r="K441" s="421"/>
      <c r="L441" s="422">
        <f t="shared" si="167"/>
        <v>0</v>
      </c>
      <c r="M441" s="423">
        <f t="shared" si="168"/>
        <v>0</v>
      </c>
      <c r="N441" s="419">
        <v>7365</v>
      </c>
      <c r="O441" s="525">
        <f>0</f>
        <v>0</v>
      </c>
      <c r="P441" s="525">
        <f>0</f>
        <v>0</v>
      </c>
      <c r="Q441" s="525">
        <f>0</f>
        <v>0</v>
      </c>
      <c r="R441" s="424">
        <f t="shared" si="165"/>
        <v>0</v>
      </c>
      <c r="S441" s="434"/>
      <c r="T441" s="526">
        <f>0</f>
        <v>0</v>
      </c>
      <c r="U441" s="526">
        <f>0</f>
        <v>0</v>
      </c>
      <c r="V441" s="526">
        <f>0</f>
        <v>0</v>
      </c>
      <c r="W441" s="425">
        <f t="shared" si="166"/>
        <v>0</v>
      </c>
      <c r="X441" s="419"/>
      <c r="Y441" s="419"/>
      <c r="Z441" s="421"/>
      <c r="AA441" s="421"/>
      <c r="AB441" s="419"/>
      <c r="AC441" s="419"/>
      <c r="AD441" s="421"/>
      <c r="AE441" s="421"/>
      <c r="AF441" s="419"/>
      <c r="AG441" s="419"/>
      <c r="AH441" s="421"/>
      <c r="AI441" s="421"/>
      <c r="AJ441" s="419"/>
      <c r="AK441" s="419"/>
      <c r="AL441" s="421"/>
      <c r="AM441" s="421"/>
      <c r="AN441" s="419"/>
      <c r="AO441" s="419"/>
      <c r="AP441" s="421"/>
      <c r="AQ441" s="421"/>
      <c r="AR441" s="424">
        <f t="shared" si="169"/>
        <v>0</v>
      </c>
      <c r="AS441" s="422">
        <f t="shared" si="170"/>
        <v>0.83342763381237972</v>
      </c>
      <c r="AT441" s="425">
        <f t="shared" si="171"/>
        <v>0</v>
      </c>
      <c r="AU441" s="423">
        <f t="shared" si="172"/>
        <v>0</v>
      </c>
      <c r="AV441" s="419"/>
      <c r="AW441" s="421"/>
      <c r="AX441" s="419">
        <v>13</v>
      </c>
      <c r="AY441" s="419">
        <v>276</v>
      </c>
      <c r="AZ441" s="527">
        <v>13</v>
      </c>
      <c r="BA441" s="528">
        <v>213</v>
      </c>
      <c r="BB441" s="419">
        <v>44</v>
      </c>
      <c r="BC441" s="419">
        <v>202</v>
      </c>
      <c r="BD441" s="527">
        <v>51</v>
      </c>
      <c r="BE441" s="528">
        <v>151</v>
      </c>
      <c r="BF441" s="419">
        <v>51</v>
      </c>
      <c r="BG441" s="419">
        <v>161</v>
      </c>
      <c r="BH441" s="527">
        <v>44</v>
      </c>
      <c r="BI441" s="527">
        <v>147</v>
      </c>
      <c r="BJ441" s="419">
        <v>42</v>
      </c>
      <c r="BK441" s="419">
        <v>112</v>
      </c>
      <c r="BL441" s="527">
        <v>52</v>
      </c>
      <c r="BM441" s="528">
        <v>140</v>
      </c>
      <c r="BN441" s="419">
        <v>52</v>
      </c>
      <c r="BO441" s="419">
        <v>109</v>
      </c>
      <c r="BP441" s="527">
        <v>23</v>
      </c>
      <c r="BQ441" s="528">
        <v>81</v>
      </c>
      <c r="BR441" s="419">
        <v>30</v>
      </c>
      <c r="BS441" s="419">
        <v>72</v>
      </c>
      <c r="BT441" s="527">
        <v>42</v>
      </c>
      <c r="BU441" s="527">
        <v>71</v>
      </c>
      <c r="BV441" s="419">
        <v>23</v>
      </c>
      <c r="BW441" s="419">
        <v>52</v>
      </c>
      <c r="BX441" s="527">
        <v>45</v>
      </c>
      <c r="BY441" s="527">
        <v>62</v>
      </c>
      <c r="BZ441" s="419">
        <v>45</v>
      </c>
      <c r="CA441" s="419">
        <v>51</v>
      </c>
      <c r="CB441" s="527">
        <v>30</v>
      </c>
      <c r="CC441" s="527">
        <v>43</v>
      </c>
      <c r="CD441" s="419">
        <v>11</v>
      </c>
      <c r="CE441" s="419">
        <v>47</v>
      </c>
      <c r="CF441" s="527">
        <v>50</v>
      </c>
      <c r="CG441" s="527">
        <v>42</v>
      </c>
      <c r="CH441" s="419">
        <v>26</v>
      </c>
      <c r="CI441" s="419">
        <v>44</v>
      </c>
      <c r="CJ441" s="527">
        <v>11</v>
      </c>
      <c r="CK441" s="527">
        <v>41</v>
      </c>
      <c r="CL441" s="419">
        <v>237</v>
      </c>
      <c r="CM441" s="528">
        <v>287</v>
      </c>
      <c r="CN441" s="424">
        <f t="shared" si="173"/>
        <v>1363</v>
      </c>
      <c r="CO441" s="424">
        <f t="shared" si="174"/>
        <v>10</v>
      </c>
      <c r="CP441" s="425">
        <f t="shared" si="175"/>
        <v>1278</v>
      </c>
      <c r="CQ441" s="425">
        <f t="shared" si="176"/>
        <v>10</v>
      </c>
      <c r="CR441" s="419">
        <v>13</v>
      </c>
      <c r="CS441" s="419">
        <v>38</v>
      </c>
      <c r="CT441" s="527">
        <v>13</v>
      </c>
      <c r="CU441" s="528">
        <v>24</v>
      </c>
      <c r="CV441" s="419">
        <v>3</v>
      </c>
      <c r="CW441" s="419">
        <v>11</v>
      </c>
      <c r="CX441" s="527">
        <v>14</v>
      </c>
      <c r="CY441" s="527">
        <v>11</v>
      </c>
      <c r="CZ441" s="419">
        <v>45</v>
      </c>
      <c r="DA441" s="419">
        <v>10</v>
      </c>
      <c r="DB441" s="527">
        <v>45</v>
      </c>
      <c r="DC441" s="527">
        <v>8</v>
      </c>
      <c r="DD441" s="419">
        <v>14</v>
      </c>
      <c r="DE441" s="419">
        <v>6</v>
      </c>
      <c r="DF441" s="527">
        <v>3</v>
      </c>
      <c r="DG441" s="527">
        <v>6</v>
      </c>
      <c r="DH441" s="419">
        <v>43</v>
      </c>
      <c r="DI441" s="419">
        <v>3</v>
      </c>
      <c r="DJ441" s="527">
        <v>43</v>
      </c>
      <c r="DK441" s="529">
        <v>6</v>
      </c>
      <c r="DL441" s="419"/>
      <c r="DM441" s="419"/>
      <c r="DN441" s="421"/>
      <c r="DO441" s="421"/>
      <c r="DP441" s="419"/>
      <c r="DQ441" s="419"/>
      <c r="DR441" s="421"/>
      <c r="DS441" s="421"/>
      <c r="DT441" s="419"/>
      <c r="DU441" s="419"/>
      <c r="DV441" s="421"/>
      <c r="DW441" s="421"/>
      <c r="DX441" s="419"/>
      <c r="DY441" s="419"/>
      <c r="DZ441" s="421"/>
      <c r="EA441" s="421"/>
      <c r="EB441" s="419"/>
      <c r="EC441" s="419"/>
      <c r="ED441" s="421"/>
      <c r="EE441" s="421"/>
      <c r="EF441" s="419"/>
      <c r="EG441" s="421"/>
      <c r="EH441" s="424">
        <f t="shared" si="177"/>
        <v>68</v>
      </c>
      <c r="EI441" s="424">
        <f t="shared" si="178"/>
        <v>5</v>
      </c>
      <c r="EJ441" s="422">
        <f t="shared" si="179"/>
        <v>0.55882352941176472</v>
      </c>
      <c r="EK441" s="425">
        <f t="shared" si="180"/>
        <v>55</v>
      </c>
      <c r="EL441" s="425">
        <f t="shared" si="181"/>
        <v>5</v>
      </c>
      <c r="EM441" s="423">
        <f t="shared" si="182"/>
        <v>0.43636363636363634</v>
      </c>
      <c r="EN441" s="424">
        <f t="shared" si="183"/>
        <v>1431</v>
      </c>
      <c r="EO441" s="425">
        <f t="shared" si="184"/>
        <v>1333</v>
      </c>
      <c r="EP441" s="419"/>
      <c r="EQ441" s="421"/>
      <c r="ER441" s="419"/>
      <c r="ES441" s="421"/>
      <c r="ET441" s="419"/>
      <c r="EU441" s="421"/>
      <c r="EV441" s="419"/>
      <c r="EW441" s="421"/>
      <c r="EX441" s="419"/>
      <c r="EY441" s="421"/>
      <c r="EZ441" s="419"/>
      <c r="FA441" s="421"/>
      <c r="FB441" s="419"/>
      <c r="FC441" s="421"/>
      <c r="FD441" s="419"/>
      <c r="FE441" s="421"/>
      <c r="FF441" s="419"/>
      <c r="FG441" s="421"/>
      <c r="FH441" s="419">
        <v>41</v>
      </c>
      <c r="FI441" s="421">
        <v>36</v>
      </c>
      <c r="FJ441" s="424">
        <f t="shared" si="185"/>
        <v>41</v>
      </c>
      <c r="FK441" s="425">
        <f t="shared" si="186"/>
        <v>36</v>
      </c>
      <c r="FL441" s="419"/>
      <c r="FM441" s="421"/>
      <c r="FN441" s="424">
        <f t="shared" si="187"/>
        <v>8837</v>
      </c>
      <c r="FO441" s="425">
        <f t="shared" si="188"/>
        <v>1369</v>
      </c>
    </row>
    <row r="442" spans="1:171" customFormat="1" ht="15.75" customHeight="1">
      <c r="A442" s="457" t="s">
        <v>166</v>
      </c>
      <c r="B442" s="46" t="s">
        <v>963</v>
      </c>
      <c r="C442" s="15" t="s">
        <v>1216</v>
      </c>
      <c r="D442" s="44">
        <v>229179</v>
      </c>
      <c r="E442" s="44">
        <v>2</v>
      </c>
      <c r="F442" s="419"/>
      <c r="G442" s="421"/>
      <c r="H442" s="419"/>
      <c r="I442" s="421"/>
      <c r="J442" s="419"/>
      <c r="K442" s="421"/>
      <c r="L442" s="422">
        <f t="shared" si="167"/>
        <v>0</v>
      </c>
      <c r="M442" s="423">
        <f t="shared" si="168"/>
        <v>0</v>
      </c>
      <c r="N442" s="419">
        <v>2034</v>
      </c>
      <c r="O442" s="525">
        <f>0</f>
        <v>0</v>
      </c>
      <c r="P442" s="525">
        <f>0</f>
        <v>0</v>
      </c>
      <c r="Q442" s="525">
        <f>0</f>
        <v>0</v>
      </c>
      <c r="R442" s="424">
        <f t="shared" si="165"/>
        <v>0</v>
      </c>
      <c r="S442" s="434"/>
      <c r="T442" s="526">
        <f>0</f>
        <v>0</v>
      </c>
      <c r="U442" s="526">
        <f>0</f>
        <v>0</v>
      </c>
      <c r="V442" s="526">
        <f>0</f>
        <v>0</v>
      </c>
      <c r="W442" s="425">
        <f t="shared" si="166"/>
        <v>0</v>
      </c>
      <c r="X442" s="419"/>
      <c r="Y442" s="419"/>
      <c r="Z442" s="421"/>
      <c r="AA442" s="421"/>
      <c r="AB442" s="419"/>
      <c r="AC442" s="419"/>
      <c r="AD442" s="421"/>
      <c r="AE442" s="421"/>
      <c r="AF442" s="419"/>
      <c r="AG442" s="419"/>
      <c r="AH442" s="421"/>
      <c r="AI442" s="421"/>
      <c r="AJ442" s="419"/>
      <c r="AK442" s="419"/>
      <c r="AL442" s="421"/>
      <c r="AM442" s="421"/>
      <c r="AN442" s="419"/>
      <c r="AO442" s="419"/>
      <c r="AP442" s="421"/>
      <c r="AQ442" s="421"/>
      <c r="AR442" s="424">
        <f t="shared" si="169"/>
        <v>0</v>
      </c>
      <c r="AS442" s="422">
        <f t="shared" si="170"/>
        <v>0.53952254641909814</v>
      </c>
      <c r="AT442" s="425">
        <f t="shared" si="171"/>
        <v>0</v>
      </c>
      <c r="AU442" s="423">
        <f t="shared" si="172"/>
        <v>0</v>
      </c>
      <c r="AV442" s="419"/>
      <c r="AW442" s="421"/>
      <c r="AX442" s="419">
        <v>51</v>
      </c>
      <c r="AY442" s="419">
        <v>620</v>
      </c>
      <c r="AZ442" s="527">
        <v>51</v>
      </c>
      <c r="BA442" s="528">
        <v>463</v>
      </c>
      <c r="BB442" s="419">
        <v>52</v>
      </c>
      <c r="BC442" s="419">
        <v>284</v>
      </c>
      <c r="BD442" s="527">
        <v>52</v>
      </c>
      <c r="BE442" s="527">
        <v>338</v>
      </c>
      <c r="BF442" s="419">
        <v>25</v>
      </c>
      <c r="BG442" s="419">
        <v>212</v>
      </c>
      <c r="BH442" s="527">
        <v>25</v>
      </c>
      <c r="BI442" s="527">
        <v>171</v>
      </c>
      <c r="BJ442" s="419">
        <v>13</v>
      </c>
      <c r="BK442" s="419">
        <v>123</v>
      </c>
      <c r="BL442" s="527">
        <v>13</v>
      </c>
      <c r="BM442" s="527">
        <v>137</v>
      </c>
      <c r="BN442" s="419">
        <v>30</v>
      </c>
      <c r="BO442" s="419">
        <v>70</v>
      </c>
      <c r="BP442" s="527">
        <v>19</v>
      </c>
      <c r="BQ442" s="528">
        <v>91</v>
      </c>
      <c r="BR442" s="419">
        <v>19</v>
      </c>
      <c r="BS442" s="419">
        <v>51</v>
      </c>
      <c r="BT442" s="527">
        <v>30</v>
      </c>
      <c r="BU442" s="527">
        <v>45</v>
      </c>
      <c r="BV442" s="419">
        <v>50</v>
      </c>
      <c r="BW442" s="419">
        <v>36</v>
      </c>
      <c r="BX442" s="527">
        <v>50</v>
      </c>
      <c r="BY442" s="527">
        <v>31</v>
      </c>
      <c r="BZ442" s="419">
        <v>31</v>
      </c>
      <c r="CA442" s="419">
        <v>27</v>
      </c>
      <c r="CB442" s="527">
        <v>31</v>
      </c>
      <c r="CC442" s="527">
        <v>25</v>
      </c>
      <c r="CD442" s="419">
        <v>42</v>
      </c>
      <c r="CE442" s="419">
        <v>20</v>
      </c>
      <c r="CF442" s="527">
        <v>11</v>
      </c>
      <c r="CG442" s="527">
        <v>20</v>
      </c>
      <c r="CH442" s="419">
        <v>26</v>
      </c>
      <c r="CI442" s="419">
        <v>16</v>
      </c>
      <c r="CJ442" s="527">
        <v>44</v>
      </c>
      <c r="CK442" s="527">
        <v>17</v>
      </c>
      <c r="CL442" s="419">
        <v>56</v>
      </c>
      <c r="CM442" s="527">
        <v>58</v>
      </c>
      <c r="CN442" s="424">
        <f t="shared" si="173"/>
        <v>1515</v>
      </c>
      <c r="CO442" s="424">
        <f t="shared" si="174"/>
        <v>10</v>
      </c>
      <c r="CP442" s="425">
        <f t="shared" si="175"/>
        <v>1396</v>
      </c>
      <c r="CQ442" s="425">
        <f t="shared" si="176"/>
        <v>10</v>
      </c>
      <c r="CR442" s="419">
        <v>51</v>
      </c>
      <c r="CS442" s="419">
        <v>79</v>
      </c>
      <c r="CT442" s="527">
        <v>51</v>
      </c>
      <c r="CU442" s="528">
        <v>53</v>
      </c>
      <c r="CV442" s="419">
        <v>13</v>
      </c>
      <c r="CW442" s="419">
        <v>10</v>
      </c>
      <c r="CX442" s="527">
        <v>19</v>
      </c>
      <c r="CY442" s="529">
        <v>17</v>
      </c>
      <c r="CZ442" s="419">
        <v>19</v>
      </c>
      <c r="DA442" s="419">
        <v>8</v>
      </c>
      <c r="DB442" s="527">
        <v>31</v>
      </c>
      <c r="DC442" s="528">
        <v>10</v>
      </c>
      <c r="DD442" s="419">
        <v>42</v>
      </c>
      <c r="DE442" s="419">
        <v>6</v>
      </c>
      <c r="DF442" s="527">
        <v>26</v>
      </c>
      <c r="DG442" s="527">
        <v>7</v>
      </c>
      <c r="DH442" s="419">
        <v>5</v>
      </c>
      <c r="DI442" s="419">
        <v>5</v>
      </c>
      <c r="DJ442" s="527">
        <v>42</v>
      </c>
      <c r="DK442" s="528">
        <v>7</v>
      </c>
      <c r="DL442" s="419">
        <v>31</v>
      </c>
      <c r="DM442" s="419">
        <v>4</v>
      </c>
      <c r="DN442" s="527">
        <v>45</v>
      </c>
      <c r="DO442" s="528">
        <v>6</v>
      </c>
      <c r="DP442" s="419">
        <v>45</v>
      </c>
      <c r="DQ442" s="419">
        <v>4</v>
      </c>
      <c r="DR442" s="527">
        <v>13</v>
      </c>
      <c r="DS442" s="528">
        <v>5</v>
      </c>
      <c r="DT442" s="419">
        <v>23</v>
      </c>
      <c r="DU442" s="419">
        <v>3</v>
      </c>
      <c r="DV442" s="527">
        <v>23</v>
      </c>
      <c r="DW442" s="527">
        <v>3</v>
      </c>
      <c r="DX442" s="419">
        <v>26</v>
      </c>
      <c r="DY442" s="419">
        <v>3</v>
      </c>
      <c r="DZ442" s="527">
        <v>50</v>
      </c>
      <c r="EA442" s="527">
        <v>3</v>
      </c>
      <c r="EB442" s="419">
        <v>50</v>
      </c>
      <c r="EC442" s="419">
        <v>2</v>
      </c>
      <c r="ED442" s="527">
        <v>5</v>
      </c>
      <c r="EE442" s="527">
        <v>2</v>
      </c>
      <c r="EF442" s="419">
        <v>2</v>
      </c>
      <c r="EG442" s="528">
        <v>1</v>
      </c>
      <c r="EH442" s="424">
        <f t="shared" si="177"/>
        <v>126</v>
      </c>
      <c r="EI442" s="424">
        <f t="shared" si="178"/>
        <v>10</v>
      </c>
      <c r="EJ442" s="422">
        <f t="shared" si="179"/>
        <v>0.62698412698412698</v>
      </c>
      <c r="EK442" s="425">
        <f t="shared" si="180"/>
        <v>114</v>
      </c>
      <c r="EL442" s="425">
        <f t="shared" si="181"/>
        <v>10</v>
      </c>
      <c r="EM442" s="423">
        <f t="shared" si="182"/>
        <v>0.46491228070175439</v>
      </c>
      <c r="EN442" s="424">
        <f t="shared" si="183"/>
        <v>1641</v>
      </c>
      <c r="EO442" s="425">
        <f t="shared" si="184"/>
        <v>1510</v>
      </c>
      <c r="EP442" s="419"/>
      <c r="EQ442" s="421"/>
      <c r="ER442" s="419"/>
      <c r="ES442" s="421"/>
      <c r="ET442" s="419"/>
      <c r="EU442" s="421"/>
      <c r="EV442" s="419"/>
      <c r="EW442" s="421"/>
      <c r="EX442" s="419"/>
      <c r="EY442" s="421"/>
      <c r="EZ442" s="419"/>
      <c r="FA442" s="421"/>
      <c r="FB442" s="419"/>
      <c r="FC442" s="421"/>
      <c r="FD442" s="419"/>
      <c r="FE442" s="421"/>
      <c r="FF442" s="419"/>
      <c r="FG442" s="421"/>
      <c r="FH442" s="419">
        <v>95</v>
      </c>
      <c r="FI442" s="421">
        <v>95</v>
      </c>
      <c r="FJ442" s="424">
        <f t="shared" si="185"/>
        <v>95</v>
      </c>
      <c r="FK442" s="425">
        <f t="shared" si="186"/>
        <v>95</v>
      </c>
      <c r="FL442" s="419"/>
      <c r="FM442" s="421"/>
      <c r="FN442" s="424">
        <f t="shared" si="187"/>
        <v>3770</v>
      </c>
      <c r="FO442" s="425">
        <f t="shared" si="188"/>
        <v>1605</v>
      </c>
    </row>
    <row r="443" spans="1:171" customFormat="1" ht="15.75" customHeight="1">
      <c r="A443" s="457" t="s">
        <v>166</v>
      </c>
      <c r="B443" s="46" t="s">
        <v>964</v>
      </c>
      <c r="C443" s="491" t="s">
        <v>1217</v>
      </c>
      <c r="D443" s="44">
        <v>228796</v>
      </c>
      <c r="E443" s="44">
        <v>2</v>
      </c>
      <c r="F443" s="419"/>
      <c r="G443" s="421"/>
      <c r="H443" s="419"/>
      <c r="I443" s="421"/>
      <c r="J443" s="419"/>
      <c r="K443" s="421"/>
      <c r="L443" s="422">
        <f t="shared" si="167"/>
        <v>0</v>
      </c>
      <c r="M443" s="423">
        <f t="shared" si="168"/>
        <v>0</v>
      </c>
      <c r="N443" s="419">
        <v>3708</v>
      </c>
      <c r="O443" s="525">
        <f>0</f>
        <v>0</v>
      </c>
      <c r="P443" s="525">
        <f>0</f>
        <v>0</v>
      </c>
      <c r="Q443" s="525">
        <f>0</f>
        <v>0</v>
      </c>
      <c r="R443" s="424">
        <f t="shared" si="165"/>
        <v>0</v>
      </c>
      <c r="S443" s="434"/>
      <c r="T443" s="526">
        <f>0</f>
        <v>0</v>
      </c>
      <c r="U443" s="526">
        <f>0</f>
        <v>0</v>
      </c>
      <c r="V443" s="526">
        <f>0</f>
        <v>0</v>
      </c>
      <c r="W443" s="425">
        <f t="shared" si="166"/>
        <v>0</v>
      </c>
      <c r="X443" s="419"/>
      <c r="Y443" s="419"/>
      <c r="Z443" s="421"/>
      <c r="AA443" s="421"/>
      <c r="AB443" s="419"/>
      <c r="AC443" s="419"/>
      <c r="AD443" s="421"/>
      <c r="AE443" s="421"/>
      <c r="AF443" s="419"/>
      <c r="AG443" s="419"/>
      <c r="AH443" s="421"/>
      <c r="AI443" s="421"/>
      <c r="AJ443" s="419"/>
      <c r="AK443" s="419"/>
      <c r="AL443" s="421"/>
      <c r="AM443" s="421"/>
      <c r="AN443" s="419"/>
      <c r="AO443" s="419"/>
      <c r="AP443" s="421"/>
      <c r="AQ443" s="421"/>
      <c r="AR443" s="424">
        <f t="shared" si="169"/>
        <v>0</v>
      </c>
      <c r="AS443" s="422">
        <f t="shared" si="170"/>
        <v>0.73440285204991085</v>
      </c>
      <c r="AT443" s="425">
        <f t="shared" si="171"/>
        <v>0</v>
      </c>
      <c r="AU443" s="423">
        <f t="shared" si="172"/>
        <v>0</v>
      </c>
      <c r="AV443" s="419"/>
      <c r="AW443" s="421"/>
      <c r="AX443" s="419">
        <v>51</v>
      </c>
      <c r="AY443" s="419">
        <v>294</v>
      </c>
      <c r="AZ443" s="527">
        <v>51</v>
      </c>
      <c r="BA443" s="527">
        <v>300</v>
      </c>
      <c r="BB443" s="419">
        <v>52</v>
      </c>
      <c r="BC443" s="419">
        <v>188</v>
      </c>
      <c r="BD443" s="527">
        <v>52</v>
      </c>
      <c r="BE443" s="527">
        <v>175</v>
      </c>
      <c r="BF443" s="419">
        <v>13</v>
      </c>
      <c r="BG443" s="419">
        <v>186</v>
      </c>
      <c r="BH443" s="527">
        <v>14</v>
      </c>
      <c r="BI443" s="527">
        <v>157</v>
      </c>
      <c r="BJ443" s="419">
        <v>14</v>
      </c>
      <c r="BK443" s="419">
        <v>147</v>
      </c>
      <c r="BL443" s="527">
        <v>13</v>
      </c>
      <c r="BM443" s="527">
        <v>143</v>
      </c>
      <c r="BN443" s="419">
        <v>30</v>
      </c>
      <c r="BO443" s="419">
        <v>104</v>
      </c>
      <c r="BP443" s="527">
        <v>30</v>
      </c>
      <c r="BQ443" s="527">
        <v>95</v>
      </c>
      <c r="BR443" s="419">
        <v>44</v>
      </c>
      <c r="BS443" s="419">
        <v>63</v>
      </c>
      <c r="BT443" s="527">
        <v>44</v>
      </c>
      <c r="BU443" s="527">
        <v>70</v>
      </c>
      <c r="BV443" s="419">
        <v>45</v>
      </c>
      <c r="BW443" s="419">
        <v>56</v>
      </c>
      <c r="BX443" s="527">
        <v>45</v>
      </c>
      <c r="BY443" s="527">
        <v>55</v>
      </c>
      <c r="BZ443" s="419">
        <v>23</v>
      </c>
      <c r="CA443" s="419">
        <v>36</v>
      </c>
      <c r="CB443" s="527">
        <v>23</v>
      </c>
      <c r="CC443" s="527">
        <v>29</v>
      </c>
      <c r="CD443" s="419">
        <v>40</v>
      </c>
      <c r="CE443" s="419">
        <v>25</v>
      </c>
      <c r="CF443" s="527">
        <v>40</v>
      </c>
      <c r="CG443" s="528">
        <v>19</v>
      </c>
      <c r="CH443" s="419">
        <v>9</v>
      </c>
      <c r="CI443" s="419">
        <v>20</v>
      </c>
      <c r="CJ443" s="527">
        <v>11</v>
      </c>
      <c r="CK443" s="527">
        <v>17</v>
      </c>
      <c r="CL443" s="419">
        <v>101</v>
      </c>
      <c r="CM443" s="527">
        <v>95</v>
      </c>
      <c r="CN443" s="424">
        <f t="shared" si="173"/>
        <v>1220</v>
      </c>
      <c r="CO443" s="424">
        <f t="shared" si="174"/>
        <v>10</v>
      </c>
      <c r="CP443" s="425">
        <f t="shared" si="175"/>
        <v>1155</v>
      </c>
      <c r="CQ443" s="425">
        <f t="shared" si="176"/>
        <v>10</v>
      </c>
      <c r="CR443" s="419">
        <v>14</v>
      </c>
      <c r="CS443" s="419">
        <v>25</v>
      </c>
      <c r="CT443" s="527">
        <v>14</v>
      </c>
      <c r="CU443" s="529">
        <v>40</v>
      </c>
      <c r="CV443" s="419">
        <v>40</v>
      </c>
      <c r="CW443" s="419">
        <v>14</v>
      </c>
      <c r="CX443" s="527">
        <v>51</v>
      </c>
      <c r="CY443" s="528">
        <v>17</v>
      </c>
      <c r="CZ443" s="419">
        <v>51</v>
      </c>
      <c r="DA443" s="419">
        <v>13</v>
      </c>
      <c r="DB443" s="527">
        <v>13</v>
      </c>
      <c r="DC443" s="528">
        <v>16</v>
      </c>
      <c r="DD443" s="419">
        <v>13</v>
      </c>
      <c r="DE443" s="419">
        <v>11</v>
      </c>
      <c r="DF443" s="527">
        <v>26</v>
      </c>
      <c r="DG443" s="528">
        <v>14</v>
      </c>
      <c r="DH443" s="419">
        <v>42</v>
      </c>
      <c r="DI443" s="419">
        <v>8</v>
      </c>
      <c r="DJ443" s="527">
        <v>40</v>
      </c>
      <c r="DK443" s="528">
        <v>12</v>
      </c>
      <c r="DL443" s="419">
        <v>52</v>
      </c>
      <c r="DM443" s="419">
        <v>5</v>
      </c>
      <c r="DN443" s="527">
        <v>52</v>
      </c>
      <c r="DO443" s="529">
        <v>10</v>
      </c>
      <c r="DP443" s="419">
        <v>23</v>
      </c>
      <c r="DQ443" s="419">
        <v>4</v>
      </c>
      <c r="DR443" s="527">
        <v>42</v>
      </c>
      <c r="DS443" s="529">
        <v>8</v>
      </c>
      <c r="DT443" s="419">
        <v>26</v>
      </c>
      <c r="DU443" s="419">
        <v>4</v>
      </c>
      <c r="DV443" s="527">
        <v>54</v>
      </c>
      <c r="DW443" s="529">
        <v>7</v>
      </c>
      <c r="DX443" s="419">
        <v>30</v>
      </c>
      <c r="DY443" s="419">
        <v>3</v>
      </c>
      <c r="DZ443" s="527">
        <v>11</v>
      </c>
      <c r="EA443" s="529">
        <v>6</v>
      </c>
      <c r="EB443" s="419">
        <v>11</v>
      </c>
      <c r="EC443" s="419">
        <v>2</v>
      </c>
      <c r="ED443" s="527">
        <v>23</v>
      </c>
      <c r="EE443" s="530">
        <v>6</v>
      </c>
      <c r="EF443" s="419">
        <v>1</v>
      </c>
      <c r="EG443" s="530">
        <v>4</v>
      </c>
      <c r="EH443" s="424">
        <f t="shared" si="177"/>
        <v>90</v>
      </c>
      <c r="EI443" s="424">
        <f t="shared" si="178"/>
        <v>10</v>
      </c>
      <c r="EJ443" s="422">
        <f t="shared" si="179"/>
        <v>0.27777777777777779</v>
      </c>
      <c r="EK443" s="425">
        <f t="shared" si="180"/>
        <v>140</v>
      </c>
      <c r="EL443" s="425">
        <f t="shared" si="181"/>
        <v>10</v>
      </c>
      <c r="EM443" s="423">
        <f t="shared" si="182"/>
        <v>0.2857142857142857</v>
      </c>
      <c r="EN443" s="424">
        <f t="shared" si="183"/>
        <v>1310</v>
      </c>
      <c r="EO443" s="425">
        <f t="shared" si="184"/>
        <v>1295</v>
      </c>
      <c r="EP443" s="419"/>
      <c r="EQ443" s="421"/>
      <c r="ER443" s="419"/>
      <c r="ES443" s="421"/>
      <c r="ET443" s="419"/>
      <c r="EU443" s="421"/>
      <c r="EV443" s="419"/>
      <c r="EW443" s="421"/>
      <c r="EX443" s="419"/>
      <c r="EY443" s="421"/>
      <c r="EZ443" s="419"/>
      <c r="FA443" s="421"/>
      <c r="FB443" s="419"/>
      <c r="FC443" s="421"/>
      <c r="FD443" s="419"/>
      <c r="FE443" s="421"/>
      <c r="FF443" s="419"/>
      <c r="FG443" s="421"/>
      <c r="FH443" s="419">
        <v>31</v>
      </c>
      <c r="FI443" s="421">
        <v>31</v>
      </c>
      <c r="FJ443" s="424">
        <f t="shared" si="185"/>
        <v>31</v>
      </c>
      <c r="FK443" s="425">
        <f t="shared" si="186"/>
        <v>31</v>
      </c>
      <c r="FL443" s="419"/>
      <c r="FM443" s="421"/>
      <c r="FN443" s="424">
        <f t="shared" si="187"/>
        <v>5049</v>
      </c>
      <c r="FO443" s="425">
        <f t="shared" si="188"/>
        <v>1326</v>
      </c>
    </row>
    <row r="444" spans="1:171" customFormat="1" ht="15.75" customHeight="1">
      <c r="A444" s="457" t="s">
        <v>166</v>
      </c>
      <c r="B444" s="46" t="s">
        <v>965</v>
      </c>
      <c r="C444" s="15"/>
      <c r="D444" s="44">
        <v>222831</v>
      </c>
      <c r="E444" s="44">
        <v>3</v>
      </c>
      <c r="F444" s="419"/>
      <c r="G444" s="421"/>
      <c r="H444" s="419"/>
      <c r="I444" s="421"/>
      <c r="J444" s="419"/>
      <c r="K444" s="421"/>
      <c r="L444" s="422">
        <f t="shared" si="167"/>
        <v>0</v>
      </c>
      <c r="M444" s="423">
        <f t="shared" si="168"/>
        <v>0</v>
      </c>
      <c r="N444" s="419">
        <v>1075</v>
      </c>
      <c r="O444" s="525">
        <f>0</f>
        <v>0</v>
      </c>
      <c r="P444" s="525">
        <f>0</f>
        <v>0</v>
      </c>
      <c r="Q444" s="525">
        <f>0</f>
        <v>0</v>
      </c>
      <c r="R444" s="424">
        <f t="shared" si="165"/>
        <v>0</v>
      </c>
      <c r="S444" s="434"/>
      <c r="T444" s="526">
        <f>0</f>
        <v>0</v>
      </c>
      <c r="U444" s="526">
        <f>0</f>
        <v>0</v>
      </c>
      <c r="V444" s="526">
        <f>0</f>
        <v>0</v>
      </c>
      <c r="W444" s="425">
        <f t="shared" si="166"/>
        <v>0</v>
      </c>
      <c r="X444" s="419"/>
      <c r="Y444" s="419"/>
      <c r="Z444" s="421"/>
      <c r="AA444" s="421"/>
      <c r="AB444" s="419"/>
      <c r="AC444" s="419"/>
      <c r="AD444" s="421"/>
      <c r="AE444" s="421"/>
      <c r="AF444" s="419"/>
      <c r="AG444" s="419"/>
      <c r="AH444" s="421"/>
      <c r="AI444" s="421"/>
      <c r="AJ444" s="419"/>
      <c r="AK444" s="419"/>
      <c r="AL444" s="421"/>
      <c r="AM444" s="421"/>
      <c r="AN444" s="419"/>
      <c r="AO444" s="419"/>
      <c r="AP444" s="421"/>
      <c r="AQ444" s="421"/>
      <c r="AR444" s="424">
        <f t="shared" si="169"/>
        <v>0</v>
      </c>
      <c r="AS444" s="422">
        <f t="shared" si="170"/>
        <v>0.63988095238095233</v>
      </c>
      <c r="AT444" s="425">
        <f t="shared" si="171"/>
        <v>0</v>
      </c>
      <c r="AU444" s="423">
        <f t="shared" si="172"/>
        <v>0</v>
      </c>
      <c r="AV444" s="419"/>
      <c r="AW444" s="421"/>
      <c r="AX444" s="419">
        <v>13</v>
      </c>
      <c r="AY444" s="419">
        <v>293</v>
      </c>
      <c r="AZ444" s="527">
        <v>13</v>
      </c>
      <c r="BA444" s="527">
        <v>275</v>
      </c>
      <c r="BB444" s="419">
        <v>52</v>
      </c>
      <c r="BC444" s="419">
        <v>100</v>
      </c>
      <c r="BD444" s="527">
        <v>52</v>
      </c>
      <c r="BE444" s="527">
        <v>115</v>
      </c>
      <c r="BF444" s="419">
        <v>42</v>
      </c>
      <c r="BG444" s="419">
        <v>49</v>
      </c>
      <c r="BH444" s="527">
        <v>42</v>
      </c>
      <c r="BI444" s="527">
        <v>56</v>
      </c>
      <c r="BJ444" s="419">
        <v>45</v>
      </c>
      <c r="BK444" s="419">
        <v>30</v>
      </c>
      <c r="BL444" s="527">
        <v>45</v>
      </c>
      <c r="BM444" s="527">
        <v>33</v>
      </c>
      <c r="BN444" s="419">
        <v>51</v>
      </c>
      <c r="BO444" s="419">
        <v>29</v>
      </c>
      <c r="BP444" s="527">
        <v>51</v>
      </c>
      <c r="BQ444" s="527">
        <v>25</v>
      </c>
      <c r="BR444" s="419">
        <v>31</v>
      </c>
      <c r="BS444" s="419">
        <v>23</v>
      </c>
      <c r="BT444" s="527">
        <v>31</v>
      </c>
      <c r="BU444" s="527">
        <v>23</v>
      </c>
      <c r="BV444" s="419">
        <v>43</v>
      </c>
      <c r="BW444" s="419">
        <v>22</v>
      </c>
      <c r="BX444" s="527">
        <v>44</v>
      </c>
      <c r="BY444" s="527">
        <v>22</v>
      </c>
      <c r="BZ444" s="419">
        <v>23</v>
      </c>
      <c r="CA444" s="419">
        <v>11</v>
      </c>
      <c r="CB444" s="527">
        <v>43</v>
      </c>
      <c r="CC444" s="529">
        <v>21</v>
      </c>
      <c r="CD444" s="419">
        <v>1</v>
      </c>
      <c r="CE444" s="419">
        <v>8</v>
      </c>
      <c r="CF444" s="527">
        <v>1</v>
      </c>
      <c r="CG444" s="528">
        <v>12</v>
      </c>
      <c r="CH444" s="419">
        <v>26</v>
      </c>
      <c r="CI444" s="419">
        <v>8</v>
      </c>
      <c r="CJ444" s="527">
        <v>9</v>
      </c>
      <c r="CK444" s="527">
        <v>7</v>
      </c>
      <c r="CL444" s="419">
        <v>6</v>
      </c>
      <c r="CM444" s="527">
        <v>6</v>
      </c>
      <c r="CN444" s="424">
        <f t="shared" si="173"/>
        <v>579</v>
      </c>
      <c r="CO444" s="424">
        <f t="shared" si="174"/>
        <v>10</v>
      </c>
      <c r="CP444" s="425">
        <f t="shared" si="175"/>
        <v>595</v>
      </c>
      <c r="CQ444" s="425">
        <f t="shared" si="176"/>
        <v>10</v>
      </c>
      <c r="CR444" s="419"/>
      <c r="CS444" s="419"/>
      <c r="CT444" s="529">
        <v>0</v>
      </c>
      <c r="CU444" s="527">
        <v>0</v>
      </c>
      <c r="CV444" s="419"/>
      <c r="CW444" s="419"/>
      <c r="CX444" s="529">
        <v>0</v>
      </c>
      <c r="CY444" s="527">
        <v>0</v>
      </c>
      <c r="CZ444" s="419"/>
      <c r="DA444" s="419"/>
      <c r="DB444" s="421"/>
      <c r="DC444" s="421"/>
      <c r="DD444" s="419"/>
      <c r="DE444" s="419"/>
      <c r="DF444" s="421"/>
      <c r="DG444" s="421"/>
      <c r="DH444" s="419"/>
      <c r="DI444" s="419"/>
      <c r="DJ444" s="421"/>
      <c r="DK444" s="421"/>
      <c r="DL444" s="419"/>
      <c r="DM444" s="419"/>
      <c r="DN444" s="421"/>
      <c r="DO444" s="421"/>
      <c r="DP444" s="419"/>
      <c r="DQ444" s="419"/>
      <c r="DR444" s="421"/>
      <c r="DS444" s="421"/>
      <c r="DT444" s="419"/>
      <c r="DU444" s="419"/>
      <c r="DV444" s="421"/>
      <c r="DW444" s="421"/>
      <c r="DX444" s="419"/>
      <c r="DY444" s="419"/>
      <c r="DZ444" s="421"/>
      <c r="EA444" s="421"/>
      <c r="EB444" s="419"/>
      <c r="EC444" s="419"/>
      <c r="ED444" s="421"/>
      <c r="EE444" s="421"/>
      <c r="EF444" s="419"/>
      <c r="EG444" s="421"/>
      <c r="EH444" s="424">
        <f t="shared" si="177"/>
        <v>0</v>
      </c>
      <c r="EI444" s="424">
        <f t="shared" si="178"/>
        <v>0</v>
      </c>
      <c r="EJ444" s="422">
        <f t="shared" si="179"/>
        <v>0</v>
      </c>
      <c r="EK444" s="425">
        <f t="shared" si="180"/>
        <v>0</v>
      </c>
      <c r="EL444" s="425">
        <f t="shared" si="181"/>
        <v>2</v>
      </c>
      <c r="EM444" s="423">
        <f t="shared" si="182"/>
        <v>0</v>
      </c>
      <c r="EN444" s="424">
        <f t="shared" si="183"/>
        <v>579</v>
      </c>
      <c r="EO444" s="425">
        <f t="shared" si="184"/>
        <v>595</v>
      </c>
      <c r="EP444" s="419"/>
      <c r="EQ444" s="421"/>
      <c r="ER444" s="419"/>
      <c r="ES444" s="421"/>
      <c r="ET444" s="419"/>
      <c r="EU444" s="421"/>
      <c r="EV444" s="419"/>
      <c r="EW444" s="421"/>
      <c r="EX444" s="419"/>
      <c r="EY444" s="421"/>
      <c r="EZ444" s="419"/>
      <c r="FA444" s="421"/>
      <c r="FB444" s="419"/>
      <c r="FC444" s="421"/>
      <c r="FD444" s="419"/>
      <c r="FE444" s="421"/>
      <c r="FF444" s="419"/>
      <c r="FG444" s="421"/>
      <c r="FH444" s="419">
        <v>26</v>
      </c>
      <c r="FI444" s="421">
        <v>25</v>
      </c>
      <c r="FJ444" s="424">
        <f t="shared" si="185"/>
        <v>26</v>
      </c>
      <c r="FK444" s="425">
        <f t="shared" si="186"/>
        <v>25</v>
      </c>
      <c r="FL444" s="419"/>
      <c r="FM444" s="421"/>
      <c r="FN444" s="424">
        <f t="shared" si="187"/>
        <v>1680</v>
      </c>
      <c r="FO444" s="425">
        <f t="shared" si="188"/>
        <v>620</v>
      </c>
    </row>
    <row r="445" spans="1:171" customFormat="1" ht="15.75" customHeight="1">
      <c r="A445" s="457" t="s">
        <v>166</v>
      </c>
      <c r="B445" s="46" t="s">
        <v>966</v>
      </c>
      <c r="C445" s="15"/>
      <c r="D445" s="44">
        <v>226091</v>
      </c>
      <c r="E445" s="44">
        <v>3</v>
      </c>
      <c r="F445" s="419"/>
      <c r="G445" s="421"/>
      <c r="H445" s="419"/>
      <c r="I445" s="421"/>
      <c r="J445" s="419"/>
      <c r="K445" s="421"/>
      <c r="L445" s="422">
        <f t="shared" si="167"/>
        <v>0</v>
      </c>
      <c r="M445" s="423">
        <f t="shared" si="168"/>
        <v>0</v>
      </c>
      <c r="N445" s="419">
        <v>1660</v>
      </c>
      <c r="O445" s="525">
        <f>0</f>
        <v>0</v>
      </c>
      <c r="P445" s="525">
        <f>0</f>
        <v>0</v>
      </c>
      <c r="Q445" s="525">
        <f>0</f>
        <v>0</v>
      </c>
      <c r="R445" s="424">
        <f t="shared" si="165"/>
        <v>0</v>
      </c>
      <c r="S445" s="434"/>
      <c r="T445" s="526">
        <f>0</f>
        <v>0</v>
      </c>
      <c r="U445" s="526">
        <f>0</f>
        <v>0</v>
      </c>
      <c r="V445" s="526">
        <f>0</f>
        <v>0</v>
      </c>
      <c r="W445" s="425">
        <f t="shared" si="166"/>
        <v>0</v>
      </c>
      <c r="X445" s="419"/>
      <c r="Y445" s="419"/>
      <c r="Z445" s="421"/>
      <c r="AA445" s="421"/>
      <c r="AB445" s="419"/>
      <c r="AC445" s="419"/>
      <c r="AD445" s="421"/>
      <c r="AE445" s="421"/>
      <c r="AF445" s="419"/>
      <c r="AG445" s="419"/>
      <c r="AH445" s="421"/>
      <c r="AI445" s="421"/>
      <c r="AJ445" s="419"/>
      <c r="AK445" s="419"/>
      <c r="AL445" s="421"/>
      <c r="AM445" s="421"/>
      <c r="AN445" s="419"/>
      <c r="AO445" s="419"/>
      <c r="AP445" s="421"/>
      <c r="AQ445" s="421"/>
      <c r="AR445" s="424">
        <f t="shared" si="169"/>
        <v>0</v>
      </c>
      <c r="AS445" s="422">
        <f t="shared" si="170"/>
        <v>0.42401021711366538</v>
      </c>
      <c r="AT445" s="425">
        <f t="shared" si="171"/>
        <v>0</v>
      </c>
      <c r="AU445" s="423">
        <f t="shared" si="172"/>
        <v>0</v>
      </c>
      <c r="AV445" s="419"/>
      <c r="AW445" s="421"/>
      <c r="AX445" s="419">
        <v>13</v>
      </c>
      <c r="AY445" s="419">
        <v>1311</v>
      </c>
      <c r="AZ445" s="527">
        <v>13</v>
      </c>
      <c r="BA445" s="527">
        <v>1324</v>
      </c>
      <c r="BB445" s="419">
        <v>42</v>
      </c>
      <c r="BC445" s="419">
        <v>260</v>
      </c>
      <c r="BD445" s="527">
        <v>42</v>
      </c>
      <c r="BE445" s="527">
        <v>230</v>
      </c>
      <c r="BF445" s="419">
        <v>51</v>
      </c>
      <c r="BG445" s="419">
        <v>201</v>
      </c>
      <c r="BH445" s="527">
        <v>51</v>
      </c>
      <c r="BI445" s="527">
        <v>193</v>
      </c>
      <c r="BJ445" s="419">
        <v>52</v>
      </c>
      <c r="BK445" s="419">
        <v>137</v>
      </c>
      <c r="BL445" s="527">
        <v>52</v>
      </c>
      <c r="BM445" s="527">
        <v>113</v>
      </c>
      <c r="BN445" s="419">
        <v>14</v>
      </c>
      <c r="BO445" s="419">
        <v>90</v>
      </c>
      <c r="BP445" s="527">
        <v>43</v>
      </c>
      <c r="BQ445" s="527">
        <v>91</v>
      </c>
      <c r="BR445" s="419">
        <v>43</v>
      </c>
      <c r="BS445" s="419">
        <v>78</v>
      </c>
      <c r="BT445" s="527">
        <v>11</v>
      </c>
      <c r="BU445" s="527">
        <v>72</v>
      </c>
      <c r="BV445" s="419">
        <v>11</v>
      </c>
      <c r="BW445" s="419">
        <v>38</v>
      </c>
      <c r="BX445" s="527">
        <v>14</v>
      </c>
      <c r="BY445" s="529">
        <v>64</v>
      </c>
      <c r="BZ445" s="419">
        <v>19</v>
      </c>
      <c r="CA445" s="419">
        <v>14</v>
      </c>
      <c r="CB445" s="527">
        <v>19</v>
      </c>
      <c r="CC445" s="529">
        <v>23</v>
      </c>
      <c r="CD445" s="419">
        <v>31</v>
      </c>
      <c r="CE445" s="419">
        <v>12</v>
      </c>
      <c r="CF445" s="527">
        <v>16</v>
      </c>
      <c r="CG445" s="527">
        <v>10</v>
      </c>
      <c r="CH445" s="419">
        <v>15</v>
      </c>
      <c r="CI445" s="419">
        <v>7</v>
      </c>
      <c r="CJ445" s="527">
        <v>40</v>
      </c>
      <c r="CK445" s="528">
        <v>9</v>
      </c>
      <c r="CL445" s="419">
        <v>37</v>
      </c>
      <c r="CM445" s="527">
        <v>38</v>
      </c>
      <c r="CN445" s="424">
        <f t="shared" si="173"/>
        <v>2185</v>
      </c>
      <c r="CO445" s="424">
        <f t="shared" si="174"/>
        <v>10</v>
      </c>
      <c r="CP445" s="425">
        <f t="shared" si="175"/>
        <v>2167</v>
      </c>
      <c r="CQ445" s="425">
        <f t="shared" si="176"/>
        <v>10</v>
      </c>
      <c r="CR445" s="419">
        <v>13</v>
      </c>
      <c r="CS445" s="419">
        <v>42</v>
      </c>
      <c r="CT445" s="527">
        <v>13</v>
      </c>
      <c r="CU445" s="528">
        <v>53</v>
      </c>
      <c r="CV445" s="419">
        <v>14</v>
      </c>
      <c r="CW445" s="419">
        <v>20</v>
      </c>
      <c r="CX445" s="527">
        <v>14</v>
      </c>
      <c r="CY445" s="527">
        <v>16</v>
      </c>
      <c r="CZ445" s="419"/>
      <c r="DA445" s="419"/>
      <c r="DB445" s="421"/>
      <c r="DC445" s="421"/>
      <c r="DD445" s="419"/>
      <c r="DE445" s="419"/>
      <c r="DF445" s="421"/>
      <c r="DG445" s="421"/>
      <c r="DH445" s="419"/>
      <c r="DI445" s="419"/>
      <c r="DJ445" s="421"/>
      <c r="DK445" s="421"/>
      <c r="DL445" s="419"/>
      <c r="DM445" s="419"/>
      <c r="DN445" s="421"/>
      <c r="DO445" s="421"/>
      <c r="DP445" s="419"/>
      <c r="DQ445" s="419"/>
      <c r="DR445" s="421"/>
      <c r="DS445" s="421"/>
      <c r="DT445" s="419"/>
      <c r="DU445" s="419"/>
      <c r="DV445" s="421"/>
      <c r="DW445" s="421"/>
      <c r="DX445" s="419"/>
      <c r="DY445" s="419"/>
      <c r="DZ445" s="421"/>
      <c r="EA445" s="421"/>
      <c r="EB445" s="419"/>
      <c r="EC445" s="419"/>
      <c r="ED445" s="421"/>
      <c r="EE445" s="421"/>
      <c r="EF445" s="419"/>
      <c r="EG445" s="421"/>
      <c r="EH445" s="424">
        <f t="shared" si="177"/>
        <v>62</v>
      </c>
      <c r="EI445" s="424">
        <f t="shared" si="178"/>
        <v>2</v>
      </c>
      <c r="EJ445" s="422">
        <f t="shared" si="179"/>
        <v>0.67741935483870963</v>
      </c>
      <c r="EK445" s="425">
        <f t="shared" si="180"/>
        <v>69</v>
      </c>
      <c r="EL445" s="425">
        <f t="shared" si="181"/>
        <v>2</v>
      </c>
      <c r="EM445" s="423">
        <f t="shared" si="182"/>
        <v>0.76811594202898548</v>
      </c>
      <c r="EN445" s="424">
        <f t="shared" si="183"/>
        <v>2247</v>
      </c>
      <c r="EO445" s="425">
        <f t="shared" si="184"/>
        <v>2236</v>
      </c>
      <c r="EP445" s="419"/>
      <c r="EQ445" s="421"/>
      <c r="ER445" s="419"/>
      <c r="ES445" s="421"/>
      <c r="ET445" s="419"/>
      <c r="EU445" s="421"/>
      <c r="EV445" s="419"/>
      <c r="EW445" s="421"/>
      <c r="EX445" s="419"/>
      <c r="EY445" s="421"/>
      <c r="EZ445" s="419"/>
      <c r="FA445" s="421"/>
      <c r="FB445" s="419"/>
      <c r="FC445" s="421"/>
      <c r="FD445" s="419"/>
      <c r="FE445" s="421"/>
      <c r="FF445" s="419"/>
      <c r="FG445" s="421"/>
      <c r="FH445" s="419">
        <v>8</v>
      </c>
      <c r="FI445" s="421">
        <v>9</v>
      </c>
      <c r="FJ445" s="424">
        <f t="shared" si="185"/>
        <v>8</v>
      </c>
      <c r="FK445" s="425">
        <f t="shared" si="186"/>
        <v>9</v>
      </c>
      <c r="FL445" s="419"/>
      <c r="FM445" s="421"/>
      <c r="FN445" s="424">
        <f t="shared" si="187"/>
        <v>3915</v>
      </c>
      <c r="FO445" s="425">
        <f t="shared" si="188"/>
        <v>2245</v>
      </c>
    </row>
    <row r="446" spans="1:171" customFormat="1" ht="15.75" customHeight="1">
      <c r="A446" s="457" t="s">
        <v>166</v>
      </c>
      <c r="B446" s="46" t="s">
        <v>967</v>
      </c>
      <c r="C446" s="15"/>
      <c r="D446" s="44">
        <v>226833</v>
      </c>
      <c r="E446" s="44">
        <v>3</v>
      </c>
      <c r="F446" s="419"/>
      <c r="G446" s="421"/>
      <c r="H446" s="419"/>
      <c r="I446" s="421"/>
      <c r="J446" s="419"/>
      <c r="K446" s="421"/>
      <c r="L446" s="422">
        <f t="shared" si="167"/>
        <v>0</v>
      </c>
      <c r="M446" s="423">
        <f t="shared" si="168"/>
        <v>0</v>
      </c>
      <c r="N446" s="419">
        <v>1201</v>
      </c>
      <c r="O446" s="525">
        <f>0</f>
        <v>0</v>
      </c>
      <c r="P446" s="525">
        <f>0</f>
        <v>0</v>
      </c>
      <c r="Q446" s="525">
        <f>0</f>
        <v>0</v>
      </c>
      <c r="R446" s="424">
        <f t="shared" si="165"/>
        <v>0</v>
      </c>
      <c r="S446" s="434"/>
      <c r="T446" s="526">
        <f>0</f>
        <v>0</v>
      </c>
      <c r="U446" s="526">
        <f>0</f>
        <v>0</v>
      </c>
      <c r="V446" s="526">
        <f>0</f>
        <v>0</v>
      </c>
      <c r="W446" s="425">
        <f t="shared" si="166"/>
        <v>0</v>
      </c>
      <c r="X446" s="419"/>
      <c r="Y446" s="419"/>
      <c r="Z446" s="421"/>
      <c r="AA446" s="421"/>
      <c r="AB446" s="419"/>
      <c r="AC446" s="419"/>
      <c r="AD446" s="421"/>
      <c r="AE446" s="421"/>
      <c r="AF446" s="419"/>
      <c r="AG446" s="419"/>
      <c r="AH446" s="421"/>
      <c r="AI446" s="421"/>
      <c r="AJ446" s="419"/>
      <c r="AK446" s="419"/>
      <c r="AL446" s="421"/>
      <c r="AM446" s="421"/>
      <c r="AN446" s="419"/>
      <c r="AO446" s="419"/>
      <c r="AP446" s="421"/>
      <c r="AQ446" s="421"/>
      <c r="AR446" s="424">
        <f t="shared" si="169"/>
        <v>0</v>
      </c>
      <c r="AS446" s="422">
        <f t="shared" si="170"/>
        <v>0.82713498622589532</v>
      </c>
      <c r="AT446" s="425">
        <f t="shared" si="171"/>
        <v>0</v>
      </c>
      <c r="AU446" s="423">
        <f t="shared" si="172"/>
        <v>0</v>
      </c>
      <c r="AV446" s="419"/>
      <c r="AW446" s="421"/>
      <c r="AX446" s="419">
        <v>51</v>
      </c>
      <c r="AY446" s="419">
        <v>57</v>
      </c>
      <c r="AZ446" s="527">
        <v>13</v>
      </c>
      <c r="BA446" s="527">
        <v>48</v>
      </c>
      <c r="BB446" s="419">
        <v>13</v>
      </c>
      <c r="BC446" s="419">
        <v>55</v>
      </c>
      <c r="BD446" s="527">
        <v>51</v>
      </c>
      <c r="BE446" s="528">
        <v>33</v>
      </c>
      <c r="BF446" s="419">
        <v>52</v>
      </c>
      <c r="BG446" s="419">
        <v>47</v>
      </c>
      <c r="BH446" s="527">
        <v>52</v>
      </c>
      <c r="BI446" s="528">
        <v>32</v>
      </c>
      <c r="BJ446" s="419">
        <v>31</v>
      </c>
      <c r="BK446" s="419">
        <v>22</v>
      </c>
      <c r="BL446" s="527">
        <v>31</v>
      </c>
      <c r="BM446" s="528">
        <v>28</v>
      </c>
      <c r="BN446" s="419">
        <v>42</v>
      </c>
      <c r="BO446" s="419">
        <v>22</v>
      </c>
      <c r="BP446" s="527">
        <v>26</v>
      </c>
      <c r="BQ446" s="528">
        <v>14</v>
      </c>
      <c r="BR446" s="419">
        <v>11</v>
      </c>
      <c r="BS446" s="419">
        <v>14</v>
      </c>
      <c r="BT446" s="527">
        <v>42</v>
      </c>
      <c r="BU446" s="528">
        <v>11</v>
      </c>
      <c r="BV446" s="419">
        <v>43</v>
      </c>
      <c r="BW446" s="419">
        <v>14</v>
      </c>
      <c r="BX446" s="527">
        <v>11</v>
      </c>
      <c r="BY446" s="528">
        <v>10</v>
      </c>
      <c r="BZ446" s="419">
        <v>26</v>
      </c>
      <c r="CA446" s="419">
        <v>12</v>
      </c>
      <c r="CB446" s="527">
        <v>40</v>
      </c>
      <c r="CC446" s="527">
        <v>10</v>
      </c>
      <c r="CD446" s="419">
        <v>23</v>
      </c>
      <c r="CE446" s="419">
        <v>3</v>
      </c>
      <c r="CF446" s="527">
        <v>43</v>
      </c>
      <c r="CG446" s="529">
        <v>5</v>
      </c>
      <c r="CH446" s="419">
        <v>45</v>
      </c>
      <c r="CI446" s="419">
        <v>3</v>
      </c>
      <c r="CJ446" s="527">
        <v>23</v>
      </c>
      <c r="CK446" s="527">
        <v>3</v>
      </c>
      <c r="CL446" s="419">
        <v>2</v>
      </c>
      <c r="CM446" s="528">
        <v>3</v>
      </c>
      <c r="CN446" s="424">
        <f t="shared" si="173"/>
        <v>251</v>
      </c>
      <c r="CO446" s="424">
        <f t="shared" si="174"/>
        <v>10</v>
      </c>
      <c r="CP446" s="425">
        <f t="shared" si="175"/>
        <v>197</v>
      </c>
      <c r="CQ446" s="425">
        <f t="shared" si="176"/>
        <v>10</v>
      </c>
      <c r="CR446" s="419"/>
      <c r="CS446" s="419"/>
      <c r="CT446" s="529">
        <v>0</v>
      </c>
      <c r="CU446" s="527">
        <v>0</v>
      </c>
      <c r="CV446" s="419"/>
      <c r="CW446" s="419"/>
      <c r="CX446" s="529">
        <v>0</v>
      </c>
      <c r="CY446" s="527">
        <v>0</v>
      </c>
      <c r="CZ446" s="419"/>
      <c r="DA446" s="419"/>
      <c r="DB446" s="421"/>
      <c r="DC446" s="421"/>
      <c r="DD446" s="419"/>
      <c r="DE446" s="419"/>
      <c r="DF446" s="421"/>
      <c r="DG446" s="421"/>
      <c r="DH446" s="419"/>
      <c r="DI446" s="419"/>
      <c r="DJ446" s="421"/>
      <c r="DK446" s="421"/>
      <c r="DL446" s="419"/>
      <c r="DM446" s="419"/>
      <c r="DN446" s="421"/>
      <c r="DO446" s="421"/>
      <c r="DP446" s="419"/>
      <c r="DQ446" s="419"/>
      <c r="DR446" s="421"/>
      <c r="DS446" s="421"/>
      <c r="DT446" s="419"/>
      <c r="DU446" s="419"/>
      <c r="DV446" s="421"/>
      <c r="DW446" s="421"/>
      <c r="DX446" s="419"/>
      <c r="DY446" s="419"/>
      <c r="DZ446" s="421"/>
      <c r="EA446" s="421"/>
      <c r="EB446" s="419"/>
      <c r="EC446" s="419"/>
      <c r="ED446" s="421"/>
      <c r="EE446" s="421"/>
      <c r="EF446" s="419"/>
      <c r="EG446" s="421"/>
      <c r="EH446" s="424">
        <f t="shared" si="177"/>
        <v>0</v>
      </c>
      <c r="EI446" s="424">
        <f t="shared" si="178"/>
        <v>0</v>
      </c>
      <c r="EJ446" s="422">
        <f t="shared" si="179"/>
        <v>0</v>
      </c>
      <c r="EK446" s="425">
        <f t="shared" si="180"/>
        <v>0</v>
      </c>
      <c r="EL446" s="425">
        <f t="shared" si="181"/>
        <v>2</v>
      </c>
      <c r="EM446" s="423">
        <f t="shared" si="182"/>
        <v>0</v>
      </c>
      <c r="EN446" s="424">
        <f t="shared" si="183"/>
        <v>251</v>
      </c>
      <c r="EO446" s="425">
        <f t="shared" si="184"/>
        <v>197</v>
      </c>
      <c r="EP446" s="419"/>
      <c r="EQ446" s="421"/>
      <c r="ER446" s="419"/>
      <c r="ES446" s="421"/>
      <c r="ET446" s="419"/>
      <c r="EU446" s="421"/>
      <c r="EV446" s="419"/>
      <c r="EW446" s="421"/>
      <c r="EX446" s="419"/>
      <c r="EY446" s="421"/>
      <c r="EZ446" s="419"/>
      <c r="FA446" s="421"/>
      <c r="FB446" s="419"/>
      <c r="FC446" s="421"/>
      <c r="FD446" s="419"/>
      <c r="FE446" s="421"/>
      <c r="FF446" s="419"/>
      <c r="FG446" s="421"/>
      <c r="FH446" s="419"/>
      <c r="FI446" s="421"/>
      <c r="FJ446" s="424">
        <f t="shared" si="185"/>
        <v>0</v>
      </c>
      <c r="FK446" s="425">
        <f t="shared" si="186"/>
        <v>0</v>
      </c>
      <c r="FL446" s="419"/>
      <c r="FM446" s="421"/>
      <c r="FN446" s="424">
        <f t="shared" si="187"/>
        <v>1452</v>
      </c>
      <c r="FO446" s="425">
        <f t="shared" si="188"/>
        <v>197</v>
      </c>
    </row>
    <row r="447" spans="1:171" customFormat="1" ht="15.75" customHeight="1">
      <c r="A447" s="457" t="s">
        <v>166</v>
      </c>
      <c r="B447" s="46" t="s">
        <v>968</v>
      </c>
      <c r="C447" s="15"/>
      <c r="D447" s="44">
        <v>227526</v>
      </c>
      <c r="E447" s="44">
        <v>3</v>
      </c>
      <c r="F447" s="419"/>
      <c r="G447" s="421"/>
      <c r="H447" s="419"/>
      <c r="I447" s="421"/>
      <c r="J447" s="419"/>
      <c r="K447" s="421"/>
      <c r="L447" s="422">
        <f t="shared" si="167"/>
        <v>0</v>
      </c>
      <c r="M447" s="423">
        <f t="shared" si="168"/>
        <v>0</v>
      </c>
      <c r="N447" s="419">
        <v>1146</v>
      </c>
      <c r="O447" s="525">
        <f>0</f>
        <v>0</v>
      </c>
      <c r="P447" s="525">
        <f>0</f>
        <v>0</v>
      </c>
      <c r="Q447" s="525">
        <f>0</f>
        <v>0</v>
      </c>
      <c r="R447" s="424">
        <f t="shared" si="165"/>
        <v>0</v>
      </c>
      <c r="S447" s="434"/>
      <c r="T447" s="526">
        <f>0</f>
        <v>0</v>
      </c>
      <c r="U447" s="526">
        <f>0</f>
        <v>0</v>
      </c>
      <c r="V447" s="526">
        <f>0</f>
        <v>0</v>
      </c>
      <c r="W447" s="425">
        <f t="shared" si="166"/>
        <v>0</v>
      </c>
      <c r="X447" s="419"/>
      <c r="Y447" s="419"/>
      <c r="Z447" s="421"/>
      <c r="AA447" s="421"/>
      <c r="AB447" s="419"/>
      <c r="AC447" s="419"/>
      <c r="AD447" s="421"/>
      <c r="AE447" s="421"/>
      <c r="AF447" s="419"/>
      <c r="AG447" s="419"/>
      <c r="AH447" s="421"/>
      <c r="AI447" s="421"/>
      <c r="AJ447" s="419"/>
      <c r="AK447" s="419"/>
      <c r="AL447" s="421"/>
      <c r="AM447" s="421"/>
      <c r="AN447" s="419"/>
      <c r="AO447" s="419"/>
      <c r="AP447" s="421"/>
      <c r="AQ447" s="421"/>
      <c r="AR447" s="424">
        <f t="shared" si="169"/>
        <v>0</v>
      </c>
      <c r="AS447" s="422">
        <f t="shared" si="170"/>
        <v>0.74367293964957815</v>
      </c>
      <c r="AT447" s="425">
        <f t="shared" si="171"/>
        <v>0</v>
      </c>
      <c r="AU447" s="423">
        <f t="shared" si="172"/>
        <v>0</v>
      </c>
      <c r="AV447" s="419"/>
      <c r="AW447" s="421"/>
      <c r="AX447" s="419">
        <v>52</v>
      </c>
      <c r="AY447" s="419">
        <v>84</v>
      </c>
      <c r="AZ447" s="527">
        <v>52</v>
      </c>
      <c r="BA447" s="527">
        <v>77</v>
      </c>
      <c r="BB447" s="419">
        <v>13</v>
      </c>
      <c r="BC447" s="419">
        <v>66</v>
      </c>
      <c r="BD447" s="527">
        <v>13</v>
      </c>
      <c r="BE447" s="528">
        <v>52</v>
      </c>
      <c r="BF447" s="419">
        <v>51</v>
      </c>
      <c r="BG447" s="419">
        <v>41</v>
      </c>
      <c r="BH447" s="527">
        <v>14</v>
      </c>
      <c r="BI447" s="527">
        <v>39</v>
      </c>
      <c r="BJ447" s="419">
        <v>11</v>
      </c>
      <c r="BK447" s="419">
        <v>39</v>
      </c>
      <c r="BL447" s="527">
        <v>11</v>
      </c>
      <c r="BM447" s="528">
        <v>27</v>
      </c>
      <c r="BN447" s="419">
        <v>14</v>
      </c>
      <c r="BO447" s="419">
        <v>39</v>
      </c>
      <c r="BP447" s="527">
        <v>51</v>
      </c>
      <c r="BQ447" s="528">
        <v>27</v>
      </c>
      <c r="BR447" s="419">
        <v>42</v>
      </c>
      <c r="BS447" s="419">
        <v>33</v>
      </c>
      <c r="BT447" s="527">
        <v>4</v>
      </c>
      <c r="BU447" s="528">
        <v>25</v>
      </c>
      <c r="BV447" s="419">
        <v>4</v>
      </c>
      <c r="BW447" s="419">
        <v>29</v>
      </c>
      <c r="BX447" s="527">
        <v>42</v>
      </c>
      <c r="BY447" s="528">
        <v>18</v>
      </c>
      <c r="BZ447" s="419">
        <v>19</v>
      </c>
      <c r="CA447" s="419">
        <v>20</v>
      </c>
      <c r="CB447" s="527">
        <v>45</v>
      </c>
      <c r="CC447" s="528">
        <v>14</v>
      </c>
      <c r="CD447" s="419">
        <v>45</v>
      </c>
      <c r="CE447" s="419">
        <v>12</v>
      </c>
      <c r="CF447" s="527">
        <v>19</v>
      </c>
      <c r="CG447" s="528">
        <v>8</v>
      </c>
      <c r="CH447" s="419">
        <v>40</v>
      </c>
      <c r="CI447" s="419">
        <v>6</v>
      </c>
      <c r="CJ447" s="527">
        <v>43</v>
      </c>
      <c r="CK447" s="527">
        <v>6</v>
      </c>
      <c r="CL447" s="419">
        <v>5</v>
      </c>
      <c r="CM447" s="527">
        <v>4</v>
      </c>
      <c r="CN447" s="424">
        <f t="shared" si="173"/>
        <v>374</v>
      </c>
      <c r="CO447" s="424">
        <f t="shared" si="174"/>
        <v>10</v>
      </c>
      <c r="CP447" s="425">
        <f t="shared" si="175"/>
        <v>297</v>
      </c>
      <c r="CQ447" s="425">
        <f t="shared" si="176"/>
        <v>10</v>
      </c>
      <c r="CR447" s="419">
        <v>13</v>
      </c>
      <c r="CS447" s="419">
        <v>11</v>
      </c>
      <c r="CT447" s="527">
        <v>13</v>
      </c>
      <c r="CU447" s="527">
        <v>10</v>
      </c>
      <c r="CV447" s="419">
        <v>43</v>
      </c>
      <c r="CW447" s="419">
        <v>4</v>
      </c>
      <c r="CX447" s="527">
        <v>14</v>
      </c>
      <c r="CY447" s="529">
        <v>7</v>
      </c>
      <c r="CZ447" s="419">
        <v>51</v>
      </c>
      <c r="DA447" s="419">
        <v>4</v>
      </c>
      <c r="DB447" s="527">
        <v>51</v>
      </c>
      <c r="DC447" s="528">
        <v>3</v>
      </c>
      <c r="DD447" s="419">
        <v>14</v>
      </c>
      <c r="DE447" s="419">
        <v>2</v>
      </c>
      <c r="DF447" s="527">
        <v>43</v>
      </c>
      <c r="DG447" s="527">
        <v>2</v>
      </c>
      <c r="DH447" s="419"/>
      <c r="DI447" s="419"/>
      <c r="DJ447" s="527">
        <v>42</v>
      </c>
      <c r="DK447" s="530">
        <v>1</v>
      </c>
      <c r="DL447" s="419"/>
      <c r="DM447" s="419"/>
      <c r="DN447" s="421"/>
      <c r="DO447" s="421"/>
      <c r="DP447" s="419"/>
      <c r="DQ447" s="419"/>
      <c r="DR447" s="421"/>
      <c r="DS447" s="421"/>
      <c r="DT447" s="419"/>
      <c r="DU447" s="419"/>
      <c r="DV447" s="421"/>
      <c r="DW447" s="421"/>
      <c r="DX447" s="419"/>
      <c r="DY447" s="419"/>
      <c r="DZ447" s="421"/>
      <c r="EA447" s="421"/>
      <c r="EB447" s="419"/>
      <c r="EC447" s="419"/>
      <c r="ED447" s="421"/>
      <c r="EE447" s="421"/>
      <c r="EF447" s="419"/>
      <c r="EG447" s="421"/>
      <c r="EH447" s="424">
        <f t="shared" si="177"/>
        <v>21</v>
      </c>
      <c r="EI447" s="424">
        <f t="shared" si="178"/>
        <v>4</v>
      </c>
      <c r="EJ447" s="422">
        <f t="shared" si="179"/>
        <v>0.52380952380952384</v>
      </c>
      <c r="EK447" s="425">
        <f t="shared" si="180"/>
        <v>23</v>
      </c>
      <c r="EL447" s="425">
        <f t="shared" si="181"/>
        <v>5</v>
      </c>
      <c r="EM447" s="423">
        <f t="shared" si="182"/>
        <v>0.43478260869565216</v>
      </c>
      <c r="EN447" s="424">
        <f t="shared" si="183"/>
        <v>395</v>
      </c>
      <c r="EO447" s="425">
        <f t="shared" si="184"/>
        <v>320</v>
      </c>
      <c r="EP447" s="419"/>
      <c r="EQ447" s="421"/>
      <c r="ER447" s="419"/>
      <c r="ES447" s="421"/>
      <c r="ET447" s="419"/>
      <c r="EU447" s="421"/>
      <c r="EV447" s="419"/>
      <c r="EW447" s="421"/>
      <c r="EX447" s="419"/>
      <c r="EY447" s="421"/>
      <c r="EZ447" s="419"/>
      <c r="FA447" s="421"/>
      <c r="FB447" s="419"/>
      <c r="FC447" s="421"/>
      <c r="FD447" s="419"/>
      <c r="FE447" s="421"/>
      <c r="FF447" s="419"/>
      <c r="FG447" s="421"/>
      <c r="FH447" s="419"/>
      <c r="FI447" s="421"/>
      <c r="FJ447" s="424">
        <f t="shared" si="185"/>
        <v>0</v>
      </c>
      <c r="FK447" s="425">
        <f t="shared" si="186"/>
        <v>0</v>
      </c>
      <c r="FL447" s="419"/>
      <c r="FM447" s="421"/>
      <c r="FN447" s="424">
        <f t="shared" si="187"/>
        <v>1541</v>
      </c>
      <c r="FO447" s="425">
        <f t="shared" si="188"/>
        <v>320</v>
      </c>
    </row>
    <row r="448" spans="1:171" customFormat="1" ht="15.75" customHeight="1">
      <c r="A448" s="457" t="s">
        <v>166</v>
      </c>
      <c r="B448" s="46" t="s">
        <v>969</v>
      </c>
      <c r="C448" s="15"/>
      <c r="D448" s="44">
        <v>227881</v>
      </c>
      <c r="E448" s="44">
        <v>3</v>
      </c>
      <c r="F448" s="419"/>
      <c r="G448" s="421"/>
      <c r="H448" s="419"/>
      <c r="I448" s="421"/>
      <c r="J448" s="419"/>
      <c r="K448" s="421"/>
      <c r="L448" s="422">
        <f t="shared" si="167"/>
        <v>0</v>
      </c>
      <c r="M448" s="423">
        <f t="shared" si="168"/>
        <v>0</v>
      </c>
      <c r="N448" s="419">
        <v>4189</v>
      </c>
      <c r="O448" s="525">
        <f>0</f>
        <v>0</v>
      </c>
      <c r="P448" s="525">
        <f>0</f>
        <v>0</v>
      </c>
      <c r="Q448" s="525">
        <f>0</f>
        <v>0</v>
      </c>
      <c r="R448" s="424">
        <f t="shared" si="165"/>
        <v>0</v>
      </c>
      <c r="S448" s="434"/>
      <c r="T448" s="526">
        <f>0</f>
        <v>0</v>
      </c>
      <c r="U448" s="526">
        <f>0</f>
        <v>0</v>
      </c>
      <c r="V448" s="526">
        <f>0</f>
        <v>0</v>
      </c>
      <c r="W448" s="425">
        <f t="shared" si="166"/>
        <v>0</v>
      </c>
      <c r="X448" s="419"/>
      <c r="Y448" s="419"/>
      <c r="Z448" s="421"/>
      <c r="AA448" s="421"/>
      <c r="AB448" s="419"/>
      <c r="AC448" s="419"/>
      <c r="AD448" s="421"/>
      <c r="AE448" s="421"/>
      <c r="AF448" s="419"/>
      <c r="AG448" s="419"/>
      <c r="AH448" s="421"/>
      <c r="AI448" s="421"/>
      <c r="AJ448" s="419"/>
      <c r="AK448" s="419"/>
      <c r="AL448" s="421"/>
      <c r="AM448" s="421"/>
      <c r="AN448" s="419"/>
      <c r="AO448" s="419"/>
      <c r="AP448" s="421"/>
      <c r="AQ448" s="421"/>
      <c r="AR448" s="424">
        <f t="shared" si="169"/>
        <v>0</v>
      </c>
      <c r="AS448" s="422">
        <f t="shared" si="170"/>
        <v>0.81656920077972706</v>
      </c>
      <c r="AT448" s="425">
        <f t="shared" si="171"/>
        <v>0</v>
      </c>
      <c r="AU448" s="423">
        <f t="shared" si="172"/>
        <v>0</v>
      </c>
      <c r="AV448" s="419"/>
      <c r="AW448" s="421"/>
      <c r="AX448" s="419">
        <v>13</v>
      </c>
      <c r="AY448" s="419">
        <v>273</v>
      </c>
      <c r="AZ448" s="527">
        <v>13</v>
      </c>
      <c r="BA448" s="527">
        <v>290</v>
      </c>
      <c r="BB448" s="419">
        <v>43</v>
      </c>
      <c r="BC448" s="419">
        <v>144</v>
      </c>
      <c r="BD448" s="527">
        <v>43</v>
      </c>
      <c r="BE448" s="527">
        <v>139</v>
      </c>
      <c r="BF448" s="419">
        <v>52</v>
      </c>
      <c r="BG448" s="419">
        <v>113</v>
      </c>
      <c r="BH448" s="527">
        <v>52</v>
      </c>
      <c r="BI448" s="527">
        <v>102</v>
      </c>
      <c r="BJ448" s="419">
        <v>25</v>
      </c>
      <c r="BK448" s="419">
        <v>70</v>
      </c>
      <c r="BL448" s="527">
        <v>25</v>
      </c>
      <c r="BM448" s="527">
        <v>65</v>
      </c>
      <c r="BN448" s="419">
        <v>42</v>
      </c>
      <c r="BO448" s="419">
        <v>63</v>
      </c>
      <c r="BP448" s="527">
        <v>42</v>
      </c>
      <c r="BQ448" s="527">
        <v>64</v>
      </c>
      <c r="BR448" s="419">
        <v>54</v>
      </c>
      <c r="BS448" s="419">
        <v>32</v>
      </c>
      <c r="BT448" s="527">
        <v>31</v>
      </c>
      <c r="BU448" s="527">
        <v>27</v>
      </c>
      <c r="BV448" s="419">
        <v>1</v>
      </c>
      <c r="BW448" s="419">
        <v>28</v>
      </c>
      <c r="BX448" s="527">
        <v>1</v>
      </c>
      <c r="BY448" s="527">
        <v>26</v>
      </c>
      <c r="BZ448" s="419">
        <v>11</v>
      </c>
      <c r="CA448" s="419">
        <v>25</v>
      </c>
      <c r="CB448" s="527">
        <v>44</v>
      </c>
      <c r="CC448" s="527">
        <v>20</v>
      </c>
      <c r="CD448" s="419">
        <v>31</v>
      </c>
      <c r="CE448" s="419">
        <v>23</v>
      </c>
      <c r="CF448" s="527">
        <v>45</v>
      </c>
      <c r="CG448" s="527">
        <v>20</v>
      </c>
      <c r="CH448" s="419">
        <v>50</v>
      </c>
      <c r="CI448" s="419">
        <v>19</v>
      </c>
      <c r="CJ448" s="527">
        <v>27</v>
      </c>
      <c r="CK448" s="527">
        <v>19</v>
      </c>
      <c r="CL448" s="419">
        <v>102</v>
      </c>
      <c r="CM448" s="527">
        <v>104</v>
      </c>
      <c r="CN448" s="424">
        <f t="shared" si="173"/>
        <v>892</v>
      </c>
      <c r="CO448" s="424">
        <f t="shared" si="174"/>
        <v>10</v>
      </c>
      <c r="CP448" s="425">
        <f t="shared" si="175"/>
        <v>876</v>
      </c>
      <c r="CQ448" s="425">
        <f t="shared" si="176"/>
        <v>10</v>
      </c>
      <c r="CR448" s="419">
        <v>13</v>
      </c>
      <c r="CS448" s="419">
        <v>31</v>
      </c>
      <c r="CT448" s="527">
        <v>13</v>
      </c>
      <c r="CU448" s="527">
        <v>36</v>
      </c>
      <c r="CV448" s="419">
        <v>43</v>
      </c>
      <c r="CW448" s="419">
        <v>12</v>
      </c>
      <c r="CX448" s="527">
        <v>42</v>
      </c>
      <c r="CY448" s="527">
        <v>10</v>
      </c>
      <c r="CZ448" s="419">
        <v>42</v>
      </c>
      <c r="DA448" s="419">
        <v>6</v>
      </c>
      <c r="DB448" s="527">
        <v>43</v>
      </c>
      <c r="DC448" s="528">
        <v>9</v>
      </c>
      <c r="DD448" s="419"/>
      <c r="DE448" s="419"/>
      <c r="DF448" s="421"/>
      <c r="DG448" s="421"/>
      <c r="DH448" s="419"/>
      <c r="DI448" s="419"/>
      <c r="DJ448" s="421"/>
      <c r="DK448" s="421"/>
      <c r="DL448" s="419"/>
      <c r="DM448" s="419"/>
      <c r="DN448" s="421"/>
      <c r="DO448" s="421"/>
      <c r="DP448" s="419"/>
      <c r="DQ448" s="419"/>
      <c r="DR448" s="421"/>
      <c r="DS448" s="421"/>
      <c r="DT448" s="419"/>
      <c r="DU448" s="419"/>
      <c r="DV448" s="421"/>
      <c r="DW448" s="421"/>
      <c r="DX448" s="419"/>
      <c r="DY448" s="419"/>
      <c r="DZ448" s="421"/>
      <c r="EA448" s="421"/>
      <c r="EB448" s="419"/>
      <c r="EC448" s="419"/>
      <c r="ED448" s="421"/>
      <c r="EE448" s="421"/>
      <c r="EF448" s="419"/>
      <c r="EG448" s="421"/>
      <c r="EH448" s="424">
        <f t="shared" si="177"/>
        <v>49</v>
      </c>
      <c r="EI448" s="424">
        <f t="shared" si="178"/>
        <v>3</v>
      </c>
      <c r="EJ448" s="422">
        <f t="shared" si="179"/>
        <v>0.63265306122448983</v>
      </c>
      <c r="EK448" s="425">
        <f t="shared" si="180"/>
        <v>55</v>
      </c>
      <c r="EL448" s="425">
        <f t="shared" si="181"/>
        <v>3</v>
      </c>
      <c r="EM448" s="423">
        <f t="shared" si="182"/>
        <v>0.65454545454545454</v>
      </c>
      <c r="EN448" s="424">
        <f t="shared" si="183"/>
        <v>941</v>
      </c>
      <c r="EO448" s="425">
        <f t="shared" si="184"/>
        <v>931</v>
      </c>
      <c r="EP448" s="419"/>
      <c r="EQ448" s="421"/>
      <c r="ER448" s="419"/>
      <c r="ES448" s="421"/>
      <c r="ET448" s="419"/>
      <c r="EU448" s="421"/>
      <c r="EV448" s="419"/>
      <c r="EW448" s="421"/>
      <c r="EX448" s="419"/>
      <c r="EY448" s="421"/>
      <c r="EZ448" s="419"/>
      <c r="FA448" s="421"/>
      <c r="FB448" s="419"/>
      <c r="FC448" s="421"/>
      <c r="FD448" s="419"/>
      <c r="FE448" s="421"/>
      <c r="FF448" s="419"/>
      <c r="FG448" s="421"/>
      <c r="FH448" s="419"/>
      <c r="FI448" s="421"/>
      <c r="FJ448" s="424">
        <f t="shared" si="185"/>
        <v>0</v>
      </c>
      <c r="FK448" s="425">
        <f t="shared" si="186"/>
        <v>0</v>
      </c>
      <c r="FL448" s="419"/>
      <c r="FM448" s="421"/>
      <c r="FN448" s="424">
        <f t="shared" si="187"/>
        <v>5130</v>
      </c>
      <c r="FO448" s="425">
        <f t="shared" si="188"/>
        <v>931</v>
      </c>
    </row>
    <row r="449" spans="1:171" customFormat="1" ht="15.75" customHeight="1">
      <c r="A449" s="457" t="s">
        <v>166</v>
      </c>
      <c r="B449" s="46" t="s">
        <v>970</v>
      </c>
      <c r="C449" s="15"/>
      <c r="D449" s="44">
        <v>228431</v>
      </c>
      <c r="E449" s="44">
        <v>3</v>
      </c>
      <c r="F449" s="419"/>
      <c r="G449" s="421"/>
      <c r="H449" s="419"/>
      <c r="I449" s="421"/>
      <c r="J449" s="419"/>
      <c r="K449" s="421"/>
      <c r="L449" s="422">
        <f t="shared" si="167"/>
        <v>0</v>
      </c>
      <c r="M449" s="423">
        <f t="shared" si="168"/>
        <v>0</v>
      </c>
      <c r="N449" s="419">
        <v>2177</v>
      </c>
      <c r="O449" s="525">
        <f>0</f>
        <v>0</v>
      </c>
      <c r="P449" s="525">
        <f>0</f>
        <v>0</v>
      </c>
      <c r="Q449" s="525">
        <f>0</f>
        <v>0</v>
      </c>
      <c r="R449" s="424">
        <f t="shared" si="165"/>
        <v>0</v>
      </c>
      <c r="S449" s="434"/>
      <c r="T449" s="526">
        <f>0</f>
        <v>0</v>
      </c>
      <c r="U449" s="526">
        <f>0</f>
        <v>0</v>
      </c>
      <c r="V449" s="526">
        <f>0</f>
        <v>0</v>
      </c>
      <c r="W449" s="425">
        <f t="shared" si="166"/>
        <v>0</v>
      </c>
      <c r="X449" s="419"/>
      <c r="Y449" s="419"/>
      <c r="Z449" s="421"/>
      <c r="AA449" s="421"/>
      <c r="AB449" s="419"/>
      <c r="AC449" s="419"/>
      <c r="AD449" s="421"/>
      <c r="AE449" s="421"/>
      <c r="AF449" s="419"/>
      <c r="AG449" s="419"/>
      <c r="AH449" s="421"/>
      <c r="AI449" s="421"/>
      <c r="AJ449" s="419"/>
      <c r="AK449" s="419"/>
      <c r="AL449" s="421"/>
      <c r="AM449" s="421"/>
      <c r="AN449" s="419"/>
      <c r="AO449" s="419"/>
      <c r="AP449" s="421"/>
      <c r="AQ449" s="421"/>
      <c r="AR449" s="424">
        <f t="shared" si="169"/>
        <v>0</v>
      </c>
      <c r="AS449" s="422">
        <f t="shared" si="170"/>
        <v>0.75669099756690994</v>
      </c>
      <c r="AT449" s="425">
        <f t="shared" si="171"/>
        <v>0</v>
      </c>
      <c r="AU449" s="423">
        <f t="shared" si="172"/>
        <v>0</v>
      </c>
      <c r="AV449" s="419"/>
      <c r="AW449" s="421"/>
      <c r="AX449" s="419">
        <v>13</v>
      </c>
      <c r="AY449" s="419">
        <v>361</v>
      </c>
      <c r="AZ449" s="527">
        <v>13</v>
      </c>
      <c r="BA449" s="528">
        <v>211</v>
      </c>
      <c r="BB449" s="419">
        <v>52</v>
      </c>
      <c r="BC449" s="419">
        <v>68</v>
      </c>
      <c r="BD449" s="527">
        <v>52</v>
      </c>
      <c r="BE449" s="527">
        <v>78</v>
      </c>
      <c r="BF449" s="419">
        <v>44</v>
      </c>
      <c r="BG449" s="419">
        <v>63</v>
      </c>
      <c r="BH449" s="527">
        <v>51</v>
      </c>
      <c r="BI449" s="527">
        <v>65</v>
      </c>
      <c r="BJ449" s="419">
        <v>51</v>
      </c>
      <c r="BK449" s="419">
        <v>52</v>
      </c>
      <c r="BL449" s="527">
        <v>44</v>
      </c>
      <c r="BM449" s="527">
        <v>61</v>
      </c>
      <c r="BN449" s="419">
        <v>50</v>
      </c>
      <c r="BO449" s="419">
        <v>28</v>
      </c>
      <c r="BP449" s="527">
        <v>50</v>
      </c>
      <c r="BQ449" s="527">
        <v>25</v>
      </c>
      <c r="BR449" s="419">
        <v>19</v>
      </c>
      <c r="BS449" s="419">
        <v>23</v>
      </c>
      <c r="BT449" s="527">
        <v>19</v>
      </c>
      <c r="BU449" s="527">
        <v>23</v>
      </c>
      <c r="BV449" s="419">
        <v>9</v>
      </c>
      <c r="BW449" s="419">
        <v>16</v>
      </c>
      <c r="BX449" s="527">
        <v>31</v>
      </c>
      <c r="BY449" s="527">
        <v>19</v>
      </c>
      <c r="BZ449" s="419">
        <v>42</v>
      </c>
      <c r="CA449" s="419">
        <v>12</v>
      </c>
      <c r="CB449" s="527">
        <v>9</v>
      </c>
      <c r="CC449" s="527">
        <v>14</v>
      </c>
      <c r="CD449" s="419">
        <v>31</v>
      </c>
      <c r="CE449" s="419">
        <v>11</v>
      </c>
      <c r="CF449" s="527">
        <v>30</v>
      </c>
      <c r="CG449" s="527">
        <v>11</v>
      </c>
      <c r="CH449" s="419">
        <v>40</v>
      </c>
      <c r="CI449" s="419">
        <v>10</v>
      </c>
      <c r="CJ449" s="527">
        <v>42</v>
      </c>
      <c r="CK449" s="527">
        <v>11</v>
      </c>
      <c r="CL449" s="419">
        <v>39</v>
      </c>
      <c r="CM449" s="527">
        <v>33</v>
      </c>
      <c r="CN449" s="424">
        <f t="shared" si="173"/>
        <v>683</v>
      </c>
      <c r="CO449" s="424">
        <f t="shared" si="174"/>
        <v>10</v>
      </c>
      <c r="CP449" s="425">
        <f t="shared" si="175"/>
        <v>551</v>
      </c>
      <c r="CQ449" s="425">
        <f t="shared" si="176"/>
        <v>10</v>
      </c>
      <c r="CR449" s="419">
        <v>13</v>
      </c>
      <c r="CS449" s="419">
        <v>11</v>
      </c>
      <c r="CT449" s="527">
        <v>13</v>
      </c>
      <c r="CU449" s="529">
        <v>5</v>
      </c>
      <c r="CV449" s="419">
        <v>42</v>
      </c>
      <c r="CW449" s="419">
        <v>6</v>
      </c>
      <c r="CX449" s="527">
        <v>42</v>
      </c>
      <c r="CY449" s="529">
        <v>1</v>
      </c>
      <c r="CZ449" s="419"/>
      <c r="DA449" s="419"/>
      <c r="DB449" s="421"/>
      <c r="DC449" s="421"/>
      <c r="DD449" s="419"/>
      <c r="DE449" s="419"/>
      <c r="DF449" s="421"/>
      <c r="DG449" s="421"/>
      <c r="DH449" s="419"/>
      <c r="DI449" s="419"/>
      <c r="DJ449" s="421"/>
      <c r="DK449" s="421"/>
      <c r="DL449" s="419"/>
      <c r="DM449" s="419"/>
      <c r="DN449" s="421"/>
      <c r="DO449" s="421"/>
      <c r="DP449" s="419"/>
      <c r="DQ449" s="419"/>
      <c r="DR449" s="421"/>
      <c r="DS449" s="421"/>
      <c r="DT449" s="419"/>
      <c r="DU449" s="419"/>
      <c r="DV449" s="421"/>
      <c r="DW449" s="421"/>
      <c r="DX449" s="419"/>
      <c r="DY449" s="419"/>
      <c r="DZ449" s="421"/>
      <c r="EA449" s="421"/>
      <c r="EB449" s="419"/>
      <c r="EC449" s="419"/>
      <c r="ED449" s="421"/>
      <c r="EE449" s="421"/>
      <c r="EF449" s="419"/>
      <c r="EG449" s="421"/>
      <c r="EH449" s="424">
        <f t="shared" si="177"/>
        <v>17</v>
      </c>
      <c r="EI449" s="424">
        <f t="shared" si="178"/>
        <v>2</v>
      </c>
      <c r="EJ449" s="422">
        <f t="shared" si="179"/>
        <v>0.6470588235294118</v>
      </c>
      <c r="EK449" s="425">
        <f t="shared" si="180"/>
        <v>6</v>
      </c>
      <c r="EL449" s="425">
        <f t="shared" si="181"/>
        <v>2</v>
      </c>
      <c r="EM449" s="423">
        <f t="shared" si="182"/>
        <v>0.83333333333333337</v>
      </c>
      <c r="EN449" s="424">
        <f t="shared" si="183"/>
        <v>700</v>
      </c>
      <c r="EO449" s="425">
        <f t="shared" si="184"/>
        <v>557</v>
      </c>
      <c r="EP449" s="419"/>
      <c r="EQ449" s="421"/>
      <c r="ER449" s="419"/>
      <c r="ES449" s="421"/>
      <c r="ET449" s="419"/>
      <c r="EU449" s="421"/>
      <c r="EV449" s="419"/>
      <c r="EW449" s="421"/>
      <c r="EX449" s="419"/>
      <c r="EY449" s="421"/>
      <c r="EZ449" s="419"/>
      <c r="FA449" s="421"/>
      <c r="FB449" s="419"/>
      <c r="FC449" s="421"/>
      <c r="FD449" s="419"/>
      <c r="FE449" s="421"/>
      <c r="FF449" s="419"/>
      <c r="FG449" s="421"/>
      <c r="FH449" s="419"/>
      <c r="FI449" s="421"/>
      <c r="FJ449" s="424">
        <f t="shared" si="185"/>
        <v>0</v>
      </c>
      <c r="FK449" s="425">
        <f t="shared" si="186"/>
        <v>0</v>
      </c>
      <c r="FL449" s="419"/>
      <c r="FM449" s="421"/>
      <c r="FN449" s="424">
        <f t="shared" si="187"/>
        <v>2877</v>
      </c>
      <c r="FO449" s="425">
        <f t="shared" si="188"/>
        <v>557</v>
      </c>
    </row>
    <row r="450" spans="1:171" customFormat="1" ht="15.75" customHeight="1">
      <c r="A450" s="457" t="s">
        <v>166</v>
      </c>
      <c r="B450" s="46" t="s">
        <v>971</v>
      </c>
      <c r="C450" s="15"/>
      <c r="D450" s="44">
        <v>228501</v>
      </c>
      <c r="E450" s="44">
        <v>3</v>
      </c>
      <c r="F450" s="419"/>
      <c r="G450" s="421"/>
      <c r="H450" s="419"/>
      <c r="I450" s="421"/>
      <c r="J450" s="419"/>
      <c r="K450" s="421"/>
      <c r="L450" s="422">
        <f t="shared" si="167"/>
        <v>0</v>
      </c>
      <c r="M450" s="423">
        <f t="shared" si="168"/>
        <v>0</v>
      </c>
      <c r="N450" s="419">
        <v>181</v>
      </c>
      <c r="O450" s="525">
        <f>0</f>
        <v>0</v>
      </c>
      <c r="P450" s="525">
        <f>0</f>
        <v>0</v>
      </c>
      <c r="Q450" s="525">
        <f>0</f>
        <v>0</v>
      </c>
      <c r="R450" s="424">
        <f t="shared" si="165"/>
        <v>0</v>
      </c>
      <c r="S450" s="434"/>
      <c r="T450" s="526">
        <f>0</f>
        <v>0</v>
      </c>
      <c r="U450" s="526">
        <f>0</f>
        <v>0</v>
      </c>
      <c r="V450" s="526">
        <f>0</f>
        <v>0</v>
      </c>
      <c r="W450" s="425">
        <f t="shared" si="166"/>
        <v>0</v>
      </c>
      <c r="X450" s="419"/>
      <c r="Y450" s="419"/>
      <c r="Z450" s="421"/>
      <c r="AA450" s="421"/>
      <c r="AB450" s="419"/>
      <c r="AC450" s="419"/>
      <c r="AD450" s="421"/>
      <c r="AE450" s="421"/>
      <c r="AF450" s="419"/>
      <c r="AG450" s="419"/>
      <c r="AH450" s="421"/>
      <c r="AI450" s="421"/>
      <c r="AJ450" s="419"/>
      <c r="AK450" s="419"/>
      <c r="AL450" s="421"/>
      <c r="AM450" s="421"/>
      <c r="AN450" s="419"/>
      <c r="AO450" s="419"/>
      <c r="AP450" s="421"/>
      <c r="AQ450" s="421"/>
      <c r="AR450" s="424">
        <f t="shared" si="169"/>
        <v>0</v>
      </c>
      <c r="AS450" s="422">
        <f t="shared" si="170"/>
        <v>0.48525469168900803</v>
      </c>
      <c r="AT450" s="425">
        <f t="shared" si="171"/>
        <v>0</v>
      </c>
      <c r="AU450" s="423">
        <f t="shared" si="172"/>
        <v>0</v>
      </c>
      <c r="AV450" s="419"/>
      <c r="AW450" s="421"/>
      <c r="AX450" s="419">
        <v>13</v>
      </c>
      <c r="AY450" s="419">
        <v>116</v>
      </c>
      <c r="AZ450" s="527">
        <v>13</v>
      </c>
      <c r="BA450" s="528">
        <v>85</v>
      </c>
      <c r="BB450" s="419">
        <v>3</v>
      </c>
      <c r="BC450" s="419">
        <v>16</v>
      </c>
      <c r="BD450" s="527">
        <v>52</v>
      </c>
      <c r="BE450" s="527">
        <v>18</v>
      </c>
      <c r="BF450" s="419">
        <v>31</v>
      </c>
      <c r="BG450" s="419">
        <v>16</v>
      </c>
      <c r="BH450" s="527">
        <v>3</v>
      </c>
      <c r="BI450" s="527">
        <v>14</v>
      </c>
      <c r="BJ450" s="419">
        <v>43</v>
      </c>
      <c r="BK450" s="419">
        <v>12</v>
      </c>
      <c r="BL450" s="527">
        <v>31</v>
      </c>
      <c r="BM450" s="527">
        <v>14</v>
      </c>
      <c r="BN450" s="419">
        <v>1</v>
      </c>
      <c r="BO450" s="419">
        <v>8</v>
      </c>
      <c r="BP450" s="527">
        <v>43</v>
      </c>
      <c r="BQ450" s="527">
        <v>9</v>
      </c>
      <c r="BR450" s="419">
        <v>40</v>
      </c>
      <c r="BS450" s="419">
        <v>7</v>
      </c>
      <c r="BT450" s="527">
        <v>44</v>
      </c>
      <c r="BU450" s="527">
        <v>8</v>
      </c>
      <c r="BV450" s="419">
        <v>52</v>
      </c>
      <c r="BW450" s="419">
        <v>5</v>
      </c>
      <c r="BX450" s="527">
        <v>1</v>
      </c>
      <c r="BY450" s="527">
        <v>6</v>
      </c>
      <c r="BZ450" s="419">
        <v>54</v>
      </c>
      <c r="CA450" s="419">
        <v>5</v>
      </c>
      <c r="CB450" s="527">
        <v>54</v>
      </c>
      <c r="CC450" s="527">
        <v>5</v>
      </c>
      <c r="CD450" s="419">
        <v>44</v>
      </c>
      <c r="CE450" s="419">
        <v>3</v>
      </c>
      <c r="CF450" s="527">
        <v>23</v>
      </c>
      <c r="CG450" s="528">
        <v>2</v>
      </c>
      <c r="CH450" s="419">
        <v>26</v>
      </c>
      <c r="CI450" s="419">
        <v>2</v>
      </c>
      <c r="CJ450" s="527">
        <v>26</v>
      </c>
      <c r="CK450" s="527">
        <v>2</v>
      </c>
      <c r="CL450" s="419">
        <v>2</v>
      </c>
      <c r="CM450" s="529">
        <v>4</v>
      </c>
      <c r="CN450" s="424">
        <f t="shared" si="173"/>
        <v>192</v>
      </c>
      <c r="CO450" s="424">
        <f t="shared" si="174"/>
        <v>10</v>
      </c>
      <c r="CP450" s="425">
        <f t="shared" si="175"/>
        <v>167</v>
      </c>
      <c r="CQ450" s="425">
        <f t="shared" si="176"/>
        <v>10</v>
      </c>
      <c r="CR450" s="419"/>
      <c r="CS450" s="419"/>
      <c r="CT450" s="529">
        <v>0</v>
      </c>
      <c r="CU450" s="527">
        <v>0</v>
      </c>
      <c r="CV450" s="419"/>
      <c r="CW450" s="419"/>
      <c r="CX450" s="529">
        <v>0</v>
      </c>
      <c r="CY450" s="527">
        <v>0</v>
      </c>
      <c r="CZ450" s="419"/>
      <c r="DA450" s="419"/>
      <c r="DB450" s="421"/>
      <c r="DC450" s="421"/>
      <c r="DD450" s="419"/>
      <c r="DE450" s="419"/>
      <c r="DF450" s="421"/>
      <c r="DG450" s="421"/>
      <c r="DH450" s="419"/>
      <c r="DI450" s="419"/>
      <c r="DJ450" s="421"/>
      <c r="DK450" s="421"/>
      <c r="DL450" s="419"/>
      <c r="DM450" s="419"/>
      <c r="DN450" s="421"/>
      <c r="DO450" s="421"/>
      <c r="DP450" s="419"/>
      <c r="DQ450" s="419"/>
      <c r="DR450" s="421"/>
      <c r="DS450" s="421"/>
      <c r="DT450" s="419"/>
      <c r="DU450" s="419"/>
      <c r="DV450" s="421"/>
      <c r="DW450" s="421"/>
      <c r="DX450" s="419"/>
      <c r="DY450" s="419"/>
      <c r="DZ450" s="421"/>
      <c r="EA450" s="421"/>
      <c r="EB450" s="419"/>
      <c r="EC450" s="419"/>
      <c r="ED450" s="421"/>
      <c r="EE450" s="421"/>
      <c r="EF450" s="419"/>
      <c r="EG450" s="421"/>
      <c r="EH450" s="424">
        <f t="shared" si="177"/>
        <v>0</v>
      </c>
      <c r="EI450" s="424">
        <f t="shared" si="178"/>
        <v>0</v>
      </c>
      <c r="EJ450" s="422">
        <f t="shared" si="179"/>
        <v>0</v>
      </c>
      <c r="EK450" s="425">
        <f t="shared" si="180"/>
        <v>0</v>
      </c>
      <c r="EL450" s="425">
        <f t="shared" si="181"/>
        <v>2</v>
      </c>
      <c r="EM450" s="423">
        <f t="shared" si="182"/>
        <v>0</v>
      </c>
      <c r="EN450" s="424">
        <f t="shared" si="183"/>
        <v>192</v>
      </c>
      <c r="EO450" s="425">
        <f t="shared" si="184"/>
        <v>167</v>
      </c>
      <c r="EP450" s="419"/>
      <c r="EQ450" s="421"/>
      <c r="ER450" s="419"/>
      <c r="ES450" s="421"/>
      <c r="ET450" s="419"/>
      <c r="EU450" s="421"/>
      <c r="EV450" s="419"/>
      <c r="EW450" s="421"/>
      <c r="EX450" s="419"/>
      <c r="EY450" s="421"/>
      <c r="EZ450" s="419"/>
      <c r="FA450" s="421"/>
      <c r="FB450" s="419"/>
      <c r="FC450" s="421"/>
      <c r="FD450" s="419"/>
      <c r="FE450" s="421"/>
      <c r="FF450" s="419"/>
      <c r="FG450" s="421"/>
      <c r="FH450" s="419"/>
      <c r="FI450" s="421"/>
      <c r="FJ450" s="424">
        <f t="shared" si="185"/>
        <v>0</v>
      </c>
      <c r="FK450" s="425">
        <f t="shared" si="186"/>
        <v>0</v>
      </c>
      <c r="FL450" s="419"/>
      <c r="FM450" s="421"/>
      <c r="FN450" s="424">
        <f t="shared" si="187"/>
        <v>373</v>
      </c>
      <c r="FO450" s="425">
        <f t="shared" si="188"/>
        <v>167</v>
      </c>
    </row>
    <row r="451" spans="1:171" customFormat="1" ht="15.75" customHeight="1">
      <c r="A451" s="457" t="s">
        <v>166</v>
      </c>
      <c r="B451" s="46" t="s">
        <v>972</v>
      </c>
      <c r="C451" s="15"/>
      <c r="D451" s="44">
        <v>228529</v>
      </c>
      <c r="E451" s="44">
        <v>3</v>
      </c>
      <c r="F451" s="419"/>
      <c r="G451" s="421"/>
      <c r="H451" s="419"/>
      <c r="I451" s="421"/>
      <c r="J451" s="419">
        <v>37</v>
      </c>
      <c r="K451" s="421">
        <v>32</v>
      </c>
      <c r="L451" s="422">
        <f t="shared" si="167"/>
        <v>1.4612954186413903E-2</v>
      </c>
      <c r="M451" s="423">
        <f t="shared" si="168"/>
        <v>0</v>
      </c>
      <c r="N451" s="419">
        <v>2532</v>
      </c>
      <c r="O451" s="525">
        <f>0</f>
        <v>0</v>
      </c>
      <c r="P451" s="525">
        <f>0</f>
        <v>0</v>
      </c>
      <c r="Q451" s="525">
        <f>0</f>
        <v>0</v>
      </c>
      <c r="R451" s="424">
        <f t="shared" si="165"/>
        <v>0</v>
      </c>
      <c r="S451" s="434"/>
      <c r="T451" s="526">
        <f>0</f>
        <v>0</v>
      </c>
      <c r="U451" s="526">
        <f>0</f>
        <v>0</v>
      </c>
      <c r="V451" s="526">
        <f>0</f>
        <v>0</v>
      </c>
      <c r="W451" s="425">
        <f t="shared" si="166"/>
        <v>0</v>
      </c>
      <c r="X451" s="419"/>
      <c r="Y451" s="419"/>
      <c r="Z451" s="421"/>
      <c r="AA451" s="421"/>
      <c r="AB451" s="419"/>
      <c r="AC451" s="419"/>
      <c r="AD451" s="421"/>
      <c r="AE451" s="421"/>
      <c r="AF451" s="419"/>
      <c r="AG451" s="419"/>
      <c r="AH451" s="421"/>
      <c r="AI451" s="421"/>
      <c r="AJ451" s="419"/>
      <c r="AK451" s="419"/>
      <c r="AL451" s="421"/>
      <c r="AM451" s="421"/>
      <c r="AN451" s="419"/>
      <c r="AO451" s="419"/>
      <c r="AP451" s="421"/>
      <c r="AQ451" s="421"/>
      <c r="AR451" s="424">
        <f t="shared" si="169"/>
        <v>0</v>
      </c>
      <c r="AS451" s="422">
        <f t="shared" si="170"/>
        <v>0.78609127600124185</v>
      </c>
      <c r="AT451" s="425">
        <f t="shared" si="171"/>
        <v>0</v>
      </c>
      <c r="AU451" s="423">
        <f t="shared" si="172"/>
        <v>0</v>
      </c>
      <c r="AV451" s="419"/>
      <c r="AW451" s="421"/>
      <c r="AX451" s="419">
        <v>52</v>
      </c>
      <c r="AY451" s="419">
        <v>190</v>
      </c>
      <c r="AZ451" s="527">
        <v>52</v>
      </c>
      <c r="BA451" s="527">
        <v>168</v>
      </c>
      <c r="BB451" s="419">
        <v>13</v>
      </c>
      <c r="BC451" s="419">
        <v>142</v>
      </c>
      <c r="BD451" s="527">
        <v>13</v>
      </c>
      <c r="BE451" s="527">
        <v>127</v>
      </c>
      <c r="BF451" s="419">
        <v>44</v>
      </c>
      <c r="BG451" s="419">
        <v>76</v>
      </c>
      <c r="BH451" s="527">
        <v>44</v>
      </c>
      <c r="BI451" s="528">
        <v>57</v>
      </c>
      <c r="BJ451" s="419">
        <v>1</v>
      </c>
      <c r="BK451" s="419">
        <v>49</v>
      </c>
      <c r="BL451" s="527">
        <v>1</v>
      </c>
      <c r="BM451" s="527">
        <v>40</v>
      </c>
      <c r="BN451" s="419">
        <v>42</v>
      </c>
      <c r="BO451" s="419">
        <v>34</v>
      </c>
      <c r="BP451" s="527">
        <v>31</v>
      </c>
      <c r="BQ451" s="527">
        <v>37</v>
      </c>
      <c r="BR451" s="419">
        <v>31</v>
      </c>
      <c r="BS451" s="419">
        <v>30</v>
      </c>
      <c r="BT451" s="527">
        <v>42</v>
      </c>
      <c r="BU451" s="527">
        <v>34</v>
      </c>
      <c r="BV451" s="419">
        <v>11</v>
      </c>
      <c r="BW451" s="419">
        <v>24</v>
      </c>
      <c r="BX451" s="527">
        <v>43</v>
      </c>
      <c r="BY451" s="528">
        <v>32</v>
      </c>
      <c r="BZ451" s="419">
        <v>43</v>
      </c>
      <c r="CA451" s="419">
        <v>21</v>
      </c>
      <c r="CB451" s="527">
        <v>51</v>
      </c>
      <c r="CC451" s="528">
        <v>28</v>
      </c>
      <c r="CD451" s="419">
        <v>51</v>
      </c>
      <c r="CE451" s="419">
        <v>18</v>
      </c>
      <c r="CF451" s="527">
        <v>11</v>
      </c>
      <c r="CG451" s="527">
        <v>20</v>
      </c>
      <c r="CH451" s="419">
        <v>9</v>
      </c>
      <c r="CI451" s="419">
        <v>16</v>
      </c>
      <c r="CJ451" s="527">
        <v>26</v>
      </c>
      <c r="CK451" s="527">
        <v>15</v>
      </c>
      <c r="CL451" s="419">
        <v>32</v>
      </c>
      <c r="CM451" s="527">
        <v>36</v>
      </c>
      <c r="CN451" s="424">
        <f t="shared" si="173"/>
        <v>632</v>
      </c>
      <c r="CO451" s="424">
        <f t="shared" si="174"/>
        <v>10</v>
      </c>
      <c r="CP451" s="425">
        <f t="shared" si="175"/>
        <v>594</v>
      </c>
      <c r="CQ451" s="425">
        <f t="shared" si="176"/>
        <v>10</v>
      </c>
      <c r="CR451" s="419">
        <v>13</v>
      </c>
      <c r="CS451" s="419">
        <v>20</v>
      </c>
      <c r="CT451" s="527">
        <v>13</v>
      </c>
      <c r="CU451" s="527">
        <v>24</v>
      </c>
      <c r="CV451" s="419"/>
      <c r="CW451" s="419"/>
      <c r="CX451" s="529">
        <v>0</v>
      </c>
      <c r="CY451" s="527">
        <v>0</v>
      </c>
      <c r="CZ451" s="419"/>
      <c r="DA451" s="419"/>
      <c r="DB451" s="421"/>
      <c r="DC451" s="421"/>
      <c r="DD451" s="419"/>
      <c r="DE451" s="419"/>
      <c r="DF451" s="421"/>
      <c r="DG451" s="421"/>
      <c r="DH451" s="419"/>
      <c r="DI451" s="419"/>
      <c r="DJ451" s="421"/>
      <c r="DK451" s="421"/>
      <c r="DL451" s="419"/>
      <c r="DM451" s="419"/>
      <c r="DN451" s="421"/>
      <c r="DO451" s="421"/>
      <c r="DP451" s="419"/>
      <c r="DQ451" s="419"/>
      <c r="DR451" s="421"/>
      <c r="DS451" s="421"/>
      <c r="DT451" s="419"/>
      <c r="DU451" s="419"/>
      <c r="DV451" s="421"/>
      <c r="DW451" s="421"/>
      <c r="DX451" s="419"/>
      <c r="DY451" s="419"/>
      <c r="DZ451" s="421"/>
      <c r="EA451" s="421"/>
      <c r="EB451" s="419"/>
      <c r="EC451" s="419"/>
      <c r="ED451" s="421"/>
      <c r="EE451" s="421"/>
      <c r="EF451" s="419"/>
      <c r="EG451" s="421"/>
      <c r="EH451" s="424">
        <f t="shared" si="177"/>
        <v>20</v>
      </c>
      <c r="EI451" s="424">
        <f t="shared" si="178"/>
        <v>1</v>
      </c>
      <c r="EJ451" s="422">
        <f t="shared" si="179"/>
        <v>1</v>
      </c>
      <c r="EK451" s="425">
        <f t="shared" si="180"/>
        <v>24</v>
      </c>
      <c r="EL451" s="425">
        <f t="shared" si="181"/>
        <v>2</v>
      </c>
      <c r="EM451" s="423">
        <f t="shared" si="182"/>
        <v>1</v>
      </c>
      <c r="EN451" s="424">
        <f t="shared" si="183"/>
        <v>652</v>
      </c>
      <c r="EO451" s="425">
        <f t="shared" si="184"/>
        <v>618</v>
      </c>
      <c r="EP451" s="419"/>
      <c r="EQ451" s="421"/>
      <c r="ER451" s="419"/>
      <c r="ES451" s="421"/>
      <c r="ET451" s="419"/>
      <c r="EU451" s="421"/>
      <c r="EV451" s="419"/>
      <c r="EW451" s="421"/>
      <c r="EX451" s="419"/>
      <c r="EY451" s="421"/>
      <c r="EZ451" s="419"/>
      <c r="FA451" s="421"/>
      <c r="FB451" s="419"/>
      <c r="FC451" s="421"/>
      <c r="FD451" s="419"/>
      <c r="FE451" s="421"/>
      <c r="FF451" s="419"/>
      <c r="FG451" s="421"/>
      <c r="FH451" s="419"/>
      <c r="FI451" s="421"/>
      <c r="FJ451" s="424">
        <f t="shared" si="185"/>
        <v>0</v>
      </c>
      <c r="FK451" s="425">
        <f t="shared" si="186"/>
        <v>0</v>
      </c>
      <c r="FL451" s="419"/>
      <c r="FM451" s="421"/>
      <c r="FN451" s="424">
        <f t="shared" si="187"/>
        <v>3221</v>
      </c>
      <c r="FO451" s="425">
        <f t="shared" si="188"/>
        <v>650</v>
      </c>
    </row>
    <row r="452" spans="1:171" customFormat="1" ht="15.75" customHeight="1">
      <c r="A452" s="457" t="s">
        <v>166</v>
      </c>
      <c r="B452" s="46" t="s">
        <v>973</v>
      </c>
      <c r="C452" s="15"/>
      <c r="D452" s="44">
        <v>226152</v>
      </c>
      <c r="E452" s="44">
        <v>3</v>
      </c>
      <c r="F452" s="419"/>
      <c r="G452" s="421"/>
      <c r="H452" s="419"/>
      <c r="I452" s="421"/>
      <c r="J452" s="419"/>
      <c r="K452" s="421"/>
      <c r="L452" s="422">
        <f t="shared" si="167"/>
        <v>0</v>
      </c>
      <c r="M452" s="423">
        <f t="shared" si="168"/>
        <v>0</v>
      </c>
      <c r="N452" s="419">
        <v>1207</v>
      </c>
      <c r="O452" s="525">
        <f>0</f>
        <v>0</v>
      </c>
      <c r="P452" s="525">
        <f>0</f>
        <v>0</v>
      </c>
      <c r="Q452" s="525">
        <f>0</f>
        <v>0</v>
      </c>
      <c r="R452" s="424">
        <f t="shared" si="165"/>
        <v>0</v>
      </c>
      <c r="S452" s="434"/>
      <c r="T452" s="526">
        <f>0</f>
        <v>0</v>
      </c>
      <c r="U452" s="526">
        <f>0</f>
        <v>0</v>
      </c>
      <c r="V452" s="526">
        <f>0</f>
        <v>0</v>
      </c>
      <c r="W452" s="425">
        <f t="shared" si="166"/>
        <v>0</v>
      </c>
      <c r="X452" s="419"/>
      <c r="Y452" s="419"/>
      <c r="Z452" s="421"/>
      <c r="AA452" s="421"/>
      <c r="AB452" s="419"/>
      <c r="AC452" s="419"/>
      <c r="AD452" s="421"/>
      <c r="AE452" s="421"/>
      <c r="AF452" s="419"/>
      <c r="AG452" s="419"/>
      <c r="AH452" s="421"/>
      <c r="AI452" s="421"/>
      <c r="AJ452" s="419"/>
      <c r="AK452" s="419"/>
      <c r="AL452" s="421"/>
      <c r="AM452" s="421"/>
      <c r="AN452" s="419"/>
      <c r="AO452" s="419"/>
      <c r="AP452" s="421"/>
      <c r="AQ452" s="421"/>
      <c r="AR452" s="424">
        <f t="shared" si="169"/>
        <v>0</v>
      </c>
      <c r="AS452" s="422">
        <f t="shared" si="170"/>
        <v>0.78888888888888886</v>
      </c>
      <c r="AT452" s="425">
        <f t="shared" si="171"/>
        <v>0</v>
      </c>
      <c r="AU452" s="423">
        <f t="shared" si="172"/>
        <v>0</v>
      </c>
      <c r="AV452" s="419"/>
      <c r="AW452" s="421"/>
      <c r="AX452" s="419">
        <v>52</v>
      </c>
      <c r="AY452" s="419">
        <v>97</v>
      </c>
      <c r="AZ452" s="527">
        <v>13</v>
      </c>
      <c r="BA452" s="529">
        <v>159</v>
      </c>
      <c r="BB452" s="419">
        <v>13</v>
      </c>
      <c r="BC452" s="419">
        <v>96</v>
      </c>
      <c r="BD452" s="527">
        <v>52</v>
      </c>
      <c r="BE452" s="528">
        <v>130</v>
      </c>
      <c r="BF452" s="419">
        <v>42</v>
      </c>
      <c r="BG452" s="419">
        <v>22</v>
      </c>
      <c r="BH452" s="527">
        <v>43</v>
      </c>
      <c r="BI452" s="527">
        <v>24</v>
      </c>
      <c r="BJ452" s="419">
        <v>11</v>
      </c>
      <c r="BK452" s="419">
        <v>16</v>
      </c>
      <c r="BL452" s="527">
        <v>42</v>
      </c>
      <c r="BM452" s="528">
        <v>20</v>
      </c>
      <c r="BN452" s="419">
        <v>51</v>
      </c>
      <c r="BO452" s="419">
        <v>15</v>
      </c>
      <c r="BP452" s="527">
        <v>51</v>
      </c>
      <c r="BQ452" s="527">
        <v>18</v>
      </c>
      <c r="BR452" s="419">
        <v>30</v>
      </c>
      <c r="BS452" s="419">
        <v>14</v>
      </c>
      <c r="BT452" s="527">
        <v>11</v>
      </c>
      <c r="BU452" s="528">
        <v>9</v>
      </c>
      <c r="BV452" s="419">
        <v>43</v>
      </c>
      <c r="BW452" s="419">
        <v>12</v>
      </c>
      <c r="BX452" s="527">
        <v>44</v>
      </c>
      <c r="BY452" s="528">
        <v>9</v>
      </c>
      <c r="BZ452" s="419">
        <v>23</v>
      </c>
      <c r="CA452" s="419">
        <v>11</v>
      </c>
      <c r="CB452" s="527">
        <v>23</v>
      </c>
      <c r="CC452" s="528">
        <v>8</v>
      </c>
      <c r="CD452" s="419">
        <v>27</v>
      </c>
      <c r="CE452" s="419">
        <v>9</v>
      </c>
      <c r="CF452" s="527">
        <v>26</v>
      </c>
      <c r="CG452" s="527">
        <v>8</v>
      </c>
      <c r="CH452" s="419">
        <v>44</v>
      </c>
      <c r="CI452" s="419">
        <v>9</v>
      </c>
      <c r="CJ452" s="527">
        <v>27</v>
      </c>
      <c r="CK452" s="527">
        <v>8</v>
      </c>
      <c r="CL452" s="419">
        <v>13</v>
      </c>
      <c r="CM452" s="527">
        <v>14</v>
      </c>
      <c r="CN452" s="424">
        <f t="shared" si="173"/>
        <v>314</v>
      </c>
      <c r="CO452" s="424">
        <f t="shared" si="174"/>
        <v>10</v>
      </c>
      <c r="CP452" s="425">
        <f t="shared" si="175"/>
        <v>407</v>
      </c>
      <c r="CQ452" s="425">
        <f t="shared" si="176"/>
        <v>10</v>
      </c>
      <c r="CR452" s="419">
        <v>52</v>
      </c>
      <c r="CS452" s="419">
        <v>9</v>
      </c>
      <c r="CT452" s="527">
        <v>52</v>
      </c>
      <c r="CU452" s="529">
        <v>2</v>
      </c>
      <c r="CV452" s="419"/>
      <c r="CW452" s="419"/>
      <c r="CX452" s="529">
        <v>0</v>
      </c>
      <c r="CY452" s="527">
        <v>0</v>
      </c>
      <c r="CZ452" s="419"/>
      <c r="DA452" s="419"/>
      <c r="DB452" s="421"/>
      <c r="DC452" s="421"/>
      <c r="DD452" s="419"/>
      <c r="DE452" s="419"/>
      <c r="DF452" s="421"/>
      <c r="DG452" s="421"/>
      <c r="DH452" s="419"/>
      <c r="DI452" s="419"/>
      <c r="DJ452" s="421"/>
      <c r="DK452" s="421"/>
      <c r="DL452" s="419"/>
      <c r="DM452" s="419"/>
      <c r="DN452" s="421"/>
      <c r="DO452" s="421"/>
      <c r="DP452" s="419"/>
      <c r="DQ452" s="419"/>
      <c r="DR452" s="421"/>
      <c r="DS452" s="421"/>
      <c r="DT452" s="419"/>
      <c r="DU452" s="419"/>
      <c r="DV452" s="421"/>
      <c r="DW452" s="421"/>
      <c r="DX452" s="419"/>
      <c r="DY452" s="419"/>
      <c r="DZ452" s="421"/>
      <c r="EA452" s="421"/>
      <c r="EB452" s="419"/>
      <c r="EC452" s="419"/>
      <c r="ED452" s="421"/>
      <c r="EE452" s="421"/>
      <c r="EF452" s="419"/>
      <c r="EG452" s="421"/>
      <c r="EH452" s="424">
        <f t="shared" si="177"/>
        <v>9</v>
      </c>
      <c r="EI452" s="424">
        <f t="shared" si="178"/>
        <v>1</v>
      </c>
      <c r="EJ452" s="422">
        <f t="shared" si="179"/>
        <v>1</v>
      </c>
      <c r="EK452" s="425">
        <f t="shared" si="180"/>
        <v>2</v>
      </c>
      <c r="EL452" s="425">
        <f t="shared" si="181"/>
        <v>2</v>
      </c>
      <c r="EM452" s="423">
        <f t="shared" si="182"/>
        <v>1</v>
      </c>
      <c r="EN452" s="424">
        <f t="shared" si="183"/>
        <v>323</v>
      </c>
      <c r="EO452" s="425">
        <f t="shared" si="184"/>
        <v>409</v>
      </c>
      <c r="EP452" s="419"/>
      <c r="EQ452" s="421"/>
      <c r="ER452" s="419"/>
      <c r="ES452" s="421"/>
      <c r="ET452" s="419"/>
      <c r="EU452" s="421"/>
      <c r="EV452" s="419"/>
      <c r="EW452" s="421"/>
      <c r="EX452" s="419"/>
      <c r="EY452" s="421"/>
      <c r="EZ452" s="419"/>
      <c r="FA452" s="421"/>
      <c r="FB452" s="419"/>
      <c r="FC452" s="421"/>
      <c r="FD452" s="419"/>
      <c r="FE452" s="421"/>
      <c r="FF452" s="419"/>
      <c r="FG452" s="421"/>
      <c r="FH452" s="419"/>
      <c r="FI452" s="421"/>
      <c r="FJ452" s="424">
        <f t="shared" si="185"/>
        <v>0</v>
      </c>
      <c r="FK452" s="425">
        <f t="shared" si="186"/>
        <v>0</v>
      </c>
      <c r="FL452" s="419"/>
      <c r="FM452" s="421"/>
      <c r="FN452" s="424">
        <f t="shared" si="187"/>
        <v>1530</v>
      </c>
      <c r="FO452" s="425">
        <f t="shared" si="188"/>
        <v>409</v>
      </c>
    </row>
    <row r="453" spans="1:171" customFormat="1" ht="15.75" customHeight="1">
      <c r="A453" s="457" t="s">
        <v>166</v>
      </c>
      <c r="B453" s="46" t="s">
        <v>974</v>
      </c>
      <c r="C453" s="15"/>
      <c r="D453" s="44">
        <v>224554</v>
      </c>
      <c r="E453" s="44">
        <v>3</v>
      </c>
      <c r="F453" s="419"/>
      <c r="G453" s="421"/>
      <c r="H453" s="419"/>
      <c r="I453" s="421"/>
      <c r="J453" s="419"/>
      <c r="K453" s="421"/>
      <c r="L453" s="422">
        <f t="shared" si="167"/>
        <v>0</v>
      </c>
      <c r="M453" s="423">
        <f t="shared" si="168"/>
        <v>0</v>
      </c>
      <c r="N453" s="419">
        <v>1773</v>
      </c>
      <c r="O453" s="525">
        <f>0</f>
        <v>0</v>
      </c>
      <c r="P453" s="525">
        <f>0</f>
        <v>0</v>
      </c>
      <c r="Q453" s="525">
        <f>0</f>
        <v>0</v>
      </c>
      <c r="R453" s="424">
        <f t="shared" si="165"/>
        <v>0</v>
      </c>
      <c r="S453" s="434"/>
      <c r="T453" s="526">
        <f>0</f>
        <v>0</v>
      </c>
      <c r="U453" s="526">
        <f>0</f>
        <v>0</v>
      </c>
      <c r="V453" s="526">
        <f>0</f>
        <v>0</v>
      </c>
      <c r="W453" s="425">
        <f t="shared" si="166"/>
        <v>0</v>
      </c>
      <c r="X453" s="419"/>
      <c r="Y453" s="419"/>
      <c r="Z453" s="421"/>
      <c r="AA453" s="421"/>
      <c r="AB453" s="419"/>
      <c r="AC453" s="419"/>
      <c r="AD453" s="421"/>
      <c r="AE453" s="421"/>
      <c r="AF453" s="419"/>
      <c r="AG453" s="419"/>
      <c r="AH453" s="421"/>
      <c r="AI453" s="421"/>
      <c r="AJ453" s="419"/>
      <c r="AK453" s="419"/>
      <c r="AL453" s="421"/>
      <c r="AM453" s="421"/>
      <c r="AN453" s="419"/>
      <c r="AO453" s="419"/>
      <c r="AP453" s="421"/>
      <c r="AQ453" s="421"/>
      <c r="AR453" s="424">
        <f t="shared" si="169"/>
        <v>0</v>
      </c>
      <c r="AS453" s="422">
        <f t="shared" si="170"/>
        <v>0.52878019683865196</v>
      </c>
      <c r="AT453" s="425">
        <f t="shared" si="171"/>
        <v>0</v>
      </c>
      <c r="AU453" s="423">
        <f t="shared" si="172"/>
        <v>0</v>
      </c>
      <c r="AV453" s="419"/>
      <c r="AW453" s="421"/>
      <c r="AX453" s="419">
        <v>52</v>
      </c>
      <c r="AY453" s="419">
        <v>615</v>
      </c>
      <c r="AZ453" s="527">
        <v>52</v>
      </c>
      <c r="BA453" s="527">
        <v>543</v>
      </c>
      <c r="BB453" s="419">
        <v>13</v>
      </c>
      <c r="BC453" s="419">
        <v>344</v>
      </c>
      <c r="BD453" s="527">
        <v>13</v>
      </c>
      <c r="BE453" s="527">
        <v>279</v>
      </c>
      <c r="BF453" s="419">
        <v>11</v>
      </c>
      <c r="BG453" s="419">
        <v>111</v>
      </c>
      <c r="BH453" s="527">
        <v>11</v>
      </c>
      <c r="BI453" s="528">
        <v>64</v>
      </c>
      <c r="BJ453" s="419">
        <v>44</v>
      </c>
      <c r="BK453" s="419">
        <v>78</v>
      </c>
      <c r="BL453" s="527">
        <v>44</v>
      </c>
      <c r="BM453" s="528">
        <v>62</v>
      </c>
      <c r="BN453" s="419">
        <v>25</v>
      </c>
      <c r="BO453" s="419">
        <v>50</v>
      </c>
      <c r="BP453" s="527">
        <v>25</v>
      </c>
      <c r="BQ453" s="527">
        <v>58</v>
      </c>
      <c r="BR453" s="419">
        <v>45</v>
      </c>
      <c r="BS453" s="419">
        <v>43</v>
      </c>
      <c r="BT453" s="527">
        <v>31</v>
      </c>
      <c r="BU453" s="528">
        <v>32</v>
      </c>
      <c r="BV453" s="419">
        <v>31</v>
      </c>
      <c r="BW453" s="419">
        <v>42</v>
      </c>
      <c r="BX453" s="527">
        <v>50</v>
      </c>
      <c r="BY453" s="528">
        <v>31</v>
      </c>
      <c r="BZ453" s="419">
        <v>26</v>
      </c>
      <c r="CA453" s="419">
        <v>33</v>
      </c>
      <c r="CB453" s="527">
        <v>40</v>
      </c>
      <c r="CC453" s="527">
        <v>30</v>
      </c>
      <c r="CD453" s="419">
        <v>15</v>
      </c>
      <c r="CE453" s="419">
        <v>29</v>
      </c>
      <c r="CF453" s="527">
        <v>16</v>
      </c>
      <c r="CG453" s="527">
        <v>27</v>
      </c>
      <c r="CH453" s="419">
        <v>50</v>
      </c>
      <c r="CI453" s="419">
        <v>29</v>
      </c>
      <c r="CJ453" s="527">
        <v>45</v>
      </c>
      <c r="CK453" s="527">
        <v>27</v>
      </c>
      <c r="CL453" s="419">
        <v>136</v>
      </c>
      <c r="CM453" s="528">
        <v>108</v>
      </c>
      <c r="CN453" s="424">
        <f t="shared" si="173"/>
        <v>1510</v>
      </c>
      <c r="CO453" s="424">
        <f t="shared" si="174"/>
        <v>10</v>
      </c>
      <c r="CP453" s="425">
        <f t="shared" si="175"/>
        <v>1261</v>
      </c>
      <c r="CQ453" s="425">
        <f t="shared" si="176"/>
        <v>10</v>
      </c>
      <c r="CR453" s="419">
        <v>13</v>
      </c>
      <c r="CS453" s="419">
        <v>63</v>
      </c>
      <c r="CT453" s="527">
        <v>13</v>
      </c>
      <c r="CU453" s="527">
        <v>56</v>
      </c>
      <c r="CV453" s="419">
        <v>23</v>
      </c>
      <c r="CW453" s="419">
        <v>6</v>
      </c>
      <c r="CX453" s="527">
        <v>23</v>
      </c>
      <c r="CY453" s="528">
        <v>4</v>
      </c>
      <c r="CZ453" s="419">
        <v>42</v>
      </c>
      <c r="DA453" s="419">
        <v>1</v>
      </c>
      <c r="DB453" s="527">
        <v>42</v>
      </c>
      <c r="DC453" s="529">
        <v>2</v>
      </c>
      <c r="DD453" s="419"/>
      <c r="DE453" s="419"/>
      <c r="DF453" s="421"/>
      <c r="DG453" s="421"/>
      <c r="DH453" s="419"/>
      <c r="DI453" s="419"/>
      <c r="DJ453" s="421"/>
      <c r="DK453" s="421"/>
      <c r="DL453" s="419"/>
      <c r="DM453" s="419"/>
      <c r="DN453" s="421"/>
      <c r="DO453" s="421"/>
      <c r="DP453" s="419"/>
      <c r="DQ453" s="419"/>
      <c r="DR453" s="421"/>
      <c r="DS453" s="421"/>
      <c r="DT453" s="419"/>
      <c r="DU453" s="419"/>
      <c r="DV453" s="421"/>
      <c r="DW453" s="421"/>
      <c r="DX453" s="419"/>
      <c r="DY453" s="419"/>
      <c r="DZ453" s="421"/>
      <c r="EA453" s="421"/>
      <c r="EB453" s="419"/>
      <c r="EC453" s="419"/>
      <c r="ED453" s="421"/>
      <c r="EE453" s="421"/>
      <c r="EF453" s="419"/>
      <c r="EG453" s="421"/>
      <c r="EH453" s="424">
        <f t="shared" si="177"/>
        <v>70</v>
      </c>
      <c r="EI453" s="424">
        <f t="shared" si="178"/>
        <v>3</v>
      </c>
      <c r="EJ453" s="422">
        <f t="shared" si="179"/>
        <v>0.9</v>
      </c>
      <c r="EK453" s="425">
        <f t="shared" si="180"/>
        <v>62</v>
      </c>
      <c r="EL453" s="425">
        <f t="shared" si="181"/>
        <v>3</v>
      </c>
      <c r="EM453" s="423">
        <f t="shared" si="182"/>
        <v>0.90322580645161288</v>
      </c>
      <c r="EN453" s="424">
        <f t="shared" si="183"/>
        <v>1580</v>
      </c>
      <c r="EO453" s="425">
        <f t="shared" si="184"/>
        <v>1323</v>
      </c>
      <c r="EP453" s="419"/>
      <c r="EQ453" s="421"/>
      <c r="ER453" s="419"/>
      <c r="ES453" s="421"/>
      <c r="ET453" s="419"/>
      <c r="EU453" s="421"/>
      <c r="EV453" s="419"/>
      <c r="EW453" s="421"/>
      <c r="EX453" s="419"/>
      <c r="EY453" s="421"/>
      <c r="EZ453" s="419"/>
      <c r="FA453" s="421"/>
      <c r="FB453" s="419"/>
      <c r="FC453" s="421"/>
      <c r="FD453" s="419"/>
      <c r="FE453" s="421"/>
      <c r="FF453" s="419"/>
      <c r="FG453" s="421"/>
      <c r="FH453" s="419"/>
      <c r="FI453" s="421"/>
      <c r="FJ453" s="424">
        <f t="shared" si="185"/>
        <v>0</v>
      </c>
      <c r="FK453" s="425">
        <f t="shared" si="186"/>
        <v>0</v>
      </c>
      <c r="FL453" s="419"/>
      <c r="FM453" s="421"/>
      <c r="FN453" s="424">
        <f t="shared" si="187"/>
        <v>3353</v>
      </c>
      <c r="FO453" s="425">
        <f t="shared" si="188"/>
        <v>1323</v>
      </c>
    </row>
    <row r="454" spans="1:171" customFormat="1" ht="15.75" customHeight="1">
      <c r="A454" s="457" t="s">
        <v>166</v>
      </c>
      <c r="B454" s="46" t="s">
        <v>975</v>
      </c>
      <c r="C454" s="15" t="s">
        <v>633</v>
      </c>
      <c r="D454" s="44">
        <v>224147</v>
      </c>
      <c r="E454" s="44">
        <v>3</v>
      </c>
      <c r="F454" s="419"/>
      <c r="G454" s="421"/>
      <c r="H454" s="419"/>
      <c r="I454" s="421"/>
      <c r="J454" s="419"/>
      <c r="K454" s="421"/>
      <c r="L454" s="422">
        <f t="shared" si="167"/>
        <v>0</v>
      </c>
      <c r="M454" s="423">
        <f t="shared" si="168"/>
        <v>0</v>
      </c>
      <c r="N454" s="419">
        <v>1779</v>
      </c>
      <c r="O454" s="525">
        <f>0</f>
        <v>0</v>
      </c>
      <c r="P454" s="525">
        <f>0</f>
        <v>0</v>
      </c>
      <c r="Q454" s="525">
        <f>0</f>
        <v>0</v>
      </c>
      <c r="R454" s="424">
        <f t="shared" si="165"/>
        <v>0</v>
      </c>
      <c r="S454" s="434"/>
      <c r="T454" s="526">
        <f>0</f>
        <v>0</v>
      </c>
      <c r="U454" s="526">
        <f>0</f>
        <v>0</v>
      </c>
      <c r="V454" s="526">
        <f>0</f>
        <v>0</v>
      </c>
      <c r="W454" s="425">
        <f t="shared" si="166"/>
        <v>0</v>
      </c>
      <c r="X454" s="419"/>
      <c r="Y454" s="419"/>
      <c r="Z454" s="421"/>
      <c r="AA454" s="421"/>
      <c r="AB454" s="419"/>
      <c r="AC454" s="419"/>
      <c r="AD454" s="421"/>
      <c r="AE454" s="421"/>
      <c r="AF454" s="419"/>
      <c r="AG454" s="419"/>
      <c r="AH454" s="421"/>
      <c r="AI454" s="421"/>
      <c r="AJ454" s="419"/>
      <c r="AK454" s="419"/>
      <c r="AL454" s="421"/>
      <c r="AM454" s="421"/>
      <c r="AN454" s="419"/>
      <c r="AO454" s="419"/>
      <c r="AP454" s="421"/>
      <c r="AQ454" s="421"/>
      <c r="AR454" s="424">
        <f t="shared" si="169"/>
        <v>0</v>
      </c>
      <c r="AS454" s="422">
        <f t="shared" si="170"/>
        <v>0.71618357487922701</v>
      </c>
      <c r="AT454" s="425">
        <f t="shared" si="171"/>
        <v>0</v>
      </c>
      <c r="AU454" s="423">
        <f t="shared" si="172"/>
        <v>0</v>
      </c>
      <c r="AV454" s="419"/>
      <c r="AW454" s="421"/>
      <c r="AX454" s="419">
        <v>52</v>
      </c>
      <c r="AY454" s="419">
        <v>339</v>
      </c>
      <c r="AZ454" s="527">
        <v>52</v>
      </c>
      <c r="BA454" s="528">
        <v>409</v>
      </c>
      <c r="BB454" s="419">
        <v>13</v>
      </c>
      <c r="BC454" s="419">
        <v>109</v>
      </c>
      <c r="BD454" s="527">
        <v>13</v>
      </c>
      <c r="BE454" s="527">
        <v>100</v>
      </c>
      <c r="BF454" s="419">
        <v>51</v>
      </c>
      <c r="BG454" s="419">
        <v>94</v>
      </c>
      <c r="BH454" s="527">
        <v>51</v>
      </c>
      <c r="BI454" s="527">
        <v>92</v>
      </c>
      <c r="BJ454" s="419">
        <v>11</v>
      </c>
      <c r="BK454" s="419">
        <v>23</v>
      </c>
      <c r="BL454" s="527">
        <v>31</v>
      </c>
      <c r="BM454" s="528">
        <v>28</v>
      </c>
      <c r="BN454" s="419">
        <v>44</v>
      </c>
      <c r="BO454" s="419">
        <v>19</v>
      </c>
      <c r="BP454" s="527">
        <v>44</v>
      </c>
      <c r="BQ454" s="528">
        <v>28</v>
      </c>
      <c r="BR454" s="419">
        <v>9</v>
      </c>
      <c r="BS454" s="419">
        <v>14</v>
      </c>
      <c r="BT454" s="527">
        <v>11</v>
      </c>
      <c r="BU454" s="529">
        <v>26</v>
      </c>
      <c r="BV454" s="419">
        <v>14</v>
      </c>
      <c r="BW454" s="419">
        <v>9</v>
      </c>
      <c r="BX454" s="527">
        <v>3</v>
      </c>
      <c r="BY454" s="527">
        <v>9</v>
      </c>
      <c r="BZ454" s="419">
        <v>3</v>
      </c>
      <c r="CA454" s="419">
        <v>7</v>
      </c>
      <c r="CB454" s="527">
        <v>26</v>
      </c>
      <c r="CC454" s="528">
        <v>9</v>
      </c>
      <c r="CD454" s="419">
        <v>23</v>
      </c>
      <c r="CE454" s="419">
        <v>7</v>
      </c>
      <c r="CF454" s="527">
        <v>9</v>
      </c>
      <c r="CG454" s="527">
        <v>8</v>
      </c>
      <c r="CH454" s="419">
        <v>31</v>
      </c>
      <c r="CI454" s="419">
        <v>7</v>
      </c>
      <c r="CJ454" s="527">
        <v>42</v>
      </c>
      <c r="CK454" s="527">
        <v>8</v>
      </c>
      <c r="CL454" s="419">
        <v>31</v>
      </c>
      <c r="CM454" s="527">
        <v>27</v>
      </c>
      <c r="CN454" s="424">
        <f t="shared" si="173"/>
        <v>659</v>
      </c>
      <c r="CO454" s="424">
        <f t="shared" si="174"/>
        <v>10</v>
      </c>
      <c r="CP454" s="425">
        <f t="shared" si="175"/>
        <v>744</v>
      </c>
      <c r="CQ454" s="425">
        <f t="shared" si="176"/>
        <v>10</v>
      </c>
      <c r="CR454" s="419">
        <v>13</v>
      </c>
      <c r="CS454" s="419">
        <v>28</v>
      </c>
      <c r="CT454" s="527">
        <v>13</v>
      </c>
      <c r="CU454" s="529">
        <v>13</v>
      </c>
      <c r="CV454" s="419">
        <v>51</v>
      </c>
      <c r="CW454" s="419">
        <v>9</v>
      </c>
      <c r="CX454" s="527">
        <v>51</v>
      </c>
      <c r="CY454" s="528">
        <v>11</v>
      </c>
      <c r="CZ454" s="419">
        <v>3</v>
      </c>
      <c r="DA454" s="419">
        <v>5</v>
      </c>
      <c r="DB454" s="527">
        <v>30</v>
      </c>
      <c r="DC454" s="527">
        <v>6</v>
      </c>
      <c r="DD454" s="419">
        <v>26</v>
      </c>
      <c r="DE454" s="419">
        <v>3</v>
      </c>
      <c r="DF454" s="527">
        <v>26</v>
      </c>
      <c r="DG454" s="527">
        <v>3</v>
      </c>
      <c r="DH454" s="419">
        <v>11</v>
      </c>
      <c r="DI454" s="419">
        <v>1</v>
      </c>
      <c r="DJ454" s="421"/>
      <c r="DK454" s="434"/>
      <c r="DL454" s="419"/>
      <c r="DM454" s="419"/>
      <c r="DN454" s="421"/>
      <c r="DO454" s="421"/>
      <c r="DP454" s="419"/>
      <c r="DQ454" s="419"/>
      <c r="DR454" s="421"/>
      <c r="DS454" s="421"/>
      <c r="DT454" s="419"/>
      <c r="DU454" s="419"/>
      <c r="DV454" s="421"/>
      <c r="DW454" s="421"/>
      <c r="DX454" s="419"/>
      <c r="DY454" s="419"/>
      <c r="DZ454" s="421"/>
      <c r="EA454" s="421"/>
      <c r="EB454" s="419"/>
      <c r="EC454" s="419"/>
      <c r="ED454" s="421"/>
      <c r="EE454" s="421"/>
      <c r="EF454" s="419"/>
      <c r="EG454" s="421"/>
      <c r="EH454" s="424">
        <f t="shared" si="177"/>
        <v>46</v>
      </c>
      <c r="EI454" s="424">
        <f t="shared" si="178"/>
        <v>5</v>
      </c>
      <c r="EJ454" s="422">
        <f t="shared" si="179"/>
        <v>0.60869565217391308</v>
      </c>
      <c r="EK454" s="425">
        <f t="shared" si="180"/>
        <v>33</v>
      </c>
      <c r="EL454" s="425">
        <f t="shared" si="181"/>
        <v>4</v>
      </c>
      <c r="EM454" s="423">
        <f t="shared" si="182"/>
        <v>0.39393939393939392</v>
      </c>
      <c r="EN454" s="424">
        <f t="shared" si="183"/>
        <v>705</v>
      </c>
      <c r="EO454" s="425">
        <f t="shared" si="184"/>
        <v>777</v>
      </c>
      <c r="EP454" s="419"/>
      <c r="EQ454" s="421"/>
      <c r="ER454" s="419"/>
      <c r="ES454" s="421"/>
      <c r="ET454" s="419"/>
      <c r="EU454" s="421"/>
      <c r="EV454" s="419"/>
      <c r="EW454" s="421"/>
      <c r="EX454" s="419"/>
      <c r="EY454" s="421"/>
      <c r="EZ454" s="419"/>
      <c r="FA454" s="421"/>
      <c r="FB454" s="419"/>
      <c r="FC454" s="421"/>
      <c r="FD454" s="419"/>
      <c r="FE454" s="421"/>
      <c r="FF454" s="419"/>
      <c r="FG454" s="421"/>
      <c r="FH454" s="419"/>
      <c r="FI454" s="421"/>
      <c r="FJ454" s="424">
        <f t="shared" si="185"/>
        <v>0</v>
      </c>
      <c r="FK454" s="425">
        <f t="shared" si="186"/>
        <v>0</v>
      </c>
      <c r="FL454" s="419"/>
      <c r="FM454" s="421"/>
      <c r="FN454" s="424">
        <f t="shared" si="187"/>
        <v>2484</v>
      </c>
      <c r="FO454" s="425">
        <f t="shared" si="188"/>
        <v>777</v>
      </c>
    </row>
    <row r="455" spans="1:171" customFormat="1" ht="15.75" customHeight="1">
      <c r="A455" s="457" t="s">
        <v>166</v>
      </c>
      <c r="B455" s="46" t="s">
        <v>976</v>
      </c>
      <c r="C455" s="15"/>
      <c r="D455" s="44">
        <v>228705</v>
      </c>
      <c r="E455" s="44">
        <v>3</v>
      </c>
      <c r="F455" s="419"/>
      <c r="G455" s="421"/>
      <c r="H455" s="419"/>
      <c r="I455" s="421"/>
      <c r="J455" s="419"/>
      <c r="K455" s="421"/>
      <c r="L455" s="422">
        <f t="shared" si="167"/>
        <v>0</v>
      </c>
      <c r="M455" s="423">
        <f t="shared" si="168"/>
        <v>0</v>
      </c>
      <c r="N455" s="419">
        <v>1101</v>
      </c>
      <c r="O455" s="525">
        <f>0</f>
        <v>0</v>
      </c>
      <c r="P455" s="525">
        <f>0</f>
        <v>0</v>
      </c>
      <c r="Q455" s="525">
        <f>0</f>
        <v>0</v>
      </c>
      <c r="R455" s="424">
        <f t="shared" si="165"/>
        <v>0</v>
      </c>
      <c r="S455" s="434"/>
      <c r="T455" s="526">
        <f>0</f>
        <v>0</v>
      </c>
      <c r="U455" s="526">
        <f>0</f>
        <v>0</v>
      </c>
      <c r="V455" s="526">
        <f>0</f>
        <v>0</v>
      </c>
      <c r="W455" s="425">
        <f t="shared" si="166"/>
        <v>0</v>
      </c>
      <c r="X455" s="419"/>
      <c r="Y455" s="419"/>
      <c r="Z455" s="421"/>
      <c r="AA455" s="421"/>
      <c r="AB455" s="419"/>
      <c r="AC455" s="419"/>
      <c r="AD455" s="421"/>
      <c r="AE455" s="421"/>
      <c r="AF455" s="419"/>
      <c r="AG455" s="419"/>
      <c r="AH455" s="421"/>
      <c r="AI455" s="421"/>
      <c r="AJ455" s="419"/>
      <c r="AK455" s="419"/>
      <c r="AL455" s="421"/>
      <c r="AM455" s="421"/>
      <c r="AN455" s="419"/>
      <c r="AO455" s="419"/>
      <c r="AP455" s="421"/>
      <c r="AQ455" s="421"/>
      <c r="AR455" s="424">
        <f t="shared" si="169"/>
        <v>0</v>
      </c>
      <c r="AS455" s="422">
        <f t="shared" si="170"/>
        <v>0.60896017699115046</v>
      </c>
      <c r="AT455" s="425">
        <f t="shared" si="171"/>
        <v>0</v>
      </c>
      <c r="AU455" s="423">
        <f t="shared" si="172"/>
        <v>0</v>
      </c>
      <c r="AV455" s="419"/>
      <c r="AW455" s="421"/>
      <c r="AX455" s="419">
        <v>14</v>
      </c>
      <c r="AY455" s="419">
        <v>245</v>
      </c>
      <c r="AZ455" s="527">
        <v>11</v>
      </c>
      <c r="BA455" s="528">
        <v>136</v>
      </c>
      <c r="BB455" s="419">
        <v>11</v>
      </c>
      <c r="BC455" s="419">
        <v>120</v>
      </c>
      <c r="BD455" s="527">
        <v>14</v>
      </c>
      <c r="BE455" s="527">
        <v>98</v>
      </c>
      <c r="BF455" s="419">
        <v>13</v>
      </c>
      <c r="BG455" s="419">
        <v>87</v>
      </c>
      <c r="BH455" s="527">
        <v>52</v>
      </c>
      <c r="BI455" s="527">
        <v>85</v>
      </c>
      <c r="BJ455" s="419">
        <v>52</v>
      </c>
      <c r="BK455" s="419">
        <v>59</v>
      </c>
      <c r="BL455" s="527">
        <v>13</v>
      </c>
      <c r="BM455" s="527">
        <v>66</v>
      </c>
      <c r="BN455" s="419">
        <v>1</v>
      </c>
      <c r="BO455" s="419">
        <v>42</v>
      </c>
      <c r="BP455" s="527">
        <v>51</v>
      </c>
      <c r="BQ455" s="528">
        <v>32</v>
      </c>
      <c r="BR455" s="419">
        <v>51</v>
      </c>
      <c r="BS455" s="419">
        <v>31</v>
      </c>
      <c r="BT455" s="527">
        <v>45</v>
      </c>
      <c r="BU455" s="528">
        <v>23</v>
      </c>
      <c r="BV455" s="419">
        <v>15</v>
      </c>
      <c r="BW455" s="419">
        <v>21</v>
      </c>
      <c r="BX455" s="527">
        <v>1</v>
      </c>
      <c r="BY455" s="527">
        <v>21</v>
      </c>
      <c r="BZ455" s="419">
        <v>45</v>
      </c>
      <c r="CA455" s="419">
        <v>17</v>
      </c>
      <c r="CB455" s="527">
        <v>15</v>
      </c>
      <c r="CC455" s="527">
        <v>19</v>
      </c>
      <c r="CD455" s="419">
        <v>44</v>
      </c>
      <c r="CE455" s="419">
        <v>12</v>
      </c>
      <c r="CF455" s="527">
        <v>44</v>
      </c>
      <c r="CG455" s="528">
        <v>18</v>
      </c>
      <c r="CH455" s="419">
        <v>40</v>
      </c>
      <c r="CI455" s="419">
        <v>11</v>
      </c>
      <c r="CJ455" s="527">
        <v>3</v>
      </c>
      <c r="CK455" s="528">
        <v>14</v>
      </c>
      <c r="CL455" s="419">
        <v>40</v>
      </c>
      <c r="CM455" s="528">
        <v>53</v>
      </c>
      <c r="CN455" s="424">
        <f t="shared" si="173"/>
        <v>685</v>
      </c>
      <c r="CO455" s="424">
        <f t="shared" si="174"/>
        <v>10</v>
      </c>
      <c r="CP455" s="425">
        <f t="shared" si="175"/>
        <v>565</v>
      </c>
      <c r="CQ455" s="425">
        <f t="shared" si="176"/>
        <v>10</v>
      </c>
      <c r="CR455" s="419">
        <v>13</v>
      </c>
      <c r="CS455" s="419">
        <v>14</v>
      </c>
      <c r="CT455" s="527">
        <v>14</v>
      </c>
      <c r="CU455" s="527">
        <v>15</v>
      </c>
      <c r="CV455" s="419">
        <v>14</v>
      </c>
      <c r="CW455" s="419">
        <v>5</v>
      </c>
      <c r="CX455" s="527">
        <v>13</v>
      </c>
      <c r="CY455" s="530">
        <v>12</v>
      </c>
      <c r="CZ455" s="419">
        <v>3</v>
      </c>
      <c r="DA455" s="419">
        <v>3</v>
      </c>
      <c r="DB455" s="527">
        <v>3</v>
      </c>
      <c r="DC455" s="527">
        <v>3</v>
      </c>
      <c r="DD455" s="419"/>
      <c r="DE455" s="419"/>
      <c r="DF455" s="421"/>
      <c r="DG455" s="421"/>
      <c r="DH455" s="419"/>
      <c r="DI455" s="419"/>
      <c r="DJ455" s="421"/>
      <c r="DK455" s="421"/>
      <c r="DL455" s="419"/>
      <c r="DM455" s="419"/>
      <c r="DN455" s="421"/>
      <c r="DO455" s="421"/>
      <c r="DP455" s="419"/>
      <c r="DQ455" s="419"/>
      <c r="DR455" s="421"/>
      <c r="DS455" s="421"/>
      <c r="DT455" s="419"/>
      <c r="DU455" s="419"/>
      <c r="DV455" s="421"/>
      <c r="DW455" s="421"/>
      <c r="DX455" s="419"/>
      <c r="DY455" s="419"/>
      <c r="DZ455" s="421"/>
      <c r="EA455" s="421"/>
      <c r="EB455" s="419"/>
      <c r="EC455" s="419"/>
      <c r="ED455" s="421"/>
      <c r="EE455" s="421"/>
      <c r="EF455" s="419"/>
      <c r="EG455" s="421"/>
      <c r="EH455" s="424">
        <f t="shared" si="177"/>
        <v>22</v>
      </c>
      <c r="EI455" s="424">
        <f t="shared" si="178"/>
        <v>3</v>
      </c>
      <c r="EJ455" s="422">
        <f t="shared" si="179"/>
        <v>0.63636363636363635</v>
      </c>
      <c r="EK455" s="425">
        <f t="shared" si="180"/>
        <v>30</v>
      </c>
      <c r="EL455" s="425">
        <f t="shared" si="181"/>
        <v>3</v>
      </c>
      <c r="EM455" s="423">
        <f t="shared" si="182"/>
        <v>0.5</v>
      </c>
      <c r="EN455" s="424">
        <f t="shared" si="183"/>
        <v>707</v>
      </c>
      <c r="EO455" s="425">
        <f t="shared" si="184"/>
        <v>595</v>
      </c>
      <c r="EP455" s="419"/>
      <c r="EQ455" s="421"/>
      <c r="ER455" s="419"/>
      <c r="ES455" s="421"/>
      <c r="ET455" s="419"/>
      <c r="EU455" s="421"/>
      <c r="EV455" s="419"/>
      <c r="EW455" s="421"/>
      <c r="EX455" s="419"/>
      <c r="EY455" s="421"/>
      <c r="EZ455" s="419"/>
      <c r="FA455" s="421"/>
      <c r="FB455" s="419"/>
      <c r="FC455" s="421"/>
      <c r="FD455" s="419"/>
      <c r="FE455" s="421"/>
      <c r="FF455" s="419"/>
      <c r="FG455" s="421"/>
      <c r="FH455" s="419"/>
      <c r="FI455" s="421"/>
      <c r="FJ455" s="424">
        <f t="shared" si="185"/>
        <v>0</v>
      </c>
      <c r="FK455" s="425">
        <f t="shared" si="186"/>
        <v>0</v>
      </c>
      <c r="FL455" s="419"/>
      <c r="FM455" s="421"/>
      <c r="FN455" s="424">
        <f t="shared" si="187"/>
        <v>1808</v>
      </c>
      <c r="FO455" s="425">
        <f t="shared" si="188"/>
        <v>595</v>
      </c>
    </row>
    <row r="456" spans="1:171" customFormat="1" ht="15.75" customHeight="1">
      <c r="A456" s="457" t="s">
        <v>166</v>
      </c>
      <c r="B456" s="46" t="s">
        <v>977</v>
      </c>
      <c r="C456" s="15"/>
      <c r="D456" s="44">
        <v>229063</v>
      </c>
      <c r="E456" s="44">
        <v>3</v>
      </c>
      <c r="F456" s="419"/>
      <c r="G456" s="421"/>
      <c r="H456" s="419"/>
      <c r="I456" s="421"/>
      <c r="J456" s="419"/>
      <c r="K456" s="421"/>
      <c r="L456" s="422">
        <f t="shared" si="167"/>
        <v>0</v>
      </c>
      <c r="M456" s="423">
        <f t="shared" si="168"/>
        <v>0</v>
      </c>
      <c r="N456" s="419">
        <v>1091</v>
      </c>
      <c r="O456" s="525">
        <f>0</f>
        <v>0</v>
      </c>
      <c r="P456" s="525">
        <f>0</f>
        <v>0</v>
      </c>
      <c r="Q456" s="525">
        <f>0</f>
        <v>0</v>
      </c>
      <c r="R456" s="424">
        <f t="shared" si="165"/>
        <v>0</v>
      </c>
      <c r="S456" s="434"/>
      <c r="T456" s="526">
        <f>0</f>
        <v>0</v>
      </c>
      <c r="U456" s="526">
        <f>0</f>
        <v>0</v>
      </c>
      <c r="V456" s="526">
        <f>0</f>
        <v>0</v>
      </c>
      <c r="W456" s="425">
        <f t="shared" si="166"/>
        <v>0</v>
      </c>
      <c r="X456" s="419"/>
      <c r="Y456" s="419"/>
      <c r="Z456" s="421"/>
      <c r="AA456" s="421"/>
      <c r="AB456" s="419"/>
      <c r="AC456" s="419"/>
      <c r="AD456" s="421"/>
      <c r="AE456" s="421"/>
      <c r="AF456" s="419"/>
      <c r="AG456" s="419"/>
      <c r="AH456" s="421"/>
      <c r="AI456" s="421"/>
      <c r="AJ456" s="419"/>
      <c r="AK456" s="419"/>
      <c r="AL456" s="421"/>
      <c r="AM456" s="421"/>
      <c r="AN456" s="419"/>
      <c r="AO456" s="419"/>
      <c r="AP456" s="421"/>
      <c r="AQ456" s="421"/>
      <c r="AR456" s="424">
        <f t="shared" si="169"/>
        <v>0</v>
      </c>
      <c r="AS456" s="422">
        <f t="shared" si="170"/>
        <v>0.63763880771478665</v>
      </c>
      <c r="AT456" s="425">
        <f t="shared" si="171"/>
        <v>0</v>
      </c>
      <c r="AU456" s="423">
        <f t="shared" si="172"/>
        <v>0</v>
      </c>
      <c r="AV456" s="419"/>
      <c r="AW456" s="421"/>
      <c r="AX456" s="419">
        <v>52</v>
      </c>
      <c r="AY456" s="419">
        <v>87</v>
      </c>
      <c r="AZ456" s="527">
        <v>44</v>
      </c>
      <c r="BA456" s="528">
        <v>57</v>
      </c>
      <c r="BB456" s="419">
        <v>44</v>
      </c>
      <c r="BC456" s="419">
        <v>75</v>
      </c>
      <c r="BD456" s="527">
        <v>52</v>
      </c>
      <c r="BE456" s="528">
        <v>54</v>
      </c>
      <c r="BF456" s="419">
        <v>9</v>
      </c>
      <c r="BG456" s="419">
        <v>28</v>
      </c>
      <c r="BH456" s="527">
        <v>9</v>
      </c>
      <c r="BI456" s="528">
        <v>21</v>
      </c>
      <c r="BJ456" s="419">
        <v>13</v>
      </c>
      <c r="BK456" s="419">
        <v>25</v>
      </c>
      <c r="BL456" s="527">
        <v>13</v>
      </c>
      <c r="BM456" s="528">
        <v>16</v>
      </c>
      <c r="BN456" s="419">
        <v>31</v>
      </c>
      <c r="BO456" s="419">
        <v>20</v>
      </c>
      <c r="BP456" s="527">
        <v>31</v>
      </c>
      <c r="BQ456" s="528">
        <v>14</v>
      </c>
      <c r="BR456" s="419">
        <v>51</v>
      </c>
      <c r="BS456" s="419">
        <v>13</v>
      </c>
      <c r="BT456" s="527">
        <v>43</v>
      </c>
      <c r="BU456" s="527">
        <v>12</v>
      </c>
      <c r="BV456" s="419">
        <v>22</v>
      </c>
      <c r="BW456" s="419">
        <v>10</v>
      </c>
      <c r="BX456" s="527">
        <v>11</v>
      </c>
      <c r="BY456" s="527">
        <v>10</v>
      </c>
      <c r="BZ456" s="419">
        <v>26</v>
      </c>
      <c r="CA456" s="419">
        <v>10</v>
      </c>
      <c r="CB456" s="527">
        <v>51</v>
      </c>
      <c r="CC456" s="527">
        <v>10</v>
      </c>
      <c r="CD456" s="419">
        <v>11</v>
      </c>
      <c r="CE456" s="419">
        <v>9</v>
      </c>
      <c r="CF456" s="527">
        <v>42</v>
      </c>
      <c r="CG456" s="528">
        <v>7</v>
      </c>
      <c r="CH456" s="419">
        <v>42</v>
      </c>
      <c r="CI456" s="419">
        <v>8</v>
      </c>
      <c r="CJ456" s="527">
        <v>22</v>
      </c>
      <c r="CK456" s="528">
        <v>6</v>
      </c>
      <c r="CL456" s="419">
        <v>32</v>
      </c>
      <c r="CM456" s="528">
        <v>22</v>
      </c>
      <c r="CN456" s="424">
        <f t="shared" si="173"/>
        <v>317</v>
      </c>
      <c r="CO456" s="424">
        <f t="shared" si="174"/>
        <v>10</v>
      </c>
      <c r="CP456" s="425">
        <f t="shared" si="175"/>
        <v>229</v>
      </c>
      <c r="CQ456" s="425">
        <f t="shared" si="176"/>
        <v>10</v>
      </c>
      <c r="CR456" s="419">
        <v>13</v>
      </c>
      <c r="CS456" s="419">
        <v>9</v>
      </c>
      <c r="CT456" s="527">
        <v>13</v>
      </c>
      <c r="CU456" s="528">
        <v>7</v>
      </c>
      <c r="CV456" s="419">
        <v>4</v>
      </c>
      <c r="CW456" s="419">
        <v>6</v>
      </c>
      <c r="CX456" s="527">
        <v>26</v>
      </c>
      <c r="CY456" s="527">
        <v>6</v>
      </c>
      <c r="CZ456" s="419">
        <v>26</v>
      </c>
      <c r="DA456" s="419">
        <v>5</v>
      </c>
      <c r="DB456" s="527">
        <v>4</v>
      </c>
      <c r="DC456" s="528">
        <v>3</v>
      </c>
      <c r="DD456" s="419">
        <v>43</v>
      </c>
      <c r="DE456" s="419">
        <v>2</v>
      </c>
      <c r="DF456" s="527">
        <v>43</v>
      </c>
      <c r="DG456" s="528">
        <v>3</v>
      </c>
      <c r="DH456" s="419">
        <v>51</v>
      </c>
      <c r="DI456" s="419">
        <v>1</v>
      </c>
      <c r="DJ456" s="527">
        <v>51</v>
      </c>
      <c r="DK456" s="530">
        <v>3</v>
      </c>
      <c r="DL456" s="419"/>
      <c r="DM456" s="419"/>
      <c r="DN456" s="421"/>
      <c r="DO456" s="421"/>
      <c r="DP456" s="419"/>
      <c r="DQ456" s="419"/>
      <c r="DR456" s="421"/>
      <c r="DS456" s="421"/>
      <c r="DT456" s="419"/>
      <c r="DU456" s="419"/>
      <c r="DV456" s="421"/>
      <c r="DW456" s="421"/>
      <c r="DX456" s="419"/>
      <c r="DY456" s="419"/>
      <c r="DZ456" s="421"/>
      <c r="EA456" s="421"/>
      <c r="EB456" s="419"/>
      <c r="EC456" s="419"/>
      <c r="ED456" s="421"/>
      <c r="EE456" s="421"/>
      <c r="EF456" s="419"/>
      <c r="EG456" s="421"/>
      <c r="EH456" s="424">
        <f t="shared" si="177"/>
        <v>23</v>
      </c>
      <c r="EI456" s="424">
        <f t="shared" si="178"/>
        <v>5</v>
      </c>
      <c r="EJ456" s="422">
        <f t="shared" si="179"/>
        <v>0.39130434782608697</v>
      </c>
      <c r="EK456" s="425">
        <f t="shared" si="180"/>
        <v>22</v>
      </c>
      <c r="EL456" s="425">
        <f t="shared" si="181"/>
        <v>5</v>
      </c>
      <c r="EM456" s="423">
        <f t="shared" si="182"/>
        <v>0.31818181818181818</v>
      </c>
      <c r="EN456" s="424">
        <f t="shared" si="183"/>
        <v>340</v>
      </c>
      <c r="EO456" s="425">
        <f t="shared" si="184"/>
        <v>251</v>
      </c>
      <c r="EP456" s="419">
        <v>173</v>
      </c>
      <c r="EQ456" s="528">
        <v>208</v>
      </c>
      <c r="ER456" s="419"/>
      <c r="ES456" s="421"/>
      <c r="ET456" s="419"/>
      <c r="EU456" s="421"/>
      <c r="EV456" s="419">
        <v>107</v>
      </c>
      <c r="EW456" s="528">
        <v>83</v>
      </c>
      <c r="EX456" s="419"/>
      <c r="EY456" s="421"/>
      <c r="EZ456" s="419"/>
      <c r="FA456" s="421"/>
      <c r="FB456" s="419"/>
      <c r="FC456" s="421"/>
      <c r="FD456" s="419"/>
      <c r="FE456" s="421"/>
      <c r="FF456" s="419"/>
      <c r="FG456" s="421"/>
      <c r="FH456" s="419"/>
      <c r="FI456" s="421"/>
      <c r="FJ456" s="424">
        <f t="shared" si="185"/>
        <v>280</v>
      </c>
      <c r="FK456" s="425">
        <f t="shared" si="186"/>
        <v>291</v>
      </c>
      <c r="FL456" s="419"/>
      <c r="FM456" s="421"/>
      <c r="FN456" s="424">
        <f t="shared" si="187"/>
        <v>1711</v>
      </c>
      <c r="FO456" s="425">
        <f t="shared" si="188"/>
        <v>542</v>
      </c>
    </row>
    <row r="457" spans="1:171" customFormat="1" ht="15.75" customHeight="1">
      <c r="A457" s="457" t="s">
        <v>166</v>
      </c>
      <c r="B457" s="46" t="s">
        <v>978</v>
      </c>
      <c r="C457" s="15"/>
      <c r="D457" s="44">
        <v>225414</v>
      </c>
      <c r="E457" s="44">
        <v>3</v>
      </c>
      <c r="F457" s="419"/>
      <c r="G457" s="421"/>
      <c r="H457" s="419"/>
      <c r="I457" s="421"/>
      <c r="J457" s="419"/>
      <c r="K457" s="421"/>
      <c r="L457" s="422">
        <f t="shared" si="167"/>
        <v>0</v>
      </c>
      <c r="M457" s="423">
        <f t="shared" si="168"/>
        <v>0</v>
      </c>
      <c r="N457" s="419">
        <v>1463</v>
      </c>
      <c r="O457" s="525">
        <f>0</f>
        <v>0</v>
      </c>
      <c r="P457" s="525">
        <f>0</f>
        <v>0</v>
      </c>
      <c r="Q457" s="525">
        <f>0</f>
        <v>0</v>
      </c>
      <c r="R457" s="424">
        <f t="shared" si="165"/>
        <v>0</v>
      </c>
      <c r="S457" s="434"/>
      <c r="T457" s="526">
        <f>0</f>
        <v>0</v>
      </c>
      <c r="U457" s="526">
        <f>0</f>
        <v>0</v>
      </c>
      <c r="V457" s="526">
        <f>0</f>
        <v>0</v>
      </c>
      <c r="W457" s="425">
        <f t="shared" si="166"/>
        <v>0</v>
      </c>
      <c r="X457" s="419"/>
      <c r="Y457" s="419"/>
      <c r="Z457" s="421"/>
      <c r="AA457" s="421"/>
      <c r="AB457" s="419"/>
      <c r="AC457" s="419"/>
      <c r="AD457" s="421"/>
      <c r="AE457" s="421"/>
      <c r="AF457" s="419"/>
      <c r="AG457" s="419"/>
      <c r="AH457" s="421"/>
      <c r="AI457" s="421"/>
      <c r="AJ457" s="419"/>
      <c r="AK457" s="419"/>
      <c r="AL457" s="421"/>
      <c r="AM457" s="421"/>
      <c r="AN457" s="419"/>
      <c r="AO457" s="419"/>
      <c r="AP457" s="421"/>
      <c r="AQ457" s="421"/>
      <c r="AR457" s="424">
        <f t="shared" si="169"/>
        <v>0</v>
      </c>
      <c r="AS457" s="422">
        <f t="shared" si="170"/>
        <v>0.61444771104577911</v>
      </c>
      <c r="AT457" s="425">
        <f t="shared" si="171"/>
        <v>0</v>
      </c>
      <c r="AU457" s="423">
        <f t="shared" si="172"/>
        <v>0</v>
      </c>
      <c r="AV457" s="419"/>
      <c r="AW457" s="421"/>
      <c r="AX457" s="419">
        <v>52</v>
      </c>
      <c r="AY457" s="419">
        <v>216</v>
      </c>
      <c r="AZ457" s="527">
        <v>52</v>
      </c>
      <c r="BA457" s="527">
        <v>219</v>
      </c>
      <c r="BB457" s="419">
        <v>11</v>
      </c>
      <c r="BC457" s="419">
        <v>131</v>
      </c>
      <c r="BD457" s="527">
        <v>51</v>
      </c>
      <c r="BE457" s="527">
        <v>143</v>
      </c>
      <c r="BF457" s="419">
        <v>51</v>
      </c>
      <c r="BG457" s="419">
        <v>109</v>
      </c>
      <c r="BH457" s="527">
        <v>11</v>
      </c>
      <c r="BI457" s="527">
        <v>120</v>
      </c>
      <c r="BJ457" s="419">
        <v>13</v>
      </c>
      <c r="BK457" s="419">
        <v>104</v>
      </c>
      <c r="BL457" s="527">
        <v>42</v>
      </c>
      <c r="BM457" s="528">
        <v>75</v>
      </c>
      <c r="BN457" s="419">
        <v>14</v>
      </c>
      <c r="BO457" s="419">
        <v>84</v>
      </c>
      <c r="BP457" s="527">
        <v>13</v>
      </c>
      <c r="BQ457" s="528">
        <v>58</v>
      </c>
      <c r="BR457" s="419">
        <v>42</v>
      </c>
      <c r="BS457" s="419">
        <v>63</v>
      </c>
      <c r="BT457" s="527">
        <v>26</v>
      </c>
      <c r="BU457" s="528">
        <v>46</v>
      </c>
      <c r="BV457" s="419">
        <v>26</v>
      </c>
      <c r="BW457" s="419">
        <v>36</v>
      </c>
      <c r="BX457" s="527">
        <v>14</v>
      </c>
      <c r="BY457" s="527">
        <v>42</v>
      </c>
      <c r="BZ457" s="419">
        <v>25</v>
      </c>
      <c r="CA457" s="419">
        <v>32</v>
      </c>
      <c r="CB457" s="527">
        <v>15</v>
      </c>
      <c r="CC457" s="527">
        <v>27</v>
      </c>
      <c r="CD457" s="419">
        <v>45</v>
      </c>
      <c r="CE457" s="419">
        <v>25</v>
      </c>
      <c r="CF457" s="527">
        <v>25</v>
      </c>
      <c r="CG457" s="527">
        <v>23</v>
      </c>
      <c r="CH457" s="419">
        <v>15</v>
      </c>
      <c r="CI457" s="419">
        <v>23</v>
      </c>
      <c r="CJ457" s="527">
        <v>40</v>
      </c>
      <c r="CK457" s="528">
        <v>18</v>
      </c>
      <c r="CL457" s="419">
        <v>76</v>
      </c>
      <c r="CM457" s="527">
        <v>86</v>
      </c>
      <c r="CN457" s="424">
        <f t="shared" si="173"/>
        <v>899</v>
      </c>
      <c r="CO457" s="424">
        <f t="shared" si="174"/>
        <v>10</v>
      </c>
      <c r="CP457" s="425">
        <f t="shared" si="175"/>
        <v>857</v>
      </c>
      <c r="CQ457" s="425">
        <f t="shared" si="176"/>
        <v>10</v>
      </c>
      <c r="CR457" s="419">
        <v>13</v>
      </c>
      <c r="CS457" s="419">
        <v>19</v>
      </c>
      <c r="CT457" s="527">
        <v>13</v>
      </c>
      <c r="CU457" s="527">
        <v>22</v>
      </c>
      <c r="CV457" s="419"/>
      <c r="CW457" s="419"/>
      <c r="CX457" s="527">
        <v>42</v>
      </c>
      <c r="CY457" s="530">
        <v>2</v>
      </c>
      <c r="CZ457" s="419"/>
      <c r="DA457" s="419"/>
      <c r="DB457" s="421"/>
      <c r="DC457" s="421"/>
      <c r="DD457" s="419"/>
      <c r="DE457" s="419"/>
      <c r="DF457" s="421"/>
      <c r="DG457" s="421"/>
      <c r="DH457" s="419"/>
      <c r="DI457" s="419"/>
      <c r="DJ457" s="421"/>
      <c r="DK457" s="421"/>
      <c r="DL457" s="419"/>
      <c r="DM457" s="419"/>
      <c r="DN457" s="421"/>
      <c r="DO457" s="421"/>
      <c r="DP457" s="419"/>
      <c r="DQ457" s="419"/>
      <c r="DR457" s="421"/>
      <c r="DS457" s="421"/>
      <c r="DT457" s="419"/>
      <c r="DU457" s="419"/>
      <c r="DV457" s="421"/>
      <c r="DW457" s="421"/>
      <c r="DX457" s="419"/>
      <c r="DY457" s="419"/>
      <c r="DZ457" s="421"/>
      <c r="EA457" s="421"/>
      <c r="EB457" s="419"/>
      <c r="EC457" s="419"/>
      <c r="ED457" s="421"/>
      <c r="EE457" s="421"/>
      <c r="EF457" s="419"/>
      <c r="EG457" s="421"/>
      <c r="EH457" s="424">
        <f t="shared" si="177"/>
        <v>19</v>
      </c>
      <c r="EI457" s="424">
        <f t="shared" si="178"/>
        <v>1</v>
      </c>
      <c r="EJ457" s="422">
        <f t="shared" si="179"/>
        <v>1</v>
      </c>
      <c r="EK457" s="425">
        <f t="shared" si="180"/>
        <v>24</v>
      </c>
      <c r="EL457" s="425">
        <f t="shared" si="181"/>
        <v>2</v>
      </c>
      <c r="EM457" s="423">
        <f t="shared" si="182"/>
        <v>0.91666666666666663</v>
      </c>
      <c r="EN457" s="424">
        <f t="shared" si="183"/>
        <v>918</v>
      </c>
      <c r="EO457" s="425">
        <f t="shared" si="184"/>
        <v>881</v>
      </c>
      <c r="EP457" s="419"/>
      <c r="EQ457" s="421"/>
      <c r="ER457" s="419"/>
      <c r="ES457" s="421"/>
      <c r="ET457" s="419"/>
      <c r="EU457" s="421"/>
      <c r="EV457" s="419"/>
      <c r="EW457" s="421"/>
      <c r="EX457" s="419"/>
      <c r="EY457" s="421"/>
      <c r="EZ457" s="419"/>
      <c r="FA457" s="421"/>
      <c r="FB457" s="419"/>
      <c r="FC457" s="421"/>
      <c r="FD457" s="419"/>
      <c r="FE457" s="421"/>
      <c r="FF457" s="419"/>
      <c r="FG457" s="421"/>
      <c r="FH457" s="419"/>
      <c r="FI457" s="421"/>
      <c r="FJ457" s="424">
        <f t="shared" si="185"/>
        <v>0</v>
      </c>
      <c r="FK457" s="425">
        <f t="shared" si="186"/>
        <v>0</v>
      </c>
      <c r="FL457" s="419"/>
      <c r="FM457" s="421"/>
      <c r="FN457" s="424">
        <f t="shared" si="187"/>
        <v>2381</v>
      </c>
      <c r="FO457" s="425">
        <f t="shared" si="188"/>
        <v>881</v>
      </c>
    </row>
    <row r="458" spans="1:171" customFormat="1" ht="15.75" customHeight="1">
      <c r="A458" s="457" t="s">
        <v>166</v>
      </c>
      <c r="B458" s="261" t="s">
        <v>979</v>
      </c>
      <c r="C458" s="15"/>
      <c r="D458" s="44">
        <v>228802</v>
      </c>
      <c r="E458" s="44">
        <v>3</v>
      </c>
      <c r="F458" s="419"/>
      <c r="G458" s="421"/>
      <c r="H458" s="419"/>
      <c r="I458" s="421"/>
      <c r="J458" s="419"/>
      <c r="K458" s="421"/>
      <c r="L458" s="422">
        <f t="shared" si="167"/>
        <v>0</v>
      </c>
      <c r="M458" s="423">
        <f t="shared" si="168"/>
        <v>0</v>
      </c>
      <c r="N458" s="419">
        <v>1806</v>
      </c>
      <c r="O458" s="525">
        <f>0</f>
        <v>0</v>
      </c>
      <c r="P458" s="525">
        <f>0</f>
        <v>0</v>
      </c>
      <c r="Q458" s="525">
        <f>0</f>
        <v>0</v>
      </c>
      <c r="R458" s="424">
        <f t="shared" ref="R458:R521" si="189">SUM(O458:Q458)</f>
        <v>0</v>
      </c>
      <c r="S458" s="434"/>
      <c r="T458" s="526">
        <f>0</f>
        <v>0</v>
      </c>
      <c r="U458" s="526">
        <f>0</f>
        <v>0</v>
      </c>
      <c r="V458" s="526">
        <f>0</f>
        <v>0</v>
      </c>
      <c r="W458" s="425">
        <f t="shared" ref="W458:W521" si="190">SUM(T458:V458)</f>
        <v>0</v>
      </c>
      <c r="X458" s="419"/>
      <c r="Y458" s="419"/>
      <c r="Z458" s="421"/>
      <c r="AA458" s="421"/>
      <c r="AB458" s="419"/>
      <c r="AC458" s="419"/>
      <c r="AD458" s="421"/>
      <c r="AE458" s="421"/>
      <c r="AF458" s="419"/>
      <c r="AG458" s="419"/>
      <c r="AH458" s="421"/>
      <c r="AI458" s="421"/>
      <c r="AJ458" s="419"/>
      <c r="AK458" s="419"/>
      <c r="AL458" s="421"/>
      <c r="AM458" s="421"/>
      <c r="AN458" s="419"/>
      <c r="AO458" s="419"/>
      <c r="AP458" s="421"/>
      <c r="AQ458" s="421"/>
      <c r="AR458" s="424">
        <f t="shared" si="169"/>
        <v>0</v>
      </c>
      <c r="AS458" s="422">
        <f t="shared" si="170"/>
        <v>0.61096075778078485</v>
      </c>
      <c r="AT458" s="425">
        <f t="shared" si="171"/>
        <v>0</v>
      </c>
      <c r="AU458" s="423">
        <f t="shared" si="172"/>
        <v>0</v>
      </c>
      <c r="AV458" s="419"/>
      <c r="AW458" s="421"/>
      <c r="AX458" s="419">
        <v>52</v>
      </c>
      <c r="AY458" s="419">
        <v>514</v>
      </c>
      <c r="AZ458" s="527">
        <v>52</v>
      </c>
      <c r="BA458" s="528">
        <v>383</v>
      </c>
      <c r="BB458" s="419">
        <v>13</v>
      </c>
      <c r="BC458" s="419">
        <v>214</v>
      </c>
      <c r="BD458" s="527">
        <v>13</v>
      </c>
      <c r="BE458" s="527">
        <v>243</v>
      </c>
      <c r="BF458" s="419">
        <v>42</v>
      </c>
      <c r="BG458" s="419">
        <v>94</v>
      </c>
      <c r="BH458" s="527">
        <v>51</v>
      </c>
      <c r="BI458" s="527">
        <v>99</v>
      </c>
      <c r="BJ458" s="419">
        <v>51</v>
      </c>
      <c r="BK458" s="419">
        <v>93</v>
      </c>
      <c r="BL458" s="527">
        <v>42</v>
      </c>
      <c r="BM458" s="527">
        <v>77</v>
      </c>
      <c r="BN458" s="419">
        <v>15</v>
      </c>
      <c r="BO458" s="419">
        <v>26</v>
      </c>
      <c r="BP458" s="527">
        <v>15</v>
      </c>
      <c r="BQ458" s="527">
        <v>23</v>
      </c>
      <c r="BR458" s="419">
        <v>14</v>
      </c>
      <c r="BS458" s="419">
        <v>25</v>
      </c>
      <c r="BT458" s="527">
        <v>23</v>
      </c>
      <c r="BU458" s="528">
        <v>19</v>
      </c>
      <c r="BV458" s="419">
        <v>23</v>
      </c>
      <c r="BW458" s="419">
        <v>18</v>
      </c>
      <c r="BX458" s="527">
        <v>14</v>
      </c>
      <c r="BY458" s="527">
        <v>15</v>
      </c>
      <c r="BZ458" s="419">
        <v>11</v>
      </c>
      <c r="CA458" s="419">
        <v>14</v>
      </c>
      <c r="CB458" s="527">
        <v>31</v>
      </c>
      <c r="CC458" s="527">
        <v>12</v>
      </c>
      <c r="CD458" s="419">
        <v>44</v>
      </c>
      <c r="CE458" s="419">
        <v>14</v>
      </c>
      <c r="CF458" s="527">
        <v>44</v>
      </c>
      <c r="CG458" s="528">
        <v>11</v>
      </c>
      <c r="CH458" s="419">
        <v>31</v>
      </c>
      <c r="CI458" s="419">
        <v>13</v>
      </c>
      <c r="CJ458" s="527">
        <v>50</v>
      </c>
      <c r="CK458" s="527">
        <v>11</v>
      </c>
      <c r="CL458" s="419">
        <v>30</v>
      </c>
      <c r="CM458" s="527">
        <v>24</v>
      </c>
      <c r="CN458" s="424">
        <f t="shared" si="173"/>
        <v>1055</v>
      </c>
      <c r="CO458" s="424">
        <f t="shared" si="174"/>
        <v>10</v>
      </c>
      <c r="CP458" s="425">
        <f t="shared" si="175"/>
        <v>917</v>
      </c>
      <c r="CQ458" s="425">
        <f t="shared" si="176"/>
        <v>10</v>
      </c>
      <c r="CR458" s="419">
        <v>51</v>
      </c>
      <c r="CS458" s="419">
        <v>21</v>
      </c>
      <c r="CT458" s="527">
        <v>51</v>
      </c>
      <c r="CU458" s="527">
        <v>24</v>
      </c>
      <c r="CV458" s="419">
        <v>52</v>
      </c>
      <c r="CW458" s="419">
        <v>10</v>
      </c>
      <c r="CX458" s="527">
        <v>52</v>
      </c>
      <c r="CY458" s="528">
        <v>5</v>
      </c>
      <c r="CZ458" s="419"/>
      <c r="DA458" s="419"/>
      <c r="DB458" s="421"/>
      <c r="DC458" s="421"/>
      <c r="DD458" s="419"/>
      <c r="DE458" s="419"/>
      <c r="DF458" s="421"/>
      <c r="DG458" s="421"/>
      <c r="DH458" s="419"/>
      <c r="DI458" s="419"/>
      <c r="DJ458" s="421"/>
      <c r="DK458" s="421"/>
      <c r="DL458" s="419"/>
      <c r="DM458" s="419"/>
      <c r="DN458" s="421"/>
      <c r="DO458" s="421"/>
      <c r="DP458" s="419"/>
      <c r="DQ458" s="419"/>
      <c r="DR458" s="421"/>
      <c r="DS458" s="421"/>
      <c r="DT458" s="419"/>
      <c r="DU458" s="419"/>
      <c r="DV458" s="421"/>
      <c r="DW458" s="421"/>
      <c r="DX458" s="419"/>
      <c r="DY458" s="419"/>
      <c r="DZ458" s="421"/>
      <c r="EA458" s="421"/>
      <c r="EB458" s="419"/>
      <c r="EC458" s="419"/>
      <c r="ED458" s="421"/>
      <c r="EE458" s="421"/>
      <c r="EF458" s="419"/>
      <c r="EG458" s="421"/>
      <c r="EH458" s="424">
        <f t="shared" si="177"/>
        <v>31</v>
      </c>
      <c r="EI458" s="424">
        <f t="shared" si="178"/>
        <v>2</v>
      </c>
      <c r="EJ458" s="422">
        <f t="shared" si="179"/>
        <v>0.67741935483870963</v>
      </c>
      <c r="EK458" s="425">
        <f t="shared" si="180"/>
        <v>29</v>
      </c>
      <c r="EL458" s="425">
        <f t="shared" si="181"/>
        <v>2</v>
      </c>
      <c r="EM458" s="423">
        <f t="shared" si="182"/>
        <v>0.82758620689655171</v>
      </c>
      <c r="EN458" s="424">
        <f t="shared" si="183"/>
        <v>1086</v>
      </c>
      <c r="EO458" s="425">
        <f t="shared" si="184"/>
        <v>946</v>
      </c>
      <c r="EP458" s="419"/>
      <c r="EQ458" s="421"/>
      <c r="ER458" s="419"/>
      <c r="ES458" s="421"/>
      <c r="ET458" s="419"/>
      <c r="EU458" s="421"/>
      <c r="EV458" s="419">
        <v>64</v>
      </c>
      <c r="EW458" s="528">
        <v>94</v>
      </c>
      <c r="EX458" s="419"/>
      <c r="EY458" s="421"/>
      <c r="EZ458" s="419"/>
      <c r="FA458" s="421"/>
      <c r="FB458" s="419"/>
      <c r="FC458" s="421"/>
      <c r="FD458" s="419"/>
      <c r="FE458" s="421"/>
      <c r="FF458" s="419"/>
      <c r="FG458" s="421"/>
      <c r="FH458" s="419"/>
      <c r="FI458" s="421"/>
      <c r="FJ458" s="424">
        <f t="shared" si="185"/>
        <v>64</v>
      </c>
      <c r="FK458" s="425">
        <f t="shared" si="186"/>
        <v>94</v>
      </c>
      <c r="FL458" s="419"/>
      <c r="FM458" s="421"/>
      <c r="FN458" s="424">
        <f t="shared" si="187"/>
        <v>2956</v>
      </c>
      <c r="FO458" s="425">
        <f t="shared" si="188"/>
        <v>1040</v>
      </c>
    </row>
    <row r="459" spans="1:171" customFormat="1" ht="15.75" customHeight="1">
      <c r="A459" s="457" t="s">
        <v>166</v>
      </c>
      <c r="B459" s="262" t="s">
        <v>980</v>
      </c>
      <c r="C459" s="15"/>
      <c r="D459" s="44">
        <v>229018</v>
      </c>
      <c r="E459" s="44">
        <v>3</v>
      </c>
      <c r="F459" s="419"/>
      <c r="G459" s="421"/>
      <c r="H459" s="419"/>
      <c r="I459" s="421"/>
      <c r="J459" s="419"/>
      <c r="K459" s="421"/>
      <c r="L459" s="422">
        <f t="shared" ref="L459:L522" si="191">IF(N459&gt;0,J459/N459, )</f>
        <v>0</v>
      </c>
      <c r="M459" s="423">
        <f t="shared" ref="M459:M522" si="192">IF(S459&gt;0,K459/S459, )</f>
        <v>0</v>
      </c>
      <c r="N459" s="419">
        <v>922</v>
      </c>
      <c r="O459" s="525">
        <f>0</f>
        <v>0</v>
      </c>
      <c r="P459" s="525">
        <f>0</f>
        <v>0</v>
      </c>
      <c r="Q459" s="525">
        <f>0</f>
        <v>0</v>
      </c>
      <c r="R459" s="424">
        <f t="shared" si="189"/>
        <v>0</v>
      </c>
      <c r="S459" s="434"/>
      <c r="T459" s="526">
        <f>0</f>
        <v>0</v>
      </c>
      <c r="U459" s="526">
        <f>0</f>
        <v>0</v>
      </c>
      <c r="V459" s="526">
        <f>0</f>
        <v>0</v>
      </c>
      <c r="W459" s="425">
        <f t="shared" si="190"/>
        <v>0</v>
      </c>
      <c r="X459" s="419"/>
      <c r="Y459" s="419"/>
      <c r="Z459" s="421"/>
      <c r="AA459" s="421"/>
      <c r="AB459" s="419"/>
      <c r="AC459" s="419"/>
      <c r="AD459" s="421"/>
      <c r="AE459" s="421"/>
      <c r="AF459" s="419"/>
      <c r="AG459" s="419"/>
      <c r="AH459" s="421"/>
      <c r="AI459" s="421"/>
      <c r="AJ459" s="419"/>
      <c r="AK459" s="419"/>
      <c r="AL459" s="421"/>
      <c r="AM459" s="421"/>
      <c r="AN459" s="419"/>
      <c r="AO459" s="419"/>
      <c r="AP459" s="421"/>
      <c r="AQ459" s="421"/>
      <c r="AR459" s="424">
        <f t="shared" ref="AR459:AR522" si="193">COUNTA(X459,AB459,AF459,AJ459,AN459)</f>
        <v>0</v>
      </c>
      <c r="AS459" s="422">
        <f t="shared" ref="AS459:AS522" si="194">IF(FN459&gt;0,N459/FN459,)</f>
        <v>0.67054545454545456</v>
      </c>
      <c r="AT459" s="425">
        <f t="shared" ref="AT459:AT522" si="195">COUNTA(Z459,AD459,AH459,AL459,AP459)</f>
        <v>0</v>
      </c>
      <c r="AU459" s="423">
        <f t="shared" ref="AU459:AU522" si="196">IF(FO459&gt;0,S459/FO459,)</f>
        <v>0</v>
      </c>
      <c r="AV459" s="419"/>
      <c r="AW459" s="421"/>
      <c r="AX459" s="419">
        <v>13</v>
      </c>
      <c r="AY459" s="419">
        <v>219</v>
      </c>
      <c r="AZ459" s="527">
        <v>13</v>
      </c>
      <c r="BA459" s="527">
        <v>216</v>
      </c>
      <c r="BB459" s="419">
        <v>52</v>
      </c>
      <c r="BC459" s="419">
        <v>175</v>
      </c>
      <c r="BD459" s="527">
        <v>52</v>
      </c>
      <c r="BE459" s="527">
        <v>210</v>
      </c>
      <c r="BF459" s="419">
        <v>44</v>
      </c>
      <c r="BG459" s="419">
        <v>23</v>
      </c>
      <c r="BH459" s="527">
        <v>44</v>
      </c>
      <c r="BI459" s="527">
        <v>23</v>
      </c>
      <c r="BJ459" s="419">
        <v>40</v>
      </c>
      <c r="BK459" s="419">
        <v>18</v>
      </c>
      <c r="BL459" s="527">
        <v>40</v>
      </c>
      <c r="BM459" s="527">
        <v>15</v>
      </c>
      <c r="BN459" s="419">
        <v>23</v>
      </c>
      <c r="BO459" s="419">
        <v>6</v>
      </c>
      <c r="BP459" s="527">
        <v>23</v>
      </c>
      <c r="BQ459" s="528">
        <v>8</v>
      </c>
      <c r="BR459" s="419">
        <v>11</v>
      </c>
      <c r="BS459" s="419">
        <v>3</v>
      </c>
      <c r="BT459" s="527">
        <v>31</v>
      </c>
      <c r="BU459" s="530">
        <v>7</v>
      </c>
      <c r="BV459" s="419">
        <v>31</v>
      </c>
      <c r="BW459" s="419">
        <v>3</v>
      </c>
      <c r="BX459" s="527">
        <v>26</v>
      </c>
      <c r="BY459" s="527">
        <v>3</v>
      </c>
      <c r="BZ459" s="419">
        <v>27</v>
      </c>
      <c r="CA459" s="419">
        <v>2</v>
      </c>
      <c r="CB459" s="527">
        <v>27</v>
      </c>
      <c r="CC459" s="528">
        <v>3</v>
      </c>
      <c r="CD459" s="419">
        <v>42</v>
      </c>
      <c r="CE459" s="419">
        <v>2</v>
      </c>
      <c r="CF459" s="527">
        <v>42</v>
      </c>
      <c r="CG459" s="528">
        <v>3</v>
      </c>
      <c r="CH459" s="419">
        <v>26</v>
      </c>
      <c r="CI459" s="419">
        <v>1</v>
      </c>
      <c r="CJ459" s="527">
        <v>54</v>
      </c>
      <c r="CK459" s="530">
        <v>3</v>
      </c>
      <c r="CL459" s="419">
        <v>1</v>
      </c>
      <c r="CM459" s="530">
        <v>3</v>
      </c>
      <c r="CN459" s="424">
        <f t="shared" ref="CN459:CN522" si="197">AY459+BC459+BG459+BK459+BO459+BS459+BW459+CA459+CE459+CI459+CL459</f>
        <v>453</v>
      </c>
      <c r="CO459" s="424">
        <f t="shared" ref="CO459:CO522" si="198">COUNTA(AX459,BB459,BF459,BJ459,BN459,BR459,BV459,BZ459,CD459,CH459)</f>
        <v>10</v>
      </c>
      <c r="CP459" s="425">
        <f t="shared" ref="CP459:CP522" si="199">BA459+BE459+BI459+BM459+BQ459+BU459+BY459+CC459+CG459+CK459+CM459</f>
        <v>494</v>
      </c>
      <c r="CQ459" s="425">
        <f t="shared" ref="CQ459:CQ522" si="200">COUNTA(AZ459,BD459,BH459,BL459,BP459,BT459,BX459,CB459,CF459,CJ459)</f>
        <v>10</v>
      </c>
      <c r="CR459" s="419"/>
      <c r="CS459" s="419"/>
      <c r="CT459" s="529">
        <v>0</v>
      </c>
      <c r="CU459" s="527">
        <v>0</v>
      </c>
      <c r="CV459" s="419"/>
      <c r="CW459" s="419"/>
      <c r="CX459" s="421"/>
      <c r="CY459" s="421"/>
      <c r="CZ459" s="419"/>
      <c r="DA459" s="419"/>
      <c r="DB459" s="421"/>
      <c r="DC459" s="421"/>
      <c r="DD459" s="419"/>
      <c r="DE459" s="419"/>
      <c r="DF459" s="421"/>
      <c r="DG459" s="421"/>
      <c r="DH459" s="419"/>
      <c r="DI459" s="419"/>
      <c r="DJ459" s="421"/>
      <c r="DK459" s="421"/>
      <c r="DL459" s="419"/>
      <c r="DM459" s="419"/>
      <c r="DN459" s="421"/>
      <c r="DO459" s="421"/>
      <c r="DP459" s="419"/>
      <c r="DQ459" s="419"/>
      <c r="DR459" s="421"/>
      <c r="DS459" s="421"/>
      <c r="DT459" s="419"/>
      <c r="DU459" s="419"/>
      <c r="DV459" s="421"/>
      <c r="DW459" s="421"/>
      <c r="DX459" s="419"/>
      <c r="DY459" s="419"/>
      <c r="DZ459" s="421"/>
      <c r="EA459" s="421"/>
      <c r="EB459" s="419"/>
      <c r="EC459" s="419"/>
      <c r="ED459" s="421"/>
      <c r="EE459" s="421"/>
      <c r="EF459" s="419"/>
      <c r="EG459" s="421"/>
      <c r="EH459" s="424">
        <f t="shared" ref="EH459:EH522" si="201">CS459+CW459+DA459+DE459+DI459+DM459+DQ459+DU459+DY459+EC459+EF459</f>
        <v>0</v>
      </c>
      <c r="EI459" s="424">
        <f t="shared" ref="EI459:EI522" si="202">COUNTA(CR459,CV459,CZ459,DD459,DH459,DL459,DP459,DT459,DX459,EB459)</f>
        <v>0</v>
      </c>
      <c r="EJ459" s="422">
        <f t="shared" ref="EJ459:EJ522" si="203">IF(EH459&gt;0,CS459/EH459,)</f>
        <v>0</v>
      </c>
      <c r="EK459" s="425">
        <f t="shared" ref="EK459:EK522" si="204">CU459+CY459+DC459+DG459+DK459+DO459+DS459+DW459+EA459+EE459+EG459</f>
        <v>0</v>
      </c>
      <c r="EL459" s="425">
        <f t="shared" ref="EL459:EL522" si="205">COUNTA(CT459,CX459,DB459,DF459,DJ459,DN459,DR459,DV459,DZ459,ED459)</f>
        <v>1</v>
      </c>
      <c r="EM459" s="423">
        <f t="shared" ref="EM459:EM522" si="206">IF(EK459&gt;0,CU459/EK459,)</f>
        <v>0</v>
      </c>
      <c r="EN459" s="424">
        <f t="shared" ref="EN459:EN522" si="207">CN459+EH459</f>
        <v>453</v>
      </c>
      <c r="EO459" s="425">
        <f t="shared" ref="EO459:EO522" si="208">CP459+EK459</f>
        <v>494</v>
      </c>
      <c r="EP459" s="419"/>
      <c r="EQ459" s="421"/>
      <c r="ER459" s="419"/>
      <c r="ES459" s="421"/>
      <c r="ET459" s="419"/>
      <c r="EU459" s="421"/>
      <c r="EV459" s="419"/>
      <c r="EW459" s="421"/>
      <c r="EX459" s="419"/>
      <c r="EY459" s="421"/>
      <c r="EZ459" s="419"/>
      <c r="FA459" s="421"/>
      <c r="FB459" s="419"/>
      <c r="FC459" s="421"/>
      <c r="FD459" s="419"/>
      <c r="FE459" s="421"/>
      <c r="FF459" s="419"/>
      <c r="FG459" s="421"/>
      <c r="FH459" s="419"/>
      <c r="FI459" s="421"/>
      <c r="FJ459" s="424">
        <f t="shared" ref="FJ459:FJ522" si="209">EP459+ER459+ET459+EV459+EX459+EZ459+FB459+FD459+FF459+FH459</f>
        <v>0</v>
      </c>
      <c r="FK459" s="425">
        <f t="shared" ref="FK459:FK522" si="210">EQ459+ES459+EU459+EW459+EY459+FA459+FC459+FE459+FG459+FI459</f>
        <v>0</v>
      </c>
      <c r="FL459" s="419"/>
      <c r="FM459" s="421"/>
      <c r="FN459" s="424">
        <f t="shared" ref="FN459:FN522" si="211">F459+H459+J459+N459+AV459+EN459+FJ459+FL459</f>
        <v>1375</v>
      </c>
      <c r="FO459" s="425">
        <f t="shared" ref="FO459:FO522" si="212">G459+I459+K459+S459+AW459+EO459+FK459+FM459</f>
        <v>494</v>
      </c>
    </row>
    <row r="460" spans="1:171" customFormat="1" ht="15.75" customHeight="1">
      <c r="A460" s="457" t="s">
        <v>166</v>
      </c>
      <c r="B460" s="1" t="s">
        <v>981</v>
      </c>
      <c r="C460" s="15"/>
      <c r="D460" s="125">
        <v>227368</v>
      </c>
      <c r="E460" s="44">
        <v>3</v>
      </c>
      <c r="F460" s="419"/>
      <c r="G460" s="421"/>
      <c r="H460" s="419"/>
      <c r="I460" s="421"/>
      <c r="J460" s="419"/>
      <c r="K460" s="421"/>
      <c r="L460" s="422">
        <f t="shared" si="191"/>
        <v>0</v>
      </c>
      <c r="M460" s="423">
        <f t="shared" si="192"/>
        <v>0</v>
      </c>
      <c r="N460" s="419">
        <v>4550</v>
      </c>
      <c r="O460" s="525">
        <f>0</f>
        <v>0</v>
      </c>
      <c r="P460" s="525">
        <f>0</f>
        <v>0</v>
      </c>
      <c r="Q460" s="525">
        <f>0</f>
        <v>0</v>
      </c>
      <c r="R460" s="424">
        <f t="shared" si="189"/>
        <v>0</v>
      </c>
      <c r="S460" s="434"/>
      <c r="T460" s="526">
        <f>0</f>
        <v>0</v>
      </c>
      <c r="U460" s="526">
        <f>0</f>
        <v>0</v>
      </c>
      <c r="V460" s="526">
        <f>0</f>
        <v>0</v>
      </c>
      <c r="W460" s="425">
        <f t="shared" si="190"/>
        <v>0</v>
      </c>
      <c r="X460" s="419"/>
      <c r="Y460" s="419"/>
      <c r="Z460" s="421"/>
      <c r="AA460" s="421"/>
      <c r="AB460" s="419"/>
      <c r="AC460" s="419"/>
      <c r="AD460" s="421"/>
      <c r="AE460" s="421"/>
      <c r="AF460" s="419"/>
      <c r="AG460" s="419"/>
      <c r="AH460" s="421"/>
      <c r="AI460" s="421"/>
      <c r="AJ460" s="419"/>
      <c r="AK460" s="419"/>
      <c r="AL460" s="421"/>
      <c r="AM460" s="421"/>
      <c r="AN460" s="419"/>
      <c r="AO460" s="419"/>
      <c r="AP460" s="421"/>
      <c r="AQ460" s="421"/>
      <c r="AR460" s="424">
        <f t="shared" si="193"/>
        <v>0</v>
      </c>
      <c r="AS460" s="422">
        <f t="shared" si="194"/>
        <v>0.78610919143054592</v>
      </c>
      <c r="AT460" s="425">
        <f t="shared" si="195"/>
        <v>0</v>
      </c>
      <c r="AU460" s="423">
        <f t="shared" si="196"/>
        <v>0</v>
      </c>
      <c r="AV460" s="419"/>
      <c r="AW460" s="421"/>
      <c r="AX460" s="419">
        <v>13</v>
      </c>
      <c r="AY460" s="419">
        <v>329</v>
      </c>
      <c r="AZ460" s="527">
        <v>51</v>
      </c>
      <c r="BA460" s="527">
        <v>373</v>
      </c>
      <c r="BB460" s="419">
        <v>51</v>
      </c>
      <c r="BC460" s="419">
        <v>317</v>
      </c>
      <c r="BD460" s="527">
        <v>13</v>
      </c>
      <c r="BE460" s="527">
        <v>363</v>
      </c>
      <c r="BF460" s="419">
        <v>52</v>
      </c>
      <c r="BG460" s="419">
        <v>150</v>
      </c>
      <c r="BH460" s="527">
        <v>44</v>
      </c>
      <c r="BI460" s="528">
        <v>187</v>
      </c>
      <c r="BJ460" s="419">
        <v>44</v>
      </c>
      <c r="BK460" s="419">
        <v>125</v>
      </c>
      <c r="BL460" s="527">
        <v>52</v>
      </c>
      <c r="BM460" s="528">
        <v>184</v>
      </c>
      <c r="BN460" s="419">
        <v>14</v>
      </c>
      <c r="BO460" s="419">
        <v>39</v>
      </c>
      <c r="BP460" s="527">
        <v>14</v>
      </c>
      <c r="BQ460" s="527">
        <v>32</v>
      </c>
      <c r="BR460" s="419">
        <v>30</v>
      </c>
      <c r="BS460" s="419">
        <v>29</v>
      </c>
      <c r="BT460" s="527">
        <v>30</v>
      </c>
      <c r="BU460" s="527">
        <v>32</v>
      </c>
      <c r="BV460" s="419">
        <v>16</v>
      </c>
      <c r="BW460" s="419">
        <v>26</v>
      </c>
      <c r="BX460" s="527">
        <v>26</v>
      </c>
      <c r="BY460" s="527">
        <v>31</v>
      </c>
      <c r="BZ460" s="419">
        <v>26</v>
      </c>
      <c r="CA460" s="419">
        <v>23</v>
      </c>
      <c r="CB460" s="527">
        <v>16</v>
      </c>
      <c r="CC460" s="527">
        <v>27</v>
      </c>
      <c r="CD460" s="419">
        <v>11</v>
      </c>
      <c r="CE460" s="419">
        <v>22</v>
      </c>
      <c r="CF460" s="527">
        <v>40</v>
      </c>
      <c r="CG460" s="527">
        <v>25</v>
      </c>
      <c r="CH460" s="419">
        <v>42</v>
      </c>
      <c r="CI460" s="419">
        <v>22</v>
      </c>
      <c r="CJ460" s="527">
        <v>43</v>
      </c>
      <c r="CK460" s="527">
        <v>25</v>
      </c>
      <c r="CL460" s="419">
        <v>124</v>
      </c>
      <c r="CM460" s="528">
        <v>163</v>
      </c>
      <c r="CN460" s="424">
        <f t="shared" si="197"/>
        <v>1206</v>
      </c>
      <c r="CO460" s="424">
        <f t="shared" si="198"/>
        <v>10</v>
      </c>
      <c r="CP460" s="425">
        <f t="shared" si="199"/>
        <v>1442</v>
      </c>
      <c r="CQ460" s="425">
        <f t="shared" si="200"/>
        <v>10</v>
      </c>
      <c r="CR460" s="419">
        <v>13</v>
      </c>
      <c r="CS460" s="419">
        <v>15</v>
      </c>
      <c r="CT460" s="527">
        <v>13</v>
      </c>
      <c r="CU460" s="527">
        <v>16</v>
      </c>
      <c r="CV460" s="419">
        <v>52</v>
      </c>
      <c r="CW460" s="419">
        <v>10</v>
      </c>
      <c r="CX460" s="527">
        <v>10</v>
      </c>
      <c r="CY460" s="530">
        <v>51</v>
      </c>
      <c r="CZ460" s="419">
        <v>51</v>
      </c>
      <c r="DA460" s="419">
        <v>7</v>
      </c>
      <c r="DB460" s="527">
        <v>51</v>
      </c>
      <c r="DC460" s="529">
        <v>3</v>
      </c>
      <c r="DD460" s="419"/>
      <c r="DE460" s="419"/>
      <c r="DF460" s="421"/>
      <c r="DG460" s="421"/>
      <c r="DH460" s="419"/>
      <c r="DI460" s="419"/>
      <c r="DJ460" s="421"/>
      <c r="DK460" s="421"/>
      <c r="DL460" s="419"/>
      <c r="DM460" s="419"/>
      <c r="DN460" s="421"/>
      <c r="DO460" s="421"/>
      <c r="DP460" s="419"/>
      <c r="DQ460" s="419"/>
      <c r="DR460" s="421"/>
      <c r="DS460" s="421"/>
      <c r="DT460" s="419"/>
      <c r="DU460" s="419"/>
      <c r="DV460" s="421"/>
      <c r="DW460" s="421"/>
      <c r="DX460" s="419"/>
      <c r="DY460" s="419"/>
      <c r="DZ460" s="421"/>
      <c r="EA460" s="421"/>
      <c r="EB460" s="419"/>
      <c r="EC460" s="419"/>
      <c r="ED460" s="421"/>
      <c r="EE460" s="421"/>
      <c r="EF460" s="419"/>
      <c r="EG460" s="421"/>
      <c r="EH460" s="424">
        <f t="shared" si="201"/>
        <v>32</v>
      </c>
      <c r="EI460" s="424">
        <f t="shared" si="202"/>
        <v>3</v>
      </c>
      <c r="EJ460" s="422">
        <f t="shared" si="203"/>
        <v>0.46875</v>
      </c>
      <c r="EK460" s="425">
        <f t="shared" si="204"/>
        <v>70</v>
      </c>
      <c r="EL460" s="425">
        <f t="shared" si="205"/>
        <v>3</v>
      </c>
      <c r="EM460" s="423">
        <f t="shared" si="206"/>
        <v>0.22857142857142856</v>
      </c>
      <c r="EN460" s="424">
        <f t="shared" si="207"/>
        <v>1238</v>
      </c>
      <c r="EO460" s="425">
        <f t="shared" si="208"/>
        <v>1512</v>
      </c>
      <c r="EP460" s="419"/>
      <c r="EQ460" s="421"/>
      <c r="ER460" s="419"/>
      <c r="ES460" s="421"/>
      <c r="ET460" s="419"/>
      <c r="EU460" s="421"/>
      <c r="EV460" s="419"/>
      <c r="EW460" s="421"/>
      <c r="EX460" s="419"/>
      <c r="EY460" s="421"/>
      <c r="EZ460" s="419"/>
      <c r="FA460" s="421"/>
      <c r="FB460" s="419"/>
      <c r="FC460" s="421"/>
      <c r="FD460" s="419"/>
      <c r="FE460" s="421"/>
      <c r="FF460" s="419"/>
      <c r="FG460" s="421"/>
      <c r="FH460" s="419"/>
      <c r="FI460" s="421"/>
      <c r="FJ460" s="424">
        <f t="shared" si="209"/>
        <v>0</v>
      </c>
      <c r="FK460" s="425">
        <f t="shared" si="210"/>
        <v>0</v>
      </c>
      <c r="FL460" s="419"/>
      <c r="FM460" s="421"/>
      <c r="FN460" s="424">
        <f t="shared" si="211"/>
        <v>5788</v>
      </c>
      <c r="FO460" s="425">
        <f t="shared" si="212"/>
        <v>1512</v>
      </c>
    </row>
    <row r="461" spans="1:171" customFormat="1" ht="15.75" customHeight="1">
      <c r="A461" s="457" t="s">
        <v>166</v>
      </c>
      <c r="B461" s="46" t="s">
        <v>982</v>
      </c>
      <c r="C461" s="15"/>
      <c r="D461" s="44">
        <v>229814</v>
      </c>
      <c r="E461" s="44">
        <v>3</v>
      </c>
      <c r="F461" s="419"/>
      <c r="G461" s="421"/>
      <c r="H461" s="419"/>
      <c r="I461" s="421"/>
      <c r="J461" s="419"/>
      <c r="K461" s="421"/>
      <c r="L461" s="422">
        <f t="shared" si="191"/>
        <v>0</v>
      </c>
      <c r="M461" s="423">
        <f t="shared" si="192"/>
        <v>0</v>
      </c>
      <c r="N461" s="419">
        <v>1745</v>
      </c>
      <c r="O461" s="525">
        <f>0</f>
        <v>0</v>
      </c>
      <c r="P461" s="525">
        <f>0</f>
        <v>0</v>
      </c>
      <c r="Q461" s="525">
        <f>0</f>
        <v>0</v>
      </c>
      <c r="R461" s="424">
        <f t="shared" si="189"/>
        <v>0</v>
      </c>
      <c r="S461" s="434"/>
      <c r="T461" s="526">
        <f>0</f>
        <v>0</v>
      </c>
      <c r="U461" s="526">
        <f>0</f>
        <v>0</v>
      </c>
      <c r="V461" s="526">
        <f>0</f>
        <v>0</v>
      </c>
      <c r="W461" s="425">
        <f t="shared" si="190"/>
        <v>0</v>
      </c>
      <c r="X461" s="419"/>
      <c r="Y461" s="419"/>
      <c r="Z461" s="421"/>
      <c r="AA461" s="421"/>
      <c r="AB461" s="419"/>
      <c r="AC461" s="419"/>
      <c r="AD461" s="421"/>
      <c r="AE461" s="421"/>
      <c r="AF461" s="419"/>
      <c r="AG461" s="419"/>
      <c r="AH461" s="421"/>
      <c r="AI461" s="421"/>
      <c r="AJ461" s="419"/>
      <c r="AK461" s="419"/>
      <c r="AL461" s="421"/>
      <c r="AM461" s="421"/>
      <c r="AN461" s="419"/>
      <c r="AO461" s="419"/>
      <c r="AP461" s="421"/>
      <c r="AQ461" s="421"/>
      <c r="AR461" s="424">
        <f t="shared" si="193"/>
        <v>0</v>
      </c>
      <c r="AS461" s="422">
        <f t="shared" si="194"/>
        <v>0.67089580930411385</v>
      </c>
      <c r="AT461" s="425">
        <f t="shared" si="195"/>
        <v>0</v>
      </c>
      <c r="AU461" s="423">
        <f t="shared" si="196"/>
        <v>0</v>
      </c>
      <c r="AV461" s="419"/>
      <c r="AW461" s="421"/>
      <c r="AX461" s="419">
        <v>52</v>
      </c>
      <c r="AY461" s="419">
        <v>446</v>
      </c>
      <c r="AZ461" s="527">
        <v>52</v>
      </c>
      <c r="BA461" s="527">
        <v>422</v>
      </c>
      <c r="BB461" s="419">
        <v>13</v>
      </c>
      <c r="BC461" s="419">
        <v>153</v>
      </c>
      <c r="BD461" s="527">
        <v>13</v>
      </c>
      <c r="BE461" s="527">
        <v>148</v>
      </c>
      <c r="BF461" s="419">
        <v>51</v>
      </c>
      <c r="BG461" s="419">
        <v>126</v>
      </c>
      <c r="BH461" s="527">
        <v>51</v>
      </c>
      <c r="BI461" s="527">
        <v>127</v>
      </c>
      <c r="BJ461" s="419">
        <v>1</v>
      </c>
      <c r="BK461" s="419">
        <v>18</v>
      </c>
      <c r="BL461" s="527">
        <v>42</v>
      </c>
      <c r="BM461" s="529">
        <v>29</v>
      </c>
      <c r="BN461" s="419">
        <v>42</v>
      </c>
      <c r="BO461" s="419">
        <v>17</v>
      </c>
      <c r="BP461" s="527">
        <v>1</v>
      </c>
      <c r="BQ461" s="527">
        <v>19</v>
      </c>
      <c r="BR461" s="419">
        <v>9</v>
      </c>
      <c r="BS461" s="419">
        <v>15</v>
      </c>
      <c r="BT461" s="527">
        <v>44</v>
      </c>
      <c r="BU461" s="527">
        <v>17</v>
      </c>
      <c r="BV461" s="419">
        <v>44</v>
      </c>
      <c r="BW461" s="419">
        <v>15</v>
      </c>
      <c r="BX461" s="527">
        <v>11</v>
      </c>
      <c r="BY461" s="528">
        <v>11</v>
      </c>
      <c r="BZ461" s="419">
        <v>50</v>
      </c>
      <c r="CA461" s="419">
        <v>12</v>
      </c>
      <c r="CB461" s="527">
        <v>50</v>
      </c>
      <c r="CC461" s="527">
        <v>11</v>
      </c>
      <c r="CD461" s="419">
        <v>31</v>
      </c>
      <c r="CE461" s="419">
        <v>7</v>
      </c>
      <c r="CF461" s="527">
        <v>9</v>
      </c>
      <c r="CG461" s="528">
        <v>10</v>
      </c>
      <c r="CH461" s="419">
        <v>43</v>
      </c>
      <c r="CI461" s="419">
        <v>7</v>
      </c>
      <c r="CJ461" s="527">
        <v>3</v>
      </c>
      <c r="CK461" s="527">
        <v>8</v>
      </c>
      <c r="CL461" s="419">
        <v>35</v>
      </c>
      <c r="CM461" s="528">
        <v>23</v>
      </c>
      <c r="CN461" s="424">
        <f t="shared" si="197"/>
        <v>851</v>
      </c>
      <c r="CO461" s="424">
        <f t="shared" si="198"/>
        <v>10</v>
      </c>
      <c r="CP461" s="425">
        <f t="shared" si="199"/>
        <v>825</v>
      </c>
      <c r="CQ461" s="425">
        <f t="shared" si="200"/>
        <v>10</v>
      </c>
      <c r="CR461" s="419">
        <v>1</v>
      </c>
      <c r="CS461" s="419">
        <v>5</v>
      </c>
      <c r="CT461" s="527">
        <v>1</v>
      </c>
      <c r="CU461" s="529">
        <v>1</v>
      </c>
      <c r="CV461" s="419"/>
      <c r="CW461" s="419"/>
      <c r="CX461" s="421"/>
      <c r="CY461" s="421"/>
      <c r="CZ461" s="419"/>
      <c r="DA461" s="419"/>
      <c r="DB461" s="421"/>
      <c r="DC461" s="421"/>
      <c r="DD461" s="419"/>
      <c r="DE461" s="419"/>
      <c r="DF461" s="421"/>
      <c r="DG461" s="421"/>
      <c r="DH461" s="419"/>
      <c r="DI461" s="419"/>
      <c r="DJ461" s="421"/>
      <c r="DK461" s="421"/>
      <c r="DL461" s="419"/>
      <c r="DM461" s="419"/>
      <c r="DN461" s="421"/>
      <c r="DO461" s="421"/>
      <c r="DP461" s="419"/>
      <c r="DQ461" s="419"/>
      <c r="DR461" s="421"/>
      <c r="DS461" s="421"/>
      <c r="DT461" s="419"/>
      <c r="DU461" s="419"/>
      <c r="DV461" s="421"/>
      <c r="DW461" s="421"/>
      <c r="DX461" s="419"/>
      <c r="DY461" s="419"/>
      <c r="DZ461" s="421"/>
      <c r="EA461" s="421"/>
      <c r="EB461" s="419"/>
      <c r="EC461" s="419"/>
      <c r="ED461" s="421"/>
      <c r="EE461" s="421"/>
      <c r="EF461" s="419"/>
      <c r="EG461" s="421"/>
      <c r="EH461" s="424">
        <f t="shared" si="201"/>
        <v>5</v>
      </c>
      <c r="EI461" s="424">
        <f t="shared" si="202"/>
        <v>1</v>
      </c>
      <c r="EJ461" s="422">
        <f t="shared" si="203"/>
        <v>1</v>
      </c>
      <c r="EK461" s="425">
        <f t="shared" si="204"/>
        <v>1</v>
      </c>
      <c r="EL461" s="425">
        <f t="shared" si="205"/>
        <v>1</v>
      </c>
      <c r="EM461" s="423">
        <f t="shared" si="206"/>
        <v>1</v>
      </c>
      <c r="EN461" s="424">
        <f t="shared" si="207"/>
        <v>856</v>
      </c>
      <c r="EO461" s="425">
        <f t="shared" si="208"/>
        <v>826</v>
      </c>
      <c r="EP461" s="419"/>
      <c r="EQ461" s="421"/>
      <c r="ER461" s="419"/>
      <c r="ES461" s="421"/>
      <c r="ET461" s="419"/>
      <c r="EU461" s="421"/>
      <c r="EV461" s="419"/>
      <c r="EW461" s="421"/>
      <c r="EX461" s="419"/>
      <c r="EY461" s="421"/>
      <c r="EZ461" s="419"/>
      <c r="FA461" s="421"/>
      <c r="FB461" s="419"/>
      <c r="FC461" s="421"/>
      <c r="FD461" s="419"/>
      <c r="FE461" s="421"/>
      <c r="FF461" s="419"/>
      <c r="FG461" s="421"/>
      <c r="FH461" s="419"/>
      <c r="FI461" s="421"/>
      <c r="FJ461" s="424">
        <f t="shared" si="209"/>
        <v>0</v>
      </c>
      <c r="FK461" s="425">
        <f t="shared" si="210"/>
        <v>0</v>
      </c>
      <c r="FL461" s="419"/>
      <c r="FM461" s="421"/>
      <c r="FN461" s="424">
        <f t="shared" si="211"/>
        <v>2601</v>
      </c>
      <c r="FO461" s="425">
        <f t="shared" si="212"/>
        <v>826</v>
      </c>
    </row>
    <row r="462" spans="1:171" customFormat="1" ht="15.75" customHeight="1">
      <c r="A462" s="457" t="s">
        <v>166</v>
      </c>
      <c r="B462" s="46" t="s">
        <v>983</v>
      </c>
      <c r="C462" s="15"/>
      <c r="D462" s="44">
        <v>224545</v>
      </c>
      <c r="E462" s="44">
        <v>4</v>
      </c>
      <c r="F462" s="419"/>
      <c r="G462" s="421"/>
      <c r="H462" s="419"/>
      <c r="I462" s="421"/>
      <c r="J462" s="419"/>
      <c r="K462" s="421"/>
      <c r="L462" s="422">
        <f t="shared" si="191"/>
        <v>0</v>
      </c>
      <c r="M462" s="423">
        <f t="shared" si="192"/>
        <v>0</v>
      </c>
      <c r="N462" s="419">
        <v>384</v>
      </c>
      <c r="O462" s="525">
        <f>0</f>
        <v>0</v>
      </c>
      <c r="P462" s="525">
        <f>0</f>
        <v>0</v>
      </c>
      <c r="Q462" s="525">
        <f>0</f>
        <v>0</v>
      </c>
      <c r="R462" s="424">
        <f t="shared" si="189"/>
        <v>0</v>
      </c>
      <c r="S462" s="434"/>
      <c r="T462" s="526">
        <f>0</f>
        <v>0</v>
      </c>
      <c r="U462" s="526">
        <f>0</f>
        <v>0</v>
      </c>
      <c r="V462" s="526">
        <f>0</f>
        <v>0</v>
      </c>
      <c r="W462" s="425">
        <f t="shared" si="190"/>
        <v>0</v>
      </c>
      <c r="X462" s="419"/>
      <c r="Y462" s="419"/>
      <c r="Z462" s="421"/>
      <c r="AA462" s="421"/>
      <c r="AB462" s="419"/>
      <c r="AC462" s="419"/>
      <c r="AD462" s="421"/>
      <c r="AE462" s="421"/>
      <c r="AF462" s="419"/>
      <c r="AG462" s="419"/>
      <c r="AH462" s="421"/>
      <c r="AI462" s="421"/>
      <c r="AJ462" s="419"/>
      <c r="AK462" s="419"/>
      <c r="AL462" s="421"/>
      <c r="AM462" s="421"/>
      <c r="AN462" s="419"/>
      <c r="AO462" s="419"/>
      <c r="AP462" s="421"/>
      <c r="AQ462" s="421"/>
      <c r="AR462" s="424">
        <f t="shared" si="193"/>
        <v>0</v>
      </c>
      <c r="AS462" s="422">
        <f t="shared" si="194"/>
        <v>0.72589792060491498</v>
      </c>
      <c r="AT462" s="425">
        <f t="shared" si="195"/>
        <v>0</v>
      </c>
      <c r="AU462" s="423">
        <f t="shared" si="196"/>
        <v>0</v>
      </c>
      <c r="AV462" s="419"/>
      <c r="AW462" s="421"/>
      <c r="AX462" s="419">
        <v>52</v>
      </c>
      <c r="AY462" s="419">
        <v>84</v>
      </c>
      <c r="AZ462" s="527">
        <v>52</v>
      </c>
      <c r="BA462" s="528">
        <v>47</v>
      </c>
      <c r="BB462" s="419">
        <v>13</v>
      </c>
      <c r="BC462" s="419">
        <v>41</v>
      </c>
      <c r="BD462" s="527">
        <v>13</v>
      </c>
      <c r="BE462" s="527">
        <v>33</v>
      </c>
      <c r="BF462" s="419">
        <v>23</v>
      </c>
      <c r="BG462" s="419">
        <v>4</v>
      </c>
      <c r="BH462" s="527">
        <v>42</v>
      </c>
      <c r="BI462" s="529">
        <v>8</v>
      </c>
      <c r="BJ462" s="419">
        <v>30</v>
      </c>
      <c r="BK462" s="419">
        <v>4</v>
      </c>
      <c r="BL462" s="527">
        <v>54</v>
      </c>
      <c r="BM462" s="528">
        <v>5</v>
      </c>
      <c r="BN462" s="419">
        <v>42</v>
      </c>
      <c r="BO462" s="419">
        <v>4</v>
      </c>
      <c r="BP462" s="527">
        <v>30</v>
      </c>
      <c r="BQ462" s="527">
        <v>4</v>
      </c>
      <c r="BR462" s="419">
        <v>9</v>
      </c>
      <c r="BS462" s="419">
        <v>3</v>
      </c>
      <c r="BT462" s="527">
        <v>23</v>
      </c>
      <c r="BU462" s="529">
        <v>1</v>
      </c>
      <c r="BV462" s="419">
        <v>51</v>
      </c>
      <c r="BW462" s="419">
        <v>3</v>
      </c>
      <c r="BX462" s="527">
        <v>51</v>
      </c>
      <c r="BY462" s="529">
        <v>1</v>
      </c>
      <c r="BZ462" s="419">
        <v>54</v>
      </c>
      <c r="CA462" s="419">
        <v>1</v>
      </c>
      <c r="CB462" s="421"/>
      <c r="CC462" s="434"/>
      <c r="CD462" s="419"/>
      <c r="CE462" s="419"/>
      <c r="CF462" s="421"/>
      <c r="CG462" s="421"/>
      <c r="CH462" s="419"/>
      <c r="CI462" s="419"/>
      <c r="CJ462" s="421"/>
      <c r="CK462" s="421"/>
      <c r="CL462" s="419"/>
      <c r="CM462" s="421"/>
      <c r="CN462" s="424">
        <f t="shared" si="197"/>
        <v>144</v>
      </c>
      <c r="CO462" s="424">
        <f t="shared" si="198"/>
        <v>8</v>
      </c>
      <c r="CP462" s="425">
        <f t="shared" si="199"/>
        <v>99</v>
      </c>
      <c r="CQ462" s="425">
        <f t="shared" si="200"/>
        <v>7</v>
      </c>
      <c r="CR462" s="419">
        <v>13</v>
      </c>
      <c r="CS462" s="419">
        <v>1</v>
      </c>
      <c r="CT462" s="527">
        <v>13</v>
      </c>
      <c r="CU462" s="530">
        <v>7</v>
      </c>
      <c r="CV462" s="419"/>
      <c r="CW462" s="419"/>
      <c r="CX462" s="421"/>
      <c r="CY462" s="421"/>
      <c r="CZ462" s="419"/>
      <c r="DA462" s="419"/>
      <c r="DB462" s="421"/>
      <c r="DC462" s="421"/>
      <c r="DD462" s="419"/>
      <c r="DE462" s="419"/>
      <c r="DF462" s="421"/>
      <c r="DG462" s="421"/>
      <c r="DH462" s="419"/>
      <c r="DI462" s="419"/>
      <c r="DJ462" s="421"/>
      <c r="DK462" s="421"/>
      <c r="DL462" s="419"/>
      <c r="DM462" s="419"/>
      <c r="DN462" s="421"/>
      <c r="DO462" s="421"/>
      <c r="DP462" s="419"/>
      <c r="DQ462" s="419"/>
      <c r="DR462" s="421"/>
      <c r="DS462" s="421"/>
      <c r="DT462" s="419"/>
      <c r="DU462" s="419"/>
      <c r="DV462" s="421"/>
      <c r="DW462" s="421"/>
      <c r="DX462" s="419"/>
      <c r="DY462" s="419"/>
      <c r="DZ462" s="421"/>
      <c r="EA462" s="421"/>
      <c r="EB462" s="419"/>
      <c r="EC462" s="419"/>
      <c r="ED462" s="421"/>
      <c r="EE462" s="421"/>
      <c r="EF462" s="419"/>
      <c r="EG462" s="421"/>
      <c r="EH462" s="424">
        <f t="shared" si="201"/>
        <v>1</v>
      </c>
      <c r="EI462" s="424">
        <f t="shared" si="202"/>
        <v>1</v>
      </c>
      <c r="EJ462" s="422">
        <f t="shared" si="203"/>
        <v>1</v>
      </c>
      <c r="EK462" s="425">
        <f t="shared" si="204"/>
        <v>7</v>
      </c>
      <c r="EL462" s="425">
        <f t="shared" si="205"/>
        <v>1</v>
      </c>
      <c r="EM462" s="423">
        <f t="shared" si="206"/>
        <v>1</v>
      </c>
      <c r="EN462" s="424">
        <f t="shared" si="207"/>
        <v>145</v>
      </c>
      <c r="EO462" s="425">
        <f t="shared" si="208"/>
        <v>106</v>
      </c>
      <c r="EP462" s="419"/>
      <c r="EQ462" s="421"/>
      <c r="ER462" s="419"/>
      <c r="ES462" s="421"/>
      <c r="ET462" s="419"/>
      <c r="EU462" s="421"/>
      <c r="EV462" s="419"/>
      <c r="EW462" s="421"/>
      <c r="EX462" s="419"/>
      <c r="EY462" s="421"/>
      <c r="EZ462" s="419"/>
      <c r="FA462" s="421"/>
      <c r="FB462" s="419"/>
      <c r="FC462" s="421"/>
      <c r="FD462" s="419"/>
      <c r="FE462" s="421"/>
      <c r="FF462" s="419"/>
      <c r="FG462" s="421"/>
      <c r="FH462" s="419"/>
      <c r="FI462" s="421"/>
      <c r="FJ462" s="424">
        <f t="shared" si="209"/>
        <v>0</v>
      </c>
      <c r="FK462" s="425">
        <f t="shared" si="210"/>
        <v>0</v>
      </c>
      <c r="FL462" s="419"/>
      <c r="FM462" s="421"/>
      <c r="FN462" s="424">
        <f t="shared" si="211"/>
        <v>529</v>
      </c>
      <c r="FO462" s="425">
        <f t="shared" si="212"/>
        <v>106</v>
      </c>
    </row>
    <row r="463" spans="1:171" customFormat="1" ht="15.75" customHeight="1">
      <c r="A463" s="457" t="s">
        <v>166</v>
      </c>
      <c r="B463" s="46" t="s">
        <v>984</v>
      </c>
      <c r="C463" s="490" t="s">
        <v>1199</v>
      </c>
      <c r="D463" s="44">
        <v>483036</v>
      </c>
      <c r="E463" s="467">
        <v>3</v>
      </c>
      <c r="F463" s="419"/>
      <c r="G463" s="421"/>
      <c r="H463" s="419"/>
      <c r="I463" s="421"/>
      <c r="J463" s="419"/>
      <c r="K463" s="421"/>
      <c r="L463" s="422">
        <f t="shared" si="191"/>
        <v>0</v>
      </c>
      <c r="M463" s="423">
        <f t="shared" si="192"/>
        <v>0</v>
      </c>
      <c r="N463" s="419">
        <v>604</v>
      </c>
      <c r="O463" s="525">
        <f>0</f>
        <v>0</v>
      </c>
      <c r="P463" s="525">
        <f>0</f>
        <v>0</v>
      </c>
      <c r="Q463" s="525">
        <f>0</f>
        <v>0</v>
      </c>
      <c r="R463" s="424">
        <f t="shared" si="189"/>
        <v>0</v>
      </c>
      <c r="S463" s="434"/>
      <c r="T463" s="526">
        <f>0</f>
        <v>0</v>
      </c>
      <c r="U463" s="526">
        <f>0</f>
        <v>0</v>
      </c>
      <c r="V463" s="526">
        <f>0</f>
        <v>0</v>
      </c>
      <c r="W463" s="425">
        <f t="shared" si="190"/>
        <v>0</v>
      </c>
      <c r="X463" s="419"/>
      <c r="Y463" s="419"/>
      <c r="Z463" s="421"/>
      <c r="AA463" s="421"/>
      <c r="AB463" s="419"/>
      <c r="AC463" s="419"/>
      <c r="AD463" s="421"/>
      <c r="AE463" s="421"/>
      <c r="AF463" s="419"/>
      <c r="AG463" s="419"/>
      <c r="AH463" s="421"/>
      <c r="AI463" s="421"/>
      <c r="AJ463" s="419"/>
      <c r="AK463" s="419"/>
      <c r="AL463" s="421"/>
      <c r="AM463" s="421"/>
      <c r="AN463" s="419"/>
      <c r="AO463" s="419"/>
      <c r="AP463" s="421"/>
      <c r="AQ463" s="421"/>
      <c r="AR463" s="424">
        <f t="shared" si="193"/>
        <v>0</v>
      </c>
      <c r="AS463" s="422">
        <f t="shared" si="194"/>
        <v>0.76359039190897593</v>
      </c>
      <c r="AT463" s="425">
        <f t="shared" si="195"/>
        <v>0</v>
      </c>
      <c r="AU463" s="423">
        <f t="shared" si="196"/>
        <v>0</v>
      </c>
      <c r="AV463" s="419"/>
      <c r="AW463" s="421"/>
      <c r="AX463" s="419">
        <v>52</v>
      </c>
      <c r="AY463" s="419">
        <v>85</v>
      </c>
      <c r="AZ463" s="527">
        <v>52</v>
      </c>
      <c r="BA463" s="528">
        <v>67</v>
      </c>
      <c r="BB463" s="419">
        <v>13</v>
      </c>
      <c r="BC463" s="419">
        <v>37</v>
      </c>
      <c r="BD463" s="527">
        <v>13</v>
      </c>
      <c r="BE463" s="527">
        <v>32</v>
      </c>
      <c r="BF463" s="419">
        <v>51</v>
      </c>
      <c r="BG463" s="419">
        <v>30</v>
      </c>
      <c r="BH463" s="527">
        <v>51</v>
      </c>
      <c r="BI463" s="527">
        <v>27</v>
      </c>
      <c r="BJ463" s="419">
        <v>11</v>
      </c>
      <c r="BK463" s="419">
        <v>10</v>
      </c>
      <c r="BL463" s="527">
        <v>11</v>
      </c>
      <c r="BM463" s="528">
        <v>14</v>
      </c>
      <c r="BN463" s="419">
        <v>42</v>
      </c>
      <c r="BO463" s="419">
        <v>10</v>
      </c>
      <c r="BP463" s="527">
        <v>42</v>
      </c>
      <c r="BQ463" s="528">
        <v>7</v>
      </c>
      <c r="BR463" s="419">
        <v>43</v>
      </c>
      <c r="BS463" s="419">
        <v>5</v>
      </c>
      <c r="BT463" s="527">
        <v>43</v>
      </c>
      <c r="BU463" s="527">
        <v>5</v>
      </c>
      <c r="BV463" s="419">
        <v>54</v>
      </c>
      <c r="BW463" s="419">
        <v>4</v>
      </c>
      <c r="BX463" s="527">
        <v>27</v>
      </c>
      <c r="BY463" s="527">
        <v>4</v>
      </c>
      <c r="BZ463" s="419">
        <v>27</v>
      </c>
      <c r="CA463" s="419">
        <v>3</v>
      </c>
      <c r="CB463" s="527">
        <v>54</v>
      </c>
      <c r="CC463" s="528">
        <v>4</v>
      </c>
      <c r="CD463" s="419">
        <v>45</v>
      </c>
      <c r="CE463" s="419">
        <v>2</v>
      </c>
      <c r="CF463" s="527">
        <v>23</v>
      </c>
      <c r="CG463" s="527">
        <v>2</v>
      </c>
      <c r="CH463" s="419">
        <v>24</v>
      </c>
      <c r="CI463" s="419">
        <v>1</v>
      </c>
      <c r="CJ463" s="527">
        <v>24</v>
      </c>
      <c r="CK463" s="529">
        <v>2</v>
      </c>
      <c r="CL463" s="419"/>
      <c r="CM463" s="421"/>
      <c r="CN463" s="424">
        <f t="shared" si="197"/>
        <v>187</v>
      </c>
      <c r="CO463" s="424">
        <f t="shared" si="198"/>
        <v>10</v>
      </c>
      <c r="CP463" s="425">
        <f t="shared" si="199"/>
        <v>164</v>
      </c>
      <c r="CQ463" s="425">
        <f t="shared" si="200"/>
        <v>10</v>
      </c>
      <c r="CR463" s="419"/>
      <c r="CS463" s="419"/>
      <c r="CT463" s="421"/>
      <c r="CU463" s="421"/>
      <c r="CV463" s="419"/>
      <c r="CW463" s="419"/>
      <c r="CX463" s="421"/>
      <c r="CY463" s="421"/>
      <c r="CZ463" s="419"/>
      <c r="DA463" s="419"/>
      <c r="DB463" s="421"/>
      <c r="DC463" s="421"/>
      <c r="DD463" s="419"/>
      <c r="DE463" s="419"/>
      <c r="DF463" s="421"/>
      <c r="DG463" s="421"/>
      <c r="DH463" s="419"/>
      <c r="DI463" s="419"/>
      <c r="DJ463" s="421"/>
      <c r="DK463" s="421"/>
      <c r="DL463" s="419"/>
      <c r="DM463" s="419"/>
      <c r="DN463" s="421"/>
      <c r="DO463" s="421"/>
      <c r="DP463" s="419"/>
      <c r="DQ463" s="419"/>
      <c r="DR463" s="421"/>
      <c r="DS463" s="421"/>
      <c r="DT463" s="419"/>
      <c r="DU463" s="419"/>
      <c r="DV463" s="421"/>
      <c r="DW463" s="421"/>
      <c r="DX463" s="419"/>
      <c r="DY463" s="419"/>
      <c r="DZ463" s="421"/>
      <c r="EA463" s="421"/>
      <c r="EB463" s="419"/>
      <c r="EC463" s="419"/>
      <c r="ED463" s="421"/>
      <c r="EE463" s="421"/>
      <c r="EF463" s="419"/>
      <c r="EG463" s="421"/>
      <c r="EH463" s="424">
        <f t="shared" si="201"/>
        <v>0</v>
      </c>
      <c r="EI463" s="424">
        <f t="shared" si="202"/>
        <v>0</v>
      </c>
      <c r="EJ463" s="422">
        <f t="shared" si="203"/>
        <v>0</v>
      </c>
      <c r="EK463" s="425">
        <f t="shared" si="204"/>
        <v>0</v>
      </c>
      <c r="EL463" s="425">
        <f t="shared" si="205"/>
        <v>0</v>
      </c>
      <c r="EM463" s="423">
        <f t="shared" si="206"/>
        <v>0</v>
      </c>
      <c r="EN463" s="424">
        <f t="shared" si="207"/>
        <v>187</v>
      </c>
      <c r="EO463" s="425">
        <f t="shared" si="208"/>
        <v>164</v>
      </c>
      <c r="EP463" s="419"/>
      <c r="EQ463" s="421"/>
      <c r="ER463" s="419"/>
      <c r="ES463" s="421"/>
      <c r="ET463" s="419"/>
      <c r="EU463" s="421"/>
      <c r="EV463" s="419"/>
      <c r="EW463" s="421"/>
      <c r="EX463" s="419"/>
      <c r="EY463" s="421"/>
      <c r="EZ463" s="419"/>
      <c r="FA463" s="421"/>
      <c r="FB463" s="419"/>
      <c r="FC463" s="421"/>
      <c r="FD463" s="419"/>
      <c r="FE463" s="421"/>
      <c r="FF463" s="419"/>
      <c r="FG463" s="421"/>
      <c r="FH463" s="419"/>
      <c r="FI463" s="421"/>
      <c r="FJ463" s="424">
        <f t="shared" si="209"/>
        <v>0</v>
      </c>
      <c r="FK463" s="425">
        <f t="shared" si="210"/>
        <v>0</v>
      </c>
      <c r="FL463" s="419"/>
      <c r="FM463" s="421"/>
      <c r="FN463" s="424">
        <f t="shared" si="211"/>
        <v>791</v>
      </c>
      <c r="FO463" s="425">
        <f t="shared" si="212"/>
        <v>164</v>
      </c>
    </row>
    <row r="464" spans="1:171" customFormat="1" ht="15.75" customHeight="1">
      <c r="A464" s="457" t="s">
        <v>166</v>
      </c>
      <c r="B464" s="46" t="s">
        <v>990</v>
      </c>
      <c r="C464" s="491"/>
      <c r="D464" s="44">
        <v>225432</v>
      </c>
      <c r="E464" s="44">
        <v>4</v>
      </c>
      <c r="F464" s="419"/>
      <c r="G464" s="421"/>
      <c r="H464" s="419"/>
      <c r="I464" s="421"/>
      <c r="J464" s="419"/>
      <c r="K464" s="421"/>
      <c r="L464" s="422">
        <f t="shared" si="191"/>
        <v>0</v>
      </c>
      <c r="M464" s="423">
        <f t="shared" si="192"/>
        <v>0</v>
      </c>
      <c r="N464" s="419">
        <v>3067</v>
      </c>
      <c r="O464" s="525">
        <f>0</f>
        <v>0</v>
      </c>
      <c r="P464" s="525">
        <f>0</f>
        <v>0</v>
      </c>
      <c r="Q464" s="525">
        <f>0</f>
        <v>0</v>
      </c>
      <c r="R464" s="424">
        <f t="shared" si="189"/>
        <v>0</v>
      </c>
      <c r="S464" s="434"/>
      <c r="T464" s="526">
        <f>0</f>
        <v>0</v>
      </c>
      <c r="U464" s="526">
        <f>0</f>
        <v>0</v>
      </c>
      <c r="V464" s="526">
        <f>0</f>
        <v>0</v>
      </c>
      <c r="W464" s="425">
        <f t="shared" si="190"/>
        <v>0</v>
      </c>
      <c r="X464" s="419"/>
      <c r="Y464" s="419"/>
      <c r="Z464" s="421"/>
      <c r="AA464" s="421"/>
      <c r="AB464" s="419"/>
      <c r="AC464" s="419"/>
      <c r="AD464" s="421"/>
      <c r="AE464" s="421"/>
      <c r="AF464" s="419"/>
      <c r="AG464" s="419"/>
      <c r="AH464" s="421"/>
      <c r="AI464" s="421"/>
      <c r="AJ464" s="419"/>
      <c r="AK464" s="419"/>
      <c r="AL464" s="421"/>
      <c r="AM464" s="421"/>
      <c r="AN464" s="419"/>
      <c r="AO464" s="419"/>
      <c r="AP464" s="421"/>
      <c r="AQ464" s="421"/>
      <c r="AR464" s="424">
        <f t="shared" si="193"/>
        <v>0</v>
      </c>
      <c r="AS464" s="422">
        <f t="shared" si="194"/>
        <v>0.8465360198730334</v>
      </c>
      <c r="AT464" s="425">
        <f t="shared" si="195"/>
        <v>0</v>
      </c>
      <c r="AU464" s="423">
        <f t="shared" si="196"/>
        <v>0</v>
      </c>
      <c r="AV464" s="419"/>
      <c r="AW464" s="421"/>
      <c r="AX464" s="419">
        <v>52</v>
      </c>
      <c r="AY464" s="419">
        <v>429</v>
      </c>
      <c r="AZ464" s="527">
        <v>52</v>
      </c>
      <c r="BA464" s="527">
        <v>429</v>
      </c>
      <c r="BB464" s="419">
        <v>27</v>
      </c>
      <c r="BC464" s="419">
        <v>51</v>
      </c>
      <c r="BD464" s="527">
        <v>27</v>
      </c>
      <c r="BE464" s="527">
        <v>57</v>
      </c>
      <c r="BF464" s="419">
        <v>43</v>
      </c>
      <c r="BG464" s="419">
        <v>30</v>
      </c>
      <c r="BH464" s="527">
        <v>43</v>
      </c>
      <c r="BI464" s="528">
        <v>45</v>
      </c>
      <c r="BJ464" s="419">
        <v>13</v>
      </c>
      <c r="BK464" s="419">
        <v>28</v>
      </c>
      <c r="BL464" s="527">
        <v>13</v>
      </c>
      <c r="BM464" s="528">
        <v>14</v>
      </c>
      <c r="BN464" s="419">
        <v>23</v>
      </c>
      <c r="BO464" s="419">
        <v>18</v>
      </c>
      <c r="BP464" s="527">
        <v>23</v>
      </c>
      <c r="BQ464" s="528">
        <v>14</v>
      </c>
      <c r="BR464" s="419"/>
      <c r="BS464" s="419"/>
      <c r="BT464" s="421"/>
      <c r="BU464" s="421"/>
      <c r="BV464" s="419"/>
      <c r="BW464" s="419"/>
      <c r="BX464" s="421"/>
      <c r="BY464" s="421"/>
      <c r="BZ464" s="419"/>
      <c r="CA464" s="419"/>
      <c r="CB464" s="421"/>
      <c r="CC464" s="421"/>
      <c r="CD464" s="419"/>
      <c r="CE464" s="419"/>
      <c r="CF464" s="421"/>
      <c r="CG464" s="421"/>
      <c r="CH464" s="419"/>
      <c r="CI464" s="419"/>
      <c r="CJ464" s="421"/>
      <c r="CK464" s="421"/>
      <c r="CL464" s="419"/>
      <c r="CM464" s="421"/>
      <c r="CN464" s="424">
        <f t="shared" si="197"/>
        <v>556</v>
      </c>
      <c r="CO464" s="424">
        <f t="shared" si="198"/>
        <v>5</v>
      </c>
      <c r="CP464" s="425">
        <f t="shared" si="199"/>
        <v>559</v>
      </c>
      <c r="CQ464" s="425">
        <f t="shared" si="200"/>
        <v>5</v>
      </c>
      <c r="CR464" s="419"/>
      <c r="CS464" s="419"/>
      <c r="CT464" s="421"/>
      <c r="CU464" s="421"/>
      <c r="CV464" s="419"/>
      <c r="CW464" s="419"/>
      <c r="CX464" s="421"/>
      <c r="CY464" s="421"/>
      <c r="CZ464" s="419"/>
      <c r="DA464" s="419"/>
      <c r="DB464" s="421"/>
      <c r="DC464" s="421"/>
      <c r="DD464" s="419"/>
      <c r="DE464" s="419"/>
      <c r="DF464" s="421"/>
      <c r="DG464" s="421"/>
      <c r="DH464" s="419"/>
      <c r="DI464" s="419"/>
      <c r="DJ464" s="421"/>
      <c r="DK464" s="421"/>
      <c r="DL464" s="419"/>
      <c r="DM464" s="419"/>
      <c r="DN464" s="421"/>
      <c r="DO464" s="421"/>
      <c r="DP464" s="419"/>
      <c r="DQ464" s="419"/>
      <c r="DR464" s="421"/>
      <c r="DS464" s="421"/>
      <c r="DT464" s="419"/>
      <c r="DU464" s="419"/>
      <c r="DV464" s="421"/>
      <c r="DW464" s="421"/>
      <c r="DX464" s="419"/>
      <c r="DY464" s="419"/>
      <c r="DZ464" s="421"/>
      <c r="EA464" s="421"/>
      <c r="EB464" s="419"/>
      <c r="EC464" s="419"/>
      <c r="ED464" s="421"/>
      <c r="EE464" s="421"/>
      <c r="EF464" s="419"/>
      <c r="EG464" s="421"/>
      <c r="EH464" s="424">
        <f t="shared" si="201"/>
        <v>0</v>
      </c>
      <c r="EI464" s="424">
        <f t="shared" si="202"/>
        <v>0</v>
      </c>
      <c r="EJ464" s="422">
        <f t="shared" si="203"/>
        <v>0</v>
      </c>
      <c r="EK464" s="425">
        <f t="shared" si="204"/>
        <v>0</v>
      </c>
      <c r="EL464" s="425">
        <f t="shared" si="205"/>
        <v>0</v>
      </c>
      <c r="EM464" s="423">
        <f t="shared" si="206"/>
        <v>0</v>
      </c>
      <c r="EN464" s="424">
        <f t="shared" si="207"/>
        <v>556</v>
      </c>
      <c r="EO464" s="425">
        <f t="shared" si="208"/>
        <v>559</v>
      </c>
      <c r="EP464" s="419"/>
      <c r="EQ464" s="421"/>
      <c r="ER464" s="419"/>
      <c r="ES464" s="421"/>
      <c r="ET464" s="419"/>
      <c r="EU464" s="421"/>
      <c r="EV464" s="419"/>
      <c r="EW464" s="421"/>
      <c r="EX464" s="419"/>
      <c r="EY464" s="421"/>
      <c r="EZ464" s="419"/>
      <c r="FA464" s="421"/>
      <c r="FB464" s="419"/>
      <c r="FC464" s="421"/>
      <c r="FD464" s="419"/>
      <c r="FE464" s="421"/>
      <c r="FF464" s="419"/>
      <c r="FG464" s="421"/>
      <c r="FH464" s="419"/>
      <c r="FI464" s="421"/>
      <c r="FJ464" s="424">
        <f t="shared" si="209"/>
        <v>0</v>
      </c>
      <c r="FK464" s="425">
        <f t="shared" si="210"/>
        <v>0</v>
      </c>
      <c r="FL464" s="419"/>
      <c r="FM464" s="421"/>
      <c r="FN464" s="424">
        <f t="shared" si="211"/>
        <v>3623</v>
      </c>
      <c r="FO464" s="425">
        <f t="shared" si="212"/>
        <v>559</v>
      </c>
    </row>
    <row r="465" spans="1:171" customFormat="1" ht="15.75" customHeight="1">
      <c r="A465" s="457" t="s">
        <v>166</v>
      </c>
      <c r="B465" s="46" t="s">
        <v>985</v>
      </c>
      <c r="C465" s="15"/>
      <c r="D465" s="44">
        <v>225502</v>
      </c>
      <c r="E465" s="44">
        <v>4</v>
      </c>
      <c r="F465" s="419"/>
      <c r="G465" s="421"/>
      <c r="H465" s="419"/>
      <c r="I465" s="421"/>
      <c r="J465" s="419"/>
      <c r="K465" s="421"/>
      <c r="L465" s="422">
        <f t="shared" si="191"/>
        <v>0</v>
      </c>
      <c r="M465" s="423">
        <f t="shared" si="192"/>
        <v>0</v>
      </c>
      <c r="N465" s="419">
        <v>666</v>
      </c>
      <c r="O465" s="525">
        <f>0</f>
        <v>0</v>
      </c>
      <c r="P465" s="525">
        <f>0</f>
        <v>0</v>
      </c>
      <c r="Q465" s="525">
        <f>0</f>
        <v>0</v>
      </c>
      <c r="R465" s="424">
        <f t="shared" si="189"/>
        <v>0</v>
      </c>
      <c r="S465" s="434"/>
      <c r="T465" s="526">
        <f>0</f>
        <v>0</v>
      </c>
      <c r="U465" s="526">
        <f>0</f>
        <v>0</v>
      </c>
      <c r="V465" s="526">
        <f>0</f>
        <v>0</v>
      </c>
      <c r="W465" s="425">
        <f t="shared" si="190"/>
        <v>0</v>
      </c>
      <c r="X465" s="419"/>
      <c r="Y465" s="419"/>
      <c r="Z465" s="421"/>
      <c r="AA465" s="421"/>
      <c r="AB465" s="419"/>
      <c r="AC465" s="419"/>
      <c r="AD465" s="421"/>
      <c r="AE465" s="421"/>
      <c r="AF465" s="419"/>
      <c r="AG465" s="419"/>
      <c r="AH465" s="421"/>
      <c r="AI465" s="421"/>
      <c r="AJ465" s="419"/>
      <c r="AK465" s="419"/>
      <c r="AL465" s="421"/>
      <c r="AM465" s="421"/>
      <c r="AN465" s="419"/>
      <c r="AO465" s="419"/>
      <c r="AP465" s="421"/>
      <c r="AQ465" s="421"/>
      <c r="AR465" s="424">
        <f t="shared" si="193"/>
        <v>0</v>
      </c>
      <c r="AS465" s="422">
        <f t="shared" si="194"/>
        <v>0.67408906882591091</v>
      </c>
      <c r="AT465" s="425">
        <f t="shared" si="195"/>
        <v>0</v>
      </c>
      <c r="AU465" s="423">
        <f t="shared" si="196"/>
        <v>0</v>
      </c>
      <c r="AV465" s="419"/>
      <c r="AW465" s="421"/>
      <c r="AX465" s="419">
        <v>52</v>
      </c>
      <c r="AY465" s="419">
        <v>153</v>
      </c>
      <c r="AZ465" s="527">
        <v>52</v>
      </c>
      <c r="BA465" s="528">
        <v>204</v>
      </c>
      <c r="BB465" s="419">
        <v>13</v>
      </c>
      <c r="BC465" s="419">
        <v>111</v>
      </c>
      <c r="BD465" s="527">
        <v>13</v>
      </c>
      <c r="BE465" s="527">
        <v>104</v>
      </c>
      <c r="BF465" s="419">
        <v>11</v>
      </c>
      <c r="BG465" s="419">
        <v>19</v>
      </c>
      <c r="BH465" s="527">
        <v>42</v>
      </c>
      <c r="BI465" s="528">
        <v>24</v>
      </c>
      <c r="BJ465" s="419">
        <v>42</v>
      </c>
      <c r="BK465" s="419">
        <v>17</v>
      </c>
      <c r="BL465" s="527">
        <v>11</v>
      </c>
      <c r="BM465" s="527">
        <v>19</v>
      </c>
      <c r="BN465" s="419">
        <v>26</v>
      </c>
      <c r="BO465" s="419">
        <v>7</v>
      </c>
      <c r="BP465" s="529">
        <v>18</v>
      </c>
      <c r="BQ465" s="434"/>
      <c r="BR465" s="419">
        <v>9</v>
      </c>
      <c r="BS465" s="419">
        <v>6</v>
      </c>
      <c r="BT465" s="527">
        <v>30</v>
      </c>
      <c r="BU465" s="527">
        <v>7</v>
      </c>
      <c r="BV465" s="419">
        <v>23</v>
      </c>
      <c r="BW465" s="419">
        <v>5</v>
      </c>
      <c r="BX465" s="527">
        <v>23</v>
      </c>
      <c r="BY465" s="528">
        <v>3</v>
      </c>
      <c r="BZ465" s="419">
        <v>30</v>
      </c>
      <c r="CA465" s="419">
        <v>4</v>
      </c>
      <c r="CB465" s="527">
        <v>9</v>
      </c>
      <c r="CC465" s="528">
        <v>2</v>
      </c>
      <c r="CD465" s="419"/>
      <c r="CE465" s="419"/>
      <c r="CF465" s="421"/>
      <c r="CG465" s="421"/>
      <c r="CH465" s="419"/>
      <c r="CI465" s="419"/>
      <c r="CJ465" s="421"/>
      <c r="CK465" s="421"/>
      <c r="CL465" s="419"/>
      <c r="CM465" s="421"/>
      <c r="CN465" s="424">
        <f t="shared" si="197"/>
        <v>322</v>
      </c>
      <c r="CO465" s="424">
        <f t="shared" si="198"/>
        <v>8</v>
      </c>
      <c r="CP465" s="425">
        <f t="shared" si="199"/>
        <v>363</v>
      </c>
      <c r="CQ465" s="425">
        <f t="shared" si="200"/>
        <v>8</v>
      </c>
      <c r="CR465" s="419"/>
      <c r="CS465" s="419"/>
      <c r="CT465" s="421"/>
      <c r="CU465" s="421"/>
      <c r="CV465" s="419"/>
      <c r="CW465" s="419"/>
      <c r="CX465" s="421"/>
      <c r="CY465" s="421"/>
      <c r="CZ465" s="419"/>
      <c r="DA465" s="419"/>
      <c r="DB465" s="421"/>
      <c r="DC465" s="421"/>
      <c r="DD465" s="419"/>
      <c r="DE465" s="419"/>
      <c r="DF465" s="421"/>
      <c r="DG465" s="421"/>
      <c r="DH465" s="419"/>
      <c r="DI465" s="419"/>
      <c r="DJ465" s="421"/>
      <c r="DK465" s="421"/>
      <c r="DL465" s="419"/>
      <c r="DM465" s="419"/>
      <c r="DN465" s="421"/>
      <c r="DO465" s="421"/>
      <c r="DP465" s="419"/>
      <c r="DQ465" s="419"/>
      <c r="DR465" s="421"/>
      <c r="DS465" s="421"/>
      <c r="DT465" s="419"/>
      <c r="DU465" s="419"/>
      <c r="DV465" s="421"/>
      <c r="DW465" s="421"/>
      <c r="DX465" s="419"/>
      <c r="DY465" s="419"/>
      <c r="DZ465" s="421"/>
      <c r="EA465" s="421"/>
      <c r="EB465" s="419"/>
      <c r="EC465" s="419"/>
      <c r="ED465" s="421"/>
      <c r="EE465" s="421"/>
      <c r="EF465" s="419"/>
      <c r="EG465" s="421"/>
      <c r="EH465" s="424">
        <f t="shared" si="201"/>
        <v>0</v>
      </c>
      <c r="EI465" s="424">
        <f t="shared" si="202"/>
        <v>0</v>
      </c>
      <c r="EJ465" s="422">
        <f t="shared" si="203"/>
        <v>0</v>
      </c>
      <c r="EK465" s="425">
        <f t="shared" si="204"/>
        <v>0</v>
      </c>
      <c r="EL465" s="425">
        <f t="shared" si="205"/>
        <v>0</v>
      </c>
      <c r="EM465" s="423">
        <f t="shared" si="206"/>
        <v>0</v>
      </c>
      <c r="EN465" s="424">
        <f t="shared" si="207"/>
        <v>322</v>
      </c>
      <c r="EO465" s="425">
        <f t="shared" si="208"/>
        <v>363</v>
      </c>
      <c r="EP465" s="419"/>
      <c r="EQ465" s="421"/>
      <c r="ER465" s="419"/>
      <c r="ES465" s="421"/>
      <c r="ET465" s="419"/>
      <c r="EU465" s="421"/>
      <c r="EV465" s="419"/>
      <c r="EW465" s="421"/>
      <c r="EX465" s="419"/>
      <c r="EY465" s="421"/>
      <c r="EZ465" s="419"/>
      <c r="FA465" s="421"/>
      <c r="FB465" s="419"/>
      <c r="FC465" s="421"/>
      <c r="FD465" s="419"/>
      <c r="FE465" s="421"/>
      <c r="FF465" s="419"/>
      <c r="FG465" s="421"/>
      <c r="FH465" s="419"/>
      <c r="FI465" s="421"/>
      <c r="FJ465" s="424">
        <f t="shared" si="209"/>
        <v>0</v>
      </c>
      <c r="FK465" s="425">
        <f t="shared" si="210"/>
        <v>0</v>
      </c>
      <c r="FL465" s="419"/>
      <c r="FM465" s="421"/>
      <c r="FN465" s="424">
        <f t="shared" si="211"/>
        <v>988</v>
      </c>
      <c r="FO465" s="425">
        <f t="shared" si="212"/>
        <v>363</v>
      </c>
    </row>
    <row r="466" spans="1:171" customFormat="1" ht="15.75" customHeight="1">
      <c r="A466" s="457" t="s">
        <v>166</v>
      </c>
      <c r="B466" s="46" t="s">
        <v>986</v>
      </c>
      <c r="C466" s="15"/>
      <c r="D466" s="44" t="s">
        <v>987</v>
      </c>
      <c r="E466" s="44">
        <v>5</v>
      </c>
      <c r="F466" s="419"/>
      <c r="G466" s="421"/>
      <c r="H466" s="419"/>
      <c r="I466" s="421"/>
      <c r="J466" s="419"/>
      <c r="K466" s="421"/>
      <c r="L466" s="422">
        <f t="shared" si="191"/>
        <v>0</v>
      </c>
      <c r="M466" s="423">
        <f t="shared" si="192"/>
        <v>0</v>
      </c>
      <c r="N466" s="419">
        <v>179</v>
      </c>
      <c r="O466" s="525">
        <f>0</f>
        <v>0</v>
      </c>
      <c r="P466" s="525">
        <f>0</f>
        <v>0</v>
      </c>
      <c r="Q466" s="525">
        <f>0</f>
        <v>0</v>
      </c>
      <c r="R466" s="424">
        <f t="shared" si="189"/>
        <v>0</v>
      </c>
      <c r="S466" s="434"/>
      <c r="T466" s="526">
        <f>0</f>
        <v>0</v>
      </c>
      <c r="U466" s="526">
        <f>0</f>
        <v>0</v>
      </c>
      <c r="V466" s="526">
        <f>0</f>
        <v>0</v>
      </c>
      <c r="W466" s="425">
        <f t="shared" si="190"/>
        <v>0</v>
      </c>
      <c r="X466" s="419"/>
      <c r="Y466" s="419"/>
      <c r="Z466" s="421"/>
      <c r="AA466" s="421"/>
      <c r="AB466" s="419"/>
      <c r="AC466" s="419"/>
      <c r="AD466" s="421"/>
      <c r="AE466" s="421"/>
      <c r="AF466" s="419"/>
      <c r="AG466" s="419"/>
      <c r="AH466" s="421"/>
      <c r="AI466" s="421"/>
      <c r="AJ466" s="419"/>
      <c r="AK466" s="419"/>
      <c r="AL466" s="421"/>
      <c r="AM466" s="421"/>
      <c r="AN466" s="419"/>
      <c r="AO466" s="419"/>
      <c r="AP466" s="421"/>
      <c r="AQ466" s="421"/>
      <c r="AR466" s="424">
        <f t="shared" si="193"/>
        <v>0</v>
      </c>
      <c r="AS466" s="422">
        <f t="shared" si="194"/>
        <v>0.8564593301435407</v>
      </c>
      <c r="AT466" s="425">
        <f t="shared" si="195"/>
        <v>0</v>
      </c>
      <c r="AU466" s="423">
        <f t="shared" si="196"/>
        <v>0</v>
      </c>
      <c r="AV466" s="419"/>
      <c r="AW466" s="421"/>
      <c r="AX466" s="419">
        <v>13</v>
      </c>
      <c r="AY466" s="419">
        <v>22</v>
      </c>
      <c r="AZ466" s="527">
        <v>13</v>
      </c>
      <c r="BA466" s="527">
        <v>20</v>
      </c>
      <c r="BB466" s="419">
        <v>52</v>
      </c>
      <c r="BC466" s="419">
        <v>8</v>
      </c>
      <c r="BD466" s="527">
        <v>52</v>
      </c>
      <c r="BE466" s="527">
        <v>8</v>
      </c>
      <c r="BF466" s="419"/>
      <c r="BG466" s="419"/>
      <c r="BH466" s="421"/>
      <c r="BI466" s="421"/>
      <c r="BJ466" s="419"/>
      <c r="BK466" s="419"/>
      <c r="BL466" s="421"/>
      <c r="BM466" s="421"/>
      <c r="BN466" s="419"/>
      <c r="BO466" s="419"/>
      <c r="BP466" s="421"/>
      <c r="BQ466" s="421"/>
      <c r="BR466" s="419"/>
      <c r="BS466" s="419"/>
      <c r="BT466" s="421"/>
      <c r="BU466" s="421"/>
      <c r="BV466" s="419"/>
      <c r="BW466" s="419"/>
      <c r="BX466" s="421"/>
      <c r="BY466" s="421"/>
      <c r="BZ466" s="419"/>
      <c r="CA466" s="419"/>
      <c r="CB466" s="421"/>
      <c r="CC466" s="421"/>
      <c r="CD466" s="419"/>
      <c r="CE466" s="419"/>
      <c r="CF466" s="421"/>
      <c r="CG466" s="421"/>
      <c r="CH466" s="419"/>
      <c r="CI466" s="419"/>
      <c r="CJ466" s="421"/>
      <c r="CK466" s="421"/>
      <c r="CL466" s="419"/>
      <c r="CM466" s="421"/>
      <c r="CN466" s="424">
        <f t="shared" si="197"/>
        <v>30</v>
      </c>
      <c r="CO466" s="424">
        <f t="shared" si="198"/>
        <v>2</v>
      </c>
      <c r="CP466" s="425">
        <f t="shared" si="199"/>
        <v>28</v>
      </c>
      <c r="CQ466" s="425">
        <f t="shared" si="200"/>
        <v>2</v>
      </c>
      <c r="CR466" s="419"/>
      <c r="CS466" s="419"/>
      <c r="CT466" s="421"/>
      <c r="CU466" s="421"/>
      <c r="CV466" s="419"/>
      <c r="CW466" s="419"/>
      <c r="CX466" s="421"/>
      <c r="CY466" s="421"/>
      <c r="CZ466" s="419"/>
      <c r="DA466" s="419"/>
      <c r="DB466" s="421"/>
      <c r="DC466" s="421"/>
      <c r="DD466" s="419"/>
      <c r="DE466" s="419"/>
      <c r="DF466" s="421"/>
      <c r="DG466" s="421"/>
      <c r="DH466" s="419"/>
      <c r="DI466" s="419"/>
      <c r="DJ466" s="421"/>
      <c r="DK466" s="421"/>
      <c r="DL466" s="419"/>
      <c r="DM466" s="419"/>
      <c r="DN466" s="421"/>
      <c r="DO466" s="421"/>
      <c r="DP466" s="419"/>
      <c r="DQ466" s="419"/>
      <c r="DR466" s="421"/>
      <c r="DS466" s="421"/>
      <c r="DT466" s="419"/>
      <c r="DU466" s="419"/>
      <c r="DV466" s="421"/>
      <c r="DW466" s="421"/>
      <c r="DX466" s="419"/>
      <c r="DY466" s="419"/>
      <c r="DZ466" s="421"/>
      <c r="EA466" s="421"/>
      <c r="EB466" s="419"/>
      <c r="EC466" s="419"/>
      <c r="ED466" s="421"/>
      <c r="EE466" s="421"/>
      <c r="EF466" s="419"/>
      <c r="EG466" s="421"/>
      <c r="EH466" s="424">
        <f t="shared" si="201"/>
        <v>0</v>
      </c>
      <c r="EI466" s="424">
        <f t="shared" si="202"/>
        <v>0</v>
      </c>
      <c r="EJ466" s="422">
        <f t="shared" si="203"/>
        <v>0</v>
      </c>
      <c r="EK466" s="425">
        <f t="shared" si="204"/>
        <v>0</v>
      </c>
      <c r="EL466" s="425">
        <f t="shared" si="205"/>
        <v>0</v>
      </c>
      <c r="EM466" s="423">
        <f t="shared" si="206"/>
        <v>0</v>
      </c>
      <c r="EN466" s="424">
        <f t="shared" si="207"/>
        <v>30</v>
      </c>
      <c r="EO466" s="425">
        <f t="shared" si="208"/>
        <v>28</v>
      </c>
      <c r="EP466" s="419"/>
      <c r="EQ466" s="421"/>
      <c r="ER466" s="419"/>
      <c r="ES466" s="421"/>
      <c r="ET466" s="419"/>
      <c r="EU466" s="421"/>
      <c r="EV466" s="419"/>
      <c r="EW466" s="421"/>
      <c r="EX466" s="419"/>
      <c r="EY466" s="421"/>
      <c r="EZ466" s="419"/>
      <c r="FA466" s="421"/>
      <c r="FB466" s="419"/>
      <c r="FC466" s="421"/>
      <c r="FD466" s="419"/>
      <c r="FE466" s="421"/>
      <c r="FF466" s="419"/>
      <c r="FG466" s="421"/>
      <c r="FH466" s="419"/>
      <c r="FI466" s="421"/>
      <c r="FJ466" s="424">
        <f t="shared" si="209"/>
        <v>0</v>
      </c>
      <c r="FK466" s="425">
        <f t="shared" si="210"/>
        <v>0</v>
      </c>
      <c r="FL466" s="419"/>
      <c r="FM466" s="421"/>
      <c r="FN466" s="424">
        <f t="shared" si="211"/>
        <v>209</v>
      </c>
      <c r="FO466" s="425">
        <f t="shared" si="212"/>
        <v>28</v>
      </c>
    </row>
    <row r="467" spans="1:171" customFormat="1" ht="15.75" customHeight="1">
      <c r="A467" s="457" t="s">
        <v>166</v>
      </c>
      <c r="B467" s="46" t="s">
        <v>988</v>
      </c>
      <c r="C467" s="4"/>
      <c r="D467" s="44">
        <v>228714</v>
      </c>
      <c r="E467" s="44">
        <v>5</v>
      </c>
      <c r="F467" s="419"/>
      <c r="G467" s="421"/>
      <c r="H467" s="419"/>
      <c r="I467" s="421"/>
      <c r="J467" s="419"/>
      <c r="K467" s="421"/>
      <c r="L467" s="422">
        <f t="shared" si="191"/>
        <v>0</v>
      </c>
      <c r="M467" s="423">
        <f t="shared" si="192"/>
        <v>0</v>
      </c>
      <c r="N467" s="419">
        <v>413</v>
      </c>
      <c r="O467" s="525">
        <f>0</f>
        <v>0</v>
      </c>
      <c r="P467" s="525">
        <f>0</f>
        <v>0</v>
      </c>
      <c r="Q467" s="525">
        <f>0</f>
        <v>0</v>
      </c>
      <c r="R467" s="424">
        <f t="shared" si="189"/>
        <v>0</v>
      </c>
      <c r="S467" s="434"/>
      <c r="T467" s="526">
        <f>0</f>
        <v>0</v>
      </c>
      <c r="U467" s="526">
        <f>0</f>
        <v>0</v>
      </c>
      <c r="V467" s="526">
        <f>0</f>
        <v>0</v>
      </c>
      <c r="W467" s="425">
        <f t="shared" si="190"/>
        <v>0</v>
      </c>
      <c r="X467" s="419"/>
      <c r="Y467" s="419"/>
      <c r="Z467" s="421"/>
      <c r="AA467" s="421"/>
      <c r="AB467" s="419"/>
      <c r="AC467" s="419"/>
      <c r="AD467" s="421"/>
      <c r="AE467" s="421"/>
      <c r="AF467" s="419"/>
      <c r="AG467" s="419"/>
      <c r="AH467" s="421"/>
      <c r="AI467" s="421"/>
      <c r="AJ467" s="419"/>
      <c r="AK467" s="419"/>
      <c r="AL467" s="421"/>
      <c r="AM467" s="421"/>
      <c r="AN467" s="419"/>
      <c r="AO467" s="419"/>
      <c r="AP467" s="421"/>
      <c r="AQ467" s="421"/>
      <c r="AR467" s="424">
        <f t="shared" si="193"/>
        <v>0</v>
      </c>
      <c r="AS467" s="422">
        <f t="shared" si="194"/>
        <v>0.90174672489082974</v>
      </c>
      <c r="AT467" s="425">
        <f t="shared" si="195"/>
        <v>0</v>
      </c>
      <c r="AU467" s="423">
        <f t="shared" si="196"/>
        <v>0</v>
      </c>
      <c r="AV467" s="419"/>
      <c r="AW467" s="421"/>
      <c r="AX467" s="419">
        <v>52</v>
      </c>
      <c r="AY467" s="419">
        <v>27</v>
      </c>
      <c r="AZ467" s="527">
        <v>52</v>
      </c>
      <c r="BA467" s="527">
        <v>27</v>
      </c>
      <c r="BB467" s="419">
        <v>3</v>
      </c>
      <c r="BC467" s="419">
        <v>12</v>
      </c>
      <c r="BD467" s="527">
        <v>26</v>
      </c>
      <c r="BE467" s="527">
        <v>13</v>
      </c>
      <c r="BF467" s="419">
        <v>26</v>
      </c>
      <c r="BG467" s="419">
        <v>6</v>
      </c>
      <c r="BH467" s="527">
        <v>3</v>
      </c>
      <c r="BI467" s="527">
        <v>7</v>
      </c>
      <c r="BJ467" s="419"/>
      <c r="BK467" s="419"/>
      <c r="BL467" s="421"/>
      <c r="BM467" s="421"/>
      <c r="BN467" s="419"/>
      <c r="BO467" s="419"/>
      <c r="BP467" s="421"/>
      <c r="BQ467" s="421"/>
      <c r="BR467" s="419"/>
      <c r="BS467" s="419"/>
      <c r="BT467" s="421"/>
      <c r="BU467" s="421"/>
      <c r="BV467" s="419"/>
      <c r="BW467" s="419"/>
      <c r="BX467" s="421"/>
      <c r="BY467" s="421"/>
      <c r="BZ467" s="419"/>
      <c r="CA467" s="419"/>
      <c r="CB467" s="421"/>
      <c r="CC467" s="421"/>
      <c r="CD467" s="419"/>
      <c r="CE467" s="419"/>
      <c r="CF467" s="421"/>
      <c r="CG467" s="421"/>
      <c r="CH467" s="419"/>
      <c r="CI467" s="419"/>
      <c r="CJ467" s="421"/>
      <c r="CK467" s="421"/>
      <c r="CL467" s="419"/>
      <c r="CM467" s="421"/>
      <c r="CN467" s="424">
        <f t="shared" si="197"/>
        <v>45</v>
      </c>
      <c r="CO467" s="424">
        <f t="shared" si="198"/>
        <v>3</v>
      </c>
      <c r="CP467" s="425">
        <f t="shared" si="199"/>
        <v>47</v>
      </c>
      <c r="CQ467" s="425">
        <f t="shared" si="200"/>
        <v>3</v>
      </c>
      <c r="CR467" s="419"/>
      <c r="CS467" s="419"/>
      <c r="CT467" s="421"/>
      <c r="CU467" s="421"/>
      <c r="CV467" s="419"/>
      <c r="CW467" s="419"/>
      <c r="CX467" s="421"/>
      <c r="CY467" s="421"/>
      <c r="CZ467" s="419"/>
      <c r="DA467" s="419"/>
      <c r="DB467" s="421"/>
      <c r="DC467" s="421"/>
      <c r="DD467" s="419"/>
      <c r="DE467" s="419"/>
      <c r="DF467" s="421"/>
      <c r="DG467" s="421"/>
      <c r="DH467" s="419"/>
      <c r="DI467" s="419"/>
      <c r="DJ467" s="421"/>
      <c r="DK467" s="421"/>
      <c r="DL467" s="419"/>
      <c r="DM467" s="419"/>
      <c r="DN467" s="421"/>
      <c r="DO467" s="421"/>
      <c r="DP467" s="419"/>
      <c r="DQ467" s="419"/>
      <c r="DR467" s="421"/>
      <c r="DS467" s="421"/>
      <c r="DT467" s="419"/>
      <c r="DU467" s="419"/>
      <c r="DV467" s="421"/>
      <c r="DW467" s="421"/>
      <c r="DX467" s="419"/>
      <c r="DY467" s="419"/>
      <c r="DZ467" s="421"/>
      <c r="EA467" s="421"/>
      <c r="EB467" s="419"/>
      <c r="EC467" s="419"/>
      <c r="ED467" s="421"/>
      <c r="EE467" s="421"/>
      <c r="EF467" s="419"/>
      <c r="EG467" s="421"/>
      <c r="EH467" s="424">
        <f t="shared" si="201"/>
        <v>0</v>
      </c>
      <c r="EI467" s="424">
        <f t="shared" si="202"/>
        <v>0</v>
      </c>
      <c r="EJ467" s="422">
        <f t="shared" si="203"/>
        <v>0</v>
      </c>
      <c r="EK467" s="425">
        <f t="shared" si="204"/>
        <v>0</v>
      </c>
      <c r="EL467" s="425">
        <f t="shared" si="205"/>
        <v>0</v>
      </c>
      <c r="EM467" s="423">
        <f t="shared" si="206"/>
        <v>0</v>
      </c>
      <c r="EN467" s="424">
        <f t="shared" si="207"/>
        <v>45</v>
      </c>
      <c r="EO467" s="425">
        <f t="shared" si="208"/>
        <v>47</v>
      </c>
      <c r="EP467" s="419"/>
      <c r="EQ467" s="421"/>
      <c r="ER467" s="419"/>
      <c r="ES467" s="421"/>
      <c r="ET467" s="419"/>
      <c r="EU467" s="421"/>
      <c r="EV467" s="419"/>
      <c r="EW467" s="421"/>
      <c r="EX467" s="419"/>
      <c r="EY467" s="421"/>
      <c r="EZ467" s="419"/>
      <c r="FA467" s="421"/>
      <c r="FB467" s="419"/>
      <c r="FC467" s="421"/>
      <c r="FD467" s="419"/>
      <c r="FE467" s="421"/>
      <c r="FF467" s="419"/>
      <c r="FG467" s="421"/>
      <c r="FH467" s="419"/>
      <c r="FI467" s="421"/>
      <c r="FJ467" s="424">
        <f t="shared" si="209"/>
        <v>0</v>
      </c>
      <c r="FK467" s="425">
        <f t="shared" si="210"/>
        <v>0</v>
      </c>
      <c r="FL467" s="419"/>
      <c r="FM467" s="421"/>
      <c r="FN467" s="424">
        <f t="shared" si="211"/>
        <v>458</v>
      </c>
      <c r="FO467" s="425">
        <f t="shared" si="212"/>
        <v>47</v>
      </c>
    </row>
    <row r="468" spans="1:171" customFormat="1" ht="15.75" customHeight="1">
      <c r="A468" s="457" t="s">
        <v>166</v>
      </c>
      <c r="B468" s="46" t="s">
        <v>989</v>
      </c>
      <c r="C468" s="490" t="s">
        <v>1200</v>
      </c>
      <c r="D468" s="44">
        <v>870501</v>
      </c>
      <c r="E468" s="467">
        <v>4</v>
      </c>
      <c r="F468" s="419"/>
      <c r="G468" s="421"/>
      <c r="H468" s="419"/>
      <c r="I468" s="421"/>
      <c r="J468" s="419"/>
      <c r="K468" s="421"/>
      <c r="L468" s="422">
        <f t="shared" si="191"/>
        <v>0</v>
      </c>
      <c r="M468" s="423">
        <f t="shared" si="192"/>
        <v>0</v>
      </c>
      <c r="N468" s="419">
        <v>1294</v>
      </c>
      <c r="O468" s="525">
        <f>0</f>
        <v>0</v>
      </c>
      <c r="P468" s="525">
        <f>0</f>
        <v>0</v>
      </c>
      <c r="Q468" s="525">
        <f>0</f>
        <v>0</v>
      </c>
      <c r="R468" s="424">
        <f t="shared" si="189"/>
        <v>0</v>
      </c>
      <c r="S468" s="434"/>
      <c r="T468" s="526">
        <f>0</f>
        <v>0</v>
      </c>
      <c r="U468" s="526">
        <f>0</f>
        <v>0</v>
      </c>
      <c r="V468" s="526">
        <f>0</f>
        <v>0</v>
      </c>
      <c r="W468" s="425">
        <f t="shared" si="190"/>
        <v>0</v>
      </c>
      <c r="X468" s="419"/>
      <c r="Y468" s="419"/>
      <c r="Z468" s="421"/>
      <c r="AA468" s="421"/>
      <c r="AB468" s="419"/>
      <c r="AC468" s="419"/>
      <c r="AD468" s="421"/>
      <c r="AE468" s="421"/>
      <c r="AF468" s="419"/>
      <c r="AG468" s="419"/>
      <c r="AH468" s="421"/>
      <c r="AI468" s="421"/>
      <c r="AJ468" s="419"/>
      <c r="AK468" s="419"/>
      <c r="AL468" s="421"/>
      <c r="AM468" s="421"/>
      <c r="AN468" s="419"/>
      <c r="AO468" s="419"/>
      <c r="AP468" s="421"/>
      <c r="AQ468" s="421"/>
      <c r="AR468" s="424">
        <f t="shared" si="193"/>
        <v>0</v>
      </c>
      <c r="AS468" s="422">
        <f t="shared" si="194"/>
        <v>0.79192166462668301</v>
      </c>
      <c r="AT468" s="425">
        <f t="shared" si="195"/>
        <v>0</v>
      </c>
      <c r="AU468" s="423">
        <f t="shared" si="196"/>
        <v>0</v>
      </c>
      <c r="AV468" s="419"/>
      <c r="AW468" s="421"/>
      <c r="AX468" s="419">
        <v>52</v>
      </c>
      <c r="AY468" s="419">
        <v>181</v>
      </c>
      <c r="AZ468" s="527">
        <v>52</v>
      </c>
      <c r="BA468" s="528">
        <v>136</v>
      </c>
      <c r="BB468" s="419">
        <v>13</v>
      </c>
      <c r="BC468" s="419">
        <v>141</v>
      </c>
      <c r="BD468" s="527">
        <v>13</v>
      </c>
      <c r="BE468" s="527">
        <v>121</v>
      </c>
      <c r="BF468" s="419">
        <v>51</v>
      </c>
      <c r="BG468" s="419">
        <v>7</v>
      </c>
      <c r="BH468" s="527">
        <v>42</v>
      </c>
      <c r="BI468" s="527">
        <v>6</v>
      </c>
      <c r="BJ468" s="419">
        <v>31</v>
      </c>
      <c r="BK468" s="419">
        <v>6</v>
      </c>
      <c r="BL468" s="527">
        <v>31</v>
      </c>
      <c r="BM468" s="528">
        <v>3</v>
      </c>
      <c r="BN468" s="419">
        <v>23</v>
      </c>
      <c r="BO468" s="419">
        <v>5</v>
      </c>
      <c r="BP468" s="527">
        <v>23</v>
      </c>
      <c r="BQ468" s="529">
        <v>2</v>
      </c>
      <c r="BR468" s="419"/>
      <c r="BS468" s="419"/>
      <c r="BT468" s="527">
        <v>51</v>
      </c>
      <c r="BU468" s="530">
        <v>2</v>
      </c>
      <c r="BV468" s="419"/>
      <c r="BW468" s="419"/>
      <c r="BX468" s="421"/>
      <c r="BY468" s="421"/>
      <c r="BZ468" s="419"/>
      <c r="CA468" s="419"/>
      <c r="CB468" s="421"/>
      <c r="CC468" s="421"/>
      <c r="CD468" s="419"/>
      <c r="CE468" s="419"/>
      <c r="CF468" s="421"/>
      <c r="CG468" s="421"/>
      <c r="CH468" s="419"/>
      <c r="CI468" s="419"/>
      <c r="CJ468" s="421"/>
      <c r="CK468" s="421"/>
      <c r="CL468" s="419"/>
      <c r="CM468" s="421"/>
      <c r="CN468" s="424">
        <f t="shared" si="197"/>
        <v>340</v>
      </c>
      <c r="CO468" s="424">
        <f t="shared" si="198"/>
        <v>5</v>
      </c>
      <c r="CP468" s="425">
        <f t="shared" si="199"/>
        <v>270</v>
      </c>
      <c r="CQ468" s="425">
        <f t="shared" si="200"/>
        <v>6</v>
      </c>
      <c r="CR468" s="419"/>
      <c r="CS468" s="419"/>
      <c r="CT468" s="421"/>
      <c r="CU468" s="421"/>
      <c r="CV468" s="419"/>
      <c r="CW468" s="419"/>
      <c r="CX468" s="421"/>
      <c r="CY468" s="421"/>
      <c r="CZ468" s="419"/>
      <c r="DA468" s="419"/>
      <c r="DB468" s="421"/>
      <c r="DC468" s="421"/>
      <c r="DD468" s="419"/>
      <c r="DE468" s="419"/>
      <c r="DF468" s="421"/>
      <c r="DG468" s="421"/>
      <c r="DH468" s="419"/>
      <c r="DI468" s="419"/>
      <c r="DJ468" s="421"/>
      <c r="DK468" s="421"/>
      <c r="DL468" s="419"/>
      <c r="DM468" s="419"/>
      <c r="DN468" s="421"/>
      <c r="DO468" s="421"/>
      <c r="DP468" s="419"/>
      <c r="DQ468" s="419"/>
      <c r="DR468" s="421"/>
      <c r="DS468" s="421"/>
      <c r="DT468" s="419"/>
      <c r="DU468" s="419"/>
      <c r="DV468" s="421"/>
      <c r="DW468" s="421"/>
      <c r="DX468" s="419"/>
      <c r="DY468" s="419"/>
      <c r="DZ468" s="421"/>
      <c r="EA468" s="421"/>
      <c r="EB468" s="419"/>
      <c r="EC468" s="419"/>
      <c r="ED468" s="421"/>
      <c r="EE468" s="421"/>
      <c r="EF468" s="419"/>
      <c r="EG468" s="421"/>
      <c r="EH468" s="424">
        <f t="shared" si="201"/>
        <v>0</v>
      </c>
      <c r="EI468" s="424">
        <f t="shared" si="202"/>
        <v>0</v>
      </c>
      <c r="EJ468" s="422">
        <f t="shared" si="203"/>
        <v>0</v>
      </c>
      <c r="EK468" s="425">
        <f t="shared" si="204"/>
        <v>0</v>
      </c>
      <c r="EL468" s="425">
        <f t="shared" si="205"/>
        <v>0</v>
      </c>
      <c r="EM468" s="423">
        <f t="shared" si="206"/>
        <v>0</v>
      </c>
      <c r="EN468" s="424">
        <f t="shared" si="207"/>
        <v>340</v>
      </c>
      <c r="EO468" s="425">
        <f t="shared" si="208"/>
        <v>270</v>
      </c>
      <c r="EP468" s="419"/>
      <c r="EQ468" s="421"/>
      <c r="ER468" s="419"/>
      <c r="ES468" s="421"/>
      <c r="ET468" s="419"/>
      <c r="EU468" s="421"/>
      <c r="EV468" s="419"/>
      <c r="EW468" s="421"/>
      <c r="EX468" s="419"/>
      <c r="EY468" s="421"/>
      <c r="EZ468" s="419"/>
      <c r="FA468" s="421"/>
      <c r="FB468" s="419"/>
      <c r="FC468" s="421"/>
      <c r="FD468" s="419"/>
      <c r="FE468" s="421"/>
      <c r="FF468" s="419"/>
      <c r="FG468" s="421"/>
      <c r="FH468" s="419"/>
      <c r="FI468" s="421"/>
      <c r="FJ468" s="424">
        <f t="shared" si="209"/>
        <v>0</v>
      </c>
      <c r="FK468" s="425">
        <f t="shared" si="210"/>
        <v>0</v>
      </c>
      <c r="FL468" s="419"/>
      <c r="FM468" s="421"/>
      <c r="FN468" s="424">
        <f t="shared" si="211"/>
        <v>1634</v>
      </c>
      <c r="FO468" s="425">
        <f t="shared" si="212"/>
        <v>270</v>
      </c>
    </row>
    <row r="469" spans="1:171" customFormat="1" ht="15.75" customHeight="1">
      <c r="A469" s="457" t="s">
        <v>166</v>
      </c>
      <c r="B469" s="46" t="s">
        <v>991</v>
      </c>
      <c r="C469" s="491" t="s">
        <v>1218</v>
      </c>
      <c r="D469" s="44">
        <v>223506</v>
      </c>
      <c r="E469" s="125">
        <v>7</v>
      </c>
      <c r="F469" s="419">
        <v>528</v>
      </c>
      <c r="G469" s="531">
        <v>381</v>
      </c>
      <c r="H469" s="419"/>
      <c r="I469" s="421"/>
      <c r="J469" s="419">
        <v>553</v>
      </c>
      <c r="K469" s="532">
        <v>506</v>
      </c>
      <c r="L469" s="422">
        <f t="shared" si="191"/>
        <v>12.021739130434783</v>
      </c>
      <c r="M469" s="423">
        <f t="shared" si="192"/>
        <v>0</v>
      </c>
      <c r="N469" s="419">
        <v>46</v>
      </c>
      <c r="O469" s="525">
        <f>0</f>
        <v>0</v>
      </c>
      <c r="P469" s="525">
        <f>0</f>
        <v>0</v>
      </c>
      <c r="Q469" s="525">
        <f>0</f>
        <v>0</v>
      </c>
      <c r="R469" s="424">
        <f t="shared" si="189"/>
        <v>0</v>
      </c>
      <c r="S469" s="434"/>
      <c r="T469" s="526">
        <f>0</f>
        <v>0</v>
      </c>
      <c r="U469" s="526">
        <f>0</f>
        <v>0</v>
      </c>
      <c r="V469" s="526">
        <f>0</f>
        <v>0</v>
      </c>
      <c r="W469" s="425">
        <f t="shared" si="190"/>
        <v>0</v>
      </c>
      <c r="X469" s="419">
        <v>52</v>
      </c>
      <c r="Y469" s="419">
        <v>40</v>
      </c>
      <c r="Z469" s="421">
        <v>52</v>
      </c>
      <c r="AA469" s="420">
        <v>24</v>
      </c>
      <c r="AB469" s="419">
        <v>51</v>
      </c>
      <c r="AC469" s="419">
        <v>6</v>
      </c>
      <c r="AD469" s="421">
        <v>51</v>
      </c>
      <c r="AE469" s="421">
        <v>6</v>
      </c>
      <c r="AF469" s="419"/>
      <c r="AG469" s="419"/>
      <c r="AH469" s="421"/>
      <c r="AI469" s="421"/>
      <c r="AJ469" s="419"/>
      <c r="AK469" s="419"/>
      <c r="AL469" s="421"/>
      <c r="AM469" s="421"/>
      <c r="AN469" s="419"/>
      <c r="AO469" s="419"/>
      <c r="AP469" s="421"/>
      <c r="AQ469" s="421"/>
      <c r="AR469" s="424">
        <f t="shared" si="193"/>
        <v>2</v>
      </c>
      <c r="AS469" s="422">
        <f t="shared" si="194"/>
        <v>4.0816326530612242E-2</v>
      </c>
      <c r="AT469" s="425">
        <f t="shared" si="195"/>
        <v>2</v>
      </c>
      <c r="AU469" s="423">
        <f t="shared" si="196"/>
        <v>0</v>
      </c>
      <c r="AV469" s="419"/>
      <c r="AW469" s="421"/>
      <c r="AX469" s="419"/>
      <c r="AY469" s="419"/>
      <c r="AZ469" s="421"/>
      <c r="BA469" s="421"/>
      <c r="BB469" s="419"/>
      <c r="BC469" s="419"/>
      <c r="BD469" s="421"/>
      <c r="BE469" s="421"/>
      <c r="BF469" s="419"/>
      <c r="BG469" s="419"/>
      <c r="BH469" s="421"/>
      <c r="BI469" s="421"/>
      <c r="BJ469" s="419"/>
      <c r="BK469" s="419"/>
      <c r="BL469" s="421"/>
      <c r="BM469" s="421"/>
      <c r="BN469" s="419"/>
      <c r="BO469" s="419"/>
      <c r="BP469" s="421"/>
      <c r="BQ469" s="421"/>
      <c r="BR469" s="419"/>
      <c r="BS469" s="419"/>
      <c r="BT469" s="421"/>
      <c r="BU469" s="421"/>
      <c r="BV469" s="419"/>
      <c r="BW469" s="419"/>
      <c r="BX469" s="421"/>
      <c r="BY469" s="421"/>
      <c r="BZ469" s="419"/>
      <c r="CA469" s="419"/>
      <c r="CB469" s="421"/>
      <c r="CC469" s="421"/>
      <c r="CD469" s="419"/>
      <c r="CE469" s="419"/>
      <c r="CF469" s="421"/>
      <c r="CG469" s="421"/>
      <c r="CH469" s="419"/>
      <c r="CI469" s="419"/>
      <c r="CJ469" s="421"/>
      <c r="CK469" s="421"/>
      <c r="CL469" s="419"/>
      <c r="CM469" s="421"/>
      <c r="CN469" s="424">
        <f t="shared" si="197"/>
        <v>0</v>
      </c>
      <c r="CO469" s="424">
        <f t="shared" si="198"/>
        <v>0</v>
      </c>
      <c r="CP469" s="425">
        <f t="shared" si="199"/>
        <v>0</v>
      </c>
      <c r="CQ469" s="425">
        <f t="shared" si="200"/>
        <v>0</v>
      </c>
      <c r="CR469" s="419"/>
      <c r="CS469" s="419"/>
      <c r="CT469" s="421"/>
      <c r="CU469" s="421"/>
      <c r="CV469" s="419"/>
      <c r="CW469" s="419"/>
      <c r="CX469" s="421"/>
      <c r="CY469" s="421"/>
      <c r="CZ469" s="419"/>
      <c r="DA469" s="419"/>
      <c r="DB469" s="421"/>
      <c r="DC469" s="421"/>
      <c r="DD469" s="419"/>
      <c r="DE469" s="419"/>
      <c r="DF469" s="421"/>
      <c r="DG469" s="421"/>
      <c r="DH469" s="419"/>
      <c r="DI469" s="419"/>
      <c r="DJ469" s="421"/>
      <c r="DK469" s="421"/>
      <c r="DL469" s="419"/>
      <c r="DM469" s="419"/>
      <c r="DN469" s="421"/>
      <c r="DO469" s="421"/>
      <c r="DP469" s="419"/>
      <c r="DQ469" s="419"/>
      <c r="DR469" s="421"/>
      <c r="DS469" s="421"/>
      <c r="DT469" s="419"/>
      <c r="DU469" s="419"/>
      <c r="DV469" s="421"/>
      <c r="DW469" s="421"/>
      <c r="DX469" s="419"/>
      <c r="DY469" s="419"/>
      <c r="DZ469" s="421"/>
      <c r="EA469" s="421"/>
      <c r="EB469" s="419"/>
      <c r="EC469" s="419"/>
      <c r="ED469" s="421"/>
      <c r="EE469" s="421"/>
      <c r="EF469" s="419"/>
      <c r="EG469" s="421"/>
      <c r="EH469" s="424">
        <f t="shared" si="201"/>
        <v>0</v>
      </c>
      <c r="EI469" s="424">
        <f t="shared" si="202"/>
        <v>0</v>
      </c>
      <c r="EJ469" s="422">
        <f t="shared" si="203"/>
        <v>0</v>
      </c>
      <c r="EK469" s="425">
        <f t="shared" si="204"/>
        <v>0</v>
      </c>
      <c r="EL469" s="425">
        <f t="shared" si="205"/>
        <v>0</v>
      </c>
      <c r="EM469" s="423">
        <f t="shared" si="206"/>
        <v>0</v>
      </c>
      <c r="EN469" s="424">
        <f t="shared" si="207"/>
        <v>0</v>
      </c>
      <c r="EO469" s="425">
        <f t="shared" si="208"/>
        <v>0</v>
      </c>
      <c r="EP469" s="419"/>
      <c r="EQ469" s="421"/>
      <c r="ER469" s="419"/>
      <c r="ES469" s="421"/>
      <c r="ET469" s="419"/>
      <c r="EU469" s="421"/>
      <c r="EV469" s="419"/>
      <c r="EW469" s="421"/>
      <c r="EX469" s="419"/>
      <c r="EY469" s="421"/>
      <c r="EZ469" s="419"/>
      <c r="FA469" s="421"/>
      <c r="FB469" s="419"/>
      <c r="FC469" s="421"/>
      <c r="FD469" s="419"/>
      <c r="FE469" s="421"/>
      <c r="FF469" s="419"/>
      <c r="FG469" s="421"/>
      <c r="FH469" s="419"/>
      <c r="FI469" s="421"/>
      <c r="FJ469" s="424">
        <f t="shared" si="209"/>
        <v>0</v>
      </c>
      <c r="FK469" s="425">
        <f t="shared" si="210"/>
        <v>0</v>
      </c>
      <c r="FL469" s="419"/>
      <c r="FM469" s="421"/>
      <c r="FN469" s="424">
        <f t="shared" si="211"/>
        <v>1127</v>
      </c>
      <c r="FO469" s="425">
        <f t="shared" si="212"/>
        <v>887</v>
      </c>
    </row>
    <row r="470" spans="1:171" customFormat="1" ht="15.75" customHeight="1">
      <c r="A470" s="457" t="s">
        <v>166</v>
      </c>
      <c r="B470" s="46" t="s">
        <v>992</v>
      </c>
      <c r="C470" s="491" t="s">
        <v>1218</v>
      </c>
      <c r="D470" s="44">
        <v>226806</v>
      </c>
      <c r="E470" s="125">
        <v>7</v>
      </c>
      <c r="F470" s="419">
        <v>284</v>
      </c>
      <c r="G470" s="531">
        <v>358</v>
      </c>
      <c r="H470" s="419"/>
      <c r="I470" s="421"/>
      <c r="J470" s="419">
        <v>468</v>
      </c>
      <c r="K470" s="532">
        <v>425</v>
      </c>
      <c r="L470" s="422">
        <f t="shared" si="191"/>
        <v>18.72</v>
      </c>
      <c r="M470" s="423">
        <f t="shared" si="192"/>
        <v>0</v>
      </c>
      <c r="N470" s="419">
        <v>25</v>
      </c>
      <c r="O470" s="525">
        <f>0</f>
        <v>0</v>
      </c>
      <c r="P470" s="525">
        <f>0</f>
        <v>0</v>
      </c>
      <c r="Q470" s="525">
        <f>0</f>
        <v>0</v>
      </c>
      <c r="R470" s="424">
        <f t="shared" si="189"/>
        <v>0</v>
      </c>
      <c r="S470" s="434"/>
      <c r="T470" s="526">
        <f>0</f>
        <v>0</v>
      </c>
      <c r="U470" s="526">
        <f>0</f>
        <v>0</v>
      </c>
      <c r="V470" s="526">
        <f>0</f>
        <v>0</v>
      </c>
      <c r="W470" s="425">
        <f t="shared" si="190"/>
        <v>0</v>
      </c>
      <c r="X470" s="419">
        <v>52</v>
      </c>
      <c r="Y470" s="419">
        <v>21</v>
      </c>
      <c r="Z470" s="421">
        <v>52</v>
      </c>
      <c r="AA470" s="420">
        <v>16</v>
      </c>
      <c r="AB470" s="419">
        <v>51</v>
      </c>
      <c r="AC470" s="419">
        <v>4</v>
      </c>
      <c r="AD470" s="421">
        <v>51</v>
      </c>
      <c r="AE470" s="434">
        <v>7</v>
      </c>
      <c r="AF470" s="419"/>
      <c r="AG470" s="419"/>
      <c r="AH470" s="421"/>
      <c r="AI470" s="421"/>
      <c r="AJ470" s="419"/>
      <c r="AK470" s="419"/>
      <c r="AL470" s="421"/>
      <c r="AM470" s="421"/>
      <c r="AN470" s="419"/>
      <c r="AO470" s="419"/>
      <c r="AP470" s="421"/>
      <c r="AQ470" s="421"/>
      <c r="AR470" s="424">
        <f t="shared" si="193"/>
        <v>2</v>
      </c>
      <c r="AS470" s="422">
        <f t="shared" si="194"/>
        <v>3.2175032175032175E-2</v>
      </c>
      <c r="AT470" s="425">
        <f t="shared" si="195"/>
        <v>2</v>
      </c>
      <c r="AU470" s="423">
        <f t="shared" si="196"/>
        <v>0</v>
      </c>
      <c r="AV470" s="419"/>
      <c r="AW470" s="421"/>
      <c r="AX470" s="419"/>
      <c r="AY470" s="419"/>
      <c r="AZ470" s="421"/>
      <c r="BA470" s="421"/>
      <c r="BB470" s="419"/>
      <c r="BC470" s="419"/>
      <c r="BD470" s="421"/>
      <c r="BE470" s="421"/>
      <c r="BF470" s="419"/>
      <c r="BG470" s="419"/>
      <c r="BH470" s="421"/>
      <c r="BI470" s="421"/>
      <c r="BJ470" s="419"/>
      <c r="BK470" s="419"/>
      <c r="BL470" s="421"/>
      <c r="BM470" s="421"/>
      <c r="BN470" s="419"/>
      <c r="BO470" s="419"/>
      <c r="BP470" s="421"/>
      <c r="BQ470" s="421"/>
      <c r="BR470" s="419"/>
      <c r="BS470" s="419"/>
      <c r="BT470" s="421"/>
      <c r="BU470" s="421"/>
      <c r="BV470" s="419"/>
      <c r="BW470" s="419"/>
      <c r="BX470" s="421"/>
      <c r="BY470" s="421"/>
      <c r="BZ470" s="419"/>
      <c r="CA470" s="419"/>
      <c r="CB470" s="421"/>
      <c r="CC470" s="421"/>
      <c r="CD470" s="419"/>
      <c r="CE470" s="419"/>
      <c r="CF470" s="421"/>
      <c r="CG470" s="421"/>
      <c r="CH470" s="419"/>
      <c r="CI470" s="419"/>
      <c r="CJ470" s="421"/>
      <c r="CK470" s="421"/>
      <c r="CL470" s="419"/>
      <c r="CM470" s="421"/>
      <c r="CN470" s="424">
        <f t="shared" si="197"/>
        <v>0</v>
      </c>
      <c r="CO470" s="424">
        <f t="shared" si="198"/>
        <v>0</v>
      </c>
      <c r="CP470" s="425">
        <f t="shared" si="199"/>
        <v>0</v>
      </c>
      <c r="CQ470" s="425">
        <f t="shared" si="200"/>
        <v>0</v>
      </c>
      <c r="CR470" s="419"/>
      <c r="CS470" s="419"/>
      <c r="CT470" s="421"/>
      <c r="CU470" s="421"/>
      <c r="CV470" s="419"/>
      <c r="CW470" s="419"/>
      <c r="CX470" s="421"/>
      <c r="CY470" s="421"/>
      <c r="CZ470" s="419"/>
      <c r="DA470" s="419"/>
      <c r="DB470" s="421"/>
      <c r="DC470" s="421"/>
      <c r="DD470" s="419"/>
      <c r="DE470" s="419"/>
      <c r="DF470" s="421"/>
      <c r="DG470" s="421"/>
      <c r="DH470" s="419"/>
      <c r="DI470" s="419"/>
      <c r="DJ470" s="421"/>
      <c r="DK470" s="421"/>
      <c r="DL470" s="419"/>
      <c r="DM470" s="419"/>
      <c r="DN470" s="421"/>
      <c r="DO470" s="421"/>
      <c r="DP470" s="419"/>
      <c r="DQ470" s="419"/>
      <c r="DR470" s="421"/>
      <c r="DS470" s="421"/>
      <c r="DT470" s="419"/>
      <c r="DU470" s="419"/>
      <c r="DV470" s="421"/>
      <c r="DW470" s="421"/>
      <c r="DX470" s="419"/>
      <c r="DY470" s="419"/>
      <c r="DZ470" s="421"/>
      <c r="EA470" s="421"/>
      <c r="EB470" s="419"/>
      <c r="EC470" s="419"/>
      <c r="ED470" s="421"/>
      <c r="EE470" s="421"/>
      <c r="EF470" s="419"/>
      <c r="EG470" s="421"/>
      <c r="EH470" s="424">
        <f t="shared" si="201"/>
        <v>0</v>
      </c>
      <c r="EI470" s="424">
        <f t="shared" si="202"/>
        <v>0</v>
      </c>
      <c r="EJ470" s="422">
        <f t="shared" si="203"/>
        <v>0</v>
      </c>
      <c r="EK470" s="425">
        <f t="shared" si="204"/>
        <v>0</v>
      </c>
      <c r="EL470" s="425">
        <f t="shared" si="205"/>
        <v>0</v>
      </c>
      <c r="EM470" s="423">
        <f t="shared" si="206"/>
        <v>0</v>
      </c>
      <c r="EN470" s="424">
        <f t="shared" si="207"/>
        <v>0</v>
      </c>
      <c r="EO470" s="425">
        <f t="shared" si="208"/>
        <v>0</v>
      </c>
      <c r="EP470" s="419"/>
      <c r="EQ470" s="421"/>
      <c r="ER470" s="419"/>
      <c r="ES470" s="421"/>
      <c r="ET470" s="419"/>
      <c r="EU470" s="421"/>
      <c r="EV470" s="419"/>
      <c r="EW470" s="421"/>
      <c r="EX470" s="419"/>
      <c r="EY470" s="421"/>
      <c r="EZ470" s="419"/>
      <c r="FA470" s="421"/>
      <c r="FB470" s="419"/>
      <c r="FC470" s="421"/>
      <c r="FD470" s="419"/>
      <c r="FE470" s="421"/>
      <c r="FF470" s="419"/>
      <c r="FG470" s="421"/>
      <c r="FH470" s="419"/>
      <c r="FI470" s="421"/>
      <c r="FJ470" s="424">
        <f t="shared" si="209"/>
        <v>0</v>
      </c>
      <c r="FK470" s="425">
        <f t="shared" si="210"/>
        <v>0</v>
      </c>
      <c r="FL470" s="419"/>
      <c r="FM470" s="421"/>
      <c r="FN470" s="424">
        <f t="shared" si="211"/>
        <v>777</v>
      </c>
      <c r="FO470" s="425">
        <f t="shared" si="212"/>
        <v>783</v>
      </c>
    </row>
    <row r="471" spans="1:171" customFormat="1" ht="15.75" customHeight="1">
      <c r="A471" s="457" t="s">
        <v>166</v>
      </c>
      <c r="B471" s="46" t="s">
        <v>993</v>
      </c>
      <c r="C471" s="491" t="s">
        <v>1219</v>
      </c>
      <c r="D471" s="44">
        <v>409315</v>
      </c>
      <c r="E471" s="125">
        <v>7</v>
      </c>
      <c r="F471" s="419">
        <v>1641</v>
      </c>
      <c r="G471" s="532">
        <v>1744</v>
      </c>
      <c r="H471" s="419"/>
      <c r="I471" s="421"/>
      <c r="J471" s="419">
        <v>4319</v>
      </c>
      <c r="K471" s="532">
        <v>4327</v>
      </c>
      <c r="L471" s="422">
        <f t="shared" si="191"/>
        <v>12.854166666666666</v>
      </c>
      <c r="M471" s="423">
        <f t="shared" si="192"/>
        <v>0</v>
      </c>
      <c r="N471" s="419">
        <v>336</v>
      </c>
      <c r="O471" s="525">
        <f>0</f>
        <v>0</v>
      </c>
      <c r="P471" s="525">
        <f>0</f>
        <v>0</v>
      </c>
      <c r="Q471" s="525">
        <f>0</f>
        <v>0</v>
      </c>
      <c r="R471" s="424">
        <f t="shared" si="189"/>
        <v>0</v>
      </c>
      <c r="S471" s="434"/>
      <c r="T471" s="526">
        <f>0</f>
        <v>0</v>
      </c>
      <c r="U471" s="526">
        <f>0</f>
        <v>0</v>
      </c>
      <c r="V471" s="526">
        <f>0</f>
        <v>0</v>
      </c>
      <c r="W471" s="425">
        <f t="shared" si="190"/>
        <v>0</v>
      </c>
      <c r="X471" s="419">
        <v>52</v>
      </c>
      <c r="Y471" s="419">
        <v>236</v>
      </c>
      <c r="Z471" s="421">
        <v>52</v>
      </c>
      <c r="AA471" s="421">
        <v>278</v>
      </c>
      <c r="AB471" s="419">
        <v>51</v>
      </c>
      <c r="AC471" s="419">
        <v>59</v>
      </c>
      <c r="AD471" s="421">
        <v>51</v>
      </c>
      <c r="AE471" s="434">
        <v>94</v>
      </c>
      <c r="AF471" s="419">
        <v>11</v>
      </c>
      <c r="AG471" s="419">
        <v>41</v>
      </c>
      <c r="AH471" s="421">
        <v>11</v>
      </c>
      <c r="AI471" s="465">
        <v>83</v>
      </c>
      <c r="AJ471" s="419"/>
      <c r="AK471" s="419"/>
      <c r="AL471" s="421"/>
      <c r="AM471" s="421"/>
      <c r="AN471" s="419"/>
      <c r="AO471" s="419"/>
      <c r="AP471" s="421"/>
      <c r="AQ471" s="421"/>
      <c r="AR471" s="424">
        <f t="shared" si="193"/>
        <v>3</v>
      </c>
      <c r="AS471" s="422">
        <f t="shared" si="194"/>
        <v>5.3367217280813214E-2</v>
      </c>
      <c r="AT471" s="425">
        <f t="shared" si="195"/>
        <v>3</v>
      </c>
      <c r="AU471" s="423">
        <f t="shared" si="196"/>
        <v>0</v>
      </c>
      <c r="AV471" s="419"/>
      <c r="AW471" s="421"/>
      <c r="AX471" s="419"/>
      <c r="AY471" s="419"/>
      <c r="AZ471" s="421"/>
      <c r="BA471" s="421"/>
      <c r="BB471" s="419"/>
      <c r="BC471" s="419"/>
      <c r="BD471" s="421"/>
      <c r="BE471" s="421"/>
      <c r="BF471" s="419"/>
      <c r="BG471" s="419"/>
      <c r="BH471" s="421"/>
      <c r="BI471" s="421"/>
      <c r="BJ471" s="419"/>
      <c r="BK471" s="419"/>
      <c r="BL471" s="421"/>
      <c r="BM471" s="421"/>
      <c r="BN471" s="419"/>
      <c r="BO471" s="419"/>
      <c r="BP471" s="421"/>
      <c r="BQ471" s="421"/>
      <c r="BR471" s="419"/>
      <c r="BS471" s="419"/>
      <c r="BT471" s="421"/>
      <c r="BU471" s="421"/>
      <c r="BV471" s="419"/>
      <c r="BW471" s="419"/>
      <c r="BX471" s="421"/>
      <c r="BY471" s="421"/>
      <c r="BZ471" s="419"/>
      <c r="CA471" s="419"/>
      <c r="CB471" s="421"/>
      <c r="CC471" s="421"/>
      <c r="CD471" s="419"/>
      <c r="CE471" s="419"/>
      <c r="CF471" s="421"/>
      <c r="CG471" s="421"/>
      <c r="CH471" s="419"/>
      <c r="CI471" s="419"/>
      <c r="CJ471" s="421"/>
      <c r="CK471" s="421"/>
      <c r="CL471" s="419"/>
      <c r="CM471" s="421"/>
      <c r="CN471" s="424">
        <f t="shared" si="197"/>
        <v>0</v>
      </c>
      <c r="CO471" s="424">
        <f t="shared" si="198"/>
        <v>0</v>
      </c>
      <c r="CP471" s="425">
        <f t="shared" si="199"/>
        <v>0</v>
      </c>
      <c r="CQ471" s="425">
        <f t="shared" si="200"/>
        <v>0</v>
      </c>
      <c r="CR471" s="419"/>
      <c r="CS471" s="419"/>
      <c r="CT471" s="421"/>
      <c r="CU471" s="421"/>
      <c r="CV471" s="419"/>
      <c r="CW471" s="419"/>
      <c r="CX471" s="421"/>
      <c r="CY471" s="421"/>
      <c r="CZ471" s="419"/>
      <c r="DA471" s="419"/>
      <c r="DB471" s="421"/>
      <c r="DC471" s="421"/>
      <c r="DD471" s="419"/>
      <c r="DE471" s="419"/>
      <c r="DF471" s="421"/>
      <c r="DG471" s="421"/>
      <c r="DH471" s="419"/>
      <c r="DI471" s="419"/>
      <c r="DJ471" s="421"/>
      <c r="DK471" s="421"/>
      <c r="DL471" s="419"/>
      <c r="DM471" s="419"/>
      <c r="DN471" s="421"/>
      <c r="DO471" s="421"/>
      <c r="DP471" s="419"/>
      <c r="DQ471" s="419"/>
      <c r="DR471" s="421"/>
      <c r="DS471" s="421"/>
      <c r="DT471" s="419"/>
      <c r="DU471" s="419"/>
      <c r="DV471" s="421"/>
      <c r="DW471" s="421"/>
      <c r="DX471" s="419"/>
      <c r="DY471" s="419"/>
      <c r="DZ471" s="421"/>
      <c r="EA471" s="421"/>
      <c r="EB471" s="419"/>
      <c r="EC471" s="419"/>
      <c r="ED471" s="421"/>
      <c r="EE471" s="421"/>
      <c r="EF471" s="419"/>
      <c r="EG471" s="421"/>
      <c r="EH471" s="424">
        <f t="shared" si="201"/>
        <v>0</v>
      </c>
      <c r="EI471" s="424">
        <f t="shared" si="202"/>
        <v>0</v>
      </c>
      <c r="EJ471" s="422">
        <f t="shared" si="203"/>
        <v>0</v>
      </c>
      <c r="EK471" s="425">
        <f t="shared" si="204"/>
        <v>0</v>
      </c>
      <c r="EL471" s="425">
        <f t="shared" si="205"/>
        <v>0</v>
      </c>
      <c r="EM471" s="423">
        <f t="shared" si="206"/>
        <v>0</v>
      </c>
      <c r="EN471" s="424">
        <f t="shared" si="207"/>
        <v>0</v>
      </c>
      <c r="EO471" s="425">
        <f t="shared" si="208"/>
        <v>0</v>
      </c>
      <c r="EP471" s="419"/>
      <c r="EQ471" s="421"/>
      <c r="ER471" s="419"/>
      <c r="ES471" s="421"/>
      <c r="ET471" s="419"/>
      <c r="EU471" s="421"/>
      <c r="EV471" s="419"/>
      <c r="EW471" s="421"/>
      <c r="EX471" s="419"/>
      <c r="EY471" s="421"/>
      <c r="EZ471" s="419"/>
      <c r="FA471" s="421"/>
      <c r="FB471" s="419"/>
      <c r="FC471" s="421"/>
      <c r="FD471" s="419"/>
      <c r="FE471" s="421"/>
      <c r="FF471" s="419"/>
      <c r="FG471" s="421"/>
      <c r="FH471" s="419"/>
      <c r="FI471" s="421"/>
      <c r="FJ471" s="424">
        <f t="shared" si="209"/>
        <v>0</v>
      </c>
      <c r="FK471" s="425">
        <f t="shared" si="210"/>
        <v>0</v>
      </c>
      <c r="FL471" s="419"/>
      <c r="FM471" s="421"/>
      <c r="FN471" s="424">
        <f t="shared" si="211"/>
        <v>6296</v>
      </c>
      <c r="FO471" s="425">
        <f t="shared" si="212"/>
        <v>6071</v>
      </c>
    </row>
    <row r="472" spans="1:171" customFormat="1" ht="15.75" customHeight="1">
      <c r="A472" s="457" t="s">
        <v>166</v>
      </c>
      <c r="B472" s="46" t="s">
        <v>994</v>
      </c>
      <c r="C472" s="15"/>
      <c r="D472" s="44">
        <v>222576</v>
      </c>
      <c r="E472" s="125">
        <v>8</v>
      </c>
      <c r="F472" s="419">
        <v>990</v>
      </c>
      <c r="G472" s="532">
        <v>904</v>
      </c>
      <c r="H472" s="419"/>
      <c r="I472" s="421"/>
      <c r="J472" s="419">
        <v>1470</v>
      </c>
      <c r="K472" s="532">
        <v>1297</v>
      </c>
      <c r="L472" s="422">
        <f t="shared" si="191"/>
        <v>0</v>
      </c>
      <c r="M472" s="423">
        <f t="shared" si="192"/>
        <v>0</v>
      </c>
      <c r="N472" s="419"/>
      <c r="O472" s="525">
        <f>0</f>
        <v>0</v>
      </c>
      <c r="P472" s="525">
        <f>0</f>
        <v>0</v>
      </c>
      <c r="Q472" s="525">
        <f>0</f>
        <v>0</v>
      </c>
      <c r="R472" s="424">
        <f t="shared" si="189"/>
        <v>0</v>
      </c>
      <c r="S472" s="421"/>
      <c r="T472" s="526">
        <f>0</f>
        <v>0</v>
      </c>
      <c r="U472" s="526">
        <f>0</f>
        <v>0</v>
      </c>
      <c r="V472" s="526">
        <f>0</f>
        <v>0</v>
      </c>
      <c r="W472" s="425">
        <f t="shared" si="190"/>
        <v>0</v>
      </c>
      <c r="X472" s="419"/>
      <c r="Y472" s="419"/>
      <c r="Z472" s="421"/>
      <c r="AA472" s="421"/>
      <c r="AB472" s="419"/>
      <c r="AC472" s="419"/>
      <c r="AD472" s="421"/>
      <c r="AE472" s="421"/>
      <c r="AF472" s="419"/>
      <c r="AG472" s="419"/>
      <c r="AH472" s="421"/>
      <c r="AI472" s="421"/>
      <c r="AJ472" s="419"/>
      <c r="AK472" s="419"/>
      <c r="AL472" s="421"/>
      <c r="AM472" s="421"/>
      <c r="AN472" s="419"/>
      <c r="AO472" s="419"/>
      <c r="AP472" s="421"/>
      <c r="AQ472" s="421"/>
      <c r="AR472" s="424">
        <f t="shared" si="193"/>
        <v>0</v>
      </c>
      <c r="AS472" s="422">
        <f t="shared" si="194"/>
        <v>0</v>
      </c>
      <c r="AT472" s="425">
        <f t="shared" si="195"/>
        <v>0</v>
      </c>
      <c r="AU472" s="423">
        <f t="shared" si="196"/>
        <v>0</v>
      </c>
      <c r="AV472" s="419"/>
      <c r="AW472" s="421"/>
      <c r="AX472" s="419"/>
      <c r="AY472" s="419"/>
      <c r="AZ472" s="421"/>
      <c r="BA472" s="421"/>
      <c r="BB472" s="419"/>
      <c r="BC472" s="419"/>
      <c r="BD472" s="421"/>
      <c r="BE472" s="421"/>
      <c r="BF472" s="419"/>
      <c r="BG472" s="419"/>
      <c r="BH472" s="421"/>
      <c r="BI472" s="421"/>
      <c r="BJ472" s="419"/>
      <c r="BK472" s="419"/>
      <c r="BL472" s="421"/>
      <c r="BM472" s="421"/>
      <c r="BN472" s="419"/>
      <c r="BO472" s="419"/>
      <c r="BP472" s="421"/>
      <c r="BQ472" s="421"/>
      <c r="BR472" s="419"/>
      <c r="BS472" s="419"/>
      <c r="BT472" s="421"/>
      <c r="BU472" s="421"/>
      <c r="BV472" s="419"/>
      <c r="BW472" s="419"/>
      <c r="BX472" s="421"/>
      <c r="BY472" s="421"/>
      <c r="BZ472" s="419"/>
      <c r="CA472" s="419"/>
      <c r="CB472" s="421"/>
      <c r="CC472" s="421"/>
      <c r="CD472" s="419"/>
      <c r="CE472" s="419"/>
      <c r="CF472" s="421"/>
      <c r="CG472" s="421"/>
      <c r="CH472" s="419"/>
      <c r="CI472" s="419"/>
      <c r="CJ472" s="421"/>
      <c r="CK472" s="421"/>
      <c r="CL472" s="419"/>
      <c r="CM472" s="421"/>
      <c r="CN472" s="424">
        <f t="shared" si="197"/>
        <v>0</v>
      </c>
      <c r="CO472" s="424">
        <f t="shared" si="198"/>
        <v>0</v>
      </c>
      <c r="CP472" s="425">
        <f t="shared" si="199"/>
        <v>0</v>
      </c>
      <c r="CQ472" s="425">
        <f t="shared" si="200"/>
        <v>0</v>
      </c>
      <c r="CR472" s="419"/>
      <c r="CS472" s="419"/>
      <c r="CT472" s="421"/>
      <c r="CU472" s="421"/>
      <c r="CV472" s="419"/>
      <c r="CW472" s="419"/>
      <c r="CX472" s="421"/>
      <c r="CY472" s="421"/>
      <c r="CZ472" s="419"/>
      <c r="DA472" s="419"/>
      <c r="DB472" s="421"/>
      <c r="DC472" s="421"/>
      <c r="DD472" s="419"/>
      <c r="DE472" s="419"/>
      <c r="DF472" s="421"/>
      <c r="DG472" s="421"/>
      <c r="DH472" s="419"/>
      <c r="DI472" s="419"/>
      <c r="DJ472" s="421"/>
      <c r="DK472" s="421"/>
      <c r="DL472" s="419"/>
      <c r="DM472" s="419"/>
      <c r="DN472" s="421"/>
      <c r="DO472" s="421"/>
      <c r="DP472" s="419"/>
      <c r="DQ472" s="419"/>
      <c r="DR472" s="421"/>
      <c r="DS472" s="421"/>
      <c r="DT472" s="419"/>
      <c r="DU472" s="419"/>
      <c r="DV472" s="421"/>
      <c r="DW472" s="421"/>
      <c r="DX472" s="419"/>
      <c r="DY472" s="419"/>
      <c r="DZ472" s="421"/>
      <c r="EA472" s="421"/>
      <c r="EB472" s="419"/>
      <c r="EC472" s="419"/>
      <c r="ED472" s="421"/>
      <c r="EE472" s="421"/>
      <c r="EF472" s="419"/>
      <c r="EG472" s="421"/>
      <c r="EH472" s="424">
        <f t="shared" si="201"/>
        <v>0</v>
      </c>
      <c r="EI472" s="424">
        <f t="shared" si="202"/>
        <v>0</v>
      </c>
      <c r="EJ472" s="422">
        <f t="shared" si="203"/>
        <v>0</v>
      </c>
      <c r="EK472" s="425">
        <f t="shared" si="204"/>
        <v>0</v>
      </c>
      <c r="EL472" s="425">
        <f t="shared" si="205"/>
        <v>0</v>
      </c>
      <c r="EM472" s="423">
        <f t="shared" si="206"/>
        <v>0</v>
      </c>
      <c r="EN472" s="424">
        <f t="shared" si="207"/>
        <v>0</v>
      </c>
      <c r="EO472" s="425">
        <f t="shared" si="208"/>
        <v>0</v>
      </c>
      <c r="EP472" s="419"/>
      <c r="EQ472" s="421"/>
      <c r="ER472" s="419"/>
      <c r="ES472" s="421"/>
      <c r="ET472" s="419"/>
      <c r="EU472" s="421"/>
      <c r="EV472" s="419"/>
      <c r="EW472" s="421"/>
      <c r="EX472" s="419"/>
      <c r="EY472" s="421"/>
      <c r="EZ472" s="419"/>
      <c r="FA472" s="421"/>
      <c r="FB472" s="419"/>
      <c r="FC472" s="421"/>
      <c r="FD472" s="419"/>
      <c r="FE472" s="421"/>
      <c r="FF472" s="419"/>
      <c r="FG472" s="421"/>
      <c r="FH472" s="419"/>
      <c r="FI472" s="421"/>
      <c r="FJ472" s="424">
        <f t="shared" si="209"/>
        <v>0</v>
      </c>
      <c r="FK472" s="425">
        <f t="shared" si="210"/>
        <v>0</v>
      </c>
      <c r="FL472" s="419"/>
      <c r="FM472" s="421"/>
      <c r="FN472" s="424">
        <f t="shared" si="211"/>
        <v>2460</v>
      </c>
      <c r="FO472" s="425">
        <f t="shared" si="212"/>
        <v>2201</v>
      </c>
    </row>
    <row r="473" spans="1:171" customFormat="1" ht="15.75" customHeight="1">
      <c r="A473" s="457" t="s">
        <v>166</v>
      </c>
      <c r="B473" s="46" t="s">
        <v>995</v>
      </c>
      <c r="C473" s="15" t="s">
        <v>996</v>
      </c>
      <c r="D473" s="44">
        <v>222992</v>
      </c>
      <c r="E473" s="125">
        <v>8</v>
      </c>
      <c r="F473" s="419">
        <v>1228</v>
      </c>
      <c r="G473" s="532">
        <v>1278</v>
      </c>
      <c r="H473" s="419"/>
      <c r="I473" s="421"/>
      <c r="J473" s="419">
        <v>4017</v>
      </c>
      <c r="K473" s="532">
        <v>4399</v>
      </c>
      <c r="L473" s="422">
        <f t="shared" si="191"/>
        <v>174.65217391304347</v>
      </c>
      <c r="M473" s="423">
        <f t="shared" si="192"/>
        <v>0</v>
      </c>
      <c r="N473" s="419">
        <v>23</v>
      </c>
      <c r="O473" s="525">
        <f>0</f>
        <v>0</v>
      </c>
      <c r="P473" s="525">
        <f>0</f>
        <v>0</v>
      </c>
      <c r="Q473" s="525">
        <f>0</f>
        <v>0</v>
      </c>
      <c r="R473" s="424">
        <f t="shared" si="189"/>
        <v>0</v>
      </c>
      <c r="S473" s="434"/>
      <c r="T473" s="526">
        <f>0</f>
        <v>0</v>
      </c>
      <c r="U473" s="526">
        <f>0</f>
        <v>0</v>
      </c>
      <c r="V473" s="526">
        <f>0</f>
        <v>0</v>
      </c>
      <c r="W473" s="425">
        <f t="shared" si="190"/>
        <v>0</v>
      </c>
      <c r="X473" s="419">
        <v>51</v>
      </c>
      <c r="Y473" s="419">
        <v>23</v>
      </c>
      <c r="Z473" s="421">
        <v>51</v>
      </c>
      <c r="AA473" s="434">
        <v>38</v>
      </c>
      <c r="AB473" s="419"/>
      <c r="AC473" s="419"/>
      <c r="AD473" s="421"/>
      <c r="AE473" s="421"/>
      <c r="AF473" s="419"/>
      <c r="AG473" s="419"/>
      <c r="AH473" s="421"/>
      <c r="AI473" s="421"/>
      <c r="AJ473" s="419"/>
      <c r="AK473" s="419"/>
      <c r="AL473" s="421"/>
      <c r="AM473" s="421"/>
      <c r="AN473" s="419"/>
      <c r="AO473" s="419"/>
      <c r="AP473" s="421"/>
      <c r="AQ473" s="421"/>
      <c r="AR473" s="424">
        <f t="shared" si="193"/>
        <v>1</v>
      </c>
      <c r="AS473" s="422">
        <f t="shared" si="194"/>
        <v>4.3659832953682615E-3</v>
      </c>
      <c r="AT473" s="425">
        <f t="shared" si="195"/>
        <v>1</v>
      </c>
      <c r="AU473" s="423">
        <f t="shared" si="196"/>
        <v>0</v>
      </c>
      <c r="AV473" s="419"/>
      <c r="AW473" s="421"/>
      <c r="AX473" s="419"/>
      <c r="AY473" s="419"/>
      <c r="AZ473" s="421"/>
      <c r="BA473" s="421"/>
      <c r="BB473" s="419"/>
      <c r="BC473" s="419"/>
      <c r="BD473" s="421"/>
      <c r="BE473" s="421"/>
      <c r="BF473" s="419"/>
      <c r="BG473" s="419"/>
      <c r="BH473" s="421"/>
      <c r="BI473" s="421"/>
      <c r="BJ473" s="419"/>
      <c r="BK473" s="419"/>
      <c r="BL473" s="421"/>
      <c r="BM473" s="421"/>
      <c r="BN473" s="419"/>
      <c r="BO473" s="419"/>
      <c r="BP473" s="421"/>
      <c r="BQ473" s="421"/>
      <c r="BR473" s="419"/>
      <c r="BS473" s="419"/>
      <c r="BT473" s="421"/>
      <c r="BU473" s="421"/>
      <c r="BV473" s="419"/>
      <c r="BW473" s="419"/>
      <c r="BX473" s="421"/>
      <c r="BY473" s="421"/>
      <c r="BZ473" s="419"/>
      <c r="CA473" s="419"/>
      <c r="CB473" s="421"/>
      <c r="CC473" s="421"/>
      <c r="CD473" s="419"/>
      <c r="CE473" s="419"/>
      <c r="CF473" s="421"/>
      <c r="CG473" s="421"/>
      <c r="CH473" s="419"/>
      <c r="CI473" s="419"/>
      <c r="CJ473" s="421"/>
      <c r="CK473" s="421"/>
      <c r="CL473" s="419"/>
      <c r="CM473" s="421"/>
      <c r="CN473" s="424">
        <f t="shared" si="197"/>
        <v>0</v>
      </c>
      <c r="CO473" s="424">
        <f t="shared" si="198"/>
        <v>0</v>
      </c>
      <c r="CP473" s="425">
        <f t="shared" si="199"/>
        <v>0</v>
      </c>
      <c r="CQ473" s="425">
        <f t="shared" si="200"/>
        <v>0</v>
      </c>
      <c r="CR473" s="419"/>
      <c r="CS473" s="419"/>
      <c r="CT473" s="421"/>
      <c r="CU473" s="421"/>
      <c r="CV473" s="419"/>
      <c r="CW473" s="419"/>
      <c r="CX473" s="421"/>
      <c r="CY473" s="421"/>
      <c r="CZ473" s="419"/>
      <c r="DA473" s="419"/>
      <c r="DB473" s="421"/>
      <c r="DC473" s="421"/>
      <c r="DD473" s="419"/>
      <c r="DE473" s="419"/>
      <c r="DF473" s="421"/>
      <c r="DG473" s="421"/>
      <c r="DH473" s="419"/>
      <c r="DI473" s="419"/>
      <c r="DJ473" s="421"/>
      <c r="DK473" s="421"/>
      <c r="DL473" s="419"/>
      <c r="DM473" s="419"/>
      <c r="DN473" s="421"/>
      <c r="DO473" s="421"/>
      <c r="DP473" s="419"/>
      <c r="DQ473" s="419"/>
      <c r="DR473" s="421"/>
      <c r="DS473" s="421"/>
      <c r="DT473" s="419"/>
      <c r="DU473" s="419"/>
      <c r="DV473" s="421"/>
      <c r="DW473" s="421"/>
      <c r="DX473" s="419"/>
      <c r="DY473" s="419"/>
      <c r="DZ473" s="421"/>
      <c r="EA473" s="421"/>
      <c r="EB473" s="419"/>
      <c r="EC473" s="419"/>
      <c r="ED473" s="421"/>
      <c r="EE473" s="421"/>
      <c r="EF473" s="419"/>
      <c r="EG473" s="421"/>
      <c r="EH473" s="424">
        <f t="shared" si="201"/>
        <v>0</v>
      </c>
      <c r="EI473" s="424">
        <f t="shared" si="202"/>
        <v>0</v>
      </c>
      <c r="EJ473" s="422">
        <f t="shared" si="203"/>
        <v>0</v>
      </c>
      <c r="EK473" s="425">
        <f t="shared" si="204"/>
        <v>0</v>
      </c>
      <c r="EL473" s="425">
        <f t="shared" si="205"/>
        <v>0</v>
      </c>
      <c r="EM473" s="423">
        <f t="shared" si="206"/>
        <v>0</v>
      </c>
      <c r="EN473" s="424">
        <f t="shared" si="207"/>
        <v>0</v>
      </c>
      <c r="EO473" s="425">
        <f t="shared" si="208"/>
        <v>0</v>
      </c>
      <c r="EP473" s="419"/>
      <c r="EQ473" s="421"/>
      <c r="ER473" s="419"/>
      <c r="ES473" s="421"/>
      <c r="ET473" s="419"/>
      <c r="EU473" s="421"/>
      <c r="EV473" s="419"/>
      <c r="EW473" s="421"/>
      <c r="EX473" s="419"/>
      <c r="EY473" s="421"/>
      <c r="EZ473" s="419"/>
      <c r="FA473" s="421"/>
      <c r="FB473" s="419"/>
      <c r="FC473" s="421"/>
      <c r="FD473" s="419"/>
      <c r="FE473" s="421"/>
      <c r="FF473" s="419"/>
      <c r="FG473" s="421"/>
      <c r="FH473" s="419"/>
      <c r="FI473" s="421"/>
      <c r="FJ473" s="424">
        <f t="shared" si="209"/>
        <v>0</v>
      </c>
      <c r="FK473" s="425">
        <f t="shared" si="210"/>
        <v>0</v>
      </c>
      <c r="FL473" s="419"/>
      <c r="FM473" s="421"/>
      <c r="FN473" s="424">
        <f t="shared" si="211"/>
        <v>5268</v>
      </c>
      <c r="FO473" s="425">
        <f t="shared" si="212"/>
        <v>5677</v>
      </c>
    </row>
    <row r="474" spans="1:171" customFormat="1" ht="15.75" customHeight="1">
      <c r="A474" s="457" t="s">
        <v>166</v>
      </c>
      <c r="B474" s="46" t="s">
        <v>997</v>
      </c>
      <c r="C474" s="15"/>
      <c r="D474" s="44">
        <v>223427</v>
      </c>
      <c r="E474" s="125">
        <v>8</v>
      </c>
      <c r="F474" s="419">
        <v>283</v>
      </c>
      <c r="G474" s="531">
        <v>209</v>
      </c>
      <c r="H474" s="419"/>
      <c r="I474" s="421"/>
      <c r="J474" s="419">
        <v>1405</v>
      </c>
      <c r="K474" s="533">
        <v>2326</v>
      </c>
      <c r="L474" s="422">
        <f t="shared" si="191"/>
        <v>0</v>
      </c>
      <c r="M474" s="423">
        <f t="shared" si="192"/>
        <v>0</v>
      </c>
      <c r="N474" s="419"/>
      <c r="O474" s="525">
        <f>0</f>
        <v>0</v>
      </c>
      <c r="P474" s="525">
        <f>0</f>
        <v>0</v>
      </c>
      <c r="Q474" s="525">
        <f>0</f>
        <v>0</v>
      </c>
      <c r="R474" s="424">
        <f t="shared" si="189"/>
        <v>0</v>
      </c>
      <c r="S474" s="421"/>
      <c r="T474" s="526">
        <f>0</f>
        <v>0</v>
      </c>
      <c r="U474" s="526">
        <f>0</f>
        <v>0</v>
      </c>
      <c r="V474" s="526">
        <f>0</f>
        <v>0</v>
      </c>
      <c r="W474" s="425">
        <f t="shared" si="190"/>
        <v>0</v>
      </c>
      <c r="X474" s="419"/>
      <c r="Y474" s="419"/>
      <c r="Z474" s="421"/>
      <c r="AA474" s="421"/>
      <c r="AB474" s="419"/>
      <c r="AC474" s="419"/>
      <c r="AD474" s="421"/>
      <c r="AE474" s="421"/>
      <c r="AF474" s="419"/>
      <c r="AG474" s="419"/>
      <c r="AH474" s="421"/>
      <c r="AI474" s="421"/>
      <c r="AJ474" s="419"/>
      <c r="AK474" s="419"/>
      <c r="AL474" s="421"/>
      <c r="AM474" s="421"/>
      <c r="AN474" s="419"/>
      <c r="AO474" s="419"/>
      <c r="AP474" s="421"/>
      <c r="AQ474" s="421"/>
      <c r="AR474" s="424">
        <f t="shared" si="193"/>
        <v>0</v>
      </c>
      <c r="AS474" s="422">
        <f t="shared" si="194"/>
        <v>0</v>
      </c>
      <c r="AT474" s="425">
        <f t="shared" si="195"/>
        <v>0</v>
      </c>
      <c r="AU474" s="423">
        <f t="shared" si="196"/>
        <v>0</v>
      </c>
      <c r="AV474" s="419"/>
      <c r="AW474" s="421"/>
      <c r="AX474" s="419"/>
      <c r="AY474" s="419"/>
      <c r="AZ474" s="421"/>
      <c r="BA474" s="421"/>
      <c r="BB474" s="419"/>
      <c r="BC474" s="419"/>
      <c r="BD474" s="421"/>
      <c r="BE474" s="421"/>
      <c r="BF474" s="419"/>
      <c r="BG474" s="419"/>
      <c r="BH474" s="421"/>
      <c r="BI474" s="421"/>
      <c r="BJ474" s="419"/>
      <c r="BK474" s="419"/>
      <c r="BL474" s="421"/>
      <c r="BM474" s="421"/>
      <c r="BN474" s="419"/>
      <c r="BO474" s="419"/>
      <c r="BP474" s="421"/>
      <c r="BQ474" s="421"/>
      <c r="BR474" s="419"/>
      <c r="BS474" s="419"/>
      <c r="BT474" s="421"/>
      <c r="BU474" s="421"/>
      <c r="BV474" s="419"/>
      <c r="BW474" s="419"/>
      <c r="BX474" s="421"/>
      <c r="BY474" s="421"/>
      <c r="BZ474" s="419"/>
      <c r="CA474" s="419"/>
      <c r="CB474" s="421"/>
      <c r="CC474" s="421"/>
      <c r="CD474" s="419"/>
      <c r="CE474" s="419"/>
      <c r="CF474" s="421"/>
      <c r="CG474" s="421"/>
      <c r="CH474" s="419"/>
      <c r="CI474" s="419"/>
      <c r="CJ474" s="421"/>
      <c r="CK474" s="421"/>
      <c r="CL474" s="419"/>
      <c r="CM474" s="421"/>
      <c r="CN474" s="424">
        <f t="shared" si="197"/>
        <v>0</v>
      </c>
      <c r="CO474" s="424">
        <f t="shared" si="198"/>
        <v>0</v>
      </c>
      <c r="CP474" s="425">
        <f t="shared" si="199"/>
        <v>0</v>
      </c>
      <c r="CQ474" s="425">
        <f t="shared" si="200"/>
        <v>0</v>
      </c>
      <c r="CR474" s="419"/>
      <c r="CS474" s="419"/>
      <c r="CT474" s="421"/>
      <c r="CU474" s="421"/>
      <c r="CV474" s="419"/>
      <c r="CW474" s="419"/>
      <c r="CX474" s="421"/>
      <c r="CY474" s="421"/>
      <c r="CZ474" s="419"/>
      <c r="DA474" s="419"/>
      <c r="DB474" s="421"/>
      <c r="DC474" s="421"/>
      <c r="DD474" s="419"/>
      <c r="DE474" s="419"/>
      <c r="DF474" s="421"/>
      <c r="DG474" s="421"/>
      <c r="DH474" s="419"/>
      <c r="DI474" s="419"/>
      <c r="DJ474" s="421"/>
      <c r="DK474" s="421"/>
      <c r="DL474" s="419"/>
      <c r="DM474" s="419"/>
      <c r="DN474" s="421"/>
      <c r="DO474" s="421"/>
      <c r="DP474" s="419"/>
      <c r="DQ474" s="419"/>
      <c r="DR474" s="421"/>
      <c r="DS474" s="421"/>
      <c r="DT474" s="419"/>
      <c r="DU474" s="419"/>
      <c r="DV474" s="421"/>
      <c r="DW474" s="421"/>
      <c r="DX474" s="419"/>
      <c r="DY474" s="419"/>
      <c r="DZ474" s="421"/>
      <c r="EA474" s="421"/>
      <c r="EB474" s="419"/>
      <c r="EC474" s="419"/>
      <c r="ED474" s="421"/>
      <c r="EE474" s="421"/>
      <c r="EF474" s="419"/>
      <c r="EG474" s="421"/>
      <c r="EH474" s="424">
        <f t="shared" si="201"/>
        <v>0</v>
      </c>
      <c r="EI474" s="424">
        <f t="shared" si="202"/>
        <v>0</v>
      </c>
      <c r="EJ474" s="422">
        <f t="shared" si="203"/>
        <v>0</v>
      </c>
      <c r="EK474" s="425">
        <f t="shared" si="204"/>
        <v>0</v>
      </c>
      <c r="EL474" s="425">
        <f t="shared" si="205"/>
        <v>0</v>
      </c>
      <c r="EM474" s="423">
        <f t="shared" si="206"/>
        <v>0</v>
      </c>
      <c r="EN474" s="424">
        <f t="shared" si="207"/>
        <v>0</v>
      </c>
      <c r="EO474" s="425">
        <f t="shared" si="208"/>
        <v>0</v>
      </c>
      <c r="EP474" s="419"/>
      <c r="EQ474" s="421"/>
      <c r="ER474" s="419"/>
      <c r="ES474" s="421"/>
      <c r="ET474" s="419"/>
      <c r="EU474" s="421"/>
      <c r="EV474" s="419"/>
      <c r="EW474" s="421"/>
      <c r="EX474" s="419"/>
      <c r="EY474" s="421"/>
      <c r="EZ474" s="419"/>
      <c r="FA474" s="421"/>
      <c r="FB474" s="419"/>
      <c r="FC474" s="421"/>
      <c r="FD474" s="419"/>
      <c r="FE474" s="421"/>
      <c r="FF474" s="419"/>
      <c r="FG474" s="421"/>
      <c r="FH474" s="419"/>
      <c r="FI474" s="421"/>
      <c r="FJ474" s="424">
        <f t="shared" si="209"/>
        <v>0</v>
      </c>
      <c r="FK474" s="425">
        <f t="shared" si="210"/>
        <v>0</v>
      </c>
      <c r="FL474" s="419"/>
      <c r="FM474" s="421"/>
      <c r="FN474" s="424">
        <f t="shared" si="211"/>
        <v>1688</v>
      </c>
      <c r="FO474" s="425">
        <f t="shared" si="212"/>
        <v>2535</v>
      </c>
    </row>
    <row r="475" spans="1:171" customFormat="1" ht="15.75" customHeight="1">
      <c r="A475" s="17" t="s">
        <v>166</v>
      </c>
      <c r="B475" s="46" t="s">
        <v>998</v>
      </c>
      <c r="C475" s="491" t="s">
        <v>1218</v>
      </c>
      <c r="D475" s="44">
        <v>223524</v>
      </c>
      <c r="E475" s="125">
        <v>8</v>
      </c>
      <c r="F475" s="419">
        <v>562</v>
      </c>
      <c r="G475" s="532">
        <v>597</v>
      </c>
      <c r="H475" s="419"/>
      <c r="I475" s="421"/>
      <c r="J475" s="419">
        <v>1079</v>
      </c>
      <c r="K475" s="532">
        <v>1199</v>
      </c>
      <c r="L475" s="422">
        <f t="shared" si="191"/>
        <v>0</v>
      </c>
      <c r="M475" s="423">
        <f t="shared" si="192"/>
        <v>0</v>
      </c>
      <c r="N475" s="419"/>
      <c r="O475" s="525">
        <f>0</f>
        <v>0</v>
      </c>
      <c r="P475" s="525">
        <f>0</f>
        <v>0</v>
      </c>
      <c r="Q475" s="525">
        <f>0</f>
        <v>0</v>
      </c>
      <c r="R475" s="424">
        <f t="shared" si="189"/>
        <v>0</v>
      </c>
      <c r="S475" s="421"/>
      <c r="T475" s="526">
        <f>0</f>
        <v>0</v>
      </c>
      <c r="U475" s="526">
        <f>0</f>
        <v>0</v>
      </c>
      <c r="V475" s="526">
        <f>0</f>
        <v>0</v>
      </c>
      <c r="W475" s="425">
        <f t="shared" si="190"/>
        <v>0</v>
      </c>
      <c r="X475" s="419"/>
      <c r="Y475" s="419"/>
      <c r="Z475" s="421"/>
      <c r="AA475" s="421"/>
      <c r="AB475" s="419"/>
      <c r="AC475" s="419"/>
      <c r="AD475" s="421"/>
      <c r="AE475" s="421"/>
      <c r="AF475" s="419"/>
      <c r="AG475" s="419"/>
      <c r="AH475" s="421"/>
      <c r="AI475" s="421"/>
      <c r="AJ475" s="419"/>
      <c r="AK475" s="419"/>
      <c r="AL475" s="421"/>
      <c r="AM475" s="421"/>
      <c r="AN475" s="419"/>
      <c r="AO475" s="419"/>
      <c r="AP475" s="421"/>
      <c r="AQ475" s="421"/>
      <c r="AR475" s="424">
        <f t="shared" si="193"/>
        <v>0</v>
      </c>
      <c r="AS475" s="422">
        <f t="shared" si="194"/>
        <v>0</v>
      </c>
      <c r="AT475" s="425">
        <f t="shared" si="195"/>
        <v>0</v>
      </c>
      <c r="AU475" s="423">
        <f t="shared" si="196"/>
        <v>0</v>
      </c>
      <c r="AV475" s="419"/>
      <c r="AW475" s="421"/>
      <c r="AX475" s="419"/>
      <c r="AY475" s="419"/>
      <c r="AZ475" s="421"/>
      <c r="BA475" s="421"/>
      <c r="BB475" s="419"/>
      <c r="BC475" s="419"/>
      <c r="BD475" s="421"/>
      <c r="BE475" s="421"/>
      <c r="BF475" s="419"/>
      <c r="BG475" s="419"/>
      <c r="BH475" s="421"/>
      <c r="BI475" s="421"/>
      <c r="BJ475" s="419"/>
      <c r="BK475" s="419"/>
      <c r="BL475" s="421"/>
      <c r="BM475" s="421"/>
      <c r="BN475" s="419"/>
      <c r="BO475" s="419"/>
      <c r="BP475" s="421"/>
      <c r="BQ475" s="421"/>
      <c r="BR475" s="419"/>
      <c r="BS475" s="419"/>
      <c r="BT475" s="421"/>
      <c r="BU475" s="421"/>
      <c r="BV475" s="419"/>
      <c r="BW475" s="419"/>
      <c r="BX475" s="421"/>
      <c r="BY475" s="421"/>
      <c r="BZ475" s="419"/>
      <c r="CA475" s="419"/>
      <c r="CB475" s="421"/>
      <c r="CC475" s="421"/>
      <c r="CD475" s="419"/>
      <c r="CE475" s="419"/>
      <c r="CF475" s="421"/>
      <c r="CG475" s="421"/>
      <c r="CH475" s="419"/>
      <c r="CI475" s="419"/>
      <c r="CJ475" s="421"/>
      <c r="CK475" s="421"/>
      <c r="CL475" s="419"/>
      <c r="CM475" s="421"/>
      <c r="CN475" s="424">
        <f t="shared" si="197"/>
        <v>0</v>
      </c>
      <c r="CO475" s="424">
        <f t="shared" si="198"/>
        <v>0</v>
      </c>
      <c r="CP475" s="425">
        <f t="shared" si="199"/>
        <v>0</v>
      </c>
      <c r="CQ475" s="425">
        <f t="shared" si="200"/>
        <v>0</v>
      </c>
      <c r="CR475" s="419"/>
      <c r="CS475" s="419"/>
      <c r="CT475" s="421"/>
      <c r="CU475" s="421"/>
      <c r="CV475" s="419"/>
      <c r="CW475" s="419"/>
      <c r="CX475" s="421"/>
      <c r="CY475" s="421"/>
      <c r="CZ475" s="419"/>
      <c r="DA475" s="419"/>
      <c r="DB475" s="421"/>
      <c r="DC475" s="421"/>
      <c r="DD475" s="419"/>
      <c r="DE475" s="419"/>
      <c r="DF475" s="421"/>
      <c r="DG475" s="421"/>
      <c r="DH475" s="419"/>
      <c r="DI475" s="419"/>
      <c r="DJ475" s="421"/>
      <c r="DK475" s="421"/>
      <c r="DL475" s="419"/>
      <c r="DM475" s="419"/>
      <c r="DN475" s="421"/>
      <c r="DO475" s="421"/>
      <c r="DP475" s="419"/>
      <c r="DQ475" s="419"/>
      <c r="DR475" s="421"/>
      <c r="DS475" s="421"/>
      <c r="DT475" s="419"/>
      <c r="DU475" s="419"/>
      <c r="DV475" s="421"/>
      <c r="DW475" s="421"/>
      <c r="DX475" s="419"/>
      <c r="DY475" s="419"/>
      <c r="DZ475" s="421"/>
      <c r="EA475" s="421"/>
      <c r="EB475" s="419"/>
      <c r="EC475" s="419"/>
      <c r="ED475" s="421"/>
      <c r="EE475" s="421"/>
      <c r="EF475" s="419"/>
      <c r="EG475" s="421"/>
      <c r="EH475" s="424">
        <f t="shared" si="201"/>
        <v>0</v>
      </c>
      <c r="EI475" s="424">
        <f t="shared" si="202"/>
        <v>0</v>
      </c>
      <c r="EJ475" s="422">
        <f t="shared" si="203"/>
        <v>0</v>
      </c>
      <c r="EK475" s="425">
        <f t="shared" si="204"/>
        <v>0</v>
      </c>
      <c r="EL475" s="425">
        <f t="shared" si="205"/>
        <v>0</v>
      </c>
      <c r="EM475" s="423">
        <f t="shared" si="206"/>
        <v>0</v>
      </c>
      <c r="EN475" s="424">
        <f t="shared" si="207"/>
        <v>0</v>
      </c>
      <c r="EO475" s="425">
        <f t="shared" si="208"/>
        <v>0</v>
      </c>
      <c r="EP475" s="419"/>
      <c r="EQ475" s="421"/>
      <c r="ER475" s="419"/>
      <c r="ES475" s="421"/>
      <c r="ET475" s="419"/>
      <c r="EU475" s="421"/>
      <c r="EV475" s="419"/>
      <c r="EW475" s="421"/>
      <c r="EX475" s="419"/>
      <c r="EY475" s="421"/>
      <c r="EZ475" s="419"/>
      <c r="FA475" s="421"/>
      <c r="FB475" s="419"/>
      <c r="FC475" s="421"/>
      <c r="FD475" s="419"/>
      <c r="FE475" s="421"/>
      <c r="FF475" s="419"/>
      <c r="FG475" s="421"/>
      <c r="FH475" s="419"/>
      <c r="FI475" s="421"/>
      <c r="FJ475" s="424">
        <f t="shared" si="209"/>
        <v>0</v>
      </c>
      <c r="FK475" s="425">
        <f t="shared" si="210"/>
        <v>0</v>
      </c>
      <c r="FL475" s="419"/>
      <c r="FM475" s="421"/>
      <c r="FN475" s="424">
        <f t="shared" si="211"/>
        <v>1641</v>
      </c>
      <c r="FO475" s="425">
        <f t="shared" si="212"/>
        <v>1796</v>
      </c>
    </row>
    <row r="476" spans="1:171" customFormat="1" ht="15.75" customHeight="1">
      <c r="A476" s="17" t="s">
        <v>166</v>
      </c>
      <c r="B476" s="46" t="s">
        <v>999</v>
      </c>
      <c r="C476" s="15"/>
      <c r="D476" s="44">
        <v>223816</v>
      </c>
      <c r="E476" s="125">
        <v>8</v>
      </c>
      <c r="F476" s="419">
        <v>639</v>
      </c>
      <c r="G476" s="532">
        <v>561</v>
      </c>
      <c r="H476" s="419"/>
      <c r="I476" s="421"/>
      <c r="J476" s="419">
        <v>1843</v>
      </c>
      <c r="K476" s="531">
        <v>1318</v>
      </c>
      <c r="L476" s="422">
        <f t="shared" si="191"/>
        <v>0</v>
      </c>
      <c r="M476" s="423">
        <f t="shared" si="192"/>
        <v>0</v>
      </c>
      <c r="N476" s="419"/>
      <c r="O476" s="525">
        <f>0</f>
        <v>0</v>
      </c>
      <c r="P476" s="525">
        <f>0</f>
        <v>0</v>
      </c>
      <c r="Q476" s="525">
        <f>0</f>
        <v>0</v>
      </c>
      <c r="R476" s="424">
        <f t="shared" si="189"/>
        <v>0</v>
      </c>
      <c r="S476" s="421"/>
      <c r="T476" s="526">
        <f>0</f>
        <v>0</v>
      </c>
      <c r="U476" s="526">
        <f>0</f>
        <v>0</v>
      </c>
      <c r="V476" s="526">
        <f>0</f>
        <v>0</v>
      </c>
      <c r="W476" s="425">
        <f t="shared" si="190"/>
        <v>0</v>
      </c>
      <c r="X476" s="419"/>
      <c r="Y476" s="419"/>
      <c r="Z476" s="421"/>
      <c r="AA476" s="421"/>
      <c r="AB476" s="419"/>
      <c r="AC476" s="419"/>
      <c r="AD476" s="421"/>
      <c r="AE476" s="421"/>
      <c r="AF476" s="419"/>
      <c r="AG476" s="419"/>
      <c r="AH476" s="421"/>
      <c r="AI476" s="421"/>
      <c r="AJ476" s="419"/>
      <c r="AK476" s="419"/>
      <c r="AL476" s="421"/>
      <c r="AM476" s="421"/>
      <c r="AN476" s="419"/>
      <c r="AO476" s="419"/>
      <c r="AP476" s="421"/>
      <c r="AQ476" s="421"/>
      <c r="AR476" s="424">
        <f t="shared" si="193"/>
        <v>0</v>
      </c>
      <c r="AS476" s="422">
        <f t="shared" si="194"/>
        <v>0</v>
      </c>
      <c r="AT476" s="425">
        <f t="shared" si="195"/>
        <v>0</v>
      </c>
      <c r="AU476" s="423">
        <f t="shared" si="196"/>
        <v>0</v>
      </c>
      <c r="AV476" s="419"/>
      <c r="AW476" s="421"/>
      <c r="AX476" s="419"/>
      <c r="AY476" s="419"/>
      <c r="AZ476" s="421"/>
      <c r="BA476" s="421"/>
      <c r="BB476" s="419"/>
      <c r="BC476" s="419"/>
      <c r="BD476" s="421"/>
      <c r="BE476" s="421"/>
      <c r="BF476" s="419"/>
      <c r="BG476" s="419"/>
      <c r="BH476" s="421"/>
      <c r="BI476" s="421"/>
      <c r="BJ476" s="419"/>
      <c r="BK476" s="419"/>
      <c r="BL476" s="421"/>
      <c r="BM476" s="421"/>
      <c r="BN476" s="419"/>
      <c r="BO476" s="419"/>
      <c r="BP476" s="421"/>
      <c r="BQ476" s="421"/>
      <c r="BR476" s="419"/>
      <c r="BS476" s="419"/>
      <c r="BT476" s="421"/>
      <c r="BU476" s="421"/>
      <c r="BV476" s="419"/>
      <c r="BW476" s="419"/>
      <c r="BX476" s="421"/>
      <c r="BY476" s="421"/>
      <c r="BZ476" s="419"/>
      <c r="CA476" s="419"/>
      <c r="CB476" s="421"/>
      <c r="CC476" s="421"/>
      <c r="CD476" s="419"/>
      <c r="CE476" s="419"/>
      <c r="CF476" s="421"/>
      <c r="CG476" s="421"/>
      <c r="CH476" s="419"/>
      <c r="CI476" s="419"/>
      <c r="CJ476" s="421"/>
      <c r="CK476" s="421"/>
      <c r="CL476" s="419"/>
      <c r="CM476" s="421"/>
      <c r="CN476" s="424">
        <f t="shared" si="197"/>
        <v>0</v>
      </c>
      <c r="CO476" s="424">
        <f t="shared" si="198"/>
        <v>0</v>
      </c>
      <c r="CP476" s="425">
        <f t="shared" si="199"/>
        <v>0</v>
      </c>
      <c r="CQ476" s="425">
        <f t="shared" si="200"/>
        <v>0</v>
      </c>
      <c r="CR476" s="419"/>
      <c r="CS476" s="419"/>
      <c r="CT476" s="421"/>
      <c r="CU476" s="421"/>
      <c r="CV476" s="419"/>
      <c r="CW476" s="419"/>
      <c r="CX476" s="421"/>
      <c r="CY476" s="421"/>
      <c r="CZ476" s="419"/>
      <c r="DA476" s="419"/>
      <c r="DB476" s="421"/>
      <c r="DC476" s="421"/>
      <c r="DD476" s="419"/>
      <c r="DE476" s="419"/>
      <c r="DF476" s="421"/>
      <c r="DG476" s="421"/>
      <c r="DH476" s="419"/>
      <c r="DI476" s="419"/>
      <c r="DJ476" s="421"/>
      <c r="DK476" s="421"/>
      <c r="DL476" s="419"/>
      <c r="DM476" s="419"/>
      <c r="DN476" s="421"/>
      <c r="DO476" s="421"/>
      <c r="DP476" s="419"/>
      <c r="DQ476" s="419"/>
      <c r="DR476" s="421"/>
      <c r="DS476" s="421"/>
      <c r="DT476" s="419"/>
      <c r="DU476" s="419"/>
      <c r="DV476" s="421"/>
      <c r="DW476" s="421"/>
      <c r="DX476" s="419"/>
      <c r="DY476" s="419"/>
      <c r="DZ476" s="421"/>
      <c r="EA476" s="421"/>
      <c r="EB476" s="419"/>
      <c r="EC476" s="419"/>
      <c r="ED476" s="421"/>
      <c r="EE476" s="421"/>
      <c r="EF476" s="419"/>
      <c r="EG476" s="421"/>
      <c r="EH476" s="424">
        <f t="shared" si="201"/>
        <v>0</v>
      </c>
      <c r="EI476" s="424">
        <f t="shared" si="202"/>
        <v>0</v>
      </c>
      <c r="EJ476" s="422">
        <f t="shared" si="203"/>
        <v>0</v>
      </c>
      <c r="EK476" s="425">
        <f t="shared" si="204"/>
        <v>0</v>
      </c>
      <c r="EL476" s="425">
        <f t="shared" si="205"/>
        <v>0</v>
      </c>
      <c r="EM476" s="423">
        <f t="shared" si="206"/>
        <v>0</v>
      </c>
      <c r="EN476" s="424">
        <f t="shared" si="207"/>
        <v>0</v>
      </c>
      <c r="EO476" s="425">
        <f t="shared" si="208"/>
        <v>0</v>
      </c>
      <c r="EP476" s="419"/>
      <c r="EQ476" s="421"/>
      <c r="ER476" s="419"/>
      <c r="ES476" s="421"/>
      <c r="ET476" s="419"/>
      <c r="EU476" s="421"/>
      <c r="EV476" s="419"/>
      <c r="EW476" s="421"/>
      <c r="EX476" s="419"/>
      <c r="EY476" s="421"/>
      <c r="EZ476" s="419"/>
      <c r="FA476" s="421"/>
      <c r="FB476" s="419"/>
      <c r="FC476" s="421"/>
      <c r="FD476" s="419"/>
      <c r="FE476" s="421"/>
      <c r="FF476" s="419"/>
      <c r="FG476" s="421"/>
      <c r="FH476" s="419"/>
      <c r="FI476" s="421"/>
      <c r="FJ476" s="424">
        <f t="shared" si="209"/>
        <v>0</v>
      </c>
      <c r="FK476" s="425">
        <f t="shared" si="210"/>
        <v>0</v>
      </c>
      <c r="FL476" s="419"/>
      <c r="FM476" s="421"/>
      <c r="FN476" s="424">
        <f t="shared" si="211"/>
        <v>2482</v>
      </c>
      <c r="FO476" s="425">
        <f t="shared" si="212"/>
        <v>1879</v>
      </c>
    </row>
    <row r="477" spans="1:171" customFormat="1" ht="15.75" customHeight="1">
      <c r="A477" s="17" t="s">
        <v>166</v>
      </c>
      <c r="B477" s="46" t="s">
        <v>1000</v>
      </c>
      <c r="C477" s="15"/>
      <c r="D477" s="44">
        <v>247834</v>
      </c>
      <c r="E477" s="125">
        <v>8</v>
      </c>
      <c r="F477" s="419">
        <v>741</v>
      </c>
      <c r="G477" s="532">
        <v>806</v>
      </c>
      <c r="H477" s="419"/>
      <c r="I477" s="421"/>
      <c r="J477" s="419">
        <v>3356</v>
      </c>
      <c r="K477" s="531">
        <v>4351</v>
      </c>
      <c r="L477" s="422">
        <f t="shared" si="191"/>
        <v>0</v>
      </c>
      <c r="M477" s="423">
        <f t="shared" si="192"/>
        <v>0</v>
      </c>
      <c r="N477" s="419"/>
      <c r="O477" s="525">
        <f>0</f>
        <v>0</v>
      </c>
      <c r="P477" s="525">
        <f>0</f>
        <v>0</v>
      </c>
      <c r="Q477" s="525">
        <f>0</f>
        <v>0</v>
      </c>
      <c r="R477" s="424">
        <f t="shared" si="189"/>
        <v>0</v>
      </c>
      <c r="S477" s="421"/>
      <c r="T477" s="526">
        <f>0</f>
        <v>0</v>
      </c>
      <c r="U477" s="526">
        <f>0</f>
        <v>0</v>
      </c>
      <c r="V477" s="526">
        <f>0</f>
        <v>0</v>
      </c>
      <c r="W477" s="425">
        <f t="shared" si="190"/>
        <v>0</v>
      </c>
      <c r="X477" s="419"/>
      <c r="Y477" s="419"/>
      <c r="Z477" s="421"/>
      <c r="AA477" s="421"/>
      <c r="AB477" s="419"/>
      <c r="AC477" s="419"/>
      <c r="AD477" s="421"/>
      <c r="AE477" s="421"/>
      <c r="AF477" s="419"/>
      <c r="AG477" s="419"/>
      <c r="AH477" s="421"/>
      <c r="AI477" s="421"/>
      <c r="AJ477" s="419"/>
      <c r="AK477" s="419"/>
      <c r="AL477" s="421"/>
      <c r="AM477" s="421"/>
      <c r="AN477" s="419"/>
      <c r="AO477" s="419"/>
      <c r="AP477" s="421"/>
      <c r="AQ477" s="421"/>
      <c r="AR477" s="424">
        <f t="shared" si="193"/>
        <v>0</v>
      </c>
      <c r="AS477" s="422">
        <f t="shared" si="194"/>
        <v>0</v>
      </c>
      <c r="AT477" s="425">
        <f t="shared" si="195"/>
        <v>0</v>
      </c>
      <c r="AU477" s="423">
        <f t="shared" si="196"/>
        <v>0</v>
      </c>
      <c r="AV477" s="419"/>
      <c r="AW477" s="421"/>
      <c r="AX477" s="419"/>
      <c r="AY477" s="419"/>
      <c r="AZ477" s="421"/>
      <c r="BA477" s="421"/>
      <c r="BB477" s="419"/>
      <c r="BC477" s="419"/>
      <c r="BD477" s="421"/>
      <c r="BE477" s="421"/>
      <c r="BF477" s="419"/>
      <c r="BG477" s="419"/>
      <c r="BH477" s="421"/>
      <c r="BI477" s="421"/>
      <c r="BJ477" s="419"/>
      <c r="BK477" s="419"/>
      <c r="BL477" s="421"/>
      <c r="BM477" s="421"/>
      <c r="BN477" s="419"/>
      <c r="BO477" s="419"/>
      <c r="BP477" s="421"/>
      <c r="BQ477" s="421"/>
      <c r="BR477" s="419"/>
      <c r="BS477" s="419"/>
      <c r="BT477" s="421"/>
      <c r="BU477" s="421"/>
      <c r="BV477" s="419"/>
      <c r="BW477" s="419"/>
      <c r="BX477" s="421"/>
      <c r="BY477" s="421"/>
      <c r="BZ477" s="419"/>
      <c r="CA477" s="419"/>
      <c r="CB477" s="421"/>
      <c r="CC477" s="421"/>
      <c r="CD477" s="419"/>
      <c r="CE477" s="419"/>
      <c r="CF477" s="421"/>
      <c r="CG477" s="421"/>
      <c r="CH477" s="419"/>
      <c r="CI477" s="419"/>
      <c r="CJ477" s="421"/>
      <c r="CK477" s="421"/>
      <c r="CL477" s="419"/>
      <c r="CM477" s="421"/>
      <c r="CN477" s="424">
        <f t="shared" si="197"/>
        <v>0</v>
      </c>
      <c r="CO477" s="424">
        <f t="shared" si="198"/>
        <v>0</v>
      </c>
      <c r="CP477" s="425">
        <f t="shared" si="199"/>
        <v>0</v>
      </c>
      <c r="CQ477" s="425">
        <f t="shared" si="200"/>
        <v>0</v>
      </c>
      <c r="CR477" s="419"/>
      <c r="CS477" s="419"/>
      <c r="CT477" s="421"/>
      <c r="CU477" s="421"/>
      <c r="CV477" s="419"/>
      <c r="CW477" s="419"/>
      <c r="CX477" s="421"/>
      <c r="CY477" s="421"/>
      <c r="CZ477" s="419"/>
      <c r="DA477" s="419"/>
      <c r="DB477" s="421"/>
      <c r="DC477" s="421"/>
      <c r="DD477" s="419"/>
      <c r="DE477" s="419"/>
      <c r="DF477" s="421"/>
      <c r="DG477" s="421"/>
      <c r="DH477" s="419"/>
      <c r="DI477" s="419"/>
      <c r="DJ477" s="421"/>
      <c r="DK477" s="421"/>
      <c r="DL477" s="419"/>
      <c r="DM477" s="419"/>
      <c r="DN477" s="421"/>
      <c r="DO477" s="421"/>
      <c r="DP477" s="419"/>
      <c r="DQ477" s="419"/>
      <c r="DR477" s="421"/>
      <c r="DS477" s="421"/>
      <c r="DT477" s="419"/>
      <c r="DU477" s="419"/>
      <c r="DV477" s="421"/>
      <c r="DW477" s="421"/>
      <c r="DX477" s="419"/>
      <c r="DY477" s="419"/>
      <c r="DZ477" s="421"/>
      <c r="EA477" s="421"/>
      <c r="EB477" s="419"/>
      <c r="EC477" s="419"/>
      <c r="ED477" s="421"/>
      <c r="EE477" s="421"/>
      <c r="EF477" s="419"/>
      <c r="EG477" s="421"/>
      <c r="EH477" s="424">
        <f t="shared" si="201"/>
        <v>0</v>
      </c>
      <c r="EI477" s="424">
        <f t="shared" si="202"/>
        <v>0</v>
      </c>
      <c r="EJ477" s="422">
        <f t="shared" si="203"/>
        <v>0</v>
      </c>
      <c r="EK477" s="425">
        <f t="shared" si="204"/>
        <v>0</v>
      </c>
      <c r="EL477" s="425">
        <f t="shared" si="205"/>
        <v>0</v>
      </c>
      <c r="EM477" s="423">
        <f t="shared" si="206"/>
        <v>0</v>
      </c>
      <c r="EN477" s="424">
        <f t="shared" si="207"/>
        <v>0</v>
      </c>
      <c r="EO477" s="425">
        <f t="shared" si="208"/>
        <v>0</v>
      </c>
      <c r="EP477" s="419"/>
      <c r="EQ477" s="421"/>
      <c r="ER477" s="419"/>
      <c r="ES477" s="421"/>
      <c r="ET477" s="419"/>
      <c r="EU477" s="421"/>
      <c r="EV477" s="419"/>
      <c r="EW477" s="421"/>
      <c r="EX477" s="419"/>
      <c r="EY477" s="421"/>
      <c r="EZ477" s="419"/>
      <c r="FA477" s="421"/>
      <c r="FB477" s="419"/>
      <c r="FC477" s="421"/>
      <c r="FD477" s="419"/>
      <c r="FE477" s="421"/>
      <c r="FF477" s="419"/>
      <c r="FG477" s="421"/>
      <c r="FH477" s="419"/>
      <c r="FI477" s="421"/>
      <c r="FJ477" s="424">
        <f t="shared" si="209"/>
        <v>0</v>
      </c>
      <c r="FK477" s="425">
        <f t="shared" si="210"/>
        <v>0</v>
      </c>
      <c r="FL477" s="419"/>
      <c r="FM477" s="421"/>
      <c r="FN477" s="424">
        <f t="shared" si="211"/>
        <v>4097</v>
      </c>
      <c r="FO477" s="425">
        <f t="shared" si="212"/>
        <v>5157</v>
      </c>
    </row>
    <row r="478" spans="1:171" customFormat="1" ht="15.75" customHeight="1">
      <c r="A478" s="17" t="s">
        <v>166</v>
      </c>
      <c r="B478" s="46" t="s">
        <v>1001</v>
      </c>
      <c r="C478" s="15"/>
      <c r="D478" s="44">
        <v>224350</v>
      </c>
      <c r="E478" s="125">
        <v>8</v>
      </c>
      <c r="F478" s="419">
        <v>494</v>
      </c>
      <c r="G478" s="532">
        <v>556</v>
      </c>
      <c r="H478" s="419"/>
      <c r="I478" s="421"/>
      <c r="J478" s="419">
        <v>1354</v>
      </c>
      <c r="K478" s="532">
        <v>1197</v>
      </c>
      <c r="L478" s="422">
        <f t="shared" si="191"/>
        <v>0</v>
      </c>
      <c r="M478" s="423">
        <f t="shared" si="192"/>
        <v>0</v>
      </c>
      <c r="N478" s="419"/>
      <c r="O478" s="525">
        <f>0</f>
        <v>0</v>
      </c>
      <c r="P478" s="525">
        <f>0</f>
        <v>0</v>
      </c>
      <c r="Q478" s="525">
        <f>0</f>
        <v>0</v>
      </c>
      <c r="R478" s="424">
        <f t="shared" si="189"/>
        <v>0</v>
      </c>
      <c r="S478" s="421"/>
      <c r="T478" s="526">
        <f>0</f>
        <v>0</v>
      </c>
      <c r="U478" s="526">
        <f>0</f>
        <v>0</v>
      </c>
      <c r="V478" s="526">
        <f>0</f>
        <v>0</v>
      </c>
      <c r="W478" s="425">
        <f t="shared" si="190"/>
        <v>0</v>
      </c>
      <c r="X478" s="419"/>
      <c r="Y478" s="419"/>
      <c r="Z478" s="421"/>
      <c r="AA478" s="421"/>
      <c r="AB478" s="419"/>
      <c r="AC478" s="419"/>
      <c r="AD478" s="421"/>
      <c r="AE478" s="421"/>
      <c r="AF478" s="419"/>
      <c r="AG478" s="419"/>
      <c r="AH478" s="421"/>
      <c r="AI478" s="421"/>
      <c r="AJ478" s="419"/>
      <c r="AK478" s="419"/>
      <c r="AL478" s="421"/>
      <c r="AM478" s="421"/>
      <c r="AN478" s="419"/>
      <c r="AO478" s="419"/>
      <c r="AP478" s="421"/>
      <c r="AQ478" s="421"/>
      <c r="AR478" s="424">
        <f t="shared" si="193"/>
        <v>0</v>
      </c>
      <c r="AS478" s="422">
        <f t="shared" si="194"/>
        <v>0</v>
      </c>
      <c r="AT478" s="425">
        <f t="shared" si="195"/>
        <v>0</v>
      </c>
      <c r="AU478" s="423">
        <f t="shared" si="196"/>
        <v>0</v>
      </c>
      <c r="AV478" s="419"/>
      <c r="AW478" s="421"/>
      <c r="AX478" s="419"/>
      <c r="AY478" s="419"/>
      <c r="AZ478" s="421"/>
      <c r="BA478" s="421"/>
      <c r="BB478" s="419"/>
      <c r="BC478" s="419"/>
      <c r="BD478" s="421"/>
      <c r="BE478" s="421"/>
      <c r="BF478" s="419"/>
      <c r="BG478" s="419"/>
      <c r="BH478" s="421"/>
      <c r="BI478" s="421"/>
      <c r="BJ478" s="419"/>
      <c r="BK478" s="419"/>
      <c r="BL478" s="421"/>
      <c r="BM478" s="421"/>
      <c r="BN478" s="419"/>
      <c r="BO478" s="419"/>
      <c r="BP478" s="421"/>
      <c r="BQ478" s="421"/>
      <c r="BR478" s="419"/>
      <c r="BS478" s="419"/>
      <c r="BT478" s="421"/>
      <c r="BU478" s="421"/>
      <c r="BV478" s="419"/>
      <c r="BW478" s="419"/>
      <c r="BX478" s="421"/>
      <c r="BY478" s="421"/>
      <c r="BZ478" s="419"/>
      <c r="CA478" s="419"/>
      <c r="CB478" s="421"/>
      <c r="CC478" s="421"/>
      <c r="CD478" s="419"/>
      <c r="CE478" s="419"/>
      <c r="CF478" s="421"/>
      <c r="CG478" s="421"/>
      <c r="CH478" s="419"/>
      <c r="CI478" s="419"/>
      <c r="CJ478" s="421"/>
      <c r="CK478" s="421"/>
      <c r="CL478" s="419"/>
      <c r="CM478" s="421"/>
      <c r="CN478" s="424">
        <f t="shared" si="197"/>
        <v>0</v>
      </c>
      <c r="CO478" s="424">
        <f t="shared" si="198"/>
        <v>0</v>
      </c>
      <c r="CP478" s="425">
        <f t="shared" si="199"/>
        <v>0</v>
      </c>
      <c r="CQ478" s="425">
        <f t="shared" si="200"/>
        <v>0</v>
      </c>
      <c r="CR478" s="419"/>
      <c r="CS478" s="419"/>
      <c r="CT478" s="421"/>
      <c r="CU478" s="421"/>
      <c r="CV478" s="419"/>
      <c r="CW478" s="419"/>
      <c r="CX478" s="421"/>
      <c r="CY478" s="421"/>
      <c r="CZ478" s="419"/>
      <c r="DA478" s="419"/>
      <c r="DB478" s="421"/>
      <c r="DC478" s="421"/>
      <c r="DD478" s="419"/>
      <c r="DE478" s="419"/>
      <c r="DF478" s="421"/>
      <c r="DG478" s="421"/>
      <c r="DH478" s="419"/>
      <c r="DI478" s="419"/>
      <c r="DJ478" s="421"/>
      <c r="DK478" s="421"/>
      <c r="DL478" s="419"/>
      <c r="DM478" s="419"/>
      <c r="DN478" s="421"/>
      <c r="DO478" s="421"/>
      <c r="DP478" s="419"/>
      <c r="DQ478" s="419"/>
      <c r="DR478" s="421"/>
      <c r="DS478" s="421"/>
      <c r="DT478" s="419"/>
      <c r="DU478" s="419"/>
      <c r="DV478" s="421"/>
      <c r="DW478" s="421"/>
      <c r="DX478" s="419"/>
      <c r="DY478" s="419"/>
      <c r="DZ478" s="421"/>
      <c r="EA478" s="421"/>
      <c r="EB478" s="419"/>
      <c r="EC478" s="419"/>
      <c r="ED478" s="421"/>
      <c r="EE478" s="421"/>
      <c r="EF478" s="419"/>
      <c r="EG478" s="421"/>
      <c r="EH478" s="424">
        <f t="shared" si="201"/>
        <v>0</v>
      </c>
      <c r="EI478" s="424">
        <f t="shared" si="202"/>
        <v>0</v>
      </c>
      <c r="EJ478" s="422">
        <f t="shared" si="203"/>
        <v>0</v>
      </c>
      <c r="EK478" s="425">
        <f t="shared" si="204"/>
        <v>0</v>
      </c>
      <c r="EL478" s="425">
        <f t="shared" si="205"/>
        <v>0</v>
      </c>
      <c r="EM478" s="423">
        <f t="shared" si="206"/>
        <v>0</v>
      </c>
      <c r="EN478" s="424">
        <f t="shared" si="207"/>
        <v>0</v>
      </c>
      <c r="EO478" s="425">
        <f t="shared" si="208"/>
        <v>0</v>
      </c>
      <c r="EP478" s="419"/>
      <c r="EQ478" s="421"/>
      <c r="ER478" s="419"/>
      <c r="ES478" s="421"/>
      <c r="ET478" s="419"/>
      <c r="EU478" s="421"/>
      <c r="EV478" s="419"/>
      <c r="EW478" s="421"/>
      <c r="EX478" s="419"/>
      <c r="EY478" s="421"/>
      <c r="EZ478" s="419"/>
      <c r="FA478" s="421"/>
      <c r="FB478" s="419"/>
      <c r="FC478" s="421"/>
      <c r="FD478" s="419"/>
      <c r="FE478" s="421"/>
      <c r="FF478" s="419"/>
      <c r="FG478" s="421"/>
      <c r="FH478" s="419"/>
      <c r="FI478" s="421"/>
      <c r="FJ478" s="424">
        <f t="shared" si="209"/>
        <v>0</v>
      </c>
      <c r="FK478" s="425">
        <f t="shared" si="210"/>
        <v>0</v>
      </c>
      <c r="FL478" s="419"/>
      <c r="FM478" s="421"/>
      <c r="FN478" s="424">
        <f t="shared" si="211"/>
        <v>1848</v>
      </c>
      <c r="FO478" s="425">
        <f t="shared" si="212"/>
        <v>1753</v>
      </c>
    </row>
    <row r="479" spans="1:171" customFormat="1" ht="15.75" customHeight="1">
      <c r="A479" s="17" t="s">
        <v>166</v>
      </c>
      <c r="B479" s="46" t="s">
        <v>1002</v>
      </c>
      <c r="C479" s="15"/>
      <c r="D479" s="44">
        <v>224572</v>
      </c>
      <c r="E479" s="125">
        <v>8</v>
      </c>
      <c r="F479" s="419">
        <v>1130</v>
      </c>
      <c r="G479" s="531">
        <v>694</v>
      </c>
      <c r="H479" s="419"/>
      <c r="I479" s="421"/>
      <c r="J479" s="419">
        <v>1229</v>
      </c>
      <c r="K479" s="532">
        <v>1206</v>
      </c>
      <c r="L479" s="422">
        <f t="shared" si="191"/>
        <v>0</v>
      </c>
      <c r="M479" s="423">
        <f t="shared" si="192"/>
        <v>0</v>
      </c>
      <c r="N479" s="419"/>
      <c r="O479" s="525">
        <f>0</f>
        <v>0</v>
      </c>
      <c r="P479" s="525">
        <f>0</f>
        <v>0</v>
      </c>
      <c r="Q479" s="525">
        <f>0</f>
        <v>0</v>
      </c>
      <c r="R479" s="424">
        <f t="shared" si="189"/>
        <v>0</v>
      </c>
      <c r="S479" s="421"/>
      <c r="T479" s="526">
        <f>0</f>
        <v>0</v>
      </c>
      <c r="U479" s="526">
        <f>0</f>
        <v>0</v>
      </c>
      <c r="V479" s="526">
        <f>0</f>
        <v>0</v>
      </c>
      <c r="W479" s="425">
        <f t="shared" si="190"/>
        <v>0</v>
      </c>
      <c r="X479" s="419"/>
      <c r="Y479" s="419"/>
      <c r="Z479" s="421"/>
      <c r="AA479" s="421"/>
      <c r="AB479" s="419"/>
      <c r="AC479" s="419"/>
      <c r="AD479" s="421"/>
      <c r="AE479" s="421"/>
      <c r="AF479" s="419"/>
      <c r="AG479" s="419"/>
      <c r="AH479" s="421"/>
      <c r="AI479" s="421"/>
      <c r="AJ479" s="419"/>
      <c r="AK479" s="419"/>
      <c r="AL479" s="421"/>
      <c r="AM479" s="421"/>
      <c r="AN479" s="419"/>
      <c r="AO479" s="419"/>
      <c r="AP479" s="421"/>
      <c r="AQ479" s="421"/>
      <c r="AR479" s="424">
        <f t="shared" si="193"/>
        <v>0</v>
      </c>
      <c r="AS479" s="422">
        <f t="shared" si="194"/>
        <v>0</v>
      </c>
      <c r="AT479" s="425">
        <f t="shared" si="195"/>
        <v>0</v>
      </c>
      <c r="AU479" s="423">
        <f t="shared" si="196"/>
        <v>0</v>
      </c>
      <c r="AV479" s="419"/>
      <c r="AW479" s="421"/>
      <c r="AX479" s="419"/>
      <c r="AY479" s="419"/>
      <c r="AZ479" s="421"/>
      <c r="BA479" s="421"/>
      <c r="BB479" s="419"/>
      <c r="BC479" s="419"/>
      <c r="BD479" s="421"/>
      <c r="BE479" s="421"/>
      <c r="BF479" s="419"/>
      <c r="BG479" s="419"/>
      <c r="BH479" s="421"/>
      <c r="BI479" s="421"/>
      <c r="BJ479" s="419"/>
      <c r="BK479" s="419"/>
      <c r="BL479" s="421"/>
      <c r="BM479" s="421"/>
      <c r="BN479" s="419"/>
      <c r="BO479" s="419"/>
      <c r="BP479" s="421"/>
      <c r="BQ479" s="421"/>
      <c r="BR479" s="419"/>
      <c r="BS479" s="419"/>
      <c r="BT479" s="421"/>
      <c r="BU479" s="421"/>
      <c r="BV479" s="419"/>
      <c r="BW479" s="419"/>
      <c r="BX479" s="421"/>
      <c r="BY479" s="421"/>
      <c r="BZ479" s="419"/>
      <c r="CA479" s="419"/>
      <c r="CB479" s="421"/>
      <c r="CC479" s="421"/>
      <c r="CD479" s="419"/>
      <c r="CE479" s="419"/>
      <c r="CF479" s="421"/>
      <c r="CG479" s="421"/>
      <c r="CH479" s="419"/>
      <c r="CI479" s="419"/>
      <c r="CJ479" s="421"/>
      <c r="CK479" s="421"/>
      <c r="CL479" s="419"/>
      <c r="CM479" s="421"/>
      <c r="CN479" s="424">
        <f t="shared" si="197"/>
        <v>0</v>
      </c>
      <c r="CO479" s="424">
        <f t="shared" si="198"/>
        <v>0</v>
      </c>
      <c r="CP479" s="425">
        <f t="shared" si="199"/>
        <v>0</v>
      </c>
      <c r="CQ479" s="425">
        <f t="shared" si="200"/>
        <v>0</v>
      </c>
      <c r="CR479" s="419"/>
      <c r="CS479" s="419"/>
      <c r="CT479" s="421"/>
      <c r="CU479" s="421"/>
      <c r="CV479" s="419"/>
      <c r="CW479" s="419"/>
      <c r="CX479" s="421"/>
      <c r="CY479" s="421"/>
      <c r="CZ479" s="419"/>
      <c r="DA479" s="419"/>
      <c r="DB479" s="421"/>
      <c r="DC479" s="421"/>
      <c r="DD479" s="419"/>
      <c r="DE479" s="419"/>
      <c r="DF479" s="421"/>
      <c r="DG479" s="421"/>
      <c r="DH479" s="419"/>
      <c r="DI479" s="419"/>
      <c r="DJ479" s="421"/>
      <c r="DK479" s="421"/>
      <c r="DL479" s="419"/>
      <c r="DM479" s="419"/>
      <c r="DN479" s="421"/>
      <c r="DO479" s="421"/>
      <c r="DP479" s="419"/>
      <c r="DQ479" s="419"/>
      <c r="DR479" s="421"/>
      <c r="DS479" s="421"/>
      <c r="DT479" s="419"/>
      <c r="DU479" s="419"/>
      <c r="DV479" s="421"/>
      <c r="DW479" s="421"/>
      <c r="DX479" s="419"/>
      <c r="DY479" s="419"/>
      <c r="DZ479" s="421"/>
      <c r="EA479" s="421"/>
      <c r="EB479" s="419"/>
      <c r="EC479" s="419"/>
      <c r="ED479" s="421"/>
      <c r="EE479" s="421"/>
      <c r="EF479" s="419"/>
      <c r="EG479" s="421"/>
      <c r="EH479" s="424">
        <f t="shared" si="201"/>
        <v>0</v>
      </c>
      <c r="EI479" s="424">
        <f t="shared" si="202"/>
        <v>0</v>
      </c>
      <c r="EJ479" s="422">
        <f t="shared" si="203"/>
        <v>0</v>
      </c>
      <c r="EK479" s="425">
        <f t="shared" si="204"/>
        <v>0</v>
      </c>
      <c r="EL479" s="425">
        <f t="shared" si="205"/>
        <v>0</v>
      </c>
      <c r="EM479" s="423">
        <f t="shared" si="206"/>
        <v>0</v>
      </c>
      <c r="EN479" s="424">
        <f t="shared" si="207"/>
        <v>0</v>
      </c>
      <c r="EO479" s="425">
        <f t="shared" si="208"/>
        <v>0</v>
      </c>
      <c r="EP479" s="419"/>
      <c r="EQ479" s="421"/>
      <c r="ER479" s="419"/>
      <c r="ES479" s="421"/>
      <c r="ET479" s="419"/>
      <c r="EU479" s="421"/>
      <c r="EV479" s="419"/>
      <c r="EW479" s="421"/>
      <c r="EX479" s="419"/>
      <c r="EY479" s="421"/>
      <c r="EZ479" s="419"/>
      <c r="FA479" s="421"/>
      <c r="FB479" s="419"/>
      <c r="FC479" s="421"/>
      <c r="FD479" s="419"/>
      <c r="FE479" s="421"/>
      <c r="FF479" s="419"/>
      <c r="FG479" s="421"/>
      <c r="FH479" s="419"/>
      <c r="FI479" s="421"/>
      <c r="FJ479" s="424">
        <f t="shared" si="209"/>
        <v>0</v>
      </c>
      <c r="FK479" s="425">
        <f t="shared" si="210"/>
        <v>0</v>
      </c>
      <c r="FL479" s="419"/>
      <c r="FM479" s="421"/>
      <c r="FN479" s="424">
        <f t="shared" si="211"/>
        <v>2359</v>
      </c>
      <c r="FO479" s="425">
        <f t="shared" si="212"/>
        <v>1900</v>
      </c>
    </row>
    <row r="480" spans="1:171" customFormat="1" ht="15.75" customHeight="1">
      <c r="A480" s="17" t="s">
        <v>166</v>
      </c>
      <c r="B480" s="46" t="s">
        <v>1003</v>
      </c>
      <c r="C480" s="15"/>
      <c r="D480" s="44">
        <v>224615</v>
      </c>
      <c r="E480" s="125">
        <v>8</v>
      </c>
      <c r="F480" s="419">
        <v>1087</v>
      </c>
      <c r="G480" s="531">
        <v>1605</v>
      </c>
      <c r="H480" s="419"/>
      <c r="I480" s="421"/>
      <c r="J480" s="419">
        <v>894</v>
      </c>
      <c r="K480" s="532">
        <v>1013</v>
      </c>
      <c r="L480" s="422">
        <f t="shared" si="191"/>
        <v>0</v>
      </c>
      <c r="M480" s="423">
        <f t="shared" si="192"/>
        <v>0</v>
      </c>
      <c r="N480" s="419"/>
      <c r="O480" s="525">
        <f>0</f>
        <v>0</v>
      </c>
      <c r="P480" s="525">
        <f>0</f>
        <v>0</v>
      </c>
      <c r="Q480" s="525">
        <f>0</f>
        <v>0</v>
      </c>
      <c r="R480" s="424">
        <f t="shared" si="189"/>
        <v>0</v>
      </c>
      <c r="S480" s="421"/>
      <c r="T480" s="526">
        <f>0</f>
        <v>0</v>
      </c>
      <c r="U480" s="526">
        <f>0</f>
        <v>0</v>
      </c>
      <c r="V480" s="526">
        <f>0</f>
        <v>0</v>
      </c>
      <c r="W480" s="425">
        <f t="shared" si="190"/>
        <v>0</v>
      </c>
      <c r="X480" s="419"/>
      <c r="Y480" s="419"/>
      <c r="Z480" s="421"/>
      <c r="AA480" s="421"/>
      <c r="AB480" s="419"/>
      <c r="AC480" s="419"/>
      <c r="AD480" s="421"/>
      <c r="AE480" s="421"/>
      <c r="AF480" s="419"/>
      <c r="AG480" s="419"/>
      <c r="AH480" s="421"/>
      <c r="AI480" s="421"/>
      <c r="AJ480" s="419"/>
      <c r="AK480" s="419"/>
      <c r="AL480" s="421"/>
      <c r="AM480" s="421"/>
      <c r="AN480" s="419"/>
      <c r="AO480" s="419"/>
      <c r="AP480" s="421"/>
      <c r="AQ480" s="421"/>
      <c r="AR480" s="424">
        <f t="shared" si="193"/>
        <v>0</v>
      </c>
      <c r="AS480" s="422">
        <f t="shared" si="194"/>
        <v>0</v>
      </c>
      <c r="AT480" s="425">
        <f t="shared" si="195"/>
        <v>0</v>
      </c>
      <c r="AU480" s="423">
        <f t="shared" si="196"/>
        <v>0</v>
      </c>
      <c r="AV480" s="419"/>
      <c r="AW480" s="421"/>
      <c r="AX480" s="419"/>
      <c r="AY480" s="419"/>
      <c r="AZ480" s="421"/>
      <c r="BA480" s="421"/>
      <c r="BB480" s="419"/>
      <c r="BC480" s="419"/>
      <c r="BD480" s="421"/>
      <c r="BE480" s="421"/>
      <c r="BF480" s="419"/>
      <c r="BG480" s="419"/>
      <c r="BH480" s="421"/>
      <c r="BI480" s="421"/>
      <c r="BJ480" s="419"/>
      <c r="BK480" s="419"/>
      <c r="BL480" s="421"/>
      <c r="BM480" s="421"/>
      <c r="BN480" s="419"/>
      <c r="BO480" s="419"/>
      <c r="BP480" s="421"/>
      <c r="BQ480" s="421"/>
      <c r="BR480" s="419"/>
      <c r="BS480" s="419"/>
      <c r="BT480" s="421"/>
      <c r="BU480" s="421"/>
      <c r="BV480" s="419"/>
      <c r="BW480" s="419"/>
      <c r="BX480" s="421"/>
      <c r="BY480" s="421"/>
      <c r="BZ480" s="419"/>
      <c r="CA480" s="419"/>
      <c r="CB480" s="421"/>
      <c r="CC480" s="421"/>
      <c r="CD480" s="419"/>
      <c r="CE480" s="419"/>
      <c r="CF480" s="421"/>
      <c r="CG480" s="421"/>
      <c r="CH480" s="419"/>
      <c r="CI480" s="419"/>
      <c r="CJ480" s="421"/>
      <c r="CK480" s="421"/>
      <c r="CL480" s="419"/>
      <c r="CM480" s="421"/>
      <c r="CN480" s="424">
        <f t="shared" si="197"/>
        <v>0</v>
      </c>
      <c r="CO480" s="424">
        <f t="shared" si="198"/>
        <v>0</v>
      </c>
      <c r="CP480" s="425">
        <f t="shared" si="199"/>
        <v>0</v>
      </c>
      <c r="CQ480" s="425">
        <f t="shared" si="200"/>
        <v>0</v>
      </c>
      <c r="CR480" s="419"/>
      <c r="CS480" s="419"/>
      <c r="CT480" s="421"/>
      <c r="CU480" s="421"/>
      <c r="CV480" s="419"/>
      <c r="CW480" s="419"/>
      <c r="CX480" s="421"/>
      <c r="CY480" s="421"/>
      <c r="CZ480" s="419"/>
      <c r="DA480" s="419"/>
      <c r="DB480" s="421"/>
      <c r="DC480" s="421"/>
      <c r="DD480" s="419"/>
      <c r="DE480" s="419"/>
      <c r="DF480" s="421"/>
      <c r="DG480" s="421"/>
      <c r="DH480" s="419"/>
      <c r="DI480" s="419"/>
      <c r="DJ480" s="421"/>
      <c r="DK480" s="421"/>
      <c r="DL480" s="419"/>
      <c r="DM480" s="419"/>
      <c r="DN480" s="421"/>
      <c r="DO480" s="421"/>
      <c r="DP480" s="419"/>
      <c r="DQ480" s="419"/>
      <c r="DR480" s="421"/>
      <c r="DS480" s="421"/>
      <c r="DT480" s="419"/>
      <c r="DU480" s="419"/>
      <c r="DV480" s="421"/>
      <c r="DW480" s="421"/>
      <c r="DX480" s="419"/>
      <c r="DY480" s="419"/>
      <c r="DZ480" s="421"/>
      <c r="EA480" s="421"/>
      <c r="EB480" s="419"/>
      <c r="EC480" s="419"/>
      <c r="ED480" s="421"/>
      <c r="EE480" s="421"/>
      <c r="EF480" s="419"/>
      <c r="EG480" s="421"/>
      <c r="EH480" s="424">
        <f t="shared" si="201"/>
        <v>0</v>
      </c>
      <c r="EI480" s="424">
        <f t="shared" si="202"/>
        <v>0</v>
      </c>
      <c r="EJ480" s="422">
        <f t="shared" si="203"/>
        <v>0</v>
      </c>
      <c r="EK480" s="425">
        <f t="shared" si="204"/>
        <v>0</v>
      </c>
      <c r="EL480" s="425">
        <f t="shared" si="205"/>
        <v>0</v>
      </c>
      <c r="EM480" s="423">
        <f t="shared" si="206"/>
        <v>0</v>
      </c>
      <c r="EN480" s="424">
        <f t="shared" si="207"/>
        <v>0</v>
      </c>
      <c r="EO480" s="425">
        <f t="shared" si="208"/>
        <v>0</v>
      </c>
      <c r="EP480" s="419"/>
      <c r="EQ480" s="421"/>
      <c r="ER480" s="419"/>
      <c r="ES480" s="421"/>
      <c r="ET480" s="419"/>
      <c r="EU480" s="421"/>
      <c r="EV480" s="419"/>
      <c r="EW480" s="421"/>
      <c r="EX480" s="419"/>
      <c r="EY480" s="421"/>
      <c r="EZ480" s="419"/>
      <c r="FA480" s="421"/>
      <c r="FB480" s="419"/>
      <c r="FC480" s="421"/>
      <c r="FD480" s="419"/>
      <c r="FE480" s="421"/>
      <c r="FF480" s="419"/>
      <c r="FG480" s="421"/>
      <c r="FH480" s="419"/>
      <c r="FI480" s="421"/>
      <c r="FJ480" s="424">
        <f t="shared" si="209"/>
        <v>0</v>
      </c>
      <c r="FK480" s="425">
        <f t="shared" si="210"/>
        <v>0</v>
      </c>
      <c r="FL480" s="419"/>
      <c r="FM480" s="421"/>
      <c r="FN480" s="424">
        <f t="shared" si="211"/>
        <v>1981</v>
      </c>
      <c r="FO480" s="425">
        <f t="shared" si="212"/>
        <v>2618</v>
      </c>
    </row>
    <row r="481" spans="1:171" customFormat="1" ht="15.75" customHeight="1">
      <c r="A481" s="17" t="s">
        <v>166</v>
      </c>
      <c r="B481" s="46" t="s">
        <v>1004</v>
      </c>
      <c r="C481" s="15"/>
      <c r="D481" s="44">
        <v>224642</v>
      </c>
      <c r="E481" s="125">
        <v>8</v>
      </c>
      <c r="F481" s="419">
        <v>802</v>
      </c>
      <c r="G481" s="532">
        <v>917</v>
      </c>
      <c r="H481" s="419"/>
      <c r="I481" s="421"/>
      <c r="J481" s="419">
        <v>3527</v>
      </c>
      <c r="K481" s="532">
        <v>3439</v>
      </c>
      <c r="L481" s="422">
        <f t="shared" si="191"/>
        <v>0</v>
      </c>
      <c r="M481" s="423">
        <f t="shared" si="192"/>
        <v>0</v>
      </c>
      <c r="N481" s="419"/>
      <c r="O481" s="525">
        <f>0</f>
        <v>0</v>
      </c>
      <c r="P481" s="525">
        <f>0</f>
        <v>0</v>
      </c>
      <c r="Q481" s="525">
        <f>0</f>
        <v>0</v>
      </c>
      <c r="R481" s="424">
        <f t="shared" si="189"/>
        <v>0</v>
      </c>
      <c r="S481" s="421"/>
      <c r="T481" s="526">
        <f>0</f>
        <v>0</v>
      </c>
      <c r="U481" s="526">
        <f>0</f>
        <v>0</v>
      </c>
      <c r="V481" s="526">
        <f>0</f>
        <v>0</v>
      </c>
      <c r="W481" s="425">
        <f t="shared" si="190"/>
        <v>0</v>
      </c>
      <c r="X481" s="419"/>
      <c r="Y481" s="419"/>
      <c r="Z481" s="421"/>
      <c r="AA481" s="421"/>
      <c r="AB481" s="419"/>
      <c r="AC481" s="419"/>
      <c r="AD481" s="421"/>
      <c r="AE481" s="421"/>
      <c r="AF481" s="419"/>
      <c r="AG481" s="419"/>
      <c r="AH481" s="421"/>
      <c r="AI481" s="421"/>
      <c r="AJ481" s="419"/>
      <c r="AK481" s="419"/>
      <c r="AL481" s="421"/>
      <c r="AM481" s="421"/>
      <c r="AN481" s="419"/>
      <c r="AO481" s="419"/>
      <c r="AP481" s="421"/>
      <c r="AQ481" s="421"/>
      <c r="AR481" s="424">
        <f t="shared" si="193"/>
        <v>0</v>
      </c>
      <c r="AS481" s="422">
        <f t="shared" si="194"/>
        <v>0</v>
      </c>
      <c r="AT481" s="425">
        <f t="shared" si="195"/>
        <v>0</v>
      </c>
      <c r="AU481" s="423">
        <f t="shared" si="196"/>
        <v>0</v>
      </c>
      <c r="AV481" s="419"/>
      <c r="AW481" s="421"/>
      <c r="AX481" s="419"/>
      <c r="AY481" s="419"/>
      <c r="AZ481" s="421"/>
      <c r="BA481" s="421"/>
      <c r="BB481" s="419"/>
      <c r="BC481" s="419"/>
      <c r="BD481" s="421"/>
      <c r="BE481" s="421"/>
      <c r="BF481" s="419"/>
      <c r="BG481" s="419"/>
      <c r="BH481" s="421"/>
      <c r="BI481" s="421"/>
      <c r="BJ481" s="419"/>
      <c r="BK481" s="419"/>
      <c r="BL481" s="421"/>
      <c r="BM481" s="421"/>
      <c r="BN481" s="419"/>
      <c r="BO481" s="419"/>
      <c r="BP481" s="421"/>
      <c r="BQ481" s="421"/>
      <c r="BR481" s="419"/>
      <c r="BS481" s="419"/>
      <c r="BT481" s="421"/>
      <c r="BU481" s="421"/>
      <c r="BV481" s="419"/>
      <c r="BW481" s="419"/>
      <c r="BX481" s="421"/>
      <c r="BY481" s="421"/>
      <c r="BZ481" s="419"/>
      <c r="CA481" s="419"/>
      <c r="CB481" s="421"/>
      <c r="CC481" s="421"/>
      <c r="CD481" s="419"/>
      <c r="CE481" s="419"/>
      <c r="CF481" s="421"/>
      <c r="CG481" s="421"/>
      <c r="CH481" s="419"/>
      <c r="CI481" s="419"/>
      <c r="CJ481" s="421"/>
      <c r="CK481" s="421"/>
      <c r="CL481" s="419"/>
      <c r="CM481" s="421"/>
      <c r="CN481" s="424">
        <f t="shared" si="197"/>
        <v>0</v>
      </c>
      <c r="CO481" s="424">
        <f t="shared" si="198"/>
        <v>0</v>
      </c>
      <c r="CP481" s="425">
        <f t="shared" si="199"/>
        <v>0</v>
      </c>
      <c r="CQ481" s="425">
        <f t="shared" si="200"/>
        <v>0</v>
      </c>
      <c r="CR481" s="419"/>
      <c r="CS481" s="419"/>
      <c r="CT481" s="421"/>
      <c r="CU481" s="421"/>
      <c r="CV481" s="419"/>
      <c r="CW481" s="419"/>
      <c r="CX481" s="421"/>
      <c r="CY481" s="421"/>
      <c r="CZ481" s="419"/>
      <c r="DA481" s="419"/>
      <c r="DB481" s="421"/>
      <c r="DC481" s="421"/>
      <c r="DD481" s="419"/>
      <c r="DE481" s="419"/>
      <c r="DF481" s="421"/>
      <c r="DG481" s="421"/>
      <c r="DH481" s="419"/>
      <c r="DI481" s="419"/>
      <c r="DJ481" s="421"/>
      <c r="DK481" s="421"/>
      <c r="DL481" s="419"/>
      <c r="DM481" s="419"/>
      <c r="DN481" s="421"/>
      <c r="DO481" s="421"/>
      <c r="DP481" s="419"/>
      <c r="DQ481" s="419"/>
      <c r="DR481" s="421"/>
      <c r="DS481" s="421"/>
      <c r="DT481" s="419"/>
      <c r="DU481" s="419"/>
      <c r="DV481" s="421"/>
      <c r="DW481" s="421"/>
      <c r="DX481" s="419"/>
      <c r="DY481" s="419"/>
      <c r="DZ481" s="421"/>
      <c r="EA481" s="421"/>
      <c r="EB481" s="419"/>
      <c r="EC481" s="419"/>
      <c r="ED481" s="421"/>
      <c r="EE481" s="421"/>
      <c r="EF481" s="419"/>
      <c r="EG481" s="421"/>
      <c r="EH481" s="424">
        <f t="shared" si="201"/>
        <v>0</v>
      </c>
      <c r="EI481" s="424">
        <f t="shared" si="202"/>
        <v>0</v>
      </c>
      <c r="EJ481" s="422">
        <f t="shared" si="203"/>
        <v>0</v>
      </c>
      <c r="EK481" s="425">
        <f t="shared" si="204"/>
        <v>0</v>
      </c>
      <c r="EL481" s="425">
        <f t="shared" si="205"/>
        <v>0</v>
      </c>
      <c r="EM481" s="423">
        <f t="shared" si="206"/>
        <v>0</v>
      </c>
      <c r="EN481" s="424">
        <f t="shared" si="207"/>
        <v>0</v>
      </c>
      <c r="EO481" s="425">
        <f t="shared" si="208"/>
        <v>0</v>
      </c>
      <c r="EP481" s="419"/>
      <c r="EQ481" s="421"/>
      <c r="ER481" s="419"/>
      <c r="ES481" s="421"/>
      <c r="ET481" s="419"/>
      <c r="EU481" s="421"/>
      <c r="EV481" s="419"/>
      <c r="EW481" s="421"/>
      <c r="EX481" s="419"/>
      <c r="EY481" s="421"/>
      <c r="EZ481" s="419"/>
      <c r="FA481" s="421"/>
      <c r="FB481" s="419"/>
      <c r="FC481" s="421"/>
      <c r="FD481" s="419"/>
      <c r="FE481" s="421"/>
      <c r="FF481" s="419"/>
      <c r="FG481" s="421"/>
      <c r="FH481" s="419"/>
      <c r="FI481" s="421"/>
      <c r="FJ481" s="424">
        <f t="shared" si="209"/>
        <v>0</v>
      </c>
      <c r="FK481" s="425">
        <f t="shared" si="210"/>
        <v>0</v>
      </c>
      <c r="FL481" s="419"/>
      <c r="FM481" s="421"/>
      <c r="FN481" s="424">
        <f t="shared" si="211"/>
        <v>4329</v>
      </c>
      <c r="FO481" s="425">
        <f t="shared" si="212"/>
        <v>4356</v>
      </c>
    </row>
    <row r="482" spans="1:171" customFormat="1" ht="15.75" customHeight="1">
      <c r="A482" s="17" t="s">
        <v>166</v>
      </c>
      <c r="B482" s="46" t="s">
        <v>1005</v>
      </c>
      <c r="C482" s="15"/>
      <c r="D482" s="44">
        <v>225423</v>
      </c>
      <c r="E482" s="125">
        <v>8</v>
      </c>
      <c r="F482" s="419">
        <v>1482</v>
      </c>
      <c r="G482" s="532">
        <v>1302</v>
      </c>
      <c r="H482" s="419"/>
      <c r="I482" s="421"/>
      <c r="J482" s="419">
        <v>5711</v>
      </c>
      <c r="K482" s="532">
        <v>5690</v>
      </c>
      <c r="L482" s="422">
        <f t="shared" si="191"/>
        <v>0</v>
      </c>
      <c r="M482" s="423">
        <f t="shared" si="192"/>
        <v>0</v>
      </c>
      <c r="N482" s="419"/>
      <c r="O482" s="525">
        <f>0</f>
        <v>0</v>
      </c>
      <c r="P482" s="525">
        <f>0</f>
        <v>0</v>
      </c>
      <c r="Q482" s="525">
        <f>0</f>
        <v>0</v>
      </c>
      <c r="R482" s="424">
        <f t="shared" si="189"/>
        <v>0</v>
      </c>
      <c r="S482" s="421"/>
      <c r="T482" s="526">
        <f>0</f>
        <v>0</v>
      </c>
      <c r="U482" s="526">
        <f>0</f>
        <v>0</v>
      </c>
      <c r="V482" s="526">
        <f>0</f>
        <v>0</v>
      </c>
      <c r="W482" s="425">
        <f t="shared" si="190"/>
        <v>0</v>
      </c>
      <c r="X482" s="419"/>
      <c r="Y482" s="419"/>
      <c r="Z482" s="421"/>
      <c r="AA482" s="421"/>
      <c r="AB482" s="419"/>
      <c r="AC482" s="419"/>
      <c r="AD482" s="421"/>
      <c r="AE482" s="421"/>
      <c r="AF482" s="419"/>
      <c r="AG482" s="419"/>
      <c r="AH482" s="421"/>
      <c r="AI482" s="421"/>
      <c r="AJ482" s="419"/>
      <c r="AK482" s="419"/>
      <c r="AL482" s="421"/>
      <c r="AM482" s="421"/>
      <c r="AN482" s="419"/>
      <c r="AO482" s="419"/>
      <c r="AP482" s="421"/>
      <c r="AQ482" s="421"/>
      <c r="AR482" s="424">
        <f t="shared" si="193"/>
        <v>0</v>
      </c>
      <c r="AS482" s="422">
        <f t="shared" si="194"/>
        <v>0</v>
      </c>
      <c r="AT482" s="425">
        <f t="shared" si="195"/>
        <v>0</v>
      </c>
      <c r="AU482" s="423">
        <f t="shared" si="196"/>
        <v>0</v>
      </c>
      <c r="AV482" s="419"/>
      <c r="AW482" s="421"/>
      <c r="AX482" s="419"/>
      <c r="AY482" s="419"/>
      <c r="AZ482" s="421"/>
      <c r="BA482" s="421"/>
      <c r="BB482" s="419"/>
      <c r="BC482" s="419"/>
      <c r="BD482" s="421"/>
      <c r="BE482" s="421"/>
      <c r="BF482" s="419"/>
      <c r="BG482" s="419"/>
      <c r="BH482" s="421"/>
      <c r="BI482" s="421"/>
      <c r="BJ482" s="419"/>
      <c r="BK482" s="419"/>
      <c r="BL482" s="421"/>
      <c r="BM482" s="421"/>
      <c r="BN482" s="419"/>
      <c r="BO482" s="419"/>
      <c r="BP482" s="421"/>
      <c r="BQ482" s="421"/>
      <c r="BR482" s="419"/>
      <c r="BS482" s="419"/>
      <c r="BT482" s="421"/>
      <c r="BU482" s="421"/>
      <c r="BV482" s="419"/>
      <c r="BW482" s="419"/>
      <c r="BX482" s="421"/>
      <c r="BY482" s="421"/>
      <c r="BZ482" s="419"/>
      <c r="CA482" s="419"/>
      <c r="CB482" s="421"/>
      <c r="CC482" s="421"/>
      <c r="CD482" s="419"/>
      <c r="CE482" s="419"/>
      <c r="CF482" s="421"/>
      <c r="CG482" s="421"/>
      <c r="CH482" s="419"/>
      <c r="CI482" s="419"/>
      <c r="CJ482" s="421"/>
      <c r="CK482" s="421"/>
      <c r="CL482" s="419"/>
      <c r="CM482" s="421"/>
      <c r="CN482" s="424">
        <f t="shared" si="197"/>
        <v>0</v>
      </c>
      <c r="CO482" s="424">
        <f t="shared" si="198"/>
        <v>0</v>
      </c>
      <c r="CP482" s="425">
        <f t="shared" si="199"/>
        <v>0</v>
      </c>
      <c r="CQ482" s="425">
        <f t="shared" si="200"/>
        <v>0</v>
      </c>
      <c r="CR482" s="419"/>
      <c r="CS482" s="419"/>
      <c r="CT482" s="421"/>
      <c r="CU482" s="421"/>
      <c r="CV482" s="419"/>
      <c r="CW482" s="419"/>
      <c r="CX482" s="421"/>
      <c r="CY482" s="421"/>
      <c r="CZ482" s="419"/>
      <c r="DA482" s="419"/>
      <c r="DB482" s="421"/>
      <c r="DC482" s="421"/>
      <c r="DD482" s="419"/>
      <c r="DE482" s="419"/>
      <c r="DF482" s="421"/>
      <c r="DG482" s="421"/>
      <c r="DH482" s="419"/>
      <c r="DI482" s="419"/>
      <c r="DJ482" s="421"/>
      <c r="DK482" s="421"/>
      <c r="DL482" s="419"/>
      <c r="DM482" s="419"/>
      <c r="DN482" s="421"/>
      <c r="DO482" s="421"/>
      <c r="DP482" s="419"/>
      <c r="DQ482" s="419"/>
      <c r="DR482" s="421"/>
      <c r="DS482" s="421"/>
      <c r="DT482" s="419"/>
      <c r="DU482" s="419"/>
      <c r="DV482" s="421"/>
      <c r="DW482" s="421"/>
      <c r="DX482" s="419"/>
      <c r="DY482" s="419"/>
      <c r="DZ482" s="421"/>
      <c r="EA482" s="421"/>
      <c r="EB482" s="419"/>
      <c r="EC482" s="419"/>
      <c r="ED482" s="421"/>
      <c r="EE482" s="421"/>
      <c r="EF482" s="419"/>
      <c r="EG482" s="421"/>
      <c r="EH482" s="424">
        <f t="shared" si="201"/>
        <v>0</v>
      </c>
      <c r="EI482" s="424">
        <f t="shared" si="202"/>
        <v>0</v>
      </c>
      <c r="EJ482" s="422">
        <f t="shared" si="203"/>
        <v>0</v>
      </c>
      <c r="EK482" s="425">
        <f t="shared" si="204"/>
        <v>0</v>
      </c>
      <c r="EL482" s="425">
        <f t="shared" si="205"/>
        <v>0</v>
      </c>
      <c r="EM482" s="423">
        <f t="shared" si="206"/>
        <v>0</v>
      </c>
      <c r="EN482" s="424">
        <f t="shared" si="207"/>
        <v>0</v>
      </c>
      <c r="EO482" s="425">
        <f t="shared" si="208"/>
        <v>0</v>
      </c>
      <c r="EP482" s="419"/>
      <c r="EQ482" s="421"/>
      <c r="ER482" s="419"/>
      <c r="ES482" s="421"/>
      <c r="ET482" s="419"/>
      <c r="EU482" s="421"/>
      <c r="EV482" s="419"/>
      <c r="EW482" s="421"/>
      <c r="EX482" s="419"/>
      <c r="EY482" s="421"/>
      <c r="EZ482" s="419"/>
      <c r="FA482" s="421"/>
      <c r="FB482" s="419"/>
      <c r="FC482" s="421"/>
      <c r="FD482" s="419"/>
      <c r="FE482" s="421"/>
      <c r="FF482" s="419"/>
      <c r="FG482" s="421"/>
      <c r="FH482" s="419"/>
      <c r="FI482" s="421"/>
      <c r="FJ482" s="424">
        <f t="shared" si="209"/>
        <v>0</v>
      </c>
      <c r="FK482" s="425">
        <f t="shared" si="210"/>
        <v>0</v>
      </c>
      <c r="FL482" s="419"/>
      <c r="FM482" s="421"/>
      <c r="FN482" s="424">
        <f t="shared" si="211"/>
        <v>7193</v>
      </c>
      <c r="FO482" s="425">
        <f t="shared" si="212"/>
        <v>6992</v>
      </c>
    </row>
    <row r="483" spans="1:171" customFormat="1" ht="15.75" customHeight="1">
      <c r="A483" s="17" t="s">
        <v>166</v>
      </c>
      <c r="B483" s="46" t="s">
        <v>1006</v>
      </c>
      <c r="C483" s="15"/>
      <c r="D483" s="44">
        <v>226134</v>
      </c>
      <c r="E483" s="125">
        <v>8</v>
      </c>
      <c r="F483" s="419">
        <v>884</v>
      </c>
      <c r="G483" s="532">
        <v>823</v>
      </c>
      <c r="H483" s="419"/>
      <c r="I483" s="421"/>
      <c r="J483" s="419">
        <v>977</v>
      </c>
      <c r="K483" s="532">
        <v>939</v>
      </c>
      <c r="L483" s="422">
        <f t="shared" si="191"/>
        <v>0</v>
      </c>
      <c r="M483" s="423">
        <f t="shared" si="192"/>
        <v>0</v>
      </c>
      <c r="N483" s="419"/>
      <c r="O483" s="525">
        <f>0</f>
        <v>0</v>
      </c>
      <c r="P483" s="525">
        <f>0</f>
        <v>0</v>
      </c>
      <c r="Q483" s="525">
        <f>0</f>
        <v>0</v>
      </c>
      <c r="R483" s="424">
        <f t="shared" si="189"/>
        <v>0</v>
      </c>
      <c r="S483" s="421"/>
      <c r="T483" s="526">
        <f>0</f>
        <v>0</v>
      </c>
      <c r="U483" s="526">
        <f>0</f>
        <v>0</v>
      </c>
      <c r="V483" s="526">
        <f>0</f>
        <v>0</v>
      </c>
      <c r="W483" s="425">
        <f t="shared" si="190"/>
        <v>0</v>
      </c>
      <c r="X483" s="419"/>
      <c r="Y483" s="419"/>
      <c r="Z483" s="421">
        <v>51</v>
      </c>
      <c r="AA483" s="465">
        <v>21</v>
      </c>
      <c r="AB483" s="419"/>
      <c r="AC483" s="419"/>
      <c r="AD483" s="421"/>
      <c r="AE483" s="421"/>
      <c r="AF483" s="419"/>
      <c r="AG483" s="419"/>
      <c r="AH483" s="421"/>
      <c r="AI483" s="421"/>
      <c r="AJ483" s="419"/>
      <c r="AK483" s="419"/>
      <c r="AL483" s="421"/>
      <c r="AM483" s="421"/>
      <c r="AN483" s="419"/>
      <c r="AO483" s="419"/>
      <c r="AP483" s="421"/>
      <c r="AQ483" s="421"/>
      <c r="AR483" s="424">
        <f t="shared" si="193"/>
        <v>0</v>
      </c>
      <c r="AS483" s="422">
        <f t="shared" si="194"/>
        <v>0</v>
      </c>
      <c r="AT483" s="425">
        <f t="shared" si="195"/>
        <v>1</v>
      </c>
      <c r="AU483" s="423">
        <f t="shared" si="196"/>
        <v>0</v>
      </c>
      <c r="AV483" s="419"/>
      <c r="AW483" s="421"/>
      <c r="AX483" s="419"/>
      <c r="AY483" s="419"/>
      <c r="AZ483" s="421"/>
      <c r="BA483" s="421"/>
      <c r="BB483" s="419"/>
      <c r="BC483" s="419"/>
      <c r="BD483" s="421"/>
      <c r="BE483" s="421"/>
      <c r="BF483" s="419"/>
      <c r="BG483" s="419"/>
      <c r="BH483" s="421"/>
      <c r="BI483" s="421"/>
      <c r="BJ483" s="419"/>
      <c r="BK483" s="419"/>
      <c r="BL483" s="421"/>
      <c r="BM483" s="421"/>
      <c r="BN483" s="419"/>
      <c r="BO483" s="419"/>
      <c r="BP483" s="421"/>
      <c r="BQ483" s="421"/>
      <c r="BR483" s="419"/>
      <c r="BS483" s="419"/>
      <c r="BT483" s="421"/>
      <c r="BU483" s="421"/>
      <c r="BV483" s="419"/>
      <c r="BW483" s="419"/>
      <c r="BX483" s="421"/>
      <c r="BY483" s="421"/>
      <c r="BZ483" s="419"/>
      <c r="CA483" s="419"/>
      <c r="CB483" s="421"/>
      <c r="CC483" s="421"/>
      <c r="CD483" s="419"/>
      <c r="CE483" s="419"/>
      <c r="CF483" s="421"/>
      <c r="CG483" s="421"/>
      <c r="CH483" s="419"/>
      <c r="CI483" s="419"/>
      <c r="CJ483" s="421"/>
      <c r="CK483" s="421"/>
      <c r="CL483" s="419"/>
      <c r="CM483" s="421"/>
      <c r="CN483" s="424">
        <f t="shared" si="197"/>
        <v>0</v>
      </c>
      <c r="CO483" s="424">
        <f t="shared" si="198"/>
        <v>0</v>
      </c>
      <c r="CP483" s="425">
        <f t="shared" si="199"/>
        <v>0</v>
      </c>
      <c r="CQ483" s="425">
        <f t="shared" si="200"/>
        <v>0</v>
      </c>
      <c r="CR483" s="419"/>
      <c r="CS483" s="419"/>
      <c r="CT483" s="421"/>
      <c r="CU483" s="421"/>
      <c r="CV483" s="419"/>
      <c r="CW483" s="419"/>
      <c r="CX483" s="421"/>
      <c r="CY483" s="421"/>
      <c r="CZ483" s="419"/>
      <c r="DA483" s="419"/>
      <c r="DB483" s="421"/>
      <c r="DC483" s="421"/>
      <c r="DD483" s="419"/>
      <c r="DE483" s="419"/>
      <c r="DF483" s="421"/>
      <c r="DG483" s="421"/>
      <c r="DH483" s="419"/>
      <c r="DI483" s="419"/>
      <c r="DJ483" s="421"/>
      <c r="DK483" s="421"/>
      <c r="DL483" s="419"/>
      <c r="DM483" s="419"/>
      <c r="DN483" s="421"/>
      <c r="DO483" s="421"/>
      <c r="DP483" s="419"/>
      <c r="DQ483" s="419"/>
      <c r="DR483" s="421"/>
      <c r="DS483" s="421"/>
      <c r="DT483" s="419"/>
      <c r="DU483" s="419"/>
      <c r="DV483" s="421"/>
      <c r="DW483" s="421"/>
      <c r="DX483" s="419"/>
      <c r="DY483" s="419"/>
      <c r="DZ483" s="421"/>
      <c r="EA483" s="421"/>
      <c r="EB483" s="419"/>
      <c r="EC483" s="419"/>
      <c r="ED483" s="421"/>
      <c r="EE483" s="421"/>
      <c r="EF483" s="419"/>
      <c r="EG483" s="421"/>
      <c r="EH483" s="424">
        <f t="shared" si="201"/>
        <v>0</v>
      </c>
      <c r="EI483" s="424">
        <f t="shared" si="202"/>
        <v>0</v>
      </c>
      <c r="EJ483" s="422">
        <f t="shared" si="203"/>
        <v>0</v>
      </c>
      <c r="EK483" s="425">
        <f t="shared" si="204"/>
        <v>0</v>
      </c>
      <c r="EL483" s="425">
        <f t="shared" si="205"/>
        <v>0</v>
      </c>
      <c r="EM483" s="423">
        <f t="shared" si="206"/>
        <v>0</v>
      </c>
      <c r="EN483" s="424">
        <f t="shared" si="207"/>
        <v>0</v>
      </c>
      <c r="EO483" s="425">
        <f t="shared" si="208"/>
        <v>0</v>
      </c>
      <c r="EP483" s="419"/>
      <c r="EQ483" s="421"/>
      <c r="ER483" s="419"/>
      <c r="ES483" s="421"/>
      <c r="ET483" s="419"/>
      <c r="EU483" s="421"/>
      <c r="EV483" s="419"/>
      <c r="EW483" s="421"/>
      <c r="EX483" s="419"/>
      <c r="EY483" s="421"/>
      <c r="EZ483" s="419"/>
      <c r="FA483" s="421"/>
      <c r="FB483" s="419"/>
      <c r="FC483" s="421"/>
      <c r="FD483" s="419"/>
      <c r="FE483" s="421"/>
      <c r="FF483" s="419"/>
      <c r="FG483" s="421"/>
      <c r="FH483" s="419"/>
      <c r="FI483" s="421"/>
      <c r="FJ483" s="424">
        <f t="shared" si="209"/>
        <v>0</v>
      </c>
      <c r="FK483" s="425">
        <f t="shared" si="210"/>
        <v>0</v>
      </c>
      <c r="FL483" s="419"/>
      <c r="FM483" s="421"/>
      <c r="FN483" s="424">
        <f t="shared" si="211"/>
        <v>1861</v>
      </c>
      <c r="FO483" s="425">
        <f t="shared" si="212"/>
        <v>1762</v>
      </c>
    </row>
    <row r="484" spans="1:171" customFormat="1" ht="15.75" customHeight="1">
      <c r="A484" s="17" t="s">
        <v>166</v>
      </c>
      <c r="B484" s="46" t="s">
        <v>1007</v>
      </c>
      <c r="C484" s="15"/>
      <c r="D484" s="44">
        <v>227182</v>
      </c>
      <c r="E484" s="125">
        <v>8</v>
      </c>
      <c r="F484" s="419">
        <v>2397</v>
      </c>
      <c r="G484" s="532">
        <v>2426</v>
      </c>
      <c r="H484" s="419"/>
      <c r="I484" s="421"/>
      <c r="J484" s="419">
        <v>7659</v>
      </c>
      <c r="K484" s="532">
        <v>7947</v>
      </c>
      <c r="L484" s="422">
        <f t="shared" si="191"/>
        <v>0</v>
      </c>
      <c r="M484" s="423">
        <f t="shared" si="192"/>
        <v>0</v>
      </c>
      <c r="N484" s="419"/>
      <c r="O484" s="525">
        <f>0</f>
        <v>0</v>
      </c>
      <c r="P484" s="525">
        <f>0</f>
        <v>0</v>
      </c>
      <c r="Q484" s="525">
        <f>0</f>
        <v>0</v>
      </c>
      <c r="R484" s="424">
        <f t="shared" si="189"/>
        <v>0</v>
      </c>
      <c r="S484" s="421"/>
      <c r="T484" s="526">
        <f>0</f>
        <v>0</v>
      </c>
      <c r="U484" s="526">
        <f>0</f>
        <v>0</v>
      </c>
      <c r="V484" s="526">
        <f>0</f>
        <v>0</v>
      </c>
      <c r="W484" s="425">
        <f t="shared" si="190"/>
        <v>0</v>
      </c>
      <c r="X484" s="419"/>
      <c r="Y484" s="419"/>
      <c r="Z484" s="421"/>
      <c r="AA484" s="421"/>
      <c r="AB484" s="419"/>
      <c r="AC484" s="419"/>
      <c r="AD484" s="421"/>
      <c r="AE484" s="421"/>
      <c r="AF484" s="419"/>
      <c r="AG484" s="419"/>
      <c r="AH484" s="421"/>
      <c r="AI484" s="421"/>
      <c r="AJ484" s="419"/>
      <c r="AK484" s="419"/>
      <c r="AL484" s="421"/>
      <c r="AM484" s="421"/>
      <c r="AN484" s="419"/>
      <c r="AO484" s="419"/>
      <c r="AP484" s="421"/>
      <c r="AQ484" s="421"/>
      <c r="AR484" s="424">
        <f t="shared" si="193"/>
        <v>0</v>
      </c>
      <c r="AS484" s="422">
        <f t="shared" si="194"/>
        <v>0</v>
      </c>
      <c r="AT484" s="425">
        <f t="shared" si="195"/>
        <v>0</v>
      </c>
      <c r="AU484" s="423">
        <f t="shared" si="196"/>
        <v>0</v>
      </c>
      <c r="AV484" s="419"/>
      <c r="AW484" s="421"/>
      <c r="AX484" s="419"/>
      <c r="AY484" s="419"/>
      <c r="AZ484" s="421"/>
      <c r="BA484" s="421"/>
      <c r="BB484" s="419"/>
      <c r="BC484" s="419"/>
      <c r="BD484" s="421"/>
      <c r="BE484" s="421"/>
      <c r="BF484" s="419"/>
      <c r="BG484" s="419"/>
      <c r="BH484" s="421"/>
      <c r="BI484" s="421"/>
      <c r="BJ484" s="419"/>
      <c r="BK484" s="419"/>
      <c r="BL484" s="421"/>
      <c r="BM484" s="421"/>
      <c r="BN484" s="419"/>
      <c r="BO484" s="419"/>
      <c r="BP484" s="421"/>
      <c r="BQ484" s="421"/>
      <c r="BR484" s="419"/>
      <c r="BS484" s="419"/>
      <c r="BT484" s="421"/>
      <c r="BU484" s="421"/>
      <c r="BV484" s="419"/>
      <c r="BW484" s="419"/>
      <c r="BX484" s="421"/>
      <c r="BY484" s="421"/>
      <c r="BZ484" s="419"/>
      <c r="CA484" s="419"/>
      <c r="CB484" s="421"/>
      <c r="CC484" s="421"/>
      <c r="CD484" s="419"/>
      <c r="CE484" s="419"/>
      <c r="CF484" s="421"/>
      <c r="CG484" s="421"/>
      <c r="CH484" s="419"/>
      <c r="CI484" s="419"/>
      <c r="CJ484" s="421"/>
      <c r="CK484" s="421"/>
      <c r="CL484" s="419"/>
      <c r="CM484" s="421"/>
      <c r="CN484" s="424">
        <f t="shared" si="197"/>
        <v>0</v>
      </c>
      <c r="CO484" s="424">
        <f t="shared" si="198"/>
        <v>0</v>
      </c>
      <c r="CP484" s="425">
        <f t="shared" si="199"/>
        <v>0</v>
      </c>
      <c r="CQ484" s="425">
        <f t="shared" si="200"/>
        <v>0</v>
      </c>
      <c r="CR484" s="419"/>
      <c r="CS484" s="419"/>
      <c r="CT484" s="421"/>
      <c r="CU484" s="421"/>
      <c r="CV484" s="419"/>
      <c r="CW484" s="419"/>
      <c r="CX484" s="421"/>
      <c r="CY484" s="421"/>
      <c r="CZ484" s="419"/>
      <c r="DA484" s="419"/>
      <c r="DB484" s="421"/>
      <c r="DC484" s="421"/>
      <c r="DD484" s="419"/>
      <c r="DE484" s="419"/>
      <c r="DF484" s="421"/>
      <c r="DG484" s="421"/>
      <c r="DH484" s="419"/>
      <c r="DI484" s="419"/>
      <c r="DJ484" s="421"/>
      <c r="DK484" s="421"/>
      <c r="DL484" s="419"/>
      <c r="DM484" s="419"/>
      <c r="DN484" s="421"/>
      <c r="DO484" s="421"/>
      <c r="DP484" s="419"/>
      <c r="DQ484" s="419"/>
      <c r="DR484" s="421"/>
      <c r="DS484" s="421"/>
      <c r="DT484" s="419"/>
      <c r="DU484" s="419"/>
      <c r="DV484" s="421"/>
      <c r="DW484" s="421"/>
      <c r="DX484" s="419"/>
      <c r="DY484" s="419"/>
      <c r="DZ484" s="421"/>
      <c r="EA484" s="421"/>
      <c r="EB484" s="419"/>
      <c r="EC484" s="419"/>
      <c r="ED484" s="421"/>
      <c r="EE484" s="421"/>
      <c r="EF484" s="419"/>
      <c r="EG484" s="421"/>
      <c r="EH484" s="424">
        <f t="shared" si="201"/>
        <v>0</v>
      </c>
      <c r="EI484" s="424">
        <f t="shared" si="202"/>
        <v>0</v>
      </c>
      <c r="EJ484" s="422">
        <f t="shared" si="203"/>
        <v>0</v>
      </c>
      <c r="EK484" s="425">
        <f t="shared" si="204"/>
        <v>0</v>
      </c>
      <c r="EL484" s="425">
        <f t="shared" si="205"/>
        <v>0</v>
      </c>
      <c r="EM484" s="423">
        <f t="shared" si="206"/>
        <v>0</v>
      </c>
      <c r="EN484" s="424">
        <f t="shared" si="207"/>
        <v>0</v>
      </c>
      <c r="EO484" s="425">
        <f t="shared" si="208"/>
        <v>0</v>
      </c>
      <c r="EP484" s="419"/>
      <c r="EQ484" s="421"/>
      <c r="ER484" s="419"/>
      <c r="ES484" s="421"/>
      <c r="ET484" s="419"/>
      <c r="EU484" s="421"/>
      <c r="EV484" s="419"/>
      <c r="EW484" s="421"/>
      <c r="EX484" s="419"/>
      <c r="EY484" s="421"/>
      <c r="EZ484" s="419"/>
      <c r="FA484" s="421"/>
      <c r="FB484" s="419"/>
      <c r="FC484" s="421"/>
      <c r="FD484" s="419"/>
      <c r="FE484" s="421"/>
      <c r="FF484" s="419"/>
      <c r="FG484" s="421"/>
      <c r="FH484" s="419"/>
      <c r="FI484" s="421"/>
      <c r="FJ484" s="424">
        <f t="shared" si="209"/>
        <v>0</v>
      </c>
      <c r="FK484" s="425">
        <f t="shared" si="210"/>
        <v>0</v>
      </c>
      <c r="FL484" s="419"/>
      <c r="FM484" s="421"/>
      <c r="FN484" s="424">
        <f t="shared" si="211"/>
        <v>10056</v>
      </c>
      <c r="FO484" s="425">
        <f t="shared" si="212"/>
        <v>10373</v>
      </c>
    </row>
    <row r="485" spans="1:171" customFormat="1" ht="15.75" customHeight="1">
      <c r="A485" s="17" t="s">
        <v>166</v>
      </c>
      <c r="B485" s="46" t="s">
        <v>1008</v>
      </c>
      <c r="C485" s="15"/>
      <c r="D485" s="44">
        <v>226578</v>
      </c>
      <c r="E485" s="125">
        <v>8</v>
      </c>
      <c r="F485" s="419">
        <v>390</v>
      </c>
      <c r="G485" s="532">
        <v>402</v>
      </c>
      <c r="H485" s="419"/>
      <c r="I485" s="421"/>
      <c r="J485" s="419">
        <v>1353</v>
      </c>
      <c r="K485" s="532">
        <v>1284</v>
      </c>
      <c r="L485" s="422">
        <f t="shared" si="191"/>
        <v>0</v>
      </c>
      <c r="M485" s="423">
        <f t="shared" si="192"/>
        <v>0</v>
      </c>
      <c r="N485" s="419"/>
      <c r="O485" s="525">
        <f>0</f>
        <v>0</v>
      </c>
      <c r="P485" s="525">
        <f>0</f>
        <v>0</v>
      </c>
      <c r="Q485" s="525">
        <f>0</f>
        <v>0</v>
      </c>
      <c r="R485" s="424">
        <f t="shared" si="189"/>
        <v>0</v>
      </c>
      <c r="S485" s="421"/>
      <c r="T485" s="526">
        <f>0</f>
        <v>0</v>
      </c>
      <c r="U485" s="526">
        <f>0</f>
        <v>0</v>
      </c>
      <c r="V485" s="526">
        <f>0</f>
        <v>0</v>
      </c>
      <c r="W485" s="425">
        <f t="shared" si="190"/>
        <v>0</v>
      </c>
      <c r="X485" s="419"/>
      <c r="Y485" s="419"/>
      <c r="Z485" s="421"/>
      <c r="AA485" s="421"/>
      <c r="AB485" s="419"/>
      <c r="AC485" s="419"/>
      <c r="AD485" s="421"/>
      <c r="AE485" s="421"/>
      <c r="AF485" s="419"/>
      <c r="AG485" s="419"/>
      <c r="AH485" s="421"/>
      <c r="AI485" s="421"/>
      <c r="AJ485" s="419"/>
      <c r="AK485" s="419"/>
      <c r="AL485" s="421"/>
      <c r="AM485" s="421"/>
      <c r="AN485" s="419"/>
      <c r="AO485" s="419"/>
      <c r="AP485" s="421"/>
      <c r="AQ485" s="421"/>
      <c r="AR485" s="424">
        <f t="shared" si="193"/>
        <v>0</v>
      </c>
      <c r="AS485" s="422">
        <f t="shared" si="194"/>
        <v>0</v>
      </c>
      <c r="AT485" s="425">
        <f t="shared" si="195"/>
        <v>0</v>
      </c>
      <c r="AU485" s="423">
        <f t="shared" si="196"/>
        <v>0</v>
      </c>
      <c r="AV485" s="419"/>
      <c r="AW485" s="421"/>
      <c r="AX485" s="419"/>
      <c r="AY485" s="419"/>
      <c r="AZ485" s="421"/>
      <c r="BA485" s="421"/>
      <c r="BB485" s="419"/>
      <c r="BC485" s="419"/>
      <c r="BD485" s="421"/>
      <c r="BE485" s="421"/>
      <c r="BF485" s="419"/>
      <c r="BG485" s="419"/>
      <c r="BH485" s="421"/>
      <c r="BI485" s="421"/>
      <c r="BJ485" s="419"/>
      <c r="BK485" s="419"/>
      <c r="BL485" s="421"/>
      <c r="BM485" s="421"/>
      <c r="BN485" s="419"/>
      <c r="BO485" s="419"/>
      <c r="BP485" s="421"/>
      <c r="BQ485" s="421"/>
      <c r="BR485" s="419"/>
      <c r="BS485" s="419"/>
      <c r="BT485" s="421"/>
      <c r="BU485" s="421"/>
      <c r="BV485" s="419"/>
      <c r="BW485" s="419"/>
      <c r="BX485" s="421"/>
      <c r="BY485" s="421"/>
      <c r="BZ485" s="419"/>
      <c r="CA485" s="419"/>
      <c r="CB485" s="421"/>
      <c r="CC485" s="421"/>
      <c r="CD485" s="419"/>
      <c r="CE485" s="419"/>
      <c r="CF485" s="421"/>
      <c r="CG485" s="421"/>
      <c r="CH485" s="419"/>
      <c r="CI485" s="419"/>
      <c r="CJ485" s="421"/>
      <c r="CK485" s="421"/>
      <c r="CL485" s="419"/>
      <c r="CM485" s="421"/>
      <c r="CN485" s="424">
        <f t="shared" si="197"/>
        <v>0</v>
      </c>
      <c r="CO485" s="424">
        <f t="shared" si="198"/>
        <v>0</v>
      </c>
      <c r="CP485" s="425">
        <f t="shared" si="199"/>
        <v>0</v>
      </c>
      <c r="CQ485" s="425">
        <f t="shared" si="200"/>
        <v>0</v>
      </c>
      <c r="CR485" s="419"/>
      <c r="CS485" s="419"/>
      <c r="CT485" s="421"/>
      <c r="CU485" s="421"/>
      <c r="CV485" s="419"/>
      <c r="CW485" s="419"/>
      <c r="CX485" s="421"/>
      <c r="CY485" s="421"/>
      <c r="CZ485" s="419"/>
      <c r="DA485" s="419"/>
      <c r="DB485" s="421"/>
      <c r="DC485" s="421"/>
      <c r="DD485" s="419"/>
      <c r="DE485" s="419"/>
      <c r="DF485" s="421"/>
      <c r="DG485" s="421"/>
      <c r="DH485" s="419"/>
      <c r="DI485" s="419"/>
      <c r="DJ485" s="421"/>
      <c r="DK485" s="421"/>
      <c r="DL485" s="419"/>
      <c r="DM485" s="419"/>
      <c r="DN485" s="421"/>
      <c r="DO485" s="421"/>
      <c r="DP485" s="419"/>
      <c r="DQ485" s="419"/>
      <c r="DR485" s="421"/>
      <c r="DS485" s="421"/>
      <c r="DT485" s="419"/>
      <c r="DU485" s="419"/>
      <c r="DV485" s="421"/>
      <c r="DW485" s="421"/>
      <c r="DX485" s="419"/>
      <c r="DY485" s="419"/>
      <c r="DZ485" s="421"/>
      <c r="EA485" s="421"/>
      <c r="EB485" s="419"/>
      <c r="EC485" s="419"/>
      <c r="ED485" s="421"/>
      <c r="EE485" s="421"/>
      <c r="EF485" s="419"/>
      <c r="EG485" s="421"/>
      <c r="EH485" s="424">
        <f t="shared" si="201"/>
        <v>0</v>
      </c>
      <c r="EI485" s="424">
        <f t="shared" si="202"/>
        <v>0</v>
      </c>
      <c r="EJ485" s="422">
        <f t="shared" si="203"/>
        <v>0</v>
      </c>
      <c r="EK485" s="425">
        <f t="shared" si="204"/>
        <v>0</v>
      </c>
      <c r="EL485" s="425">
        <f t="shared" si="205"/>
        <v>0</v>
      </c>
      <c r="EM485" s="423">
        <f t="shared" si="206"/>
        <v>0</v>
      </c>
      <c r="EN485" s="424">
        <f t="shared" si="207"/>
        <v>0</v>
      </c>
      <c r="EO485" s="425">
        <f t="shared" si="208"/>
        <v>0</v>
      </c>
      <c r="EP485" s="419"/>
      <c r="EQ485" s="421"/>
      <c r="ER485" s="419"/>
      <c r="ES485" s="421"/>
      <c r="ET485" s="419"/>
      <c r="EU485" s="421"/>
      <c r="EV485" s="419"/>
      <c r="EW485" s="421"/>
      <c r="EX485" s="419"/>
      <c r="EY485" s="421"/>
      <c r="EZ485" s="419"/>
      <c r="FA485" s="421"/>
      <c r="FB485" s="419"/>
      <c r="FC485" s="421"/>
      <c r="FD485" s="419"/>
      <c r="FE485" s="421"/>
      <c r="FF485" s="419"/>
      <c r="FG485" s="421"/>
      <c r="FH485" s="419"/>
      <c r="FI485" s="421"/>
      <c r="FJ485" s="424">
        <f t="shared" si="209"/>
        <v>0</v>
      </c>
      <c r="FK485" s="425">
        <f t="shared" si="210"/>
        <v>0</v>
      </c>
      <c r="FL485" s="419"/>
      <c r="FM485" s="421"/>
      <c r="FN485" s="424">
        <f t="shared" si="211"/>
        <v>1743</v>
      </c>
      <c r="FO485" s="425">
        <f t="shared" si="212"/>
        <v>1686</v>
      </c>
    </row>
    <row r="486" spans="1:171" customFormat="1" ht="15.75" customHeight="1">
      <c r="A486" s="17" t="s">
        <v>166</v>
      </c>
      <c r="B486" s="46" t="s">
        <v>1009</v>
      </c>
      <c r="C486" s="4"/>
      <c r="D486" s="44">
        <v>226930</v>
      </c>
      <c r="E486" s="125">
        <v>8</v>
      </c>
      <c r="F486" s="419">
        <v>381</v>
      </c>
      <c r="G486" s="532">
        <v>370</v>
      </c>
      <c r="H486" s="419"/>
      <c r="I486" s="421"/>
      <c r="J486" s="419">
        <v>1169</v>
      </c>
      <c r="K486" s="532">
        <v>1225</v>
      </c>
      <c r="L486" s="422">
        <f t="shared" si="191"/>
        <v>0</v>
      </c>
      <c r="M486" s="423">
        <f t="shared" si="192"/>
        <v>0</v>
      </c>
      <c r="N486" s="419"/>
      <c r="O486" s="525">
        <f>0</f>
        <v>0</v>
      </c>
      <c r="P486" s="525">
        <f>0</f>
        <v>0</v>
      </c>
      <c r="Q486" s="525">
        <f>0</f>
        <v>0</v>
      </c>
      <c r="R486" s="424">
        <f t="shared" si="189"/>
        <v>0</v>
      </c>
      <c r="S486" s="421"/>
      <c r="T486" s="526">
        <f>0</f>
        <v>0</v>
      </c>
      <c r="U486" s="526">
        <f>0</f>
        <v>0</v>
      </c>
      <c r="V486" s="526">
        <f>0</f>
        <v>0</v>
      </c>
      <c r="W486" s="425">
        <f t="shared" si="190"/>
        <v>0</v>
      </c>
      <c r="X486" s="419"/>
      <c r="Y486" s="419"/>
      <c r="Z486" s="421"/>
      <c r="AA486" s="421"/>
      <c r="AB486" s="419"/>
      <c r="AC486" s="419"/>
      <c r="AD486" s="421"/>
      <c r="AE486" s="421"/>
      <c r="AF486" s="419"/>
      <c r="AG486" s="419"/>
      <c r="AH486" s="421"/>
      <c r="AI486" s="421"/>
      <c r="AJ486" s="419"/>
      <c r="AK486" s="419"/>
      <c r="AL486" s="421"/>
      <c r="AM486" s="421"/>
      <c r="AN486" s="419"/>
      <c r="AO486" s="419"/>
      <c r="AP486" s="421"/>
      <c r="AQ486" s="421"/>
      <c r="AR486" s="424">
        <f t="shared" si="193"/>
        <v>0</v>
      </c>
      <c r="AS486" s="422">
        <f t="shared" si="194"/>
        <v>0</v>
      </c>
      <c r="AT486" s="425">
        <f t="shared" si="195"/>
        <v>0</v>
      </c>
      <c r="AU486" s="423">
        <f t="shared" si="196"/>
        <v>0</v>
      </c>
      <c r="AV486" s="419"/>
      <c r="AW486" s="421"/>
      <c r="AX486" s="419"/>
      <c r="AY486" s="419"/>
      <c r="AZ486" s="421"/>
      <c r="BA486" s="421"/>
      <c r="BB486" s="419"/>
      <c r="BC486" s="419"/>
      <c r="BD486" s="421"/>
      <c r="BE486" s="421"/>
      <c r="BF486" s="419"/>
      <c r="BG486" s="419"/>
      <c r="BH486" s="421"/>
      <c r="BI486" s="421"/>
      <c r="BJ486" s="419"/>
      <c r="BK486" s="419"/>
      <c r="BL486" s="421"/>
      <c r="BM486" s="421"/>
      <c r="BN486" s="419"/>
      <c r="BO486" s="419"/>
      <c r="BP486" s="421"/>
      <c r="BQ486" s="421"/>
      <c r="BR486" s="419"/>
      <c r="BS486" s="419"/>
      <c r="BT486" s="421"/>
      <c r="BU486" s="421"/>
      <c r="BV486" s="419"/>
      <c r="BW486" s="419"/>
      <c r="BX486" s="421"/>
      <c r="BY486" s="421"/>
      <c r="BZ486" s="419"/>
      <c r="CA486" s="419"/>
      <c r="CB486" s="421"/>
      <c r="CC486" s="421"/>
      <c r="CD486" s="419"/>
      <c r="CE486" s="419"/>
      <c r="CF486" s="421"/>
      <c r="CG486" s="421"/>
      <c r="CH486" s="419"/>
      <c r="CI486" s="419"/>
      <c r="CJ486" s="421"/>
      <c r="CK486" s="421"/>
      <c r="CL486" s="419"/>
      <c r="CM486" s="421"/>
      <c r="CN486" s="424">
        <f t="shared" si="197"/>
        <v>0</v>
      </c>
      <c r="CO486" s="424">
        <f t="shared" si="198"/>
        <v>0</v>
      </c>
      <c r="CP486" s="425">
        <f t="shared" si="199"/>
        <v>0</v>
      </c>
      <c r="CQ486" s="425">
        <f t="shared" si="200"/>
        <v>0</v>
      </c>
      <c r="CR486" s="419"/>
      <c r="CS486" s="419"/>
      <c r="CT486" s="421"/>
      <c r="CU486" s="421"/>
      <c r="CV486" s="419"/>
      <c r="CW486" s="419"/>
      <c r="CX486" s="421"/>
      <c r="CY486" s="421"/>
      <c r="CZ486" s="419"/>
      <c r="DA486" s="419"/>
      <c r="DB486" s="421"/>
      <c r="DC486" s="421"/>
      <c r="DD486" s="419"/>
      <c r="DE486" s="419"/>
      <c r="DF486" s="421"/>
      <c r="DG486" s="421"/>
      <c r="DH486" s="419"/>
      <c r="DI486" s="419"/>
      <c r="DJ486" s="421"/>
      <c r="DK486" s="421"/>
      <c r="DL486" s="419"/>
      <c r="DM486" s="419"/>
      <c r="DN486" s="421"/>
      <c r="DO486" s="421"/>
      <c r="DP486" s="419"/>
      <c r="DQ486" s="419"/>
      <c r="DR486" s="421"/>
      <c r="DS486" s="421"/>
      <c r="DT486" s="419"/>
      <c r="DU486" s="419"/>
      <c r="DV486" s="421"/>
      <c r="DW486" s="421"/>
      <c r="DX486" s="419"/>
      <c r="DY486" s="419"/>
      <c r="DZ486" s="421"/>
      <c r="EA486" s="421"/>
      <c r="EB486" s="419"/>
      <c r="EC486" s="419"/>
      <c r="ED486" s="421"/>
      <c r="EE486" s="421"/>
      <c r="EF486" s="419"/>
      <c r="EG486" s="421"/>
      <c r="EH486" s="424">
        <f t="shared" si="201"/>
        <v>0</v>
      </c>
      <c r="EI486" s="424">
        <f t="shared" si="202"/>
        <v>0</v>
      </c>
      <c r="EJ486" s="422">
        <f t="shared" si="203"/>
        <v>0</v>
      </c>
      <c r="EK486" s="425">
        <f t="shared" si="204"/>
        <v>0</v>
      </c>
      <c r="EL486" s="425">
        <f t="shared" si="205"/>
        <v>0</v>
      </c>
      <c r="EM486" s="423">
        <f t="shared" si="206"/>
        <v>0</v>
      </c>
      <c r="EN486" s="424">
        <f t="shared" si="207"/>
        <v>0</v>
      </c>
      <c r="EO486" s="425">
        <f t="shared" si="208"/>
        <v>0</v>
      </c>
      <c r="EP486" s="419"/>
      <c r="EQ486" s="421"/>
      <c r="ER486" s="419"/>
      <c r="ES486" s="421"/>
      <c r="ET486" s="419"/>
      <c r="EU486" s="421"/>
      <c r="EV486" s="419"/>
      <c r="EW486" s="421"/>
      <c r="EX486" s="419"/>
      <c r="EY486" s="421"/>
      <c r="EZ486" s="419"/>
      <c r="FA486" s="421"/>
      <c r="FB486" s="419"/>
      <c r="FC486" s="421"/>
      <c r="FD486" s="419"/>
      <c r="FE486" s="421"/>
      <c r="FF486" s="419"/>
      <c r="FG486" s="421"/>
      <c r="FH486" s="419"/>
      <c r="FI486" s="421"/>
      <c r="FJ486" s="424">
        <f t="shared" si="209"/>
        <v>0</v>
      </c>
      <c r="FK486" s="425">
        <f t="shared" si="210"/>
        <v>0</v>
      </c>
      <c r="FL486" s="419"/>
      <c r="FM486" s="421"/>
      <c r="FN486" s="424">
        <f t="shared" si="211"/>
        <v>1550</v>
      </c>
      <c r="FO486" s="425">
        <f t="shared" si="212"/>
        <v>1595</v>
      </c>
    </row>
    <row r="487" spans="1:171" customFormat="1" ht="15.75" customHeight="1">
      <c r="A487" s="17" t="s">
        <v>166</v>
      </c>
      <c r="B487" s="46" t="s">
        <v>1010</v>
      </c>
      <c r="C487" s="15"/>
      <c r="D487" s="44">
        <v>227146</v>
      </c>
      <c r="E487" s="125">
        <v>8</v>
      </c>
      <c r="F487" s="419">
        <v>502</v>
      </c>
      <c r="G487" s="532">
        <v>461</v>
      </c>
      <c r="H487" s="419"/>
      <c r="I487" s="421"/>
      <c r="J487" s="419">
        <v>1055</v>
      </c>
      <c r="K487" s="532">
        <v>1020</v>
      </c>
      <c r="L487" s="422">
        <f t="shared" si="191"/>
        <v>0</v>
      </c>
      <c r="M487" s="423">
        <f t="shared" si="192"/>
        <v>0</v>
      </c>
      <c r="N487" s="419"/>
      <c r="O487" s="525">
        <f>0</f>
        <v>0</v>
      </c>
      <c r="P487" s="525">
        <f>0</f>
        <v>0</v>
      </c>
      <c r="Q487" s="525">
        <f>0</f>
        <v>0</v>
      </c>
      <c r="R487" s="424">
        <f t="shared" si="189"/>
        <v>0</v>
      </c>
      <c r="S487" s="421"/>
      <c r="T487" s="526">
        <f>0</f>
        <v>0</v>
      </c>
      <c r="U487" s="526">
        <f>0</f>
        <v>0</v>
      </c>
      <c r="V487" s="526">
        <f>0</f>
        <v>0</v>
      </c>
      <c r="W487" s="425">
        <f t="shared" si="190"/>
        <v>0</v>
      </c>
      <c r="X487" s="419"/>
      <c r="Y487" s="419"/>
      <c r="Z487" s="421"/>
      <c r="AA487" s="421"/>
      <c r="AB487" s="419"/>
      <c r="AC487" s="419"/>
      <c r="AD487" s="421"/>
      <c r="AE487" s="421"/>
      <c r="AF487" s="419"/>
      <c r="AG487" s="419"/>
      <c r="AH487" s="421"/>
      <c r="AI487" s="421"/>
      <c r="AJ487" s="419"/>
      <c r="AK487" s="419"/>
      <c r="AL487" s="421"/>
      <c r="AM487" s="421"/>
      <c r="AN487" s="419"/>
      <c r="AO487" s="419"/>
      <c r="AP487" s="421"/>
      <c r="AQ487" s="421"/>
      <c r="AR487" s="424">
        <f t="shared" si="193"/>
        <v>0</v>
      </c>
      <c r="AS487" s="422">
        <f t="shared" si="194"/>
        <v>0</v>
      </c>
      <c r="AT487" s="425">
        <f t="shared" si="195"/>
        <v>0</v>
      </c>
      <c r="AU487" s="423">
        <f t="shared" si="196"/>
        <v>0</v>
      </c>
      <c r="AV487" s="419"/>
      <c r="AW487" s="421"/>
      <c r="AX487" s="419"/>
      <c r="AY487" s="419"/>
      <c r="AZ487" s="421"/>
      <c r="BA487" s="421"/>
      <c r="BB487" s="419"/>
      <c r="BC487" s="419"/>
      <c r="BD487" s="421"/>
      <c r="BE487" s="421"/>
      <c r="BF487" s="419"/>
      <c r="BG487" s="419"/>
      <c r="BH487" s="421"/>
      <c r="BI487" s="421"/>
      <c r="BJ487" s="419"/>
      <c r="BK487" s="419"/>
      <c r="BL487" s="421"/>
      <c r="BM487" s="421"/>
      <c r="BN487" s="419"/>
      <c r="BO487" s="419"/>
      <c r="BP487" s="421"/>
      <c r="BQ487" s="421"/>
      <c r="BR487" s="419"/>
      <c r="BS487" s="419"/>
      <c r="BT487" s="421"/>
      <c r="BU487" s="421"/>
      <c r="BV487" s="419"/>
      <c r="BW487" s="419"/>
      <c r="BX487" s="421"/>
      <c r="BY487" s="421"/>
      <c r="BZ487" s="419"/>
      <c r="CA487" s="419"/>
      <c r="CB487" s="421"/>
      <c r="CC487" s="421"/>
      <c r="CD487" s="419"/>
      <c r="CE487" s="419"/>
      <c r="CF487" s="421"/>
      <c r="CG487" s="421"/>
      <c r="CH487" s="419"/>
      <c r="CI487" s="419"/>
      <c r="CJ487" s="421"/>
      <c r="CK487" s="421"/>
      <c r="CL487" s="419"/>
      <c r="CM487" s="421"/>
      <c r="CN487" s="424">
        <f t="shared" si="197"/>
        <v>0</v>
      </c>
      <c r="CO487" s="424">
        <f t="shared" si="198"/>
        <v>0</v>
      </c>
      <c r="CP487" s="425">
        <f t="shared" si="199"/>
        <v>0</v>
      </c>
      <c r="CQ487" s="425">
        <f t="shared" si="200"/>
        <v>0</v>
      </c>
      <c r="CR487" s="419"/>
      <c r="CS487" s="419"/>
      <c r="CT487" s="421"/>
      <c r="CU487" s="421"/>
      <c r="CV487" s="419"/>
      <c r="CW487" s="419"/>
      <c r="CX487" s="421"/>
      <c r="CY487" s="421"/>
      <c r="CZ487" s="419"/>
      <c r="DA487" s="419"/>
      <c r="DB487" s="421"/>
      <c r="DC487" s="421"/>
      <c r="DD487" s="419"/>
      <c r="DE487" s="419"/>
      <c r="DF487" s="421"/>
      <c r="DG487" s="421"/>
      <c r="DH487" s="419"/>
      <c r="DI487" s="419"/>
      <c r="DJ487" s="421"/>
      <c r="DK487" s="421"/>
      <c r="DL487" s="419"/>
      <c r="DM487" s="419"/>
      <c r="DN487" s="421"/>
      <c r="DO487" s="421"/>
      <c r="DP487" s="419"/>
      <c r="DQ487" s="419"/>
      <c r="DR487" s="421"/>
      <c r="DS487" s="421"/>
      <c r="DT487" s="419"/>
      <c r="DU487" s="419"/>
      <c r="DV487" s="421"/>
      <c r="DW487" s="421"/>
      <c r="DX487" s="419"/>
      <c r="DY487" s="419"/>
      <c r="DZ487" s="421"/>
      <c r="EA487" s="421"/>
      <c r="EB487" s="419"/>
      <c r="EC487" s="419"/>
      <c r="ED487" s="421"/>
      <c r="EE487" s="421"/>
      <c r="EF487" s="419"/>
      <c r="EG487" s="421"/>
      <c r="EH487" s="424">
        <f t="shared" si="201"/>
        <v>0</v>
      </c>
      <c r="EI487" s="424">
        <f t="shared" si="202"/>
        <v>0</v>
      </c>
      <c r="EJ487" s="422">
        <f t="shared" si="203"/>
        <v>0</v>
      </c>
      <c r="EK487" s="425">
        <f t="shared" si="204"/>
        <v>0</v>
      </c>
      <c r="EL487" s="425">
        <f t="shared" si="205"/>
        <v>0</v>
      </c>
      <c r="EM487" s="423">
        <f t="shared" si="206"/>
        <v>0</v>
      </c>
      <c r="EN487" s="424">
        <f t="shared" si="207"/>
        <v>0</v>
      </c>
      <c r="EO487" s="425">
        <f t="shared" si="208"/>
        <v>0</v>
      </c>
      <c r="EP487" s="419"/>
      <c r="EQ487" s="421"/>
      <c r="ER487" s="419"/>
      <c r="ES487" s="421"/>
      <c r="ET487" s="419"/>
      <c r="EU487" s="421"/>
      <c r="EV487" s="419"/>
      <c r="EW487" s="421"/>
      <c r="EX487" s="419"/>
      <c r="EY487" s="421"/>
      <c r="EZ487" s="419"/>
      <c r="FA487" s="421"/>
      <c r="FB487" s="419"/>
      <c r="FC487" s="421"/>
      <c r="FD487" s="419"/>
      <c r="FE487" s="421"/>
      <c r="FF487" s="419"/>
      <c r="FG487" s="421"/>
      <c r="FH487" s="419"/>
      <c r="FI487" s="421"/>
      <c r="FJ487" s="424">
        <f t="shared" si="209"/>
        <v>0</v>
      </c>
      <c r="FK487" s="425">
        <f t="shared" si="210"/>
        <v>0</v>
      </c>
      <c r="FL487" s="419"/>
      <c r="FM487" s="421"/>
      <c r="FN487" s="424">
        <f t="shared" si="211"/>
        <v>1557</v>
      </c>
      <c r="FO487" s="425">
        <f t="shared" si="212"/>
        <v>1481</v>
      </c>
    </row>
    <row r="488" spans="1:171" customFormat="1" ht="15.75" customHeight="1">
      <c r="A488" s="17" t="s">
        <v>166</v>
      </c>
      <c r="B488" s="46" t="s">
        <v>1011</v>
      </c>
      <c r="C488" s="15"/>
      <c r="D488" s="44">
        <v>224110</v>
      </c>
      <c r="E488" s="125">
        <v>8</v>
      </c>
      <c r="F488" s="419">
        <v>253</v>
      </c>
      <c r="G488" s="531">
        <v>139</v>
      </c>
      <c r="H488" s="419"/>
      <c r="I488" s="421"/>
      <c r="J488" s="419">
        <v>925</v>
      </c>
      <c r="K488" s="532">
        <v>995</v>
      </c>
      <c r="L488" s="422">
        <f t="shared" si="191"/>
        <v>0</v>
      </c>
      <c r="M488" s="423">
        <f t="shared" si="192"/>
        <v>0</v>
      </c>
      <c r="N488" s="419"/>
      <c r="O488" s="525">
        <f>0</f>
        <v>0</v>
      </c>
      <c r="P488" s="525">
        <f>0</f>
        <v>0</v>
      </c>
      <c r="Q488" s="525">
        <f>0</f>
        <v>0</v>
      </c>
      <c r="R488" s="424">
        <f t="shared" si="189"/>
        <v>0</v>
      </c>
      <c r="S488" s="421"/>
      <c r="T488" s="526">
        <f>0</f>
        <v>0</v>
      </c>
      <c r="U488" s="526">
        <f>0</f>
        <v>0</v>
      </c>
      <c r="V488" s="526">
        <f>0</f>
        <v>0</v>
      </c>
      <c r="W488" s="425">
        <f t="shared" si="190"/>
        <v>0</v>
      </c>
      <c r="X488" s="419"/>
      <c r="Y488" s="419"/>
      <c r="Z488" s="421"/>
      <c r="AA488" s="421"/>
      <c r="AB488" s="419"/>
      <c r="AC488" s="419"/>
      <c r="AD488" s="421"/>
      <c r="AE488" s="421"/>
      <c r="AF488" s="419"/>
      <c r="AG488" s="419"/>
      <c r="AH488" s="421"/>
      <c r="AI488" s="421"/>
      <c r="AJ488" s="419"/>
      <c r="AK488" s="419"/>
      <c r="AL488" s="421"/>
      <c r="AM488" s="421"/>
      <c r="AN488" s="419"/>
      <c r="AO488" s="419"/>
      <c r="AP488" s="421"/>
      <c r="AQ488" s="421"/>
      <c r="AR488" s="424">
        <f t="shared" si="193"/>
        <v>0</v>
      </c>
      <c r="AS488" s="422">
        <f t="shared" si="194"/>
        <v>0</v>
      </c>
      <c r="AT488" s="425">
        <f t="shared" si="195"/>
        <v>0</v>
      </c>
      <c r="AU488" s="423">
        <f t="shared" si="196"/>
        <v>0</v>
      </c>
      <c r="AV488" s="419"/>
      <c r="AW488" s="421"/>
      <c r="AX488" s="419"/>
      <c r="AY488" s="419"/>
      <c r="AZ488" s="421"/>
      <c r="BA488" s="421"/>
      <c r="BB488" s="419"/>
      <c r="BC488" s="419"/>
      <c r="BD488" s="421"/>
      <c r="BE488" s="421"/>
      <c r="BF488" s="419"/>
      <c r="BG488" s="419"/>
      <c r="BH488" s="421"/>
      <c r="BI488" s="421"/>
      <c r="BJ488" s="419"/>
      <c r="BK488" s="419"/>
      <c r="BL488" s="421"/>
      <c r="BM488" s="421"/>
      <c r="BN488" s="419"/>
      <c r="BO488" s="419"/>
      <c r="BP488" s="421"/>
      <c r="BQ488" s="421"/>
      <c r="BR488" s="419"/>
      <c r="BS488" s="419"/>
      <c r="BT488" s="421"/>
      <c r="BU488" s="421"/>
      <c r="BV488" s="419"/>
      <c r="BW488" s="419"/>
      <c r="BX488" s="421"/>
      <c r="BY488" s="421"/>
      <c r="BZ488" s="419"/>
      <c r="CA488" s="419"/>
      <c r="CB488" s="421"/>
      <c r="CC488" s="421"/>
      <c r="CD488" s="419"/>
      <c r="CE488" s="419"/>
      <c r="CF488" s="421"/>
      <c r="CG488" s="421"/>
      <c r="CH488" s="419"/>
      <c r="CI488" s="419"/>
      <c r="CJ488" s="421"/>
      <c r="CK488" s="421"/>
      <c r="CL488" s="419"/>
      <c r="CM488" s="421"/>
      <c r="CN488" s="424">
        <f t="shared" si="197"/>
        <v>0</v>
      </c>
      <c r="CO488" s="424">
        <f t="shared" si="198"/>
        <v>0</v>
      </c>
      <c r="CP488" s="425">
        <f t="shared" si="199"/>
        <v>0</v>
      </c>
      <c r="CQ488" s="425">
        <f t="shared" si="200"/>
        <v>0</v>
      </c>
      <c r="CR488" s="419"/>
      <c r="CS488" s="419"/>
      <c r="CT488" s="421"/>
      <c r="CU488" s="421"/>
      <c r="CV488" s="419"/>
      <c r="CW488" s="419"/>
      <c r="CX488" s="421"/>
      <c r="CY488" s="421"/>
      <c r="CZ488" s="419"/>
      <c r="DA488" s="419"/>
      <c r="DB488" s="421"/>
      <c r="DC488" s="421"/>
      <c r="DD488" s="419"/>
      <c r="DE488" s="419"/>
      <c r="DF488" s="421"/>
      <c r="DG488" s="421"/>
      <c r="DH488" s="419"/>
      <c r="DI488" s="419"/>
      <c r="DJ488" s="421"/>
      <c r="DK488" s="421"/>
      <c r="DL488" s="419"/>
      <c r="DM488" s="419"/>
      <c r="DN488" s="421"/>
      <c r="DO488" s="421"/>
      <c r="DP488" s="419"/>
      <c r="DQ488" s="419"/>
      <c r="DR488" s="421"/>
      <c r="DS488" s="421"/>
      <c r="DT488" s="419"/>
      <c r="DU488" s="419"/>
      <c r="DV488" s="421"/>
      <c r="DW488" s="421"/>
      <c r="DX488" s="419"/>
      <c r="DY488" s="419"/>
      <c r="DZ488" s="421"/>
      <c r="EA488" s="421"/>
      <c r="EB488" s="419"/>
      <c r="EC488" s="419"/>
      <c r="ED488" s="421"/>
      <c r="EE488" s="421"/>
      <c r="EF488" s="419"/>
      <c r="EG488" s="421"/>
      <c r="EH488" s="424">
        <f t="shared" si="201"/>
        <v>0</v>
      </c>
      <c r="EI488" s="424">
        <f t="shared" si="202"/>
        <v>0</v>
      </c>
      <c r="EJ488" s="422">
        <f t="shared" si="203"/>
        <v>0</v>
      </c>
      <c r="EK488" s="425">
        <f t="shared" si="204"/>
        <v>0</v>
      </c>
      <c r="EL488" s="425">
        <f t="shared" si="205"/>
        <v>0</v>
      </c>
      <c r="EM488" s="423">
        <f t="shared" si="206"/>
        <v>0</v>
      </c>
      <c r="EN488" s="424">
        <f t="shared" si="207"/>
        <v>0</v>
      </c>
      <c r="EO488" s="425">
        <f t="shared" si="208"/>
        <v>0</v>
      </c>
      <c r="EP488" s="419"/>
      <c r="EQ488" s="421"/>
      <c r="ER488" s="419"/>
      <c r="ES488" s="421"/>
      <c r="ET488" s="419"/>
      <c r="EU488" s="421"/>
      <c r="EV488" s="419"/>
      <c r="EW488" s="421"/>
      <c r="EX488" s="419"/>
      <c r="EY488" s="421"/>
      <c r="EZ488" s="419"/>
      <c r="FA488" s="421"/>
      <c r="FB488" s="419"/>
      <c r="FC488" s="421"/>
      <c r="FD488" s="419"/>
      <c r="FE488" s="421"/>
      <c r="FF488" s="419"/>
      <c r="FG488" s="421"/>
      <c r="FH488" s="419"/>
      <c r="FI488" s="421"/>
      <c r="FJ488" s="424">
        <f t="shared" si="209"/>
        <v>0</v>
      </c>
      <c r="FK488" s="425">
        <f t="shared" si="210"/>
        <v>0</v>
      </c>
      <c r="FL488" s="419"/>
      <c r="FM488" s="421"/>
      <c r="FN488" s="424">
        <f t="shared" si="211"/>
        <v>1178</v>
      </c>
      <c r="FO488" s="425">
        <f t="shared" si="212"/>
        <v>1134</v>
      </c>
    </row>
    <row r="489" spans="1:171" customFormat="1" ht="15.75" customHeight="1">
      <c r="A489" s="17" t="s">
        <v>166</v>
      </c>
      <c r="B489" s="46" t="s">
        <v>1012</v>
      </c>
      <c r="C489" s="15"/>
      <c r="D489" s="44">
        <v>227191</v>
      </c>
      <c r="E489" s="125">
        <v>8</v>
      </c>
      <c r="F489" s="419">
        <v>519</v>
      </c>
      <c r="G489" s="532">
        <v>428</v>
      </c>
      <c r="H489" s="419"/>
      <c r="I489" s="421"/>
      <c r="J489" s="419">
        <v>1261</v>
      </c>
      <c r="K489" s="532">
        <v>1062</v>
      </c>
      <c r="L489" s="422">
        <f t="shared" si="191"/>
        <v>0</v>
      </c>
      <c r="M489" s="423">
        <f t="shared" si="192"/>
        <v>0</v>
      </c>
      <c r="N489" s="419"/>
      <c r="O489" s="525">
        <f>0</f>
        <v>0</v>
      </c>
      <c r="P489" s="525">
        <f>0</f>
        <v>0</v>
      </c>
      <c r="Q489" s="525">
        <f>0</f>
        <v>0</v>
      </c>
      <c r="R489" s="424">
        <f t="shared" si="189"/>
        <v>0</v>
      </c>
      <c r="S489" s="421"/>
      <c r="T489" s="526">
        <f>0</f>
        <v>0</v>
      </c>
      <c r="U489" s="526">
        <f>0</f>
        <v>0</v>
      </c>
      <c r="V489" s="526">
        <f>0</f>
        <v>0</v>
      </c>
      <c r="W489" s="425">
        <f t="shared" si="190"/>
        <v>0</v>
      </c>
      <c r="X489" s="419"/>
      <c r="Y489" s="419"/>
      <c r="Z489" s="421"/>
      <c r="AA489" s="421"/>
      <c r="AB489" s="419"/>
      <c r="AC489" s="419"/>
      <c r="AD489" s="421"/>
      <c r="AE489" s="421"/>
      <c r="AF489" s="419"/>
      <c r="AG489" s="419"/>
      <c r="AH489" s="421"/>
      <c r="AI489" s="421"/>
      <c r="AJ489" s="419"/>
      <c r="AK489" s="419"/>
      <c r="AL489" s="421"/>
      <c r="AM489" s="421"/>
      <c r="AN489" s="419"/>
      <c r="AO489" s="419"/>
      <c r="AP489" s="421"/>
      <c r="AQ489" s="421"/>
      <c r="AR489" s="424">
        <f t="shared" si="193"/>
        <v>0</v>
      </c>
      <c r="AS489" s="422">
        <f t="shared" si="194"/>
        <v>0</v>
      </c>
      <c r="AT489" s="425">
        <f t="shared" si="195"/>
        <v>0</v>
      </c>
      <c r="AU489" s="423">
        <f t="shared" si="196"/>
        <v>0</v>
      </c>
      <c r="AV489" s="419"/>
      <c r="AW489" s="421"/>
      <c r="AX489" s="419"/>
      <c r="AY489" s="419"/>
      <c r="AZ489" s="421"/>
      <c r="BA489" s="421"/>
      <c r="BB489" s="419"/>
      <c r="BC489" s="419"/>
      <c r="BD489" s="421"/>
      <c r="BE489" s="421"/>
      <c r="BF489" s="419"/>
      <c r="BG489" s="419"/>
      <c r="BH489" s="421"/>
      <c r="BI489" s="421"/>
      <c r="BJ489" s="419"/>
      <c r="BK489" s="419"/>
      <c r="BL489" s="421"/>
      <c r="BM489" s="421"/>
      <c r="BN489" s="419"/>
      <c r="BO489" s="419"/>
      <c r="BP489" s="421"/>
      <c r="BQ489" s="421"/>
      <c r="BR489" s="419"/>
      <c r="BS489" s="419"/>
      <c r="BT489" s="421"/>
      <c r="BU489" s="421"/>
      <c r="BV489" s="419"/>
      <c r="BW489" s="419"/>
      <c r="BX489" s="421"/>
      <c r="BY489" s="421"/>
      <c r="BZ489" s="419"/>
      <c r="CA489" s="419"/>
      <c r="CB489" s="421"/>
      <c r="CC489" s="421"/>
      <c r="CD489" s="419"/>
      <c r="CE489" s="419"/>
      <c r="CF489" s="421"/>
      <c r="CG489" s="421"/>
      <c r="CH489" s="419"/>
      <c r="CI489" s="419"/>
      <c r="CJ489" s="421"/>
      <c r="CK489" s="421"/>
      <c r="CL489" s="419"/>
      <c r="CM489" s="421"/>
      <c r="CN489" s="424">
        <f t="shared" si="197"/>
        <v>0</v>
      </c>
      <c r="CO489" s="424">
        <f t="shared" si="198"/>
        <v>0</v>
      </c>
      <c r="CP489" s="425">
        <f t="shared" si="199"/>
        <v>0</v>
      </c>
      <c r="CQ489" s="425">
        <f t="shared" si="200"/>
        <v>0</v>
      </c>
      <c r="CR489" s="419"/>
      <c r="CS489" s="419"/>
      <c r="CT489" s="421"/>
      <c r="CU489" s="421"/>
      <c r="CV489" s="419"/>
      <c r="CW489" s="419"/>
      <c r="CX489" s="421"/>
      <c r="CY489" s="421"/>
      <c r="CZ489" s="419"/>
      <c r="DA489" s="419"/>
      <c r="DB489" s="421"/>
      <c r="DC489" s="421"/>
      <c r="DD489" s="419"/>
      <c r="DE489" s="419"/>
      <c r="DF489" s="421"/>
      <c r="DG489" s="421"/>
      <c r="DH489" s="419"/>
      <c r="DI489" s="419"/>
      <c r="DJ489" s="421"/>
      <c r="DK489" s="421"/>
      <c r="DL489" s="419"/>
      <c r="DM489" s="419"/>
      <c r="DN489" s="421"/>
      <c r="DO489" s="421"/>
      <c r="DP489" s="419"/>
      <c r="DQ489" s="419"/>
      <c r="DR489" s="421"/>
      <c r="DS489" s="421"/>
      <c r="DT489" s="419"/>
      <c r="DU489" s="419"/>
      <c r="DV489" s="421"/>
      <c r="DW489" s="421"/>
      <c r="DX489" s="419"/>
      <c r="DY489" s="419"/>
      <c r="DZ489" s="421"/>
      <c r="EA489" s="421"/>
      <c r="EB489" s="419"/>
      <c r="EC489" s="419"/>
      <c r="ED489" s="421"/>
      <c r="EE489" s="421"/>
      <c r="EF489" s="419"/>
      <c r="EG489" s="421"/>
      <c r="EH489" s="424">
        <f t="shared" si="201"/>
        <v>0</v>
      </c>
      <c r="EI489" s="424">
        <f t="shared" si="202"/>
        <v>0</v>
      </c>
      <c r="EJ489" s="422">
        <f t="shared" si="203"/>
        <v>0</v>
      </c>
      <c r="EK489" s="425">
        <f t="shared" si="204"/>
        <v>0</v>
      </c>
      <c r="EL489" s="425">
        <f t="shared" si="205"/>
        <v>0</v>
      </c>
      <c r="EM489" s="423">
        <f t="shared" si="206"/>
        <v>0</v>
      </c>
      <c r="EN489" s="424">
        <f t="shared" si="207"/>
        <v>0</v>
      </c>
      <c r="EO489" s="425">
        <f t="shared" si="208"/>
        <v>0</v>
      </c>
      <c r="EP489" s="419"/>
      <c r="EQ489" s="421"/>
      <c r="ER489" s="419"/>
      <c r="ES489" s="421"/>
      <c r="ET489" s="419"/>
      <c r="EU489" s="421"/>
      <c r="EV489" s="419"/>
      <c r="EW489" s="421"/>
      <c r="EX489" s="419"/>
      <c r="EY489" s="421"/>
      <c r="EZ489" s="419"/>
      <c r="FA489" s="421"/>
      <c r="FB489" s="419"/>
      <c r="FC489" s="421"/>
      <c r="FD489" s="419"/>
      <c r="FE489" s="421"/>
      <c r="FF489" s="419"/>
      <c r="FG489" s="421"/>
      <c r="FH489" s="419"/>
      <c r="FI489" s="421"/>
      <c r="FJ489" s="424">
        <f t="shared" si="209"/>
        <v>0</v>
      </c>
      <c r="FK489" s="425">
        <f t="shared" si="210"/>
        <v>0</v>
      </c>
      <c r="FL489" s="419"/>
      <c r="FM489" s="421"/>
      <c r="FN489" s="424">
        <f t="shared" si="211"/>
        <v>1780</v>
      </c>
      <c r="FO489" s="425">
        <f t="shared" si="212"/>
        <v>1490</v>
      </c>
    </row>
    <row r="490" spans="1:171" customFormat="1" ht="15.75" customHeight="1">
      <c r="A490" s="17" t="s">
        <v>166</v>
      </c>
      <c r="B490" s="46" t="s">
        <v>1013</v>
      </c>
      <c r="C490" s="15"/>
      <c r="D490" s="44">
        <v>420398</v>
      </c>
      <c r="E490" s="125">
        <v>8</v>
      </c>
      <c r="F490" s="419">
        <v>137</v>
      </c>
      <c r="G490" s="532">
        <v>160</v>
      </c>
      <c r="H490" s="419"/>
      <c r="I490" s="421"/>
      <c r="J490" s="419">
        <v>2881</v>
      </c>
      <c r="K490" s="532">
        <v>3079</v>
      </c>
      <c r="L490" s="422">
        <f t="shared" si="191"/>
        <v>0</v>
      </c>
      <c r="M490" s="423">
        <f t="shared" si="192"/>
        <v>0</v>
      </c>
      <c r="N490" s="419"/>
      <c r="O490" s="525">
        <f>0</f>
        <v>0</v>
      </c>
      <c r="P490" s="525">
        <f>0</f>
        <v>0</v>
      </c>
      <c r="Q490" s="525">
        <f>0</f>
        <v>0</v>
      </c>
      <c r="R490" s="424">
        <f t="shared" si="189"/>
        <v>0</v>
      </c>
      <c r="S490" s="421"/>
      <c r="T490" s="526">
        <f>0</f>
        <v>0</v>
      </c>
      <c r="U490" s="526">
        <f>0</f>
        <v>0</v>
      </c>
      <c r="V490" s="526">
        <f>0</f>
        <v>0</v>
      </c>
      <c r="W490" s="425">
        <f t="shared" si="190"/>
        <v>0</v>
      </c>
      <c r="X490" s="419"/>
      <c r="Y490" s="419"/>
      <c r="Z490" s="421"/>
      <c r="AA490" s="421"/>
      <c r="AB490" s="419"/>
      <c r="AC490" s="419"/>
      <c r="AD490" s="421"/>
      <c r="AE490" s="421"/>
      <c r="AF490" s="419"/>
      <c r="AG490" s="419"/>
      <c r="AH490" s="421"/>
      <c r="AI490" s="421"/>
      <c r="AJ490" s="419"/>
      <c r="AK490" s="419"/>
      <c r="AL490" s="421"/>
      <c r="AM490" s="421"/>
      <c r="AN490" s="419"/>
      <c r="AO490" s="419"/>
      <c r="AP490" s="421"/>
      <c r="AQ490" s="421"/>
      <c r="AR490" s="424">
        <f t="shared" si="193"/>
        <v>0</v>
      </c>
      <c r="AS490" s="422">
        <f t="shared" si="194"/>
        <v>0</v>
      </c>
      <c r="AT490" s="425">
        <f t="shared" si="195"/>
        <v>0</v>
      </c>
      <c r="AU490" s="423">
        <f t="shared" si="196"/>
        <v>0</v>
      </c>
      <c r="AV490" s="419"/>
      <c r="AW490" s="421"/>
      <c r="AX490" s="419"/>
      <c r="AY490" s="419"/>
      <c r="AZ490" s="421"/>
      <c r="BA490" s="421"/>
      <c r="BB490" s="419"/>
      <c r="BC490" s="419"/>
      <c r="BD490" s="421"/>
      <c r="BE490" s="421"/>
      <c r="BF490" s="419"/>
      <c r="BG490" s="419"/>
      <c r="BH490" s="421"/>
      <c r="BI490" s="421"/>
      <c r="BJ490" s="419"/>
      <c r="BK490" s="419"/>
      <c r="BL490" s="421"/>
      <c r="BM490" s="421"/>
      <c r="BN490" s="419"/>
      <c r="BO490" s="419"/>
      <c r="BP490" s="421"/>
      <c r="BQ490" s="421"/>
      <c r="BR490" s="419"/>
      <c r="BS490" s="419"/>
      <c r="BT490" s="421"/>
      <c r="BU490" s="421"/>
      <c r="BV490" s="419"/>
      <c r="BW490" s="419"/>
      <c r="BX490" s="421"/>
      <c r="BY490" s="421"/>
      <c r="BZ490" s="419"/>
      <c r="CA490" s="419"/>
      <c r="CB490" s="421"/>
      <c r="CC490" s="421"/>
      <c r="CD490" s="419"/>
      <c r="CE490" s="419"/>
      <c r="CF490" s="421"/>
      <c r="CG490" s="421"/>
      <c r="CH490" s="419"/>
      <c r="CI490" s="419"/>
      <c r="CJ490" s="421"/>
      <c r="CK490" s="421"/>
      <c r="CL490" s="419"/>
      <c r="CM490" s="421"/>
      <c r="CN490" s="424">
        <f t="shared" si="197"/>
        <v>0</v>
      </c>
      <c r="CO490" s="424">
        <f t="shared" si="198"/>
        <v>0</v>
      </c>
      <c r="CP490" s="425">
        <f t="shared" si="199"/>
        <v>0</v>
      </c>
      <c r="CQ490" s="425">
        <f t="shared" si="200"/>
        <v>0</v>
      </c>
      <c r="CR490" s="419"/>
      <c r="CS490" s="419"/>
      <c r="CT490" s="421"/>
      <c r="CU490" s="421"/>
      <c r="CV490" s="419"/>
      <c r="CW490" s="419"/>
      <c r="CX490" s="421"/>
      <c r="CY490" s="421"/>
      <c r="CZ490" s="419"/>
      <c r="DA490" s="419"/>
      <c r="DB490" s="421"/>
      <c r="DC490" s="421"/>
      <c r="DD490" s="419"/>
      <c r="DE490" s="419"/>
      <c r="DF490" s="421"/>
      <c r="DG490" s="421"/>
      <c r="DH490" s="419"/>
      <c r="DI490" s="419"/>
      <c r="DJ490" s="421"/>
      <c r="DK490" s="421"/>
      <c r="DL490" s="419"/>
      <c r="DM490" s="419"/>
      <c r="DN490" s="421"/>
      <c r="DO490" s="421"/>
      <c r="DP490" s="419"/>
      <c r="DQ490" s="419"/>
      <c r="DR490" s="421"/>
      <c r="DS490" s="421"/>
      <c r="DT490" s="419"/>
      <c r="DU490" s="419"/>
      <c r="DV490" s="421"/>
      <c r="DW490" s="421"/>
      <c r="DX490" s="419"/>
      <c r="DY490" s="419"/>
      <c r="DZ490" s="421"/>
      <c r="EA490" s="421"/>
      <c r="EB490" s="419"/>
      <c r="EC490" s="419"/>
      <c r="ED490" s="421"/>
      <c r="EE490" s="421"/>
      <c r="EF490" s="419"/>
      <c r="EG490" s="421"/>
      <c r="EH490" s="424">
        <f t="shared" si="201"/>
        <v>0</v>
      </c>
      <c r="EI490" s="424">
        <f t="shared" si="202"/>
        <v>0</v>
      </c>
      <c r="EJ490" s="422">
        <f t="shared" si="203"/>
        <v>0</v>
      </c>
      <c r="EK490" s="425">
        <f t="shared" si="204"/>
        <v>0</v>
      </c>
      <c r="EL490" s="425">
        <f t="shared" si="205"/>
        <v>0</v>
      </c>
      <c r="EM490" s="423">
        <f t="shared" si="206"/>
        <v>0</v>
      </c>
      <c r="EN490" s="424">
        <f t="shared" si="207"/>
        <v>0</v>
      </c>
      <c r="EO490" s="425">
        <f t="shared" si="208"/>
        <v>0</v>
      </c>
      <c r="EP490" s="419"/>
      <c r="EQ490" s="421"/>
      <c r="ER490" s="419"/>
      <c r="ES490" s="421"/>
      <c r="ET490" s="419"/>
      <c r="EU490" s="421"/>
      <c r="EV490" s="419"/>
      <c r="EW490" s="421"/>
      <c r="EX490" s="419"/>
      <c r="EY490" s="421"/>
      <c r="EZ490" s="419"/>
      <c r="FA490" s="421"/>
      <c r="FB490" s="419"/>
      <c r="FC490" s="421"/>
      <c r="FD490" s="419"/>
      <c r="FE490" s="421"/>
      <c r="FF490" s="419"/>
      <c r="FG490" s="421"/>
      <c r="FH490" s="419"/>
      <c r="FI490" s="421"/>
      <c r="FJ490" s="424">
        <f t="shared" si="209"/>
        <v>0</v>
      </c>
      <c r="FK490" s="425">
        <f t="shared" si="210"/>
        <v>0</v>
      </c>
      <c r="FL490" s="419"/>
      <c r="FM490" s="421"/>
      <c r="FN490" s="424">
        <f t="shared" si="211"/>
        <v>3018</v>
      </c>
      <c r="FO490" s="425">
        <f t="shared" si="212"/>
        <v>3239</v>
      </c>
    </row>
    <row r="491" spans="1:171" customFormat="1" ht="15.75" customHeight="1">
      <c r="A491" s="457" t="s">
        <v>166</v>
      </c>
      <c r="B491" s="46" t="s">
        <v>1014</v>
      </c>
      <c r="C491" s="15"/>
      <c r="D491" s="44">
        <v>246354</v>
      </c>
      <c r="E491" s="125">
        <v>8</v>
      </c>
      <c r="F491" s="419">
        <v>365</v>
      </c>
      <c r="G491" s="532">
        <v>350</v>
      </c>
      <c r="H491" s="419"/>
      <c r="I491" s="421"/>
      <c r="J491" s="419">
        <v>1475</v>
      </c>
      <c r="K491" s="532">
        <v>1560</v>
      </c>
      <c r="L491" s="422">
        <f t="shared" si="191"/>
        <v>0</v>
      </c>
      <c r="M491" s="423">
        <f t="shared" si="192"/>
        <v>0</v>
      </c>
      <c r="N491" s="419"/>
      <c r="O491" s="525">
        <f>0</f>
        <v>0</v>
      </c>
      <c r="P491" s="525">
        <f>0</f>
        <v>0</v>
      </c>
      <c r="Q491" s="525">
        <f>0</f>
        <v>0</v>
      </c>
      <c r="R491" s="424">
        <f t="shared" si="189"/>
        <v>0</v>
      </c>
      <c r="S491" s="421"/>
      <c r="T491" s="526">
        <f>0</f>
        <v>0</v>
      </c>
      <c r="U491" s="526">
        <f>0</f>
        <v>0</v>
      </c>
      <c r="V491" s="526">
        <f>0</f>
        <v>0</v>
      </c>
      <c r="W491" s="425">
        <f t="shared" si="190"/>
        <v>0</v>
      </c>
      <c r="X491" s="419"/>
      <c r="Y491" s="419"/>
      <c r="Z491" s="421"/>
      <c r="AA491" s="421"/>
      <c r="AB491" s="419"/>
      <c r="AC491" s="419"/>
      <c r="AD491" s="421"/>
      <c r="AE491" s="421"/>
      <c r="AF491" s="419"/>
      <c r="AG491" s="419"/>
      <c r="AH491" s="421"/>
      <c r="AI491" s="421"/>
      <c r="AJ491" s="419"/>
      <c r="AK491" s="419"/>
      <c r="AL491" s="421"/>
      <c r="AM491" s="421"/>
      <c r="AN491" s="419"/>
      <c r="AO491" s="419"/>
      <c r="AP491" s="421"/>
      <c r="AQ491" s="421"/>
      <c r="AR491" s="424">
        <f t="shared" si="193"/>
        <v>0</v>
      </c>
      <c r="AS491" s="422">
        <f t="shared" si="194"/>
        <v>0</v>
      </c>
      <c r="AT491" s="425">
        <f t="shared" si="195"/>
        <v>0</v>
      </c>
      <c r="AU491" s="423">
        <f t="shared" si="196"/>
        <v>0</v>
      </c>
      <c r="AV491" s="419"/>
      <c r="AW491" s="421"/>
      <c r="AX491" s="419"/>
      <c r="AY491" s="419"/>
      <c r="AZ491" s="421"/>
      <c r="BA491" s="421"/>
      <c r="BB491" s="419"/>
      <c r="BC491" s="419"/>
      <c r="BD491" s="421"/>
      <c r="BE491" s="421"/>
      <c r="BF491" s="419"/>
      <c r="BG491" s="419"/>
      <c r="BH491" s="421"/>
      <c r="BI491" s="421"/>
      <c r="BJ491" s="419"/>
      <c r="BK491" s="419"/>
      <c r="BL491" s="421"/>
      <c r="BM491" s="421"/>
      <c r="BN491" s="419"/>
      <c r="BO491" s="419"/>
      <c r="BP491" s="421"/>
      <c r="BQ491" s="421"/>
      <c r="BR491" s="419"/>
      <c r="BS491" s="419"/>
      <c r="BT491" s="421"/>
      <c r="BU491" s="421"/>
      <c r="BV491" s="419"/>
      <c r="BW491" s="419"/>
      <c r="BX491" s="421"/>
      <c r="BY491" s="421"/>
      <c r="BZ491" s="419"/>
      <c r="CA491" s="419"/>
      <c r="CB491" s="421"/>
      <c r="CC491" s="421"/>
      <c r="CD491" s="419"/>
      <c r="CE491" s="419"/>
      <c r="CF491" s="421"/>
      <c r="CG491" s="421"/>
      <c r="CH491" s="419"/>
      <c r="CI491" s="419"/>
      <c r="CJ491" s="421"/>
      <c r="CK491" s="421"/>
      <c r="CL491" s="419"/>
      <c r="CM491" s="421"/>
      <c r="CN491" s="424">
        <f t="shared" si="197"/>
        <v>0</v>
      </c>
      <c r="CO491" s="424">
        <f t="shared" si="198"/>
        <v>0</v>
      </c>
      <c r="CP491" s="425">
        <f t="shared" si="199"/>
        <v>0</v>
      </c>
      <c r="CQ491" s="425">
        <f t="shared" si="200"/>
        <v>0</v>
      </c>
      <c r="CR491" s="419"/>
      <c r="CS491" s="419"/>
      <c r="CT491" s="421"/>
      <c r="CU491" s="421"/>
      <c r="CV491" s="419"/>
      <c r="CW491" s="419"/>
      <c r="CX491" s="421"/>
      <c r="CY491" s="421"/>
      <c r="CZ491" s="419"/>
      <c r="DA491" s="419"/>
      <c r="DB491" s="421"/>
      <c r="DC491" s="421"/>
      <c r="DD491" s="419"/>
      <c r="DE491" s="419"/>
      <c r="DF491" s="421"/>
      <c r="DG491" s="421"/>
      <c r="DH491" s="419"/>
      <c r="DI491" s="419"/>
      <c r="DJ491" s="421"/>
      <c r="DK491" s="421"/>
      <c r="DL491" s="419"/>
      <c r="DM491" s="419"/>
      <c r="DN491" s="421"/>
      <c r="DO491" s="421"/>
      <c r="DP491" s="419"/>
      <c r="DQ491" s="419"/>
      <c r="DR491" s="421"/>
      <c r="DS491" s="421"/>
      <c r="DT491" s="419"/>
      <c r="DU491" s="419"/>
      <c r="DV491" s="421"/>
      <c r="DW491" s="421"/>
      <c r="DX491" s="419"/>
      <c r="DY491" s="419"/>
      <c r="DZ491" s="421"/>
      <c r="EA491" s="421"/>
      <c r="EB491" s="419"/>
      <c r="EC491" s="419"/>
      <c r="ED491" s="421"/>
      <c r="EE491" s="421"/>
      <c r="EF491" s="419"/>
      <c r="EG491" s="421"/>
      <c r="EH491" s="424">
        <f t="shared" si="201"/>
        <v>0</v>
      </c>
      <c r="EI491" s="424">
        <f t="shared" si="202"/>
        <v>0</v>
      </c>
      <c r="EJ491" s="422">
        <f t="shared" si="203"/>
        <v>0</v>
      </c>
      <c r="EK491" s="425">
        <f t="shared" si="204"/>
        <v>0</v>
      </c>
      <c r="EL491" s="425">
        <f t="shared" si="205"/>
        <v>0</v>
      </c>
      <c r="EM491" s="423">
        <f t="shared" si="206"/>
        <v>0</v>
      </c>
      <c r="EN491" s="424">
        <f t="shared" si="207"/>
        <v>0</v>
      </c>
      <c r="EO491" s="425">
        <f t="shared" si="208"/>
        <v>0</v>
      </c>
      <c r="EP491" s="419"/>
      <c r="EQ491" s="421"/>
      <c r="ER491" s="419"/>
      <c r="ES491" s="421"/>
      <c r="ET491" s="419"/>
      <c r="EU491" s="421"/>
      <c r="EV491" s="419"/>
      <c r="EW491" s="421"/>
      <c r="EX491" s="419"/>
      <c r="EY491" s="421"/>
      <c r="EZ491" s="419"/>
      <c r="FA491" s="421"/>
      <c r="FB491" s="419"/>
      <c r="FC491" s="421"/>
      <c r="FD491" s="419"/>
      <c r="FE491" s="421"/>
      <c r="FF491" s="419"/>
      <c r="FG491" s="421"/>
      <c r="FH491" s="419"/>
      <c r="FI491" s="421"/>
      <c r="FJ491" s="424">
        <f t="shared" si="209"/>
        <v>0</v>
      </c>
      <c r="FK491" s="425">
        <f t="shared" si="210"/>
        <v>0</v>
      </c>
      <c r="FL491" s="419"/>
      <c r="FM491" s="421"/>
      <c r="FN491" s="424">
        <f t="shared" si="211"/>
        <v>1840</v>
      </c>
      <c r="FO491" s="425">
        <f t="shared" si="212"/>
        <v>1910</v>
      </c>
    </row>
    <row r="492" spans="1:171" customFormat="1" ht="15.75" customHeight="1">
      <c r="A492" s="457" t="s">
        <v>166</v>
      </c>
      <c r="B492" s="46" t="s">
        <v>1015</v>
      </c>
      <c r="C492" s="15"/>
      <c r="D492" s="44">
        <v>227766</v>
      </c>
      <c r="E492" s="125">
        <v>8</v>
      </c>
      <c r="F492" s="419">
        <v>430</v>
      </c>
      <c r="G492" s="532">
        <v>401</v>
      </c>
      <c r="H492" s="419"/>
      <c r="I492" s="421"/>
      <c r="J492" s="419">
        <v>2127</v>
      </c>
      <c r="K492" s="532">
        <v>2086</v>
      </c>
      <c r="L492" s="422">
        <f t="shared" si="191"/>
        <v>0</v>
      </c>
      <c r="M492" s="423">
        <f t="shared" si="192"/>
        <v>0</v>
      </c>
      <c r="N492" s="419"/>
      <c r="O492" s="525">
        <f>0</f>
        <v>0</v>
      </c>
      <c r="P492" s="525">
        <f>0</f>
        <v>0</v>
      </c>
      <c r="Q492" s="525">
        <f>0</f>
        <v>0</v>
      </c>
      <c r="R492" s="424">
        <f t="shared" si="189"/>
        <v>0</v>
      </c>
      <c r="S492" s="421"/>
      <c r="T492" s="526">
        <f>0</f>
        <v>0</v>
      </c>
      <c r="U492" s="526">
        <f>0</f>
        <v>0</v>
      </c>
      <c r="V492" s="526">
        <f>0</f>
        <v>0</v>
      </c>
      <c r="W492" s="425">
        <f t="shared" si="190"/>
        <v>0</v>
      </c>
      <c r="X492" s="419"/>
      <c r="Y492" s="419"/>
      <c r="Z492" s="421"/>
      <c r="AA492" s="421"/>
      <c r="AB492" s="419"/>
      <c r="AC492" s="419"/>
      <c r="AD492" s="421"/>
      <c r="AE492" s="421"/>
      <c r="AF492" s="419"/>
      <c r="AG492" s="419"/>
      <c r="AH492" s="421"/>
      <c r="AI492" s="421"/>
      <c r="AJ492" s="419"/>
      <c r="AK492" s="419"/>
      <c r="AL492" s="421"/>
      <c r="AM492" s="421"/>
      <c r="AN492" s="419"/>
      <c r="AO492" s="419"/>
      <c r="AP492" s="421"/>
      <c r="AQ492" s="421"/>
      <c r="AR492" s="424">
        <f t="shared" si="193"/>
        <v>0</v>
      </c>
      <c r="AS492" s="422">
        <f t="shared" si="194"/>
        <v>0</v>
      </c>
      <c r="AT492" s="425">
        <f t="shared" si="195"/>
        <v>0</v>
      </c>
      <c r="AU492" s="423">
        <f t="shared" si="196"/>
        <v>0</v>
      </c>
      <c r="AV492" s="419"/>
      <c r="AW492" s="421"/>
      <c r="AX492" s="419"/>
      <c r="AY492" s="419"/>
      <c r="AZ492" s="421"/>
      <c r="BA492" s="421"/>
      <c r="BB492" s="419"/>
      <c r="BC492" s="419"/>
      <c r="BD492" s="421"/>
      <c r="BE492" s="421"/>
      <c r="BF492" s="419"/>
      <c r="BG492" s="419"/>
      <c r="BH492" s="421"/>
      <c r="BI492" s="421"/>
      <c r="BJ492" s="419"/>
      <c r="BK492" s="419"/>
      <c r="BL492" s="421"/>
      <c r="BM492" s="421"/>
      <c r="BN492" s="419"/>
      <c r="BO492" s="419"/>
      <c r="BP492" s="421"/>
      <c r="BQ492" s="421"/>
      <c r="BR492" s="419"/>
      <c r="BS492" s="419"/>
      <c r="BT492" s="421"/>
      <c r="BU492" s="421"/>
      <c r="BV492" s="419"/>
      <c r="BW492" s="419"/>
      <c r="BX492" s="421"/>
      <c r="BY492" s="421"/>
      <c r="BZ492" s="419"/>
      <c r="CA492" s="419"/>
      <c r="CB492" s="421"/>
      <c r="CC492" s="421"/>
      <c r="CD492" s="419"/>
      <c r="CE492" s="419"/>
      <c r="CF492" s="421"/>
      <c r="CG492" s="421"/>
      <c r="CH492" s="419"/>
      <c r="CI492" s="419"/>
      <c r="CJ492" s="421"/>
      <c r="CK492" s="421"/>
      <c r="CL492" s="419"/>
      <c r="CM492" s="421"/>
      <c r="CN492" s="424">
        <f t="shared" si="197"/>
        <v>0</v>
      </c>
      <c r="CO492" s="424">
        <f t="shared" si="198"/>
        <v>0</v>
      </c>
      <c r="CP492" s="425">
        <f t="shared" si="199"/>
        <v>0</v>
      </c>
      <c r="CQ492" s="425">
        <f t="shared" si="200"/>
        <v>0</v>
      </c>
      <c r="CR492" s="419"/>
      <c r="CS492" s="419"/>
      <c r="CT492" s="421"/>
      <c r="CU492" s="421"/>
      <c r="CV492" s="419"/>
      <c r="CW492" s="419"/>
      <c r="CX492" s="421"/>
      <c r="CY492" s="421"/>
      <c r="CZ492" s="419"/>
      <c r="DA492" s="419"/>
      <c r="DB492" s="421"/>
      <c r="DC492" s="421"/>
      <c r="DD492" s="419"/>
      <c r="DE492" s="419"/>
      <c r="DF492" s="421"/>
      <c r="DG492" s="421"/>
      <c r="DH492" s="419"/>
      <c r="DI492" s="419"/>
      <c r="DJ492" s="421"/>
      <c r="DK492" s="421"/>
      <c r="DL492" s="419"/>
      <c r="DM492" s="419"/>
      <c r="DN492" s="421"/>
      <c r="DO492" s="421"/>
      <c r="DP492" s="419"/>
      <c r="DQ492" s="419"/>
      <c r="DR492" s="421"/>
      <c r="DS492" s="421"/>
      <c r="DT492" s="419"/>
      <c r="DU492" s="419"/>
      <c r="DV492" s="421"/>
      <c r="DW492" s="421"/>
      <c r="DX492" s="419"/>
      <c r="DY492" s="419"/>
      <c r="DZ492" s="421"/>
      <c r="EA492" s="421"/>
      <c r="EB492" s="419"/>
      <c r="EC492" s="419"/>
      <c r="ED492" s="421"/>
      <c r="EE492" s="421"/>
      <c r="EF492" s="419"/>
      <c r="EG492" s="421"/>
      <c r="EH492" s="424">
        <f t="shared" si="201"/>
        <v>0</v>
      </c>
      <c r="EI492" s="424">
        <f t="shared" si="202"/>
        <v>0</v>
      </c>
      <c r="EJ492" s="422">
        <f t="shared" si="203"/>
        <v>0</v>
      </c>
      <c r="EK492" s="425">
        <f t="shared" si="204"/>
        <v>0</v>
      </c>
      <c r="EL492" s="425">
        <f t="shared" si="205"/>
        <v>0</v>
      </c>
      <c r="EM492" s="423">
        <f t="shared" si="206"/>
        <v>0</v>
      </c>
      <c r="EN492" s="424">
        <f t="shared" si="207"/>
        <v>0</v>
      </c>
      <c r="EO492" s="425">
        <f t="shared" si="208"/>
        <v>0</v>
      </c>
      <c r="EP492" s="419"/>
      <c r="EQ492" s="421"/>
      <c r="ER492" s="419"/>
      <c r="ES492" s="421"/>
      <c r="ET492" s="419"/>
      <c r="EU492" s="421"/>
      <c r="EV492" s="419"/>
      <c r="EW492" s="421"/>
      <c r="EX492" s="419"/>
      <c r="EY492" s="421"/>
      <c r="EZ492" s="419"/>
      <c r="FA492" s="421"/>
      <c r="FB492" s="419"/>
      <c r="FC492" s="421"/>
      <c r="FD492" s="419"/>
      <c r="FE492" s="421"/>
      <c r="FF492" s="419"/>
      <c r="FG492" s="421"/>
      <c r="FH492" s="419"/>
      <c r="FI492" s="421"/>
      <c r="FJ492" s="424">
        <f t="shared" si="209"/>
        <v>0</v>
      </c>
      <c r="FK492" s="425">
        <f t="shared" si="210"/>
        <v>0</v>
      </c>
      <c r="FL492" s="419"/>
      <c r="FM492" s="421"/>
      <c r="FN492" s="424">
        <f t="shared" si="211"/>
        <v>2557</v>
      </c>
      <c r="FO492" s="425">
        <f t="shared" si="212"/>
        <v>2487</v>
      </c>
    </row>
    <row r="493" spans="1:171" customFormat="1" ht="15.75" customHeight="1">
      <c r="A493" s="457" t="s">
        <v>166</v>
      </c>
      <c r="B493" s="46" t="s">
        <v>1016</v>
      </c>
      <c r="C493" s="15"/>
      <c r="D493" s="44">
        <v>227924</v>
      </c>
      <c r="E493" s="125">
        <v>8</v>
      </c>
      <c r="F493" s="419">
        <v>984</v>
      </c>
      <c r="G493" s="531">
        <v>506</v>
      </c>
      <c r="H493" s="419"/>
      <c r="I493" s="421"/>
      <c r="J493" s="419">
        <v>3218</v>
      </c>
      <c r="K493" s="532">
        <v>3220</v>
      </c>
      <c r="L493" s="422">
        <f t="shared" si="191"/>
        <v>0</v>
      </c>
      <c r="M493" s="423">
        <f t="shared" si="192"/>
        <v>0</v>
      </c>
      <c r="N493" s="419"/>
      <c r="O493" s="525">
        <f>0</f>
        <v>0</v>
      </c>
      <c r="P493" s="525">
        <f>0</f>
        <v>0</v>
      </c>
      <c r="Q493" s="525">
        <f>0</f>
        <v>0</v>
      </c>
      <c r="R493" s="424">
        <f t="shared" si="189"/>
        <v>0</v>
      </c>
      <c r="S493" s="421"/>
      <c r="T493" s="526">
        <f>0</f>
        <v>0</v>
      </c>
      <c r="U493" s="526">
        <f>0</f>
        <v>0</v>
      </c>
      <c r="V493" s="526">
        <f>0</f>
        <v>0</v>
      </c>
      <c r="W493" s="425">
        <f t="shared" si="190"/>
        <v>0</v>
      </c>
      <c r="X493" s="419"/>
      <c r="Y493" s="419"/>
      <c r="Z493" s="421"/>
      <c r="AA493" s="421"/>
      <c r="AB493" s="419"/>
      <c r="AC493" s="419"/>
      <c r="AD493" s="421"/>
      <c r="AE493" s="421"/>
      <c r="AF493" s="419"/>
      <c r="AG493" s="419"/>
      <c r="AH493" s="421"/>
      <c r="AI493" s="421"/>
      <c r="AJ493" s="419"/>
      <c r="AK493" s="419"/>
      <c r="AL493" s="421"/>
      <c r="AM493" s="421"/>
      <c r="AN493" s="419"/>
      <c r="AO493" s="419"/>
      <c r="AP493" s="421"/>
      <c r="AQ493" s="421"/>
      <c r="AR493" s="424">
        <f t="shared" si="193"/>
        <v>0</v>
      </c>
      <c r="AS493" s="422">
        <f t="shared" si="194"/>
        <v>0</v>
      </c>
      <c r="AT493" s="425">
        <f t="shared" si="195"/>
        <v>0</v>
      </c>
      <c r="AU493" s="423">
        <f t="shared" si="196"/>
        <v>0</v>
      </c>
      <c r="AV493" s="419"/>
      <c r="AW493" s="421"/>
      <c r="AX493" s="419"/>
      <c r="AY493" s="419"/>
      <c r="AZ493" s="421"/>
      <c r="BA493" s="421"/>
      <c r="BB493" s="419"/>
      <c r="BC493" s="419"/>
      <c r="BD493" s="421"/>
      <c r="BE493" s="421"/>
      <c r="BF493" s="419"/>
      <c r="BG493" s="419"/>
      <c r="BH493" s="421"/>
      <c r="BI493" s="421"/>
      <c r="BJ493" s="419"/>
      <c r="BK493" s="419"/>
      <c r="BL493" s="421"/>
      <c r="BM493" s="421"/>
      <c r="BN493" s="419"/>
      <c r="BO493" s="419"/>
      <c r="BP493" s="421"/>
      <c r="BQ493" s="421"/>
      <c r="BR493" s="419"/>
      <c r="BS493" s="419"/>
      <c r="BT493" s="421"/>
      <c r="BU493" s="421"/>
      <c r="BV493" s="419"/>
      <c r="BW493" s="419"/>
      <c r="BX493" s="421"/>
      <c r="BY493" s="421"/>
      <c r="BZ493" s="419"/>
      <c r="CA493" s="419"/>
      <c r="CB493" s="421"/>
      <c r="CC493" s="421"/>
      <c r="CD493" s="419"/>
      <c r="CE493" s="419"/>
      <c r="CF493" s="421"/>
      <c r="CG493" s="421"/>
      <c r="CH493" s="419"/>
      <c r="CI493" s="419"/>
      <c r="CJ493" s="421"/>
      <c r="CK493" s="421"/>
      <c r="CL493" s="419"/>
      <c r="CM493" s="421"/>
      <c r="CN493" s="424">
        <f t="shared" si="197"/>
        <v>0</v>
      </c>
      <c r="CO493" s="424">
        <f t="shared" si="198"/>
        <v>0</v>
      </c>
      <c r="CP493" s="425">
        <f t="shared" si="199"/>
        <v>0</v>
      </c>
      <c r="CQ493" s="425">
        <f t="shared" si="200"/>
        <v>0</v>
      </c>
      <c r="CR493" s="419"/>
      <c r="CS493" s="419"/>
      <c r="CT493" s="421"/>
      <c r="CU493" s="421"/>
      <c r="CV493" s="419"/>
      <c r="CW493" s="419"/>
      <c r="CX493" s="421"/>
      <c r="CY493" s="421"/>
      <c r="CZ493" s="419"/>
      <c r="DA493" s="419"/>
      <c r="DB493" s="421"/>
      <c r="DC493" s="421"/>
      <c r="DD493" s="419"/>
      <c r="DE493" s="419"/>
      <c r="DF493" s="421"/>
      <c r="DG493" s="421"/>
      <c r="DH493" s="419"/>
      <c r="DI493" s="419"/>
      <c r="DJ493" s="421"/>
      <c r="DK493" s="421"/>
      <c r="DL493" s="419"/>
      <c r="DM493" s="419"/>
      <c r="DN493" s="421"/>
      <c r="DO493" s="421"/>
      <c r="DP493" s="419"/>
      <c r="DQ493" s="419"/>
      <c r="DR493" s="421"/>
      <c r="DS493" s="421"/>
      <c r="DT493" s="419"/>
      <c r="DU493" s="419"/>
      <c r="DV493" s="421"/>
      <c r="DW493" s="421"/>
      <c r="DX493" s="419"/>
      <c r="DY493" s="419"/>
      <c r="DZ493" s="421"/>
      <c r="EA493" s="421"/>
      <c r="EB493" s="419"/>
      <c r="EC493" s="419"/>
      <c r="ED493" s="421"/>
      <c r="EE493" s="421"/>
      <c r="EF493" s="419"/>
      <c r="EG493" s="421"/>
      <c r="EH493" s="424">
        <f t="shared" si="201"/>
        <v>0</v>
      </c>
      <c r="EI493" s="424">
        <f t="shared" si="202"/>
        <v>0</v>
      </c>
      <c r="EJ493" s="422">
        <f t="shared" si="203"/>
        <v>0</v>
      </c>
      <c r="EK493" s="425">
        <f t="shared" si="204"/>
        <v>0</v>
      </c>
      <c r="EL493" s="425">
        <f t="shared" si="205"/>
        <v>0</v>
      </c>
      <c r="EM493" s="423">
        <f t="shared" si="206"/>
        <v>0</v>
      </c>
      <c r="EN493" s="424">
        <f t="shared" si="207"/>
        <v>0</v>
      </c>
      <c r="EO493" s="425">
        <f t="shared" si="208"/>
        <v>0</v>
      </c>
      <c r="EP493" s="419"/>
      <c r="EQ493" s="421"/>
      <c r="ER493" s="419"/>
      <c r="ES493" s="421"/>
      <c r="ET493" s="419"/>
      <c r="EU493" s="421"/>
      <c r="EV493" s="419"/>
      <c r="EW493" s="421"/>
      <c r="EX493" s="419"/>
      <c r="EY493" s="421"/>
      <c r="EZ493" s="419"/>
      <c r="FA493" s="421"/>
      <c r="FB493" s="419"/>
      <c r="FC493" s="421"/>
      <c r="FD493" s="419"/>
      <c r="FE493" s="421"/>
      <c r="FF493" s="419"/>
      <c r="FG493" s="421"/>
      <c r="FH493" s="419"/>
      <c r="FI493" s="421"/>
      <c r="FJ493" s="424">
        <f t="shared" si="209"/>
        <v>0</v>
      </c>
      <c r="FK493" s="425">
        <f t="shared" si="210"/>
        <v>0</v>
      </c>
      <c r="FL493" s="419"/>
      <c r="FM493" s="421"/>
      <c r="FN493" s="424">
        <f t="shared" si="211"/>
        <v>4202</v>
      </c>
      <c r="FO493" s="425">
        <f t="shared" si="212"/>
        <v>3726</v>
      </c>
    </row>
    <row r="494" spans="1:171" customFormat="1" ht="15.75" customHeight="1">
      <c r="A494" s="457" t="s">
        <v>166</v>
      </c>
      <c r="B494" s="46" t="s">
        <v>1017</v>
      </c>
      <c r="C494" s="15"/>
      <c r="D494" s="44">
        <v>227979</v>
      </c>
      <c r="E494" s="125">
        <v>8</v>
      </c>
      <c r="F494" s="419">
        <v>3089</v>
      </c>
      <c r="G494" s="531">
        <v>2431</v>
      </c>
      <c r="H494" s="419"/>
      <c r="I494" s="421"/>
      <c r="J494" s="419">
        <v>4607</v>
      </c>
      <c r="K494" s="532">
        <v>4740</v>
      </c>
      <c r="L494" s="422">
        <f t="shared" si="191"/>
        <v>0</v>
      </c>
      <c r="M494" s="423">
        <f t="shared" si="192"/>
        <v>0</v>
      </c>
      <c r="N494" s="419"/>
      <c r="O494" s="525">
        <f>0</f>
        <v>0</v>
      </c>
      <c r="P494" s="525">
        <f>0</f>
        <v>0</v>
      </c>
      <c r="Q494" s="525">
        <f>0</f>
        <v>0</v>
      </c>
      <c r="R494" s="424">
        <f t="shared" si="189"/>
        <v>0</v>
      </c>
      <c r="S494" s="421"/>
      <c r="T494" s="526">
        <f>0</f>
        <v>0</v>
      </c>
      <c r="U494" s="526">
        <f>0</f>
        <v>0</v>
      </c>
      <c r="V494" s="526">
        <f>0</f>
        <v>0</v>
      </c>
      <c r="W494" s="425">
        <f t="shared" si="190"/>
        <v>0</v>
      </c>
      <c r="X494" s="419"/>
      <c r="Y494" s="419"/>
      <c r="Z494" s="421"/>
      <c r="AA494" s="421"/>
      <c r="AB494" s="419"/>
      <c r="AC494" s="419"/>
      <c r="AD494" s="421"/>
      <c r="AE494" s="421"/>
      <c r="AF494" s="419"/>
      <c r="AG494" s="419"/>
      <c r="AH494" s="421"/>
      <c r="AI494" s="421"/>
      <c r="AJ494" s="419"/>
      <c r="AK494" s="419"/>
      <c r="AL494" s="421"/>
      <c r="AM494" s="421"/>
      <c r="AN494" s="419"/>
      <c r="AO494" s="419"/>
      <c r="AP494" s="421"/>
      <c r="AQ494" s="421"/>
      <c r="AR494" s="424">
        <f t="shared" si="193"/>
        <v>0</v>
      </c>
      <c r="AS494" s="422">
        <f t="shared" si="194"/>
        <v>0</v>
      </c>
      <c r="AT494" s="425">
        <f t="shared" si="195"/>
        <v>0</v>
      </c>
      <c r="AU494" s="423">
        <f t="shared" si="196"/>
        <v>0</v>
      </c>
      <c r="AV494" s="419"/>
      <c r="AW494" s="421"/>
      <c r="AX494" s="419"/>
      <c r="AY494" s="419"/>
      <c r="AZ494" s="421"/>
      <c r="BA494" s="421"/>
      <c r="BB494" s="419"/>
      <c r="BC494" s="419"/>
      <c r="BD494" s="421"/>
      <c r="BE494" s="421"/>
      <c r="BF494" s="419"/>
      <c r="BG494" s="419"/>
      <c r="BH494" s="421"/>
      <c r="BI494" s="421"/>
      <c r="BJ494" s="419"/>
      <c r="BK494" s="419"/>
      <c r="BL494" s="421"/>
      <c r="BM494" s="421"/>
      <c r="BN494" s="419"/>
      <c r="BO494" s="419"/>
      <c r="BP494" s="421"/>
      <c r="BQ494" s="421"/>
      <c r="BR494" s="419"/>
      <c r="BS494" s="419"/>
      <c r="BT494" s="421"/>
      <c r="BU494" s="421"/>
      <c r="BV494" s="419"/>
      <c r="BW494" s="419"/>
      <c r="BX494" s="421"/>
      <c r="BY494" s="421"/>
      <c r="BZ494" s="419"/>
      <c r="CA494" s="419"/>
      <c r="CB494" s="421"/>
      <c r="CC494" s="421"/>
      <c r="CD494" s="419"/>
      <c r="CE494" s="419"/>
      <c r="CF494" s="421"/>
      <c r="CG494" s="421"/>
      <c r="CH494" s="419"/>
      <c r="CI494" s="419"/>
      <c r="CJ494" s="421"/>
      <c r="CK494" s="421"/>
      <c r="CL494" s="419"/>
      <c r="CM494" s="421"/>
      <c r="CN494" s="424">
        <f t="shared" si="197"/>
        <v>0</v>
      </c>
      <c r="CO494" s="424">
        <f t="shared" si="198"/>
        <v>0</v>
      </c>
      <c r="CP494" s="425">
        <f t="shared" si="199"/>
        <v>0</v>
      </c>
      <c r="CQ494" s="425">
        <f t="shared" si="200"/>
        <v>0</v>
      </c>
      <c r="CR494" s="419"/>
      <c r="CS494" s="419"/>
      <c r="CT494" s="421"/>
      <c r="CU494" s="421"/>
      <c r="CV494" s="419"/>
      <c r="CW494" s="419"/>
      <c r="CX494" s="421"/>
      <c r="CY494" s="421"/>
      <c r="CZ494" s="419"/>
      <c r="DA494" s="419"/>
      <c r="DB494" s="421"/>
      <c r="DC494" s="421"/>
      <c r="DD494" s="419"/>
      <c r="DE494" s="419"/>
      <c r="DF494" s="421"/>
      <c r="DG494" s="421"/>
      <c r="DH494" s="419"/>
      <c r="DI494" s="419"/>
      <c r="DJ494" s="421"/>
      <c r="DK494" s="421"/>
      <c r="DL494" s="419"/>
      <c r="DM494" s="419"/>
      <c r="DN494" s="421"/>
      <c r="DO494" s="421"/>
      <c r="DP494" s="419"/>
      <c r="DQ494" s="419"/>
      <c r="DR494" s="421"/>
      <c r="DS494" s="421"/>
      <c r="DT494" s="419"/>
      <c r="DU494" s="419"/>
      <c r="DV494" s="421"/>
      <c r="DW494" s="421"/>
      <c r="DX494" s="419"/>
      <c r="DY494" s="419"/>
      <c r="DZ494" s="421"/>
      <c r="EA494" s="421"/>
      <c r="EB494" s="419"/>
      <c r="EC494" s="419"/>
      <c r="ED494" s="421"/>
      <c r="EE494" s="421"/>
      <c r="EF494" s="419"/>
      <c r="EG494" s="421"/>
      <c r="EH494" s="424">
        <f t="shared" si="201"/>
        <v>0</v>
      </c>
      <c r="EI494" s="424">
        <f t="shared" si="202"/>
        <v>0</v>
      </c>
      <c r="EJ494" s="422">
        <f t="shared" si="203"/>
        <v>0</v>
      </c>
      <c r="EK494" s="425">
        <f t="shared" si="204"/>
        <v>0</v>
      </c>
      <c r="EL494" s="425">
        <f t="shared" si="205"/>
        <v>0</v>
      </c>
      <c r="EM494" s="423">
        <f t="shared" si="206"/>
        <v>0</v>
      </c>
      <c r="EN494" s="424">
        <f t="shared" si="207"/>
        <v>0</v>
      </c>
      <c r="EO494" s="425">
        <f t="shared" si="208"/>
        <v>0</v>
      </c>
      <c r="EP494" s="419"/>
      <c r="EQ494" s="421"/>
      <c r="ER494" s="419"/>
      <c r="ES494" s="421"/>
      <c r="ET494" s="419"/>
      <c r="EU494" s="421"/>
      <c r="EV494" s="419"/>
      <c r="EW494" s="421"/>
      <c r="EX494" s="419"/>
      <c r="EY494" s="421"/>
      <c r="EZ494" s="419"/>
      <c r="FA494" s="421"/>
      <c r="FB494" s="419"/>
      <c r="FC494" s="421"/>
      <c r="FD494" s="419"/>
      <c r="FE494" s="421"/>
      <c r="FF494" s="419"/>
      <c r="FG494" s="421"/>
      <c r="FH494" s="419"/>
      <c r="FI494" s="421"/>
      <c r="FJ494" s="424">
        <f t="shared" si="209"/>
        <v>0</v>
      </c>
      <c r="FK494" s="425">
        <f t="shared" si="210"/>
        <v>0</v>
      </c>
      <c r="FL494" s="419"/>
      <c r="FM494" s="421"/>
      <c r="FN494" s="424">
        <f t="shared" si="211"/>
        <v>7696</v>
      </c>
      <c r="FO494" s="425">
        <f t="shared" si="212"/>
        <v>7171</v>
      </c>
    </row>
    <row r="495" spans="1:171" customFormat="1" ht="15.75" customHeight="1">
      <c r="A495" s="457" t="s">
        <v>166</v>
      </c>
      <c r="B495" s="46" t="s">
        <v>1018</v>
      </c>
      <c r="C495" s="15"/>
      <c r="D495" s="44">
        <v>228158</v>
      </c>
      <c r="E495" s="125">
        <v>8</v>
      </c>
      <c r="F495" s="419">
        <v>648</v>
      </c>
      <c r="G495" s="532">
        <v>647</v>
      </c>
      <c r="H495" s="419"/>
      <c r="I495" s="421"/>
      <c r="J495" s="419">
        <v>906</v>
      </c>
      <c r="K495" s="532">
        <v>994</v>
      </c>
      <c r="L495" s="422">
        <f t="shared" si="191"/>
        <v>0</v>
      </c>
      <c r="M495" s="423">
        <f t="shared" si="192"/>
        <v>0</v>
      </c>
      <c r="N495" s="419"/>
      <c r="O495" s="525">
        <f>0</f>
        <v>0</v>
      </c>
      <c r="P495" s="525">
        <f>0</f>
        <v>0</v>
      </c>
      <c r="Q495" s="525">
        <f>0</f>
        <v>0</v>
      </c>
      <c r="R495" s="424">
        <f t="shared" si="189"/>
        <v>0</v>
      </c>
      <c r="S495" s="421"/>
      <c r="T495" s="526">
        <f>0</f>
        <v>0</v>
      </c>
      <c r="U495" s="526">
        <f>0</f>
        <v>0</v>
      </c>
      <c r="V495" s="526">
        <f>0</f>
        <v>0</v>
      </c>
      <c r="W495" s="425">
        <f t="shared" si="190"/>
        <v>0</v>
      </c>
      <c r="X495" s="419"/>
      <c r="Y495" s="419"/>
      <c r="Z495" s="421"/>
      <c r="AA495" s="421"/>
      <c r="AB495" s="419"/>
      <c r="AC495" s="419"/>
      <c r="AD495" s="421"/>
      <c r="AE495" s="421"/>
      <c r="AF495" s="419"/>
      <c r="AG495" s="419"/>
      <c r="AH495" s="421"/>
      <c r="AI495" s="421"/>
      <c r="AJ495" s="419"/>
      <c r="AK495" s="419"/>
      <c r="AL495" s="421"/>
      <c r="AM495" s="421"/>
      <c r="AN495" s="419"/>
      <c r="AO495" s="419"/>
      <c r="AP495" s="421"/>
      <c r="AQ495" s="421"/>
      <c r="AR495" s="424">
        <f t="shared" si="193"/>
        <v>0</v>
      </c>
      <c r="AS495" s="422">
        <f t="shared" si="194"/>
        <v>0</v>
      </c>
      <c r="AT495" s="425">
        <f t="shared" si="195"/>
        <v>0</v>
      </c>
      <c r="AU495" s="423">
        <f t="shared" si="196"/>
        <v>0</v>
      </c>
      <c r="AV495" s="419"/>
      <c r="AW495" s="421"/>
      <c r="AX495" s="419"/>
      <c r="AY495" s="419"/>
      <c r="AZ495" s="421"/>
      <c r="BA495" s="421"/>
      <c r="BB495" s="419"/>
      <c r="BC495" s="419"/>
      <c r="BD495" s="421"/>
      <c r="BE495" s="421"/>
      <c r="BF495" s="419"/>
      <c r="BG495" s="419"/>
      <c r="BH495" s="421"/>
      <c r="BI495" s="421"/>
      <c r="BJ495" s="419"/>
      <c r="BK495" s="419"/>
      <c r="BL495" s="421"/>
      <c r="BM495" s="421"/>
      <c r="BN495" s="419"/>
      <c r="BO495" s="419"/>
      <c r="BP495" s="421"/>
      <c r="BQ495" s="421"/>
      <c r="BR495" s="419"/>
      <c r="BS495" s="419"/>
      <c r="BT495" s="421"/>
      <c r="BU495" s="421"/>
      <c r="BV495" s="419"/>
      <c r="BW495" s="419"/>
      <c r="BX495" s="421"/>
      <c r="BY495" s="421"/>
      <c r="BZ495" s="419"/>
      <c r="CA495" s="419"/>
      <c r="CB495" s="421"/>
      <c r="CC495" s="421"/>
      <c r="CD495" s="419"/>
      <c r="CE495" s="419"/>
      <c r="CF495" s="421"/>
      <c r="CG495" s="421"/>
      <c r="CH495" s="419"/>
      <c r="CI495" s="419"/>
      <c r="CJ495" s="421"/>
      <c r="CK495" s="421"/>
      <c r="CL495" s="419"/>
      <c r="CM495" s="421"/>
      <c r="CN495" s="424">
        <f t="shared" si="197"/>
        <v>0</v>
      </c>
      <c r="CO495" s="424">
        <f t="shared" si="198"/>
        <v>0</v>
      </c>
      <c r="CP495" s="425">
        <f t="shared" si="199"/>
        <v>0</v>
      </c>
      <c r="CQ495" s="425">
        <f t="shared" si="200"/>
        <v>0</v>
      </c>
      <c r="CR495" s="419"/>
      <c r="CS495" s="419"/>
      <c r="CT495" s="421"/>
      <c r="CU495" s="421"/>
      <c r="CV495" s="419"/>
      <c r="CW495" s="419"/>
      <c r="CX495" s="421"/>
      <c r="CY495" s="421"/>
      <c r="CZ495" s="419"/>
      <c r="DA495" s="419"/>
      <c r="DB495" s="421"/>
      <c r="DC495" s="421"/>
      <c r="DD495" s="419"/>
      <c r="DE495" s="419"/>
      <c r="DF495" s="421"/>
      <c r="DG495" s="421"/>
      <c r="DH495" s="419"/>
      <c r="DI495" s="419"/>
      <c r="DJ495" s="421"/>
      <c r="DK495" s="421"/>
      <c r="DL495" s="419"/>
      <c r="DM495" s="419"/>
      <c r="DN495" s="421"/>
      <c r="DO495" s="421"/>
      <c r="DP495" s="419"/>
      <c r="DQ495" s="419"/>
      <c r="DR495" s="421"/>
      <c r="DS495" s="421"/>
      <c r="DT495" s="419"/>
      <c r="DU495" s="419"/>
      <c r="DV495" s="421"/>
      <c r="DW495" s="421"/>
      <c r="DX495" s="419"/>
      <c r="DY495" s="419"/>
      <c r="DZ495" s="421"/>
      <c r="EA495" s="421"/>
      <c r="EB495" s="419"/>
      <c r="EC495" s="419"/>
      <c r="ED495" s="421"/>
      <c r="EE495" s="421"/>
      <c r="EF495" s="419"/>
      <c r="EG495" s="421"/>
      <c r="EH495" s="424">
        <f t="shared" si="201"/>
        <v>0</v>
      </c>
      <c r="EI495" s="424">
        <f t="shared" si="202"/>
        <v>0</v>
      </c>
      <c r="EJ495" s="422">
        <f t="shared" si="203"/>
        <v>0</v>
      </c>
      <c r="EK495" s="425">
        <f t="shared" si="204"/>
        <v>0</v>
      </c>
      <c r="EL495" s="425">
        <f t="shared" si="205"/>
        <v>0</v>
      </c>
      <c r="EM495" s="423">
        <f t="shared" si="206"/>
        <v>0</v>
      </c>
      <c r="EN495" s="424">
        <f t="shared" si="207"/>
        <v>0</v>
      </c>
      <c r="EO495" s="425">
        <f t="shared" si="208"/>
        <v>0</v>
      </c>
      <c r="EP495" s="419"/>
      <c r="EQ495" s="421"/>
      <c r="ER495" s="419"/>
      <c r="ES495" s="421"/>
      <c r="ET495" s="419"/>
      <c r="EU495" s="421"/>
      <c r="EV495" s="419"/>
      <c r="EW495" s="421"/>
      <c r="EX495" s="419"/>
      <c r="EY495" s="421"/>
      <c r="EZ495" s="419"/>
      <c r="FA495" s="421"/>
      <c r="FB495" s="419"/>
      <c r="FC495" s="421"/>
      <c r="FD495" s="419"/>
      <c r="FE495" s="421"/>
      <c r="FF495" s="419"/>
      <c r="FG495" s="421"/>
      <c r="FH495" s="419"/>
      <c r="FI495" s="421"/>
      <c r="FJ495" s="424">
        <f t="shared" si="209"/>
        <v>0</v>
      </c>
      <c r="FK495" s="425">
        <f t="shared" si="210"/>
        <v>0</v>
      </c>
      <c r="FL495" s="419"/>
      <c r="FM495" s="421"/>
      <c r="FN495" s="424">
        <f t="shared" si="211"/>
        <v>1554</v>
      </c>
      <c r="FO495" s="425">
        <f t="shared" si="212"/>
        <v>1641</v>
      </c>
    </row>
    <row r="496" spans="1:171" customFormat="1" ht="15.75" customHeight="1">
      <c r="A496" s="457" t="s">
        <v>166</v>
      </c>
      <c r="B496" s="46" t="s">
        <v>1019</v>
      </c>
      <c r="C496" s="15"/>
      <c r="D496" s="44">
        <v>227854</v>
      </c>
      <c r="E496" s="125">
        <v>8</v>
      </c>
      <c r="F496" s="419">
        <v>967</v>
      </c>
      <c r="G496" s="532">
        <v>939</v>
      </c>
      <c r="H496" s="419"/>
      <c r="I496" s="421"/>
      <c r="J496" s="419">
        <v>1252</v>
      </c>
      <c r="K496" s="532">
        <v>1160</v>
      </c>
      <c r="L496" s="422">
        <f t="shared" si="191"/>
        <v>0</v>
      </c>
      <c r="M496" s="423">
        <f t="shared" si="192"/>
        <v>0</v>
      </c>
      <c r="N496" s="419"/>
      <c r="O496" s="525">
        <f>0</f>
        <v>0</v>
      </c>
      <c r="P496" s="525">
        <f>0</f>
        <v>0</v>
      </c>
      <c r="Q496" s="525">
        <f>0</f>
        <v>0</v>
      </c>
      <c r="R496" s="424">
        <f t="shared" si="189"/>
        <v>0</v>
      </c>
      <c r="S496" s="421"/>
      <c r="T496" s="526">
        <f>0</f>
        <v>0</v>
      </c>
      <c r="U496" s="526">
        <f>0</f>
        <v>0</v>
      </c>
      <c r="V496" s="526">
        <f>0</f>
        <v>0</v>
      </c>
      <c r="W496" s="425">
        <f t="shared" si="190"/>
        <v>0</v>
      </c>
      <c r="X496" s="419"/>
      <c r="Y496" s="419"/>
      <c r="Z496" s="421"/>
      <c r="AA496" s="421"/>
      <c r="AB496" s="419"/>
      <c r="AC496" s="419"/>
      <c r="AD496" s="421"/>
      <c r="AE496" s="421"/>
      <c r="AF496" s="419"/>
      <c r="AG496" s="419"/>
      <c r="AH496" s="421"/>
      <c r="AI496" s="421"/>
      <c r="AJ496" s="419"/>
      <c r="AK496" s="419"/>
      <c r="AL496" s="421"/>
      <c r="AM496" s="421"/>
      <c r="AN496" s="419"/>
      <c r="AO496" s="419"/>
      <c r="AP496" s="421"/>
      <c r="AQ496" s="421"/>
      <c r="AR496" s="424">
        <f t="shared" si="193"/>
        <v>0</v>
      </c>
      <c r="AS496" s="422">
        <f t="shared" si="194"/>
        <v>0</v>
      </c>
      <c r="AT496" s="425">
        <f t="shared" si="195"/>
        <v>0</v>
      </c>
      <c r="AU496" s="423">
        <f t="shared" si="196"/>
        <v>0</v>
      </c>
      <c r="AV496" s="419"/>
      <c r="AW496" s="421"/>
      <c r="AX496" s="419"/>
      <c r="AY496" s="419"/>
      <c r="AZ496" s="421"/>
      <c r="BA496" s="421"/>
      <c r="BB496" s="419"/>
      <c r="BC496" s="419"/>
      <c r="BD496" s="421"/>
      <c r="BE496" s="421"/>
      <c r="BF496" s="419"/>
      <c r="BG496" s="419"/>
      <c r="BH496" s="421"/>
      <c r="BI496" s="421"/>
      <c r="BJ496" s="419"/>
      <c r="BK496" s="419"/>
      <c r="BL496" s="421"/>
      <c r="BM496" s="421"/>
      <c r="BN496" s="419"/>
      <c r="BO496" s="419"/>
      <c r="BP496" s="421"/>
      <c r="BQ496" s="421"/>
      <c r="BR496" s="419"/>
      <c r="BS496" s="419"/>
      <c r="BT496" s="421"/>
      <c r="BU496" s="421"/>
      <c r="BV496" s="419"/>
      <c r="BW496" s="419"/>
      <c r="BX496" s="421"/>
      <c r="BY496" s="421"/>
      <c r="BZ496" s="419"/>
      <c r="CA496" s="419"/>
      <c r="CB496" s="421"/>
      <c r="CC496" s="421"/>
      <c r="CD496" s="419"/>
      <c r="CE496" s="419"/>
      <c r="CF496" s="421"/>
      <c r="CG496" s="421"/>
      <c r="CH496" s="419"/>
      <c r="CI496" s="419"/>
      <c r="CJ496" s="421"/>
      <c r="CK496" s="421"/>
      <c r="CL496" s="419"/>
      <c r="CM496" s="421"/>
      <c r="CN496" s="424">
        <f t="shared" si="197"/>
        <v>0</v>
      </c>
      <c r="CO496" s="424">
        <f t="shared" si="198"/>
        <v>0</v>
      </c>
      <c r="CP496" s="425">
        <f t="shared" si="199"/>
        <v>0</v>
      </c>
      <c r="CQ496" s="425">
        <f t="shared" si="200"/>
        <v>0</v>
      </c>
      <c r="CR496" s="419"/>
      <c r="CS496" s="419"/>
      <c r="CT496" s="421"/>
      <c r="CU496" s="421"/>
      <c r="CV496" s="419"/>
      <c r="CW496" s="419"/>
      <c r="CX496" s="421"/>
      <c r="CY496" s="421"/>
      <c r="CZ496" s="419"/>
      <c r="DA496" s="419"/>
      <c r="DB496" s="421"/>
      <c r="DC496" s="421"/>
      <c r="DD496" s="419"/>
      <c r="DE496" s="419"/>
      <c r="DF496" s="421"/>
      <c r="DG496" s="421"/>
      <c r="DH496" s="419"/>
      <c r="DI496" s="419"/>
      <c r="DJ496" s="421"/>
      <c r="DK496" s="421"/>
      <c r="DL496" s="419"/>
      <c r="DM496" s="419"/>
      <c r="DN496" s="421"/>
      <c r="DO496" s="421"/>
      <c r="DP496" s="419"/>
      <c r="DQ496" s="419"/>
      <c r="DR496" s="421"/>
      <c r="DS496" s="421"/>
      <c r="DT496" s="419"/>
      <c r="DU496" s="419"/>
      <c r="DV496" s="421"/>
      <c r="DW496" s="421"/>
      <c r="DX496" s="419"/>
      <c r="DY496" s="419"/>
      <c r="DZ496" s="421"/>
      <c r="EA496" s="421"/>
      <c r="EB496" s="419"/>
      <c r="EC496" s="419"/>
      <c r="ED496" s="421"/>
      <c r="EE496" s="421"/>
      <c r="EF496" s="419"/>
      <c r="EG496" s="421"/>
      <c r="EH496" s="424">
        <f t="shared" si="201"/>
        <v>0</v>
      </c>
      <c r="EI496" s="424">
        <f t="shared" si="202"/>
        <v>0</v>
      </c>
      <c r="EJ496" s="422">
        <f t="shared" si="203"/>
        <v>0</v>
      </c>
      <c r="EK496" s="425">
        <f t="shared" si="204"/>
        <v>0</v>
      </c>
      <c r="EL496" s="425">
        <f t="shared" si="205"/>
        <v>0</v>
      </c>
      <c r="EM496" s="423">
        <f t="shared" si="206"/>
        <v>0</v>
      </c>
      <c r="EN496" s="424">
        <f t="shared" si="207"/>
        <v>0</v>
      </c>
      <c r="EO496" s="425">
        <f t="shared" si="208"/>
        <v>0</v>
      </c>
      <c r="EP496" s="419"/>
      <c r="EQ496" s="421"/>
      <c r="ER496" s="419"/>
      <c r="ES496" s="421"/>
      <c r="ET496" s="419"/>
      <c r="EU496" s="421"/>
      <c r="EV496" s="419"/>
      <c r="EW496" s="421"/>
      <c r="EX496" s="419"/>
      <c r="EY496" s="421"/>
      <c r="EZ496" s="419"/>
      <c r="FA496" s="421"/>
      <c r="FB496" s="419"/>
      <c r="FC496" s="421"/>
      <c r="FD496" s="419"/>
      <c r="FE496" s="421"/>
      <c r="FF496" s="419"/>
      <c r="FG496" s="421"/>
      <c r="FH496" s="419"/>
      <c r="FI496" s="421"/>
      <c r="FJ496" s="424">
        <f t="shared" si="209"/>
        <v>0</v>
      </c>
      <c r="FK496" s="425">
        <f t="shared" si="210"/>
        <v>0</v>
      </c>
      <c r="FL496" s="419"/>
      <c r="FM496" s="421"/>
      <c r="FN496" s="424">
        <f t="shared" si="211"/>
        <v>2219</v>
      </c>
      <c r="FO496" s="425">
        <f t="shared" si="212"/>
        <v>2099</v>
      </c>
    </row>
    <row r="497" spans="1:171" customFormat="1" ht="15.75" customHeight="1">
      <c r="A497" s="457" t="s">
        <v>166</v>
      </c>
      <c r="B497" s="46" t="s">
        <v>1020</v>
      </c>
      <c r="C497" s="15"/>
      <c r="D497" s="44">
        <v>228547</v>
      </c>
      <c r="E497" s="125">
        <v>8</v>
      </c>
      <c r="F497" s="419">
        <v>2343</v>
      </c>
      <c r="G497" s="531">
        <v>1658</v>
      </c>
      <c r="H497" s="419"/>
      <c r="I497" s="421"/>
      <c r="J497" s="419">
        <v>5915</v>
      </c>
      <c r="K497" s="532">
        <v>6119</v>
      </c>
      <c r="L497" s="422">
        <f t="shared" si="191"/>
        <v>0</v>
      </c>
      <c r="M497" s="423">
        <f t="shared" si="192"/>
        <v>0</v>
      </c>
      <c r="N497" s="419"/>
      <c r="O497" s="525">
        <f>0</f>
        <v>0</v>
      </c>
      <c r="P497" s="525">
        <f>0</f>
        <v>0</v>
      </c>
      <c r="Q497" s="525">
        <f>0</f>
        <v>0</v>
      </c>
      <c r="R497" s="424">
        <f t="shared" si="189"/>
        <v>0</v>
      </c>
      <c r="S497" s="421"/>
      <c r="T497" s="526">
        <f>0</f>
        <v>0</v>
      </c>
      <c r="U497" s="526">
        <f>0</f>
        <v>0</v>
      </c>
      <c r="V497" s="526">
        <f>0</f>
        <v>0</v>
      </c>
      <c r="W497" s="425">
        <f t="shared" si="190"/>
        <v>0</v>
      </c>
      <c r="X497" s="419"/>
      <c r="Y497" s="419"/>
      <c r="Z497" s="421"/>
      <c r="AA497" s="421"/>
      <c r="AB497" s="419"/>
      <c r="AC497" s="419"/>
      <c r="AD497" s="421"/>
      <c r="AE497" s="421"/>
      <c r="AF497" s="419"/>
      <c r="AG497" s="419"/>
      <c r="AH497" s="421"/>
      <c r="AI497" s="421"/>
      <c r="AJ497" s="419"/>
      <c r="AK497" s="419"/>
      <c r="AL497" s="421"/>
      <c r="AM497" s="421"/>
      <c r="AN497" s="419"/>
      <c r="AO497" s="419"/>
      <c r="AP497" s="421"/>
      <c r="AQ497" s="421"/>
      <c r="AR497" s="424">
        <f t="shared" si="193"/>
        <v>0</v>
      </c>
      <c r="AS497" s="422">
        <f t="shared" si="194"/>
        <v>0</v>
      </c>
      <c r="AT497" s="425">
        <f t="shared" si="195"/>
        <v>0</v>
      </c>
      <c r="AU497" s="423">
        <f t="shared" si="196"/>
        <v>0</v>
      </c>
      <c r="AV497" s="419"/>
      <c r="AW497" s="421"/>
      <c r="AX497" s="419"/>
      <c r="AY497" s="419"/>
      <c r="AZ497" s="421"/>
      <c r="BA497" s="421"/>
      <c r="BB497" s="419"/>
      <c r="BC497" s="419"/>
      <c r="BD497" s="421"/>
      <c r="BE497" s="421"/>
      <c r="BF497" s="419"/>
      <c r="BG497" s="419"/>
      <c r="BH497" s="421"/>
      <c r="BI497" s="421"/>
      <c r="BJ497" s="419"/>
      <c r="BK497" s="419"/>
      <c r="BL497" s="421"/>
      <c r="BM497" s="421"/>
      <c r="BN497" s="419"/>
      <c r="BO497" s="419"/>
      <c r="BP497" s="421"/>
      <c r="BQ497" s="421"/>
      <c r="BR497" s="419"/>
      <c r="BS497" s="419"/>
      <c r="BT497" s="421"/>
      <c r="BU497" s="421"/>
      <c r="BV497" s="419"/>
      <c r="BW497" s="419"/>
      <c r="BX497" s="421"/>
      <c r="BY497" s="421"/>
      <c r="BZ497" s="419"/>
      <c r="CA497" s="419"/>
      <c r="CB497" s="421"/>
      <c r="CC497" s="421"/>
      <c r="CD497" s="419"/>
      <c r="CE497" s="419"/>
      <c r="CF497" s="421"/>
      <c r="CG497" s="421"/>
      <c r="CH497" s="419"/>
      <c r="CI497" s="419"/>
      <c r="CJ497" s="421"/>
      <c r="CK497" s="421"/>
      <c r="CL497" s="419"/>
      <c r="CM497" s="421"/>
      <c r="CN497" s="424">
        <f t="shared" si="197"/>
        <v>0</v>
      </c>
      <c r="CO497" s="424">
        <f t="shared" si="198"/>
        <v>0</v>
      </c>
      <c r="CP497" s="425">
        <f t="shared" si="199"/>
        <v>0</v>
      </c>
      <c r="CQ497" s="425">
        <f t="shared" si="200"/>
        <v>0</v>
      </c>
      <c r="CR497" s="419"/>
      <c r="CS497" s="419"/>
      <c r="CT497" s="421"/>
      <c r="CU497" s="421"/>
      <c r="CV497" s="419"/>
      <c r="CW497" s="419"/>
      <c r="CX497" s="421"/>
      <c r="CY497" s="421"/>
      <c r="CZ497" s="419"/>
      <c r="DA497" s="419"/>
      <c r="DB497" s="421"/>
      <c r="DC497" s="421"/>
      <c r="DD497" s="419"/>
      <c r="DE497" s="419"/>
      <c r="DF497" s="421"/>
      <c r="DG497" s="421"/>
      <c r="DH497" s="419"/>
      <c r="DI497" s="419"/>
      <c r="DJ497" s="421"/>
      <c r="DK497" s="421"/>
      <c r="DL497" s="419"/>
      <c r="DM497" s="419"/>
      <c r="DN497" s="421"/>
      <c r="DO497" s="421"/>
      <c r="DP497" s="419"/>
      <c r="DQ497" s="419"/>
      <c r="DR497" s="421"/>
      <c r="DS497" s="421"/>
      <c r="DT497" s="419"/>
      <c r="DU497" s="419"/>
      <c r="DV497" s="421"/>
      <c r="DW497" s="421"/>
      <c r="DX497" s="419"/>
      <c r="DY497" s="419"/>
      <c r="DZ497" s="421"/>
      <c r="EA497" s="421"/>
      <c r="EB497" s="419"/>
      <c r="EC497" s="419"/>
      <c r="ED497" s="421"/>
      <c r="EE497" s="421"/>
      <c r="EF497" s="419"/>
      <c r="EG497" s="421"/>
      <c r="EH497" s="424">
        <f t="shared" si="201"/>
        <v>0</v>
      </c>
      <c r="EI497" s="424">
        <f t="shared" si="202"/>
        <v>0</v>
      </c>
      <c r="EJ497" s="422">
        <f t="shared" si="203"/>
        <v>0</v>
      </c>
      <c r="EK497" s="425">
        <f t="shared" si="204"/>
        <v>0</v>
      </c>
      <c r="EL497" s="425">
        <f t="shared" si="205"/>
        <v>0</v>
      </c>
      <c r="EM497" s="423">
        <f t="shared" si="206"/>
        <v>0</v>
      </c>
      <c r="EN497" s="424">
        <f t="shared" si="207"/>
        <v>0</v>
      </c>
      <c r="EO497" s="425">
        <f t="shared" si="208"/>
        <v>0</v>
      </c>
      <c r="EP497" s="419"/>
      <c r="EQ497" s="421"/>
      <c r="ER497" s="419"/>
      <c r="ES497" s="421"/>
      <c r="ET497" s="419"/>
      <c r="EU497" s="421"/>
      <c r="EV497" s="419"/>
      <c r="EW497" s="421"/>
      <c r="EX497" s="419"/>
      <c r="EY497" s="421"/>
      <c r="EZ497" s="419"/>
      <c r="FA497" s="421"/>
      <c r="FB497" s="419"/>
      <c r="FC497" s="421"/>
      <c r="FD497" s="419"/>
      <c r="FE497" s="421"/>
      <c r="FF497" s="419"/>
      <c r="FG497" s="421"/>
      <c r="FH497" s="419"/>
      <c r="FI497" s="421"/>
      <c r="FJ497" s="424">
        <f t="shared" si="209"/>
        <v>0</v>
      </c>
      <c r="FK497" s="425">
        <f t="shared" si="210"/>
        <v>0</v>
      </c>
      <c r="FL497" s="419"/>
      <c r="FM497" s="421"/>
      <c r="FN497" s="424">
        <f t="shared" si="211"/>
        <v>8258</v>
      </c>
      <c r="FO497" s="425">
        <f t="shared" si="212"/>
        <v>7777</v>
      </c>
    </row>
    <row r="498" spans="1:171" customFormat="1" ht="15.75" customHeight="1">
      <c r="A498" s="457" t="s">
        <v>166</v>
      </c>
      <c r="B498" s="46" t="s">
        <v>1021</v>
      </c>
      <c r="C498" s="15"/>
      <c r="D498" s="44">
        <v>225308</v>
      </c>
      <c r="E498" s="125">
        <v>8</v>
      </c>
      <c r="F498" s="419">
        <v>956</v>
      </c>
      <c r="G498" s="533">
        <v>408</v>
      </c>
      <c r="H498" s="419"/>
      <c r="I498" s="421"/>
      <c r="J498" s="419">
        <v>1006</v>
      </c>
      <c r="K498" s="531">
        <v>773</v>
      </c>
      <c r="L498" s="422">
        <f t="shared" si="191"/>
        <v>0</v>
      </c>
      <c r="M498" s="423">
        <f t="shared" si="192"/>
        <v>0</v>
      </c>
      <c r="N498" s="419"/>
      <c r="O498" s="525">
        <f>0</f>
        <v>0</v>
      </c>
      <c r="P498" s="525">
        <f>0</f>
        <v>0</v>
      </c>
      <c r="Q498" s="525">
        <f>0</f>
        <v>0</v>
      </c>
      <c r="R498" s="424">
        <f t="shared" si="189"/>
        <v>0</v>
      </c>
      <c r="S498" s="421"/>
      <c r="T498" s="526">
        <f>0</f>
        <v>0</v>
      </c>
      <c r="U498" s="526">
        <f>0</f>
        <v>0</v>
      </c>
      <c r="V498" s="526">
        <f>0</f>
        <v>0</v>
      </c>
      <c r="W498" s="425">
        <f t="shared" si="190"/>
        <v>0</v>
      </c>
      <c r="X498" s="419"/>
      <c r="Y498" s="419"/>
      <c r="Z498" s="421"/>
      <c r="AA498" s="421"/>
      <c r="AB498" s="419"/>
      <c r="AC498" s="419"/>
      <c r="AD498" s="421"/>
      <c r="AE498" s="421"/>
      <c r="AF498" s="419"/>
      <c r="AG498" s="419"/>
      <c r="AH498" s="421"/>
      <c r="AI498" s="421"/>
      <c r="AJ498" s="419"/>
      <c r="AK498" s="419"/>
      <c r="AL498" s="421"/>
      <c r="AM498" s="421"/>
      <c r="AN498" s="419"/>
      <c r="AO498" s="419"/>
      <c r="AP498" s="421"/>
      <c r="AQ498" s="421"/>
      <c r="AR498" s="424">
        <f t="shared" si="193"/>
        <v>0</v>
      </c>
      <c r="AS498" s="422">
        <f t="shared" si="194"/>
        <v>0</v>
      </c>
      <c r="AT498" s="425">
        <f t="shared" si="195"/>
        <v>0</v>
      </c>
      <c r="AU498" s="423">
        <f t="shared" si="196"/>
        <v>0</v>
      </c>
      <c r="AV498" s="419"/>
      <c r="AW498" s="421"/>
      <c r="AX498" s="419"/>
      <c r="AY498" s="419"/>
      <c r="AZ498" s="421"/>
      <c r="BA498" s="421"/>
      <c r="BB498" s="419"/>
      <c r="BC498" s="419"/>
      <c r="BD498" s="421"/>
      <c r="BE498" s="421"/>
      <c r="BF498" s="419"/>
      <c r="BG498" s="419"/>
      <c r="BH498" s="421"/>
      <c r="BI498" s="421"/>
      <c r="BJ498" s="419"/>
      <c r="BK498" s="419"/>
      <c r="BL498" s="421"/>
      <c r="BM498" s="421"/>
      <c r="BN498" s="419"/>
      <c r="BO498" s="419"/>
      <c r="BP498" s="421"/>
      <c r="BQ498" s="421"/>
      <c r="BR498" s="419"/>
      <c r="BS498" s="419"/>
      <c r="BT498" s="421"/>
      <c r="BU498" s="421"/>
      <c r="BV498" s="419"/>
      <c r="BW498" s="419"/>
      <c r="BX498" s="421"/>
      <c r="BY498" s="421"/>
      <c r="BZ498" s="419"/>
      <c r="CA498" s="419"/>
      <c r="CB498" s="421"/>
      <c r="CC498" s="421"/>
      <c r="CD498" s="419"/>
      <c r="CE498" s="419"/>
      <c r="CF498" s="421"/>
      <c r="CG498" s="421"/>
      <c r="CH498" s="419"/>
      <c r="CI498" s="419"/>
      <c r="CJ498" s="421"/>
      <c r="CK498" s="421"/>
      <c r="CL498" s="419"/>
      <c r="CM498" s="421"/>
      <c r="CN498" s="424">
        <f t="shared" si="197"/>
        <v>0</v>
      </c>
      <c r="CO498" s="424">
        <f t="shared" si="198"/>
        <v>0</v>
      </c>
      <c r="CP498" s="425">
        <f t="shared" si="199"/>
        <v>0</v>
      </c>
      <c r="CQ498" s="425">
        <f t="shared" si="200"/>
        <v>0</v>
      </c>
      <c r="CR498" s="419"/>
      <c r="CS498" s="419"/>
      <c r="CT498" s="421"/>
      <c r="CU498" s="421"/>
      <c r="CV498" s="419"/>
      <c r="CW498" s="419"/>
      <c r="CX498" s="421"/>
      <c r="CY498" s="421"/>
      <c r="CZ498" s="419"/>
      <c r="DA498" s="419"/>
      <c r="DB498" s="421"/>
      <c r="DC498" s="421"/>
      <c r="DD498" s="419"/>
      <c r="DE498" s="419"/>
      <c r="DF498" s="421"/>
      <c r="DG498" s="421"/>
      <c r="DH498" s="419"/>
      <c r="DI498" s="419"/>
      <c r="DJ498" s="421"/>
      <c r="DK498" s="421"/>
      <c r="DL498" s="419"/>
      <c r="DM498" s="419"/>
      <c r="DN498" s="421"/>
      <c r="DO498" s="421"/>
      <c r="DP498" s="419"/>
      <c r="DQ498" s="419"/>
      <c r="DR498" s="421"/>
      <c r="DS498" s="421"/>
      <c r="DT498" s="419"/>
      <c r="DU498" s="419"/>
      <c r="DV498" s="421"/>
      <c r="DW498" s="421"/>
      <c r="DX498" s="419"/>
      <c r="DY498" s="419"/>
      <c r="DZ498" s="421"/>
      <c r="EA498" s="421"/>
      <c r="EB498" s="419"/>
      <c r="EC498" s="419"/>
      <c r="ED498" s="421"/>
      <c r="EE498" s="421"/>
      <c r="EF498" s="419"/>
      <c r="EG498" s="421"/>
      <c r="EH498" s="424">
        <f t="shared" si="201"/>
        <v>0</v>
      </c>
      <c r="EI498" s="424">
        <f t="shared" si="202"/>
        <v>0</v>
      </c>
      <c r="EJ498" s="422">
        <f t="shared" si="203"/>
        <v>0</v>
      </c>
      <c r="EK498" s="425">
        <f t="shared" si="204"/>
        <v>0</v>
      </c>
      <c r="EL498" s="425">
        <f t="shared" si="205"/>
        <v>0</v>
      </c>
      <c r="EM498" s="423">
        <f t="shared" si="206"/>
        <v>0</v>
      </c>
      <c r="EN498" s="424">
        <f t="shared" si="207"/>
        <v>0</v>
      </c>
      <c r="EO498" s="425">
        <f t="shared" si="208"/>
        <v>0</v>
      </c>
      <c r="EP498" s="419"/>
      <c r="EQ498" s="421"/>
      <c r="ER498" s="419"/>
      <c r="ES498" s="421"/>
      <c r="ET498" s="419"/>
      <c r="EU498" s="421"/>
      <c r="EV498" s="419"/>
      <c r="EW498" s="421"/>
      <c r="EX498" s="419"/>
      <c r="EY498" s="421"/>
      <c r="EZ498" s="419"/>
      <c r="FA498" s="421"/>
      <c r="FB498" s="419"/>
      <c r="FC498" s="421"/>
      <c r="FD498" s="419"/>
      <c r="FE498" s="421"/>
      <c r="FF498" s="419"/>
      <c r="FG498" s="421"/>
      <c r="FH498" s="419"/>
      <c r="FI498" s="421"/>
      <c r="FJ498" s="424">
        <f t="shared" si="209"/>
        <v>0</v>
      </c>
      <c r="FK498" s="425">
        <f t="shared" si="210"/>
        <v>0</v>
      </c>
      <c r="FL498" s="419"/>
      <c r="FM498" s="421"/>
      <c r="FN498" s="424">
        <f t="shared" si="211"/>
        <v>1962</v>
      </c>
      <c r="FO498" s="425">
        <f t="shared" si="212"/>
        <v>1181</v>
      </c>
    </row>
    <row r="499" spans="1:171" customFormat="1" ht="15.75" customHeight="1">
      <c r="A499" s="457" t="s">
        <v>166</v>
      </c>
      <c r="B499" s="46" t="s">
        <v>1022</v>
      </c>
      <c r="C499" s="15" t="s">
        <v>608</v>
      </c>
      <c r="D499" s="44">
        <v>229355</v>
      </c>
      <c r="E499" s="125">
        <v>8</v>
      </c>
      <c r="F499" s="419">
        <v>689</v>
      </c>
      <c r="G499" s="532">
        <v>565</v>
      </c>
      <c r="H499" s="419"/>
      <c r="I499" s="421"/>
      <c r="J499" s="419">
        <v>1707</v>
      </c>
      <c r="K499" s="532">
        <v>1837</v>
      </c>
      <c r="L499" s="422">
        <f t="shared" si="191"/>
        <v>243.85714285714286</v>
      </c>
      <c r="M499" s="423">
        <f t="shared" si="192"/>
        <v>0</v>
      </c>
      <c r="N499" s="419">
        <v>7</v>
      </c>
      <c r="O499" s="525">
        <f>0</f>
        <v>0</v>
      </c>
      <c r="P499" s="525">
        <f>0</f>
        <v>0</v>
      </c>
      <c r="Q499" s="525">
        <f>0</f>
        <v>0</v>
      </c>
      <c r="R499" s="424">
        <f t="shared" si="189"/>
        <v>0</v>
      </c>
      <c r="S499" s="434"/>
      <c r="T499" s="526">
        <f>0</f>
        <v>0</v>
      </c>
      <c r="U499" s="526">
        <f>0</f>
        <v>0</v>
      </c>
      <c r="V499" s="526">
        <f>0</f>
        <v>0</v>
      </c>
      <c r="W499" s="425">
        <f t="shared" si="190"/>
        <v>0</v>
      </c>
      <c r="X499" s="419">
        <v>51</v>
      </c>
      <c r="Y499" s="419">
        <v>7</v>
      </c>
      <c r="Z499" s="421">
        <v>51</v>
      </c>
      <c r="AA499" s="465">
        <v>23</v>
      </c>
      <c r="AB499" s="419"/>
      <c r="AC499" s="419"/>
      <c r="AD499" s="421"/>
      <c r="AE499" s="421"/>
      <c r="AF499" s="419"/>
      <c r="AG499" s="419"/>
      <c r="AH499" s="421"/>
      <c r="AI499" s="421"/>
      <c r="AJ499" s="419"/>
      <c r="AK499" s="419"/>
      <c r="AL499" s="421"/>
      <c r="AM499" s="421"/>
      <c r="AN499" s="419"/>
      <c r="AO499" s="419"/>
      <c r="AP499" s="421"/>
      <c r="AQ499" s="421"/>
      <c r="AR499" s="424">
        <f t="shared" si="193"/>
        <v>1</v>
      </c>
      <c r="AS499" s="422">
        <f t="shared" si="194"/>
        <v>2.9130253849354972E-3</v>
      </c>
      <c r="AT499" s="425">
        <f t="shared" si="195"/>
        <v>1</v>
      </c>
      <c r="AU499" s="423">
        <f t="shared" si="196"/>
        <v>0</v>
      </c>
      <c r="AV499" s="419"/>
      <c r="AW499" s="421"/>
      <c r="AX499" s="419"/>
      <c r="AY499" s="419"/>
      <c r="AZ499" s="421"/>
      <c r="BA499" s="421"/>
      <c r="BB499" s="419"/>
      <c r="BC499" s="419"/>
      <c r="BD499" s="421"/>
      <c r="BE499" s="421"/>
      <c r="BF499" s="419"/>
      <c r="BG499" s="419"/>
      <c r="BH499" s="421"/>
      <c r="BI499" s="421"/>
      <c r="BJ499" s="419"/>
      <c r="BK499" s="419"/>
      <c r="BL499" s="421"/>
      <c r="BM499" s="421"/>
      <c r="BN499" s="419"/>
      <c r="BO499" s="419"/>
      <c r="BP499" s="421"/>
      <c r="BQ499" s="421"/>
      <c r="BR499" s="419"/>
      <c r="BS499" s="419"/>
      <c r="BT499" s="421"/>
      <c r="BU499" s="421"/>
      <c r="BV499" s="419"/>
      <c r="BW499" s="419"/>
      <c r="BX499" s="421"/>
      <c r="BY499" s="421"/>
      <c r="BZ499" s="419"/>
      <c r="CA499" s="419"/>
      <c r="CB499" s="421"/>
      <c r="CC499" s="421"/>
      <c r="CD499" s="419"/>
      <c r="CE499" s="419"/>
      <c r="CF499" s="421"/>
      <c r="CG499" s="421"/>
      <c r="CH499" s="419"/>
      <c r="CI499" s="419"/>
      <c r="CJ499" s="421"/>
      <c r="CK499" s="421"/>
      <c r="CL499" s="419"/>
      <c r="CM499" s="421"/>
      <c r="CN499" s="424">
        <f t="shared" si="197"/>
        <v>0</v>
      </c>
      <c r="CO499" s="424">
        <f t="shared" si="198"/>
        <v>0</v>
      </c>
      <c r="CP499" s="425">
        <f t="shared" si="199"/>
        <v>0</v>
      </c>
      <c r="CQ499" s="425">
        <f t="shared" si="200"/>
        <v>0</v>
      </c>
      <c r="CR499" s="419"/>
      <c r="CS499" s="419"/>
      <c r="CT499" s="421"/>
      <c r="CU499" s="421"/>
      <c r="CV499" s="419"/>
      <c r="CW499" s="419"/>
      <c r="CX499" s="421"/>
      <c r="CY499" s="421"/>
      <c r="CZ499" s="419"/>
      <c r="DA499" s="419"/>
      <c r="DB499" s="421"/>
      <c r="DC499" s="421"/>
      <c r="DD499" s="419"/>
      <c r="DE499" s="419"/>
      <c r="DF499" s="421"/>
      <c r="DG499" s="421"/>
      <c r="DH499" s="419"/>
      <c r="DI499" s="419"/>
      <c r="DJ499" s="421"/>
      <c r="DK499" s="421"/>
      <c r="DL499" s="419"/>
      <c r="DM499" s="419"/>
      <c r="DN499" s="421"/>
      <c r="DO499" s="421"/>
      <c r="DP499" s="419"/>
      <c r="DQ499" s="419"/>
      <c r="DR499" s="421"/>
      <c r="DS499" s="421"/>
      <c r="DT499" s="419"/>
      <c r="DU499" s="419"/>
      <c r="DV499" s="421"/>
      <c r="DW499" s="421"/>
      <c r="DX499" s="419"/>
      <c r="DY499" s="419"/>
      <c r="DZ499" s="421"/>
      <c r="EA499" s="421"/>
      <c r="EB499" s="419"/>
      <c r="EC499" s="419"/>
      <c r="ED499" s="421"/>
      <c r="EE499" s="421"/>
      <c r="EF499" s="419"/>
      <c r="EG499" s="421"/>
      <c r="EH499" s="424">
        <f t="shared" si="201"/>
        <v>0</v>
      </c>
      <c r="EI499" s="424">
        <f t="shared" si="202"/>
        <v>0</v>
      </c>
      <c r="EJ499" s="422">
        <f t="shared" si="203"/>
        <v>0</v>
      </c>
      <c r="EK499" s="425">
        <f t="shared" si="204"/>
        <v>0</v>
      </c>
      <c r="EL499" s="425">
        <f t="shared" si="205"/>
        <v>0</v>
      </c>
      <c r="EM499" s="423">
        <f t="shared" si="206"/>
        <v>0</v>
      </c>
      <c r="EN499" s="424">
        <f t="shared" si="207"/>
        <v>0</v>
      </c>
      <c r="EO499" s="425">
        <f t="shared" si="208"/>
        <v>0</v>
      </c>
      <c r="EP499" s="419"/>
      <c r="EQ499" s="421"/>
      <c r="ER499" s="419"/>
      <c r="ES499" s="421"/>
      <c r="ET499" s="419"/>
      <c r="EU499" s="421"/>
      <c r="EV499" s="419"/>
      <c r="EW499" s="421"/>
      <c r="EX499" s="419"/>
      <c r="EY499" s="421"/>
      <c r="EZ499" s="419"/>
      <c r="FA499" s="421"/>
      <c r="FB499" s="419"/>
      <c r="FC499" s="421"/>
      <c r="FD499" s="419"/>
      <c r="FE499" s="421"/>
      <c r="FF499" s="419"/>
      <c r="FG499" s="421"/>
      <c r="FH499" s="419"/>
      <c r="FI499" s="421"/>
      <c r="FJ499" s="424">
        <f t="shared" si="209"/>
        <v>0</v>
      </c>
      <c r="FK499" s="425">
        <f t="shared" si="210"/>
        <v>0</v>
      </c>
      <c r="FL499" s="419"/>
      <c r="FM499" s="421"/>
      <c r="FN499" s="424">
        <f t="shared" si="211"/>
        <v>2403</v>
      </c>
      <c r="FO499" s="425">
        <f t="shared" si="212"/>
        <v>2402</v>
      </c>
    </row>
    <row r="500" spans="1:171" customFormat="1" ht="15.75" customHeight="1">
      <c r="A500" s="457" t="s">
        <v>166</v>
      </c>
      <c r="B500" s="46" t="s">
        <v>1023</v>
      </c>
      <c r="C500" s="15"/>
      <c r="D500" s="44">
        <v>222567</v>
      </c>
      <c r="E500" s="125">
        <v>9</v>
      </c>
      <c r="F500" s="419">
        <v>433</v>
      </c>
      <c r="G500" s="532">
        <v>429</v>
      </c>
      <c r="H500" s="419"/>
      <c r="I500" s="421"/>
      <c r="J500" s="419">
        <v>804</v>
      </c>
      <c r="K500" s="532">
        <v>866</v>
      </c>
      <c r="L500" s="422">
        <f t="shared" si="191"/>
        <v>0</v>
      </c>
      <c r="M500" s="423">
        <f t="shared" si="192"/>
        <v>0</v>
      </c>
      <c r="N500" s="419"/>
      <c r="O500" s="525">
        <f>0</f>
        <v>0</v>
      </c>
      <c r="P500" s="525">
        <f>0</f>
        <v>0</v>
      </c>
      <c r="Q500" s="525">
        <f>0</f>
        <v>0</v>
      </c>
      <c r="R500" s="424">
        <f t="shared" si="189"/>
        <v>0</v>
      </c>
      <c r="S500" s="421"/>
      <c r="T500" s="526">
        <f>0</f>
        <v>0</v>
      </c>
      <c r="U500" s="526">
        <f>0</f>
        <v>0</v>
      </c>
      <c r="V500" s="526">
        <f>0</f>
        <v>0</v>
      </c>
      <c r="W500" s="425">
        <f t="shared" si="190"/>
        <v>0</v>
      </c>
      <c r="X500" s="419"/>
      <c r="Y500" s="419"/>
      <c r="Z500" s="421"/>
      <c r="AA500" s="421"/>
      <c r="AB500" s="419"/>
      <c r="AC500" s="419"/>
      <c r="AD500" s="421"/>
      <c r="AE500" s="421"/>
      <c r="AF500" s="419"/>
      <c r="AG500" s="419"/>
      <c r="AH500" s="421"/>
      <c r="AI500" s="421"/>
      <c r="AJ500" s="419"/>
      <c r="AK500" s="419"/>
      <c r="AL500" s="421"/>
      <c r="AM500" s="421"/>
      <c r="AN500" s="419"/>
      <c r="AO500" s="419"/>
      <c r="AP500" s="421"/>
      <c r="AQ500" s="421"/>
      <c r="AR500" s="424">
        <f t="shared" si="193"/>
        <v>0</v>
      </c>
      <c r="AS500" s="422">
        <f t="shared" si="194"/>
        <v>0</v>
      </c>
      <c r="AT500" s="425">
        <f t="shared" si="195"/>
        <v>0</v>
      </c>
      <c r="AU500" s="423">
        <f t="shared" si="196"/>
        <v>0</v>
      </c>
      <c r="AV500" s="419"/>
      <c r="AW500" s="421"/>
      <c r="AX500" s="419"/>
      <c r="AY500" s="419"/>
      <c r="AZ500" s="421"/>
      <c r="BA500" s="421"/>
      <c r="BB500" s="419"/>
      <c r="BC500" s="419"/>
      <c r="BD500" s="421"/>
      <c r="BE500" s="421"/>
      <c r="BF500" s="419"/>
      <c r="BG500" s="419"/>
      <c r="BH500" s="421"/>
      <c r="BI500" s="421"/>
      <c r="BJ500" s="419"/>
      <c r="BK500" s="419"/>
      <c r="BL500" s="421"/>
      <c r="BM500" s="421"/>
      <c r="BN500" s="419"/>
      <c r="BO500" s="419"/>
      <c r="BP500" s="421"/>
      <c r="BQ500" s="421"/>
      <c r="BR500" s="419"/>
      <c r="BS500" s="419"/>
      <c r="BT500" s="421"/>
      <c r="BU500" s="421"/>
      <c r="BV500" s="419"/>
      <c r="BW500" s="419"/>
      <c r="BX500" s="421"/>
      <c r="BY500" s="421"/>
      <c r="BZ500" s="419"/>
      <c r="CA500" s="419"/>
      <c r="CB500" s="421"/>
      <c r="CC500" s="421"/>
      <c r="CD500" s="419"/>
      <c r="CE500" s="419"/>
      <c r="CF500" s="421"/>
      <c r="CG500" s="421"/>
      <c r="CH500" s="419"/>
      <c r="CI500" s="419"/>
      <c r="CJ500" s="421"/>
      <c r="CK500" s="421"/>
      <c r="CL500" s="419"/>
      <c r="CM500" s="421"/>
      <c r="CN500" s="424">
        <f t="shared" si="197"/>
        <v>0</v>
      </c>
      <c r="CO500" s="424">
        <f t="shared" si="198"/>
        <v>0</v>
      </c>
      <c r="CP500" s="425">
        <f t="shared" si="199"/>
        <v>0</v>
      </c>
      <c r="CQ500" s="425">
        <f t="shared" si="200"/>
        <v>0</v>
      </c>
      <c r="CR500" s="419"/>
      <c r="CS500" s="419"/>
      <c r="CT500" s="421"/>
      <c r="CU500" s="421"/>
      <c r="CV500" s="419"/>
      <c r="CW500" s="419"/>
      <c r="CX500" s="421"/>
      <c r="CY500" s="421"/>
      <c r="CZ500" s="419"/>
      <c r="DA500" s="419"/>
      <c r="DB500" s="421"/>
      <c r="DC500" s="421"/>
      <c r="DD500" s="419"/>
      <c r="DE500" s="419"/>
      <c r="DF500" s="421"/>
      <c r="DG500" s="421"/>
      <c r="DH500" s="419"/>
      <c r="DI500" s="419"/>
      <c r="DJ500" s="421"/>
      <c r="DK500" s="421"/>
      <c r="DL500" s="419"/>
      <c r="DM500" s="419"/>
      <c r="DN500" s="421"/>
      <c r="DO500" s="421"/>
      <c r="DP500" s="419"/>
      <c r="DQ500" s="419"/>
      <c r="DR500" s="421"/>
      <c r="DS500" s="421"/>
      <c r="DT500" s="419"/>
      <c r="DU500" s="419"/>
      <c r="DV500" s="421"/>
      <c r="DW500" s="421"/>
      <c r="DX500" s="419"/>
      <c r="DY500" s="419"/>
      <c r="DZ500" s="421"/>
      <c r="EA500" s="421"/>
      <c r="EB500" s="419"/>
      <c r="EC500" s="419"/>
      <c r="ED500" s="421"/>
      <c r="EE500" s="421"/>
      <c r="EF500" s="419"/>
      <c r="EG500" s="421"/>
      <c r="EH500" s="424">
        <f t="shared" si="201"/>
        <v>0</v>
      </c>
      <c r="EI500" s="424">
        <f t="shared" si="202"/>
        <v>0</v>
      </c>
      <c r="EJ500" s="422">
        <f t="shared" si="203"/>
        <v>0</v>
      </c>
      <c r="EK500" s="425">
        <f t="shared" si="204"/>
        <v>0</v>
      </c>
      <c r="EL500" s="425">
        <f t="shared" si="205"/>
        <v>0</v>
      </c>
      <c r="EM500" s="423">
        <f t="shared" si="206"/>
        <v>0</v>
      </c>
      <c r="EN500" s="424">
        <f t="shared" si="207"/>
        <v>0</v>
      </c>
      <c r="EO500" s="425">
        <f t="shared" si="208"/>
        <v>0</v>
      </c>
      <c r="EP500" s="419"/>
      <c r="EQ500" s="421"/>
      <c r="ER500" s="419"/>
      <c r="ES500" s="421"/>
      <c r="ET500" s="419"/>
      <c r="EU500" s="421"/>
      <c r="EV500" s="419"/>
      <c r="EW500" s="421"/>
      <c r="EX500" s="419"/>
      <c r="EY500" s="421"/>
      <c r="EZ500" s="419"/>
      <c r="FA500" s="421"/>
      <c r="FB500" s="419"/>
      <c r="FC500" s="421"/>
      <c r="FD500" s="419"/>
      <c r="FE500" s="421"/>
      <c r="FF500" s="419"/>
      <c r="FG500" s="421"/>
      <c r="FH500" s="419"/>
      <c r="FI500" s="421"/>
      <c r="FJ500" s="424">
        <f t="shared" si="209"/>
        <v>0</v>
      </c>
      <c r="FK500" s="425">
        <f t="shared" si="210"/>
        <v>0</v>
      </c>
      <c r="FL500" s="419"/>
      <c r="FM500" s="421"/>
      <c r="FN500" s="424">
        <f t="shared" si="211"/>
        <v>1237</v>
      </c>
      <c r="FO500" s="425">
        <f t="shared" si="212"/>
        <v>1295</v>
      </c>
    </row>
    <row r="501" spans="1:171" customFormat="1" ht="15.75" customHeight="1">
      <c r="A501" s="457" t="s">
        <v>166</v>
      </c>
      <c r="B501" s="46" t="s">
        <v>1024</v>
      </c>
      <c r="C501" s="15"/>
      <c r="D501" s="44">
        <v>222822</v>
      </c>
      <c r="E501" s="125">
        <v>9</v>
      </c>
      <c r="F501" s="419">
        <v>420</v>
      </c>
      <c r="G501" s="531">
        <v>309</v>
      </c>
      <c r="H501" s="419"/>
      <c r="I501" s="421"/>
      <c r="J501" s="419">
        <v>426</v>
      </c>
      <c r="K501" s="532">
        <v>452</v>
      </c>
      <c r="L501" s="422">
        <f t="shared" si="191"/>
        <v>0</v>
      </c>
      <c r="M501" s="423">
        <f t="shared" si="192"/>
        <v>0</v>
      </c>
      <c r="N501" s="419"/>
      <c r="O501" s="525">
        <f>0</f>
        <v>0</v>
      </c>
      <c r="P501" s="525">
        <f>0</f>
        <v>0</v>
      </c>
      <c r="Q501" s="525">
        <f>0</f>
        <v>0</v>
      </c>
      <c r="R501" s="424">
        <f t="shared" si="189"/>
        <v>0</v>
      </c>
      <c r="S501" s="421"/>
      <c r="T501" s="526">
        <f>0</f>
        <v>0</v>
      </c>
      <c r="U501" s="526">
        <f>0</f>
        <v>0</v>
      </c>
      <c r="V501" s="526">
        <f>0</f>
        <v>0</v>
      </c>
      <c r="W501" s="425">
        <f t="shared" si="190"/>
        <v>0</v>
      </c>
      <c r="X501" s="419"/>
      <c r="Y501" s="419"/>
      <c r="Z501" s="421"/>
      <c r="AA501" s="421"/>
      <c r="AB501" s="419"/>
      <c r="AC501" s="419"/>
      <c r="AD501" s="421"/>
      <c r="AE501" s="421"/>
      <c r="AF501" s="419"/>
      <c r="AG501" s="419"/>
      <c r="AH501" s="421"/>
      <c r="AI501" s="421"/>
      <c r="AJ501" s="419"/>
      <c r="AK501" s="419"/>
      <c r="AL501" s="421"/>
      <c r="AM501" s="421"/>
      <c r="AN501" s="419"/>
      <c r="AO501" s="419"/>
      <c r="AP501" s="421"/>
      <c r="AQ501" s="421"/>
      <c r="AR501" s="424">
        <f t="shared" si="193"/>
        <v>0</v>
      </c>
      <c r="AS501" s="422">
        <f t="shared" si="194"/>
        <v>0</v>
      </c>
      <c r="AT501" s="425">
        <f t="shared" si="195"/>
        <v>0</v>
      </c>
      <c r="AU501" s="423">
        <f t="shared" si="196"/>
        <v>0</v>
      </c>
      <c r="AV501" s="419"/>
      <c r="AW501" s="421"/>
      <c r="AX501" s="419"/>
      <c r="AY501" s="419"/>
      <c r="AZ501" s="421"/>
      <c r="BA501" s="421"/>
      <c r="BB501" s="419"/>
      <c r="BC501" s="419"/>
      <c r="BD501" s="421"/>
      <c r="BE501" s="421"/>
      <c r="BF501" s="419"/>
      <c r="BG501" s="419"/>
      <c r="BH501" s="421"/>
      <c r="BI501" s="421"/>
      <c r="BJ501" s="419"/>
      <c r="BK501" s="419"/>
      <c r="BL501" s="421"/>
      <c r="BM501" s="421"/>
      <c r="BN501" s="419"/>
      <c r="BO501" s="419"/>
      <c r="BP501" s="421"/>
      <c r="BQ501" s="421"/>
      <c r="BR501" s="419"/>
      <c r="BS501" s="419"/>
      <c r="BT501" s="421"/>
      <c r="BU501" s="421"/>
      <c r="BV501" s="419"/>
      <c r="BW501" s="419"/>
      <c r="BX501" s="421"/>
      <c r="BY501" s="421"/>
      <c r="BZ501" s="419"/>
      <c r="CA501" s="419"/>
      <c r="CB501" s="421"/>
      <c r="CC501" s="421"/>
      <c r="CD501" s="419"/>
      <c r="CE501" s="419"/>
      <c r="CF501" s="421"/>
      <c r="CG501" s="421"/>
      <c r="CH501" s="419"/>
      <c r="CI501" s="419"/>
      <c r="CJ501" s="421"/>
      <c r="CK501" s="421"/>
      <c r="CL501" s="419"/>
      <c r="CM501" s="421"/>
      <c r="CN501" s="424">
        <f t="shared" si="197"/>
        <v>0</v>
      </c>
      <c r="CO501" s="424">
        <f t="shared" si="198"/>
        <v>0</v>
      </c>
      <c r="CP501" s="425">
        <f t="shared" si="199"/>
        <v>0</v>
      </c>
      <c r="CQ501" s="425">
        <f t="shared" si="200"/>
        <v>0</v>
      </c>
      <c r="CR501" s="419"/>
      <c r="CS501" s="419"/>
      <c r="CT501" s="421"/>
      <c r="CU501" s="421"/>
      <c r="CV501" s="419"/>
      <c r="CW501" s="419"/>
      <c r="CX501" s="421"/>
      <c r="CY501" s="421"/>
      <c r="CZ501" s="419"/>
      <c r="DA501" s="419"/>
      <c r="DB501" s="421"/>
      <c r="DC501" s="421"/>
      <c r="DD501" s="419"/>
      <c r="DE501" s="419"/>
      <c r="DF501" s="421"/>
      <c r="DG501" s="421"/>
      <c r="DH501" s="419"/>
      <c r="DI501" s="419"/>
      <c r="DJ501" s="421"/>
      <c r="DK501" s="421"/>
      <c r="DL501" s="419"/>
      <c r="DM501" s="419"/>
      <c r="DN501" s="421"/>
      <c r="DO501" s="421"/>
      <c r="DP501" s="419"/>
      <c r="DQ501" s="419"/>
      <c r="DR501" s="421"/>
      <c r="DS501" s="421"/>
      <c r="DT501" s="419"/>
      <c r="DU501" s="419"/>
      <c r="DV501" s="421"/>
      <c r="DW501" s="421"/>
      <c r="DX501" s="419"/>
      <c r="DY501" s="419"/>
      <c r="DZ501" s="421"/>
      <c r="EA501" s="421"/>
      <c r="EB501" s="419"/>
      <c r="EC501" s="419"/>
      <c r="ED501" s="421"/>
      <c r="EE501" s="421"/>
      <c r="EF501" s="419"/>
      <c r="EG501" s="421"/>
      <c r="EH501" s="424">
        <f t="shared" si="201"/>
        <v>0</v>
      </c>
      <c r="EI501" s="424">
        <f t="shared" si="202"/>
        <v>0</v>
      </c>
      <c r="EJ501" s="422">
        <f t="shared" si="203"/>
        <v>0</v>
      </c>
      <c r="EK501" s="425">
        <f t="shared" si="204"/>
        <v>0</v>
      </c>
      <c r="EL501" s="425">
        <f t="shared" si="205"/>
        <v>0</v>
      </c>
      <c r="EM501" s="423">
        <f t="shared" si="206"/>
        <v>0</v>
      </c>
      <c r="EN501" s="424">
        <f t="shared" si="207"/>
        <v>0</v>
      </c>
      <c r="EO501" s="425">
        <f t="shared" si="208"/>
        <v>0</v>
      </c>
      <c r="EP501" s="419"/>
      <c r="EQ501" s="421"/>
      <c r="ER501" s="419"/>
      <c r="ES501" s="421"/>
      <c r="ET501" s="419"/>
      <c r="EU501" s="421"/>
      <c r="EV501" s="419"/>
      <c r="EW501" s="421"/>
      <c r="EX501" s="419"/>
      <c r="EY501" s="421"/>
      <c r="EZ501" s="419"/>
      <c r="FA501" s="421"/>
      <c r="FB501" s="419"/>
      <c r="FC501" s="421"/>
      <c r="FD501" s="419"/>
      <c r="FE501" s="421"/>
      <c r="FF501" s="419"/>
      <c r="FG501" s="421"/>
      <c r="FH501" s="419"/>
      <c r="FI501" s="421"/>
      <c r="FJ501" s="424">
        <f t="shared" si="209"/>
        <v>0</v>
      </c>
      <c r="FK501" s="425">
        <f t="shared" si="210"/>
        <v>0</v>
      </c>
      <c r="FL501" s="419"/>
      <c r="FM501" s="421"/>
      <c r="FN501" s="424">
        <f t="shared" si="211"/>
        <v>846</v>
      </c>
      <c r="FO501" s="425">
        <f t="shared" si="212"/>
        <v>761</v>
      </c>
    </row>
    <row r="502" spans="1:171" customFormat="1" ht="15.75" customHeight="1">
      <c r="A502" s="457" t="s">
        <v>166</v>
      </c>
      <c r="B502" s="46" t="s">
        <v>1025</v>
      </c>
      <c r="C502" s="15"/>
      <c r="D502" s="44">
        <v>223773</v>
      </c>
      <c r="E502" s="125">
        <v>9</v>
      </c>
      <c r="F502" s="419">
        <v>937</v>
      </c>
      <c r="G502" s="531">
        <v>589</v>
      </c>
      <c r="H502" s="419"/>
      <c r="I502" s="421"/>
      <c r="J502" s="419">
        <v>671</v>
      </c>
      <c r="K502" s="532">
        <v>690</v>
      </c>
      <c r="L502" s="422">
        <f t="shared" si="191"/>
        <v>0</v>
      </c>
      <c r="M502" s="423">
        <f t="shared" si="192"/>
        <v>0</v>
      </c>
      <c r="N502" s="419"/>
      <c r="O502" s="525">
        <f>0</f>
        <v>0</v>
      </c>
      <c r="P502" s="525">
        <f>0</f>
        <v>0</v>
      </c>
      <c r="Q502" s="525">
        <f>0</f>
        <v>0</v>
      </c>
      <c r="R502" s="424">
        <f t="shared" si="189"/>
        <v>0</v>
      </c>
      <c r="S502" s="421"/>
      <c r="T502" s="526">
        <f>0</f>
        <v>0</v>
      </c>
      <c r="U502" s="526">
        <f>0</f>
        <v>0</v>
      </c>
      <c r="V502" s="526">
        <f>0</f>
        <v>0</v>
      </c>
      <c r="W502" s="425">
        <f t="shared" si="190"/>
        <v>0</v>
      </c>
      <c r="X502" s="419"/>
      <c r="Y502" s="419"/>
      <c r="Z502" s="421"/>
      <c r="AA502" s="421"/>
      <c r="AB502" s="419"/>
      <c r="AC502" s="419"/>
      <c r="AD502" s="421"/>
      <c r="AE502" s="421"/>
      <c r="AF502" s="419"/>
      <c r="AG502" s="419"/>
      <c r="AH502" s="421"/>
      <c r="AI502" s="421"/>
      <c r="AJ502" s="419"/>
      <c r="AK502" s="419"/>
      <c r="AL502" s="421"/>
      <c r="AM502" s="421"/>
      <c r="AN502" s="419"/>
      <c r="AO502" s="419"/>
      <c r="AP502" s="421"/>
      <c r="AQ502" s="421"/>
      <c r="AR502" s="424">
        <f t="shared" si="193"/>
        <v>0</v>
      </c>
      <c r="AS502" s="422">
        <f t="shared" si="194"/>
        <v>0</v>
      </c>
      <c r="AT502" s="425">
        <f t="shared" si="195"/>
        <v>0</v>
      </c>
      <c r="AU502" s="423">
        <f t="shared" si="196"/>
        <v>0</v>
      </c>
      <c r="AV502" s="419"/>
      <c r="AW502" s="421"/>
      <c r="AX502" s="419"/>
      <c r="AY502" s="419"/>
      <c r="AZ502" s="421"/>
      <c r="BA502" s="421"/>
      <c r="BB502" s="419"/>
      <c r="BC502" s="419"/>
      <c r="BD502" s="421"/>
      <c r="BE502" s="421"/>
      <c r="BF502" s="419"/>
      <c r="BG502" s="419"/>
      <c r="BH502" s="421"/>
      <c r="BI502" s="421"/>
      <c r="BJ502" s="419"/>
      <c r="BK502" s="419"/>
      <c r="BL502" s="421"/>
      <c r="BM502" s="421"/>
      <c r="BN502" s="419"/>
      <c r="BO502" s="419"/>
      <c r="BP502" s="421"/>
      <c r="BQ502" s="421"/>
      <c r="BR502" s="419"/>
      <c r="BS502" s="419"/>
      <c r="BT502" s="421"/>
      <c r="BU502" s="421"/>
      <c r="BV502" s="419"/>
      <c r="BW502" s="419"/>
      <c r="BX502" s="421"/>
      <c r="BY502" s="421"/>
      <c r="BZ502" s="419"/>
      <c r="CA502" s="419"/>
      <c r="CB502" s="421"/>
      <c r="CC502" s="421"/>
      <c r="CD502" s="419"/>
      <c r="CE502" s="419"/>
      <c r="CF502" s="421"/>
      <c r="CG502" s="421"/>
      <c r="CH502" s="419"/>
      <c r="CI502" s="419"/>
      <c r="CJ502" s="421"/>
      <c r="CK502" s="421"/>
      <c r="CL502" s="419"/>
      <c r="CM502" s="421"/>
      <c r="CN502" s="424">
        <f t="shared" si="197"/>
        <v>0</v>
      </c>
      <c r="CO502" s="424">
        <f t="shared" si="198"/>
        <v>0</v>
      </c>
      <c r="CP502" s="425">
        <f t="shared" si="199"/>
        <v>0</v>
      </c>
      <c r="CQ502" s="425">
        <f t="shared" si="200"/>
        <v>0</v>
      </c>
      <c r="CR502" s="419"/>
      <c r="CS502" s="419"/>
      <c r="CT502" s="421"/>
      <c r="CU502" s="421"/>
      <c r="CV502" s="419"/>
      <c r="CW502" s="419"/>
      <c r="CX502" s="421"/>
      <c r="CY502" s="421"/>
      <c r="CZ502" s="419"/>
      <c r="DA502" s="419"/>
      <c r="DB502" s="421"/>
      <c r="DC502" s="421"/>
      <c r="DD502" s="419"/>
      <c r="DE502" s="419"/>
      <c r="DF502" s="421"/>
      <c r="DG502" s="421"/>
      <c r="DH502" s="419"/>
      <c r="DI502" s="419"/>
      <c r="DJ502" s="421"/>
      <c r="DK502" s="421"/>
      <c r="DL502" s="419"/>
      <c r="DM502" s="419"/>
      <c r="DN502" s="421"/>
      <c r="DO502" s="421"/>
      <c r="DP502" s="419"/>
      <c r="DQ502" s="419"/>
      <c r="DR502" s="421"/>
      <c r="DS502" s="421"/>
      <c r="DT502" s="419"/>
      <c r="DU502" s="419"/>
      <c r="DV502" s="421"/>
      <c r="DW502" s="421"/>
      <c r="DX502" s="419"/>
      <c r="DY502" s="419"/>
      <c r="DZ502" s="421"/>
      <c r="EA502" s="421"/>
      <c r="EB502" s="419"/>
      <c r="EC502" s="419"/>
      <c r="ED502" s="421"/>
      <c r="EE502" s="421"/>
      <c r="EF502" s="419"/>
      <c r="EG502" s="421"/>
      <c r="EH502" s="424">
        <f t="shared" si="201"/>
        <v>0</v>
      </c>
      <c r="EI502" s="424">
        <f t="shared" si="202"/>
        <v>0</v>
      </c>
      <c r="EJ502" s="422">
        <f t="shared" si="203"/>
        <v>0</v>
      </c>
      <c r="EK502" s="425">
        <f t="shared" si="204"/>
        <v>0</v>
      </c>
      <c r="EL502" s="425">
        <f t="shared" si="205"/>
        <v>0</v>
      </c>
      <c r="EM502" s="423">
        <f t="shared" si="206"/>
        <v>0</v>
      </c>
      <c r="EN502" s="424">
        <f t="shared" si="207"/>
        <v>0</v>
      </c>
      <c r="EO502" s="425">
        <f t="shared" si="208"/>
        <v>0</v>
      </c>
      <c r="EP502" s="419"/>
      <c r="EQ502" s="421"/>
      <c r="ER502" s="419"/>
      <c r="ES502" s="421"/>
      <c r="ET502" s="419"/>
      <c r="EU502" s="421"/>
      <c r="EV502" s="419"/>
      <c r="EW502" s="421"/>
      <c r="EX502" s="419"/>
      <c r="EY502" s="421"/>
      <c r="EZ502" s="419"/>
      <c r="FA502" s="421"/>
      <c r="FB502" s="419"/>
      <c r="FC502" s="421"/>
      <c r="FD502" s="419"/>
      <c r="FE502" s="421"/>
      <c r="FF502" s="419"/>
      <c r="FG502" s="421"/>
      <c r="FH502" s="419"/>
      <c r="FI502" s="421"/>
      <c r="FJ502" s="424">
        <f t="shared" si="209"/>
        <v>0</v>
      </c>
      <c r="FK502" s="425">
        <f t="shared" si="210"/>
        <v>0</v>
      </c>
      <c r="FL502" s="419"/>
      <c r="FM502" s="421"/>
      <c r="FN502" s="424">
        <f t="shared" si="211"/>
        <v>1608</v>
      </c>
      <c r="FO502" s="425">
        <f t="shared" si="212"/>
        <v>1279</v>
      </c>
    </row>
    <row r="503" spans="1:171" customFormat="1" ht="15.75" customHeight="1">
      <c r="A503" s="457" t="s">
        <v>166</v>
      </c>
      <c r="B503" s="466" t="s">
        <v>1026</v>
      </c>
      <c r="C503" s="15"/>
      <c r="D503" s="44">
        <v>223898</v>
      </c>
      <c r="E503" s="125">
        <v>9</v>
      </c>
      <c r="F503" s="419">
        <v>257</v>
      </c>
      <c r="G503" s="531">
        <v>189</v>
      </c>
      <c r="H503" s="419"/>
      <c r="I503" s="421"/>
      <c r="J503" s="419">
        <v>478</v>
      </c>
      <c r="K503" s="532">
        <v>431</v>
      </c>
      <c r="L503" s="422">
        <f t="shared" si="191"/>
        <v>0</v>
      </c>
      <c r="M503" s="423">
        <f t="shared" si="192"/>
        <v>0</v>
      </c>
      <c r="N503" s="419"/>
      <c r="O503" s="525">
        <f>0</f>
        <v>0</v>
      </c>
      <c r="P503" s="525">
        <f>0</f>
        <v>0</v>
      </c>
      <c r="Q503" s="525">
        <f>0</f>
        <v>0</v>
      </c>
      <c r="R503" s="424">
        <f t="shared" si="189"/>
        <v>0</v>
      </c>
      <c r="S503" s="421"/>
      <c r="T503" s="526">
        <f>0</f>
        <v>0</v>
      </c>
      <c r="U503" s="526">
        <f>0</f>
        <v>0</v>
      </c>
      <c r="V503" s="526">
        <f>0</f>
        <v>0</v>
      </c>
      <c r="W503" s="425">
        <f t="shared" si="190"/>
        <v>0</v>
      </c>
      <c r="X503" s="419"/>
      <c r="Y503" s="419"/>
      <c r="Z503" s="421"/>
      <c r="AA503" s="421"/>
      <c r="AB503" s="419"/>
      <c r="AC503" s="419"/>
      <c r="AD503" s="421"/>
      <c r="AE503" s="421"/>
      <c r="AF503" s="419"/>
      <c r="AG503" s="419"/>
      <c r="AH503" s="421"/>
      <c r="AI503" s="421"/>
      <c r="AJ503" s="419"/>
      <c r="AK503" s="419"/>
      <c r="AL503" s="421"/>
      <c r="AM503" s="421"/>
      <c r="AN503" s="419"/>
      <c r="AO503" s="419"/>
      <c r="AP503" s="421"/>
      <c r="AQ503" s="421"/>
      <c r="AR503" s="424">
        <f t="shared" si="193"/>
        <v>0</v>
      </c>
      <c r="AS503" s="422">
        <f t="shared" si="194"/>
        <v>0</v>
      </c>
      <c r="AT503" s="425">
        <f t="shared" si="195"/>
        <v>0</v>
      </c>
      <c r="AU503" s="423">
        <f t="shared" si="196"/>
        <v>0</v>
      </c>
      <c r="AV503" s="419"/>
      <c r="AW503" s="421"/>
      <c r="AX503" s="419"/>
      <c r="AY503" s="419"/>
      <c r="AZ503" s="421"/>
      <c r="BA503" s="421"/>
      <c r="BB503" s="419"/>
      <c r="BC503" s="419"/>
      <c r="BD503" s="421"/>
      <c r="BE503" s="421"/>
      <c r="BF503" s="419"/>
      <c r="BG503" s="419"/>
      <c r="BH503" s="421"/>
      <c r="BI503" s="421"/>
      <c r="BJ503" s="419"/>
      <c r="BK503" s="419"/>
      <c r="BL503" s="421"/>
      <c r="BM503" s="421"/>
      <c r="BN503" s="419"/>
      <c r="BO503" s="419"/>
      <c r="BP503" s="421"/>
      <c r="BQ503" s="421"/>
      <c r="BR503" s="419"/>
      <c r="BS503" s="419"/>
      <c r="BT503" s="421"/>
      <c r="BU503" s="421"/>
      <c r="BV503" s="419"/>
      <c r="BW503" s="419"/>
      <c r="BX503" s="421"/>
      <c r="BY503" s="421"/>
      <c r="BZ503" s="419"/>
      <c r="CA503" s="419"/>
      <c r="CB503" s="421"/>
      <c r="CC503" s="421"/>
      <c r="CD503" s="419"/>
      <c r="CE503" s="419"/>
      <c r="CF503" s="421"/>
      <c r="CG503" s="421"/>
      <c r="CH503" s="419"/>
      <c r="CI503" s="419"/>
      <c r="CJ503" s="421"/>
      <c r="CK503" s="421"/>
      <c r="CL503" s="419"/>
      <c r="CM503" s="421"/>
      <c r="CN503" s="424">
        <f t="shared" si="197"/>
        <v>0</v>
      </c>
      <c r="CO503" s="424">
        <f t="shared" si="198"/>
        <v>0</v>
      </c>
      <c r="CP503" s="425">
        <f t="shared" si="199"/>
        <v>0</v>
      </c>
      <c r="CQ503" s="425">
        <f t="shared" si="200"/>
        <v>0</v>
      </c>
      <c r="CR503" s="419"/>
      <c r="CS503" s="419"/>
      <c r="CT503" s="421"/>
      <c r="CU503" s="421"/>
      <c r="CV503" s="419"/>
      <c r="CW503" s="419"/>
      <c r="CX503" s="421"/>
      <c r="CY503" s="421"/>
      <c r="CZ503" s="419"/>
      <c r="DA503" s="419"/>
      <c r="DB503" s="421"/>
      <c r="DC503" s="421"/>
      <c r="DD503" s="419"/>
      <c r="DE503" s="419"/>
      <c r="DF503" s="421"/>
      <c r="DG503" s="421"/>
      <c r="DH503" s="419"/>
      <c r="DI503" s="419"/>
      <c r="DJ503" s="421"/>
      <c r="DK503" s="421"/>
      <c r="DL503" s="419"/>
      <c r="DM503" s="419"/>
      <c r="DN503" s="421"/>
      <c r="DO503" s="421"/>
      <c r="DP503" s="419"/>
      <c r="DQ503" s="419"/>
      <c r="DR503" s="421"/>
      <c r="DS503" s="421"/>
      <c r="DT503" s="419"/>
      <c r="DU503" s="419"/>
      <c r="DV503" s="421"/>
      <c r="DW503" s="421"/>
      <c r="DX503" s="419"/>
      <c r="DY503" s="419"/>
      <c r="DZ503" s="421"/>
      <c r="EA503" s="421"/>
      <c r="EB503" s="419"/>
      <c r="EC503" s="419"/>
      <c r="ED503" s="421"/>
      <c r="EE503" s="421"/>
      <c r="EF503" s="419"/>
      <c r="EG503" s="421"/>
      <c r="EH503" s="424">
        <f t="shared" si="201"/>
        <v>0</v>
      </c>
      <c r="EI503" s="424">
        <f t="shared" si="202"/>
        <v>0</v>
      </c>
      <c r="EJ503" s="422">
        <f t="shared" si="203"/>
        <v>0</v>
      </c>
      <c r="EK503" s="425">
        <f t="shared" si="204"/>
        <v>0</v>
      </c>
      <c r="EL503" s="425">
        <f t="shared" si="205"/>
        <v>0</v>
      </c>
      <c r="EM503" s="423">
        <f t="shared" si="206"/>
        <v>0</v>
      </c>
      <c r="EN503" s="424">
        <f t="shared" si="207"/>
        <v>0</v>
      </c>
      <c r="EO503" s="425">
        <f t="shared" si="208"/>
        <v>0</v>
      </c>
      <c r="EP503" s="419"/>
      <c r="EQ503" s="421"/>
      <c r="ER503" s="419"/>
      <c r="ES503" s="421"/>
      <c r="ET503" s="419"/>
      <c r="EU503" s="421"/>
      <c r="EV503" s="419"/>
      <c r="EW503" s="421"/>
      <c r="EX503" s="419"/>
      <c r="EY503" s="421"/>
      <c r="EZ503" s="419"/>
      <c r="FA503" s="421"/>
      <c r="FB503" s="419"/>
      <c r="FC503" s="421"/>
      <c r="FD503" s="419"/>
      <c r="FE503" s="421"/>
      <c r="FF503" s="419"/>
      <c r="FG503" s="421"/>
      <c r="FH503" s="419"/>
      <c r="FI503" s="421"/>
      <c r="FJ503" s="424">
        <f t="shared" si="209"/>
        <v>0</v>
      </c>
      <c r="FK503" s="425">
        <f t="shared" si="210"/>
        <v>0</v>
      </c>
      <c r="FL503" s="419"/>
      <c r="FM503" s="421"/>
      <c r="FN503" s="424">
        <f t="shared" si="211"/>
        <v>735</v>
      </c>
      <c r="FO503" s="425">
        <f t="shared" si="212"/>
        <v>620</v>
      </c>
    </row>
    <row r="504" spans="1:171" customFormat="1" ht="15.75" customHeight="1">
      <c r="A504" s="457" t="s">
        <v>166</v>
      </c>
      <c r="B504" s="46" t="s">
        <v>1027</v>
      </c>
      <c r="C504" s="15"/>
      <c r="D504" s="44">
        <v>223320</v>
      </c>
      <c r="E504" s="125">
        <v>9</v>
      </c>
      <c r="F504" s="419">
        <v>423</v>
      </c>
      <c r="G504" s="531">
        <v>543</v>
      </c>
      <c r="H504" s="419"/>
      <c r="I504" s="421"/>
      <c r="J504" s="419">
        <v>399</v>
      </c>
      <c r="K504" s="532">
        <v>433</v>
      </c>
      <c r="L504" s="422">
        <f t="shared" si="191"/>
        <v>0</v>
      </c>
      <c r="M504" s="423">
        <f t="shared" si="192"/>
        <v>0</v>
      </c>
      <c r="N504" s="419"/>
      <c r="O504" s="525">
        <f>0</f>
        <v>0</v>
      </c>
      <c r="P504" s="525">
        <f>0</f>
        <v>0</v>
      </c>
      <c r="Q504" s="525">
        <f>0</f>
        <v>0</v>
      </c>
      <c r="R504" s="424">
        <f t="shared" si="189"/>
        <v>0</v>
      </c>
      <c r="S504" s="421"/>
      <c r="T504" s="526">
        <f>0</f>
        <v>0</v>
      </c>
      <c r="U504" s="526">
        <f>0</f>
        <v>0</v>
      </c>
      <c r="V504" s="526">
        <f>0</f>
        <v>0</v>
      </c>
      <c r="W504" s="425">
        <f t="shared" si="190"/>
        <v>0</v>
      </c>
      <c r="X504" s="419"/>
      <c r="Y504" s="419"/>
      <c r="Z504" s="421"/>
      <c r="AA504" s="421"/>
      <c r="AB504" s="419"/>
      <c r="AC504" s="419"/>
      <c r="AD504" s="421"/>
      <c r="AE504" s="421"/>
      <c r="AF504" s="419"/>
      <c r="AG504" s="419"/>
      <c r="AH504" s="421"/>
      <c r="AI504" s="421"/>
      <c r="AJ504" s="419"/>
      <c r="AK504" s="419"/>
      <c r="AL504" s="421"/>
      <c r="AM504" s="421"/>
      <c r="AN504" s="419"/>
      <c r="AO504" s="419"/>
      <c r="AP504" s="421"/>
      <c r="AQ504" s="421"/>
      <c r="AR504" s="424">
        <f t="shared" si="193"/>
        <v>0</v>
      </c>
      <c r="AS504" s="422">
        <f t="shared" si="194"/>
        <v>0</v>
      </c>
      <c r="AT504" s="425">
        <f t="shared" si="195"/>
        <v>0</v>
      </c>
      <c r="AU504" s="423">
        <f t="shared" si="196"/>
        <v>0</v>
      </c>
      <c r="AV504" s="419"/>
      <c r="AW504" s="421"/>
      <c r="AX504" s="419"/>
      <c r="AY504" s="419"/>
      <c r="AZ504" s="421"/>
      <c r="BA504" s="421"/>
      <c r="BB504" s="419"/>
      <c r="BC504" s="419"/>
      <c r="BD504" s="421"/>
      <c r="BE504" s="421"/>
      <c r="BF504" s="419"/>
      <c r="BG504" s="419"/>
      <c r="BH504" s="421"/>
      <c r="BI504" s="421"/>
      <c r="BJ504" s="419"/>
      <c r="BK504" s="419"/>
      <c r="BL504" s="421"/>
      <c r="BM504" s="421"/>
      <c r="BN504" s="419"/>
      <c r="BO504" s="419"/>
      <c r="BP504" s="421"/>
      <c r="BQ504" s="421"/>
      <c r="BR504" s="419"/>
      <c r="BS504" s="419"/>
      <c r="BT504" s="421"/>
      <c r="BU504" s="421"/>
      <c r="BV504" s="419"/>
      <c r="BW504" s="419"/>
      <c r="BX504" s="421"/>
      <c r="BY504" s="421"/>
      <c r="BZ504" s="419"/>
      <c r="CA504" s="419"/>
      <c r="CB504" s="421"/>
      <c r="CC504" s="421"/>
      <c r="CD504" s="419"/>
      <c r="CE504" s="419"/>
      <c r="CF504" s="421"/>
      <c r="CG504" s="421"/>
      <c r="CH504" s="419"/>
      <c r="CI504" s="419"/>
      <c r="CJ504" s="421"/>
      <c r="CK504" s="421"/>
      <c r="CL504" s="419"/>
      <c r="CM504" s="421"/>
      <c r="CN504" s="424">
        <f t="shared" si="197"/>
        <v>0</v>
      </c>
      <c r="CO504" s="424">
        <f t="shared" si="198"/>
        <v>0</v>
      </c>
      <c r="CP504" s="425">
        <f t="shared" si="199"/>
        <v>0</v>
      </c>
      <c r="CQ504" s="425">
        <f t="shared" si="200"/>
        <v>0</v>
      </c>
      <c r="CR504" s="419"/>
      <c r="CS504" s="419"/>
      <c r="CT504" s="421"/>
      <c r="CU504" s="421"/>
      <c r="CV504" s="419"/>
      <c r="CW504" s="419"/>
      <c r="CX504" s="421"/>
      <c r="CY504" s="421"/>
      <c r="CZ504" s="419"/>
      <c r="DA504" s="419"/>
      <c r="DB504" s="421"/>
      <c r="DC504" s="421"/>
      <c r="DD504" s="419"/>
      <c r="DE504" s="419"/>
      <c r="DF504" s="421"/>
      <c r="DG504" s="421"/>
      <c r="DH504" s="419"/>
      <c r="DI504" s="419"/>
      <c r="DJ504" s="421"/>
      <c r="DK504" s="421"/>
      <c r="DL504" s="419"/>
      <c r="DM504" s="419"/>
      <c r="DN504" s="421"/>
      <c r="DO504" s="421"/>
      <c r="DP504" s="419"/>
      <c r="DQ504" s="419"/>
      <c r="DR504" s="421"/>
      <c r="DS504" s="421"/>
      <c r="DT504" s="419"/>
      <c r="DU504" s="419"/>
      <c r="DV504" s="421"/>
      <c r="DW504" s="421"/>
      <c r="DX504" s="419"/>
      <c r="DY504" s="419"/>
      <c r="DZ504" s="421"/>
      <c r="EA504" s="421"/>
      <c r="EB504" s="419"/>
      <c r="EC504" s="419"/>
      <c r="ED504" s="421"/>
      <c r="EE504" s="421"/>
      <c r="EF504" s="419"/>
      <c r="EG504" s="421"/>
      <c r="EH504" s="424">
        <f t="shared" si="201"/>
        <v>0</v>
      </c>
      <c r="EI504" s="424">
        <f t="shared" si="202"/>
        <v>0</v>
      </c>
      <c r="EJ504" s="422">
        <f t="shared" si="203"/>
        <v>0</v>
      </c>
      <c r="EK504" s="425">
        <f t="shared" si="204"/>
        <v>0</v>
      </c>
      <c r="EL504" s="425">
        <f t="shared" si="205"/>
        <v>0</v>
      </c>
      <c r="EM504" s="423">
        <f t="shared" si="206"/>
        <v>0</v>
      </c>
      <c r="EN504" s="424">
        <f t="shared" si="207"/>
        <v>0</v>
      </c>
      <c r="EO504" s="425">
        <f t="shared" si="208"/>
        <v>0</v>
      </c>
      <c r="EP504" s="419"/>
      <c r="EQ504" s="421"/>
      <c r="ER504" s="419"/>
      <c r="ES504" s="421"/>
      <c r="ET504" s="419"/>
      <c r="EU504" s="421"/>
      <c r="EV504" s="419"/>
      <c r="EW504" s="421"/>
      <c r="EX504" s="419"/>
      <c r="EY504" s="421"/>
      <c r="EZ504" s="419"/>
      <c r="FA504" s="421"/>
      <c r="FB504" s="419"/>
      <c r="FC504" s="421"/>
      <c r="FD504" s="419"/>
      <c r="FE504" s="421"/>
      <c r="FF504" s="419"/>
      <c r="FG504" s="421"/>
      <c r="FH504" s="419"/>
      <c r="FI504" s="421"/>
      <c r="FJ504" s="424">
        <f t="shared" si="209"/>
        <v>0</v>
      </c>
      <c r="FK504" s="425">
        <f t="shared" si="210"/>
        <v>0</v>
      </c>
      <c r="FL504" s="419"/>
      <c r="FM504" s="421"/>
      <c r="FN504" s="424">
        <f t="shared" si="211"/>
        <v>822</v>
      </c>
      <c r="FO504" s="425">
        <f t="shared" si="212"/>
        <v>976</v>
      </c>
    </row>
    <row r="505" spans="1:171" customFormat="1" ht="15.75" customHeight="1">
      <c r="A505" s="457" t="s">
        <v>166</v>
      </c>
      <c r="B505" s="46" t="s">
        <v>1028</v>
      </c>
      <c r="C505" s="15"/>
      <c r="D505" s="44">
        <v>226408</v>
      </c>
      <c r="E505" s="125">
        <v>9</v>
      </c>
      <c r="F505" s="419">
        <v>321</v>
      </c>
      <c r="G505" s="531">
        <v>227</v>
      </c>
      <c r="H505" s="419"/>
      <c r="I505" s="421"/>
      <c r="J505" s="419">
        <v>560</v>
      </c>
      <c r="K505" s="532">
        <v>582</v>
      </c>
      <c r="L505" s="422">
        <f t="shared" si="191"/>
        <v>0</v>
      </c>
      <c r="M505" s="423">
        <f t="shared" si="192"/>
        <v>0</v>
      </c>
      <c r="N505" s="419"/>
      <c r="O505" s="525">
        <f>0</f>
        <v>0</v>
      </c>
      <c r="P505" s="525">
        <f>0</f>
        <v>0</v>
      </c>
      <c r="Q505" s="525">
        <f>0</f>
        <v>0</v>
      </c>
      <c r="R505" s="424">
        <f t="shared" si="189"/>
        <v>0</v>
      </c>
      <c r="S505" s="421"/>
      <c r="T505" s="526">
        <f>0</f>
        <v>0</v>
      </c>
      <c r="U505" s="526">
        <f>0</f>
        <v>0</v>
      </c>
      <c r="V505" s="526">
        <f>0</f>
        <v>0</v>
      </c>
      <c r="W505" s="425">
        <f t="shared" si="190"/>
        <v>0</v>
      </c>
      <c r="X505" s="419"/>
      <c r="Y505" s="419"/>
      <c r="Z505" s="421"/>
      <c r="AA505" s="421"/>
      <c r="AB505" s="419"/>
      <c r="AC505" s="419"/>
      <c r="AD505" s="421"/>
      <c r="AE505" s="421"/>
      <c r="AF505" s="419"/>
      <c r="AG505" s="419"/>
      <c r="AH505" s="421"/>
      <c r="AI505" s="421"/>
      <c r="AJ505" s="419"/>
      <c r="AK505" s="419"/>
      <c r="AL505" s="421"/>
      <c r="AM505" s="421"/>
      <c r="AN505" s="419"/>
      <c r="AO505" s="419"/>
      <c r="AP505" s="421"/>
      <c r="AQ505" s="421"/>
      <c r="AR505" s="424">
        <f t="shared" si="193"/>
        <v>0</v>
      </c>
      <c r="AS505" s="422">
        <f t="shared" si="194"/>
        <v>0</v>
      </c>
      <c r="AT505" s="425">
        <f t="shared" si="195"/>
        <v>0</v>
      </c>
      <c r="AU505" s="423">
        <f t="shared" si="196"/>
        <v>0</v>
      </c>
      <c r="AV505" s="419"/>
      <c r="AW505" s="421"/>
      <c r="AX505" s="419"/>
      <c r="AY505" s="419"/>
      <c r="AZ505" s="421"/>
      <c r="BA505" s="421"/>
      <c r="BB505" s="419"/>
      <c r="BC505" s="419"/>
      <c r="BD505" s="421"/>
      <c r="BE505" s="421"/>
      <c r="BF505" s="419"/>
      <c r="BG505" s="419"/>
      <c r="BH505" s="421"/>
      <c r="BI505" s="421"/>
      <c r="BJ505" s="419"/>
      <c r="BK505" s="419"/>
      <c r="BL505" s="421"/>
      <c r="BM505" s="421"/>
      <c r="BN505" s="419"/>
      <c r="BO505" s="419"/>
      <c r="BP505" s="421"/>
      <c r="BQ505" s="421"/>
      <c r="BR505" s="419"/>
      <c r="BS505" s="419"/>
      <c r="BT505" s="421"/>
      <c r="BU505" s="421"/>
      <c r="BV505" s="419"/>
      <c r="BW505" s="419"/>
      <c r="BX505" s="421"/>
      <c r="BY505" s="421"/>
      <c r="BZ505" s="419"/>
      <c r="CA505" s="419"/>
      <c r="CB505" s="421"/>
      <c r="CC505" s="421"/>
      <c r="CD505" s="419"/>
      <c r="CE505" s="419"/>
      <c r="CF505" s="421"/>
      <c r="CG505" s="421"/>
      <c r="CH505" s="419"/>
      <c r="CI505" s="419"/>
      <c r="CJ505" s="421"/>
      <c r="CK505" s="421"/>
      <c r="CL505" s="419"/>
      <c r="CM505" s="421"/>
      <c r="CN505" s="424">
        <f t="shared" si="197"/>
        <v>0</v>
      </c>
      <c r="CO505" s="424">
        <f t="shared" si="198"/>
        <v>0</v>
      </c>
      <c r="CP505" s="425">
        <f t="shared" si="199"/>
        <v>0</v>
      </c>
      <c r="CQ505" s="425">
        <f t="shared" si="200"/>
        <v>0</v>
      </c>
      <c r="CR505" s="419"/>
      <c r="CS505" s="419"/>
      <c r="CT505" s="421"/>
      <c r="CU505" s="421"/>
      <c r="CV505" s="419"/>
      <c r="CW505" s="419"/>
      <c r="CX505" s="421"/>
      <c r="CY505" s="421"/>
      <c r="CZ505" s="419"/>
      <c r="DA505" s="419"/>
      <c r="DB505" s="421"/>
      <c r="DC505" s="421"/>
      <c r="DD505" s="419"/>
      <c r="DE505" s="419"/>
      <c r="DF505" s="421"/>
      <c r="DG505" s="421"/>
      <c r="DH505" s="419"/>
      <c r="DI505" s="419"/>
      <c r="DJ505" s="421"/>
      <c r="DK505" s="421"/>
      <c r="DL505" s="419"/>
      <c r="DM505" s="419"/>
      <c r="DN505" s="421"/>
      <c r="DO505" s="421"/>
      <c r="DP505" s="419"/>
      <c r="DQ505" s="419"/>
      <c r="DR505" s="421"/>
      <c r="DS505" s="421"/>
      <c r="DT505" s="419"/>
      <c r="DU505" s="419"/>
      <c r="DV505" s="421"/>
      <c r="DW505" s="421"/>
      <c r="DX505" s="419"/>
      <c r="DY505" s="419"/>
      <c r="DZ505" s="421"/>
      <c r="EA505" s="421"/>
      <c r="EB505" s="419"/>
      <c r="EC505" s="419"/>
      <c r="ED505" s="421"/>
      <c r="EE505" s="421"/>
      <c r="EF505" s="419"/>
      <c r="EG505" s="421"/>
      <c r="EH505" s="424">
        <f t="shared" si="201"/>
        <v>0</v>
      </c>
      <c r="EI505" s="424">
        <f t="shared" si="202"/>
        <v>0</v>
      </c>
      <c r="EJ505" s="422">
        <f t="shared" si="203"/>
        <v>0</v>
      </c>
      <c r="EK505" s="425">
        <f t="shared" si="204"/>
        <v>0</v>
      </c>
      <c r="EL505" s="425">
        <f t="shared" si="205"/>
        <v>0</v>
      </c>
      <c r="EM505" s="423">
        <f t="shared" si="206"/>
        <v>0</v>
      </c>
      <c r="EN505" s="424">
        <f t="shared" si="207"/>
        <v>0</v>
      </c>
      <c r="EO505" s="425">
        <f t="shared" si="208"/>
        <v>0</v>
      </c>
      <c r="EP505" s="419"/>
      <c r="EQ505" s="421"/>
      <c r="ER505" s="419"/>
      <c r="ES505" s="421"/>
      <c r="ET505" s="419"/>
      <c r="EU505" s="421"/>
      <c r="EV505" s="419"/>
      <c r="EW505" s="421"/>
      <c r="EX505" s="419"/>
      <c r="EY505" s="421"/>
      <c r="EZ505" s="419"/>
      <c r="FA505" s="421"/>
      <c r="FB505" s="419"/>
      <c r="FC505" s="421"/>
      <c r="FD505" s="419"/>
      <c r="FE505" s="421"/>
      <c r="FF505" s="419"/>
      <c r="FG505" s="421"/>
      <c r="FH505" s="419"/>
      <c r="FI505" s="421"/>
      <c r="FJ505" s="424">
        <f t="shared" si="209"/>
        <v>0</v>
      </c>
      <c r="FK505" s="425">
        <f t="shared" si="210"/>
        <v>0</v>
      </c>
      <c r="FL505" s="419"/>
      <c r="FM505" s="421"/>
      <c r="FN505" s="424">
        <f t="shared" si="211"/>
        <v>881</v>
      </c>
      <c r="FO505" s="425">
        <f t="shared" si="212"/>
        <v>809</v>
      </c>
    </row>
    <row r="506" spans="1:171" customFormat="1" ht="15.75" customHeight="1">
      <c r="A506" s="457" t="s">
        <v>166</v>
      </c>
      <c r="B506" s="466" t="s">
        <v>1029</v>
      </c>
      <c r="C506" s="15"/>
      <c r="D506" s="44">
        <v>225070</v>
      </c>
      <c r="E506" s="125">
        <v>9</v>
      </c>
      <c r="F506" s="419">
        <v>484</v>
      </c>
      <c r="G506" s="531">
        <v>285</v>
      </c>
      <c r="H506" s="419"/>
      <c r="I506" s="421"/>
      <c r="J506" s="419">
        <v>660</v>
      </c>
      <c r="K506" s="532">
        <v>691</v>
      </c>
      <c r="L506" s="422">
        <f t="shared" si="191"/>
        <v>0</v>
      </c>
      <c r="M506" s="423">
        <f t="shared" si="192"/>
        <v>0</v>
      </c>
      <c r="N506" s="419"/>
      <c r="O506" s="525">
        <f>0</f>
        <v>0</v>
      </c>
      <c r="P506" s="525">
        <f>0</f>
        <v>0</v>
      </c>
      <c r="Q506" s="525">
        <f>0</f>
        <v>0</v>
      </c>
      <c r="R506" s="424">
        <f t="shared" si="189"/>
        <v>0</v>
      </c>
      <c r="S506" s="421"/>
      <c r="T506" s="526">
        <f>0</f>
        <v>0</v>
      </c>
      <c r="U506" s="526">
        <f>0</f>
        <v>0</v>
      </c>
      <c r="V506" s="526">
        <f>0</f>
        <v>0</v>
      </c>
      <c r="W506" s="425">
        <f t="shared" si="190"/>
        <v>0</v>
      </c>
      <c r="X506" s="419"/>
      <c r="Y506" s="419"/>
      <c r="Z506" s="421">
        <v>51</v>
      </c>
      <c r="AA506" s="465">
        <v>49</v>
      </c>
      <c r="AB506" s="419"/>
      <c r="AC506" s="419"/>
      <c r="AD506" s="421"/>
      <c r="AE506" s="421"/>
      <c r="AF506" s="419"/>
      <c r="AG506" s="419"/>
      <c r="AH506" s="421"/>
      <c r="AI506" s="421"/>
      <c r="AJ506" s="419"/>
      <c r="AK506" s="419"/>
      <c r="AL506" s="421"/>
      <c r="AM506" s="421"/>
      <c r="AN506" s="419"/>
      <c r="AO506" s="419"/>
      <c r="AP506" s="421"/>
      <c r="AQ506" s="421"/>
      <c r="AR506" s="424">
        <f t="shared" si="193"/>
        <v>0</v>
      </c>
      <c r="AS506" s="422">
        <f t="shared" si="194"/>
        <v>0</v>
      </c>
      <c r="AT506" s="425">
        <f t="shared" si="195"/>
        <v>1</v>
      </c>
      <c r="AU506" s="423">
        <f t="shared" si="196"/>
        <v>0</v>
      </c>
      <c r="AV506" s="419"/>
      <c r="AW506" s="421"/>
      <c r="AX506" s="419"/>
      <c r="AY506" s="419"/>
      <c r="AZ506" s="421"/>
      <c r="BA506" s="421"/>
      <c r="BB506" s="419"/>
      <c r="BC506" s="419"/>
      <c r="BD506" s="421"/>
      <c r="BE506" s="421"/>
      <c r="BF506" s="419"/>
      <c r="BG506" s="419"/>
      <c r="BH506" s="421"/>
      <c r="BI506" s="421"/>
      <c r="BJ506" s="419"/>
      <c r="BK506" s="419"/>
      <c r="BL506" s="421"/>
      <c r="BM506" s="421"/>
      <c r="BN506" s="419"/>
      <c r="BO506" s="419"/>
      <c r="BP506" s="421"/>
      <c r="BQ506" s="421"/>
      <c r="BR506" s="419"/>
      <c r="BS506" s="419"/>
      <c r="BT506" s="421"/>
      <c r="BU506" s="421"/>
      <c r="BV506" s="419"/>
      <c r="BW506" s="419"/>
      <c r="BX506" s="421"/>
      <c r="BY506" s="421"/>
      <c r="BZ506" s="419"/>
      <c r="CA506" s="419"/>
      <c r="CB506" s="421"/>
      <c r="CC506" s="421"/>
      <c r="CD506" s="419"/>
      <c r="CE506" s="419"/>
      <c r="CF506" s="421"/>
      <c r="CG506" s="421"/>
      <c r="CH506" s="419"/>
      <c r="CI506" s="419"/>
      <c r="CJ506" s="421"/>
      <c r="CK506" s="421"/>
      <c r="CL506" s="419"/>
      <c r="CM506" s="421"/>
      <c r="CN506" s="424">
        <f t="shared" si="197"/>
        <v>0</v>
      </c>
      <c r="CO506" s="424">
        <f t="shared" si="198"/>
        <v>0</v>
      </c>
      <c r="CP506" s="425">
        <f t="shared" si="199"/>
        <v>0</v>
      </c>
      <c r="CQ506" s="425">
        <f t="shared" si="200"/>
        <v>0</v>
      </c>
      <c r="CR506" s="419"/>
      <c r="CS506" s="419"/>
      <c r="CT506" s="421"/>
      <c r="CU506" s="421"/>
      <c r="CV506" s="419"/>
      <c r="CW506" s="419"/>
      <c r="CX506" s="421"/>
      <c r="CY506" s="421"/>
      <c r="CZ506" s="419"/>
      <c r="DA506" s="419"/>
      <c r="DB506" s="421"/>
      <c r="DC506" s="421"/>
      <c r="DD506" s="419"/>
      <c r="DE506" s="419"/>
      <c r="DF506" s="421"/>
      <c r="DG506" s="421"/>
      <c r="DH506" s="419"/>
      <c r="DI506" s="419"/>
      <c r="DJ506" s="421"/>
      <c r="DK506" s="421"/>
      <c r="DL506" s="419"/>
      <c r="DM506" s="419"/>
      <c r="DN506" s="421"/>
      <c r="DO506" s="421"/>
      <c r="DP506" s="419"/>
      <c r="DQ506" s="419"/>
      <c r="DR506" s="421"/>
      <c r="DS506" s="421"/>
      <c r="DT506" s="419"/>
      <c r="DU506" s="419"/>
      <c r="DV506" s="421"/>
      <c r="DW506" s="421"/>
      <c r="DX506" s="419"/>
      <c r="DY506" s="419"/>
      <c r="DZ506" s="421"/>
      <c r="EA506" s="421"/>
      <c r="EB506" s="419"/>
      <c r="EC506" s="419"/>
      <c r="ED506" s="421"/>
      <c r="EE506" s="421"/>
      <c r="EF506" s="419"/>
      <c r="EG506" s="421"/>
      <c r="EH506" s="424">
        <f t="shared" si="201"/>
        <v>0</v>
      </c>
      <c r="EI506" s="424">
        <f t="shared" si="202"/>
        <v>0</v>
      </c>
      <c r="EJ506" s="422">
        <f t="shared" si="203"/>
        <v>0</v>
      </c>
      <c r="EK506" s="425">
        <f t="shared" si="204"/>
        <v>0</v>
      </c>
      <c r="EL506" s="425">
        <f t="shared" si="205"/>
        <v>0</v>
      </c>
      <c r="EM506" s="423">
        <f t="shared" si="206"/>
        <v>0</v>
      </c>
      <c r="EN506" s="424">
        <f t="shared" si="207"/>
        <v>0</v>
      </c>
      <c r="EO506" s="425">
        <f t="shared" si="208"/>
        <v>0</v>
      </c>
      <c r="EP506" s="419"/>
      <c r="EQ506" s="421"/>
      <c r="ER506" s="419"/>
      <c r="ES506" s="421"/>
      <c r="ET506" s="419"/>
      <c r="EU506" s="421"/>
      <c r="EV506" s="419"/>
      <c r="EW506" s="421"/>
      <c r="EX506" s="419"/>
      <c r="EY506" s="421"/>
      <c r="EZ506" s="419"/>
      <c r="FA506" s="421"/>
      <c r="FB506" s="419"/>
      <c r="FC506" s="421"/>
      <c r="FD506" s="419"/>
      <c r="FE506" s="421"/>
      <c r="FF506" s="419"/>
      <c r="FG506" s="421"/>
      <c r="FH506" s="419"/>
      <c r="FI506" s="421"/>
      <c r="FJ506" s="424">
        <f t="shared" si="209"/>
        <v>0</v>
      </c>
      <c r="FK506" s="425">
        <f t="shared" si="210"/>
        <v>0</v>
      </c>
      <c r="FL506" s="419"/>
      <c r="FM506" s="421"/>
      <c r="FN506" s="424">
        <f t="shared" si="211"/>
        <v>1144</v>
      </c>
      <c r="FO506" s="425">
        <f t="shared" si="212"/>
        <v>976</v>
      </c>
    </row>
    <row r="507" spans="1:171" customFormat="1" ht="15.75" customHeight="1">
      <c r="A507" s="457" t="s">
        <v>166</v>
      </c>
      <c r="B507" s="46" t="s">
        <v>1030</v>
      </c>
      <c r="C507" s="15"/>
      <c r="D507" s="44">
        <v>225371</v>
      </c>
      <c r="E507" s="125">
        <v>9</v>
      </c>
      <c r="F507" s="419">
        <v>325</v>
      </c>
      <c r="G507" s="532">
        <v>270</v>
      </c>
      <c r="H507" s="419"/>
      <c r="I507" s="421"/>
      <c r="J507" s="419">
        <v>463</v>
      </c>
      <c r="K507" s="532">
        <v>481</v>
      </c>
      <c r="L507" s="422">
        <f t="shared" si="191"/>
        <v>0</v>
      </c>
      <c r="M507" s="423">
        <f t="shared" si="192"/>
        <v>0</v>
      </c>
      <c r="N507" s="419"/>
      <c r="O507" s="525">
        <f>0</f>
        <v>0</v>
      </c>
      <c r="P507" s="525">
        <f>0</f>
        <v>0</v>
      </c>
      <c r="Q507" s="525">
        <f>0</f>
        <v>0</v>
      </c>
      <c r="R507" s="424">
        <f t="shared" si="189"/>
        <v>0</v>
      </c>
      <c r="S507" s="421"/>
      <c r="T507" s="526">
        <f>0</f>
        <v>0</v>
      </c>
      <c r="U507" s="526">
        <f>0</f>
        <v>0</v>
      </c>
      <c r="V507" s="526">
        <f>0</f>
        <v>0</v>
      </c>
      <c r="W507" s="425">
        <f t="shared" si="190"/>
        <v>0</v>
      </c>
      <c r="X507" s="419"/>
      <c r="Y507" s="419"/>
      <c r="Z507" s="421"/>
      <c r="AA507" s="421"/>
      <c r="AB507" s="419"/>
      <c r="AC507" s="419"/>
      <c r="AD507" s="421"/>
      <c r="AE507" s="421"/>
      <c r="AF507" s="419"/>
      <c r="AG507" s="419"/>
      <c r="AH507" s="421"/>
      <c r="AI507" s="421"/>
      <c r="AJ507" s="419"/>
      <c r="AK507" s="419"/>
      <c r="AL507" s="421"/>
      <c r="AM507" s="421"/>
      <c r="AN507" s="419"/>
      <c r="AO507" s="419"/>
      <c r="AP507" s="421"/>
      <c r="AQ507" s="421"/>
      <c r="AR507" s="424">
        <f t="shared" si="193"/>
        <v>0</v>
      </c>
      <c r="AS507" s="422">
        <f t="shared" si="194"/>
        <v>0</v>
      </c>
      <c r="AT507" s="425">
        <f t="shared" si="195"/>
        <v>0</v>
      </c>
      <c r="AU507" s="423">
        <f t="shared" si="196"/>
        <v>0</v>
      </c>
      <c r="AV507" s="419"/>
      <c r="AW507" s="421"/>
      <c r="AX507" s="419"/>
      <c r="AY507" s="419"/>
      <c r="AZ507" s="421"/>
      <c r="BA507" s="421"/>
      <c r="BB507" s="419"/>
      <c r="BC507" s="419"/>
      <c r="BD507" s="421"/>
      <c r="BE507" s="421"/>
      <c r="BF507" s="419"/>
      <c r="BG507" s="419"/>
      <c r="BH507" s="421"/>
      <c r="BI507" s="421"/>
      <c r="BJ507" s="419"/>
      <c r="BK507" s="419"/>
      <c r="BL507" s="421"/>
      <c r="BM507" s="421"/>
      <c r="BN507" s="419"/>
      <c r="BO507" s="419"/>
      <c r="BP507" s="421"/>
      <c r="BQ507" s="421"/>
      <c r="BR507" s="419"/>
      <c r="BS507" s="419"/>
      <c r="BT507" s="421"/>
      <c r="BU507" s="421"/>
      <c r="BV507" s="419"/>
      <c r="BW507" s="419"/>
      <c r="BX507" s="421"/>
      <c r="BY507" s="421"/>
      <c r="BZ507" s="419"/>
      <c r="CA507" s="419"/>
      <c r="CB507" s="421"/>
      <c r="CC507" s="421"/>
      <c r="CD507" s="419"/>
      <c r="CE507" s="419"/>
      <c r="CF507" s="421"/>
      <c r="CG507" s="421"/>
      <c r="CH507" s="419"/>
      <c r="CI507" s="419"/>
      <c r="CJ507" s="421"/>
      <c r="CK507" s="421"/>
      <c r="CL507" s="419"/>
      <c r="CM507" s="421"/>
      <c r="CN507" s="424">
        <f t="shared" si="197"/>
        <v>0</v>
      </c>
      <c r="CO507" s="424">
        <f t="shared" si="198"/>
        <v>0</v>
      </c>
      <c r="CP507" s="425">
        <f t="shared" si="199"/>
        <v>0</v>
      </c>
      <c r="CQ507" s="425">
        <f t="shared" si="200"/>
        <v>0</v>
      </c>
      <c r="CR507" s="419"/>
      <c r="CS507" s="419"/>
      <c r="CT507" s="421"/>
      <c r="CU507" s="421"/>
      <c r="CV507" s="419"/>
      <c r="CW507" s="419"/>
      <c r="CX507" s="421"/>
      <c r="CY507" s="421"/>
      <c r="CZ507" s="419"/>
      <c r="DA507" s="419"/>
      <c r="DB507" s="421"/>
      <c r="DC507" s="421"/>
      <c r="DD507" s="419"/>
      <c r="DE507" s="419"/>
      <c r="DF507" s="421"/>
      <c r="DG507" s="421"/>
      <c r="DH507" s="419"/>
      <c r="DI507" s="419"/>
      <c r="DJ507" s="421"/>
      <c r="DK507" s="421"/>
      <c r="DL507" s="419"/>
      <c r="DM507" s="419"/>
      <c r="DN507" s="421"/>
      <c r="DO507" s="421"/>
      <c r="DP507" s="419"/>
      <c r="DQ507" s="419"/>
      <c r="DR507" s="421"/>
      <c r="DS507" s="421"/>
      <c r="DT507" s="419"/>
      <c r="DU507" s="419"/>
      <c r="DV507" s="421"/>
      <c r="DW507" s="421"/>
      <c r="DX507" s="419"/>
      <c r="DY507" s="419"/>
      <c r="DZ507" s="421"/>
      <c r="EA507" s="421"/>
      <c r="EB507" s="419"/>
      <c r="EC507" s="419"/>
      <c r="ED507" s="421"/>
      <c r="EE507" s="421"/>
      <c r="EF507" s="419"/>
      <c r="EG507" s="421"/>
      <c r="EH507" s="424">
        <f t="shared" si="201"/>
        <v>0</v>
      </c>
      <c r="EI507" s="424">
        <f t="shared" si="202"/>
        <v>0</v>
      </c>
      <c r="EJ507" s="422">
        <f t="shared" si="203"/>
        <v>0</v>
      </c>
      <c r="EK507" s="425">
        <f t="shared" si="204"/>
        <v>0</v>
      </c>
      <c r="EL507" s="425">
        <f t="shared" si="205"/>
        <v>0</v>
      </c>
      <c r="EM507" s="423">
        <f t="shared" si="206"/>
        <v>0</v>
      </c>
      <c r="EN507" s="424">
        <f t="shared" si="207"/>
        <v>0</v>
      </c>
      <c r="EO507" s="425">
        <f t="shared" si="208"/>
        <v>0</v>
      </c>
      <c r="EP507" s="419"/>
      <c r="EQ507" s="421"/>
      <c r="ER507" s="419"/>
      <c r="ES507" s="421"/>
      <c r="ET507" s="419"/>
      <c r="EU507" s="421"/>
      <c r="EV507" s="419"/>
      <c r="EW507" s="421"/>
      <c r="EX507" s="419"/>
      <c r="EY507" s="421"/>
      <c r="EZ507" s="419"/>
      <c r="FA507" s="421"/>
      <c r="FB507" s="419"/>
      <c r="FC507" s="421"/>
      <c r="FD507" s="419"/>
      <c r="FE507" s="421"/>
      <c r="FF507" s="419"/>
      <c r="FG507" s="421"/>
      <c r="FH507" s="419"/>
      <c r="FI507" s="421"/>
      <c r="FJ507" s="424">
        <f t="shared" si="209"/>
        <v>0</v>
      </c>
      <c r="FK507" s="425">
        <f t="shared" si="210"/>
        <v>0</v>
      </c>
      <c r="FL507" s="419"/>
      <c r="FM507" s="421"/>
      <c r="FN507" s="424">
        <f t="shared" si="211"/>
        <v>788</v>
      </c>
      <c r="FO507" s="425">
        <f t="shared" si="212"/>
        <v>751</v>
      </c>
    </row>
    <row r="508" spans="1:171" customFormat="1" ht="15.75" customHeight="1">
      <c r="A508" s="457" t="s">
        <v>166</v>
      </c>
      <c r="B508" s="46" t="s">
        <v>1031</v>
      </c>
      <c r="C508" s="15"/>
      <c r="D508" s="44">
        <v>225520</v>
      </c>
      <c r="E508" s="125">
        <v>9</v>
      </c>
      <c r="F508" s="419">
        <v>228</v>
      </c>
      <c r="G508" s="531">
        <v>180</v>
      </c>
      <c r="H508" s="419"/>
      <c r="I508" s="421"/>
      <c r="J508" s="419">
        <v>495</v>
      </c>
      <c r="K508" s="532">
        <v>407</v>
      </c>
      <c r="L508" s="422">
        <f t="shared" si="191"/>
        <v>0</v>
      </c>
      <c r="M508" s="423">
        <f t="shared" si="192"/>
        <v>0</v>
      </c>
      <c r="N508" s="419"/>
      <c r="O508" s="525">
        <f>0</f>
        <v>0</v>
      </c>
      <c r="P508" s="525">
        <f>0</f>
        <v>0</v>
      </c>
      <c r="Q508" s="525">
        <f>0</f>
        <v>0</v>
      </c>
      <c r="R508" s="424">
        <f t="shared" si="189"/>
        <v>0</v>
      </c>
      <c r="S508" s="421"/>
      <c r="T508" s="526">
        <f>0</f>
        <v>0</v>
      </c>
      <c r="U508" s="526">
        <f>0</f>
        <v>0</v>
      </c>
      <c r="V508" s="526">
        <f>0</f>
        <v>0</v>
      </c>
      <c r="W508" s="425">
        <f t="shared" si="190"/>
        <v>0</v>
      </c>
      <c r="X508" s="419"/>
      <c r="Y508" s="419"/>
      <c r="Z508" s="421"/>
      <c r="AA508" s="421"/>
      <c r="AB508" s="419"/>
      <c r="AC508" s="419"/>
      <c r="AD508" s="421"/>
      <c r="AE508" s="421"/>
      <c r="AF508" s="419"/>
      <c r="AG508" s="419"/>
      <c r="AH508" s="421"/>
      <c r="AI508" s="421"/>
      <c r="AJ508" s="419"/>
      <c r="AK508" s="419"/>
      <c r="AL508" s="421"/>
      <c r="AM508" s="421"/>
      <c r="AN508" s="419"/>
      <c r="AO508" s="419"/>
      <c r="AP508" s="421"/>
      <c r="AQ508" s="421"/>
      <c r="AR508" s="424">
        <f t="shared" si="193"/>
        <v>0</v>
      </c>
      <c r="AS508" s="422">
        <f t="shared" si="194"/>
        <v>0</v>
      </c>
      <c r="AT508" s="425">
        <f t="shared" si="195"/>
        <v>0</v>
      </c>
      <c r="AU508" s="423">
        <f t="shared" si="196"/>
        <v>0</v>
      </c>
      <c r="AV508" s="419"/>
      <c r="AW508" s="421"/>
      <c r="AX508" s="419"/>
      <c r="AY508" s="419"/>
      <c r="AZ508" s="421"/>
      <c r="BA508" s="421"/>
      <c r="BB508" s="419"/>
      <c r="BC508" s="419"/>
      <c r="BD508" s="421"/>
      <c r="BE508" s="421"/>
      <c r="BF508" s="419"/>
      <c r="BG508" s="419"/>
      <c r="BH508" s="421"/>
      <c r="BI508" s="421"/>
      <c r="BJ508" s="419"/>
      <c r="BK508" s="419"/>
      <c r="BL508" s="421"/>
      <c r="BM508" s="421"/>
      <c r="BN508" s="419"/>
      <c r="BO508" s="419"/>
      <c r="BP508" s="421"/>
      <c r="BQ508" s="421"/>
      <c r="BR508" s="419"/>
      <c r="BS508" s="419"/>
      <c r="BT508" s="421"/>
      <c r="BU508" s="421"/>
      <c r="BV508" s="419"/>
      <c r="BW508" s="419"/>
      <c r="BX508" s="421"/>
      <c r="BY508" s="421"/>
      <c r="BZ508" s="419"/>
      <c r="CA508" s="419"/>
      <c r="CB508" s="421"/>
      <c r="CC508" s="421"/>
      <c r="CD508" s="419"/>
      <c r="CE508" s="419"/>
      <c r="CF508" s="421"/>
      <c r="CG508" s="421"/>
      <c r="CH508" s="419"/>
      <c r="CI508" s="419"/>
      <c r="CJ508" s="421"/>
      <c r="CK508" s="421"/>
      <c r="CL508" s="419"/>
      <c r="CM508" s="421"/>
      <c r="CN508" s="424">
        <f t="shared" si="197"/>
        <v>0</v>
      </c>
      <c r="CO508" s="424">
        <f t="shared" si="198"/>
        <v>0</v>
      </c>
      <c r="CP508" s="425">
        <f t="shared" si="199"/>
        <v>0</v>
      </c>
      <c r="CQ508" s="425">
        <f t="shared" si="200"/>
        <v>0</v>
      </c>
      <c r="CR508" s="419"/>
      <c r="CS508" s="419"/>
      <c r="CT508" s="421"/>
      <c r="CU508" s="421"/>
      <c r="CV508" s="419"/>
      <c r="CW508" s="419"/>
      <c r="CX508" s="421"/>
      <c r="CY508" s="421"/>
      <c r="CZ508" s="419"/>
      <c r="DA508" s="419"/>
      <c r="DB508" s="421"/>
      <c r="DC508" s="421"/>
      <c r="DD508" s="419"/>
      <c r="DE508" s="419"/>
      <c r="DF508" s="421"/>
      <c r="DG508" s="421"/>
      <c r="DH508" s="419"/>
      <c r="DI508" s="419"/>
      <c r="DJ508" s="421"/>
      <c r="DK508" s="421"/>
      <c r="DL508" s="419"/>
      <c r="DM508" s="419"/>
      <c r="DN508" s="421"/>
      <c r="DO508" s="421"/>
      <c r="DP508" s="419"/>
      <c r="DQ508" s="419"/>
      <c r="DR508" s="421"/>
      <c r="DS508" s="421"/>
      <c r="DT508" s="419"/>
      <c r="DU508" s="419"/>
      <c r="DV508" s="421"/>
      <c r="DW508" s="421"/>
      <c r="DX508" s="419"/>
      <c r="DY508" s="419"/>
      <c r="DZ508" s="421"/>
      <c r="EA508" s="421"/>
      <c r="EB508" s="419"/>
      <c r="EC508" s="419"/>
      <c r="ED508" s="421"/>
      <c r="EE508" s="421"/>
      <c r="EF508" s="419"/>
      <c r="EG508" s="421"/>
      <c r="EH508" s="424">
        <f t="shared" si="201"/>
        <v>0</v>
      </c>
      <c r="EI508" s="424">
        <f t="shared" si="202"/>
        <v>0</v>
      </c>
      <c r="EJ508" s="422">
        <f t="shared" si="203"/>
        <v>0</v>
      </c>
      <c r="EK508" s="425">
        <f t="shared" si="204"/>
        <v>0</v>
      </c>
      <c r="EL508" s="425">
        <f t="shared" si="205"/>
        <v>0</v>
      </c>
      <c r="EM508" s="423">
        <f t="shared" si="206"/>
        <v>0</v>
      </c>
      <c r="EN508" s="424">
        <f t="shared" si="207"/>
        <v>0</v>
      </c>
      <c r="EO508" s="425">
        <f t="shared" si="208"/>
        <v>0</v>
      </c>
      <c r="EP508" s="419"/>
      <c r="EQ508" s="421"/>
      <c r="ER508" s="419"/>
      <c r="ES508" s="421"/>
      <c r="ET508" s="419"/>
      <c r="EU508" s="421"/>
      <c r="EV508" s="419"/>
      <c r="EW508" s="421"/>
      <c r="EX508" s="419"/>
      <c r="EY508" s="421"/>
      <c r="EZ508" s="419"/>
      <c r="FA508" s="421"/>
      <c r="FB508" s="419"/>
      <c r="FC508" s="421"/>
      <c r="FD508" s="419"/>
      <c r="FE508" s="421"/>
      <c r="FF508" s="419"/>
      <c r="FG508" s="421"/>
      <c r="FH508" s="419"/>
      <c r="FI508" s="421"/>
      <c r="FJ508" s="424">
        <f t="shared" si="209"/>
        <v>0</v>
      </c>
      <c r="FK508" s="425">
        <f t="shared" si="210"/>
        <v>0</v>
      </c>
      <c r="FL508" s="419"/>
      <c r="FM508" s="421"/>
      <c r="FN508" s="424">
        <f t="shared" si="211"/>
        <v>723</v>
      </c>
      <c r="FO508" s="425">
        <f t="shared" si="212"/>
        <v>587</v>
      </c>
    </row>
    <row r="509" spans="1:171" customFormat="1" ht="15.75" customHeight="1">
      <c r="A509" s="457" t="s">
        <v>166</v>
      </c>
      <c r="B509" s="46" t="s">
        <v>1032</v>
      </c>
      <c r="C509" s="15"/>
      <c r="D509" s="44">
        <v>226019</v>
      </c>
      <c r="E509" s="125">
        <v>9</v>
      </c>
      <c r="F509" s="419">
        <v>544</v>
      </c>
      <c r="G509" s="532">
        <v>460</v>
      </c>
      <c r="H509" s="419"/>
      <c r="I509" s="421"/>
      <c r="J509" s="419">
        <v>734</v>
      </c>
      <c r="K509" s="532">
        <v>843</v>
      </c>
      <c r="L509" s="422">
        <f t="shared" si="191"/>
        <v>0</v>
      </c>
      <c r="M509" s="423">
        <f t="shared" si="192"/>
        <v>0</v>
      </c>
      <c r="N509" s="419"/>
      <c r="O509" s="534">
        <f>0</f>
        <v>0</v>
      </c>
      <c r="P509" s="534">
        <f>0</f>
        <v>0</v>
      </c>
      <c r="Q509" s="534">
        <f>0</f>
        <v>0</v>
      </c>
      <c r="R509" s="424">
        <f t="shared" si="189"/>
        <v>0</v>
      </c>
      <c r="S509" s="421"/>
      <c r="T509" s="526">
        <f>0</f>
        <v>0</v>
      </c>
      <c r="U509" s="526">
        <f>0</f>
        <v>0</v>
      </c>
      <c r="V509" s="526">
        <f>0</f>
        <v>0</v>
      </c>
      <c r="W509" s="425">
        <f t="shared" si="190"/>
        <v>0</v>
      </c>
      <c r="X509" s="419"/>
      <c r="Y509" s="419"/>
      <c r="Z509" s="421"/>
      <c r="AA509" s="421"/>
      <c r="AB509" s="419"/>
      <c r="AC509" s="419"/>
      <c r="AD509" s="421"/>
      <c r="AE509" s="421"/>
      <c r="AF509" s="419"/>
      <c r="AG509" s="419"/>
      <c r="AH509" s="421"/>
      <c r="AI509" s="421"/>
      <c r="AJ509" s="419"/>
      <c r="AK509" s="419"/>
      <c r="AL509" s="421"/>
      <c r="AM509" s="421"/>
      <c r="AN509" s="419"/>
      <c r="AO509" s="419"/>
      <c r="AP509" s="421"/>
      <c r="AQ509" s="421"/>
      <c r="AR509" s="424">
        <f t="shared" si="193"/>
        <v>0</v>
      </c>
      <c r="AS509" s="422">
        <f t="shared" si="194"/>
        <v>0</v>
      </c>
      <c r="AT509" s="425">
        <f t="shared" si="195"/>
        <v>0</v>
      </c>
      <c r="AU509" s="423">
        <f t="shared" si="196"/>
        <v>0</v>
      </c>
      <c r="AV509" s="419"/>
      <c r="AW509" s="421"/>
      <c r="AX509" s="419"/>
      <c r="AY509" s="419"/>
      <c r="AZ509" s="421"/>
      <c r="BA509" s="421"/>
      <c r="BB509" s="419"/>
      <c r="BC509" s="419"/>
      <c r="BD509" s="421"/>
      <c r="BE509" s="421"/>
      <c r="BF509" s="419"/>
      <c r="BG509" s="419"/>
      <c r="BH509" s="421"/>
      <c r="BI509" s="421"/>
      <c r="BJ509" s="419"/>
      <c r="BK509" s="419"/>
      <c r="BL509" s="421"/>
      <c r="BM509" s="421"/>
      <c r="BN509" s="419"/>
      <c r="BO509" s="419"/>
      <c r="BP509" s="421"/>
      <c r="BQ509" s="421"/>
      <c r="BR509" s="419"/>
      <c r="BS509" s="419"/>
      <c r="BT509" s="421"/>
      <c r="BU509" s="421"/>
      <c r="BV509" s="419"/>
      <c r="BW509" s="419"/>
      <c r="BX509" s="421"/>
      <c r="BY509" s="421"/>
      <c r="BZ509" s="419"/>
      <c r="CA509" s="419"/>
      <c r="CB509" s="421"/>
      <c r="CC509" s="421"/>
      <c r="CD509" s="419"/>
      <c r="CE509" s="419"/>
      <c r="CF509" s="421"/>
      <c r="CG509" s="421"/>
      <c r="CH509" s="419"/>
      <c r="CI509" s="419"/>
      <c r="CJ509" s="421"/>
      <c r="CK509" s="421"/>
      <c r="CL509" s="419"/>
      <c r="CM509" s="421"/>
      <c r="CN509" s="424">
        <f t="shared" si="197"/>
        <v>0</v>
      </c>
      <c r="CO509" s="424">
        <f t="shared" si="198"/>
        <v>0</v>
      </c>
      <c r="CP509" s="425">
        <f t="shared" si="199"/>
        <v>0</v>
      </c>
      <c r="CQ509" s="425">
        <f t="shared" si="200"/>
        <v>0</v>
      </c>
      <c r="CR509" s="419"/>
      <c r="CS509" s="419"/>
      <c r="CT509" s="421"/>
      <c r="CU509" s="421"/>
      <c r="CV509" s="419"/>
      <c r="CW509" s="419"/>
      <c r="CX509" s="421"/>
      <c r="CY509" s="421"/>
      <c r="CZ509" s="419"/>
      <c r="DA509" s="419"/>
      <c r="DB509" s="421"/>
      <c r="DC509" s="421"/>
      <c r="DD509" s="419"/>
      <c r="DE509" s="419"/>
      <c r="DF509" s="421"/>
      <c r="DG509" s="421"/>
      <c r="DH509" s="419"/>
      <c r="DI509" s="419"/>
      <c r="DJ509" s="421"/>
      <c r="DK509" s="421"/>
      <c r="DL509" s="419"/>
      <c r="DM509" s="419"/>
      <c r="DN509" s="421"/>
      <c r="DO509" s="421"/>
      <c r="DP509" s="419"/>
      <c r="DQ509" s="419"/>
      <c r="DR509" s="421"/>
      <c r="DS509" s="421"/>
      <c r="DT509" s="419"/>
      <c r="DU509" s="419"/>
      <c r="DV509" s="421"/>
      <c r="DW509" s="421"/>
      <c r="DX509" s="419"/>
      <c r="DY509" s="419"/>
      <c r="DZ509" s="421"/>
      <c r="EA509" s="421"/>
      <c r="EB509" s="419"/>
      <c r="EC509" s="419"/>
      <c r="ED509" s="421"/>
      <c r="EE509" s="421"/>
      <c r="EF509" s="419"/>
      <c r="EG509" s="421"/>
      <c r="EH509" s="424">
        <f t="shared" si="201"/>
        <v>0</v>
      </c>
      <c r="EI509" s="424">
        <f t="shared" si="202"/>
        <v>0</v>
      </c>
      <c r="EJ509" s="422">
        <f t="shared" si="203"/>
        <v>0</v>
      </c>
      <c r="EK509" s="425">
        <f t="shared" si="204"/>
        <v>0</v>
      </c>
      <c r="EL509" s="425">
        <f t="shared" si="205"/>
        <v>0</v>
      </c>
      <c r="EM509" s="423">
        <f t="shared" si="206"/>
        <v>0</v>
      </c>
      <c r="EN509" s="424">
        <f t="shared" si="207"/>
        <v>0</v>
      </c>
      <c r="EO509" s="425">
        <f t="shared" si="208"/>
        <v>0</v>
      </c>
      <c r="EP509" s="419"/>
      <c r="EQ509" s="421"/>
      <c r="ER509" s="419"/>
      <c r="ES509" s="421"/>
      <c r="ET509" s="419"/>
      <c r="EU509" s="421"/>
      <c r="EV509" s="419"/>
      <c r="EW509" s="421"/>
      <c r="EX509" s="419"/>
      <c r="EY509" s="421"/>
      <c r="EZ509" s="419"/>
      <c r="FA509" s="421"/>
      <c r="FB509" s="419"/>
      <c r="FC509" s="421"/>
      <c r="FD509" s="419"/>
      <c r="FE509" s="421"/>
      <c r="FF509" s="419"/>
      <c r="FG509" s="421"/>
      <c r="FH509" s="419"/>
      <c r="FI509" s="421"/>
      <c r="FJ509" s="424">
        <f t="shared" si="209"/>
        <v>0</v>
      </c>
      <c r="FK509" s="425">
        <f t="shared" si="210"/>
        <v>0</v>
      </c>
      <c r="FL509" s="419"/>
      <c r="FM509" s="421"/>
      <c r="FN509" s="424">
        <f t="shared" si="211"/>
        <v>1278</v>
      </c>
      <c r="FO509" s="425">
        <f t="shared" si="212"/>
        <v>1303</v>
      </c>
    </row>
    <row r="510" spans="1:171" customFormat="1" ht="15.75" customHeight="1">
      <c r="A510" s="457" t="s">
        <v>166</v>
      </c>
      <c r="B510" s="46" t="s">
        <v>1033</v>
      </c>
      <c r="C510" s="15"/>
      <c r="D510" s="44">
        <v>441760</v>
      </c>
      <c r="E510" s="125">
        <v>9</v>
      </c>
      <c r="F510" s="419">
        <v>225</v>
      </c>
      <c r="G510" s="532">
        <v>193</v>
      </c>
      <c r="H510" s="419"/>
      <c r="I510" s="421"/>
      <c r="J510" s="419">
        <v>471</v>
      </c>
      <c r="K510" s="532">
        <v>523</v>
      </c>
      <c r="L510" s="422">
        <f t="shared" si="191"/>
        <v>0</v>
      </c>
      <c r="M510" s="423">
        <f t="shared" si="192"/>
        <v>0</v>
      </c>
      <c r="N510" s="419"/>
      <c r="O510" s="525">
        <f>0</f>
        <v>0</v>
      </c>
      <c r="P510" s="525">
        <f>0</f>
        <v>0</v>
      </c>
      <c r="Q510" s="525">
        <f>0</f>
        <v>0</v>
      </c>
      <c r="R510" s="424">
        <f t="shared" si="189"/>
        <v>0</v>
      </c>
      <c r="S510" s="421"/>
      <c r="T510" s="526">
        <f>0</f>
        <v>0</v>
      </c>
      <c r="U510" s="526">
        <f>0</f>
        <v>0</v>
      </c>
      <c r="V510" s="526">
        <f>0</f>
        <v>0</v>
      </c>
      <c r="W510" s="425">
        <f t="shared" si="190"/>
        <v>0</v>
      </c>
      <c r="X510" s="419"/>
      <c r="Y510" s="419"/>
      <c r="Z510" s="421"/>
      <c r="AA510" s="421"/>
      <c r="AB510" s="419"/>
      <c r="AC510" s="419"/>
      <c r="AD510" s="421"/>
      <c r="AE510" s="421"/>
      <c r="AF510" s="419"/>
      <c r="AG510" s="419"/>
      <c r="AH510" s="421"/>
      <c r="AI510" s="421"/>
      <c r="AJ510" s="419"/>
      <c r="AK510" s="419"/>
      <c r="AL510" s="421"/>
      <c r="AM510" s="421"/>
      <c r="AN510" s="419"/>
      <c r="AO510" s="419"/>
      <c r="AP510" s="421"/>
      <c r="AQ510" s="421"/>
      <c r="AR510" s="424">
        <f t="shared" si="193"/>
        <v>0</v>
      </c>
      <c r="AS510" s="422">
        <f t="shared" si="194"/>
        <v>0</v>
      </c>
      <c r="AT510" s="425">
        <f t="shared" si="195"/>
        <v>0</v>
      </c>
      <c r="AU510" s="423">
        <f t="shared" si="196"/>
        <v>0</v>
      </c>
      <c r="AV510" s="419"/>
      <c r="AW510" s="421"/>
      <c r="AX510" s="419"/>
      <c r="AY510" s="419"/>
      <c r="AZ510" s="421"/>
      <c r="BA510" s="421"/>
      <c r="BB510" s="419"/>
      <c r="BC510" s="419"/>
      <c r="BD510" s="421"/>
      <c r="BE510" s="421"/>
      <c r="BF510" s="419"/>
      <c r="BG510" s="419"/>
      <c r="BH510" s="421"/>
      <c r="BI510" s="421"/>
      <c r="BJ510" s="419"/>
      <c r="BK510" s="419"/>
      <c r="BL510" s="421"/>
      <c r="BM510" s="421"/>
      <c r="BN510" s="419"/>
      <c r="BO510" s="419"/>
      <c r="BP510" s="421"/>
      <c r="BQ510" s="421"/>
      <c r="BR510" s="419"/>
      <c r="BS510" s="419"/>
      <c r="BT510" s="421"/>
      <c r="BU510" s="421"/>
      <c r="BV510" s="419"/>
      <c r="BW510" s="419"/>
      <c r="BX510" s="421"/>
      <c r="BY510" s="421"/>
      <c r="BZ510" s="419"/>
      <c r="CA510" s="419"/>
      <c r="CB510" s="421"/>
      <c r="CC510" s="421"/>
      <c r="CD510" s="419"/>
      <c r="CE510" s="419"/>
      <c r="CF510" s="421"/>
      <c r="CG510" s="421"/>
      <c r="CH510" s="419"/>
      <c r="CI510" s="419"/>
      <c r="CJ510" s="421"/>
      <c r="CK510" s="421"/>
      <c r="CL510" s="419"/>
      <c r="CM510" s="421"/>
      <c r="CN510" s="424">
        <f t="shared" si="197"/>
        <v>0</v>
      </c>
      <c r="CO510" s="424">
        <f t="shared" si="198"/>
        <v>0</v>
      </c>
      <c r="CP510" s="425">
        <f t="shared" si="199"/>
        <v>0</v>
      </c>
      <c r="CQ510" s="425">
        <f t="shared" si="200"/>
        <v>0</v>
      </c>
      <c r="CR510" s="419"/>
      <c r="CS510" s="419"/>
      <c r="CT510" s="421"/>
      <c r="CU510" s="421"/>
      <c r="CV510" s="419"/>
      <c r="CW510" s="419"/>
      <c r="CX510" s="421"/>
      <c r="CY510" s="421"/>
      <c r="CZ510" s="419"/>
      <c r="DA510" s="419"/>
      <c r="DB510" s="421"/>
      <c r="DC510" s="421"/>
      <c r="DD510" s="419"/>
      <c r="DE510" s="419"/>
      <c r="DF510" s="421"/>
      <c r="DG510" s="421"/>
      <c r="DH510" s="419"/>
      <c r="DI510" s="419"/>
      <c r="DJ510" s="421"/>
      <c r="DK510" s="421"/>
      <c r="DL510" s="419"/>
      <c r="DM510" s="419"/>
      <c r="DN510" s="421"/>
      <c r="DO510" s="421"/>
      <c r="DP510" s="419"/>
      <c r="DQ510" s="419"/>
      <c r="DR510" s="421"/>
      <c r="DS510" s="421"/>
      <c r="DT510" s="419"/>
      <c r="DU510" s="419"/>
      <c r="DV510" s="421"/>
      <c r="DW510" s="421"/>
      <c r="DX510" s="419"/>
      <c r="DY510" s="419"/>
      <c r="DZ510" s="421"/>
      <c r="EA510" s="421"/>
      <c r="EB510" s="419"/>
      <c r="EC510" s="419"/>
      <c r="ED510" s="421"/>
      <c r="EE510" s="421"/>
      <c r="EF510" s="419"/>
      <c r="EG510" s="421"/>
      <c r="EH510" s="424">
        <f t="shared" si="201"/>
        <v>0</v>
      </c>
      <c r="EI510" s="424">
        <f t="shared" si="202"/>
        <v>0</v>
      </c>
      <c r="EJ510" s="422">
        <f t="shared" si="203"/>
        <v>0</v>
      </c>
      <c r="EK510" s="425">
        <f t="shared" si="204"/>
        <v>0</v>
      </c>
      <c r="EL510" s="425">
        <f t="shared" si="205"/>
        <v>0</v>
      </c>
      <c r="EM510" s="423">
        <f t="shared" si="206"/>
        <v>0</v>
      </c>
      <c r="EN510" s="424">
        <f t="shared" si="207"/>
        <v>0</v>
      </c>
      <c r="EO510" s="425">
        <f t="shared" si="208"/>
        <v>0</v>
      </c>
      <c r="EP510" s="419"/>
      <c r="EQ510" s="421"/>
      <c r="ER510" s="419"/>
      <c r="ES510" s="421"/>
      <c r="ET510" s="419"/>
      <c r="EU510" s="421"/>
      <c r="EV510" s="419"/>
      <c r="EW510" s="421"/>
      <c r="EX510" s="419"/>
      <c r="EY510" s="421"/>
      <c r="EZ510" s="419"/>
      <c r="FA510" s="421"/>
      <c r="FB510" s="419"/>
      <c r="FC510" s="421"/>
      <c r="FD510" s="419"/>
      <c r="FE510" s="421"/>
      <c r="FF510" s="419"/>
      <c r="FG510" s="421"/>
      <c r="FH510" s="419"/>
      <c r="FI510" s="421"/>
      <c r="FJ510" s="424">
        <f t="shared" si="209"/>
        <v>0</v>
      </c>
      <c r="FK510" s="425">
        <f t="shared" si="210"/>
        <v>0</v>
      </c>
      <c r="FL510" s="419"/>
      <c r="FM510" s="421"/>
      <c r="FN510" s="424">
        <f t="shared" si="211"/>
        <v>696</v>
      </c>
      <c r="FO510" s="425">
        <f t="shared" si="212"/>
        <v>716</v>
      </c>
    </row>
    <row r="511" spans="1:171" customFormat="1" ht="15.75" customHeight="1">
      <c r="A511" s="457" t="s">
        <v>166</v>
      </c>
      <c r="B511" s="46" t="s">
        <v>1034</v>
      </c>
      <c r="C511" s="15"/>
      <c r="D511" s="44">
        <v>226204</v>
      </c>
      <c r="E511" s="125">
        <v>9</v>
      </c>
      <c r="F511" s="419">
        <v>1993</v>
      </c>
      <c r="G511" s="532">
        <v>2235</v>
      </c>
      <c r="H511" s="419"/>
      <c r="I511" s="421"/>
      <c r="J511" s="419">
        <v>1218</v>
      </c>
      <c r="K511" s="532">
        <v>1174</v>
      </c>
      <c r="L511" s="422">
        <f t="shared" si="191"/>
        <v>0</v>
      </c>
      <c r="M511" s="423">
        <f t="shared" si="192"/>
        <v>0</v>
      </c>
      <c r="N511" s="419"/>
      <c r="O511" s="525">
        <f>0</f>
        <v>0</v>
      </c>
      <c r="P511" s="525">
        <f>0</f>
        <v>0</v>
      </c>
      <c r="Q511" s="525">
        <f>0</f>
        <v>0</v>
      </c>
      <c r="R511" s="424">
        <f t="shared" si="189"/>
        <v>0</v>
      </c>
      <c r="S511" s="421"/>
      <c r="T511" s="526">
        <f>0</f>
        <v>0</v>
      </c>
      <c r="U511" s="526">
        <f>0</f>
        <v>0</v>
      </c>
      <c r="V511" s="526">
        <f>0</f>
        <v>0</v>
      </c>
      <c r="W511" s="425">
        <f t="shared" si="190"/>
        <v>0</v>
      </c>
      <c r="X511" s="419"/>
      <c r="Y511" s="419"/>
      <c r="Z511" s="421"/>
      <c r="AA511" s="421"/>
      <c r="AB511" s="419"/>
      <c r="AC511" s="419"/>
      <c r="AD511" s="421"/>
      <c r="AE511" s="421"/>
      <c r="AF511" s="419"/>
      <c r="AG511" s="419"/>
      <c r="AH511" s="421"/>
      <c r="AI511" s="421"/>
      <c r="AJ511" s="419"/>
      <c r="AK511" s="419"/>
      <c r="AL511" s="421"/>
      <c r="AM511" s="421"/>
      <c r="AN511" s="419"/>
      <c r="AO511" s="419"/>
      <c r="AP511" s="421"/>
      <c r="AQ511" s="421"/>
      <c r="AR511" s="424">
        <f t="shared" si="193"/>
        <v>0</v>
      </c>
      <c r="AS511" s="422">
        <f t="shared" si="194"/>
        <v>0</v>
      </c>
      <c r="AT511" s="425">
        <f t="shared" si="195"/>
        <v>0</v>
      </c>
      <c r="AU511" s="423">
        <f t="shared" si="196"/>
        <v>0</v>
      </c>
      <c r="AV511" s="419"/>
      <c r="AW511" s="421"/>
      <c r="AX511" s="419"/>
      <c r="AY511" s="419"/>
      <c r="AZ511" s="421"/>
      <c r="BA511" s="421"/>
      <c r="BB511" s="419"/>
      <c r="BC511" s="419"/>
      <c r="BD511" s="421"/>
      <c r="BE511" s="421"/>
      <c r="BF511" s="419"/>
      <c r="BG511" s="419"/>
      <c r="BH511" s="421"/>
      <c r="BI511" s="421"/>
      <c r="BJ511" s="419"/>
      <c r="BK511" s="419"/>
      <c r="BL511" s="421"/>
      <c r="BM511" s="421"/>
      <c r="BN511" s="419"/>
      <c r="BO511" s="419"/>
      <c r="BP511" s="421"/>
      <c r="BQ511" s="421"/>
      <c r="BR511" s="419"/>
      <c r="BS511" s="419"/>
      <c r="BT511" s="421"/>
      <c r="BU511" s="421"/>
      <c r="BV511" s="419"/>
      <c r="BW511" s="419"/>
      <c r="BX511" s="421"/>
      <c r="BY511" s="421"/>
      <c r="BZ511" s="419"/>
      <c r="CA511" s="419"/>
      <c r="CB511" s="421"/>
      <c r="CC511" s="421"/>
      <c r="CD511" s="419"/>
      <c r="CE511" s="419"/>
      <c r="CF511" s="421"/>
      <c r="CG511" s="421"/>
      <c r="CH511" s="419"/>
      <c r="CI511" s="419"/>
      <c r="CJ511" s="421"/>
      <c r="CK511" s="421"/>
      <c r="CL511" s="419"/>
      <c r="CM511" s="421"/>
      <c r="CN511" s="424">
        <f t="shared" si="197"/>
        <v>0</v>
      </c>
      <c r="CO511" s="424">
        <f t="shared" si="198"/>
        <v>0</v>
      </c>
      <c r="CP511" s="425">
        <f t="shared" si="199"/>
        <v>0</v>
      </c>
      <c r="CQ511" s="425">
        <f t="shared" si="200"/>
        <v>0</v>
      </c>
      <c r="CR511" s="419"/>
      <c r="CS511" s="419"/>
      <c r="CT511" s="421"/>
      <c r="CU511" s="421"/>
      <c r="CV511" s="419"/>
      <c r="CW511" s="419"/>
      <c r="CX511" s="421"/>
      <c r="CY511" s="421"/>
      <c r="CZ511" s="419"/>
      <c r="DA511" s="419"/>
      <c r="DB511" s="421"/>
      <c r="DC511" s="421"/>
      <c r="DD511" s="419"/>
      <c r="DE511" s="419"/>
      <c r="DF511" s="421"/>
      <c r="DG511" s="421"/>
      <c r="DH511" s="419"/>
      <c r="DI511" s="419"/>
      <c r="DJ511" s="421"/>
      <c r="DK511" s="421"/>
      <c r="DL511" s="419"/>
      <c r="DM511" s="419"/>
      <c r="DN511" s="421"/>
      <c r="DO511" s="421"/>
      <c r="DP511" s="419"/>
      <c r="DQ511" s="419"/>
      <c r="DR511" s="421"/>
      <c r="DS511" s="421"/>
      <c r="DT511" s="419"/>
      <c r="DU511" s="419"/>
      <c r="DV511" s="421"/>
      <c r="DW511" s="421"/>
      <c r="DX511" s="419"/>
      <c r="DY511" s="419"/>
      <c r="DZ511" s="421"/>
      <c r="EA511" s="421"/>
      <c r="EB511" s="419"/>
      <c r="EC511" s="419"/>
      <c r="ED511" s="421"/>
      <c r="EE511" s="421"/>
      <c r="EF511" s="419"/>
      <c r="EG511" s="421"/>
      <c r="EH511" s="424">
        <f t="shared" si="201"/>
        <v>0</v>
      </c>
      <c r="EI511" s="424">
        <f t="shared" si="202"/>
        <v>0</v>
      </c>
      <c r="EJ511" s="422">
        <f t="shared" si="203"/>
        <v>0</v>
      </c>
      <c r="EK511" s="425">
        <f t="shared" si="204"/>
        <v>0</v>
      </c>
      <c r="EL511" s="425">
        <f t="shared" si="205"/>
        <v>0</v>
      </c>
      <c r="EM511" s="423">
        <f t="shared" si="206"/>
        <v>0</v>
      </c>
      <c r="EN511" s="424">
        <f t="shared" si="207"/>
        <v>0</v>
      </c>
      <c r="EO511" s="425">
        <f t="shared" si="208"/>
        <v>0</v>
      </c>
      <c r="EP511" s="419"/>
      <c r="EQ511" s="421"/>
      <c r="ER511" s="419"/>
      <c r="ES511" s="421"/>
      <c r="ET511" s="419"/>
      <c r="EU511" s="421"/>
      <c r="EV511" s="419"/>
      <c r="EW511" s="421"/>
      <c r="EX511" s="419"/>
      <c r="EY511" s="421"/>
      <c r="EZ511" s="419"/>
      <c r="FA511" s="421"/>
      <c r="FB511" s="419"/>
      <c r="FC511" s="421"/>
      <c r="FD511" s="419"/>
      <c r="FE511" s="421"/>
      <c r="FF511" s="419"/>
      <c r="FG511" s="421"/>
      <c r="FH511" s="419"/>
      <c r="FI511" s="421"/>
      <c r="FJ511" s="424">
        <f t="shared" si="209"/>
        <v>0</v>
      </c>
      <c r="FK511" s="425">
        <f t="shared" si="210"/>
        <v>0</v>
      </c>
      <c r="FL511" s="419"/>
      <c r="FM511" s="421"/>
      <c r="FN511" s="424">
        <f t="shared" si="211"/>
        <v>3211</v>
      </c>
      <c r="FO511" s="425">
        <f t="shared" si="212"/>
        <v>3409</v>
      </c>
    </row>
    <row r="512" spans="1:171" customFormat="1" ht="15" customHeight="1">
      <c r="A512" s="457" t="s">
        <v>166</v>
      </c>
      <c r="B512" s="46" t="s">
        <v>1035</v>
      </c>
      <c r="C512" s="16" t="s">
        <v>1220</v>
      </c>
      <c r="D512" s="44">
        <v>227225</v>
      </c>
      <c r="E512" s="125">
        <v>9</v>
      </c>
      <c r="F512" s="419">
        <v>277</v>
      </c>
      <c r="G512" s="532">
        <v>233</v>
      </c>
      <c r="H512" s="419"/>
      <c r="I512" s="421"/>
      <c r="J512" s="419">
        <v>489</v>
      </c>
      <c r="K512" s="531">
        <v>385</v>
      </c>
      <c r="L512" s="422">
        <f t="shared" si="191"/>
        <v>0</v>
      </c>
      <c r="M512" s="423">
        <f t="shared" si="192"/>
        <v>0</v>
      </c>
      <c r="N512" s="419"/>
      <c r="O512" s="525">
        <f>0</f>
        <v>0</v>
      </c>
      <c r="P512" s="525">
        <f>0</f>
        <v>0</v>
      </c>
      <c r="Q512" s="525">
        <f>0</f>
        <v>0</v>
      </c>
      <c r="R512" s="424">
        <f t="shared" si="189"/>
        <v>0</v>
      </c>
      <c r="S512" s="421"/>
      <c r="T512" s="526">
        <f>0</f>
        <v>0</v>
      </c>
      <c r="U512" s="526">
        <f>0</f>
        <v>0</v>
      </c>
      <c r="V512" s="526">
        <f>0</f>
        <v>0</v>
      </c>
      <c r="W512" s="425">
        <f t="shared" si="190"/>
        <v>0</v>
      </c>
      <c r="X512" s="419"/>
      <c r="Y512" s="419"/>
      <c r="Z512" s="421"/>
      <c r="AA512" s="421"/>
      <c r="AB512" s="419"/>
      <c r="AC512" s="419"/>
      <c r="AD512" s="421"/>
      <c r="AE512" s="421"/>
      <c r="AF512" s="419"/>
      <c r="AG512" s="419"/>
      <c r="AH512" s="421"/>
      <c r="AI512" s="421"/>
      <c r="AJ512" s="419"/>
      <c r="AK512" s="419"/>
      <c r="AL512" s="421"/>
      <c r="AM512" s="421"/>
      <c r="AN512" s="419"/>
      <c r="AO512" s="419"/>
      <c r="AP512" s="421"/>
      <c r="AQ512" s="421"/>
      <c r="AR512" s="424">
        <f t="shared" si="193"/>
        <v>0</v>
      </c>
      <c r="AS512" s="422">
        <f t="shared" si="194"/>
        <v>0</v>
      </c>
      <c r="AT512" s="425">
        <f t="shared" si="195"/>
        <v>0</v>
      </c>
      <c r="AU512" s="423">
        <f t="shared" si="196"/>
        <v>0</v>
      </c>
      <c r="AV512" s="419"/>
      <c r="AW512" s="421"/>
      <c r="AX512" s="419"/>
      <c r="AY512" s="419"/>
      <c r="AZ512" s="421"/>
      <c r="BA512" s="421"/>
      <c r="BB512" s="419"/>
      <c r="BC512" s="419"/>
      <c r="BD512" s="421"/>
      <c r="BE512" s="421"/>
      <c r="BF512" s="419"/>
      <c r="BG512" s="419"/>
      <c r="BH512" s="421"/>
      <c r="BI512" s="421"/>
      <c r="BJ512" s="419"/>
      <c r="BK512" s="419"/>
      <c r="BL512" s="421"/>
      <c r="BM512" s="421"/>
      <c r="BN512" s="419"/>
      <c r="BO512" s="419"/>
      <c r="BP512" s="421"/>
      <c r="BQ512" s="421"/>
      <c r="BR512" s="419"/>
      <c r="BS512" s="419"/>
      <c r="BT512" s="421"/>
      <c r="BU512" s="421"/>
      <c r="BV512" s="419"/>
      <c r="BW512" s="419"/>
      <c r="BX512" s="421"/>
      <c r="BY512" s="421"/>
      <c r="BZ512" s="419"/>
      <c r="CA512" s="419"/>
      <c r="CB512" s="421"/>
      <c r="CC512" s="421"/>
      <c r="CD512" s="419"/>
      <c r="CE512" s="419"/>
      <c r="CF512" s="421"/>
      <c r="CG512" s="421"/>
      <c r="CH512" s="419"/>
      <c r="CI512" s="419"/>
      <c r="CJ512" s="421"/>
      <c r="CK512" s="421"/>
      <c r="CL512" s="419"/>
      <c r="CM512" s="421"/>
      <c r="CN512" s="424">
        <f t="shared" si="197"/>
        <v>0</v>
      </c>
      <c r="CO512" s="424">
        <f t="shared" si="198"/>
        <v>0</v>
      </c>
      <c r="CP512" s="425">
        <f t="shared" si="199"/>
        <v>0</v>
      </c>
      <c r="CQ512" s="425">
        <f t="shared" si="200"/>
        <v>0</v>
      </c>
      <c r="CR512" s="419"/>
      <c r="CS512" s="419"/>
      <c r="CT512" s="421"/>
      <c r="CU512" s="421"/>
      <c r="CV512" s="419"/>
      <c r="CW512" s="419"/>
      <c r="CX512" s="421"/>
      <c r="CY512" s="421"/>
      <c r="CZ512" s="419"/>
      <c r="DA512" s="419"/>
      <c r="DB512" s="421"/>
      <c r="DC512" s="421"/>
      <c r="DD512" s="419"/>
      <c r="DE512" s="419"/>
      <c r="DF512" s="421"/>
      <c r="DG512" s="421"/>
      <c r="DH512" s="419"/>
      <c r="DI512" s="419"/>
      <c r="DJ512" s="421"/>
      <c r="DK512" s="421"/>
      <c r="DL512" s="419"/>
      <c r="DM512" s="419"/>
      <c r="DN512" s="421"/>
      <c r="DO512" s="421"/>
      <c r="DP512" s="419"/>
      <c r="DQ512" s="419"/>
      <c r="DR512" s="421"/>
      <c r="DS512" s="421"/>
      <c r="DT512" s="419"/>
      <c r="DU512" s="419"/>
      <c r="DV512" s="421"/>
      <c r="DW512" s="421"/>
      <c r="DX512" s="419"/>
      <c r="DY512" s="419"/>
      <c r="DZ512" s="421"/>
      <c r="EA512" s="421"/>
      <c r="EB512" s="419"/>
      <c r="EC512" s="419"/>
      <c r="ED512" s="421"/>
      <c r="EE512" s="421"/>
      <c r="EF512" s="419"/>
      <c r="EG512" s="421"/>
      <c r="EH512" s="424">
        <f t="shared" si="201"/>
        <v>0</v>
      </c>
      <c r="EI512" s="424">
        <f t="shared" si="202"/>
        <v>0</v>
      </c>
      <c r="EJ512" s="422">
        <f t="shared" si="203"/>
        <v>0</v>
      </c>
      <c r="EK512" s="425">
        <f t="shared" si="204"/>
        <v>0</v>
      </c>
      <c r="EL512" s="425">
        <f t="shared" si="205"/>
        <v>0</v>
      </c>
      <c r="EM512" s="423">
        <f t="shared" si="206"/>
        <v>0</v>
      </c>
      <c r="EN512" s="424">
        <f t="shared" si="207"/>
        <v>0</v>
      </c>
      <c r="EO512" s="425">
        <f t="shared" si="208"/>
        <v>0</v>
      </c>
      <c r="EP512" s="419"/>
      <c r="EQ512" s="421"/>
      <c r="ER512" s="419"/>
      <c r="ES512" s="421"/>
      <c r="ET512" s="419"/>
      <c r="EU512" s="421"/>
      <c r="EV512" s="419"/>
      <c r="EW512" s="421"/>
      <c r="EX512" s="419"/>
      <c r="EY512" s="421"/>
      <c r="EZ512" s="419"/>
      <c r="FA512" s="421"/>
      <c r="FB512" s="419"/>
      <c r="FC512" s="421"/>
      <c r="FD512" s="419"/>
      <c r="FE512" s="421"/>
      <c r="FF512" s="419"/>
      <c r="FG512" s="421"/>
      <c r="FH512" s="419"/>
      <c r="FI512" s="421"/>
      <c r="FJ512" s="424">
        <f t="shared" si="209"/>
        <v>0</v>
      </c>
      <c r="FK512" s="425">
        <f t="shared" si="210"/>
        <v>0</v>
      </c>
      <c r="FL512" s="419"/>
      <c r="FM512" s="421"/>
      <c r="FN512" s="424">
        <f t="shared" si="211"/>
        <v>766</v>
      </c>
      <c r="FO512" s="425">
        <f t="shared" si="212"/>
        <v>618</v>
      </c>
    </row>
    <row r="513" spans="1:171" customFormat="1" ht="15" customHeight="1">
      <c r="A513" s="457" t="s">
        <v>166</v>
      </c>
      <c r="B513" s="46" t="s">
        <v>1036</v>
      </c>
      <c r="C513" s="16"/>
      <c r="D513" s="44">
        <v>227304</v>
      </c>
      <c r="E513" s="125">
        <v>9</v>
      </c>
      <c r="F513" s="419">
        <v>601</v>
      </c>
      <c r="G513" s="531">
        <v>444</v>
      </c>
      <c r="H513" s="419"/>
      <c r="I513" s="421"/>
      <c r="J513" s="419">
        <v>977</v>
      </c>
      <c r="K513" s="532">
        <v>910</v>
      </c>
      <c r="L513" s="422">
        <f t="shared" si="191"/>
        <v>0</v>
      </c>
      <c r="M513" s="423">
        <f t="shared" si="192"/>
        <v>0</v>
      </c>
      <c r="N513" s="419"/>
      <c r="O513" s="525">
        <f>0</f>
        <v>0</v>
      </c>
      <c r="P513" s="525">
        <f>0</f>
        <v>0</v>
      </c>
      <c r="Q513" s="525">
        <f>0</f>
        <v>0</v>
      </c>
      <c r="R513" s="424">
        <f t="shared" si="189"/>
        <v>0</v>
      </c>
      <c r="S513" s="421"/>
      <c r="T513" s="526">
        <f>0</f>
        <v>0</v>
      </c>
      <c r="U513" s="526">
        <f>0</f>
        <v>0</v>
      </c>
      <c r="V513" s="526">
        <f>0</f>
        <v>0</v>
      </c>
      <c r="W513" s="425">
        <f t="shared" si="190"/>
        <v>0</v>
      </c>
      <c r="X513" s="419"/>
      <c r="Y513" s="419"/>
      <c r="Z513" s="421"/>
      <c r="AA513" s="421"/>
      <c r="AB513" s="419"/>
      <c r="AC513" s="419"/>
      <c r="AD513" s="421"/>
      <c r="AE513" s="421"/>
      <c r="AF513" s="419"/>
      <c r="AG513" s="419"/>
      <c r="AH513" s="421"/>
      <c r="AI513" s="421"/>
      <c r="AJ513" s="419"/>
      <c r="AK513" s="419"/>
      <c r="AL513" s="421"/>
      <c r="AM513" s="421"/>
      <c r="AN513" s="419"/>
      <c r="AO513" s="419"/>
      <c r="AP513" s="421"/>
      <c r="AQ513" s="421"/>
      <c r="AR513" s="424">
        <f t="shared" si="193"/>
        <v>0</v>
      </c>
      <c r="AS513" s="422">
        <f t="shared" si="194"/>
        <v>0</v>
      </c>
      <c r="AT513" s="425">
        <f t="shared" si="195"/>
        <v>0</v>
      </c>
      <c r="AU513" s="423">
        <f t="shared" si="196"/>
        <v>0</v>
      </c>
      <c r="AV513" s="419"/>
      <c r="AW513" s="421"/>
      <c r="AX513" s="419"/>
      <c r="AY513" s="419"/>
      <c r="AZ513" s="421"/>
      <c r="BA513" s="421"/>
      <c r="BB513" s="419"/>
      <c r="BC513" s="419"/>
      <c r="BD513" s="421"/>
      <c r="BE513" s="421"/>
      <c r="BF513" s="419"/>
      <c r="BG513" s="419"/>
      <c r="BH513" s="421"/>
      <c r="BI513" s="421"/>
      <c r="BJ513" s="419"/>
      <c r="BK513" s="419"/>
      <c r="BL513" s="421"/>
      <c r="BM513" s="421"/>
      <c r="BN513" s="419"/>
      <c r="BO513" s="419"/>
      <c r="BP513" s="421"/>
      <c r="BQ513" s="421"/>
      <c r="BR513" s="419"/>
      <c r="BS513" s="419"/>
      <c r="BT513" s="421"/>
      <c r="BU513" s="421"/>
      <c r="BV513" s="419"/>
      <c r="BW513" s="419"/>
      <c r="BX513" s="421"/>
      <c r="BY513" s="421"/>
      <c r="BZ513" s="419"/>
      <c r="CA513" s="419"/>
      <c r="CB513" s="421"/>
      <c r="CC513" s="421"/>
      <c r="CD513" s="419"/>
      <c r="CE513" s="419"/>
      <c r="CF513" s="421"/>
      <c r="CG513" s="421"/>
      <c r="CH513" s="419"/>
      <c r="CI513" s="419"/>
      <c r="CJ513" s="421"/>
      <c r="CK513" s="421"/>
      <c r="CL513" s="419"/>
      <c r="CM513" s="421"/>
      <c r="CN513" s="424">
        <f t="shared" si="197"/>
        <v>0</v>
      </c>
      <c r="CO513" s="424">
        <f t="shared" si="198"/>
        <v>0</v>
      </c>
      <c r="CP513" s="425">
        <f t="shared" si="199"/>
        <v>0</v>
      </c>
      <c r="CQ513" s="425">
        <f t="shared" si="200"/>
        <v>0</v>
      </c>
      <c r="CR513" s="419"/>
      <c r="CS513" s="419"/>
      <c r="CT513" s="421"/>
      <c r="CU513" s="421"/>
      <c r="CV513" s="419"/>
      <c r="CW513" s="419"/>
      <c r="CX513" s="421"/>
      <c r="CY513" s="421"/>
      <c r="CZ513" s="419"/>
      <c r="DA513" s="419"/>
      <c r="DB513" s="421"/>
      <c r="DC513" s="421"/>
      <c r="DD513" s="419"/>
      <c r="DE513" s="419"/>
      <c r="DF513" s="421"/>
      <c r="DG513" s="421"/>
      <c r="DH513" s="419"/>
      <c r="DI513" s="419"/>
      <c r="DJ513" s="421"/>
      <c r="DK513" s="421"/>
      <c r="DL513" s="419"/>
      <c r="DM513" s="419"/>
      <c r="DN513" s="421"/>
      <c r="DO513" s="421"/>
      <c r="DP513" s="419"/>
      <c r="DQ513" s="419"/>
      <c r="DR513" s="421"/>
      <c r="DS513" s="421"/>
      <c r="DT513" s="419"/>
      <c r="DU513" s="419"/>
      <c r="DV513" s="421"/>
      <c r="DW513" s="421"/>
      <c r="DX513" s="419"/>
      <c r="DY513" s="419"/>
      <c r="DZ513" s="421"/>
      <c r="EA513" s="421"/>
      <c r="EB513" s="419"/>
      <c r="EC513" s="419"/>
      <c r="ED513" s="421"/>
      <c r="EE513" s="421"/>
      <c r="EF513" s="419"/>
      <c r="EG513" s="421"/>
      <c r="EH513" s="424">
        <f t="shared" si="201"/>
        <v>0</v>
      </c>
      <c r="EI513" s="424">
        <f t="shared" si="202"/>
        <v>0</v>
      </c>
      <c r="EJ513" s="422">
        <f t="shared" si="203"/>
        <v>0</v>
      </c>
      <c r="EK513" s="425">
        <f t="shared" si="204"/>
        <v>0</v>
      </c>
      <c r="EL513" s="425">
        <f t="shared" si="205"/>
        <v>0</v>
      </c>
      <c r="EM513" s="423">
        <f t="shared" si="206"/>
        <v>0</v>
      </c>
      <c r="EN513" s="424">
        <f t="shared" si="207"/>
        <v>0</v>
      </c>
      <c r="EO513" s="425">
        <f t="shared" si="208"/>
        <v>0</v>
      </c>
      <c r="EP513" s="419"/>
      <c r="EQ513" s="421"/>
      <c r="ER513" s="419"/>
      <c r="ES513" s="421"/>
      <c r="ET513" s="419"/>
      <c r="EU513" s="421"/>
      <c r="EV513" s="419"/>
      <c r="EW513" s="421"/>
      <c r="EX513" s="419"/>
      <c r="EY513" s="421"/>
      <c r="EZ513" s="419"/>
      <c r="FA513" s="421"/>
      <c r="FB513" s="419"/>
      <c r="FC513" s="421"/>
      <c r="FD513" s="419"/>
      <c r="FE513" s="421"/>
      <c r="FF513" s="419"/>
      <c r="FG513" s="421"/>
      <c r="FH513" s="419"/>
      <c r="FI513" s="421"/>
      <c r="FJ513" s="424">
        <f t="shared" si="209"/>
        <v>0</v>
      </c>
      <c r="FK513" s="425">
        <f t="shared" si="210"/>
        <v>0</v>
      </c>
      <c r="FL513" s="419"/>
      <c r="FM513" s="421"/>
      <c r="FN513" s="424">
        <f t="shared" si="211"/>
        <v>1578</v>
      </c>
      <c r="FO513" s="425">
        <f t="shared" si="212"/>
        <v>1354</v>
      </c>
    </row>
    <row r="514" spans="1:171" customFormat="1" ht="15" customHeight="1">
      <c r="A514" s="457" t="s">
        <v>166</v>
      </c>
      <c r="B514" s="46" t="s">
        <v>1037</v>
      </c>
      <c r="C514" s="16"/>
      <c r="D514" s="44">
        <v>227401</v>
      </c>
      <c r="E514" s="125">
        <v>9</v>
      </c>
      <c r="F514" s="419">
        <v>362</v>
      </c>
      <c r="G514" s="531">
        <v>284</v>
      </c>
      <c r="H514" s="419"/>
      <c r="I514" s="421"/>
      <c r="J514" s="419">
        <v>512</v>
      </c>
      <c r="K514" s="532">
        <v>538</v>
      </c>
      <c r="L514" s="422">
        <f t="shared" si="191"/>
        <v>0</v>
      </c>
      <c r="M514" s="423">
        <f t="shared" si="192"/>
        <v>0</v>
      </c>
      <c r="N514" s="419"/>
      <c r="O514" s="525">
        <f>0</f>
        <v>0</v>
      </c>
      <c r="P514" s="525">
        <f>0</f>
        <v>0</v>
      </c>
      <c r="Q514" s="525">
        <f>0</f>
        <v>0</v>
      </c>
      <c r="R514" s="424">
        <f t="shared" si="189"/>
        <v>0</v>
      </c>
      <c r="S514" s="421"/>
      <c r="T514" s="526">
        <f>0</f>
        <v>0</v>
      </c>
      <c r="U514" s="526">
        <f>0</f>
        <v>0</v>
      </c>
      <c r="V514" s="526">
        <f>0</f>
        <v>0</v>
      </c>
      <c r="W514" s="425">
        <f t="shared" si="190"/>
        <v>0</v>
      </c>
      <c r="X514" s="419"/>
      <c r="Y514" s="419"/>
      <c r="Z514" s="421"/>
      <c r="AA514" s="421"/>
      <c r="AB514" s="419"/>
      <c r="AC514" s="419"/>
      <c r="AD514" s="421"/>
      <c r="AE514" s="421"/>
      <c r="AF514" s="419"/>
      <c r="AG514" s="419"/>
      <c r="AH514" s="421"/>
      <c r="AI514" s="421"/>
      <c r="AJ514" s="419"/>
      <c r="AK514" s="419"/>
      <c r="AL514" s="421"/>
      <c r="AM514" s="421"/>
      <c r="AN514" s="419"/>
      <c r="AO514" s="419"/>
      <c r="AP514" s="421"/>
      <c r="AQ514" s="421"/>
      <c r="AR514" s="424">
        <f t="shared" si="193"/>
        <v>0</v>
      </c>
      <c r="AS514" s="422">
        <f t="shared" si="194"/>
        <v>0</v>
      </c>
      <c r="AT514" s="425">
        <f t="shared" si="195"/>
        <v>0</v>
      </c>
      <c r="AU514" s="423">
        <f t="shared" si="196"/>
        <v>0</v>
      </c>
      <c r="AV514" s="419"/>
      <c r="AW514" s="421"/>
      <c r="AX514" s="419"/>
      <c r="AY514" s="419"/>
      <c r="AZ514" s="421"/>
      <c r="BA514" s="421"/>
      <c r="BB514" s="419"/>
      <c r="BC514" s="419"/>
      <c r="BD514" s="421"/>
      <c r="BE514" s="421"/>
      <c r="BF514" s="419"/>
      <c r="BG514" s="419"/>
      <c r="BH514" s="421"/>
      <c r="BI514" s="421"/>
      <c r="BJ514" s="419"/>
      <c r="BK514" s="419"/>
      <c r="BL514" s="421"/>
      <c r="BM514" s="421"/>
      <c r="BN514" s="419"/>
      <c r="BO514" s="419"/>
      <c r="BP514" s="421"/>
      <c r="BQ514" s="421"/>
      <c r="BR514" s="419"/>
      <c r="BS514" s="419"/>
      <c r="BT514" s="421"/>
      <c r="BU514" s="421"/>
      <c r="BV514" s="419"/>
      <c r="BW514" s="419"/>
      <c r="BX514" s="421"/>
      <c r="BY514" s="421"/>
      <c r="BZ514" s="419"/>
      <c r="CA514" s="419"/>
      <c r="CB514" s="421"/>
      <c r="CC514" s="421"/>
      <c r="CD514" s="419"/>
      <c r="CE514" s="419"/>
      <c r="CF514" s="421"/>
      <c r="CG514" s="421"/>
      <c r="CH514" s="419"/>
      <c r="CI514" s="419"/>
      <c r="CJ514" s="421"/>
      <c r="CK514" s="421"/>
      <c r="CL514" s="419"/>
      <c r="CM514" s="421"/>
      <c r="CN514" s="424">
        <f t="shared" si="197"/>
        <v>0</v>
      </c>
      <c r="CO514" s="424">
        <f t="shared" si="198"/>
        <v>0</v>
      </c>
      <c r="CP514" s="425">
        <f t="shared" si="199"/>
        <v>0</v>
      </c>
      <c r="CQ514" s="425">
        <f t="shared" si="200"/>
        <v>0</v>
      </c>
      <c r="CR514" s="419"/>
      <c r="CS514" s="419"/>
      <c r="CT514" s="421"/>
      <c r="CU514" s="421"/>
      <c r="CV514" s="419"/>
      <c r="CW514" s="419"/>
      <c r="CX514" s="421"/>
      <c r="CY514" s="421"/>
      <c r="CZ514" s="419"/>
      <c r="DA514" s="419"/>
      <c r="DB514" s="421"/>
      <c r="DC514" s="421"/>
      <c r="DD514" s="419"/>
      <c r="DE514" s="419"/>
      <c r="DF514" s="421"/>
      <c r="DG514" s="421"/>
      <c r="DH514" s="419"/>
      <c r="DI514" s="419"/>
      <c r="DJ514" s="421"/>
      <c r="DK514" s="421"/>
      <c r="DL514" s="419"/>
      <c r="DM514" s="419"/>
      <c r="DN514" s="421"/>
      <c r="DO514" s="421"/>
      <c r="DP514" s="419"/>
      <c r="DQ514" s="419"/>
      <c r="DR514" s="421"/>
      <c r="DS514" s="421"/>
      <c r="DT514" s="419"/>
      <c r="DU514" s="419"/>
      <c r="DV514" s="421"/>
      <c r="DW514" s="421"/>
      <c r="DX514" s="419"/>
      <c r="DY514" s="419"/>
      <c r="DZ514" s="421"/>
      <c r="EA514" s="421"/>
      <c r="EB514" s="419"/>
      <c r="EC514" s="419"/>
      <c r="ED514" s="421"/>
      <c r="EE514" s="421"/>
      <c r="EF514" s="419"/>
      <c r="EG514" s="421"/>
      <c r="EH514" s="424">
        <f t="shared" si="201"/>
        <v>0</v>
      </c>
      <c r="EI514" s="424">
        <f t="shared" si="202"/>
        <v>0</v>
      </c>
      <c r="EJ514" s="422">
        <f t="shared" si="203"/>
        <v>0</v>
      </c>
      <c r="EK514" s="425">
        <f t="shared" si="204"/>
        <v>0</v>
      </c>
      <c r="EL514" s="425">
        <f t="shared" si="205"/>
        <v>0</v>
      </c>
      <c r="EM514" s="423">
        <f t="shared" si="206"/>
        <v>0</v>
      </c>
      <c r="EN514" s="424">
        <f t="shared" si="207"/>
        <v>0</v>
      </c>
      <c r="EO514" s="425">
        <f t="shared" si="208"/>
        <v>0</v>
      </c>
      <c r="EP514" s="419"/>
      <c r="EQ514" s="421"/>
      <c r="ER514" s="419"/>
      <c r="ES514" s="421"/>
      <c r="ET514" s="419"/>
      <c r="EU514" s="421"/>
      <c r="EV514" s="419"/>
      <c r="EW514" s="421"/>
      <c r="EX514" s="419"/>
      <c r="EY514" s="421"/>
      <c r="EZ514" s="419"/>
      <c r="FA514" s="421"/>
      <c r="FB514" s="419"/>
      <c r="FC514" s="421"/>
      <c r="FD514" s="419"/>
      <c r="FE514" s="421"/>
      <c r="FF514" s="419"/>
      <c r="FG514" s="421"/>
      <c r="FH514" s="419"/>
      <c r="FI514" s="421"/>
      <c r="FJ514" s="424">
        <f t="shared" si="209"/>
        <v>0</v>
      </c>
      <c r="FK514" s="425">
        <f t="shared" si="210"/>
        <v>0</v>
      </c>
      <c r="FL514" s="419"/>
      <c r="FM514" s="421"/>
      <c r="FN514" s="424">
        <f t="shared" si="211"/>
        <v>874</v>
      </c>
      <c r="FO514" s="425">
        <f t="shared" si="212"/>
        <v>822</v>
      </c>
    </row>
    <row r="515" spans="1:171" customFormat="1" ht="15" customHeight="1">
      <c r="A515" s="457" t="s">
        <v>166</v>
      </c>
      <c r="B515" s="46" t="s">
        <v>1038</v>
      </c>
      <c r="C515" s="16"/>
      <c r="D515" s="44">
        <v>228316</v>
      </c>
      <c r="E515" s="125">
        <v>9</v>
      </c>
      <c r="F515" s="419">
        <v>411</v>
      </c>
      <c r="G515" s="532">
        <v>475</v>
      </c>
      <c r="H515" s="419"/>
      <c r="I515" s="421"/>
      <c r="J515" s="419">
        <v>791</v>
      </c>
      <c r="K515" s="532">
        <v>765</v>
      </c>
      <c r="L515" s="422">
        <f t="shared" si="191"/>
        <v>0</v>
      </c>
      <c r="M515" s="423">
        <f t="shared" si="192"/>
        <v>0</v>
      </c>
      <c r="N515" s="419"/>
      <c r="O515" s="525">
        <f>0</f>
        <v>0</v>
      </c>
      <c r="P515" s="525">
        <f>0</f>
        <v>0</v>
      </c>
      <c r="Q515" s="525">
        <f>0</f>
        <v>0</v>
      </c>
      <c r="R515" s="424">
        <f t="shared" si="189"/>
        <v>0</v>
      </c>
      <c r="S515" s="421"/>
      <c r="T515" s="526">
        <f>0</f>
        <v>0</v>
      </c>
      <c r="U515" s="526">
        <f>0</f>
        <v>0</v>
      </c>
      <c r="V515" s="526">
        <f>0</f>
        <v>0</v>
      </c>
      <c r="W515" s="425">
        <f t="shared" si="190"/>
        <v>0</v>
      </c>
      <c r="X515" s="419"/>
      <c r="Y515" s="419"/>
      <c r="Z515" s="421"/>
      <c r="AA515" s="421"/>
      <c r="AB515" s="419"/>
      <c r="AC515" s="419"/>
      <c r="AD515" s="421"/>
      <c r="AE515" s="421"/>
      <c r="AF515" s="419"/>
      <c r="AG515" s="419"/>
      <c r="AH515" s="421"/>
      <c r="AI515" s="421"/>
      <c r="AJ515" s="419"/>
      <c r="AK515" s="419"/>
      <c r="AL515" s="421"/>
      <c r="AM515" s="421"/>
      <c r="AN515" s="419"/>
      <c r="AO515" s="419"/>
      <c r="AP515" s="421"/>
      <c r="AQ515" s="421"/>
      <c r="AR515" s="424">
        <f t="shared" si="193"/>
        <v>0</v>
      </c>
      <c r="AS515" s="422">
        <f t="shared" si="194"/>
        <v>0</v>
      </c>
      <c r="AT515" s="425">
        <f t="shared" si="195"/>
        <v>0</v>
      </c>
      <c r="AU515" s="423">
        <f t="shared" si="196"/>
        <v>0</v>
      </c>
      <c r="AV515" s="419"/>
      <c r="AW515" s="421"/>
      <c r="AX515" s="419"/>
      <c r="AY515" s="419"/>
      <c r="AZ515" s="421"/>
      <c r="BA515" s="421"/>
      <c r="BB515" s="419"/>
      <c r="BC515" s="419"/>
      <c r="BD515" s="421"/>
      <c r="BE515" s="421"/>
      <c r="BF515" s="419"/>
      <c r="BG515" s="419"/>
      <c r="BH515" s="421"/>
      <c r="BI515" s="421"/>
      <c r="BJ515" s="419"/>
      <c r="BK515" s="419"/>
      <c r="BL515" s="421"/>
      <c r="BM515" s="421"/>
      <c r="BN515" s="419"/>
      <c r="BO515" s="419"/>
      <c r="BP515" s="421"/>
      <c r="BQ515" s="421"/>
      <c r="BR515" s="419"/>
      <c r="BS515" s="419"/>
      <c r="BT515" s="421"/>
      <c r="BU515" s="421"/>
      <c r="BV515" s="419"/>
      <c r="BW515" s="419"/>
      <c r="BX515" s="421"/>
      <c r="BY515" s="421"/>
      <c r="BZ515" s="419"/>
      <c r="CA515" s="419"/>
      <c r="CB515" s="421"/>
      <c r="CC515" s="421"/>
      <c r="CD515" s="419"/>
      <c r="CE515" s="419"/>
      <c r="CF515" s="421"/>
      <c r="CG515" s="421"/>
      <c r="CH515" s="419"/>
      <c r="CI515" s="419"/>
      <c r="CJ515" s="421"/>
      <c r="CK515" s="421"/>
      <c r="CL515" s="419"/>
      <c r="CM515" s="421"/>
      <c r="CN515" s="424">
        <f t="shared" si="197"/>
        <v>0</v>
      </c>
      <c r="CO515" s="424">
        <f t="shared" si="198"/>
        <v>0</v>
      </c>
      <c r="CP515" s="425">
        <f t="shared" si="199"/>
        <v>0</v>
      </c>
      <c r="CQ515" s="425">
        <f t="shared" si="200"/>
        <v>0</v>
      </c>
      <c r="CR515" s="419"/>
      <c r="CS515" s="419"/>
      <c r="CT515" s="421"/>
      <c r="CU515" s="421"/>
      <c r="CV515" s="419"/>
      <c r="CW515" s="419"/>
      <c r="CX515" s="421"/>
      <c r="CY515" s="421"/>
      <c r="CZ515" s="419"/>
      <c r="DA515" s="419"/>
      <c r="DB515" s="421"/>
      <c r="DC515" s="421"/>
      <c r="DD515" s="419"/>
      <c r="DE515" s="419"/>
      <c r="DF515" s="421"/>
      <c r="DG515" s="421"/>
      <c r="DH515" s="419"/>
      <c r="DI515" s="419"/>
      <c r="DJ515" s="421"/>
      <c r="DK515" s="421"/>
      <c r="DL515" s="419"/>
      <c r="DM515" s="419"/>
      <c r="DN515" s="421"/>
      <c r="DO515" s="421"/>
      <c r="DP515" s="419"/>
      <c r="DQ515" s="419"/>
      <c r="DR515" s="421"/>
      <c r="DS515" s="421"/>
      <c r="DT515" s="419"/>
      <c r="DU515" s="419"/>
      <c r="DV515" s="421"/>
      <c r="DW515" s="421"/>
      <c r="DX515" s="419"/>
      <c r="DY515" s="419"/>
      <c r="DZ515" s="421"/>
      <c r="EA515" s="421"/>
      <c r="EB515" s="419"/>
      <c r="EC515" s="419"/>
      <c r="ED515" s="421"/>
      <c r="EE515" s="421"/>
      <c r="EF515" s="419"/>
      <c r="EG515" s="421"/>
      <c r="EH515" s="424">
        <f t="shared" si="201"/>
        <v>0</v>
      </c>
      <c r="EI515" s="424">
        <f t="shared" si="202"/>
        <v>0</v>
      </c>
      <c r="EJ515" s="422">
        <f t="shared" si="203"/>
        <v>0</v>
      </c>
      <c r="EK515" s="425">
        <f t="shared" si="204"/>
        <v>0</v>
      </c>
      <c r="EL515" s="425">
        <f t="shared" si="205"/>
        <v>0</v>
      </c>
      <c r="EM515" s="423">
        <f t="shared" si="206"/>
        <v>0</v>
      </c>
      <c r="EN515" s="424">
        <f t="shared" si="207"/>
        <v>0</v>
      </c>
      <c r="EO515" s="425">
        <f t="shared" si="208"/>
        <v>0</v>
      </c>
      <c r="EP515" s="419"/>
      <c r="EQ515" s="421"/>
      <c r="ER515" s="419"/>
      <c r="ES515" s="421"/>
      <c r="ET515" s="419"/>
      <c r="EU515" s="421"/>
      <c r="EV515" s="419"/>
      <c r="EW515" s="421"/>
      <c r="EX515" s="419"/>
      <c r="EY515" s="421"/>
      <c r="EZ515" s="419"/>
      <c r="FA515" s="421"/>
      <c r="FB515" s="419"/>
      <c r="FC515" s="421"/>
      <c r="FD515" s="419"/>
      <c r="FE515" s="421"/>
      <c r="FF515" s="419"/>
      <c r="FG515" s="421"/>
      <c r="FH515" s="419"/>
      <c r="FI515" s="421"/>
      <c r="FJ515" s="424">
        <f t="shared" si="209"/>
        <v>0</v>
      </c>
      <c r="FK515" s="425">
        <f t="shared" si="210"/>
        <v>0</v>
      </c>
      <c r="FL515" s="419"/>
      <c r="FM515" s="421"/>
      <c r="FN515" s="424">
        <f t="shared" si="211"/>
        <v>1202</v>
      </c>
      <c r="FO515" s="425">
        <f t="shared" si="212"/>
        <v>1240</v>
      </c>
    </row>
    <row r="516" spans="1:171" customFormat="1" ht="15" customHeight="1">
      <c r="A516" s="457" t="s">
        <v>166</v>
      </c>
      <c r="B516" s="46" t="s">
        <v>1039</v>
      </c>
      <c r="C516" s="16"/>
      <c r="D516" s="44">
        <v>228608</v>
      </c>
      <c r="E516" s="125">
        <v>9</v>
      </c>
      <c r="F516" s="419">
        <v>158</v>
      </c>
      <c r="G516" s="532">
        <v>157</v>
      </c>
      <c r="H516" s="419"/>
      <c r="I516" s="421"/>
      <c r="J516" s="419">
        <v>646</v>
      </c>
      <c r="K516" s="532">
        <v>530</v>
      </c>
      <c r="L516" s="422">
        <f t="shared" si="191"/>
        <v>0</v>
      </c>
      <c r="M516" s="423">
        <f t="shared" si="192"/>
        <v>0</v>
      </c>
      <c r="N516" s="419"/>
      <c r="O516" s="525">
        <f>0</f>
        <v>0</v>
      </c>
      <c r="P516" s="525">
        <f>0</f>
        <v>0</v>
      </c>
      <c r="Q516" s="525">
        <f>0</f>
        <v>0</v>
      </c>
      <c r="R516" s="424">
        <f t="shared" si="189"/>
        <v>0</v>
      </c>
      <c r="S516" s="421"/>
      <c r="T516" s="526">
        <f>0</f>
        <v>0</v>
      </c>
      <c r="U516" s="526">
        <f>0</f>
        <v>0</v>
      </c>
      <c r="V516" s="526">
        <f>0</f>
        <v>0</v>
      </c>
      <c r="W516" s="425">
        <f t="shared" si="190"/>
        <v>0</v>
      </c>
      <c r="X516" s="419"/>
      <c r="Y516" s="419"/>
      <c r="Z516" s="421"/>
      <c r="AA516" s="421"/>
      <c r="AB516" s="419"/>
      <c r="AC516" s="419"/>
      <c r="AD516" s="421"/>
      <c r="AE516" s="421"/>
      <c r="AF516" s="419"/>
      <c r="AG516" s="419"/>
      <c r="AH516" s="421"/>
      <c r="AI516" s="421"/>
      <c r="AJ516" s="419"/>
      <c r="AK516" s="419"/>
      <c r="AL516" s="421"/>
      <c r="AM516" s="421"/>
      <c r="AN516" s="419"/>
      <c r="AO516" s="419"/>
      <c r="AP516" s="421"/>
      <c r="AQ516" s="421"/>
      <c r="AR516" s="424">
        <f t="shared" si="193"/>
        <v>0</v>
      </c>
      <c r="AS516" s="422">
        <f t="shared" si="194"/>
        <v>0</v>
      </c>
      <c r="AT516" s="425">
        <f t="shared" si="195"/>
        <v>0</v>
      </c>
      <c r="AU516" s="423">
        <f t="shared" si="196"/>
        <v>0</v>
      </c>
      <c r="AV516" s="419"/>
      <c r="AW516" s="421"/>
      <c r="AX516" s="419"/>
      <c r="AY516" s="419"/>
      <c r="AZ516" s="421"/>
      <c r="BA516" s="421"/>
      <c r="BB516" s="419"/>
      <c r="BC516" s="419"/>
      <c r="BD516" s="421"/>
      <c r="BE516" s="421"/>
      <c r="BF516" s="419"/>
      <c r="BG516" s="419"/>
      <c r="BH516" s="421"/>
      <c r="BI516" s="421"/>
      <c r="BJ516" s="419"/>
      <c r="BK516" s="419"/>
      <c r="BL516" s="421"/>
      <c r="BM516" s="421"/>
      <c r="BN516" s="419"/>
      <c r="BO516" s="419"/>
      <c r="BP516" s="421"/>
      <c r="BQ516" s="421"/>
      <c r="BR516" s="419"/>
      <c r="BS516" s="419"/>
      <c r="BT516" s="421"/>
      <c r="BU516" s="421"/>
      <c r="BV516" s="419"/>
      <c r="BW516" s="419"/>
      <c r="BX516" s="421"/>
      <c r="BY516" s="421"/>
      <c r="BZ516" s="419"/>
      <c r="CA516" s="419"/>
      <c r="CB516" s="421"/>
      <c r="CC516" s="421"/>
      <c r="CD516" s="419"/>
      <c r="CE516" s="419"/>
      <c r="CF516" s="421"/>
      <c r="CG516" s="421"/>
      <c r="CH516" s="419"/>
      <c r="CI516" s="419"/>
      <c r="CJ516" s="421"/>
      <c r="CK516" s="421"/>
      <c r="CL516" s="419"/>
      <c r="CM516" s="421"/>
      <c r="CN516" s="424">
        <f t="shared" si="197"/>
        <v>0</v>
      </c>
      <c r="CO516" s="424">
        <f t="shared" si="198"/>
        <v>0</v>
      </c>
      <c r="CP516" s="425">
        <f t="shared" si="199"/>
        <v>0</v>
      </c>
      <c r="CQ516" s="425">
        <f t="shared" si="200"/>
        <v>0</v>
      </c>
      <c r="CR516" s="419"/>
      <c r="CS516" s="419"/>
      <c r="CT516" s="421"/>
      <c r="CU516" s="421"/>
      <c r="CV516" s="419"/>
      <c r="CW516" s="419"/>
      <c r="CX516" s="421"/>
      <c r="CY516" s="421"/>
      <c r="CZ516" s="419"/>
      <c r="DA516" s="419"/>
      <c r="DB516" s="421"/>
      <c r="DC516" s="421"/>
      <c r="DD516" s="419"/>
      <c r="DE516" s="419"/>
      <c r="DF516" s="421"/>
      <c r="DG516" s="421"/>
      <c r="DH516" s="419"/>
      <c r="DI516" s="419"/>
      <c r="DJ516" s="421"/>
      <c r="DK516" s="421"/>
      <c r="DL516" s="419"/>
      <c r="DM516" s="419"/>
      <c r="DN516" s="421"/>
      <c r="DO516" s="421"/>
      <c r="DP516" s="419"/>
      <c r="DQ516" s="419"/>
      <c r="DR516" s="421"/>
      <c r="DS516" s="421"/>
      <c r="DT516" s="419"/>
      <c r="DU516" s="419"/>
      <c r="DV516" s="421"/>
      <c r="DW516" s="421"/>
      <c r="DX516" s="419"/>
      <c r="DY516" s="419"/>
      <c r="DZ516" s="421"/>
      <c r="EA516" s="421"/>
      <c r="EB516" s="419"/>
      <c r="EC516" s="419"/>
      <c r="ED516" s="421"/>
      <c r="EE516" s="421"/>
      <c r="EF516" s="419"/>
      <c r="EG516" s="421"/>
      <c r="EH516" s="424">
        <f t="shared" si="201"/>
        <v>0</v>
      </c>
      <c r="EI516" s="424">
        <f t="shared" si="202"/>
        <v>0</v>
      </c>
      <c r="EJ516" s="422">
        <f t="shared" si="203"/>
        <v>0</v>
      </c>
      <c r="EK516" s="425">
        <f t="shared" si="204"/>
        <v>0</v>
      </c>
      <c r="EL516" s="425">
        <f t="shared" si="205"/>
        <v>0</v>
      </c>
      <c r="EM516" s="423">
        <f t="shared" si="206"/>
        <v>0</v>
      </c>
      <c r="EN516" s="424">
        <f t="shared" si="207"/>
        <v>0</v>
      </c>
      <c r="EO516" s="425">
        <f t="shared" si="208"/>
        <v>0</v>
      </c>
      <c r="EP516" s="419"/>
      <c r="EQ516" s="421"/>
      <c r="ER516" s="419"/>
      <c r="ES516" s="421"/>
      <c r="ET516" s="419"/>
      <c r="EU516" s="421"/>
      <c r="EV516" s="419"/>
      <c r="EW516" s="421"/>
      <c r="EX516" s="419"/>
      <c r="EY516" s="421"/>
      <c r="EZ516" s="419"/>
      <c r="FA516" s="421"/>
      <c r="FB516" s="419"/>
      <c r="FC516" s="421"/>
      <c r="FD516" s="419"/>
      <c r="FE516" s="421"/>
      <c r="FF516" s="419"/>
      <c r="FG516" s="421"/>
      <c r="FH516" s="419"/>
      <c r="FI516" s="421"/>
      <c r="FJ516" s="424">
        <f t="shared" si="209"/>
        <v>0</v>
      </c>
      <c r="FK516" s="425">
        <f t="shared" si="210"/>
        <v>0</v>
      </c>
      <c r="FL516" s="419"/>
      <c r="FM516" s="421"/>
      <c r="FN516" s="424">
        <f t="shared" si="211"/>
        <v>804</v>
      </c>
      <c r="FO516" s="425">
        <f t="shared" si="212"/>
        <v>687</v>
      </c>
    </row>
    <row r="517" spans="1:171" customFormat="1" ht="15" customHeight="1">
      <c r="A517" s="457" t="s">
        <v>166</v>
      </c>
      <c r="B517" s="46" t="s">
        <v>1040</v>
      </c>
      <c r="C517" s="16"/>
      <c r="D517" s="44">
        <v>228699</v>
      </c>
      <c r="E517" s="125">
        <v>9</v>
      </c>
      <c r="F517" s="419">
        <v>604</v>
      </c>
      <c r="G517" s="532">
        <v>544</v>
      </c>
      <c r="H517" s="419"/>
      <c r="I517" s="421"/>
      <c r="J517" s="419">
        <v>495</v>
      </c>
      <c r="K517" s="532">
        <v>406</v>
      </c>
      <c r="L517" s="422">
        <f t="shared" si="191"/>
        <v>0</v>
      </c>
      <c r="M517" s="423">
        <f t="shared" si="192"/>
        <v>0</v>
      </c>
      <c r="N517" s="419"/>
      <c r="O517" s="525">
        <f>0</f>
        <v>0</v>
      </c>
      <c r="P517" s="525">
        <f>0</f>
        <v>0</v>
      </c>
      <c r="Q517" s="525">
        <f>0</f>
        <v>0</v>
      </c>
      <c r="R517" s="424">
        <f t="shared" si="189"/>
        <v>0</v>
      </c>
      <c r="S517" s="421"/>
      <c r="T517" s="526">
        <f>0</f>
        <v>0</v>
      </c>
      <c r="U517" s="526">
        <f>0</f>
        <v>0</v>
      </c>
      <c r="V517" s="526">
        <f>0</f>
        <v>0</v>
      </c>
      <c r="W517" s="425">
        <f t="shared" si="190"/>
        <v>0</v>
      </c>
      <c r="X517" s="419"/>
      <c r="Y517" s="419"/>
      <c r="Z517" s="421"/>
      <c r="AA517" s="421"/>
      <c r="AB517" s="419"/>
      <c r="AC517" s="419"/>
      <c r="AD517" s="421"/>
      <c r="AE517" s="421"/>
      <c r="AF517" s="419"/>
      <c r="AG517" s="419"/>
      <c r="AH517" s="421"/>
      <c r="AI517" s="421"/>
      <c r="AJ517" s="419"/>
      <c r="AK517" s="419"/>
      <c r="AL517" s="421"/>
      <c r="AM517" s="421"/>
      <c r="AN517" s="419"/>
      <c r="AO517" s="419"/>
      <c r="AP517" s="421"/>
      <c r="AQ517" s="421"/>
      <c r="AR517" s="424">
        <f t="shared" si="193"/>
        <v>0</v>
      </c>
      <c r="AS517" s="422">
        <f t="shared" si="194"/>
        <v>0</v>
      </c>
      <c r="AT517" s="425">
        <f t="shared" si="195"/>
        <v>0</v>
      </c>
      <c r="AU517" s="423">
        <f t="shared" si="196"/>
        <v>0</v>
      </c>
      <c r="AV517" s="419"/>
      <c r="AW517" s="421"/>
      <c r="AX517" s="419"/>
      <c r="AY517" s="419"/>
      <c r="AZ517" s="421"/>
      <c r="BA517" s="421"/>
      <c r="BB517" s="419"/>
      <c r="BC517" s="419"/>
      <c r="BD517" s="421"/>
      <c r="BE517" s="421"/>
      <c r="BF517" s="419"/>
      <c r="BG517" s="419"/>
      <c r="BH517" s="421"/>
      <c r="BI517" s="421"/>
      <c r="BJ517" s="419"/>
      <c r="BK517" s="419"/>
      <c r="BL517" s="421"/>
      <c r="BM517" s="421"/>
      <c r="BN517" s="419"/>
      <c r="BO517" s="419"/>
      <c r="BP517" s="421"/>
      <c r="BQ517" s="421"/>
      <c r="BR517" s="419"/>
      <c r="BS517" s="419"/>
      <c r="BT517" s="421"/>
      <c r="BU517" s="421"/>
      <c r="BV517" s="419"/>
      <c r="BW517" s="419"/>
      <c r="BX517" s="421"/>
      <c r="BY517" s="421"/>
      <c r="BZ517" s="419"/>
      <c r="CA517" s="419"/>
      <c r="CB517" s="421"/>
      <c r="CC517" s="421"/>
      <c r="CD517" s="419"/>
      <c r="CE517" s="419"/>
      <c r="CF517" s="421"/>
      <c r="CG517" s="421"/>
      <c r="CH517" s="419"/>
      <c r="CI517" s="419"/>
      <c r="CJ517" s="421"/>
      <c r="CK517" s="421"/>
      <c r="CL517" s="419"/>
      <c r="CM517" s="421"/>
      <c r="CN517" s="424">
        <f t="shared" si="197"/>
        <v>0</v>
      </c>
      <c r="CO517" s="424">
        <f t="shared" si="198"/>
        <v>0</v>
      </c>
      <c r="CP517" s="425">
        <f t="shared" si="199"/>
        <v>0</v>
      </c>
      <c r="CQ517" s="425">
        <f t="shared" si="200"/>
        <v>0</v>
      </c>
      <c r="CR517" s="419"/>
      <c r="CS517" s="419"/>
      <c r="CT517" s="421"/>
      <c r="CU517" s="421"/>
      <c r="CV517" s="419"/>
      <c r="CW517" s="419"/>
      <c r="CX517" s="421"/>
      <c r="CY517" s="421"/>
      <c r="CZ517" s="419"/>
      <c r="DA517" s="419"/>
      <c r="DB517" s="421"/>
      <c r="DC517" s="421"/>
      <c r="DD517" s="419"/>
      <c r="DE517" s="419"/>
      <c r="DF517" s="421"/>
      <c r="DG517" s="421"/>
      <c r="DH517" s="419"/>
      <c r="DI517" s="419"/>
      <c r="DJ517" s="421"/>
      <c r="DK517" s="421"/>
      <c r="DL517" s="419"/>
      <c r="DM517" s="419"/>
      <c r="DN517" s="421"/>
      <c r="DO517" s="421"/>
      <c r="DP517" s="419"/>
      <c r="DQ517" s="419"/>
      <c r="DR517" s="421"/>
      <c r="DS517" s="421"/>
      <c r="DT517" s="419"/>
      <c r="DU517" s="419"/>
      <c r="DV517" s="421"/>
      <c r="DW517" s="421"/>
      <c r="DX517" s="419"/>
      <c r="DY517" s="419"/>
      <c r="DZ517" s="421"/>
      <c r="EA517" s="421"/>
      <c r="EB517" s="419"/>
      <c r="EC517" s="419"/>
      <c r="ED517" s="421"/>
      <c r="EE517" s="421"/>
      <c r="EF517" s="419"/>
      <c r="EG517" s="421"/>
      <c r="EH517" s="424">
        <f t="shared" si="201"/>
        <v>0</v>
      </c>
      <c r="EI517" s="424">
        <f t="shared" si="202"/>
        <v>0</v>
      </c>
      <c r="EJ517" s="422">
        <f t="shared" si="203"/>
        <v>0</v>
      </c>
      <c r="EK517" s="425">
        <f t="shared" si="204"/>
        <v>0</v>
      </c>
      <c r="EL517" s="425">
        <f t="shared" si="205"/>
        <v>0</v>
      </c>
      <c r="EM517" s="423">
        <f t="shared" si="206"/>
        <v>0</v>
      </c>
      <c r="EN517" s="424">
        <f t="shared" si="207"/>
        <v>0</v>
      </c>
      <c r="EO517" s="425">
        <f t="shared" si="208"/>
        <v>0</v>
      </c>
      <c r="EP517" s="419"/>
      <c r="EQ517" s="421"/>
      <c r="ER517" s="419"/>
      <c r="ES517" s="421"/>
      <c r="ET517" s="419"/>
      <c r="EU517" s="421"/>
      <c r="EV517" s="419"/>
      <c r="EW517" s="421"/>
      <c r="EX517" s="419"/>
      <c r="EY517" s="421"/>
      <c r="EZ517" s="419"/>
      <c r="FA517" s="421"/>
      <c r="FB517" s="419"/>
      <c r="FC517" s="421"/>
      <c r="FD517" s="419"/>
      <c r="FE517" s="421"/>
      <c r="FF517" s="419"/>
      <c r="FG517" s="421"/>
      <c r="FH517" s="419"/>
      <c r="FI517" s="421"/>
      <c r="FJ517" s="424">
        <f t="shared" si="209"/>
        <v>0</v>
      </c>
      <c r="FK517" s="425">
        <f t="shared" si="210"/>
        <v>0</v>
      </c>
      <c r="FL517" s="419"/>
      <c r="FM517" s="421"/>
      <c r="FN517" s="424">
        <f t="shared" si="211"/>
        <v>1099</v>
      </c>
      <c r="FO517" s="425">
        <f t="shared" si="212"/>
        <v>950</v>
      </c>
    </row>
    <row r="518" spans="1:171" customFormat="1" ht="15" customHeight="1">
      <c r="A518" s="457" t="s">
        <v>166</v>
      </c>
      <c r="B518" s="46" t="s">
        <v>1041</v>
      </c>
      <c r="C518" s="16" t="s">
        <v>1176</v>
      </c>
      <c r="D518" s="454">
        <v>227377</v>
      </c>
      <c r="E518" s="125">
        <v>9</v>
      </c>
      <c r="F518" s="419">
        <v>236</v>
      </c>
      <c r="G518" s="532">
        <v>193</v>
      </c>
      <c r="H518" s="419"/>
      <c r="I518" s="421"/>
      <c r="J518" s="419">
        <v>559</v>
      </c>
      <c r="K518" s="532">
        <v>603</v>
      </c>
      <c r="L518" s="422">
        <f t="shared" si="191"/>
        <v>0</v>
      </c>
      <c r="M518" s="423">
        <f t="shared" si="192"/>
        <v>0</v>
      </c>
      <c r="N518" s="419"/>
      <c r="O518" s="525">
        <f>0</f>
        <v>0</v>
      </c>
      <c r="P518" s="525">
        <f>0</f>
        <v>0</v>
      </c>
      <c r="Q518" s="525">
        <f>0</f>
        <v>0</v>
      </c>
      <c r="R518" s="424">
        <f t="shared" si="189"/>
        <v>0</v>
      </c>
      <c r="S518" s="421"/>
      <c r="T518" s="526">
        <f>0</f>
        <v>0</v>
      </c>
      <c r="U518" s="526">
        <f>0</f>
        <v>0</v>
      </c>
      <c r="V518" s="526">
        <f>0</f>
        <v>0</v>
      </c>
      <c r="W518" s="425">
        <f t="shared" si="190"/>
        <v>0</v>
      </c>
      <c r="X518" s="419"/>
      <c r="Y518" s="419"/>
      <c r="Z518" s="421"/>
      <c r="AA518" s="421"/>
      <c r="AB518" s="419"/>
      <c r="AC518" s="419"/>
      <c r="AD518" s="421"/>
      <c r="AE518" s="421"/>
      <c r="AF518" s="419"/>
      <c r="AG518" s="419"/>
      <c r="AH518" s="421"/>
      <c r="AI518" s="421"/>
      <c r="AJ518" s="419"/>
      <c r="AK518" s="419"/>
      <c r="AL518" s="421"/>
      <c r="AM518" s="421"/>
      <c r="AN518" s="419"/>
      <c r="AO518" s="419"/>
      <c r="AP518" s="421"/>
      <c r="AQ518" s="421"/>
      <c r="AR518" s="424">
        <f t="shared" si="193"/>
        <v>0</v>
      </c>
      <c r="AS518" s="422">
        <f t="shared" si="194"/>
        <v>0</v>
      </c>
      <c r="AT518" s="425">
        <f t="shared" si="195"/>
        <v>0</v>
      </c>
      <c r="AU518" s="423">
        <f t="shared" si="196"/>
        <v>0</v>
      </c>
      <c r="AV518" s="419"/>
      <c r="AW518" s="421"/>
      <c r="AX518" s="419"/>
      <c r="AY518" s="419"/>
      <c r="AZ518" s="421"/>
      <c r="BA518" s="421"/>
      <c r="BB518" s="419"/>
      <c r="BC518" s="419"/>
      <c r="BD518" s="421"/>
      <c r="BE518" s="421"/>
      <c r="BF518" s="419"/>
      <c r="BG518" s="419"/>
      <c r="BH518" s="421"/>
      <c r="BI518" s="421"/>
      <c r="BJ518" s="419"/>
      <c r="BK518" s="419"/>
      <c r="BL518" s="421"/>
      <c r="BM518" s="421"/>
      <c r="BN518" s="419"/>
      <c r="BO518" s="419"/>
      <c r="BP518" s="421"/>
      <c r="BQ518" s="421"/>
      <c r="BR518" s="419"/>
      <c r="BS518" s="419"/>
      <c r="BT518" s="421"/>
      <c r="BU518" s="421"/>
      <c r="BV518" s="419"/>
      <c r="BW518" s="419"/>
      <c r="BX518" s="421"/>
      <c r="BY518" s="421"/>
      <c r="BZ518" s="419"/>
      <c r="CA518" s="419"/>
      <c r="CB518" s="421"/>
      <c r="CC518" s="421"/>
      <c r="CD518" s="419"/>
      <c r="CE518" s="419"/>
      <c r="CF518" s="421"/>
      <c r="CG518" s="421"/>
      <c r="CH518" s="419"/>
      <c r="CI518" s="419"/>
      <c r="CJ518" s="421"/>
      <c r="CK518" s="421"/>
      <c r="CL518" s="419"/>
      <c r="CM518" s="421"/>
      <c r="CN518" s="424">
        <f t="shared" si="197"/>
        <v>0</v>
      </c>
      <c r="CO518" s="424">
        <f t="shared" si="198"/>
        <v>0</v>
      </c>
      <c r="CP518" s="425">
        <f t="shared" si="199"/>
        <v>0</v>
      </c>
      <c r="CQ518" s="425">
        <f t="shared" si="200"/>
        <v>0</v>
      </c>
      <c r="CR518" s="419"/>
      <c r="CS518" s="419"/>
      <c r="CT518" s="421"/>
      <c r="CU518" s="421"/>
      <c r="CV518" s="419"/>
      <c r="CW518" s="419"/>
      <c r="CX518" s="421"/>
      <c r="CY518" s="421"/>
      <c r="CZ518" s="419"/>
      <c r="DA518" s="419"/>
      <c r="DB518" s="421"/>
      <c r="DC518" s="421"/>
      <c r="DD518" s="419"/>
      <c r="DE518" s="419"/>
      <c r="DF518" s="421"/>
      <c r="DG518" s="421"/>
      <c r="DH518" s="419"/>
      <c r="DI518" s="419"/>
      <c r="DJ518" s="421"/>
      <c r="DK518" s="421"/>
      <c r="DL518" s="419"/>
      <c r="DM518" s="419"/>
      <c r="DN518" s="421"/>
      <c r="DO518" s="421"/>
      <c r="DP518" s="419"/>
      <c r="DQ518" s="419"/>
      <c r="DR518" s="421"/>
      <c r="DS518" s="421"/>
      <c r="DT518" s="419"/>
      <c r="DU518" s="419"/>
      <c r="DV518" s="421"/>
      <c r="DW518" s="421"/>
      <c r="DX518" s="419"/>
      <c r="DY518" s="419"/>
      <c r="DZ518" s="421"/>
      <c r="EA518" s="421"/>
      <c r="EB518" s="419"/>
      <c r="EC518" s="419"/>
      <c r="ED518" s="421"/>
      <c r="EE518" s="421"/>
      <c r="EF518" s="419"/>
      <c r="EG518" s="421"/>
      <c r="EH518" s="424">
        <f t="shared" si="201"/>
        <v>0</v>
      </c>
      <c r="EI518" s="424">
        <f t="shared" si="202"/>
        <v>0</v>
      </c>
      <c r="EJ518" s="422">
        <f t="shared" si="203"/>
        <v>0</v>
      </c>
      <c r="EK518" s="425">
        <f t="shared" si="204"/>
        <v>0</v>
      </c>
      <c r="EL518" s="425">
        <f t="shared" si="205"/>
        <v>0</v>
      </c>
      <c r="EM518" s="423">
        <f t="shared" si="206"/>
        <v>0</v>
      </c>
      <c r="EN518" s="424">
        <f t="shared" si="207"/>
        <v>0</v>
      </c>
      <c r="EO518" s="425">
        <f t="shared" si="208"/>
        <v>0</v>
      </c>
      <c r="EP518" s="419"/>
      <c r="EQ518" s="421"/>
      <c r="ER518" s="419"/>
      <c r="ES518" s="421"/>
      <c r="ET518" s="419"/>
      <c r="EU518" s="421"/>
      <c r="EV518" s="419"/>
      <c r="EW518" s="421"/>
      <c r="EX518" s="419"/>
      <c r="EY518" s="421"/>
      <c r="EZ518" s="419"/>
      <c r="FA518" s="421"/>
      <c r="FB518" s="419"/>
      <c r="FC518" s="421"/>
      <c r="FD518" s="419"/>
      <c r="FE518" s="421"/>
      <c r="FF518" s="419"/>
      <c r="FG518" s="421"/>
      <c r="FH518" s="419"/>
      <c r="FI518" s="421"/>
      <c r="FJ518" s="424">
        <f t="shared" si="209"/>
        <v>0</v>
      </c>
      <c r="FK518" s="425">
        <f t="shared" si="210"/>
        <v>0</v>
      </c>
      <c r="FL518" s="419"/>
      <c r="FM518" s="421"/>
      <c r="FN518" s="424">
        <f t="shared" si="211"/>
        <v>795</v>
      </c>
      <c r="FO518" s="425">
        <f t="shared" si="212"/>
        <v>796</v>
      </c>
    </row>
    <row r="519" spans="1:171" customFormat="1" ht="15" customHeight="1">
      <c r="A519" s="457" t="s">
        <v>166</v>
      </c>
      <c r="B519" s="46" t="s">
        <v>1042</v>
      </c>
      <c r="C519" s="45"/>
      <c r="D519" s="44">
        <v>229319</v>
      </c>
      <c r="E519" s="125">
        <v>9</v>
      </c>
      <c r="F519" s="419">
        <v>311</v>
      </c>
      <c r="G519" s="531">
        <v>204</v>
      </c>
      <c r="H519" s="419"/>
      <c r="I519" s="421"/>
      <c r="J519" s="419">
        <v>584</v>
      </c>
      <c r="K519" s="532">
        <v>587</v>
      </c>
      <c r="L519" s="422">
        <f t="shared" si="191"/>
        <v>0</v>
      </c>
      <c r="M519" s="423">
        <f t="shared" si="192"/>
        <v>0</v>
      </c>
      <c r="N519" s="419"/>
      <c r="O519" s="525">
        <f>0</f>
        <v>0</v>
      </c>
      <c r="P519" s="525">
        <f>0</f>
        <v>0</v>
      </c>
      <c r="Q519" s="525">
        <f>0</f>
        <v>0</v>
      </c>
      <c r="R519" s="424">
        <f t="shared" si="189"/>
        <v>0</v>
      </c>
      <c r="S519" s="421"/>
      <c r="T519" s="526">
        <f>0</f>
        <v>0</v>
      </c>
      <c r="U519" s="526">
        <f>0</f>
        <v>0</v>
      </c>
      <c r="V519" s="526">
        <f>0</f>
        <v>0</v>
      </c>
      <c r="W519" s="425">
        <f t="shared" si="190"/>
        <v>0</v>
      </c>
      <c r="X519" s="419"/>
      <c r="Y519" s="419"/>
      <c r="Z519" s="421"/>
      <c r="AA519" s="421"/>
      <c r="AB519" s="419"/>
      <c r="AC519" s="419"/>
      <c r="AD519" s="421"/>
      <c r="AE519" s="421"/>
      <c r="AF519" s="419"/>
      <c r="AG519" s="419"/>
      <c r="AH519" s="421"/>
      <c r="AI519" s="421"/>
      <c r="AJ519" s="419"/>
      <c r="AK519" s="419"/>
      <c r="AL519" s="421"/>
      <c r="AM519" s="421"/>
      <c r="AN519" s="419"/>
      <c r="AO519" s="419"/>
      <c r="AP519" s="421"/>
      <c r="AQ519" s="421"/>
      <c r="AR519" s="424">
        <f t="shared" si="193"/>
        <v>0</v>
      </c>
      <c r="AS519" s="422">
        <f t="shared" si="194"/>
        <v>0</v>
      </c>
      <c r="AT519" s="425">
        <f t="shared" si="195"/>
        <v>0</v>
      </c>
      <c r="AU519" s="423">
        <f t="shared" si="196"/>
        <v>0</v>
      </c>
      <c r="AV519" s="419"/>
      <c r="AW519" s="421"/>
      <c r="AX519" s="419"/>
      <c r="AY519" s="419"/>
      <c r="AZ519" s="421"/>
      <c r="BA519" s="421"/>
      <c r="BB519" s="419"/>
      <c r="BC519" s="419"/>
      <c r="BD519" s="421"/>
      <c r="BE519" s="421"/>
      <c r="BF519" s="419"/>
      <c r="BG519" s="419"/>
      <c r="BH519" s="421"/>
      <c r="BI519" s="421"/>
      <c r="BJ519" s="419"/>
      <c r="BK519" s="419"/>
      <c r="BL519" s="421"/>
      <c r="BM519" s="421"/>
      <c r="BN519" s="419"/>
      <c r="BO519" s="419"/>
      <c r="BP519" s="421"/>
      <c r="BQ519" s="421"/>
      <c r="BR519" s="419"/>
      <c r="BS519" s="419"/>
      <c r="BT519" s="421"/>
      <c r="BU519" s="421"/>
      <c r="BV519" s="419"/>
      <c r="BW519" s="419"/>
      <c r="BX519" s="421"/>
      <c r="BY519" s="421"/>
      <c r="BZ519" s="419"/>
      <c r="CA519" s="419"/>
      <c r="CB519" s="421"/>
      <c r="CC519" s="421"/>
      <c r="CD519" s="419"/>
      <c r="CE519" s="419"/>
      <c r="CF519" s="421"/>
      <c r="CG519" s="421"/>
      <c r="CH519" s="419"/>
      <c r="CI519" s="419"/>
      <c r="CJ519" s="421"/>
      <c r="CK519" s="421"/>
      <c r="CL519" s="419"/>
      <c r="CM519" s="421"/>
      <c r="CN519" s="424">
        <f t="shared" si="197"/>
        <v>0</v>
      </c>
      <c r="CO519" s="424">
        <f t="shared" si="198"/>
        <v>0</v>
      </c>
      <c r="CP519" s="425">
        <f t="shared" si="199"/>
        <v>0</v>
      </c>
      <c r="CQ519" s="425">
        <f t="shared" si="200"/>
        <v>0</v>
      </c>
      <c r="CR519" s="419"/>
      <c r="CS519" s="419"/>
      <c r="CT519" s="421"/>
      <c r="CU519" s="421"/>
      <c r="CV519" s="419"/>
      <c r="CW519" s="419"/>
      <c r="CX519" s="421"/>
      <c r="CY519" s="421"/>
      <c r="CZ519" s="419"/>
      <c r="DA519" s="419"/>
      <c r="DB519" s="421"/>
      <c r="DC519" s="421"/>
      <c r="DD519" s="419"/>
      <c r="DE519" s="419"/>
      <c r="DF519" s="421"/>
      <c r="DG519" s="421"/>
      <c r="DH519" s="419"/>
      <c r="DI519" s="419"/>
      <c r="DJ519" s="421"/>
      <c r="DK519" s="421"/>
      <c r="DL519" s="419"/>
      <c r="DM519" s="419"/>
      <c r="DN519" s="421"/>
      <c r="DO519" s="421"/>
      <c r="DP519" s="419"/>
      <c r="DQ519" s="419"/>
      <c r="DR519" s="421"/>
      <c r="DS519" s="421"/>
      <c r="DT519" s="419"/>
      <c r="DU519" s="419"/>
      <c r="DV519" s="421"/>
      <c r="DW519" s="421"/>
      <c r="DX519" s="419"/>
      <c r="DY519" s="419"/>
      <c r="DZ519" s="421"/>
      <c r="EA519" s="421"/>
      <c r="EB519" s="419"/>
      <c r="EC519" s="419"/>
      <c r="ED519" s="421"/>
      <c r="EE519" s="421"/>
      <c r="EF519" s="419"/>
      <c r="EG519" s="421"/>
      <c r="EH519" s="424">
        <f t="shared" si="201"/>
        <v>0</v>
      </c>
      <c r="EI519" s="424">
        <f t="shared" si="202"/>
        <v>0</v>
      </c>
      <c r="EJ519" s="422">
        <f t="shared" si="203"/>
        <v>0</v>
      </c>
      <c r="EK519" s="425">
        <f t="shared" si="204"/>
        <v>0</v>
      </c>
      <c r="EL519" s="425">
        <f t="shared" si="205"/>
        <v>0</v>
      </c>
      <c r="EM519" s="423">
        <f t="shared" si="206"/>
        <v>0</v>
      </c>
      <c r="EN519" s="424">
        <f t="shared" si="207"/>
        <v>0</v>
      </c>
      <c r="EO519" s="425">
        <f t="shared" si="208"/>
        <v>0</v>
      </c>
      <c r="EP519" s="419"/>
      <c r="EQ519" s="421"/>
      <c r="ER519" s="419"/>
      <c r="ES519" s="421"/>
      <c r="ET519" s="419"/>
      <c r="EU519" s="421"/>
      <c r="EV519" s="419"/>
      <c r="EW519" s="421"/>
      <c r="EX519" s="419"/>
      <c r="EY519" s="421"/>
      <c r="EZ519" s="419"/>
      <c r="FA519" s="421"/>
      <c r="FB519" s="419"/>
      <c r="FC519" s="421"/>
      <c r="FD519" s="419"/>
      <c r="FE519" s="421"/>
      <c r="FF519" s="419"/>
      <c r="FG519" s="421"/>
      <c r="FH519" s="419"/>
      <c r="FI519" s="421"/>
      <c r="FJ519" s="424">
        <f t="shared" si="209"/>
        <v>0</v>
      </c>
      <c r="FK519" s="425">
        <f t="shared" si="210"/>
        <v>0</v>
      </c>
      <c r="FL519" s="419"/>
      <c r="FM519" s="421"/>
      <c r="FN519" s="424">
        <f t="shared" si="211"/>
        <v>895</v>
      </c>
      <c r="FO519" s="425">
        <f t="shared" si="212"/>
        <v>791</v>
      </c>
    </row>
    <row r="520" spans="1:171" customFormat="1" ht="15" customHeight="1">
      <c r="A520" s="457" t="s">
        <v>166</v>
      </c>
      <c r="B520" s="46" t="s">
        <v>1043</v>
      </c>
      <c r="C520" s="45"/>
      <c r="D520" s="44">
        <v>228680</v>
      </c>
      <c r="E520" s="125">
        <v>9</v>
      </c>
      <c r="F520" s="419">
        <v>559</v>
      </c>
      <c r="G520" s="531">
        <v>366</v>
      </c>
      <c r="H520" s="419"/>
      <c r="I520" s="421"/>
      <c r="J520" s="419">
        <v>1001</v>
      </c>
      <c r="K520" s="532">
        <v>920</v>
      </c>
      <c r="L520" s="422">
        <f t="shared" si="191"/>
        <v>0</v>
      </c>
      <c r="M520" s="423">
        <f t="shared" si="192"/>
        <v>0</v>
      </c>
      <c r="N520" s="419"/>
      <c r="O520" s="525">
        <f>0</f>
        <v>0</v>
      </c>
      <c r="P520" s="525">
        <f>0</f>
        <v>0</v>
      </c>
      <c r="Q520" s="525">
        <f>0</f>
        <v>0</v>
      </c>
      <c r="R520" s="424">
        <f t="shared" si="189"/>
        <v>0</v>
      </c>
      <c r="S520" s="421"/>
      <c r="T520" s="526">
        <f>0</f>
        <v>0</v>
      </c>
      <c r="U520" s="526">
        <f>0</f>
        <v>0</v>
      </c>
      <c r="V520" s="526">
        <f>0</f>
        <v>0</v>
      </c>
      <c r="W520" s="425">
        <f t="shared" si="190"/>
        <v>0</v>
      </c>
      <c r="X520" s="419"/>
      <c r="Y520" s="419"/>
      <c r="Z520" s="421"/>
      <c r="AA520" s="421"/>
      <c r="AB520" s="419"/>
      <c r="AC520" s="419"/>
      <c r="AD520" s="421"/>
      <c r="AE520" s="421"/>
      <c r="AF520" s="419"/>
      <c r="AG520" s="419"/>
      <c r="AH520" s="421"/>
      <c r="AI520" s="421"/>
      <c r="AJ520" s="419"/>
      <c r="AK520" s="419"/>
      <c r="AL520" s="421"/>
      <c r="AM520" s="421"/>
      <c r="AN520" s="419"/>
      <c r="AO520" s="419"/>
      <c r="AP520" s="421"/>
      <c r="AQ520" s="421"/>
      <c r="AR520" s="424">
        <f t="shared" si="193"/>
        <v>0</v>
      </c>
      <c r="AS520" s="422">
        <f t="shared" si="194"/>
        <v>0</v>
      </c>
      <c r="AT520" s="425">
        <f t="shared" si="195"/>
        <v>0</v>
      </c>
      <c r="AU520" s="423">
        <f t="shared" si="196"/>
        <v>0</v>
      </c>
      <c r="AV520" s="419"/>
      <c r="AW520" s="421"/>
      <c r="AX520" s="419"/>
      <c r="AY520" s="419"/>
      <c r="AZ520" s="421"/>
      <c r="BA520" s="421"/>
      <c r="BB520" s="419"/>
      <c r="BC520" s="419"/>
      <c r="BD520" s="421"/>
      <c r="BE520" s="421"/>
      <c r="BF520" s="419"/>
      <c r="BG520" s="419"/>
      <c r="BH520" s="421"/>
      <c r="BI520" s="421"/>
      <c r="BJ520" s="419"/>
      <c r="BK520" s="419"/>
      <c r="BL520" s="421"/>
      <c r="BM520" s="421"/>
      <c r="BN520" s="419"/>
      <c r="BO520" s="419"/>
      <c r="BP520" s="421"/>
      <c r="BQ520" s="421"/>
      <c r="BR520" s="419"/>
      <c r="BS520" s="419"/>
      <c r="BT520" s="421"/>
      <c r="BU520" s="421"/>
      <c r="BV520" s="419"/>
      <c r="BW520" s="419"/>
      <c r="BX520" s="421"/>
      <c r="BY520" s="421"/>
      <c r="BZ520" s="419"/>
      <c r="CA520" s="419"/>
      <c r="CB520" s="421"/>
      <c r="CC520" s="421"/>
      <c r="CD520" s="419"/>
      <c r="CE520" s="419"/>
      <c r="CF520" s="421"/>
      <c r="CG520" s="421"/>
      <c r="CH520" s="419"/>
      <c r="CI520" s="419"/>
      <c r="CJ520" s="421"/>
      <c r="CK520" s="421"/>
      <c r="CL520" s="419"/>
      <c r="CM520" s="421"/>
      <c r="CN520" s="424">
        <f t="shared" si="197"/>
        <v>0</v>
      </c>
      <c r="CO520" s="424">
        <f t="shared" si="198"/>
        <v>0</v>
      </c>
      <c r="CP520" s="425">
        <f t="shared" si="199"/>
        <v>0</v>
      </c>
      <c r="CQ520" s="425">
        <f t="shared" si="200"/>
        <v>0</v>
      </c>
      <c r="CR520" s="419"/>
      <c r="CS520" s="419"/>
      <c r="CT520" s="421"/>
      <c r="CU520" s="421"/>
      <c r="CV520" s="419"/>
      <c r="CW520" s="419"/>
      <c r="CX520" s="421"/>
      <c r="CY520" s="421"/>
      <c r="CZ520" s="419"/>
      <c r="DA520" s="419"/>
      <c r="DB520" s="421"/>
      <c r="DC520" s="421"/>
      <c r="DD520" s="419"/>
      <c r="DE520" s="419"/>
      <c r="DF520" s="421"/>
      <c r="DG520" s="421"/>
      <c r="DH520" s="419"/>
      <c r="DI520" s="419"/>
      <c r="DJ520" s="421"/>
      <c r="DK520" s="421"/>
      <c r="DL520" s="419"/>
      <c r="DM520" s="419"/>
      <c r="DN520" s="421"/>
      <c r="DO520" s="421"/>
      <c r="DP520" s="419"/>
      <c r="DQ520" s="419"/>
      <c r="DR520" s="421"/>
      <c r="DS520" s="421"/>
      <c r="DT520" s="419"/>
      <c r="DU520" s="419"/>
      <c r="DV520" s="421"/>
      <c r="DW520" s="421"/>
      <c r="DX520" s="419"/>
      <c r="DY520" s="419"/>
      <c r="DZ520" s="421"/>
      <c r="EA520" s="421"/>
      <c r="EB520" s="419"/>
      <c r="EC520" s="419"/>
      <c r="ED520" s="421"/>
      <c r="EE520" s="421"/>
      <c r="EF520" s="419"/>
      <c r="EG520" s="421"/>
      <c r="EH520" s="424">
        <f t="shared" si="201"/>
        <v>0</v>
      </c>
      <c r="EI520" s="424">
        <f t="shared" si="202"/>
        <v>0</v>
      </c>
      <c r="EJ520" s="422">
        <f t="shared" si="203"/>
        <v>0</v>
      </c>
      <c r="EK520" s="425">
        <f t="shared" si="204"/>
        <v>0</v>
      </c>
      <c r="EL520" s="425">
        <f t="shared" si="205"/>
        <v>0</v>
      </c>
      <c r="EM520" s="423">
        <f t="shared" si="206"/>
        <v>0</v>
      </c>
      <c r="EN520" s="424">
        <f t="shared" si="207"/>
        <v>0</v>
      </c>
      <c r="EO520" s="425">
        <f t="shared" si="208"/>
        <v>0</v>
      </c>
      <c r="EP520" s="419"/>
      <c r="EQ520" s="421"/>
      <c r="ER520" s="419"/>
      <c r="ES520" s="421"/>
      <c r="ET520" s="419"/>
      <c r="EU520" s="421"/>
      <c r="EV520" s="419"/>
      <c r="EW520" s="421"/>
      <c r="EX520" s="419"/>
      <c r="EY520" s="421"/>
      <c r="EZ520" s="419"/>
      <c r="FA520" s="421"/>
      <c r="FB520" s="419"/>
      <c r="FC520" s="421"/>
      <c r="FD520" s="419"/>
      <c r="FE520" s="421"/>
      <c r="FF520" s="419"/>
      <c r="FG520" s="421"/>
      <c r="FH520" s="419"/>
      <c r="FI520" s="421"/>
      <c r="FJ520" s="424">
        <f t="shared" si="209"/>
        <v>0</v>
      </c>
      <c r="FK520" s="425">
        <f t="shared" si="210"/>
        <v>0</v>
      </c>
      <c r="FL520" s="419"/>
      <c r="FM520" s="421"/>
      <c r="FN520" s="424">
        <f t="shared" si="211"/>
        <v>1560</v>
      </c>
      <c r="FO520" s="425">
        <f t="shared" si="212"/>
        <v>1286</v>
      </c>
    </row>
    <row r="521" spans="1:171" customFormat="1" ht="15" customHeight="1">
      <c r="A521" s="457" t="s">
        <v>166</v>
      </c>
      <c r="B521" s="46" t="s">
        <v>1044</v>
      </c>
      <c r="C521" s="16" t="s">
        <v>1220</v>
      </c>
      <c r="D521" s="44">
        <v>229504</v>
      </c>
      <c r="E521" s="125">
        <v>9</v>
      </c>
      <c r="F521" s="419">
        <v>202</v>
      </c>
      <c r="G521" s="532">
        <v>208</v>
      </c>
      <c r="H521" s="419"/>
      <c r="I521" s="421"/>
      <c r="J521" s="419">
        <v>308</v>
      </c>
      <c r="K521" s="532">
        <v>301</v>
      </c>
      <c r="L521" s="422">
        <f t="shared" si="191"/>
        <v>0</v>
      </c>
      <c r="M521" s="423">
        <f t="shared" si="192"/>
        <v>0</v>
      </c>
      <c r="N521" s="419"/>
      <c r="O521" s="525">
        <f>0</f>
        <v>0</v>
      </c>
      <c r="P521" s="525">
        <f>0</f>
        <v>0</v>
      </c>
      <c r="Q521" s="525">
        <f>0</f>
        <v>0</v>
      </c>
      <c r="R521" s="424">
        <f t="shared" si="189"/>
        <v>0</v>
      </c>
      <c r="S521" s="421"/>
      <c r="T521" s="526">
        <f>0</f>
        <v>0</v>
      </c>
      <c r="U521" s="526">
        <f>0</f>
        <v>0</v>
      </c>
      <c r="V521" s="526">
        <f>0</f>
        <v>0</v>
      </c>
      <c r="W521" s="425">
        <f t="shared" si="190"/>
        <v>0</v>
      </c>
      <c r="X521" s="419"/>
      <c r="Y521" s="419"/>
      <c r="Z521" s="421"/>
      <c r="AA521" s="421"/>
      <c r="AB521" s="419"/>
      <c r="AC521" s="419"/>
      <c r="AD521" s="421"/>
      <c r="AE521" s="421"/>
      <c r="AF521" s="419"/>
      <c r="AG521" s="419"/>
      <c r="AH521" s="421"/>
      <c r="AI521" s="421"/>
      <c r="AJ521" s="419"/>
      <c r="AK521" s="419"/>
      <c r="AL521" s="421"/>
      <c r="AM521" s="421"/>
      <c r="AN521" s="419"/>
      <c r="AO521" s="419"/>
      <c r="AP521" s="421"/>
      <c r="AQ521" s="421"/>
      <c r="AR521" s="424">
        <f t="shared" si="193"/>
        <v>0</v>
      </c>
      <c r="AS521" s="422">
        <f t="shared" si="194"/>
        <v>0</v>
      </c>
      <c r="AT521" s="425">
        <f t="shared" si="195"/>
        <v>0</v>
      </c>
      <c r="AU521" s="423">
        <f t="shared" si="196"/>
        <v>0</v>
      </c>
      <c r="AV521" s="419"/>
      <c r="AW521" s="421"/>
      <c r="AX521" s="419"/>
      <c r="AY521" s="419"/>
      <c r="AZ521" s="421"/>
      <c r="BA521" s="421"/>
      <c r="BB521" s="419"/>
      <c r="BC521" s="419"/>
      <c r="BD521" s="421"/>
      <c r="BE521" s="421"/>
      <c r="BF521" s="419"/>
      <c r="BG521" s="419"/>
      <c r="BH521" s="421"/>
      <c r="BI521" s="421"/>
      <c r="BJ521" s="419"/>
      <c r="BK521" s="419"/>
      <c r="BL521" s="421"/>
      <c r="BM521" s="421"/>
      <c r="BN521" s="419"/>
      <c r="BO521" s="419"/>
      <c r="BP521" s="421"/>
      <c r="BQ521" s="421"/>
      <c r="BR521" s="419"/>
      <c r="BS521" s="419"/>
      <c r="BT521" s="421"/>
      <c r="BU521" s="421"/>
      <c r="BV521" s="419"/>
      <c r="BW521" s="419"/>
      <c r="BX521" s="421"/>
      <c r="BY521" s="421"/>
      <c r="BZ521" s="419"/>
      <c r="CA521" s="419"/>
      <c r="CB521" s="421"/>
      <c r="CC521" s="421"/>
      <c r="CD521" s="419"/>
      <c r="CE521" s="419"/>
      <c r="CF521" s="421"/>
      <c r="CG521" s="421"/>
      <c r="CH521" s="419"/>
      <c r="CI521" s="419"/>
      <c r="CJ521" s="421"/>
      <c r="CK521" s="421"/>
      <c r="CL521" s="419"/>
      <c r="CM521" s="421"/>
      <c r="CN521" s="424">
        <f t="shared" si="197"/>
        <v>0</v>
      </c>
      <c r="CO521" s="424">
        <f t="shared" si="198"/>
        <v>0</v>
      </c>
      <c r="CP521" s="425">
        <f t="shared" si="199"/>
        <v>0</v>
      </c>
      <c r="CQ521" s="425">
        <f t="shared" si="200"/>
        <v>0</v>
      </c>
      <c r="CR521" s="419"/>
      <c r="CS521" s="419"/>
      <c r="CT521" s="421"/>
      <c r="CU521" s="421"/>
      <c r="CV521" s="419"/>
      <c r="CW521" s="419"/>
      <c r="CX521" s="421"/>
      <c r="CY521" s="421"/>
      <c r="CZ521" s="419"/>
      <c r="DA521" s="419"/>
      <c r="DB521" s="421"/>
      <c r="DC521" s="421"/>
      <c r="DD521" s="419"/>
      <c r="DE521" s="419"/>
      <c r="DF521" s="421"/>
      <c r="DG521" s="421"/>
      <c r="DH521" s="419"/>
      <c r="DI521" s="419"/>
      <c r="DJ521" s="421"/>
      <c r="DK521" s="421"/>
      <c r="DL521" s="419"/>
      <c r="DM521" s="419"/>
      <c r="DN521" s="421"/>
      <c r="DO521" s="421"/>
      <c r="DP521" s="419"/>
      <c r="DQ521" s="419"/>
      <c r="DR521" s="421"/>
      <c r="DS521" s="421"/>
      <c r="DT521" s="419"/>
      <c r="DU521" s="419"/>
      <c r="DV521" s="421"/>
      <c r="DW521" s="421"/>
      <c r="DX521" s="419"/>
      <c r="DY521" s="419"/>
      <c r="DZ521" s="421"/>
      <c r="EA521" s="421"/>
      <c r="EB521" s="419"/>
      <c r="EC521" s="419"/>
      <c r="ED521" s="421"/>
      <c r="EE521" s="421"/>
      <c r="EF521" s="419"/>
      <c r="EG521" s="421"/>
      <c r="EH521" s="424">
        <f t="shared" si="201"/>
        <v>0</v>
      </c>
      <c r="EI521" s="424">
        <f t="shared" si="202"/>
        <v>0</v>
      </c>
      <c r="EJ521" s="422">
        <f t="shared" si="203"/>
        <v>0</v>
      </c>
      <c r="EK521" s="425">
        <f t="shared" si="204"/>
        <v>0</v>
      </c>
      <c r="EL521" s="425">
        <f t="shared" si="205"/>
        <v>0</v>
      </c>
      <c r="EM521" s="423">
        <f t="shared" si="206"/>
        <v>0</v>
      </c>
      <c r="EN521" s="424">
        <f t="shared" si="207"/>
        <v>0</v>
      </c>
      <c r="EO521" s="425">
        <f t="shared" si="208"/>
        <v>0</v>
      </c>
      <c r="EP521" s="419"/>
      <c r="EQ521" s="421"/>
      <c r="ER521" s="419"/>
      <c r="ES521" s="421"/>
      <c r="ET521" s="419"/>
      <c r="EU521" s="421"/>
      <c r="EV521" s="419"/>
      <c r="EW521" s="421"/>
      <c r="EX521" s="419"/>
      <c r="EY521" s="421"/>
      <c r="EZ521" s="419"/>
      <c r="FA521" s="421"/>
      <c r="FB521" s="419"/>
      <c r="FC521" s="421"/>
      <c r="FD521" s="419"/>
      <c r="FE521" s="421"/>
      <c r="FF521" s="419"/>
      <c r="FG521" s="421"/>
      <c r="FH521" s="419"/>
      <c r="FI521" s="421"/>
      <c r="FJ521" s="424">
        <f t="shared" si="209"/>
        <v>0</v>
      </c>
      <c r="FK521" s="425">
        <f t="shared" si="210"/>
        <v>0</v>
      </c>
      <c r="FL521" s="419"/>
      <c r="FM521" s="421"/>
      <c r="FN521" s="424">
        <f t="shared" si="211"/>
        <v>510</v>
      </c>
      <c r="FO521" s="425">
        <f t="shared" si="212"/>
        <v>509</v>
      </c>
    </row>
    <row r="522" spans="1:171" customFormat="1" ht="15" customHeight="1">
      <c r="A522" s="457" t="s">
        <v>166</v>
      </c>
      <c r="B522" s="46" t="s">
        <v>1045</v>
      </c>
      <c r="C522" s="16"/>
      <c r="D522" s="44">
        <v>229540</v>
      </c>
      <c r="E522" s="125">
        <v>9</v>
      </c>
      <c r="F522" s="419">
        <v>299</v>
      </c>
      <c r="G522" s="532">
        <v>251</v>
      </c>
      <c r="H522" s="419"/>
      <c r="I522" s="421"/>
      <c r="J522" s="419">
        <v>458</v>
      </c>
      <c r="K522" s="532">
        <v>391</v>
      </c>
      <c r="L522" s="422">
        <f t="shared" si="191"/>
        <v>0</v>
      </c>
      <c r="M522" s="423">
        <f t="shared" si="192"/>
        <v>0</v>
      </c>
      <c r="N522" s="419"/>
      <c r="O522" s="525">
        <f>0</f>
        <v>0</v>
      </c>
      <c r="P522" s="525">
        <f>0</f>
        <v>0</v>
      </c>
      <c r="Q522" s="525">
        <f>0</f>
        <v>0</v>
      </c>
      <c r="R522" s="424">
        <f t="shared" ref="R522:R585" si="213">SUM(O522:Q522)</f>
        <v>0</v>
      </c>
      <c r="S522" s="421"/>
      <c r="T522" s="526">
        <f>0</f>
        <v>0</v>
      </c>
      <c r="U522" s="526">
        <f>0</f>
        <v>0</v>
      </c>
      <c r="V522" s="526">
        <f>0</f>
        <v>0</v>
      </c>
      <c r="W522" s="425">
        <f t="shared" ref="W522:W585" si="214">SUM(T522:V522)</f>
        <v>0</v>
      </c>
      <c r="X522" s="419"/>
      <c r="Y522" s="419"/>
      <c r="Z522" s="421"/>
      <c r="AA522" s="421"/>
      <c r="AB522" s="419"/>
      <c r="AC522" s="419"/>
      <c r="AD522" s="421"/>
      <c r="AE522" s="421"/>
      <c r="AF522" s="419"/>
      <c r="AG522" s="419"/>
      <c r="AH522" s="421"/>
      <c r="AI522" s="421"/>
      <c r="AJ522" s="419"/>
      <c r="AK522" s="419"/>
      <c r="AL522" s="421"/>
      <c r="AM522" s="421"/>
      <c r="AN522" s="419"/>
      <c r="AO522" s="419"/>
      <c r="AP522" s="421"/>
      <c r="AQ522" s="421"/>
      <c r="AR522" s="424">
        <f t="shared" si="193"/>
        <v>0</v>
      </c>
      <c r="AS522" s="422">
        <f t="shared" si="194"/>
        <v>0</v>
      </c>
      <c r="AT522" s="425">
        <f t="shared" si="195"/>
        <v>0</v>
      </c>
      <c r="AU522" s="423">
        <f t="shared" si="196"/>
        <v>0</v>
      </c>
      <c r="AV522" s="419"/>
      <c r="AW522" s="421"/>
      <c r="AX522" s="419"/>
      <c r="AY522" s="419"/>
      <c r="AZ522" s="421"/>
      <c r="BA522" s="421"/>
      <c r="BB522" s="419"/>
      <c r="BC522" s="419"/>
      <c r="BD522" s="421"/>
      <c r="BE522" s="421"/>
      <c r="BF522" s="419"/>
      <c r="BG522" s="419"/>
      <c r="BH522" s="421"/>
      <c r="BI522" s="421"/>
      <c r="BJ522" s="419"/>
      <c r="BK522" s="419"/>
      <c r="BL522" s="421"/>
      <c r="BM522" s="421"/>
      <c r="BN522" s="419"/>
      <c r="BO522" s="419"/>
      <c r="BP522" s="421"/>
      <c r="BQ522" s="421"/>
      <c r="BR522" s="419"/>
      <c r="BS522" s="419"/>
      <c r="BT522" s="421"/>
      <c r="BU522" s="421"/>
      <c r="BV522" s="419"/>
      <c r="BW522" s="419"/>
      <c r="BX522" s="421"/>
      <c r="BY522" s="421"/>
      <c r="BZ522" s="419"/>
      <c r="CA522" s="419"/>
      <c r="CB522" s="421"/>
      <c r="CC522" s="421"/>
      <c r="CD522" s="419"/>
      <c r="CE522" s="419"/>
      <c r="CF522" s="421"/>
      <c r="CG522" s="421"/>
      <c r="CH522" s="419"/>
      <c r="CI522" s="419"/>
      <c r="CJ522" s="421"/>
      <c r="CK522" s="421"/>
      <c r="CL522" s="419"/>
      <c r="CM522" s="421"/>
      <c r="CN522" s="424">
        <f t="shared" si="197"/>
        <v>0</v>
      </c>
      <c r="CO522" s="424">
        <f t="shared" si="198"/>
        <v>0</v>
      </c>
      <c r="CP522" s="425">
        <f t="shared" si="199"/>
        <v>0</v>
      </c>
      <c r="CQ522" s="425">
        <f t="shared" si="200"/>
        <v>0</v>
      </c>
      <c r="CR522" s="419"/>
      <c r="CS522" s="419"/>
      <c r="CT522" s="421"/>
      <c r="CU522" s="421"/>
      <c r="CV522" s="419"/>
      <c r="CW522" s="419"/>
      <c r="CX522" s="421"/>
      <c r="CY522" s="421"/>
      <c r="CZ522" s="419"/>
      <c r="DA522" s="419"/>
      <c r="DB522" s="421"/>
      <c r="DC522" s="421"/>
      <c r="DD522" s="419"/>
      <c r="DE522" s="419"/>
      <c r="DF522" s="421"/>
      <c r="DG522" s="421"/>
      <c r="DH522" s="419"/>
      <c r="DI522" s="419"/>
      <c r="DJ522" s="421"/>
      <c r="DK522" s="421"/>
      <c r="DL522" s="419"/>
      <c r="DM522" s="419"/>
      <c r="DN522" s="421"/>
      <c r="DO522" s="421"/>
      <c r="DP522" s="419"/>
      <c r="DQ522" s="419"/>
      <c r="DR522" s="421"/>
      <c r="DS522" s="421"/>
      <c r="DT522" s="419"/>
      <c r="DU522" s="419"/>
      <c r="DV522" s="421"/>
      <c r="DW522" s="421"/>
      <c r="DX522" s="419"/>
      <c r="DY522" s="419"/>
      <c r="DZ522" s="421"/>
      <c r="EA522" s="421"/>
      <c r="EB522" s="419"/>
      <c r="EC522" s="419"/>
      <c r="ED522" s="421"/>
      <c r="EE522" s="421"/>
      <c r="EF522" s="419"/>
      <c r="EG522" s="421"/>
      <c r="EH522" s="424">
        <f t="shared" si="201"/>
        <v>0</v>
      </c>
      <c r="EI522" s="424">
        <f t="shared" si="202"/>
        <v>0</v>
      </c>
      <c r="EJ522" s="422">
        <f t="shared" si="203"/>
        <v>0</v>
      </c>
      <c r="EK522" s="425">
        <f t="shared" si="204"/>
        <v>0</v>
      </c>
      <c r="EL522" s="425">
        <f t="shared" si="205"/>
        <v>0</v>
      </c>
      <c r="EM522" s="423">
        <f t="shared" si="206"/>
        <v>0</v>
      </c>
      <c r="EN522" s="424">
        <f t="shared" si="207"/>
        <v>0</v>
      </c>
      <c r="EO522" s="425">
        <f t="shared" si="208"/>
        <v>0</v>
      </c>
      <c r="EP522" s="419"/>
      <c r="EQ522" s="421"/>
      <c r="ER522" s="419"/>
      <c r="ES522" s="421"/>
      <c r="ET522" s="419"/>
      <c r="EU522" s="421"/>
      <c r="EV522" s="419"/>
      <c r="EW522" s="421"/>
      <c r="EX522" s="419"/>
      <c r="EY522" s="421"/>
      <c r="EZ522" s="419"/>
      <c r="FA522" s="421"/>
      <c r="FB522" s="419"/>
      <c r="FC522" s="421"/>
      <c r="FD522" s="419"/>
      <c r="FE522" s="421"/>
      <c r="FF522" s="419"/>
      <c r="FG522" s="421"/>
      <c r="FH522" s="419"/>
      <c r="FI522" s="421"/>
      <c r="FJ522" s="424">
        <f t="shared" si="209"/>
        <v>0</v>
      </c>
      <c r="FK522" s="425">
        <f t="shared" si="210"/>
        <v>0</v>
      </c>
      <c r="FL522" s="419"/>
      <c r="FM522" s="421"/>
      <c r="FN522" s="424">
        <f t="shared" si="211"/>
        <v>757</v>
      </c>
      <c r="FO522" s="425">
        <f t="shared" si="212"/>
        <v>642</v>
      </c>
    </row>
    <row r="523" spans="1:171" customFormat="1" ht="15" customHeight="1">
      <c r="A523" s="457" t="s">
        <v>166</v>
      </c>
      <c r="B523" s="46" t="s">
        <v>1046</v>
      </c>
      <c r="C523" s="16"/>
      <c r="D523" s="44">
        <v>229799</v>
      </c>
      <c r="E523" s="125">
        <v>9</v>
      </c>
      <c r="F523" s="419">
        <v>286</v>
      </c>
      <c r="G523" s="531">
        <v>202</v>
      </c>
      <c r="H523" s="419"/>
      <c r="I523" s="421"/>
      <c r="J523" s="419">
        <v>750</v>
      </c>
      <c r="K523" s="532">
        <v>856</v>
      </c>
      <c r="L523" s="422">
        <f t="shared" ref="L523:L586" si="215">IF(N523&gt;0,J523/N523, )</f>
        <v>0</v>
      </c>
      <c r="M523" s="423">
        <f t="shared" ref="M523:M586" si="216">IF(S523&gt;0,K523/S523, )</f>
        <v>0</v>
      </c>
      <c r="N523" s="419"/>
      <c r="O523" s="525">
        <f>0</f>
        <v>0</v>
      </c>
      <c r="P523" s="525">
        <f>0</f>
        <v>0</v>
      </c>
      <c r="Q523" s="525">
        <f>0</f>
        <v>0</v>
      </c>
      <c r="R523" s="424">
        <f t="shared" si="213"/>
        <v>0</v>
      </c>
      <c r="S523" s="421"/>
      <c r="T523" s="526">
        <f>0</f>
        <v>0</v>
      </c>
      <c r="U523" s="526">
        <f>0</f>
        <v>0</v>
      </c>
      <c r="V523" s="526">
        <f>0</f>
        <v>0</v>
      </c>
      <c r="W523" s="425">
        <f t="shared" si="214"/>
        <v>0</v>
      </c>
      <c r="X523" s="419"/>
      <c r="Y523" s="419"/>
      <c r="Z523" s="421"/>
      <c r="AA523" s="421"/>
      <c r="AB523" s="419"/>
      <c r="AC523" s="419"/>
      <c r="AD523" s="421"/>
      <c r="AE523" s="421"/>
      <c r="AF523" s="419"/>
      <c r="AG523" s="419"/>
      <c r="AH523" s="421"/>
      <c r="AI523" s="421"/>
      <c r="AJ523" s="419"/>
      <c r="AK523" s="419"/>
      <c r="AL523" s="421"/>
      <c r="AM523" s="421"/>
      <c r="AN523" s="419"/>
      <c r="AO523" s="419"/>
      <c r="AP523" s="421"/>
      <c r="AQ523" s="421"/>
      <c r="AR523" s="424">
        <f t="shared" ref="AR523:AR586" si="217">COUNTA(X523,AB523,AF523,AJ523,AN523)</f>
        <v>0</v>
      </c>
      <c r="AS523" s="422">
        <f t="shared" ref="AS523:AS586" si="218">IF(FN523&gt;0,N523/FN523,)</f>
        <v>0</v>
      </c>
      <c r="AT523" s="425">
        <f t="shared" ref="AT523:AT586" si="219">COUNTA(Z523,AD523,AH523,AL523,AP523)</f>
        <v>0</v>
      </c>
      <c r="AU523" s="423">
        <f t="shared" ref="AU523:AU586" si="220">IF(FO523&gt;0,S523/FO523,)</f>
        <v>0</v>
      </c>
      <c r="AV523" s="419"/>
      <c r="AW523" s="421"/>
      <c r="AX523" s="419"/>
      <c r="AY523" s="419"/>
      <c r="AZ523" s="421"/>
      <c r="BA523" s="421"/>
      <c r="BB523" s="419"/>
      <c r="BC523" s="419"/>
      <c r="BD523" s="421"/>
      <c r="BE523" s="421"/>
      <c r="BF523" s="419"/>
      <c r="BG523" s="419"/>
      <c r="BH523" s="421"/>
      <c r="BI523" s="421"/>
      <c r="BJ523" s="419"/>
      <c r="BK523" s="419"/>
      <c r="BL523" s="421"/>
      <c r="BM523" s="421"/>
      <c r="BN523" s="419"/>
      <c r="BO523" s="419"/>
      <c r="BP523" s="421"/>
      <c r="BQ523" s="421"/>
      <c r="BR523" s="419"/>
      <c r="BS523" s="419"/>
      <c r="BT523" s="421"/>
      <c r="BU523" s="421"/>
      <c r="BV523" s="419"/>
      <c r="BW523" s="419"/>
      <c r="BX523" s="421"/>
      <c r="BY523" s="421"/>
      <c r="BZ523" s="419"/>
      <c r="CA523" s="419"/>
      <c r="CB523" s="421"/>
      <c r="CC523" s="421"/>
      <c r="CD523" s="419"/>
      <c r="CE523" s="419"/>
      <c r="CF523" s="421"/>
      <c r="CG523" s="421"/>
      <c r="CH523" s="419"/>
      <c r="CI523" s="419"/>
      <c r="CJ523" s="421"/>
      <c r="CK523" s="421"/>
      <c r="CL523" s="419"/>
      <c r="CM523" s="421"/>
      <c r="CN523" s="424">
        <f t="shared" ref="CN523:CN586" si="221">AY523+BC523+BG523+BK523+BO523+BS523+BW523+CA523+CE523+CI523+CL523</f>
        <v>0</v>
      </c>
      <c r="CO523" s="424">
        <f t="shared" ref="CO523:CO586" si="222">COUNTA(AX523,BB523,BF523,BJ523,BN523,BR523,BV523,BZ523,CD523,CH523)</f>
        <v>0</v>
      </c>
      <c r="CP523" s="425">
        <f t="shared" ref="CP523:CP586" si="223">BA523+BE523+BI523+BM523+BQ523+BU523+BY523+CC523+CG523+CK523+CM523</f>
        <v>0</v>
      </c>
      <c r="CQ523" s="425">
        <f t="shared" ref="CQ523:CQ586" si="224">COUNTA(AZ523,BD523,BH523,BL523,BP523,BT523,BX523,CB523,CF523,CJ523)</f>
        <v>0</v>
      </c>
      <c r="CR523" s="419"/>
      <c r="CS523" s="419"/>
      <c r="CT523" s="421"/>
      <c r="CU523" s="421"/>
      <c r="CV523" s="419"/>
      <c r="CW523" s="419"/>
      <c r="CX523" s="421"/>
      <c r="CY523" s="421"/>
      <c r="CZ523" s="419"/>
      <c r="DA523" s="419"/>
      <c r="DB523" s="421"/>
      <c r="DC523" s="421"/>
      <c r="DD523" s="419"/>
      <c r="DE523" s="419"/>
      <c r="DF523" s="421"/>
      <c r="DG523" s="421"/>
      <c r="DH523" s="419"/>
      <c r="DI523" s="419"/>
      <c r="DJ523" s="421"/>
      <c r="DK523" s="421"/>
      <c r="DL523" s="419"/>
      <c r="DM523" s="419"/>
      <c r="DN523" s="421"/>
      <c r="DO523" s="421"/>
      <c r="DP523" s="419"/>
      <c r="DQ523" s="419"/>
      <c r="DR523" s="421"/>
      <c r="DS523" s="421"/>
      <c r="DT523" s="419"/>
      <c r="DU523" s="419"/>
      <c r="DV523" s="421"/>
      <c r="DW523" s="421"/>
      <c r="DX523" s="419"/>
      <c r="DY523" s="419"/>
      <c r="DZ523" s="421"/>
      <c r="EA523" s="421"/>
      <c r="EB523" s="419"/>
      <c r="EC523" s="419"/>
      <c r="ED523" s="421"/>
      <c r="EE523" s="421"/>
      <c r="EF523" s="419"/>
      <c r="EG523" s="421"/>
      <c r="EH523" s="424">
        <f t="shared" ref="EH523:EH586" si="225">CS523+CW523+DA523+DE523+DI523+DM523+DQ523+DU523+DY523+EC523+EF523</f>
        <v>0</v>
      </c>
      <c r="EI523" s="424">
        <f t="shared" ref="EI523:EI586" si="226">COUNTA(CR523,CV523,CZ523,DD523,DH523,DL523,DP523,DT523,DX523,EB523)</f>
        <v>0</v>
      </c>
      <c r="EJ523" s="422">
        <f t="shared" ref="EJ523:EJ586" si="227">IF(EH523&gt;0,CS523/EH523,)</f>
        <v>0</v>
      </c>
      <c r="EK523" s="425">
        <f t="shared" ref="EK523:EK586" si="228">CU523+CY523+DC523+DG523+DK523+DO523+DS523+DW523+EA523+EE523+EG523</f>
        <v>0</v>
      </c>
      <c r="EL523" s="425">
        <f t="shared" ref="EL523:EL586" si="229">COUNTA(CT523,CX523,DB523,DF523,DJ523,DN523,DR523,DV523,DZ523,ED523)</f>
        <v>0</v>
      </c>
      <c r="EM523" s="423">
        <f t="shared" ref="EM523:EM586" si="230">IF(EK523&gt;0,CU523/EK523,)</f>
        <v>0</v>
      </c>
      <c r="EN523" s="424">
        <f t="shared" ref="EN523:EN586" si="231">CN523+EH523</f>
        <v>0</v>
      </c>
      <c r="EO523" s="425">
        <f t="shared" ref="EO523:EO586" si="232">CP523+EK523</f>
        <v>0</v>
      </c>
      <c r="EP523" s="419"/>
      <c r="EQ523" s="421"/>
      <c r="ER523" s="419"/>
      <c r="ES523" s="421"/>
      <c r="ET523" s="419"/>
      <c r="EU523" s="421"/>
      <c r="EV523" s="419"/>
      <c r="EW523" s="421"/>
      <c r="EX523" s="419"/>
      <c r="EY523" s="421"/>
      <c r="EZ523" s="419"/>
      <c r="FA523" s="421"/>
      <c r="FB523" s="419"/>
      <c r="FC523" s="421"/>
      <c r="FD523" s="419"/>
      <c r="FE523" s="421"/>
      <c r="FF523" s="419"/>
      <c r="FG523" s="421"/>
      <c r="FH523" s="419"/>
      <c r="FI523" s="421"/>
      <c r="FJ523" s="424">
        <f t="shared" ref="FJ523:FJ586" si="233">EP523+ER523+ET523+EV523+EX523+EZ523+FB523+FD523+FF523+FH523</f>
        <v>0</v>
      </c>
      <c r="FK523" s="425">
        <f t="shared" ref="FK523:FK586" si="234">EQ523+ES523+EU523+EW523+EY523+FA523+FC523+FE523+FG523+FI523</f>
        <v>0</v>
      </c>
      <c r="FL523" s="419"/>
      <c r="FM523" s="421"/>
      <c r="FN523" s="424">
        <f t="shared" ref="FN523:FN586" si="235">F523+H523+J523+N523+AV523+EN523+FJ523+FL523</f>
        <v>1036</v>
      </c>
      <c r="FO523" s="425">
        <f t="shared" ref="FO523:FO586" si="236">G523+I523+K523+S523+AW523+EO523+FK523+FM523</f>
        <v>1058</v>
      </c>
    </row>
    <row r="524" spans="1:171" customFormat="1" ht="15" customHeight="1">
      <c r="A524" s="457" t="s">
        <v>166</v>
      </c>
      <c r="B524" s="46" t="s">
        <v>1047</v>
      </c>
      <c r="C524" s="16"/>
      <c r="D524" s="44">
        <v>229841</v>
      </c>
      <c r="E524" s="125">
        <v>9</v>
      </c>
      <c r="F524" s="419">
        <v>312</v>
      </c>
      <c r="G524" s="531">
        <v>227</v>
      </c>
      <c r="H524" s="419"/>
      <c r="I524" s="421"/>
      <c r="J524" s="419">
        <v>751</v>
      </c>
      <c r="K524" s="532">
        <v>717</v>
      </c>
      <c r="L524" s="422">
        <f t="shared" si="215"/>
        <v>0</v>
      </c>
      <c r="M524" s="423">
        <f t="shared" si="216"/>
        <v>0</v>
      </c>
      <c r="N524" s="419"/>
      <c r="O524" s="525">
        <f>0</f>
        <v>0</v>
      </c>
      <c r="P524" s="525">
        <f>0</f>
        <v>0</v>
      </c>
      <c r="Q524" s="525">
        <f>0</f>
        <v>0</v>
      </c>
      <c r="R524" s="424">
        <f t="shared" si="213"/>
        <v>0</v>
      </c>
      <c r="S524" s="421"/>
      <c r="T524" s="526">
        <f>0</f>
        <v>0</v>
      </c>
      <c r="U524" s="526">
        <f>0</f>
        <v>0</v>
      </c>
      <c r="V524" s="526">
        <f>0</f>
        <v>0</v>
      </c>
      <c r="W524" s="425">
        <f t="shared" si="214"/>
        <v>0</v>
      </c>
      <c r="X524" s="419"/>
      <c r="Y524" s="419"/>
      <c r="Z524" s="421"/>
      <c r="AA524" s="421"/>
      <c r="AB524" s="419"/>
      <c r="AC524" s="419"/>
      <c r="AD524" s="421"/>
      <c r="AE524" s="421"/>
      <c r="AF524" s="419"/>
      <c r="AG524" s="419"/>
      <c r="AH524" s="421"/>
      <c r="AI524" s="421"/>
      <c r="AJ524" s="419"/>
      <c r="AK524" s="419"/>
      <c r="AL524" s="421"/>
      <c r="AM524" s="421"/>
      <c r="AN524" s="419"/>
      <c r="AO524" s="419"/>
      <c r="AP524" s="421"/>
      <c r="AQ524" s="421"/>
      <c r="AR524" s="424">
        <f t="shared" si="217"/>
        <v>0</v>
      </c>
      <c r="AS524" s="422">
        <f t="shared" si="218"/>
        <v>0</v>
      </c>
      <c r="AT524" s="425">
        <f t="shared" si="219"/>
        <v>0</v>
      </c>
      <c r="AU524" s="423">
        <f t="shared" si="220"/>
        <v>0</v>
      </c>
      <c r="AV524" s="419"/>
      <c r="AW524" s="421"/>
      <c r="AX524" s="419"/>
      <c r="AY524" s="419"/>
      <c r="AZ524" s="421"/>
      <c r="BA524" s="421"/>
      <c r="BB524" s="419"/>
      <c r="BC524" s="419"/>
      <c r="BD524" s="421"/>
      <c r="BE524" s="421"/>
      <c r="BF524" s="419"/>
      <c r="BG524" s="419"/>
      <c r="BH524" s="421"/>
      <c r="BI524" s="421"/>
      <c r="BJ524" s="419"/>
      <c r="BK524" s="419"/>
      <c r="BL524" s="421"/>
      <c r="BM524" s="421"/>
      <c r="BN524" s="419"/>
      <c r="BO524" s="419"/>
      <c r="BP524" s="421"/>
      <c r="BQ524" s="421"/>
      <c r="BR524" s="419"/>
      <c r="BS524" s="419"/>
      <c r="BT524" s="421"/>
      <c r="BU524" s="421"/>
      <c r="BV524" s="419"/>
      <c r="BW524" s="419"/>
      <c r="BX524" s="421"/>
      <c r="BY524" s="421"/>
      <c r="BZ524" s="419"/>
      <c r="CA524" s="419"/>
      <c r="CB524" s="421"/>
      <c r="CC524" s="421"/>
      <c r="CD524" s="419"/>
      <c r="CE524" s="419"/>
      <c r="CF524" s="421"/>
      <c r="CG524" s="421"/>
      <c r="CH524" s="419"/>
      <c r="CI524" s="419"/>
      <c r="CJ524" s="421"/>
      <c r="CK524" s="421"/>
      <c r="CL524" s="419"/>
      <c r="CM524" s="421"/>
      <c r="CN524" s="424">
        <f t="shared" si="221"/>
        <v>0</v>
      </c>
      <c r="CO524" s="424">
        <f t="shared" si="222"/>
        <v>0</v>
      </c>
      <c r="CP524" s="425">
        <f t="shared" si="223"/>
        <v>0</v>
      </c>
      <c r="CQ524" s="425">
        <f t="shared" si="224"/>
        <v>0</v>
      </c>
      <c r="CR524" s="419"/>
      <c r="CS524" s="419"/>
      <c r="CT524" s="421"/>
      <c r="CU524" s="421"/>
      <c r="CV524" s="419"/>
      <c r="CW524" s="419"/>
      <c r="CX524" s="421"/>
      <c r="CY524" s="421"/>
      <c r="CZ524" s="419"/>
      <c r="DA524" s="419"/>
      <c r="DB524" s="421"/>
      <c r="DC524" s="421"/>
      <c r="DD524" s="419"/>
      <c r="DE524" s="419"/>
      <c r="DF524" s="421"/>
      <c r="DG524" s="421"/>
      <c r="DH524" s="419"/>
      <c r="DI524" s="419"/>
      <c r="DJ524" s="421"/>
      <c r="DK524" s="421"/>
      <c r="DL524" s="419"/>
      <c r="DM524" s="419"/>
      <c r="DN524" s="421"/>
      <c r="DO524" s="421"/>
      <c r="DP524" s="419"/>
      <c r="DQ524" s="419"/>
      <c r="DR524" s="421"/>
      <c r="DS524" s="421"/>
      <c r="DT524" s="419"/>
      <c r="DU524" s="419"/>
      <c r="DV524" s="421"/>
      <c r="DW524" s="421"/>
      <c r="DX524" s="419"/>
      <c r="DY524" s="419"/>
      <c r="DZ524" s="421"/>
      <c r="EA524" s="421"/>
      <c r="EB524" s="419"/>
      <c r="EC524" s="419"/>
      <c r="ED524" s="421"/>
      <c r="EE524" s="421"/>
      <c r="EF524" s="419"/>
      <c r="EG524" s="421"/>
      <c r="EH524" s="424">
        <f t="shared" si="225"/>
        <v>0</v>
      </c>
      <c r="EI524" s="424">
        <f t="shared" si="226"/>
        <v>0</v>
      </c>
      <c r="EJ524" s="422">
        <f t="shared" si="227"/>
        <v>0</v>
      </c>
      <c r="EK524" s="425">
        <f t="shared" si="228"/>
        <v>0</v>
      </c>
      <c r="EL524" s="425">
        <f t="shared" si="229"/>
        <v>0</v>
      </c>
      <c r="EM524" s="423">
        <f t="shared" si="230"/>
        <v>0</v>
      </c>
      <c r="EN524" s="424">
        <f t="shared" si="231"/>
        <v>0</v>
      </c>
      <c r="EO524" s="425">
        <f t="shared" si="232"/>
        <v>0</v>
      </c>
      <c r="EP524" s="419"/>
      <c r="EQ524" s="421"/>
      <c r="ER524" s="419"/>
      <c r="ES524" s="421"/>
      <c r="ET524" s="419"/>
      <c r="EU524" s="421"/>
      <c r="EV524" s="419"/>
      <c r="EW524" s="421"/>
      <c r="EX524" s="419"/>
      <c r="EY524" s="421"/>
      <c r="EZ524" s="419"/>
      <c r="FA524" s="421"/>
      <c r="FB524" s="419"/>
      <c r="FC524" s="421"/>
      <c r="FD524" s="419"/>
      <c r="FE524" s="421"/>
      <c r="FF524" s="419"/>
      <c r="FG524" s="421"/>
      <c r="FH524" s="419"/>
      <c r="FI524" s="421"/>
      <c r="FJ524" s="424">
        <f t="shared" si="233"/>
        <v>0</v>
      </c>
      <c r="FK524" s="425">
        <f t="shared" si="234"/>
        <v>0</v>
      </c>
      <c r="FL524" s="419"/>
      <c r="FM524" s="421"/>
      <c r="FN524" s="424">
        <f t="shared" si="235"/>
        <v>1063</v>
      </c>
      <c r="FO524" s="425">
        <f t="shared" si="236"/>
        <v>944</v>
      </c>
    </row>
    <row r="525" spans="1:171" customFormat="1" ht="15" customHeight="1">
      <c r="A525" s="457" t="s">
        <v>166</v>
      </c>
      <c r="B525" s="46" t="s">
        <v>1048</v>
      </c>
      <c r="C525" s="16"/>
      <c r="D525" s="44">
        <v>223922</v>
      </c>
      <c r="E525" s="125">
        <v>10</v>
      </c>
      <c r="F525" s="419">
        <v>171</v>
      </c>
      <c r="G525" s="532">
        <v>156</v>
      </c>
      <c r="H525" s="419"/>
      <c r="I525" s="421"/>
      <c r="J525" s="419">
        <v>171</v>
      </c>
      <c r="K525" s="532">
        <v>178</v>
      </c>
      <c r="L525" s="422">
        <f t="shared" si="215"/>
        <v>0</v>
      </c>
      <c r="M525" s="423">
        <f t="shared" si="216"/>
        <v>0</v>
      </c>
      <c r="N525" s="419"/>
      <c r="O525" s="525">
        <f>0</f>
        <v>0</v>
      </c>
      <c r="P525" s="525">
        <f>0</f>
        <v>0</v>
      </c>
      <c r="Q525" s="525">
        <f>0</f>
        <v>0</v>
      </c>
      <c r="R525" s="424">
        <f t="shared" si="213"/>
        <v>0</v>
      </c>
      <c r="S525" s="421"/>
      <c r="T525" s="526">
        <f>0</f>
        <v>0</v>
      </c>
      <c r="U525" s="526">
        <f>0</f>
        <v>0</v>
      </c>
      <c r="V525" s="526">
        <f>0</f>
        <v>0</v>
      </c>
      <c r="W525" s="425">
        <f t="shared" si="214"/>
        <v>0</v>
      </c>
      <c r="X525" s="419"/>
      <c r="Y525" s="419"/>
      <c r="Z525" s="421"/>
      <c r="AA525" s="421"/>
      <c r="AB525" s="419"/>
      <c r="AC525" s="419"/>
      <c r="AD525" s="421"/>
      <c r="AE525" s="421"/>
      <c r="AF525" s="419"/>
      <c r="AG525" s="419"/>
      <c r="AH525" s="421"/>
      <c r="AI525" s="421"/>
      <c r="AJ525" s="419"/>
      <c r="AK525" s="419"/>
      <c r="AL525" s="421"/>
      <c r="AM525" s="421"/>
      <c r="AN525" s="419"/>
      <c r="AO525" s="419"/>
      <c r="AP525" s="421"/>
      <c r="AQ525" s="421"/>
      <c r="AR525" s="424">
        <f t="shared" si="217"/>
        <v>0</v>
      </c>
      <c r="AS525" s="422">
        <f t="shared" si="218"/>
        <v>0</v>
      </c>
      <c r="AT525" s="425">
        <f t="shared" si="219"/>
        <v>0</v>
      </c>
      <c r="AU525" s="423">
        <f t="shared" si="220"/>
        <v>0</v>
      </c>
      <c r="AV525" s="419"/>
      <c r="AW525" s="421"/>
      <c r="AX525" s="419"/>
      <c r="AY525" s="419"/>
      <c r="AZ525" s="421"/>
      <c r="BA525" s="421"/>
      <c r="BB525" s="419"/>
      <c r="BC525" s="419"/>
      <c r="BD525" s="421"/>
      <c r="BE525" s="421"/>
      <c r="BF525" s="419"/>
      <c r="BG525" s="419"/>
      <c r="BH525" s="421"/>
      <c r="BI525" s="421"/>
      <c r="BJ525" s="419"/>
      <c r="BK525" s="419"/>
      <c r="BL525" s="421"/>
      <c r="BM525" s="421"/>
      <c r="BN525" s="419"/>
      <c r="BO525" s="419"/>
      <c r="BP525" s="421"/>
      <c r="BQ525" s="421"/>
      <c r="BR525" s="419"/>
      <c r="BS525" s="419"/>
      <c r="BT525" s="421"/>
      <c r="BU525" s="421"/>
      <c r="BV525" s="419"/>
      <c r="BW525" s="419"/>
      <c r="BX525" s="421"/>
      <c r="BY525" s="421"/>
      <c r="BZ525" s="419"/>
      <c r="CA525" s="419"/>
      <c r="CB525" s="421"/>
      <c r="CC525" s="421"/>
      <c r="CD525" s="419"/>
      <c r="CE525" s="419"/>
      <c r="CF525" s="421"/>
      <c r="CG525" s="421"/>
      <c r="CH525" s="419"/>
      <c r="CI525" s="419"/>
      <c r="CJ525" s="421"/>
      <c r="CK525" s="421"/>
      <c r="CL525" s="419"/>
      <c r="CM525" s="421"/>
      <c r="CN525" s="424">
        <f t="shared" si="221"/>
        <v>0</v>
      </c>
      <c r="CO525" s="424">
        <f t="shared" si="222"/>
        <v>0</v>
      </c>
      <c r="CP525" s="425">
        <f t="shared" si="223"/>
        <v>0</v>
      </c>
      <c r="CQ525" s="425">
        <f t="shared" si="224"/>
        <v>0</v>
      </c>
      <c r="CR525" s="419"/>
      <c r="CS525" s="419"/>
      <c r="CT525" s="421"/>
      <c r="CU525" s="421"/>
      <c r="CV525" s="419"/>
      <c r="CW525" s="419"/>
      <c r="CX525" s="421"/>
      <c r="CY525" s="421"/>
      <c r="CZ525" s="419"/>
      <c r="DA525" s="419"/>
      <c r="DB525" s="421"/>
      <c r="DC525" s="421"/>
      <c r="DD525" s="419"/>
      <c r="DE525" s="419"/>
      <c r="DF525" s="421"/>
      <c r="DG525" s="421"/>
      <c r="DH525" s="419"/>
      <c r="DI525" s="419"/>
      <c r="DJ525" s="421"/>
      <c r="DK525" s="421"/>
      <c r="DL525" s="419"/>
      <c r="DM525" s="419"/>
      <c r="DN525" s="421"/>
      <c r="DO525" s="421"/>
      <c r="DP525" s="419"/>
      <c r="DQ525" s="419"/>
      <c r="DR525" s="421"/>
      <c r="DS525" s="421"/>
      <c r="DT525" s="419"/>
      <c r="DU525" s="419"/>
      <c r="DV525" s="421"/>
      <c r="DW525" s="421"/>
      <c r="DX525" s="419"/>
      <c r="DY525" s="419"/>
      <c r="DZ525" s="421"/>
      <c r="EA525" s="421"/>
      <c r="EB525" s="419"/>
      <c r="EC525" s="419"/>
      <c r="ED525" s="421"/>
      <c r="EE525" s="421"/>
      <c r="EF525" s="419"/>
      <c r="EG525" s="421"/>
      <c r="EH525" s="424">
        <f t="shared" si="225"/>
        <v>0</v>
      </c>
      <c r="EI525" s="424">
        <f t="shared" si="226"/>
        <v>0</v>
      </c>
      <c r="EJ525" s="422">
        <f t="shared" si="227"/>
        <v>0</v>
      </c>
      <c r="EK525" s="425">
        <f t="shared" si="228"/>
        <v>0</v>
      </c>
      <c r="EL525" s="425">
        <f t="shared" si="229"/>
        <v>0</v>
      </c>
      <c r="EM525" s="423">
        <f t="shared" si="230"/>
        <v>0</v>
      </c>
      <c r="EN525" s="424">
        <f t="shared" si="231"/>
        <v>0</v>
      </c>
      <c r="EO525" s="425">
        <f t="shared" si="232"/>
        <v>0</v>
      </c>
      <c r="EP525" s="419"/>
      <c r="EQ525" s="421"/>
      <c r="ER525" s="419"/>
      <c r="ES525" s="421"/>
      <c r="ET525" s="419"/>
      <c r="EU525" s="421"/>
      <c r="EV525" s="419"/>
      <c r="EW525" s="421"/>
      <c r="EX525" s="419"/>
      <c r="EY525" s="421"/>
      <c r="EZ525" s="419"/>
      <c r="FA525" s="421"/>
      <c r="FB525" s="419"/>
      <c r="FC525" s="421"/>
      <c r="FD525" s="419"/>
      <c r="FE525" s="421"/>
      <c r="FF525" s="419"/>
      <c r="FG525" s="421"/>
      <c r="FH525" s="419"/>
      <c r="FI525" s="421"/>
      <c r="FJ525" s="424">
        <f t="shared" si="233"/>
        <v>0</v>
      </c>
      <c r="FK525" s="425">
        <f t="shared" si="234"/>
        <v>0</v>
      </c>
      <c r="FL525" s="419"/>
      <c r="FM525" s="421"/>
      <c r="FN525" s="424">
        <f t="shared" si="235"/>
        <v>342</v>
      </c>
      <c r="FO525" s="425">
        <f t="shared" si="236"/>
        <v>334</v>
      </c>
    </row>
    <row r="526" spans="1:171" customFormat="1" ht="15" customHeight="1">
      <c r="A526" s="457" t="s">
        <v>166</v>
      </c>
      <c r="B526" s="46" t="s">
        <v>1049</v>
      </c>
      <c r="C526" s="16"/>
      <c r="D526" s="44">
        <v>224891</v>
      </c>
      <c r="E526" s="125">
        <v>10</v>
      </c>
      <c r="F526" s="419">
        <v>109</v>
      </c>
      <c r="G526" s="532">
        <v>117</v>
      </c>
      <c r="H526" s="419"/>
      <c r="I526" s="421"/>
      <c r="J526" s="419">
        <v>112</v>
      </c>
      <c r="K526" s="532">
        <v>125</v>
      </c>
      <c r="L526" s="422">
        <f t="shared" si="215"/>
        <v>0</v>
      </c>
      <c r="M526" s="423">
        <f t="shared" si="216"/>
        <v>0</v>
      </c>
      <c r="N526" s="419"/>
      <c r="O526" s="525">
        <f>0</f>
        <v>0</v>
      </c>
      <c r="P526" s="525">
        <f>0</f>
        <v>0</v>
      </c>
      <c r="Q526" s="525">
        <f>0</f>
        <v>0</v>
      </c>
      <c r="R526" s="424">
        <f t="shared" si="213"/>
        <v>0</v>
      </c>
      <c r="S526" s="421"/>
      <c r="T526" s="526">
        <f>0</f>
        <v>0</v>
      </c>
      <c r="U526" s="526">
        <f>0</f>
        <v>0</v>
      </c>
      <c r="V526" s="526">
        <f>0</f>
        <v>0</v>
      </c>
      <c r="W526" s="425">
        <f t="shared" si="214"/>
        <v>0</v>
      </c>
      <c r="X526" s="419"/>
      <c r="Y526" s="419"/>
      <c r="Z526" s="421"/>
      <c r="AA526" s="421"/>
      <c r="AB526" s="419"/>
      <c r="AC526" s="419"/>
      <c r="AD526" s="421"/>
      <c r="AE526" s="421"/>
      <c r="AF526" s="419"/>
      <c r="AG526" s="419"/>
      <c r="AH526" s="421"/>
      <c r="AI526" s="421"/>
      <c r="AJ526" s="419"/>
      <c r="AK526" s="419"/>
      <c r="AL526" s="421"/>
      <c r="AM526" s="421"/>
      <c r="AN526" s="419"/>
      <c r="AO526" s="419"/>
      <c r="AP526" s="421"/>
      <c r="AQ526" s="421"/>
      <c r="AR526" s="424">
        <f t="shared" si="217"/>
        <v>0</v>
      </c>
      <c r="AS526" s="422">
        <f t="shared" si="218"/>
        <v>0</v>
      </c>
      <c r="AT526" s="425">
        <f t="shared" si="219"/>
        <v>0</v>
      </c>
      <c r="AU526" s="423">
        <f t="shared" si="220"/>
        <v>0</v>
      </c>
      <c r="AV526" s="419"/>
      <c r="AW526" s="421"/>
      <c r="AX526" s="419"/>
      <c r="AY526" s="419"/>
      <c r="AZ526" s="421"/>
      <c r="BA526" s="421"/>
      <c r="BB526" s="419"/>
      <c r="BC526" s="419"/>
      <c r="BD526" s="421"/>
      <c r="BE526" s="421"/>
      <c r="BF526" s="419"/>
      <c r="BG526" s="419"/>
      <c r="BH526" s="421"/>
      <c r="BI526" s="421"/>
      <c r="BJ526" s="419"/>
      <c r="BK526" s="419"/>
      <c r="BL526" s="421"/>
      <c r="BM526" s="421"/>
      <c r="BN526" s="419"/>
      <c r="BO526" s="419"/>
      <c r="BP526" s="421"/>
      <c r="BQ526" s="421"/>
      <c r="BR526" s="419"/>
      <c r="BS526" s="419"/>
      <c r="BT526" s="421"/>
      <c r="BU526" s="421"/>
      <c r="BV526" s="419"/>
      <c r="BW526" s="419"/>
      <c r="BX526" s="421"/>
      <c r="BY526" s="421"/>
      <c r="BZ526" s="419"/>
      <c r="CA526" s="419"/>
      <c r="CB526" s="421"/>
      <c r="CC526" s="421"/>
      <c r="CD526" s="419"/>
      <c r="CE526" s="419"/>
      <c r="CF526" s="421"/>
      <c r="CG526" s="421"/>
      <c r="CH526" s="419"/>
      <c r="CI526" s="419"/>
      <c r="CJ526" s="421"/>
      <c r="CK526" s="421"/>
      <c r="CL526" s="419"/>
      <c r="CM526" s="421"/>
      <c r="CN526" s="424">
        <f t="shared" si="221"/>
        <v>0</v>
      </c>
      <c r="CO526" s="424">
        <f t="shared" si="222"/>
        <v>0</v>
      </c>
      <c r="CP526" s="425">
        <f t="shared" si="223"/>
        <v>0</v>
      </c>
      <c r="CQ526" s="425">
        <f t="shared" si="224"/>
        <v>0</v>
      </c>
      <c r="CR526" s="419"/>
      <c r="CS526" s="419"/>
      <c r="CT526" s="421"/>
      <c r="CU526" s="421"/>
      <c r="CV526" s="419"/>
      <c r="CW526" s="419"/>
      <c r="CX526" s="421"/>
      <c r="CY526" s="421"/>
      <c r="CZ526" s="419"/>
      <c r="DA526" s="419"/>
      <c r="DB526" s="421"/>
      <c r="DC526" s="421"/>
      <c r="DD526" s="419"/>
      <c r="DE526" s="419"/>
      <c r="DF526" s="421"/>
      <c r="DG526" s="421"/>
      <c r="DH526" s="419"/>
      <c r="DI526" s="419"/>
      <c r="DJ526" s="421"/>
      <c r="DK526" s="421"/>
      <c r="DL526" s="419"/>
      <c r="DM526" s="419"/>
      <c r="DN526" s="421"/>
      <c r="DO526" s="421"/>
      <c r="DP526" s="419"/>
      <c r="DQ526" s="419"/>
      <c r="DR526" s="421"/>
      <c r="DS526" s="421"/>
      <c r="DT526" s="419"/>
      <c r="DU526" s="419"/>
      <c r="DV526" s="421"/>
      <c r="DW526" s="421"/>
      <c r="DX526" s="419"/>
      <c r="DY526" s="419"/>
      <c r="DZ526" s="421"/>
      <c r="EA526" s="421"/>
      <c r="EB526" s="419"/>
      <c r="EC526" s="419"/>
      <c r="ED526" s="421"/>
      <c r="EE526" s="421"/>
      <c r="EF526" s="419"/>
      <c r="EG526" s="421"/>
      <c r="EH526" s="424">
        <f t="shared" si="225"/>
        <v>0</v>
      </c>
      <c r="EI526" s="424">
        <f t="shared" si="226"/>
        <v>0</v>
      </c>
      <c r="EJ526" s="422">
        <f t="shared" si="227"/>
        <v>0</v>
      </c>
      <c r="EK526" s="425">
        <f t="shared" si="228"/>
        <v>0</v>
      </c>
      <c r="EL526" s="425">
        <f t="shared" si="229"/>
        <v>0</v>
      </c>
      <c r="EM526" s="423">
        <f t="shared" si="230"/>
        <v>0</v>
      </c>
      <c r="EN526" s="424">
        <f t="shared" si="231"/>
        <v>0</v>
      </c>
      <c r="EO526" s="425">
        <f t="shared" si="232"/>
        <v>0</v>
      </c>
      <c r="EP526" s="419"/>
      <c r="EQ526" s="421"/>
      <c r="ER526" s="419"/>
      <c r="ES526" s="421"/>
      <c r="ET526" s="419"/>
      <c r="EU526" s="421"/>
      <c r="EV526" s="419"/>
      <c r="EW526" s="421"/>
      <c r="EX526" s="419"/>
      <c r="EY526" s="421"/>
      <c r="EZ526" s="419"/>
      <c r="FA526" s="421"/>
      <c r="FB526" s="419"/>
      <c r="FC526" s="421"/>
      <c r="FD526" s="419"/>
      <c r="FE526" s="421"/>
      <c r="FF526" s="419"/>
      <c r="FG526" s="421"/>
      <c r="FH526" s="419"/>
      <c r="FI526" s="421"/>
      <c r="FJ526" s="424">
        <f t="shared" si="233"/>
        <v>0</v>
      </c>
      <c r="FK526" s="425">
        <f t="shared" si="234"/>
        <v>0</v>
      </c>
      <c r="FL526" s="419"/>
      <c r="FM526" s="421"/>
      <c r="FN526" s="424">
        <f t="shared" si="235"/>
        <v>221</v>
      </c>
      <c r="FO526" s="425">
        <f t="shared" si="236"/>
        <v>242</v>
      </c>
    </row>
    <row r="527" spans="1:171" customFormat="1" ht="15" customHeight="1">
      <c r="A527" s="457" t="s">
        <v>166</v>
      </c>
      <c r="B527" s="46" t="s">
        <v>1050</v>
      </c>
      <c r="C527" s="16"/>
      <c r="D527" s="44">
        <v>224961</v>
      </c>
      <c r="E527" s="125">
        <v>10</v>
      </c>
      <c r="F527" s="419">
        <v>422</v>
      </c>
      <c r="G527" s="531">
        <v>322</v>
      </c>
      <c r="H527" s="419"/>
      <c r="I527" s="421"/>
      <c r="J527" s="419">
        <v>268</v>
      </c>
      <c r="K527" s="532">
        <v>266</v>
      </c>
      <c r="L527" s="422">
        <f t="shared" si="215"/>
        <v>0</v>
      </c>
      <c r="M527" s="423">
        <f t="shared" si="216"/>
        <v>0</v>
      </c>
      <c r="N527" s="419"/>
      <c r="O527" s="525">
        <f>0</f>
        <v>0</v>
      </c>
      <c r="P527" s="525">
        <f>0</f>
        <v>0</v>
      </c>
      <c r="Q527" s="525">
        <f>0</f>
        <v>0</v>
      </c>
      <c r="R527" s="424">
        <f t="shared" si="213"/>
        <v>0</v>
      </c>
      <c r="S527" s="421"/>
      <c r="T527" s="526">
        <f>0</f>
        <v>0</v>
      </c>
      <c r="U527" s="526">
        <f>0</f>
        <v>0</v>
      </c>
      <c r="V527" s="526">
        <f>0</f>
        <v>0</v>
      </c>
      <c r="W527" s="425">
        <f t="shared" si="214"/>
        <v>0</v>
      </c>
      <c r="X527" s="419"/>
      <c r="Y527" s="419"/>
      <c r="Z527" s="421"/>
      <c r="AA527" s="421"/>
      <c r="AB527" s="419"/>
      <c r="AC527" s="419"/>
      <c r="AD527" s="421"/>
      <c r="AE527" s="421"/>
      <c r="AF527" s="419"/>
      <c r="AG527" s="419"/>
      <c r="AH527" s="421"/>
      <c r="AI527" s="421"/>
      <c r="AJ527" s="419"/>
      <c r="AK527" s="419"/>
      <c r="AL527" s="421"/>
      <c r="AM527" s="421"/>
      <c r="AN527" s="419"/>
      <c r="AO527" s="419"/>
      <c r="AP527" s="421"/>
      <c r="AQ527" s="421"/>
      <c r="AR527" s="424">
        <f t="shared" si="217"/>
        <v>0</v>
      </c>
      <c r="AS527" s="422">
        <f t="shared" si="218"/>
        <v>0</v>
      </c>
      <c r="AT527" s="425">
        <f t="shared" si="219"/>
        <v>0</v>
      </c>
      <c r="AU527" s="423">
        <f t="shared" si="220"/>
        <v>0</v>
      </c>
      <c r="AV527" s="419"/>
      <c r="AW527" s="421"/>
      <c r="AX527" s="419"/>
      <c r="AY527" s="419"/>
      <c r="AZ527" s="421"/>
      <c r="BA527" s="421"/>
      <c r="BB527" s="419"/>
      <c r="BC527" s="419"/>
      <c r="BD527" s="421"/>
      <c r="BE527" s="421"/>
      <c r="BF527" s="419"/>
      <c r="BG527" s="419"/>
      <c r="BH527" s="421"/>
      <c r="BI527" s="421"/>
      <c r="BJ527" s="419"/>
      <c r="BK527" s="419"/>
      <c r="BL527" s="421"/>
      <c r="BM527" s="421"/>
      <c r="BN527" s="419"/>
      <c r="BO527" s="419"/>
      <c r="BP527" s="421"/>
      <c r="BQ527" s="421"/>
      <c r="BR527" s="419"/>
      <c r="BS527" s="419"/>
      <c r="BT527" s="421"/>
      <c r="BU527" s="421"/>
      <c r="BV527" s="419"/>
      <c r="BW527" s="419"/>
      <c r="BX527" s="421"/>
      <c r="BY527" s="421"/>
      <c r="BZ527" s="419"/>
      <c r="CA527" s="419"/>
      <c r="CB527" s="421"/>
      <c r="CC527" s="421"/>
      <c r="CD527" s="419"/>
      <c r="CE527" s="419"/>
      <c r="CF527" s="421"/>
      <c r="CG527" s="421"/>
      <c r="CH527" s="419"/>
      <c r="CI527" s="419"/>
      <c r="CJ527" s="421"/>
      <c r="CK527" s="421"/>
      <c r="CL527" s="419"/>
      <c r="CM527" s="421"/>
      <c r="CN527" s="424">
        <f t="shared" si="221"/>
        <v>0</v>
      </c>
      <c r="CO527" s="424">
        <f t="shared" si="222"/>
        <v>0</v>
      </c>
      <c r="CP527" s="425">
        <f t="shared" si="223"/>
        <v>0</v>
      </c>
      <c r="CQ527" s="425">
        <f t="shared" si="224"/>
        <v>0</v>
      </c>
      <c r="CR527" s="419"/>
      <c r="CS527" s="419"/>
      <c r="CT527" s="421"/>
      <c r="CU527" s="421"/>
      <c r="CV527" s="419"/>
      <c r="CW527" s="419"/>
      <c r="CX527" s="421"/>
      <c r="CY527" s="421"/>
      <c r="CZ527" s="419"/>
      <c r="DA527" s="419"/>
      <c r="DB527" s="421"/>
      <c r="DC527" s="421"/>
      <c r="DD527" s="419"/>
      <c r="DE527" s="419"/>
      <c r="DF527" s="421"/>
      <c r="DG527" s="421"/>
      <c r="DH527" s="419"/>
      <c r="DI527" s="419"/>
      <c r="DJ527" s="421"/>
      <c r="DK527" s="421"/>
      <c r="DL527" s="419"/>
      <c r="DM527" s="419"/>
      <c r="DN527" s="421"/>
      <c r="DO527" s="421"/>
      <c r="DP527" s="419"/>
      <c r="DQ527" s="419"/>
      <c r="DR527" s="421"/>
      <c r="DS527" s="421"/>
      <c r="DT527" s="419"/>
      <c r="DU527" s="419"/>
      <c r="DV527" s="421"/>
      <c r="DW527" s="421"/>
      <c r="DX527" s="419"/>
      <c r="DY527" s="419"/>
      <c r="DZ527" s="421"/>
      <c r="EA527" s="421"/>
      <c r="EB527" s="419"/>
      <c r="EC527" s="419"/>
      <c r="ED527" s="421"/>
      <c r="EE527" s="421"/>
      <c r="EF527" s="419"/>
      <c r="EG527" s="421"/>
      <c r="EH527" s="424">
        <f t="shared" si="225"/>
        <v>0</v>
      </c>
      <c r="EI527" s="424">
        <f t="shared" si="226"/>
        <v>0</v>
      </c>
      <c r="EJ527" s="422">
        <f t="shared" si="227"/>
        <v>0</v>
      </c>
      <c r="EK527" s="425">
        <f t="shared" si="228"/>
        <v>0</v>
      </c>
      <c r="EL527" s="425">
        <f t="shared" si="229"/>
        <v>0</v>
      </c>
      <c r="EM527" s="423">
        <f t="shared" si="230"/>
        <v>0</v>
      </c>
      <c r="EN527" s="424">
        <f t="shared" si="231"/>
        <v>0</v>
      </c>
      <c r="EO527" s="425">
        <f t="shared" si="232"/>
        <v>0</v>
      </c>
      <c r="EP527" s="419"/>
      <c r="EQ527" s="421"/>
      <c r="ER527" s="419"/>
      <c r="ES527" s="421"/>
      <c r="ET527" s="419"/>
      <c r="EU527" s="421"/>
      <c r="EV527" s="419"/>
      <c r="EW527" s="421"/>
      <c r="EX527" s="419"/>
      <c r="EY527" s="421"/>
      <c r="EZ527" s="419"/>
      <c r="FA527" s="421"/>
      <c r="FB527" s="419"/>
      <c r="FC527" s="421"/>
      <c r="FD527" s="419"/>
      <c r="FE527" s="421"/>
      <c r="FF527" s="419"/>
      <c r="FG527" s="421"/>
      <c r="FH527" s="419"/>
      <c r="FI527" s="421"/>
      <c r="FJ527" s="424">
        <f t="shared" si="233"/>
        <v>0</v>
      </c>
      <c r="FK527" s="425">
        <f t="shared" si="234"/>
        <v>0</v>
      </c>
      <c r="FL527" s="419"/>
      <c r="FM527" s="421"/>
      <c r="FN527" s="424">
        <f t="shared" si="235"/>
        <v>690</v>
      </c>
      <c r="FO527" s="425">
        <f t="shared" si="236"/>
        <v>588</v>
      </c>
    </row>
    <row r="528" spans="1:171" customFormat="1" ht="15" customHeight="1">
      <c r="A528" s="457" t="s">
        <v>166</v>
      </c>
      <c r="B528" s="46" t="s">
        <v>1051</v>
      </c>
      <c r="C528" s="16"/>
      <c r="D528" s="44">
        <v>226107</v>
      </c>
      <c r="E528" s="125">
        <v>10</v>
      </c>
      <c r="F528" s="419">
        <v>274</v>
      </c>
      <c r="G528" s="532">
        <v>243</v>
      </c>
      <c r="H528" s="419"/>
      <c r="I528" s="421"/>
      <c r="J528" s="419">
        <v>214</v>
      </c>
      <c r="K528" s="532">
        <v>230</v>
      </c>
      <c r="L528" s="422">
        <f t="shared" si="215"/>
        <v>0</v>
      </c>
      <c r="M528" s="423">
        <f t="shared" si="216"/>
        <v>0</v>
      </c>
      <c r="N528" s="419"/>
      <c r="O528" s="525">
        <f>0</f>
        <v>0</v>
      </c>
      <c r="P528" s="525">
        <f>0</f>
        <v>0</v>
      </c>
      <c r="Q528" s="525">
        <f>0</f>
        <v>0</v>
      </c>
      <c r="R528" s="424">
        <f t="shared" si="213"/>
        <v>0</v>
      </c>
      <c r="S528" s="421"/>
      <c r="T528" s="526">
        <f>0</f>
        <v>0</v>
      </c>
      <c r="U528" s="526">
        <f>0</f>
        <v>0</v>
      </c>
      <c r="V528" s="526">
        <f>0</f>
        <v>0</v>
      </c>
      <c r="W528" s="425">
        <f t="shared" si="214"/>
        <v>0</v>
      </c>
      <c r="X528" s="419"/>
      <c r="Y528" s="419"/>
      <c r="Z528" s="421"/>
      <c r="AA528" s="421"/>
      <c r="AB528" s="419"/>
      <c r="AC528" s="419"/>
      <c r="AD528" s="421"/>
      <c r="AE528" s="421"/>
      <c r="AF528" s="419"/>
      <c r="AG528" s="419"/>
      <c r="AH528" s="421"/>
      <c r="AI528" s="421"/>
      <c r="AJ528" s="419"/>
      <c r="AK528" s="419"/>
      <c r="AL528" s="421"/>
      <c r="AM528" s="421"/>
      <c r="AN528" s="419"/>
      <c r="AO528" s="419"/>
      <c r="AP528" s="421"/>
      <c r="AQ528" s="421"/>
      <c r="AR528" s="424">
        <f t="shared" si="217"/>
        <v>0</v>
      </c>
      <c r="AS528" s="422">
        <f t="shared" si="218"/>
        <v>0</v>
      </c>
      <c r="AT528" s="425">
        <f t="shared" si="219"/>
        <v>0</v>
      </c>
      <c r="AU528" s="423">
        <f t="shared" si="220"/>
        <v>0</v>
      </c>
      <c r="AV528" s="419"/>
      <c r="AW528" s="421"/>
      <c r="AX528" s="419"/>
      <c r="AY528" s="419"/>
      <c r="AZ528" s="421"/>
      <c r="BA528" s="421"/>
      <c r="BB528" s="419"/>
      <c r="BC528" s="419"/>
      <c r="BD528" s="421"/>
      <c r="BE528" s="421"/>
      <c r="BF528" s="419"/>
      <c r="BG528" s="419"/>
      <c r="BH528" s="421"/>
      <c r="BI528" s="421"/>
      <c r="BJ528" s="419"/>
      <c r="BK528" s="419"/>
      <c r="BL528" s="421"/>
      <c r="BM528" s="421"/>
      <c r="BN528" s="419"/>
      <c r="BO528" s="419"/>
      <c r="BP528" s="421"/>
      <c r="BQ528" s="421"/>
      <c r="BR528" s="419"/>
      <c r="BS528" s="419"/>
      <c r="BT528" s="421"/>
      <c r="BU528" s="421"/>
      <c r="BV528" s="419"/>
      <c r="BW528" s="419"/>
      <c r="BX528" s="421"/>
      <c r="BY528" s="421"/>
      <c r="BZ528" s="419"/>
      <c r="CA528" s="419"/>
      <c r="CB528" s="421"/>
      <c r="CC528" s="421"/>
      <c r="CD528" s="419"/>
      <c r="CE528" s="419"/>
      <c r="CF528" s="421"/>
      <c r="CG528" s="421"/>
      <c r="CH528" s="419"/>
      <c r="CI528" s="419"/>
      <c r="CJ528" s="421"/>
      <c r="CK528" s="421"/>
      <c r="CL528" s="419"/>
      <c r="CM528" s="421"/>
      <c r="CN528" s="424">
        <f t="shared" si="221"/>
        <v>0</v>
      </c>
      <c r="CO528" s="424">
        <f t="shared" si="222"/>
        <v>0</v>
      </c>
      <c r="CP528" s="425">
        <f t="shared" si="223"/>
        <v>0</v>
      </c>
      <c r="CQ528" s="425">
        <f t="shared" si="224"/>
        <v>0</v>
      </c>
      <c r="CR528" s="419"/>
      <c r="CS528" s="419"/>
      <c r="CT528" s="421"/>
      <c r="CU528" s="421"/>
      <c r="CV528" s="419"/>
      <c r="CW528" s="419"/>
      <c r="CX528" s="421"/>
      <c r="CY528" s="421"/>
      <c r="CZ528" s="419"/>
      <c r="DA528" s="419"/>
      <c r="DB528" s="421"/>
      <c r="DC528" s="421"/>
      <c r="DD528" s="419"/>
      <c r="DE528" s="419"/>
      <c r="DF528" s="421"/>
      <c r="DG528" s="421"/>
      <c r="DH528" s="419"/>
      <c r="DI528" s="419"/>
      <c r="DJ528" s="421"/>
      <c r="DK528" s="421"/>
      <c r="DL528" s="419"/>
      <c r="DM528" s="419"/>
      <c r="DN528" s="421"/>
      <c r="DO528" s="421"/>
      <c r="DP528" s="419"/>
      <c r="DQ528" s="419"/>
      <c r="DR528" s="421"/>
      <c r="DS528" s="421"/>
      <c r="DT528" s="419"/>
      <c r="DU528" s="419"/>
      <c r="DV528" s="421"/>
      <c r="DW528" s="421"/>
      <c r="DX528" s="419"/>
      <c r="DY528" s="419"/>
      <c r="DZ528" s="421"/>
      <c r="EA528" s="421"/>
      <c r="EB528" s="419"/>
      <c r="EC528" s="419"/>
      <c r="ED528" s="421"/>
      <c r="EE528" s="421"/>
      <c r="EF528" s="419"/>
      <c r="EG528" s="421"/>
      <c r="EH528" s="424">
        <f t="shared" si="225"/>
        <v>0</v>
      </c>
      <c r="EI528" s="424">
        <f t="shared" si="226"/>
        <v>0</v>
      </c>
      <c r="EJ528" s="422">
        <f t="shared" si="227"/>
        <v>0</v>
      </c>
      <c r="EK528" s="425">
        <f t="shared" si="228"/>
        <v>0</v>
      </c>
      <c r="EL528" s="425">
        <f t="shared" si="229"/>
        <v>0</v>
      </c>
      <c r="EM528" s="423">
        <f t="shared" si="230"/>
        <v>0</v>
      </c>
      <c r="EN528" s="424">
        <f t="shared" si="231"/>
        <v>0</v>
      </c>
      <c r="EO528" s="425">
        <f t="shared" si="232"/>
        <v>0</v>
      </c>
      <c r="EP528" s="419"/>
      <c r="EQ528" s="421"/>
      <c r="ER528" s="419"/>
      <c r="ES528" s="421"/>
      <c r="ET528" s="419"/>
      <c r="EU528" s="421"/>
      <c r="EV528" s="419"/>
      <c r="EW528" s="421"/>
      <c r="EX528" s="419"/>
      <c r="EY528" s="421"/>
      <c r="EZ528" s="419"/>
      <c r="FA528" s="421"/>
      <c r="FB528" s="419"/>
      <c r="FC528" s="421"/>
      <c r="FD528" s="419"/>
      <c r="FE528" s="421"/>
      <c r="FF528" s="419"/>
      <c r="FG528" s="421"/>
      <c r="FH528" s="419"/>
      <c r="FI528" s="421"/>
      <c r="FJ528" s="424">
        <f t="shared" si="233"/>
        <v>0</v>
      </c>
      <c r="FK528" s="425">
        <f t="shared" si="234"/>
        <v>0</v>
      </c>
      <c r="FL528" s="419"/>
      <c r="FM528" s="421"/>
      <c r="FN528" s="424">
        <f t="shared" si="235"/>
        <v>488</v>
      </c>
      <c r="FO528" s="425">
        <f t="shared" si="236"/>
        <v>473</v>
      </c>
    </row>
    <row r="529" spans="1:171" customFormat="1" ht="15.75" customHeight="1">
      <c r="A529" s="457" t="s">
        <v>166</v>
      </c>
      <c r="B529" s="46" t="s">
        <v>1052</v>
      </c>
      <c r="C529" s="15" t="s">
        <v>798</v>
      </c>
      <c r="D529" s="44">
        <v>226116</v>
      </c>
      <c r="E529" s="125">
        <v>10</v>
      </c>
      <c r="F529" s="419">
        <v>195</v>
      </c>
      <c r="G529" s="532">
        <v>171</v>
      </c>
      <c r="H529" s="419"/>
      <c r="I529" s="421"/>
      <c r="J529" s="419">
        <v>256</v>
      </c>
      <c r="K529" s="531">
        <v>319</v>
      </c>
      <c r="L529" s="422">
        <f t="shared" si="215"/>
        <v>0</v>
      </c>
      <c r="M529" s="423">
        <f t="shared" si="216"/>
        <v>0</v>
      </c>
      <c r="N529" s="419"/>
      <c r="O529" s="525">
        <f>0</f>
        <v>0</v>
      </c>
      <c r="P529" s="525">
        <f>0</f>
        <v>0</v>
      </c>
      <c r="Q529" s="525">
        <f>0</f>
        <v>0</v>
      </c>
      <c r="R529" s="424">
        <f t="shared" si="213"/>
        <v>0</v>
      </c>
      <c r="S529" s="421"/>
      <c r="T529" s="526">
        <f>0</f>
        <v>0</v>
      </c>
      <c r="U529" s="526">
        <f>0</f>
        <v>0</v>
      </c>
      <c r="V529" s="526">
        <f>0</f>
        <v>0</v>
      </c>
      <c r="W529" s="425">
        <f t="shared" si="214"/>
        <v>0</v>
      </c>
      <c r="X529" s="419"/>
      <c r="Y529" s="419"/>
      <c r="Z529" s="421"/>
      <c r="AA529" s="421"/>
      <c r="AB529" s="419"/>
      <c r="AC529" s="419"/>
      <c r="AD529" s="421"/>
      <c r="AE529" s="421"/>
      <c r="AF529" s="419"/>
      <c r="AG529" s="419"/>
      <c r="AH529" s="421"/>
      <c r="AI529" s="421"/>
      <c r="AJ529" s="419"/>
      <c r="AK529" s="419"/>
      <c r="AL529" s="421"/>
      <c r="AM529" s="421"/>
      <c r="AN529" s="419"/>
      <c r="AO529" s="419"/>
      <c r="AP529" s="421"/>
      <c r="AQ529" s="421"/>
      <c r="AR529" s="424">
        <f t="shared" si="217"/>
        <v>0</v>
      </c>
      <c r="AS529" s="422">
        <f t="shared" si="218"/>
        <v>0</v>
      </c>
      <c r="AT529" s="425">
        <f t="shared" si="219"/>
        <v>0</v>
      </c>
      <c r="AU529" s="423">
        <f t="shared" si="220"/>
        <v>0</v>
      </c>
      <c r="AV529" s="419"/>
      <c r="AW529" s="421"/>
      <c r="AX529" s="419"/>
      <c r="AY529" s="419"/>
      <c r="AZ529" s="421"/>
      <c r="BA529" s="421"/>
      <c r="BB529" s="419"/>
      <c r="BC529" s="419"/>
      <c r="BD529" s="421"/>
      <c r="BE529" s="421"/>
      <c r="BF529" s="419"/>
      <c r="BG529" s="419"/>
      <c r="BH529" s="421"/>
      <c r="BI529" s="421"/>
      <c r="BJ529" s="419"/>
      <c r="BK529" s="419"/>
      <c r="BL529" s="421"/>
      <c r="BM529" s="421"/>
      <c r="BN529" s="419"/>
      <c r="BO529" s="419"/>
      <c r="BP529" s="421"/>
      <c r="BQ529" s="421"/>
      <c r="BR529" s="419"/>
      <c r="BS529" s="419"/>
      <c r="BT529" s="421"/>
      <c r="BU529" s="421"/>
      <c r="BV529" s="419"/>
      <c r="BW529" s="419"/>
      <c r="BX529" s="421"/>
      <c r="BY529" s="421"/>
      <c r="BZ529" s="419"/>
      <c r="CA529" s="419"/>
      <c r="CB529" s="421"/>
      <c r="CC529" s="421"/>
      <c r="CD529" s="419"/>
      <c r="CE529" s="419"/>
      <c r="CF529" s="421"/>
      <c r="CG529" s="421"/>
      <c r="CH529" s="419"/>
      <c r="CI529" s="419"/>
      <c r="CJ529" s="421"/>
      <c r="CK529" s="421"/>
      <c r="CL529" s="419"/>
      <c r="CM529" s="421"/>
      <c r="CN529" s="424">
        <f t="shared" si="221"/>
        <v>0</v>
      </c>
      <c r="CO529" s="424">
        <f t="shared" si="222"/>
        <v>0</v>
      </c>
      <c r="CP529" s="425">
        <f t="shared" si="223"/>
        <v>0</v>
      </c>
      <c r="CQ529" s="425">
        <f t="shared" si="224"/>
        <v>0</v>
      </c>
      <c r="CR529" s="419"/>
      <c r="CS529" s="419"/>
      <c r="CT529" s="421"/>
      <c r="CU529" s="421"/>
      <c r="CV529" s="419"/>
      <c r="CW529" s="419"/>
      <c r="CX529" s="421"/>
      <c r="CY529" s="421"/>
      <c r="CZ529" s="419"/>
      <c r="DA529" s="419"/>
      <c r="DB529" s="421"/>
      <c r="DC529" s="421"/>
      <c r="DD529" s="419"/>
      <c r="DE529" s="419"/>
      <c r="DF529" s="421"/>
      <c r="DG529" s="421"/>
      <c r="DH529" s="419"/>
      <c r="DI529" s="419"/>
      <c r="DJ529" s="421"/>
      <c r="DK529" s="421"/>
      <c r="DL529" s="419"/>
      <c r="DM529" s="419"/>
      <c r="DN529" s="421"/>
      <c r="DO529" s="421"/>
      <c r="DP529" s="419"/>
      <c r="DQ529" s="419"/>
      <c r="DR529" s="421"/>
      <c r="DS529" s="421"/>
      <c r="DT529" s="419"/>
      <c r="DU529" s="419"/>
      <c r="DV529" s="421"/>
      <c r="DW529" s="421"/>
      <c r="DX529" s="419"/>
      <c r="DY529" s="419"/>
      <c r="DZ529" s="421"/>
      <c r="EA529" s="421"/>
      <c r="EB529" s="419"/>
      <c r="EC529" s="419"/>
      <c r="ED529" s="421"/>
      <c r="EE529" s="421"/>
      <c r="EF529" s="419"/>
      <c r="EG529" s="421"/>
      <c r="EH529" s="424">
        <f t="shared" si="225"/>
        <v>0</v>
      </c>
      <c r="EI529" s="424">
        <f t="shared" si="226"/>
        <v>0</v>
      </c>
      <c r="EJ529" s="422">
        <f t="shared" si="227"/>
        <v>0</v>
      </c>
      <c r="EK529" s="425">
        <f t="shared" si="228"/>
        <v>0</v>
      </c>
      <c r="EL529" s="425">
        <f t="shared" si="229"/>
        <v>0</v>
      </c>
      <c r="EM529" s="423">
        <f t="shared" si="230"/>
        <v>0</v>
      </c>
      <c r="EN529" s="424">
        <f t="shared" si="231"/>
        <v>0</v>
      </c>
      <c r="EO529" s="425">
        <f t="shared" si="232"/>
        <v>0</v>
      </c>
      <c r="EP529" s="419"/>
      <c r="EQ529" s="421"/>
      <c r="ER529" s="419"/>
      <c r="ES529" s="421"/>
      <c r="ET529" s="419"/>
      <c r="EU529" s="421"/>
      <c r="EV529" s="419"/>
      <c r="EW529" s="421"/>
      <c r="EX529" s="419"/>
      <c r="EY529" s="421"/>
      <c r="EZ529" s="419"/>
      <c r="FA529" s="421"/>
      <c r="FB529" s="419"/>
      <c r="FC529" s="421"/>
      <c r="FD529" s="419"/>
      <c r="FE529" s="421"/>
      <c r="FF529" s="419"/>
      <c r="FG529" s="421"/>
      <c r="FH529" s="419"/>
      <c r="FI529" s="421"/>
      <c r="FJ529" s="424">
        <f t="shared" si="233"/>
        <v>0</v>
      </c>
      <c r="FK529" s="425">
        <f t="shared" si="234"/>
        <v>0</v>
      </c>
      <c r="FL529" s="419"/>
      <c r="FM529" s="421"/>
      <c r="FN529" s="424">
        <f t="shared" si="235"/>
        <v>451</v>
      </c>
      <c r="FO529" s="425">
        <f t="shared" si="236"/>
        <v>490</v>
      </c>
    </row>
    <row r="530" spans="1:171" customFormat="1" ht="15.75" customHeight="1">
      <c r="A530" s="457" t="s">
        <v>166</v>
      </c>
      <c r="B530" s="46" t="s">
        <v>1053</v>
      </c>
      <c r="C530" s="490" t="s">
        <v>1201</v>
      </c>
      <c r="D530" s="44">
        <v>488730</v>
      </c>
      <c r="E530" s="492">
        <v>9</v>
      </c>
      <c r="F530" s="419"/>
      <c r="G530" s="532"/>
      <c r="H530" s="419"/>
      <c r="I530" s="421"/>
      <c r="J530" s="419">
        <v>387</v>
      </c>
      <c r="K530" s="533">
        <v>671</v>
      </c>
      <c r="L530" s="422">
        <f t="shared" si="215"/>
        <v>0</v>
      </c>
      <c r="M530" s="423">
        <f t="shared" si="216"/>
        <v>0</v>
      </c>
      <c r="N530" s="419"/>
      <c r="O530" s="525">
        <f>0</f>
        <v>0</v>
      </c>
      <c r="P530" s="525">
        <f>0</f>
        <v>0</v>
      </c>
      <c r="Q530" s="525">
        <f>0</f>
        <v>0</v>
      </c>
      <c r="R530" s="424">
        <f t="shared" si="213"/>
        <v>0</v>
      </c>
      <c r="S530" s="421"/>
      <c r="T530" s="526">
        <f>0</f>
        <v>0</v>
      </c>
      <c r="U530" s="526">
        <f>0</f>
        <v>0</v>
      </c>
      <c r="V530" s="526">
        <f>0</f>
        <v>0</v>
      </c>
      <c r="W530" s="425">
        <f t="shared" si="214"/>
        <v>0</v>
      </c>
      <c r="X530" s="419"/>
      <c r="Y530" s="419"/>
      <c r="Z530" s="421"/>
      <c r="AA530" s="421"/>
      <c r="AB530" s="419"/>
      <c r="AC530" s="419"/>
      <c r="AD530" s="421"/>
      <c r="AE530" s="421"/>
      <c r="AF530" s="419"/>
      <c r="AG530" s="419"/>
      <c r="AH530" s="421"/>
      <c r="AI530" s="421"/>
      <c r="AJ530" s="419"/>
      <c r="AK530" s="419"/>
      <c r="AL530" s="421"/>
      <c r="AM530" s="421"/>
      <c r="AN530" s="419"/>
      <c r="AO530" s="419"/>
      <c r="AP530" s="421"/>
      <c r="AQ530" s="421"/>
      <c r="AR530" s="424">
        <f t="shared" si="217"/>
        <v>0</v>
      </c>
      <c r="AS530" s="422">
        <f t="shared" si="218"/>
        <v>0</v>
      </c>
      <c r="AT530" s="425">
        <f t="shared" si="219"/>
        <v>0</v>
      </c>
      <c r="AU530" s="423">
        <f t="shared" si="220"/>
        <v>0</v>
      </c>
      <c r="AV530" s="419"/>
      <c r="AW530" s="421"/>
      <c r="AX530" s="419"/>
      <c r="AY530" s="419"/>
      <c r="AZ530" s="421"/>
      <c r="BA530" s="421"/>
      <c r="BB530" s="419"/>
      <c r="BC530" s="419"/>
      <c r="BD530" s="421"/>
      <c r="BE530" s="421"/>
      <c r="BF530" s="419"/>
      <c r="BG530" s="419"/>
      <c r="BH530" s="421"/>
      <c r="BI530" s="421"/>
      <c r="BJ530" s="419"/>
      <c r="BK530" s="419"/>
      <c r="BL530" s="421"/>
      <c r="BM530" s="421"/>
      <c r="BN530" s="419"/>
      <c r="BO530" s="419"/>
      <c r="BP530" s="421"/>
      <c r="BQ530" s="421"/>
      <c r="BR530" s="419"/>
      <c r="BS530" s="419"/>
      <c r="BT530" s="421"/>
      <c r="BU530" s="421"/>
      <c r="BV530" s="419"/>
      <c r="BW530" s="419"/>
      <c r="BX530" s="421"/>
      <c r="BY530" s="421"/>
      <c r="BZ530" s="419"/>
      <c r="CA530" s="419"/>
      <c r="CB530" s="421"/>
      <c r="CC530" s="421"/>
      <c r="CD530" s="419"/>
      <c r="CE530" s="419"/>
      <c r="CF530" s="421"/>
      <c r="CG530" s="421"/>
      <c r="CH530" s="419"/>
      <c r="CI530" s="419"/>
      <c r="CJ530" s="421"/>
      <c r="CK530" s="421"/>
      <c r="CL530" s="419"/>
      <c r="CM530" s="421"/>
      <c r="CN530" s="424">
        <f t="shared" si="221"/>
        <v>0</v>
      </c>
      <c r="CO530" s="424">
        <f t="shared" si="222"/>
        <v>0</v>
      </c>
      <c r="CP530" s="425">
        <f t="shared" si="223"/>
        <v>0</v>
      </c>
      <c r="CQ530" s="425">
        <f t="shared" si="224"/>
        <v>0</v>
      </c>
      <c r="CR530" s="419"/>
      <c r="CS530" s="419"/>
      <c r="CT530" s="421"/>
      <c r="CU530" s="421"/>
      <c r="CV530" s="419"/>
      <c r="CW530" s="419"/>
      <c r="CX530" s="421"/>
      <c r="CY530" s="421"/>
      <c r="CZ530" s="419"/>
      <c r="DA530" s="419"/>
      <c r="DB530" s="421"/>
      <c r="DC530" s="421"/>
      <c r="DD530" s="419"/>
      <c r="DE530" s="419"/>
      <c r="DF530" s="421"/>
      <c r="DG530" s="421"/>
      <c r="DH530" s="419"/>
      <c r="DI530" s="419"/>
      <c r="DJ530" s="421"/>
      <c r="DK530" s="421"/>
      <c r="DL530" s="419"/>
      <c r="DM530" s="419"/>
      <c r="DN530" s="421"/>
      <c r="DO530" s="421"/>
      <c r="DP530" s="419"/>
      <c r="DQ530" s="419"/>
      <c r="DR530" s="421"/>
      <c r="DS530" s="421"/>
      <c r="DT530" s="419"/>
      <c r="DU530" s="419"/>
      <c r="DV530" s="421"/>
      <c r="DW530" s="421"/>
      <c r="DX530" s="419"/>
      <c r="DY530" s="419"/>
      <c r="DZ530" s="421"/>
      <c r="EA530" s="421"/>
      <c r="EB530" s="419"/>
      <c r="EC530" s="419"/>
      <c r="ED530" s="421"/>
      <c r="EE530" s="421"/>
      <c r="EF530" s="419"/>
      <c r="EG530" s="421"/>
      <c r="EH530" s="424">
        <f t="shared" si="225"/>
        <v>0</v>
      </c>
      <c r="EI530" s="424">
        <f t="shared" si="226"/>
        <v>0</v>
      </c>
      <c r="EJ530" s="422">
        <f t="shared" si="227"/>
        <v>0</v>
      </c>
      <c r="EK530" s="425">
        <f t="shared" si="228"/>
        <v>0</v>
      </c>
      <c r="EL530" s="425">
        <f t="shared" si="229"/>
        <v>0</v>
      </c>
      <c r="EM530" s="423">
        <f t="shared" si="230"/>
        <v>0</v>
      </c>
      <c r="EN530" s="424">
        <f t="shared" si="231"/>
        <v>0</v>
      </c>
      <c r="EO530" s="425">
        <f t="shared" si="232"/>
        <v>0</v>
      </c>
      <c r="EP530" s="419"/>
      <c r="EQ530" s="421"/>
      <c r="ER530" s="419"/>
      <c r="ES530" s="421"/>
      <c r="ET530" s="419"/>
      <c r="EU530" s="421"/>
      <c r="EV530" s="419"/>
      <c r="EW530" s="421"/>
      <c r="EX530" s="419"/>
      <c r="EY530" s="421"/>
      <c r="EZ530" s="419"/>
      <c r="FA530" s="421"/>
      <c r="FB530" s="419"/>
      <c r="FC530" s="421"/>
      <c r="FD530" s="419"/>
      <c r="FE530" s="421"/>
      <c r="FF530" s="419"/>
      <c r="FG530" s="421"/>
      <c r="FH530" s="419"/>
      <c r="FI530" s="421"/>
      <c r="FJ530" s="424">
        <f t="shared" si="233"/>
        <v>0</v>
      </c>
      <c r="FK530" s="425">
        <f t="shared" si="234"/>
        <v>0</v>
      </c>
      <c r="FL530" s="419"/>
      <c r="FM530" s="421"/>
      <c r="FN530" s="424">
        <f t="shared" si="235"/>
        <v>387</v>
      </c>
      <c r="FO530" s="425">
        <f t="shared" si="236"/>
        <v>671</v>
      </c>
    </row>
    <row r="531" spans="1:171" customFormat="1" ht="15" customHeight="1">
      <c r="A531" s="457" t="s">
        <v>166</v>
      </c>
      <c r="B531" s="46" t="s">
        <v>1054</v>
      </c>
      <c r="C531" s="16"/>
      <c r="D531" s="44">
        <v>227386</v>
      </c>
      <c r="E531" s="125">
        <v>10</v>
      </c>
      <c r="F531" s="419">
        <v>321</v>
      </c>
      <c r="G531" s="532">
        <v>313</v>
      </c>
      <c r="H531" s="419"/>
      <c r="I531" s="421"/>
      <c r="J531" s="419">
        <v>362</v>
      </c>
      <c r="K531" s="532">
        <v>359</v>
      </c>
      <c r="L531" s="422">
        <f t="shared" si="215"/>
        <v>0</v>
      </c>
      <c r="M531" s="423">
        <f t="shared" si="216"/>
        <v>0</v>
      </c>
      <c r="N531" s="419"/>
      <c r="O531" s="525">
        <f>0</f>
        <v>0</v>
      </c>
      <c r="P531" s="525">
        <f>0</f>
        <v>0</v>
      </c>
      <c r="Q531" s="525">
        <f>0</f>
        <v>0</v>
      </c>
      <c r="R531" s="424">
        <f t="shared" si="213"/>
        <v>0</v>
      </c>
      <c r="S531" s="421"/>
      <c r="T531" s="526">
        <f>0</f>
        <v>0</v>
      </c>
      <c r="U531" s="526">
        <f>0</f>
        <v>0</v>
      </c>
      <c r="V531" s="526">
        <f>0</f>
        <v>0</v>
      </c>
      <c r="W531" s="425">
        <f t="shared" si="214"/>
        <v>0</v>
      </c>
      <c r="X531" s="419"/>
      <c r="Y531" s="419"/>
      <c r="Z531" s="421"/>
      <c r="AA531" s="421"/>
      <c r="AB531" s="419"/>
      <c r="AC531" s="419"/>
      <c r="AD531" s="421"/>
      <c r="AE531" s="421"/>
      <c r="AF531" s="419"/>
      <c r="AG531" s="419"/>
      <c r="AH531" s="421"/>
      <c r="AI531" s="421"/>
      <c r="AJ531" s="419"/>
      <c r="AK531" s="419"/>
      <c r="AL531" s="421"/>
      <c r="AM531" s="421"/>
      <c r="AN531" s="419"/>
      <c r="AO531" s="419"/>
      <c r="AP531" s="421"/>
      <c r="AQ531" s="421"/>
      <c r="AR531" s="424">
        <f t="shared" si="217"/>
        <v>0</v>
      </c>
      <c r="AS531" s="422">
        <f t="shared" si="218"/>
        <v>0</v>
      </c>
      <c r="AT531" s="425">
        <f t="shared" si="219"/>
        <v>0</v>
      </c>
      <c r="AU531" s="423">
        <f t="shared" si="220"/>
        <v>0</v>
      </c>
      <c r="AV531" s="419"/>
      <c r="AW531" s="421"/>
      <c r="AX531" s="419"/>
      <c r="AY531" s="419"/>
      <c r="AZ531" s="421"/>
      <c r="BA531" s="421"/>
      <c r="BB531" s="419"/>
      <c r="BC531" s="419"/>
      <c r="BD531" s="421"/>
      <c r="BE531" s="421"/>
      <c r="BF531" s="419"/>
      <c r="BG531" s="419"/>
      <c r="BH531" s="421"/>
      <c r="BI531" s="421"/>
      <c r="BJ531" s="419"/>
      <c r="BK531" s="419"/>
      <c r="BL531" s="421"/>
      <c r="BM531" s="421"/>
      <c r="BN531" s="419"/>
      <c r="BO531" s="419"/>
      <c r="BP531" s="421"/>
      <c r="BQ531" s="421"/>
      <c r="BR531" s="419"/>
      <c r="BS531" s="419"/>
      <c r="BT531" s="421"/>
      <c r="BU531" s="421"/>
      <c r="BV531" s="419"/>
      <c r="BW531" s="419"/>
      <c r="BX531" s="421"/>
      <c r="BY531" s="421"/>
      <c r="BZ531" s="419"/>
      <c r="CA531" s="419"/>
      <c r="CB531" s="421"/>
      <c r="CC531" s="421"/>
      <c r="CD531" s="419"/>
      <c r="CE531" s="419"/>
      <c r="CF531" s="421"/>
      <c r="CG531" s="421"/>
      <c r="CH531" s="419"/>
      <c r="CI531" s="419"/>
      <c r="CJ531" s="421"/>
      <c r="CK531" s="421"/>
      <c r="CL531" s="419"/>
      <c r="CM531" s="421"/>
      <c r="CN531" s="424">
        <f t="shared" si="221"/>
        <v>0</v>
      </c>
      <c r="CO531" s="424">
        <f t="shared" si="222"/>
        <v>0</v>
      </c>
      <c r="CP531" s="425">
        <f t="shared" si="223"/>
        <v>0</v>
      </c>
      <c r="CQ531" s="425">
        <f t="shared" si="224"/>
        <v>0</v>
      </c>
      <c r="CR531" s="419"/>
      <c r="CS531" s="419"/>
      <c r="CT531" s="421"/>
      <c r="CU531" s="421"/>
      <c r="CV531" s="419"/>
      <c r="CW531" s="419"/>
      <c r="CX531" s="421"/>
      <c r="CY531" s="421"/>
      <c r="CZ531" s="419"/>
      <c r="DA531" s="419"/>
      <c r="DB531" s="421"/>
      <c r="DC531" s="421"/>
      <c r="DD531" s="419"/>
      <c r="DE531" s="419"/>
      <c r="DF531" s="421"/>
      <c r="DG531" s="421"/>
      <c r="DH531" s="419"/>
      <c r="DI531" s="419"/>
      <c r="DJ531" s="421"/>
      <c r="DK531" s="421"/>
      <c r="DL531" s="419"/>
      <c r="DM531" s="419"/>
      <c r="DN531" s="421"/>
      <c r="DO531" s="421"/>
      <c r="DP531" s="419"/>
      <c r="DQ531" s="419"/>
      <c r="DR531" s="421"/>
      <c r="DS531" s="421"/>
      <c r="DT531" s="419"/>
      <c r="DU531" s="419"/>
      <c r="DV531" s="421"/>
      <c r="DW531" s="421"/>
      <c r="DX531" s="419"/>
      <c r="DY531" s="419"/>
      <c r="DZ531" s="421"/>
      <c r="EA531" s="421"/>
      <c r="EB531" s="419"/>
      <c r="EC531" s="419"/>
      <c r="ED531" s="421"/>
      <c r="EE531" s="421"/>
      <c r="EF531" s="419"/>
      <c r="EG531" s="421"/>
      <c r="EH531" s="424">
        <f t="shared" si="225"/>
        <v>0</v>
      </c>
      <c r="EI531" s="424">
        <f t="shared" si="226"/>
        <v>0</v>
      </c>
      <c r="EJ531" s="422">
        <f t="shared" si="227"/>
        <v>0</v>
      </c>
      <c r="EK531" s="425">
        <f t="shared" si="228"/>
        <v>0</v>
      </c>
      <c r="EL531" s="425">
        <f t="shared" si="229"/>
        <v>0</v>
      </c>
      <c r="EM531" s="423">
        <f t="shared" si="230"/>
        <v>0</v>
      </c>
      <c r="EN531" s="424">
        <f t="shared" si="231"/>
        <v>0</v>
      </c>
      <c r="EO531" s="425">
        <f t="shared" si="232"/>
        <v>0</v>
      </c>
      <c r="EP531" s="419"/>
      <c r="EQ531" s="421"/>
      <c r="ER531" s="419"/>
      <c r="ES531" s="421"/>
      <c r="ET531" s="419"/>
      <c r="EU531" s="421"/>
      <c r="EV531" s="419"/>
      <c r="EW531" s="421"/>
      <c r="EX531" s="419"/>
      <c r="EY531" s="421"/>
      <c r="EZ531" s="419"/>
      <c r="FA531" s="421"/>
      <c r="FB531" s="419"/>
      <c r="FC531" s="421"/>
      <c r="FD531" s="419"/>
      <c r="FE531" s="421"/>
      <c r="FF531" s="419"/>
      <c r="FG531" s="421"/>
      <c r="FH531" s="419"/>
      <c r="FI531" s="421"/>
      <c r="FJ531" s="424">
        <f t="shared" si="233"/>
        <v>0</v>
      </c>
      <c r="FK531" s="425">
        <f t="shared" si="234"/>
        <v>0</v>
      </c>
      <c r="FL531" s="419"/>
      <c r="FM531" s="421"/>
      <c r="FN531" s="424">
        <f t="shared" si="235"/>
        <v>683</v>
      </c>
      <c r="FO531" s="425">
        <f t="shared" si="236"/>
        <v>672</v>
      </c>
    </row>
    <row r="532" spans="1:171" customFormat="1" ht="15" customHeight="1">
      <c r="A532" s="457" t="s">
        <v>166</v>
      </c>
      <c r="B532" s="46" t="s">
        <v>1055</v>
      </c>
      <c r="C532" s="16"/>
      <c r="D532" s="44">
        <v>227687</v>
      </c>
      <c r="E532" s="125">
        <v>10</v>
      </c>
      <c r="F532" s="419">
        <v>135</v>
      </c>
      <c r="G532" s="532">
        <v>150</v>
      </c>
      <c r="H532" s="419"/>
      <c r="I532" s="421"/>
      <c r="J532" s="419">
        <v>284</v>
      </c>
      <c r="K532" s="532">
        <v>326</v>
      </c>
      <c r="L532" s="422">
        <f t="shared" si="215"/>
        <v>0</v>
      </c>
      <c r="M532" s="423">
        <f t="shared" si="216"/>
        <v>0</v>
      </c>
      <c r="N532" s="419"/>
      <c r="O532" s="525">
        <f>0</f>
        <v>0</v>
      </c>
      <c r="P532" s="525">
        <f>0</f>
        <v>0</v>
      </c>
      <c r="Q532" s="525">
        <f>0</f>
        <v>0</v>
      </c>
      <c r="R532" s="424">
        <f t="shared" si="213"/>
        <v>0</v>
      </c>
      <c r="S532" s="421"/>
      <c r="T532" s="526">
        <f>0</f>
        <v>0</v>
      </c>
      <c r="U532" s="526">
        <f>0</f>
        <v>0</v>
      </c>
      <c r="V532" s="526">
        <f>0</f>
        <v>0</v>
      </c>
      <c r="W532" s="425">
        <f t="shared" si="214"/>
        <v>0</v>
      </c>
      <c r="X532" s="419"/>
      <c r="Y532" s="419"/>
      <c r="Z532" s="421"/>
      <c r="AA532" s="421"/>
      <c r="AB532" s="419"/>
      <c r="AC532" s="419"/>
      <c r="AD532" s="421"/>
      <c r="AE532" s="421"/>
      <c r="AF532" s="419"/>
      <c r="AG532" s="419"/>
      <c r="AH532" s="421"/>
      <c r="AI532" s="421"/>
      <c r="AJ532" s="419"/>
      <c r="AK532" s="419"/>
      <c r="AL532" s="421"/>
      <c r="AM532" s="421"/>
      <c r="AN532" s="419"/>
      <c r="AO532" s="419"/>
      <c r="AP532" s="421"/>
      <c r="AQ532" s="421"/>
      <c r="AR532" s="424">
        <f t="shared" si="217"/>
        <v>0</v>
      </c>
      <c r="AS532" s="422">
        <f t="shared" si="218"/>
        <v>0</v>
      </c>
      <c r="AT532" s="425">
        <f t="shared" si="219"/>
        <v>0</v>
      </c>
      <c r="AU532" s="423">
        <f t="shared" si="220"/>
        <v>0</v>
      </c>
      <c r="AV532" s="419"/>
      <c r="AW532" s="421"/>
      <c r="AX532" s="419"/>
      <c r="AY532" s="419"/>
      <c r="AZ532" s="421"/>
      <c r="BA532" s="421"/>
      <c r="BB532" s="419"/>
      <c r="BC532" s="419"/>
      <c r="BD532" s="421"/>
      <c r="BE532" s="421"/>
      <c r="BF532" s="419"/>
      <c r="BG532" s="419"/>
      <c r="BH532" s="421"/>
      <c r="BI532" s="421"/>
      <c r="BJ532" s="419"/>
      <c r="BK532" s="419"/>
      <c r="BL532" s="421"/>
      <c r="BM532" s="421"/>
      <c r="BN532" s="419"/>
      <c r="BO532" s="419"/>
      <c r="BP532" s="421"/>
      <c r="BQ532" s="421"/>
      <c r="BR532" s="419"/>
      <c r="BS532" s="419"/>
      <c r="BT532" s="421"/>
      <c r="BU532" s="421"/>
      <c r="BV532" s="419"/>
      <c r="BW532" s="419"/>
      <c r="BX532" s="421"/>
      <c r="BY532" s="421"/>
      <c r="BZ532" s="419"/>
      <c r="CA532" s="419"/>
      <c r="CB532" s="421"/>
      <c r="CC532" s="421"/>
      <c r="CD532" s="419"/>
      <c r="CE532" s="419"/>
      <c r="CF532" s="421"/>
      <c r="CG532" s="421"/>
      <c r="CH532" s="419"/>
      <c r="CI532" s="419"/>
      <c r="CJ532" s="421"/>
      <c r="CK532" s="421"/>
      <c r="CL532" s="419"/>
      <c r="CM532" s="421"/>
      <c r="CN532" s="424">
        <f t="shared" si="221"/>
        <v>0</v>
      </c>
      <c r="CO532" s="424">
        <f t="shared" si="222"/>
        <v>0</v>
      </c>
      <c r="CP532" s="425">
        <f t="shared" si="223"/>
        <v>0</v>
      </c>
      <c r="CQ532" s="425">
        <f t="shared" si="224"/>
        <v>0</v>
      </c>
      <c r="CR532" s="419"/>
      <c r="CS532" s="419"/>
      <c r="CT532" s="421"/>
      <c r="CU532" s="421"/>
      <c r="CV532" s="419"/>
      <c r="CW532" s="419"/>
      <c r="CX532" s="421"/>
      <c r="CY532" s="421"/>
      <c r="CZ532" s="419"/>
      <c r="DA532" s="419"/>
      <c r="DB532" s="421"/>
      <c r="DC532" s="421"/>
      <c r="DD532" s="419"/>
      <c r="DE532" s="419"/>
      <c r="DF532" s="421"/>
      <c r="DG532" s="421"/>
      <c r="DH532" s="419"/>
      <c r="DI532" s="419"/>
      <c r="DJ532" s="421"/>
      <c r="DK532" s="421"/>
      <c r="DL532" s="419"/>
      <c r="DM532" s="419"/>
      <c r="DN532" s="421"/>
      <c r="DO532" s="421"/>
      <c r="DP532" s="419"/>
      <c r="DQ532" s="419"/>
      <c r="DR532" s="421"/>
      <c r="DS532" s="421"/>
      <c r="DT532" s="419"/>
      <c r="DU532" s="419"/>
      <c r="DV532" s="421"/>
      <c r="DW532" s="421"/>
      <c r="DX532" s="419"/>
      <c r="DY532" s="419"/>
      <c r="DZ532" s="421"/>
      <c r="EA532" s="421"/>
      <c r="EB532" s="419"/>
      <c r="EC532" s="419"/>
      <c r="ED532" s="421"/>
      <c r="EE532" s="421"/>
      <c r="EF532" s="419"/>
      <c r="EG532" s="421"/>
      <c r="EH532" s="424">
        <f t="shared" si="225"/>
        <v>0</v>
      </c>
      <c r="EI532" s="424">
        <f t="shared" si="226"/>
        <v>0</v>
      </c>
      <c r="EJ532" s="422">
        <f t="shared" si="227"/>
        <v>0</v>
      </c>
      <c r="EK532" s="425">
        <f t="shared" si="228"/>
        <v>0</v>
      </c>
      <c r="EL532" s="425">
        <f t="shared" si="229"/>
        <v>0</v>
      </c>
      <c r="EM532" s="423">
        <f t="shared" si="230"/>
        <v>0</v>
      </c>
      <c r="EN532" s="424">
        <f t="shared" si="231"/>
        <v>0</v>
      </c>
      <c r="EO532" s="425">
        <f t="shared" si="232"/>
        <v>0</v>
      </c>
      <c r="EP532" s="419"/>
      <c r="EQ532" s="421"/>
      <c r="ER532" s="419"/>
      <c r="ES532" s="421"/>
      <c r="ET532" s="419"/>
      <c r="EU532" s="421"/>
      <c r="EV532" s="419"/>
      <c r="EW532" s="421"/>
      <c r="EX532" s="419"/>
      <c r="EY532" s="421"/>
      <c r="EZ532" s="419"/>
      <c r="FA532" s="421"/>
      <c r="FB532" s="419"/>
      <c r="FC532" s="421"/>
      <c r="FD532" s="419"/>
      <c r="FE532" s="421"/>
      <c r="FF532" s="419"/>
      <c r="FG532" s="421"/>
      <c r="FH532" s="419"/>
      <c r="FI532" s="421"/>
      <c r="FJ532" s="424">
        <f t="shared" si="233"/>
        <v>0</v>
      </c>
      <c r="FK532" s="425">
        <f t="shared" si="234"/>
        <v>0</v>
      </c>
      <c r="FL532" s="419"/>
      <c r="FM532" s="421"/>
      <c r="FN532" s="424">
        <f t="shared" si="235"/>
        <v>419</v>
      </c>
      <c r="FO532" s="425">
        <f t="shared" si="236"/>
        <v>476</v>
      </c>
    </row>
    <row r="533" spans="1:171" customFormat="1" ht="15" customHeight="1">
      <c r="A533" s="457" t="s">
        <v>166</v>
      </c>
      <c r="B533" s="46" t="s">
        <v>1056</v>
      </c>
      <c r="C533" s="16"/>
      <c r="D533" s="44">
        <v>382911</v>
      </c>
      <c r="E533" s="125">
        <v>10</v>
      </c>
      <c r="F533" s="419">
        <v>12</v>
      </c>
      <c r="G533" s="531">
        <v>15</v>
      </c>
      <c r="H533" s="419"/>
      <c r="I533" s="421"/>
      <c r="J533" s="419">
        <v>5</v>
      </c>
      <c r="K533" s="535">
        <v>11</v>
      </c>
      <c r="L533" s="422">
        <f t="shared" si="215"/>
        <v>0</v>
      </c>
      <c r="M533" s="423">
        <f t="shared" si="216"/>
        <v>0</v>
      </c>
      <c r="N533" s="419"/>
      <c r="O533" s="525">
        <f>0</f>
        <v>0</v>
      </c>
      <c r="P533" s="525">
        <f>0</f>
        <v>0</v>
      </c>
      <c r="Q533" s="525">
        <f>0</f>
        <v>0</v>
      </c>
      <c r="R533" s="424">
        <f t="shared" si="213"/>
        <v>0</v>
      </c>
      <c r="S533" s="421"/>
      <c r="T533" s="526">
        <f>0</f>
        <v>0</v>
      </c>
      <c r="U533" s="526">
        <f>0</f>
        <v>0</v>
      </c>
      <c r="V533" s="526">
        <f>0</f>
        <v>0</v>
      </c>
      <c r="W533" s="425">
        <f t="shared" si="214"/>
        <v>0</v>
      </c>
      <c r="X533" s="419"/>
      <c r="Y533" s="419"/>
      <c r="Z533" s="421"/>
      <c r="AA533" s="421"/>
      <c r="AB533" s="419"/>
      <c r="AC533" s="419"/>
      <c r="AD533" s="421"/>
      <c r="AE533" s="421"/>
      <c r="AF533" s="419"/>
      <c r="AG533" s="419"/>
      <c r="AH533" s="421"/>
      <c r="AI533" s="421"/>
      <c r="AJ533" s="419"/>
      <c r="AK533" s="419"/>
      <c r="AL533" s="421"/>
      <c r="AM533" s="421"/>
      <c r="AN533" s="419"/>
      <c r="AO533" s="419"/>
      <c r="AP533" s="421"/>
      <c r="AQ533" s="421"/>
      <c r="AR533" s="424">
        <f t="shared" si="217"/>
        <v>0</v>
      </c>
      <c r="AS533" s="422">
        <f t="shared" si="218"/>
        <v>0</v>
      </c>
      <c r="AT533" s="425">
        <f t="shared" si="219"/>
        <v>0</v>
      </c>
      <c r="AU533" s="423">
        <f t="shared" si="220"/>
        <v>0</v>
      </c>
      <c r="AV533" s="419"/>
      <c r="AW533" s="421"/>
      <c r="AX533" s="419"/>
      <c r="AY533" s="419"/>
      <c r="AZ533" s="421"/>
      <c r="BA533" s="421"/>
      <c r="BB533" s="419"/>
      <c r="BC533" s="419"/>
      <c r="BD533" s="421"/>
      <c r="BE533" s="421"/>
      <c r="BF533" s="419"/>
      <c r="BG533" s="419"/>
      <c r="BH533" s="421"/>
      <c r="BI533" s="421"/>
      <c r="BJ533" s="419"/>
      <c r="BK533" s="419"/>
      <c r="BL533" s="421"/>
      <c r="BM533" s="421"/>
      <c r="BN533" s="419"/>
      <c r="BO533" s="419"/>
      <c r="BP533" s="421"/>
      <c r="BQ533" s="421"/>
      <c r="BR533" s="419"/>
      <c r="BS533" s="419"/>
      <c r="BT533" s="421"/>
      <c r="BU533" s="421"/>
      <c r="BV533" s="419"/>
      <c r="BW533" s="419"/>
      <c r="BX533" s="421"/>
      <c r="BY533" s="421"/>
      <c r="BZ533" s="419"/>
      <c r="CA533" s="419"/>
      <c r="CB533" s="421"/>
      <c r="CC533" s="421"/>
      <c r="CD533" s="419"/>
      <c r="CE533" s="419"/>
      <c r="CF533" s="421"/>
      <c r="CG533" s="421"/>
      <c r="CH533" s="419"/>
      <c r="CI533" s="419"/>
      <c r="CJ533" s="421"/>
      <c r="CK533" s="421"/>
      <c r="CL533" s="419"/>
      <c r="CM533" s="421"/>
      <c r="CN533" s="424">
        <f t="shared" si="221"/>
        <v>0</v>
      </c>
      <c r="CO533" s="424">
        <f t="shared" si="222"/>
        <v>0</v>
      </c>
      <c r="CP533" s="425">
        <f t="shared" si="223"/>
        <v>0</v>
      </c>
      <c r="CQ533" s="425">
        <f t="shared" si="224"/>
        <v>0</v>
      </c>
      <c r="CR533" s="419"/>
      <c r="CS533" s="419"/>
      <c r="CT533" s="421"/>
      <c r="CU533" s="421"/>
      <c r="CV533" s="419"/>
      <c r="CW533" s="419"/>
      <c r="CX533" s="421"/>
      <c r="CY533" s="421"/>
      <c r="CZ533" s="419"/>
      <c r="DA533" s="419"/>
      <c r="DB533" s="421"/>
      <c r="DC533" s="421"/>
      <c r="DD533" s="419"/>
      <c r="DE533" s="419"/>
      <c r="DF533" s="421"/>
      <c r="DG533" s="421"/>
      <c r="DH533" s="419"/>
      <c r="DI533" s="419"/>
      <c r="DJ533" s="421"/>
      <c r="DK533" s="421"/>
      <c r="DL533" s="419"/>
      <c r="DM533" s="419"/>
      <c r="DN533" s="421"/>
      <c r="DO533" s="421"/>
      <c r="DP533" s="419"/>
      <c r="DQ533" s="419"/>
      <c r="DR533" s="421"/>
      <c r="DS533" s="421"/>
      <c r="DT533" s="419"/>
      <c r="DU533" s="419"/>
      <c r="DV533" s="421"/>
      <c r="DW533" s="421"/>
      <c r="DX533" s="419"/>
      <c r="DY533" s="419"/>
      <c r="DZ533" s="421"/>
      <c r="EA533" s="421"/>
      <c r="EB533" s="419"/>
      <c r="EC533" s="419"/>
      <c r="ED533" s="421"/>
      <c r="EE533" s="421"/>
      <c r="EF533" s="419"/>
      <c r="EG533" s="421"/>
      <c r="EH533" s="424">
        <f t="shared" si="225"/>
        <v>0</v>
      </c>
      <c r="EI533" s="424">
        <f t="shared" si="226"/>
        <v>0</v>
      </c>
      <c r="EJ533" s="422">
        <f t="shared" si="227"/>
        <v>0</v>
      </c>
      <c r="EK533" s="425">
        <f t="shared" si="228"/>
        <v>0</v>
      </c>
      <c r="EL533" s="425">
        <f t="shared" si="229"/>
        <v>0</v>
      </c>
      <c r="EM533" s="423">
        <f t="shared" si="230"/>
        <v>0</v>
      </c>
      <c r="EN533" s="424">
        <f t="shared" si="231"/>
        <v>0</v>
      </c>
      <c r="EO533" s="425">
        <f t="shared" si="232"/>
        <v>0</v>
      </c>
      <c r="EP533" s="419"/>
      <c r="EQ533" s="421"/>
      <c r="ER533" s="419"/>
      <c r="ES533" s="421"/>
      <c r="ET533" s="419"/>
      <c r="EU533" s="421"/>
      <c r="EV533" s="419"/>
      <c r="EW533" s="421"/>
      <c r="EX533" s="419"/>
      <c r="EY533" s="421"/>
      <c r="EZ533" s="419"/>
      <c r="FA533" s="421"/>
      <c r="FB533" s="419"/>
      <c r="FC533" s="421"/>
      <c r="FD533" s="419"/>
      <c r="FE533" s="421"/>
      <c r="FF533" s="419"/>
      <c r="FG533" s="421"/>
      <c r="FH533" s="419"/>
      <c r="FI533" s="421"/>
      <c r="FJ533" s="424">
        <f t="shared" si="233"/>
        <v>0</v>
      </c>
      <c r="FK533" s="425">
        <f t="shared" si="234"/>
        <v>0</v>
      </c>
      <c r="FL533" s="419"/>
      <c r="FM533" s="421"/>
      <c r="FN533" s="424">
        <f t="shared" si="235"/>
        <v>17</v>
      </c>
      <c r="FO533" s="425">
        <f t="shared" si="236"/>
        <v>26</v>
      </c>
    </row>
    <row r="534" spans="1:171" customFormat="1" ht="15" customHeight="1">
      <c r="A534" s="457" t="s">
        <v>166</v>
      </c>
      <c r="B534" s="1" t="s">
        <v>1057</v>
      </c>
      <c r="C534" s="126"/>
      <c r="D534" s="3" t="s">
        <v>1058</v>
      </c>
      <c r="E534" s="125">
        <v>10</v>
      </c>
      <c r="F534" s="419">
        <v>138</v>
      </c>
      <c r="G534" s="531">
        <v>100</v>
      </c>
      <c r="H534" s="419"/>
      <c r="I534" s="421"/>
      <c r="J534" s="419">
        <v>56</v>
      </c>
      <c r="K534" s="531">
        <v>78</v>
      </c>
      <c r="L534" s="422">
        <f t="shared" si="215"/>
        <v>0</v>
      </c>
      <c r="M534" s="423">
        <f t="shared" si="216"/>
        <v>0</v>
      </c>
      <c r="N534" s="419"/>
      <c r="O534" s="525">
        <f>0</f>
        <v>0</v>
      </c>
      <c r="P534" s="525">
        <f>0</f>
        <v>0</v>
      </c>
      <c r="Q534" s="525">
        <f>0</f>
        <v>0</v>
      </c>
      <c r="R534" s="424">
        <f t="shared" si="213"/>
        <v>0</v>
      </c>
      <c r="S534" s="421"/>
      <c r="T534" s="526">
        <f>0</f>
        <v>0</v>
      </c>
      <c r="U534" s="526">
        <f>0</f>
        <v>0</v>
      </c>
      <c r="V534" s="526">
        <f>0</f>
        <v>0</v>
      </c>
      <c r="W534" s="425">
        <f t="shared" si="214"/>
        <v>0</v>
      </c>
      <c r="X534" s="419"/>
      <c r="Y534" s="419"/>
      <c r="Z534" s="421"/>
      <c r="AA534" s="421"/>
      <c r="AB534" s="419"/>
      <c r="AC534" s="419"/>
      <c r="AD534" s="421"/>
      <c r="AE534" s="421"/>
      <c r="AF534" s="419"/>
      <c r="AG534" s="419"/>
      <c r="AH534" s="421"/>
      <c r="AI534" s="421"/>
      <c r="AJ534" s="419"/>
      <c r="AK534" s="419"/>
      <c r="AL534" s="421"/>
      <c r="AM534" s="421"/>
      <c r="AN534" s="419"/>
      <c r="AO534" s="419"/>
      <c r="AP534" s="421"/>
      <c r="AQ534" s="421"/>
      <c r="AR534" s="424">
        <f t="shared" si="217"/>
        <v>0</v>
      </c>
      <c r="AS534" s="422">
        <f t="shared" si="218"/>
        <v>0</v>
      </c>
      <c r="AT534" s="425">
        <f t="shared" si="219"/>
        <v>0</v>
      </c>
      <c r="AU534" s="423">
        <f t="shared" si="220"/>
        <v>0</v>
      </c>
      <c r="AV534" s="419"/>
      <c r="AW534" s="421"/>
      <c r="AX534" s="419"/>
      <c r="AY534" s="419"/>
      <c r="AZ534" s="421"/>
      <c r="BA534" s="421"/>
      <c r="BB534" s="419"/>
      <c r="BC534" s="419"/>
      <c r="BD534" s="421"/>
      <c r="BE534" s="421"/>
      <c r="BF534" s="419"/>
      <c r="BG534" s="419"/>
      <c r="BH534" s="421"/>
      <c r="BI534" s="421"/>
      <c r="BJ534" s="419"/>
      <c r="BK534" s="419"/>
      <c r="BL534" s="421"/>
      <c r="BM534" s="421"/>
      <c r="BN534" s="419"/>
      <c r="BO534" s="419"/>
      <c r="BP534" s="421"/>
      <c r="BQ534" s="421"/>
      <c r="BR534" s="419"/>
      <c r="BS534" s="419"/>
      <c r="BT534" s="421"/>
      <c r="BU534" s="421"/>
      <c r="BV534" s="419"/>
      <c r="BW534" s="419"/>
      <c r="BX534" s="421"/>
      <c r="BY534" s="421"/>
      <c r="BZ534" s="419"/>
      <c r="CA534" s="419"/>
      <c r="CB534" s="421"/>
      <c r="CC534" s="421"/>
      <c r="CD534" s="419"/>
      <c r="CE534" s="419"/>
      <c r="CF534" s="421"/>
      <c r="CG534" s="421"/>
      <c r="CH534" s="419"/>
      <c r="CI534" s="419"/>
      <c r="CJ534" s="421"/>
      <c r="CK534" s="421"/>
      <c r="CL534" s="419"/>
      <c r="CM534" s="421"/>
      <c r="CN534" s="424">
        <f t="shared" si="221"/>
        <v>0</v>
      </c>
      <c r="CO534" s="424">
        <f t="shared" si="222"/>
        <v>0</v>
      </c>
      <c r="CP534" s="425">
        <f t="shared" si="223"/>
        <v>0</v>
      </c>
      <c r="CQ534" s="425">
        <f t="shared" si="224"/>
        <v>0</v>
      </c>
      <c r="CR534" s="419"/>
      <c r="CS534" s="419"/>
      <c r="CT534" s="421"/>
      <c r="CU534" s="421"/>
      <c r="CV534" s="419"/>
      <c r="CW534" s="419"/>
      <c r="CX534" s="421"/>
      <c r="CY534" s="421"/>
      <c r="CZ534" s="419"/>
      <c r="DA534" s="419"/>
      <c r="DB534" s="421"/>
      <c r="DC534" s="421"/>
      <c r="DD534" s="419"/>
      <c r="DE534" s="419"/>
      <c r="DF534" s="421"/>
      <c r="DG534" s="421"/>
      <c r="DH534" s="419"/>
      <c r="DI534" s="419"/>
      <c r="DJ534" s="421"/>
      <c r="DK534" s="421"/>
      <c r="DL534" s="419"/>
      <c r="DM534" s="419"/>
      <c r="DN534" s="421"/>
      <c r="DO534" s="421"/>
      <c r="DP534" s="419"/>
      <c r="DQ534" s="419"/>
      <c r="DR534" s="421"/>
      <c r="DS534" s="421"/>
      <c r="DT534" s="419"/>
      <c r="DU534" s="419"/>
      <c r="DV534" s="421"/>
      <c r="DW534" s="421"/>
      <c r="DX534" s="419"/>
      <c r="DY534" s="419"/>
      <c r="DZ534" s="421"/>
      <c r="EA534" s="421"/>
      <c r="EB534" s="419"/>
      <c r="EC534" s="419"/>
      <c r="ED534" s="421"/>
      <c r="EE534" s="421"/>
      <c r="EF534" s="419"/>
      <c r="EG534" s="421"/>
      <c r="EH534" s="424">
        <f t="shared" si="225"/>
        <v>0</v>
      </c>
      <c r="EI534" s="424">
        <f t="shared" si="226"/>
        <v>0</v>
      </c>
      <c r="EJ534" s="422">
        <f t="shared" si="227"/>
        <v>0</v>
      </c>
      <c r="EK534" s="425">
        <f t="shared" si="228"/>
        <v>0</v>
      </c>
      <c r="EL534" s="425">
        <f t="shared" si="229"/>
        <v>0</v>
      </c>
      <c r="EM534" s="423">
        <f t="shared" si="230"/>
        <v>0</v>
      </c>
      <c r="EN534" s="424">
        <f t="shared" si="231"/>
        <v>0</v>
      </c>
      <c r="EO534" s="425">
        <f t="shared" si="232"/>
        <v>0</v>
      </c>
      <c r="EP534" s="419"/>
      <c r="EQ534" s="421"/>
      <c r="ER534" s="419"/>
      <c r="ES534" s="421"/>
      <c r="ET534" s="419"/>
      <c r="EU534" s="421"/>
      <c r="EV534" s="419"/>
      <c r="EW534" s="421"/>
      <c r="EX534" s="419"/>
      <c r="EY534" s="421"/>
      <c r="EZ534" s="419"/>
      <c r="FA534" s="421"/>
      <c r="FB534" s="419"/>
      <c r="FC534" s="421"/>
      <c r="FD534" s="419"/>
      <c r="FE534" s="421"/>
      <c r="FF534" s="419"/>
      <c r="FG534" s="421"/>
      <c r="FH534" s="419"/>
      <c r="FI534" s="421"/>
      <c r="FJ534" s="424">
        <f t="shared" si="233"/>
        <v>0</v>
      </c>
      <c r="FK534" s="425">
        <f t="shared" si="234"/>
        <v>0</v>
      </c>
      <c r="FL534" s="419"/>
      <c r="FM534" s="421"/>
      <c r="FN534" s="424">
        <f t="shared" si="235"/>
        <v>194</v>
      </c>
      <c r="FO534" s="425">
        <f t="shared" si="236"/>
        <v>178</v>
      </c>
    </row>
    <row r="535" spans="1:171" customFormat="1" ht="15" customHeight="1">
      <c r="A535" s="457" t="s">
        <v>166</v>
      </c>
      <c r="B535" s="46" t="s">
        <v>1059</v>
      </c>
      <c r="C535" s="16"/>
      <c r="D535" s="44">
        <v>408394</v>
      </c>
      <c r="E535" s="125">
        <v>10</v>
      </c>
      <c r="F535" s="419">
        <v>69</v>
      </c>
      <c r="G535" s="532">
        <v>80</v>
      </c>
      <c r="H535" s="419"/>
      <c r="I535" s="421"/>
      <c r="J535" s="419">
        <v>88</v>
      </c>
      <c r="K535" s="532">
        <v>93</v>
      </c>
      <c r="L535" s="422">
        <f t="shared" si="215"/>
        <v>0</v>
      </c>
      <c r="M535" s="423">
        <f t="shared" si="216"/>
        <v>0</v>
      </c>
      <c r="N535" s="419"/>
      <c r="O535" s="525">
        <f>0</f>
        <v>0</v>
      </c>
      <c r="P535" s="525">
        <f>0</f>
        <v>0</v>
      </c>
      <c r="Q535" s="525">
        <f>0</f>
        <v>0</v>
      </c>
      <c r="R535" s="424">
        <f t="shared" si="213"/>
        <v>0</v>
      </c>
      <c r="S535" s="421"/>
      <c r="T535" s="526">
        <f>0</f>
        <v>0</v>
      </c>
      <c r="U535" s="526">
        <f>0</f>
        <v>0</v>
      </c>
      <c r="V535" s="526">
        <f>0</f>
        <v>0</v>
      </c>
      <c r="W535" s="425">
        <f t="shared" si="214"/>
        <v>0</v>
      </c>
      <c r="X535" s="419"/>
      <c r="Y535" s="419"/>
      <c r="Z535" s="421"/>
      <c r="AA535" s="421"/>
      <c r="AB535" s="419"/>
      <c r="AC535" s="419"/>
      <c r="AD535" s="421"/>
      <c r="AE535" s="421"/>
      <c r="AF535" s="419"/>
      <c r="AG535" s="419"/>
      <c r="AH535" s="421"/>
      <c r="AI535" s="421"/>
      <c r="AJ535" s="419"/>
      <c r="AK535" s="419"/>
      <c r="AL535" s="421"/>
      <c r="AM535" s="421"/>
      <c r="AN535" s="419"/>
      <c r="AO535" s="419"/>
      <c r="AP535" s="421"/>
      <c r="AQ535" s="421"/>
      <c r="AR535" s="424">
        <f t="shared" si="217"/>
        <v>0</v>
      </c>
      <c r="AS535" s="422">
        <f t="shared" si="218"/>
        <v>0</v>
      </c>
      <c r="AT535" s="425">
        <f t="shared" si="219"/>
        <v>0</v>
      </c>
      <c r="AU535" s="423">
        <f t="shared" si="220"/>
        <v>0</v>
      </c>
      <c r="AV535" s="419"/>
      <c r="AW535" s="421"/>
      <c r="AX535" s="419"/>
      <c r="AY535" s="419"/>
      <c r="AZ535" s="421"/>
      <c r="BA535" s="421"/>
      <c r="BB535" s="419"/>
      <c r="BC535" s="419"/>
      <c r="BD535" s="421"/>
      <c r="BE535" s="421"/>
      <c r="BF535" s="419"/>
      <c r="BG535" s="419"/>
      <c r="BH535" s="421"/>
      <c r="BI535" s="421"/>
      <c r="BJ535" s="419"/>
      <c r="BK535" s="419"/>
      <c r="BL535" s="421"/>
      <c r="BM535" s="421"/>
      <c r="BN535" s="419"/>
      <c r="BO535" s="419"/>
      <c r="BP535" s="421"/>
      <c r="BQ535" s="421"/>
      <c r="BR535" s="419"/>
      <c r="BS535" s="419"/>
      <c r="BT535" s="421"/>
      <c r="BU535" s="421"/>
      <c r="BV535" s="419"/>
      <c r="BW535" s="419"/>
      <c r="BX535" s="421"/>
      <c r="BY535" s="421"/>
      <c r="BZ535" s="419"/>
      <c r="CA535" s="419"/>
      <c r="CB535" s="421"/>
      <c r="CC535" s="421"/>
      <c r="CD535" s="419"/>
      <c r="CE535" s="419"/>
      <c r="CF535" s="421"/>
      <c r="CG535" s="421"/>
      <c r="CH535" s="419"/>
      <c r="CI535" s="419"/>
      <c r="CJ535" s="421"/>
      <c r="CK535" s="421"/>
      <c r="CL535" s="419"/>
      <c r="CM535" s="421"/>
      <c r="CN535" s="424">
        <f t="shared" si="221"/>
        <v>0</v>
      </c>
      <c r="CO535" s="424">
        <f t="shared" si="222"/>
        <v>0</v>
      </c>
      <c r="CP535" s="425">
        <f t="shared" si="223"/>
        <v>0</v>
      </c>
      <c r="CQ535" s="425">
        <f t="shared" si="224"/>
        <v>0</v>
      </c>
      <c r="CR535" s="419"/>
      <c r="CS535" s="419"/>
      <c r="CT535" s="421"/>
      <c r="CU535" s="421"/>
      <c r="CV535" s="419"/>
      <c r="CW535" s="419"/>
      <c r="CX535" s="421"/>
      <c r="CY535" s="421"/>
      <c r="CZ535" s="419"/>
      <c r="DA535" s="419"/>
      <c r="DB535" s="421"/>
      <c r="DC535" s="421"/>
      <c r="DD535" s="419"/>
      <c r="DE535" s="419"/>
      <c r="DF535" s="421"/>
      <c r="DG535" s="421"/>
      <c r="DH535" s="419"/>
      <c r="DI535" s="419"/>
      <c r="DJ535" s="421"/>
      <c r="DK535" s="421"/>
      <c r="DL535" s="419"/>
      <c r="DM535" s="419"/>
      <c r="DN535" s="421"/>
      <c r="DO535" s="421"/>
      <c r="DP535" s="419"/>
      <c r="DQ535" s="419"/>
      <c r="DR535" s="421"/>
      <c r="DS535" s="421"/>
      <c r="DT535" s="419"/>
      <c r="DU535" s="419"/>
      <c r="DV535" s="421"/>
      <c r="DW535" s="421"/>
      <c r="DX535" s="419"/>
      <c r="DY535" s="419"/>
      <c r="DZ535" s="421"/>
      <c r="EA535" s="421"/>
      <c r="EB535" s="419"/>
      <c r="EC535" s="419"/>
      <c r="ED535" s="421"/>
      <c r="EE535" s="421"/>
      <c r="EF535" s="419"/>
      <c r="EG535" s="421"/>
      <c r="EH535" s="424">
        <f t="shared" si="225"/>
        <v>0</v>
      </c>
      <c r="EI535" s="424">
        <f t="shared" si="226"/>
        <v>0</v>
      </c>
      <c r="EJ535" s="422">
        <f t="shared" si="227"/>
        <v>0</v>
      </c>
      <c r="EK535" s="425">
        <f t="shared" si="228"/>
        <v>0</v>
      </c>
      <c r="EL535" s="425">
        <f t="shared" si="229"/>
        <v>0</v>
      </c>
      <c r="EM535" s="423">
        <f t="shared" si="230"/>
        <v>0</v>
      </c>
      <c r="EN535" s="424">
        <f t="shared" si="231"/>
        <v>0</v>
      </c>
      <c r="EO535" s="425">
        <f t="shared" si="232"/>
        <v>0</v>
      </c>
      <c r="EP535" s="419"/>
      <c r="EQ535" s="421"/>
      <c r="ER535" s="419"/>
      <c r="ES535" s="421"/>
      <c r="ET535" s="419"/>
      <c r="EU535" s="421"/>
      <c r="EV535" s="419"/>
      <c r="EW535" s="421"/>
      <c r="EX535" s="419"/>
      <c r="EY535" s="421"/>
      <c r="EZ535" s="419"/>
      <c r="FA535" s="421"/>
      <c r="FB535" s="419"/>
      <c r="FC535" s="421"/>
      <c r="FD535" s="419"/>
      <c r="FE535" s="421"/>
      <c r="FF535" s="419"/>
      <c r="FG535" s="421"/>
      <c r="FH535" s="419"/>
      <c r="FI535" s="421"/>
      <c r="FJ535" s="424">
        <f t="shared" si="233"/>
        <v>0</v>
      </c>
      <c r="FK535" s="425">
        <f t="shared" si="234"/>
        <v>0</v>
      </c>
      <c r="FL535" s="419"/>
      <c r="FM535" s="421"/>
      <c r="FN535" s="424">
        <f t="shared" si="235"/>
        <v>157</v>
      </c>
      <c r="FO535" s="425">
        <f t="shared" si="236"/>
        <v>173</v>
      </c>
    </row>
    <row r="536" spans="1:171" customFormat="1" ht="15" customHeight="1">
      <c r="A536" s="457" t="s">
        <v>166</v>
      </c>
      <c r="B536" s="1" t="s">
        <v>1060</v>
      </c>
      <c r="C536" s="126"/>
      <c r="D536" s="3" t="s">
        <v>1058</v>
      </c>
      <c r="E536" s="125">
        <v>10</v>
      </c>
      <c r="F536" s="419">
        <v>64</v>
      </c>
      <c r="G536" s="531">
        <v>40</v>
      </c>
      <c r="H536" s="419"/>
      <c r="I536" s="421"/>
      <c r="J536" s="419">
        <v>50</v>
      </c>
      <c r="K536" s="532">
        <v>49</v>
      </c>
      <c r="L536" s="422">
        <f t="shared" si="215"/>
        <v>0</v>
      </c>
      <c r="M536" s="423">
        <f t="shared" si="216"/>
        <v>0</v>
      </c>
      <c r="N536" s="419"/>
      <c r="O536" s="525">
        <f>0</f>
        <v>0</v>
      </c>
      <c r="P536" s="525">
        <f>0</f>
        <v>0</v>
      </c>
      <c r="Q536" s="525">
        <f>0</f>
        <v>0</v>
      </c>
      <c r="R536" s="424">
        <f t="shared" si="213"/>
        <v>0</v>
      </c>
      <c r="S536" s="421"/>
      <c r="T536" s="526">
        <f>0</f>
        <v>0</v>
      </c>
      <c r="U536" s="526">
        <f>0</f>
        <v>0</v>
      </c>
      <c r="V536" s="526">
        <f>0</f>
        <v>0</v>
      </c>
      <c r="W536" s="425">
        <f t="shared" si="214"/>
        <v>0</v>
      </c>
      <c r="X536" s="419"/>
      <c r="Y536" s="419"/>
      <c r="Z536" s="421"/>
      <c r="AA536" s="421"/>
      <c r="AB536" s="419"/>
      <c r="AC536" s="419"/>
      <c r="AD536" s="421"/>
      <c r="AE536" s="421"/>
      <c r="AF536" s="419"/>
      <c r="AG536" s="419"/>
      <c r="AH536" s="421"/>
      <c r="AI536" s="421"/>
      <c r="AJ536" s="419"/>
      <c r="AK536" s="419"/>
      <c r="AL536" s="421"/>
      <c r="AM536" s="421"/>
      <c r="AN536" s="419"/>
      <c r="AO536" s="419"/>
      <c r="AP536" s="421"/>
      <c r="AQ536" s="421"/>
      <c r="AR536" s="424">
        <f t="shared" si="217"/>
        <v>0</v>
      </c>
      <c r="AS536" s="422">
        <f t="shared" si="218"/>
        <v>0</v>
      </c>
      <c r="AT536" s="425">
        <f t="shared" si="219"/>
        <v>0</v>
      </c>
      <c r="AU536" s="423">
        <f t="shared" si="220"/>
        <v>0</v>
      </c>
      <c r="AV536" s="419"/>
      <c r="AW536" s="421"/>
      <c r="AX536" s="419"/>
      <c r="AY536" s="419"/>
      <c r="AZ536" s="421"/>
      <c r="BA536" s="421"/>
      <c r="BB536" s="419"/>
      <c r="BC536" s="419"/>
      <c r="BD536" s="421"/>
      <c r="BE536" s="421"/>
      <c r="BF536" s="419"/>
      <c r="BG536" s="419"/>
      <c r="BH536" s="421"/>
      <c r="BI536" s="421"/>
      <c r="BJ536" s="419"/>
      <c r="BK536" s="419"/>
      <c r="BL536" s="421"/>
      <c r="BM536" s="421"/>
      <c r="BN536" s="419"/>
      <c r="BO536" s="419"/>
      <c r="BP536" s="421"/>
      <c r="BQ536" s="421"/>
      <c r="BR536" s="419"/>
      <c r="BS536" s="419"/>
      <c r="BT536" s="421"/>
      <c r="BU536" s="421"/>
      <c r="BV536" s="419"/>
      <c r="BW536" s="419"/>
      <c r="BX536" s="421"/>
      <c r="BY536" s="421"/>
      <c r="BZ536" s="419"/>
      <c r="CA536" s="419"/>
      <c r="CB536" s="421"/>
      <c r="CC536" s="421"/>
      <c r="CD536" s="419"/>
      <c r="CE536" s="419"/>
      <c r="CF536" s="421"/>
      <c r="CG536" s="421"/>
      <c r="CH536" s="419"/>
      <c r="CI536" s="419"/>
      <c r="CJ536" s="421"/>
      <c r="CK536" s="421"/>
      <c r="CL536" s="419"/>
      <c r="CM536" s="421"/>
      <c r="CN536" s="424">
        <f t="shared" si="221"/>
        <v>0</v>
      </c>
      <c r="CO536" s="424">
        <f t="shared" si="222"/>
        <v>0</v>
      </c>
      <c r="CP536" s="425">
        <f t="shared" si="223"/>
        <v>0</v>
      </c>
      <c r="CQ536" s="425">
        <f t="shared" si="224"/>
        <v>0</v>
      </c>
      <c r="CR536" s="419"/>
      <c r="CS536" s="419"/>
      <c r="CT536" s="421"/>
      <c r="CU536" s="421"/>
      <c r="CV536" s="419"/>
      <c r="CW536" s="419"/>
      <c r="CX536" s="421"/>
      <c r="CY536" s="421"/>
      <c r="CZ536" s="419"/>
      <c r="DA536" s="419"/>
      <c r="DB536" s="421"/>
      <c r="DC536" s="421"/>
      <c r="DD536" s="419"/>
      <c r="DE536" s="419"/>
      <c r="DF536" s="421"/>
      <c r="DG536" s="421"/>
      <c r="DH536" s="419"/>
      <c r="DI536" s="419"/>
      <c r="DJ536" s="421"/>
      <c r="DK536" s="421"/>
      <c r="DL536" s="419"/>
      <c r="DM536" s="419"/>
      <c r="DN536" s="421"/>
      <c r="DO536" s="421"/>
      <c r="DP536" s="419"/>
      <c r="DQ536" s="419"/>
      <c r="DR536" s="421"/>
      <c r="DS536" s="421"/>
      <c r="DT536" s="419"/>
      <c r="DU536" s="419"/>
      <c r="DV536" s="421"/>
      <c r="DW536" s="421"/>
      <c r="DX536" s="419"/>
      <c r="DY536" s="419"/>
      <c r="DZ536" s="421"/>
      <c r="EA536" s="421"/>
      <c r="EB536" s="419"/>
      <c r="EC536" s="419"/>
      <c r="ED536" s="421"/>
      <c r="EE536" s="421"/>
      <c r="EF536" s="419"/>
      <c r="EG536" s="421"/>
      <c r="EH536" s="424">
        <f t="shared" si="225"/>
        <v>0</v>
      </c>
      <c r="EI536" s="424">
        <f t="shared" si="226"/>
        <v>0</v>
      </c>
      <c r="EJ536" s="422">
        <f t="shared" si="227"/>
        <v>0</v>
      </c>
      <c r="EK536" s="425">
        <f t="shared" si="228"/>
        <v>0</v>
      </c>
      <c r="EL536" s="425">
        <f t="shared" si="229"/>
        <v>0</v>
      </c>
      <c r="EM536" s="423">
        <f t="shared" si="230"/>
        <v>0</v>
      </c>
      <c r="EN536" s="424">
        <f t="shared" si="231"/>
        <v>0</v>
      </c>
      <c r="EO536" s="425">
        <f t="shared" si="232"/>
        <v>0</v>
      </c>
      <c r="EP536" s="419"/>
      <c r="EQ536" s="421"/>
      <c r="ER536" s="419"/>
      <c r="ES536" s="421"/>
      <c r="ET536" s="419"/>
      <c r="EU536" s="421"/>
      <c r="EV536" s="419"/>
      <c r="EW536" s="421"/>
      <c r="EX536" s="419"/>
      <c r="EY536" s="421"/>
      <c r="EZ536" s="419"/>
      <c r="FA536" s="421"/>
      <c r="FB536" s="419"/>
      <c r="FC536" s="421"/>
      <c r="FD536" s="419"/>
      <c r="FE536" s="421"/>
      <c r="FF536" s="419"/>
      <c r="FG536" s="421"/>
      <c r="FH536" s="419"/>
      <c r="FI536" s="421"/>
      <c r="FJ536" s="424">
        <f t="shared" si="233"/>
        <v>0</v>
      </c>
      <c r="FK536" s="425">
        <f t="shared" si="234"/>
        <v>0</v>
      </c>
      <c r="FL536" s="419"/>
      <c r="FM536" s="421"/>
      <c r="FN536" s="424">
        <f t="shared" si="235"/>
        <v>114</v>
      </c>
      <c r="FO536" s="425">
        <f t="shared" si="236"/>
        <v>89</v>
      </c>
    </row>
    <row r="537" spans="1:171" customFormat="1" ht="15" customHeight="1">
      <c r="A537" s="457" t="s">
        <v>166</v>
      </c>
      <c r="B537" s="46" t="s">
        <v>1061</v>
      </c>
      <c r="C537" s="16"/>
      <c r="D537" s="44">
        <v>229328</v>
      </c>
      <c r="E537" s="125">
        <v>10</v>
      </c>
      <c r="F537" s="419">
        <v>157</v>
      </c>
      <c r="G537" s="531">
        <v>123</v>
      </c>
      <c r="H537" s="419"/>
      <c r="I537" s="421"/>
      <c r="J537" s="419">
        <v>240</v>
      </c>
      <c r="K537" s="532">
        <v>250</v>
      </c>
      <c r="L537" s="422">
        <f t="shared" si="215"/>
        <v>0</v>
      </c>
      <c r="M537" s="423">
        <f t="shared" si="216"/>
        <v>0</v>
      </c>
      <c r="N537" s="419"/>
      <c r="O537" s="525">
        <f>0</f>
        <v>0</v>
      </c>
      <c r="P537" s="525">
        <f>0</f>
        <v>0</v>
      </c>
      <c r="Q537" s="525">
        <f>0</f>
        <v>0</v>
      </c>
      <c r="R537" s="424">
        <f t="shared" si="213"/>
        <v>0</v>
      </c>
      <c r="S537" s="421"/>
      <c r="T537" s="526">
        <f>0</f>
        <v>0</v>
      </c>
      <c r="U537" s="526">
        <f>0</f>
        <v>0</v>
      </c>
      <c r="V537" s="526">
        <f>0</f>
        <v>0</v>
      </c>
      <c r="W537" s="425">
        <f t="shared" si="214"/>
        <v>0</v>
      </c>
      <c r="X537" s="419"/>
      <c r="Y537" s="419"/>
      <c r="Z537" s="421"/>
      <c r="AA537" s="421"/>
      <c r="AB537" s="419"/>
      <c r="AC537" s="419"/>
      <c r="AD537" s="421"/>
      <c r="AE537" s="421"/>
      <c r="AF537" s="419"/>
      <c r="AG537" s="419"/>
      <c r="AH537" s="421"/>
      <c r="AI537" s="421"/>
      <c r="AJ537" s="419"/>
      <c r="AK537" s="419"/>
      <c r="AL537" s="421"/>
      <c r="AM537" s="421"/>
      <c r="AN537" s="419"/>
      <c r="AO537" s="419"/>
      <c r="AP537" s="421"/>
      <c r="AQ537" s="421"/>
      <c r="AR537" s="424">
        <f t="shared" si="217"/>
        <v>0</v>
      </c>
      <c r="AS537" s="422">
        <f t="shared" si="218"/>
        <v>0</v>
      </c>
      <c r="AT537" s="425">
        <f t="shared" si="219"/>
        <v>0</v>
      </c>
      <c r="AU537" s="423">
        <f t="shared" si="220"/>
        <v>0</v>
      </c>
      <c r="AV537" s="419"/>
      <c r="AW537" s="421"/>
      <c r="AX537" s="419"/>
      <c r="AY537" s="419"/>
      <c r="AZ537" s="421"/>
      <c r="BA537" s="421"/>
      <c r="BB537" s="419"/>
      <c r="BC537" s="419"/>
      <c r="BD537" s="421"/>
      <c r="BE537" s="421"/>
      <c r="BF537" s="419"/>
      <c r="BG537" s="419"/>
      <c r="BH537" s="421"/>
      <c r="BI537" s="421"/>
      <c r="BJ537" s="419"/>
      <c r="BK537" s="419"/>
      <c r="BL537" s="421"/>
      <c r="BM537" s="421"/>
      <c r="BN537" s="419"/>
      <c r="BO537" s="419"/>
      <c r="BP537" s="421"/>
      <c r="BQ537" s="421"/>
      <c r="BR537" s="419"/>
      <c r="BS537" s="419"/>
      <c r="BT537" s="421"/>
      <c r="BU537" s="421"/>
      <c r="BV537" s="419"/>
      <c r="BW537" s="419"/>
      <c r="BX537" s="421"/>
      <c r="BY537" s="421"/>
      <c r="BZ537" s="419"/>
      <c r="CA537" s="419"/>
      <c r="CB537" s="421"/>
      <c r="CC537" s="421"/>
      <c r="CD537" s="419"/>
      <c r="CE537" s="419"/>
      <c r="CF537" s="421"/>
      <c r="CG537" s="421"/>
      <c r="CH537" s="419"/>
      <c r="CI537" s="419"/>
      <c r="CJ537" s="421"/>
      <c r="CK537" s="421"/>
      <c r="CL537" s="419"/>
      <c r="CM537" s="421"/>
      <c r="CN537" s="424">
        <f t="shared" si="221"/>
        <v>0</v>
      </c>
      <c r="CO537" s="424">
        <f t="shared" si="222"/>
        <v>0</v>
      </c>
      <c r="CP537" s="425">
        <f t="shared" si="223"/>
        <v>0</v>
      </c>
      <c r="CQ537" s="425">
        <f t="shared" si="224"/>
        <v>0</v>
      </c>
      <c r="CR537" s="419"/>
      <c r="CS537" s="419"/>
      <c r="CT537" s="421"/>
      <c r="CU537" s="421"/>
      <c r="CV537" s="419"/>
      <c r="CW537" s="419"/>
      <c r="CX537" s="421"/>
      <c r="CY537" s="421"/>
      <c r="CZ537" s="419"/>
      <c r="DA537" s="419"/>
      <c r="DB537" s="421"/>
      <c r="DC537" s="421"/>
      <c r="DD537" s="419"/>
      <c r="DE537" s="419"/>
      <c r="DF537" s="421"/>
      <c r="DG537" s="421"/>
      <c r="DH537" s="419"/>
      <c r="DI537" s="419"/>
      <c r="DJ537" s="421"/>
      <c r="DK537" s="421"/>
      <c r="DL537" s="419"/>
      <c r="DM537" s="419"/>
      <c r="DN537" s="421"/>
      <c r="DO537" s="421"/>
      <c r="DP537" s="419"/>
      <c r="DQ537" s="419"/>
      <c r="DR537" s="421"/>
      <c r="DS537" s="421"/>
      <c r="DT537" s="419"/>
      <c r="DU537" s="419"/>
      <c r="DV537" s="421"/>
      <c r="DW537" s="421"/>
      <c r="DX537" s="419"/>
      <c r="DY537" s="419"/>
      <c r="DZ537" s="421"/>
      <c r="EA537" s="421"/>
      <c r="EB537" s="419"/>
      <c r="EC537" s="419"/>
      <c r="ED537" s="421"/>
      <c r="EE537" s="421"/>
      <c r="EF537" s="419"/>
      <c r="EG537" s="421"/>
      <c r="EH537" s="424">
        <f t="shared" si="225"/>
        <v>0</v>
      </c>
      <c r="EI537" s="424">
        <f t="shared" si="226"/>
        <v>0</v>
      </c>
      <c r="EJ537" s="422">
        <f t="shared" si="227"/>
        <v>0</v>
      </c>
      <c r="EK537" s="425">
        <f t="shared" si="228"/>
        <v>0</v>
      </c>
      <c r="EL537" s="425">
        <f t="shared" si="229"/>
        <v>0</v>
      </c>
      <c r="EM537" s="423">
        <f t="shared" si="230"/>
        <v>0</v>
      </c>
      <c r="EN537" s="424">
        <f t="shared" si="231"/>
        <v>0</v>
      </c>
      <c r="EO537" s="425">
        <f t="shared" si="232"/>
        <v>0</v>
      </c>
      <c r="EP537" s="419"/>
      <c r="EQ537" s="421"/>
      <c r="ER537" s="419"/>
      <c r="ES537" s="421"/>
      <c r="ET537" s="419"/>
      <c r="EU537" s="421"/>
      <c r="EV537" s="419"/>
      <c r="EW537" s="421"/>
      <c r="EX537" s="419"/>
      <c r="EY537" s="421"/>
      <c r="EZ537" s="419"/>
      <c r="FA537" s="421"/>
      <c r="FB537" s="419"/>
      <c r="FC537" s="421"/>
      <c r="FD537" s="419"/>
      <c r="FE537" s="421"/>
      <c r="FF537" s="419"/>
      <c r="FG537" s="421"/>
      <c r="FH537" s="419"/>
      <c r="FI537" s="421"/>
      <c r="FJ537" s="424">
        <f t="shared" si="233"/>
        <v>0</v>
      </c>
      <c r="FK537" s="425">
        <f t="shared" si="234"/>
        <v>0</v>
      </c>
      <c r="FL537" s="419"/>
      <c r="FM537" s="421"/>
      <c r="FN537" s="424">
        <f t="shared" si="235"/>
        <v>397</v>
      </c>
      <c r="FO537" s="425">
        <f t="shared" si="236"/>
        <v>373</v>
      </c>
    </row>
    <row r="538" spans="1:171" customFormat="1" ht="15" customHeight="1">
      <c r="A538" s="457" t="s">
        <v>166</v>
      </c>
      <c r="B538" s="46" t="s">
        <v>1062</v>
      </c>
      <c r="C538" s="16"/>
      <c r="D538" s="44">
        <v>229832</v>
      </c>
      <c r="E538" s="125">
        <v>10</v>
      </c>
      <c r="F538" s="419">
        <v>164</v>
      </c>
      <c r="G538" s="531">
        <v>99</v>
      </c>
      <c r="H538" s="419"/>
      <c r="I538" s="421"/>
      <c r="J538" s="419">
        <v>211</v>
      </c>
      <c r="K538" s="532">
        <v>199</v>
      </c>
      <c r="L538" s="422">
        <f t="shared" si="215"/>
        <v>0</v>
      </c>
      <c r="M538" s="423">
        <f t="shared" si="216"/>
        <v>0</v>
      </c>
      <c r="N538" s="419"/>
      <c r="O538" s="525">
        <f>0</f>
        <v>0</v>
      </c>
      <c r="P538" s="525">
        <f>0</f>
        <v>0</v>
      </c>
      <c r="Q538" s="525">
        <f>0</f>
        <v>0</v>
      </c>
      <c r="R538" s="424">
        <f t="shared" si="213"/>
        <v>0</v>
      </c>
      <c r="S538" s="421"/>
      <c r="T538" s="526">
        <f>0</f>
        <v>0</v>
      </c>
      <c r="U538" s="526">
        <f>0</f>
        <v>0</v>
      </c>
      <c r="V538" s="526">
        <f>0</f>
        <v>0</v>
      </c>
      <c r="W538" s="425">
        <f t="shared" si="214"/>
        <v>0</v>
      </c>
      <c r="X538" s="419"/>
      <c r="Y538" s="419"/>
      <c r="Z538" s="421"/>
      <c r="AA538" s="421"/>
      <c r="AB538" s="419"/>
      <c r="AC538" s="419"/>
      <c r="AD538" s="421"/>
      <c r="AE538" s="421"/>
      <c r="AF538" s="419"/>
      <c r="AG538" s="419"/>
      <c r="AH538" s="421"/>
      <c r="AI538" s="421"/>
      <c r="AJ538" s="419"/>
      <c r="AK538" s="419"/>
      <c r="AL538" s="421"/>
      <c r="AM538" s="421"/>
      <c r="AN538" s="419"/>
      <c r="AO538" s="419"/>
      <c r="AP538" s="421"/>
      <c r="AQ538" s="421"/>
      <c r="AR538" s="424">
        <f t="shared" si="217"/>
        <v>0</v>
      </c>
      <c r="AS538" s="422">
        <f t="shared" si="218"/>
        <v>0</v>
      </c>
      <c r="AT538" s="425">
        <f t="shared" si="219"/>
        <v>0</v>
      </c>
      <c r="AU538" s="423">
        <f t="shared" si="220"/>
        <v>0</v>
      </c>
      <c r="AV538" s="419"/>
      <c r="AW538" s="421"/>
      <c r="AX538" s="419"/>
      <c r="AY538" s="419"/>
      <c r="AZ538" s="421"/>
      <c r="BA538" s="421"/>
      <c r="BB538" s="419"/>
      <c r="BC538" s="419"/>
      <c r="BD538" s="421"/>
      <c r="BE538" s="421"/>
      <c r="BF538" s="419"/>
      <c r="BG538" s="419"/>
      <c r="BH538" s="421"/>
      <c r="BI538" s="421"/>
      <c r="BJ538" s="419"/>
      <c r="BK538" s="419"/>
      <c r="BL538" s="421"/>
      <c r="BM538" s="421"/>
      <c r="BN538" s="419"/>
      <c r="BO538" s="419"/>
      <c r="BP538" s="421"/>
      <c r="BQ538" s="421"/>
      <c r="BR538" s="419"/>
      <c r="BS538" s="419"/>
      <c r="BT538" s="421"/>
      <c r="BU538" s="421"/>
      <c r="BV538" s="419"/>
      <c r="BW538" s="419"/>
      <c r="BX538" s="421"/>
      <c r="BY538" s="421"/>
      <c r="BZ538" s="419"/>
      <c r="CA538" s="419"/>
      <c r="CB538" s="421"/>
      <c r="CC538" s="421"/>
      <c r="CD538" s="419"/>
      <c r="CE538" s="419"/>
      <c r="CF538" s="421"/>
      <c r="CG538" s="421"/>
      <c r="CH538" s="419"/>
      <c r="CI538" s="419"/>
      <c r="CJ538" s="421"/>
      <c r="CK538" s="421"/>
      <c r="CL538" s="419"/>
      <c r="CM538" s="421"/>
      <c r="CN538" s="424">
        <f t="shared" si="221"/>
        <v>0</v>
      </c>
      <c r="CO538" s="424">
        <f t="shared" si="222"/>
        <v>0</v>
      </c>
      <c r="CP538" s="425">
        <f t="shared" si="223"/>
        <v>0</v>
      </c>
      <c r="CQ538" s="425">
        <f t="shared" si="224"/>
        <v>0</v>
      </c>
      <c r="CR538" s="419"/>
      <c r="CS538" s="419"/>
      <c r="CT538" s="421"/>
      <c r="CU538" s="421"/>
      <c r="CV538" s="419"/>
      <c r="CW538" s="419"/>
      <c r="CX538" s="421"/>
      <c r="CY538" s="421"/>
      <c r="CZ538" s="419"/>
      <c r="DA538" s="419"/>
      <c r="DB538" s="421"/>
      <c r="DC538" s="421"/>
      <c r="DD538" s="419"/>
      <c r="DE538" s="419"/>
      <c r="DF538" s="421"/>
      <c r="DG538" s="421"/>
      <c r="DH538" s="419"/>
      <c r="DI538" s="419"/>
      <c r="DJ538" s="421"/>
      <c r="DK538" s="421"/>
      <c r="DL538" s="419"/>
      <c r="DM538" s="419"/>
      <c r="DN538" s="421"/>
      <c r="DO538" s="421"/>
      <c r="DP538" s="419"/>
      <c r="DQ538" s="419"/>
      <c r="DR538" s="421"/>
      <c r="DS538" s="421"/>
      <c r="DT538" s="419"/>
      <c r="DU538" s="419"/>
      <c r="DV538" s="421"/>
      <c r="DW538" s="421"/>
      <c r="DX538" s="419"/>
      <c r="DY538" s="419"/>
      <c r="DZ538" s="421"/>
      <c r="EA538" s="421"/>
      <c r="EB538" s="419"/>
      <c r="EC538" s="419"/>
      <c r="ED538" s="421"/>
      <c r="EE538" s="421"/>
      <c r="EF538" s="419"/>
      <c r="EG538" s="421"/>
      <c r="EH538" s="424">
        <f t="shared" si="225"/>
        <v>0</v>
      </c>
      <c r="EI538" s="424">
        <f t="shared" si="226"/>
        <v>0</v>
      </c>
      <c r="EJ538" s="422">
        <f t="shared" si="227"/>
        <v>0</v>
      </c>
      <c r="EK538" s="425">
        <f t="shared" si="228"/>
        <v>0</v>
      </c>
      <c r="EL538" s="425">
        <f t="shared" si="229"/>
        <v>0</v>
      </c>
      <c r="EM538" s="423">
        <f t="shared" si="230"/>
        <v>0</v>
      </c>
      <c r="EN538" s="424">
        <f t="shared" si="231"/>
        <v>0</v>
      </c>
      <c r="EO538" s="425">
        <f t="shared" si="232"/>
        <v>0</v>
      </c>
      <c r="EP538" s="419"/>
      <c r="EQ538" s="421"/>
      <c r="ER538" s="419"/>
      <c r="ES538" s="421"/>
      <c r="ET538" s="419"/>
      <c r="EU538" s="421"/>
      <c r="EV538" s="419"/>
      <c r="EW538" s="421"/>
      <c r="EX538" s="419"/>
      <c r="EY538" s="421"/>
      <c r="EZ538" s="419"/>
      <c r="FA538" s="421"/>
      <c r="FB538" s="419"/>
      <c r="FC538" s="421"/>
      <c r="FD538" s="419"/>
      <c r="FE538" s="421"/>
      <c r="FF538" s="419"/>
      <c r="FG538" s="421"/>
      <c r="FH538" s="419"/>
      <c r="FI538" s="421"/>
      <c r="FJ538" s="424">
        <f t="shared" si="233"/>
        <v>0</v>
      </c>
      <c r="FK538" s="425">
        <f t="shared" si="234"/>
        <v>0</v>
      </c>
      <c r="FL538" s="419"/>
      <c r="FM538" s="421"/>
      <c r="FN538" s="424">
        <f t="shared" si="235"/>
        <v>375</v>
      </c>
      <c r="FO538" s="425">
        <f t="shared" si="236"/>
        <v>298</v>
      </c>
    </row>
    <row r="539" spans="1:171" customFormat="1" ht="15" customHeight="1">
      <c r="A539" s="457" t="s">
        <v>166</v>
      </c>
      <c r="B539" s="46" t="s">
        <v>1063</v>
      </c>
      <c r="C539" s="16"/>
      <c r="D539" s="44">
        <v>223214</v>
      </c>
      <c r="E539" s="125">
        <v>15</v>
      </c>
      <c r="F539" s="419">
        <v>41</v>
      </c>
      <c r="G539" s="532">
        <v>43</v>
      </c>
      <c r="H539" s="419"/>
      <c r="I539" s="421"/>
      <c r="J539" s="419"/>
      <c r="K539" s="421"/>
      <c r="L539" s="422">
        <f t="shared" si="215"/>
        <v>0</v>
      </c>
      <c r="M539" s="423">
        <f t="shared" si="216"/>
        <v>0</v>
      </c>
      <c r="N539" s="419">
        <v>346</v>
      </c>
      <c r="O539" s="525">
        <f>0</f>
        <v>0</v>
      </c>
      <c r="P539" s="525">
        <f>0</f>
        <v>0</v>
      </c>
      <c r="Q539" s="525">
        <f>0</f>
        <v>0</v>
      </c>
      <c r="R539" s="424">
        <f t="shared" si="213"/>
        <v>0</v>
      </c>
      <c r="S539" s="434"/>
      <c r="T539" s="526">
        <f>0</f>
        <v>0</v>
      </c>
      <c r="U539" s="526">
        <f>0</f>
        <v>0</v>
      </c>
      <c r="V539" s="526">
        <f>0</f>
        <v>0</v>
      </c>
      <c r="W539" s="425">
        <f t="shared" si="214"/>
        <v>0</v>
      </c>
      <c r="X539" s="419"/>
      <c r="Y539" s="419"/>
      <c r="Z539" s="421"/>
      <c r="AA539" s="421"/>
      <c r="AB539" s="419"/>
      <c r="AC539" s="419"/>
      <c r="AD539" s="421"/>
      <c r="AE539" s="421"/>
      <c r="AF539" s="419"/>
      <c r="AG539" s="419"/>
      <c r="AH539" s="421"/>
      <c r="AI539" s="421"/>
      <c r="AJ539" s="419"/>
      <c r="AK539" s="419"/>
      <c r="AL539" s="421"/>
      <c r="AM539" s="421"/>
      <c r="AN539" s="419"/>
      <c r="AO539" s="419"/>
      <c r="AP539" s="421"/>
      <c r="AQ539" s="421"/>
      <c r="AR539" s="424">
        <f t="shared" si="217"/>
        <v>0</v>
      </c>
      <c r="AS539" s="422">
        <f t="shared" si="218"/>
        <v>0.34189723320158105</v>
      </c>
      <c r="AT539" s="425">
        <f t="shared" si="219"/>
        <v>0</v>
      </c>
      <c r="AU539" s="423">
        <f t="shared" si="220"/>
        <v>0</v>
      </c>
      <c r="AV539" s="419"/>
      <c r="AW539" s="421"/>
      <c r="AX539" s="419">
        <v>51</v>
      </c>
      <c r="AY539" s="419">
        <v>120</v>
      </c>
      <c r="AZ539" s="527">
        <v>51</v>
      </c>
      <c r="BA539" s="527">
        <v>121</v>
      </c>
      <c r="BB539" s="419">
        <v>26</v>
      </c>
      <c r="BC539" s="419">
        <v>55</v>
      </c>
      <c r="BD539" s="527">
        <v>26</v>
      </c>
      <c r="BE539" s="527">
        <v>54</v>
      </c>
      <c r="BF539" s="419">
        <v>13</v>
      </c>
      <c r="BG539" s="419">
        <v>6</v>
      </c>
      <c r="BH539" s="527">
        <v>13</v>
      </c>
      <c r="BI539" s="527">
        <v>6</v>
      </c>
      <c r="BJ539" s="419"/>
      <c r="BK539" s="419"/>
      <c r="BL539" s="421"/>
      <c r="BM539" s="421"/>
      <c r="BN539" s="419"/>
      <c r="BO539" s="419"/>
      <c r="BP539" s="421"/>
      <c r="BQ539" s="421"/>
      <c r="BR539" s="419"/>
      <c r="BS539" s="419"/>
      <c r="BT539" s="421"/>
      <c r="BU539" s="421"/>
      <c r="BV539" s="419"/>
      <c r="BW539" s="419"/>
      <c r="BX539" s="421"/>
      <c r="BY539" s="421"/>
      <c r="BZ539" s="419"/>
      <c r="CA539" s="419"/>
      <c r="CB539" s="421"/>
      <c r="CC539" s="421"/>
      <c r="CD539" s="419"/>
      <c r="CE539" s="419"/>
      <c r="CF539" s="421"/>
      <c r="CG539" s="421"/>
      <c r="CH539" s="419"/>
      <c r="CI539" s="419"/>
      <c r="CJ539" s="421"/>
      <c r="CK539" s="421"/>
      <c r="CL539" s="419"/>
      <c r="CM539" s="421"/>
      <c r="CN539" s="424">
        <f t="shared" si="221"/>
        <v>181</v>
      </c>
      <c r="CO539" s="424">
        <f t="shared" si="222"/>
        <v>3</v>
      </c>
      <c r="CP539" s="425">
        <f t="shared" si="223"/>
        <v>181</v>
      </c>
      <c r="CQ539" s="425">
        <f t="shared" si="224"/>
        <v>3</v>
      </c>
      <c r="CR539" s="419">
        <v>26</v>
      </c>
      <c r="CS539" s="419">
        <v>21</v>
      </c>
      <c r="CT539" s="527">
        <v>51</v>
      </c>
      <c r="CU539" s="527">
        <v>23</v>
      </c>
      <c r="CV539" s="419">
        <v>51</v>
      </c>
      <c r="CW539" s="419">
        <v>16</v>
      </c>
      <c r="CX539" s="527">
        <v>26</v>
      </c>
      <c r="CY539" s="528">
        <v>11</v>
      </c>
      <c r="CZ539" s="419"/>
      <c r="DA539" s="419"/>
      <c r="DB539" s="421"/>
      <c r="DC539" s="421"/>
      <c r="DD539" s="419"/>
      <c r="DE539" s="419"/>
      <c r="DF539" s="421"/>
      <c r="DG539" s="421"/>
      <c r="DH539" s="419"/>
      <c r="DI539" s="419"/>
      <c r="DJ539" s="421"/>
      <c r="DK539" s="421"/>
      <c r="DL539" s="419"/>
      <c r="DM539" s="419"/>
      <c r="DN539" s="421"/>
      <c r="DO539" s="421"/>
      <c r="DP539" s="419"/>
      <c r="DQ539" s="419"/>
      <c r="DR539" s="421"/>
      <c r="DS539" s="421"/>
      <c r="DT539" s="419"/>
      <c r="DU539" s="419"/>
      <c r="DV539" s="421"/>
      <c r="DW539" s="421"/>
      <c r="DX539" s="419"/>
      <c r="DY539" s="419"/>
      <c r="DZ539" s="421"/>
      <c r="EA539" s="421"/>
      <c r="EB539" s="419"/>
      <c r="EC539" s="419"/>
      <c r="ED539" s="421"/>
      <c r="EE539" s="421"/>
      <c r="EF539" s="419"/>
      <c r="EG539" s="421"/>
      <c r="EH539" s="424">
        <f t="shared" si="225"/>
        <v>37</v>
      </c>
      <c r="EI539" s="424">
        <f t="shared" si="226"/>
        <v>2</v>
      </c>
      <c r="EJ539" s="422">
        <f t="shared" si="227"/>
        <v>0.56756756756756754</v>
      </c>
      <c r="EK539" s="425">
        <f t="shared" si="228"/>
        <v>34</v>
      </c>
      <c r="EL539" s="425">
        <f t="shared" si="229"/>
        <v>2</v>
      </c>
      <c r="EM539" s="423">
        <f t="shared" si="230"/>
        <v>0.67647058823529416</v>
      </c>
      <c r="EN539" s="424">
        <f t="shared" si="231"/>
        <v>218</v>
      </c>
      <c r="EO539" s="425">
        <f t="shared" si="232"/>
        <v>215</v>
      </c>
      <c r="EP539" s="419"/>
      <c r="EQ539" s="421"/>
      <c r="ER539" s="419">
        <v>193</v>
      </c>
      <c r="ES539" s="527">
        <v>181</v>
      </c>
      <c r="ET539" s="419">
        <v>104</v>
      </c>
      <c r="EU539" s="527">
        <v>99</v>
      </c>
      <c r="EV539" s="419">
        <v>110</v>
      </c>
      <c r="EW539" s="527">
        <v>110</v>
      </c>
      <c r="EX539" s="419"/>
      <c r="EY539" s="421"/>
      <c r="EZ539" s="419"/>
      <c r="FA539" s="421"/>
      <c r="FB539" s="536"/>
      <c r="FC539" s="527"/>
      <c r="FD539" s="419"/>
      <c r="FE539" s="421"/>
      <c r="FF539" s="419"/>
      <c r="FG539" s="421"/>
      <c r="FH539" s="419"/>
      <c r="FI539" s="421"/>
      <c r="FJ539" s="424">
        <f t="shared" si="233"/>
        <v>407</v>
      </c>
      <c r="FK539" s="425">
        <f t="shared" si="234"/>
        <v>390</v>
      </c>
      <c r="FL539" s="419"/>
      <c r="FM539" s="421"/>
      <c r="FN539" s="424">
        <f t="shared" si="235"/>
        <v>1012</v>
      </c>
      <c r="FO539" s="425">
        <f t="shared" si="236"/>
        <v>648</v>
      </c>
    </row>
    <row r="540" spans="1:171" customFormat="1" ht="15" customHeight="1">
      <c r="A540" s="457" t="s">
        <v>166</v>
      </c>
      <c r="B540" s="46" t="s">
        <v>1064</v>
      </c>
      <c r="C540" s="16"/>
      <c r="D540" s="44">
        <v>229337</v>
      </c>
      <c r="E540" s="125">
        <v>15</v>
      </c>
      <c r="F540" s="419"/>
      <c r="G540" s="532"/>
      <c r="H540" s="419"/>
      <c r="I540" s="421"/>
      <c r="J540" s="419"/>
      <c r="K540" s="421"/>
      <c r="L540" s="422">
        <f t="shared" si="215"/>
        <v>0</v>
      </c>
      <c r="M540" s="423">
        <f t="shared" si="216"/>
        <v>0</v>
      </c>
      <c r="N540" s="419">
        <v>1233</v>
      </c>
      <c r="O540" s="525">
        <f>0</f>
        <v>0</v>
      </c>
      <c r="P540" s="525">
        <f>0</f>
        <v>0</v>
      </c>
      <c r="Q540" s="525">
        <f>0</f>
        <v>0</v>
      </c>
      <c r="R540" s="424">
        <f t="shared" si="213"/>
        <v>0</v>
      </c>
      <c r="S540" s="434"/>
      <c r="T540" s="526">
        <f>0</f>
        <v>0</v>
      </c>
      <c r="U540" s="526">
        <f>0</f>
        <v>0</v>
      </c>
      <c r="V540" s="526">
        <f>0</f>
        <v>0</v>
      </c>
      <c r="W540" s="425">
        <f t="shared" si="214"/>
        <v>0</v>
      </c>
      <c r="X540" s="419"/>
      <c r="Y540" s="419"/>
      <c r="Z540" s="421"/>
      <c r="AA540" s="421"/>
      <c r="AB540" s="419"/>
      <c r="AC540" s="419"/>
      <c r="AD540" s="421"/>
      <c r="AE540" s="421"/>
      <c r="AF540" s="419"/>
      <c r="AG540" s="419"/>
      <c r="AH540" s="421"/>
      <c r="AI540" s="421"/>
      <c r="AJ540" s="419"/>
      <c r="AK540" s="419"/>
      <c r="AL540" s="421"/>
      <c r="AM540" s="421"/>
      <c r="AN540" s="419"/>
      <c r="AO540" s="419"/>
      <c r="AP540" s="421"/>
      <c r="AQ540" s="421"/>
      <c r="AR540" s="424">
        <f t="shared" si="217"/>
        <v>0</v>
      </c>
      <c r="AS540" s="422">
        <f t="shared" si="218"/>
        <v>0.5429326287978864</v>
      </c>
      <c r="AT540" s="425">
        <f t="shared" si="219"/>
        <v>0</v>
      </c>
      <c r="AU540" s="423">
        <f t="shared" si="220"/>
        <v>0</v>
      </c>
      <c r="AV540" s="419"/>
      <c r="AW540" s="421"/>
      <c r="AX540" s="419">
        <v>51</v>
      </c>
      <c r="AY540" s="419">
        <v>540</v>
      </c>
      <c r="AZ540" s="527">
        <v>51</v>
      </c>
      <c r="BA540" s="527">
        <v>580</v>
      </c>
      <c r="BB540" s="419">
        <v>26</v>
      </c>
      <c r="BC540" s="419">
        <v>43</v>
      </c>
      <c r="BD540" s="527">
        <v>26</v>
      </c>
      <c r="BE540" s="527">
        <v>47</v>
      </c>
      <c r="BF540" s="419"/>
      <c r="BG540" s="419"/>
      <c r="BH540" s="527"/>
      <c r="BI540" s="527"/>
      <c r="BJ540" s="419"/>
      <c r="BK540" s="419"/>
      <c r="BL540" s="421"/>
      <c r="BM540" s="421"/>
      <c r="BN540" s="419"/>
      <c r="BO540" s="419"/>
      <c r="BP540" s="421"/>
      <c r="BQ540" s="421"/>
      <c r="BR540" s="419"/>
      <c r="BS540" s="419"/>
      <c r="BT540" s="421"/>
      <c r="BU540" s="421"/>
      <c r="BV540" s="419"/>
      <c r="BW540" s="419"/>
      <c r="BX540" s="421"/>
      <c r="BY540" s="421"/>
      <c r="BZ540" s="419"/>
      <c r="CA540" s="419"/>
      <c r="CB540" s="421"/>
      <c r="CC540" s="421"/>
      <c r="CD540" s="419"/>
      <c r="CE540" s="419"/>
      <c r="CF540" s="421"/>
      <c r="CG540" s="421"/>
      <c r="CH540" s="419"/>
      <c r="CI540" s="419"/>
      <c r="CJ540" s="421"/>
      <c r="CK540" s="421"/>
      <c r="CL540" s="419"/>
      <c r="CM540" s="421"/>
      <c r="CN540" s="424">
        <f t="shared" si="221"/>
        <v>583</v>
      </c>
      <c r="CO540" s="424">
        <f t="shared" si="222"/>
        <v>2</v>
      </c>
      <c r="CP540" s="425">
        <f t="shared" si="223"/>
        <v>627</v>
      </c>
      <c r="CQ540" s="425">
        <f t="shared" si="224"/>
        <v>2</v>
      </c>
      <c r="CR540" s="419">
        <v>51</v>
      </c>
      <c r="CS540" s="419">
        <v>36</v>
      </c>
      <c r="CT540" s="527">
        <v>51</v>
      </c>
      <c r="CU540" s="527">
        <v>41</v>
      </c>
      <c r="CV540" s="419">
        <v>26</v>
      </c>
      <c r="CW540" s="419">
        <v>7</v>
      </c>
      <c r="CX540" s="527">
        <v>26</v>
      </c>
      <c r="CY540" s="527">
        <v>7</v>
      </c>
      <c r="CZ540" s="419"/>
      <c r="DA540" s="419"/>
      <c r="DB540" s="421"/>
      <c r="DC540" s="421"/>
      <c r="DD540" s="419"/>
      <c r="DE540" s="419"/>
      <c r="DF540" s="421"/>
      <c r="DG540" s="421"/>
      <c r="DH540" s="419"/>
      <c r="DI540" s="419"/>
      <c r="DJ540" s="421"/>
      <c r="DK540" s="421"/>
      <c r="DL540" s="419"/>
      <c r="DM540" s="419"/>
      <c r="DN540" s="421"/>
      <c r="DO540" s="421"/>
      <c r="DP540" s="419"/>
      <c r="DQ540" s="419"/>
      <c r="DR540" s="421"/>
      <c r="DS540" s="421"/>
      <c r="DT540" s="419"/>
      <c r="DU540" s="419"/>
      <c r="DV540" s="421"/>
      <c r="DW540" s="421"/>
      <c r="DX540" s="419"/>
      <c r="DY540" s="419"/>
      <c r="DZ540" s="421"/>
      <c r="EA540" s="421"/>
      <c r="EB540" s="419"/>
      <c r="EC540" s="419"/>
      <c r="ED540" s="421"/>
      <c r="EE540" s="421"/>
      <c r="EF540" s="419"/>
      <c r="EG540" s="421"/>
      <c r="EH540" s="424">
        <f t="shared" si="225"/>
        <v>43</v>
      </c>
      <c r="EI540" s="424">
        <f t="shared" si="226"/>
        <v>2</v>
      </c>
      <c r="EJ540" s="422">
        <f t="shared" si="227"/>
        <v>0.83720930232558144</v>
      </c>
      <c r="EK540" s="425">
        <f t="shared" si="228"/>
        <v>48</v>
      </c>
      <c r="EL540" s="425">
        <f t="shared" si="229"/>
        <v>2</v>
      </c>
      <c r="EM540" s="423">
        <f t="shared" si="230"/>
        <v>0.85416666666666663</v>
      </c>
      <c r="EN540" s="424">
        <f t="shared" si="231"/>
        <v>626</v>
      </c>
      <c r="EO540" s="425">
        <f t="shared" si="232"/>
        <v>675</v>
      </c>
      <c r="EP540" s="419"/>
      <c r="EQ540" s="421"/>
      <c r="ER540" s="419">
        <v>168</v>
      </c>
      <c r="ES540" s="527">
        <v>175</v>
      </c>
      <c r="ET540" s="419"/>
      <c r="EU540" s="421"/>
      <c r="EV540" s="419">
        <v>146</v>
      </c>
      <c r="EW540" s="527">
        <v>152</v>
      </c>
      <c r="EX540" s="419"/>
      <c r="EY540" s="421"/>
      <c r="EZ540" s="419"/>
      <c r="FA540" s="421"/>
      <c r="FB540" s="536"/>
      <c r="FC540" s="527"/>
      <c r="FD540" s="419"/>
      <c r="FE540" s="421"/>
      <c r="FF540" s="419"/>
      <c r="FG540" s="421"/>
      <c r="FH540" s="419">
        <v>98</v>
      </c>
      <c r="FI540" s="421">
        <v>107</v>
      </c>
      <c r="FJ540" s="424">
        <f t="shared" si="233"/>
        <v>412</v>
      </c>
      <c r="FK540" s="425">
        <f t="shared" si="234"/>
        <v>434</v>
      </c>
      <c r="FL540" s="419"/>
      <c r="FM540" s="421"/>
      <c r="FN540" s="424">
        <f t="shared" si="235"/>
        <v>2271</v>
      </c>
      <c r="FO540" s="425">
        <f t="shared" si="236"/>
        <v>1109</v>
      </c>
    </row>
    <row r="541" spans="1:171" customFormat="1" ht="15" customHeight="1">
      <c r="A541" s="17" t="s">
        <v>166</v>
      </c>
      <c r="B541" s="46" t="s">
        <v>1065</v>
      </c>
      <c r="C541" s="44"/>
      <c r="D541" s="44">
        <v>492689</v>
      </c>
      <c r="E541" s="125">
        <v>15</v>
      </c>
      <c r="F541" s="419"/>
      <c r="G541" s="535">
        <v>10</v>
      </c>
      <c r="H541" s="419"/>
      <c r="I541" s="421"/>
      <c r="J541" s="419"/>
      <c r="K541" s="421"/>
      <c r="L541" s="422">
        <f t="shared" si="215"/>
        <v>0</v>
      </c>
      <c r="M541" s="423">
        <f t="shared" si="216"/>
        <v>0</v>
      </c>
      <c r="N541" s="419">
        <v>144</v>
      </c>
      <c r="O541" s="525">
        <f>0</f>
        <v>0</v>
      </c>
      <c r="P541" s="525">
        <f>0</f>
        <v>0</v>
      </c>
      <c r="Q541" s="525">
        <f>0</f>
        <v>0</v>
      </c>
      <c r="R541" s="424">
        <f t="shared" si="213"/>
        <v>0</v>
      </c>
      <c r="S541" s="434"/>
      <c r="T541" s="526">
        <f>0</f>
        <v>0</v>
      </c>
      <c r="U541" s="526">
        <f>0</f>
        <v>0</v>
      </c>
      <c r="V541" s="526">
        <f>0</f>
        <v>0</v>
      </c>
      <c r="W541" s="425">
        <f t="shared" si="214"/>
        <v>0</v>
      </c>
      <c r="X541" s="419"/>
      <c r="Y541" s="419"/>
      <c r="Z541" s="421"/>
      <c r="AA541" s="421"/>
      <c r="AB541" s="419"/>
      <c r="AC541" s="419"/>
      <c r="AD541" s="421"/>
      <c r="AE541" s="421"/>
      <c r="AF541" s="419"/>
      <c r="AG541" s="419"/>
      <c r="AH541" s="421"/>
      <c r="AI541" s="421"/>
      <c r="AJ541" s="419"/>
      <c r="AK541" s="419"/>
      <c r="AL541" s="421"/>
      <c r="AM541" s="421"/>
      <c r="AN541" s="419"/>
      <c r="AO541" s="419"/>
      <c r="AP541" s="421"/>
      <c r="AQ541" s="421"/>
      <c r="AR541" s="424">
        <f t="shared" si="217"/>
        <v>0</v>
      </c>
      <c r="AS541" s="422">
        <f t="shared" si="218"/>
        <v>0.54752851711026618</v>
      </c>
      <c r="AT541" s="425">
        <f t="shared" si="219"/>
        <v>0</v>
      </c>
      <c r="AU541" s="423">
        <f t="shared" si="220"/>
        <v>0</v>
      </c>
      <c r="AV541" s="419"/>
      <c r="AW541" s="421"/>
      <c r="AX541" s="419">
        <v>26</v>
      </c>
      <c r="AY541" s="419">
        <v>18</v>
      </c>
      <c r="AZ541" s="527">
        <v>26</v>
      </c>
      <c r="BA541" s="528">
        <v>23</v>
      </c>
      <c r="BB541" s="419"/>
      <c r="BC541" s="419"/>
      <c r="BD541" s="527">
        <v>51</v>
      </c>
      <c r="BE541" s="530">
        <v>4</v>
      </c>
      <c r="BF541" s="419"/>
      <c r="BG541" s="419"/>
      <c r="BH541" s="421"/>
      <c r="BI541" s="421"/>
      <c r="BJ541" s="419"/>
      <c r="BK541" s="419"/>
      <c r="BL541" s="421"/>
      <c r="BM541" s="421"/>
      <c r="BN541" s="419"/>
      <c r="BO541" s="419"/>
      <c r="BP541" s="421"/>
      <c r="BQ541" s="421"/>
      <c r="BR541" s="419"/>
      <c r="BS541" s="419"/>
      <c r="BT541" s="421"/>
      <c r="BU541" s="421"/>
      <c r="BV541" s="419"/>
      <c r="BW541" s="419"/>
      <c r="BX541" s="421"/>
      <c r="BY541" s="421"/>
      <c r="BZ541" s="419"/>
      <c r="CA541" s="419"/>
      <c r="CB541" s="421"/>
      <c r="CC541" s="421"/>
      <c r="CD541" s="419"/>
      <c r="CE541" s="419"/>
      <c r="CF541" s="421"/>
      <c r="CG541" s="421"/>
      <c r="CH541" s="419"/>
      <c r="CI541" s="419"/>
      <c r="CJ541" s="421"/>
      <c r="CK541" s="421"/>
      <c r="CL541" s="419"/>
      <c r="CM541" s="421"/>
      <c r="CN541" s="424">
        <f t="shared" si="221"/>
        <v>18</v>
      </c>
      <c r="CO541" s="424">
        <f t="shared" si="222"/>
        <v>1</v>
      </c>
      <c r="CP541" s="425">
        <f t="shared" si="223"/>
        <v>27</v>
      </c>
      <c r="CQ541" s="425">
        <f t="shared" si="224"/>
        <v>2</v>
      </c>
      <c r="CR541" s="419"/>
      <c r="CS541" s="419"/>
      <c r="CT541" s="421"/>
      <c r="CU541" s="421"/>
      <c r="CV541" s="419"/>
      <c r="CW541" s="419"/>
      <c r="CX541" s="421"/>
      <c r="CY541" s="421"/>
      <c r="CZ541" s="419"/>
      <c r="DA541" s="419"/>
      <c r="DB541" s="421"/>
      <c r="DC541" s="421"/>
      <c r="DD541" s="419"/>
      <c r="DE541" s="419"/>
      <c r="DF541" s="421"/>
      <c r="DG541" s="421"/>
      <c r="DH541" s="419"/>
      <c r="DI541" s="419"/>
      <c r="DJ541" s="421"/>
      <c r="DK541" s="421"/>
      <c r="DL541" s="419"/>
      <c r="DM541" s="419"/>
      <c r="DN541" s="421"/>
      <c r="DO541" s="421"/>
      <c r="DP541" s="419"/>
      <c r="DQ541" s="419"/>
      <c r="DR541" s="421"/>
      <c r="DS541" s="421"/>
      <c r="DT541" s="419"/>
      <c r="DU541" s="419"/>
      <c r="DV541" s="421"/>
      <c r="DW541" s="421"/>
      <c r="DX541" s="419"/>
      <c r="DY541" s="419"/>
      <c r="DZ541" s="421"/>
      <c r="EA541" s="421"/>
      <c r="EB541" s="419"/>
      <c r="EC541" s="419"/>
      <c r="ED541" s="421"/>
      <c r="EE541" s="421"/>
      <c r="EF541" s="419"/>
      <c r="EG541" s="421"/>
      <c r="EH541" s="424">
        <f t="shared" si="225"/>
        <v>0</v>
      </c>
      <c r="EI541" s="424">
        <f t="shared" si="226"/>
        <v>0</v>
      </c>
      <c r="EJ541" s="422">
        <f t="shared" si="227"/>
        <v>0</v>
      </c>
      <c r="EK541" s="425">
        <f t="shared" si="228"/>
        <v>0</v>
      </c>
      <c r="EL541" s="425">
        <f t="shared" si="229"/>
        <v>0</v>
      </c>
      <c r="EM541" s="423">
        <f t="shared" si="230"/>
        <v>0</v>
      </c>
      <c r="EN541" s="424">
        <f t="shared" si="231"/>
        <v>18</v>
      </c>
      <c r="EO541" s="425">
        <f t="shared" si="232"/>
        <v>27</v>
      </c>
      <c r="EP541" s="419"/>
      <c r="EQ541" s="421"/>
      <c r="ER541" s="419">
        <v>101</v>
      </c>
      <c r="ES541" s="527">
        <v>89</v>
      </c>
      <c r="ET541" s="419"/>
      <c r="EU541" s="421"/>
      <c r="EV541" s="419"/>
      <c r="EW541" s="421"/>
      <c r="EX541" s="419"/>
      <c r="EY541" s="421"/>
      <c r="EZ541" s="419"/>
      <c r="FA541" s="421"/>
      <c r="FB541" s="536"/>
      <c r="FC541" s="527"/>
      <c r="FD541" s="419"/>
      <c r="FE541" s="421"/>
      <c r="FF541" s="419"/>
      <c r="FG541" s="421"/>
      <c r="FH541" s="419"/>
      <c r="FI541" s="421"/>
      <c r="FJ541" s="424">
        <f t="shared" si="233"/>
        <v>101</v>
      </c>
      <c r="FK541" s="425">
        <f t="shared" si="234"/>
        <v>89</v>
      </c>
      <c r="FL541" s="419"/>
      <c r="FM541" s="421"/>
      <c r="FN541" s="424">
        <f t="shared" si="235"/>
        <v>263</v>
      </c>
      <c r="FO541" s="425">
        <f t="shared" si="236"/>
        <v>126</v>
      </c>
    </row>
    <row r="542" spans="1:171" customFormat="1" ht="15" customHeight="1">
      <c r="A542" s="17" t="s">
        <v>166</v>
      </c>
      <c r="B542" s="46" t="s">
        <v>1066</v>
      </c>
      <c r="C542" s="44"/>
      <c r="D542" s="44">
        <v>484905</v>
      </c>
      <c r="E542" s="125">
        <v>4</v>
      </c>
      <c r="F542" s="419"/>
      <c r="G542" s="532"/>
      <c r="H542" s="419"/>
      <c r="I542" s="421"/>
      <c r="J542" s="419"/>
      <c r="K542" s="421"/>
      <c r="L542" s="422">
        <f t="shared" si="215"/>
        <v>0</v>
      </c>
      <c r="M542" s="423">
        <f t="shared" si="216"/>
        <v>0</v>
      </c>
      <c r="N542" s="419">
        <v>608</v>
      </c>
      <c r="O542" s="525">
        <f>0</f>
        <v>0</v>
      </c>
      <c r="P542" s="525">
        <f>0</f>
        <v>0</v>
      </c>
      <c r="Q542" s="525">
        <f>0</f>
        <v>0</v>
      </c>
      <c r="R542" s="424">
        <f t="shared" si="213"/>
        <v>0</v>
      </c>
      <c r="S542" s="434"/>
      <c r="T542" s="526">
        <f>0</f>
        <v>0</v>
      </c>
      <c r="U542" s="526">
        <f>0</f>
        <v>0</v>
      </c>
      <c r="V542" s="526">
        <f>0</f>
        <v>0</v>
      </c>
      <c r="W542" s="425">
        <f t="shared" si="214"/>
        <v>0</v>
      </c>
      <c r="X542" s="419"/>
      <c r="Y542" s="419"/>
      <c r="Z542" s="421"/>
      <c r="AA542" s="421"/>
      <c r="AB542" s="419"/>
      <c r="AC542" s="419"/>
      <c r="AD542" s="421"/>
      <c r="AE542" s="421"/>
      <c r="AF542" s="419"/>
      <c r="AG542" s="419"/>
      <c r="AH542" s="421"/>
      <c r="AI542" s="421"/>
      <c r="AJ542" s="419"/>
      <c r="AK542" s="419"/>
      <c r="AL542" s="421"/>
      <c r="AM542" s="421"/>
      <c r="AN542" s="419"/>
      <c r="AO542" s="419"/>
      <c r="AP542" s="421"/>
      <c r="AQ542" s="421"/>
      <c r="AR542" s="424">
        <f t="shared" si="217"/>
        <v>0</v>
      </c>
      <c r="AS542" s="422">
        <f t="shared" si="218"/>
        <v>0.72380952380952379</v>
      </c>
      <c r="AT542" s="425">
        <f t="shared" si="219"/>
        <v>0</v>
      </c>
      <c r="AU542" s="423">
        <f t="shared" si="220"/>
        <v>0</v>
      </c>
      <c r="AV542" s="419"/>
      <c r="AW542" s="421"/>
      <c r="AX542" s="419">
        <v>13</v>
      </c>
      <c r="AY542" s="419">
        <v>39</v>
      </c>
      <c r="AZ542" s="527">
        <v>13</v>
      </c>
      <c r="BA542" s="529">
        <v>65</v>
      </c>
      <c r="BB542" s="419">
        <v>52</v>
      </c>
      <c r="BC542" s="419">
        <v>35</v>
      </c>
      <c r="BD542" s="527">
        <v>52</v>
      </c>
      <c r="BE542" s="528">
        <v>52</v>
      </c>
      <c r="BF542" s="419">
        <v>44</v>
      </c>
      <c r="BG542" s="419">
        <v>21</v>
      </c>
      <c r="BH542" s="527">
        <v>42</v>
      </c>
      <c r="BI542" s="527">
        <v>23</v>
      </c>
      <c r="BJ542" s="419">
        <v>42</v>
      </c>
      <c r="BK542" s="419">
        <v>17</v>
      </c>
      <c r="BL542" s="527">
        <v>44</v>
      </c>
      <c r="BM542" s="528">
        <v>22</v>
      </c>
      <c r="BN542" s="419">
        <v>43</v>
      </c>
      <c r="BO542" s="419">
        <v>7</v>
      </c>
      <c r="BP542" s="527">
        <v>43</v>
      </c>
      <c r="BQ542" s="529">
        <v>12</v>
      </c>
      <c r="BR542" s="419"/>
      <c r="BS542" s="419"/>
      <c r="BT542" s="421"/>
      <c r="BU542" s="421"/>
      <c r="BV542" s="419"/>
      <c r="BW542" s="419"/>
      <c r="BX542" s="421"/>
      <c r="BY542" s="421"/>
      <c r="BZ542" s="419"/>
      <c r="CA542" s="419"/>
      <c r="CB542" s="421"/>
      <c r="CC542" s="421"/>
      <c r="CD542" s="419"/>
      <c r="CE542" s="419"/>
      <c r="CF542" s="421"/>
      <c r="CG542" s="421"/>
      <c r="CH542" s="419"/>
      <c r="CI542" s="419"/>
      <c r="CJ542" s="421"/>
      <c r="CK542" s="421"/>
      <c r="CL542" s="419"/>
      <c r="CM542" s="421"/>
      <c r="CN542" s="424">
        <f t="shared" si="221"/>
        <v>119</v>
      </c>
      <c r="CO542" s="424">
        <f t="shared" si="222"/>
        <v>5</v>
      </c>
      <c r="CP542" s="425">
        <f t="shared" si="223"/>
        <v>174</v>
      </c>
      <c r="CQ542" s="425">
        <f t="shared" si="224"/>
        <v>5</v>
      </c>
      <c r="CR542" s="419"/>
      <c r="CS542" s="419"/>
      <c r="CT542" s="421"/>
      <c r="CU542" s="421"/>
      <c r="CV542" s="419"/>
      <c r="CW542" s="419"/>
      <c r="CX542" s="421"/>
      <c r="CY542" s="421"/>
      <c r="CZ542" s="419"/>
      <c r="DA542" s="419"/>
      <c r="DB542" s="421"/>
      <c r="DC542" s="421"/>
      <c r="DD542" s="419"/>
      <c r="DE542" s="419"/>
      <c r="DF542" s="421"/>
      <c r="DG542" s="421"/>
      <c r="DH542" s="419"/>
      <c r="DI542" s="419"/>
      <c r="DJ542" s="421"/>
      <c r="DK542" s="421"/>
      <c r="DL542" s="419"/>
      <c r="DM542" s="419"/>
      <c r="DN542" s="421"/>
      <c r="DO542" s="421"/>
      <c r="DP542" s="419"/>
      <c r="DQ542" s="419"/>
      <c r="DR542" s="421"/>
      <c r="DS542" s="421"/>
      <c r="DT542" s="419"/>
      <c r="DU542" s="419"/>
      <c r="DV542" s="421"/>
      <c r="DW542" s="421"/>
      <c r="DX542" s="419"/>
      <c r="DY542" s="419"/>
      <c r="DZ542" s="421"/>
      <c r="EA542" s="421"/>
      <c r="EB542" s="419"/>
      <c r="EC542" s="419"/>
      <c r="ED542" s="421"/>
      <c r="EE542" s="421"/>
      <c r="EF542" s="419"/>
      <c r="EG542" s="421"/>
      <c r="EH542" s="424">
        <f t="shared" si="225"/>
        <v>0</v>
      </c>
      <c r="EI542" s="424">
        <f t="shared" si="226"/>
        <v>0</v>
      </c>
      <c r="EJ542" s="422">
        <f t="shared" si="227"/>
        <v>0</v>
      </c>
      <c r="EK542" s="425">
        <f t="shared" si="228"/>
        <v>0</v>
      </c>
      <c r="EL542" s="425">
        <f t="shared" si="229"/>
        <v>0</v>
      </c>
      <c r="EM542" s="423">
        <f t="shared" si="230"/>
        <v>0</v>
      </c>
      <c r="EN542" s="424">
        <f t="shared" si="231"/>
        <v>119</v>
      </c>
      <c r="EO542" s="425">
        <f t="shared" si="232"/>
        <v>174</v>
      </c>
      <c r="EP542" s="419">
        <v>113</v>
      </c>
      <c r="EQ542" s="528">
        <v>88</v>
      </c>
      <c r="ER542" s="419"/>
      <c r="ES542" s="421"/>
      <c r="ET542" s="419"/>
      <c r="EU542" s="421"/>
      <c r="EV542" s="419"/>
      <c r="EW542" s="421"/>
      <c r="EX542" s="419"/>
      <c r="EY542" s="421"/>
      <c r="EZ542" s="419"/>
      <c r="FA542" s="421"/>
      <c r="FB542" s="419"/>
      <c r="FC542" s="421"/>
      <c r="FD542" s="419"/>
      <c r="FE542" s="421"/>
      <c r="FF542" s="419"/>
      <c r="FG542" s="421"/>
      <c r="FH542" s="419"/>
      <c r="FI542" s="421"/>
      <c r="FJ542" s="424">
        <f t="shared" si="233"/>
        <v>113</v>
      </c>
      <c r="FK542" s="425">
        <f t="shared" si="234"/>
        <v>88</v>
      </c>
      <c r="FL542" s="419"/>
      <c r="FM542" s="421"/>
      <c r="FN542" s="424">
        <f t="shared" si="235"/>
        <v>840</v>
      </c>
      <c r="FO542" s="425">
        <f t="shared" si="236"/>
        <v>262</v>
      </c>
    </row>
    <row r="543" spans="1:171" customFormat="1" ht="15" customHeight="1">
      <c r="A543" s="17" t="s">
        <v>166</v>
      </c>
      <c r="B543" s="46" t="s">
        <v>1067</v>
      </c>
      <c r="C543" s="16"/>
      <c r="D543" s="44">
        <v>228909</v>
      </c>
      <c r="E543" s="125">
        <v>15</v>
      </c>
      <c r="F543" s="419"/>
      <c r="G543" s="532"/>
      <c r="H543" s="419"/>
      <c r="I543" s="421"/>
      <c r="J543" s="419"/>
      <c r="K543" s="421"/>
      <c r="L543" s="422">
        <f t="shared" si="215"/>
        <v>0</v>
      </c>
      <c r="M543" s="423">
        <f t="shared" si="216"/>
        <v>0</v>
      </c>
      <c r="N543" s="419"/>
      <c r="O543" s="525">
        <f>0</f>
        <v>0</v>
      </c>
      <c r="P543" s="525">
        <f>0</f>
        <v>0</v>
      </c>
      <c r="Q543" s="525">
        <f>0</f>
        <v>0</v>
      </c>
      <c r="R543" s="424">
        <f t="shared" si="213"/>
        <v>0</v>
      </c>
      <c r="S543" s="421"/>
      <c r="T543" s="526">
        <f>0</f>
        <v>0</v>
      </c>
      <c r="U543" s="526">
        <f>0</f>
        <v>0</v>
      </c>
      <c r="V543" s="526">
        <f>0</f>
        <v>0</v>
      </c>
      <c r="W543" s="425">
        <f t="shared" si="214"/>
        <v>0</v>
      </c>
      <c r="X543" s="419"/>
      <c r="Y543" s="419"/>
      <c r="Z543" s="421"/>
      <c r="AA543" s="421"/>
      <c r="AB543" s="419"/>
      <c r="AC543" s="419"/>
      <c r="AD543" s="421"/>
      <c r="AE543" s="421"/>
      <c r="AF543" s="419"/>
      <c r="AG543" s="419"/>
      <c r="AH543" s="421"/>
      <c r="AI543" s="421"/>
      <c r="AJ543" s="419"/>
      <c r="AK543" s="419"/>
      <c r="AL543" s="421"/>
      <c r="AM543" s="421"/>
      <c r="AN543" s="419"/>
      <c r="AO543" s="419"/>
      <c r="AP543" s="421"/>
      <c r="AQ543" s="421"/>
      <c r="AR543" s="424">
        <f t="shared" si="217"/>
        <v>0</v>
      </c>
      <c r="AS543" s="422">
        <f t="shared" si="218"/>
        <v>0</v>
      </c>
      <c r="AT543" s="425">
        <f t="shared" si="219"/>
        <v>0</v>
      </c>
      <c r="AU543" s="423">
        <f t="shared" si="220"/>
        <v>0</v>
      </c>
      <c r="AV543" s="419"/>
      <c r="AW543" s="421"/>
      <c r="AX543" s="419">
        <v>26</v>
      </c>
      <c r="AY543" s="419">
        <v>208</v>
      </c>
      <c r="AZ543" s="527">
        <v>26</v>
      </c>
      <c r="BA543" s="527">
        <v>231</v>
      </c>
      <c r="BB543" s="419">
        <v>51</v>
      </c>
      <c r="BC543" s="419">
        <v>143</v>
      </c>
      <c r="BD543" s="527">
        <v>51</v>
      </c>
      <c r="BE543" s="527">
        <v>148</v>
      </c>
      <c r="BF543" s="419"/>
      <c r="BG543" s="419"/>
      <c r="BH543" s="421"/>
      <c r="BI543" s="421"/>
      <c r="BJ543" s="419"/>
      <c r="BK543" s="419"/>
      <c r="BL543" s="421"/>
      <c r="BM543" s="421"/>
      <c r="BN543" s="419"/>
      <c r="BO543" s="419"/>
      <c r="BP543" s="421"/>
      <c r="BQ543" s="421"/>
      <c r="BR543" s="419"/>
      <c r="BS543" s="419"/>
      <c r="BT543" s="421"/>
      <c r="BU543" s="421"/>
      <c r="BV543" s="419"/>
      <c r="BW543" s="419"/>
      <c r="BX543" s="421"/>
      <c r="BY543" s="421"/>
      <c r="BZ543" s="419"/>
      <c r="CA543" s="419"/>
      <c r="CB543" s="421"/>
      <c r="CC543" s="421"/>
      <c r="CD543" s="419"/>
      <c r="CE543" s="419"/>
      <c r="CF543" s="421"/>
      <c r="CG543" s="421"/>
      <c r="CH543" s="419"/>
      <c r="CI543" s="419"/>
      <c r="CJ543" s="421"/>
      <c r="CK543" s="421"/>
      <c r="CL543" s="419"/>
      <c r="CM543" s="421"/>
      <c r="CN543" s="424">
        <f t="shared" si="221"/>
        <v>351</v>
      </c>
      <c r="CO543" s="424">
        <f t="shared" si="222"/>
        <v>2</v>
      </c>
      <c r="CP543" s="425">
        <f t="shared" si="223"/>
        <v>379</v>
      </c>
      <c r="CQ543" s="425">
        <f t="shared" si="224"/>
        <v>2</v>
      </c>
      <c r="CR543" s="419">
        <v>26</v>
      </c>
      <c r="CS543" s="419">
        <v>11</v>
      </c>
      <c r="CT543" s="527">
        <v>26</v>
      </c>
      <c r="CU543" s="527">
        <v>13</v>
      </c>
      <c r="CV543" s="419">
        <v>51</v>
      </c>
      <c r="CW543" s="419">
        <v>5</v>
      </c>
      <c r="CX543" s="527">
        <v>51</v>
      </c>
      <c r="CY543" s="527">
        <v>6</v>
      </c>
      <c r="CZ543" s="419"/>
      <c r="DA543" s="419"/>
      <c r="DB543" s="421"/>
      <c r="DC543" s="421"/>
      <c r="DD543" s="419"/>
      <c r="DE543" s="419"/>
      <c r="DF543" s="421"/>
      <c r="DG543" s="421"/>
      <c r="DH543" s="419"/>
      <c r="DI543" s="419"/>
      <c r="DJ543" s="421"/>
      <c r="DK543" s="421"/>
      <c r="DL543" s="419"/>
      <c r="DM543" s="419"/>
      <c r="DN543" s="421"/>
      <c r="DO543" s="421"/>
      <c r="DP543" s="419"/>
      <c r="DQ543" s="419"/>
      <c r="DR543" s="421"/>
      <c r="DS543" s="421"/>
      <c r="DT543" s="419"/>
      <c r="DU543" s="419"/>
      <c r="DV543" s="421"/>
      <c r="DW543" s="421"/>
      <c r="DX543" s="419"/>
      <c r="DY543" s="419"/>
      <c r="DZ543" s="421"/>
      <c r="EA543" s="421"/>
      <c r="EB543" s="419"/>
      <c r="EC543" s="419"/>
      <c r="ED543" s="421"/>
      <c r="EE543" s="421"/>
      <c r="EF543" s="419"/>
      <c r="EG543" s="421"/>
      <c r="EH543" s="424">
        <f t="shared" si="225"/>
        <v>16</v>
      </c>
      <c r="EI543" s="424">
        <f t="shared" si="226"/>
        <v>2</v>
      </c>
      <c r="EJ543" s="422">
        <f t="shared" si="227"/>
        <v>0.6875</v>
      </c>
      <c r="EK543" s="425">
        <f t="shared" si="228"/>
        <v>19</v>
      </c>
      <c r="EL543" s="425">
        <f t="shared" si="229"/>
        <v>2</v>
      </c>
      <c r="EM543" s="423">
        <f t="shared" si="230"/>
        <v>0.68421052631578949</v>
      </c>
      <c r="EN543" s="424">
        <f t="shared" si="231"/>
        <v>367</v>
      </c>
      <c r="EO543" s="425">
        <f t="shared" si="232"/>
        <v>398</v>
      </c>
      <c r="EP543" s="419"/>
      <c r="EQ543" s="421"/>
      <c r="ER543" s="419"/>
      <c r="ES543" s="421"/>
      <c r="ET543" s="419"/>
      <c r="EU543" s="421"/>
      <c r="EV543" s="419">
        <v>110</v>
      </c>
      <c r="EW543" s="527">
        <v>95</v>
      </c>
      <c r="EX543" s="419"/>
      <c r="EY543" s="421"/>
      <c r="EZ543" s="419"/>
      <c r="FA543" s="421"/>
      <c r="FB543" s="419">
        <v>226</v>
      </c>
      <c r="FC543" s="421">
        <v>206</v>
      </c>
      <c r="FD543" s="419"/>
      <c r="FE543" s="421"/>
      <c r="FF543" s="419"/>
      <c r="FG543" s="421"/>
      <c r="FH543" s="419">
        <v>46</v>
      </c>
      <c r="FI543" s="421">
        <v>45</v>
      </c>
      <c r="FJ543" s="424">
        <f t="shared" si="233"/>
        <v>382</v>
      </c>
      <c r="FK543" s="425">
        <f t="shared" si="234"/>
        <v>346</v>
      </c>
      <c r="FL543" s="419"/>
      <c r="FM543" s="421"/>
      <c r="FN543" s="424">
        <f t="shared" si="235"/>
        <v>749</v>
      </c>
      <c r="FO543" s="425">
        <f t="shared" si="236"/>
        <v>744</v>
      </c>
    </row>
    <row r="544" spans="1:171" customFormat="1" ht="15" customHeight="1">
      <c r="A544" s="17" t="s">
        <v>166</v>
      </c>
      <c r="B544" s="46" t="s">
        <v>1068</v>
      </c>
      <c r="C544" s="44"/>
      <c r="D544" s="44">
        <v>229300</v>
      </c>
      <c r="E544" s="125">
        <v>15</v>
      </c>
      <c r="F544" s="419">
        <v>35</v>
      </c>
      <c r="G544" s="532">
        <v>31</v>
      </c>
      <c r="H544" s="419"/>
      <c r="I544" s="421"/>
      <c r="J544" s="419">
        <v>2</v>
      </c>
      <c r="K544" s="434"/>
      <c r="L544" s="422">
        <f t="shared" si="215"/>
        <v>4.0241448692152921E-3</v>
      </c>
      <c r="M544" s="423">
        <f t="shared" si="216"/>
        <v>0</v>
      </c>
      <c r="N544" s="419">
        <v>497</v>
      </c>
      <c r="O544" s="525">
        <f>0</f>
        <v>0</v>
      </c>
      <c r="P544" s="525">
        <f>0</f>
        <v>0</v>
      </c>
      <c r="Q544" s="525">
        <f>0</f>
        <v>0</v>
      </c>
      <c r="R544" s="424">
        <f t="shared" si="213"/>
        <v>0</v>
      </c>
      <c r="S544" s="434"/>
      <c r="T544" s="526">
        <f>0</f>
        <v>0</v>
      </c>
      <c r="U544" s="526">
        <f>0</f>
        <v>0</v>
      </c>
      <c r="V544" s="526">
        <f>0</f>
        <v>0</v>
      </c>
      <c r="W544" s="425">
        <f t="shared" si="214"/>
        <v>0</v>
      </c>
      <c r="X544" s="419"/>
      <c r="Y544" s="419"/>
      <c r="Z544" s="421"/>
      <c r="AA544" s="421"/>
      <c r="AB544" s="419"/>
      <c r="AC544" s="419"/>
      <c r="AD544" s="421"/>
      <c r="AE544" s="421"/>
      <c r="AF544" s="419"/>
      <c r="AG544" s="419"/>
      <c r="AH544" s="421"/>
      <c r="AI544" s="421"/>
      <c r="AJ544" s="419"/>
      <c r="AK544" s="419"/>
      <c r="AL544" s="421"/>
      <c r="AM544" s="421"/>
      <c r="AN544" s="419"/>
      <c r="AO544" s="419"/>
      <c r="AP544" s="421"/>
      <c r="AQ544" s="421"/>
      <c r="AR544" s="424">
        <f t="shared" si="217"/>
        <v>0</v>
      </c>
      <c r="AS544" s="422">
        <f t="shared" si="218"/>
        <v>0.28302961275626426</v>
      </c>
      <c r="AT544" s="425">
        <f t="shared" si="219"/>
        <v>0</v>
      </c>
      <c r="AU544" s="423">
        <f t="shared" si="220"/>
        <v>0</v>
      </c>
      <c r="AV544" s="419"/>
      <c r="AW544" s="421"/>
      <c r="AX544" s="419">
        <v>51</v>
      </c>
      <c r="AY544" s="419">
        <v>588</v>
      </c>
      <c r="AZ544" s="527">
        <v>51</v>
      </c>
      <c r="BA544" s="527">
        <v>584</v>
      </c>
      <c r="BB544" s="419">
        <v>26</v>
      </c>
      <c r="BC544" s="419">
        <v>110</v>
      </c>
      <c r="BD544" s="527">
        <v>26</v>
      </c>
      <c r="BE544" s="528">
        <v>133</v>
      </c>
      <c r="BF544" s="419">
        <v>14</v>
      </c>
      <c r="BG544" s="419">
        <v>2</v>
      </c>
      <c r="BH544" s="421"/>
      <c r="BI544" s="434"/>
      <c r="BJ544" s="419"/>
      <c r="BK544" s="419"/>
      <c r="BL544" s="421"/>
      <c r="BM544" s="421"/>
      <c r="BN544" s="419"/>
      <c r="BO544" s="419"/>
      <c r="BP544" s="421"/>
      <c r="BQ544" s="421"/>
      <c r="BR544" s="419"/>
      <c r="BS544" s="419"/>
      <c r="BT544" s="421"/>
      <c r="BU544" s="421"/>
      <c r="BV544" s="419"/>
      <c r="BW544" s="419"/>
      <c r="BX544" s="421"/>
      <c r="BY544" s="421"/>
      <c r="BZ544" s="419"/>
      <c r="CA544" s="419"/>
      <c r="CB544" s="421"/>
      <c r="CC544" s="421"/>
      <c r="CD544" s="419"/>
      <c r="CE544" s="419"/>
      <c r="CF544" s="421"/>
      <c r="CG544" s="421"/>
      <c r="CH544" s="419"/>
      <c r="CI544" s="419"/>
      <c r="CJ544" s="421"/>
      <c r="CK544" s="421"/>
      <c r="CL544" s="419"/>
      <c r="CM544" s="421"/>
      <c r="CN544" s="424">
        <f t="shared" si="221"/>
        <v>700</v>
      </c>
      <c r="CO544" s="424">
        <f t="shared" si="222"/>
        <v>3</v>
      </c>
      <c r="CP544" s="425">
        <f t="shared" si="223"/>
        <v>717</v>
      </c>
      <c r="CQ544" s="425">
        <f t="shared" si="224"/>
        <v>2</v>
      </c>
      <c r="CR544" s="419">
        <v>51</v>
      </c>
      <c r="CS544" s="419">
        <v>90</v>
      </c>
      <c r="CT544" s="527">
        <v>51</v>
      </c>
      <c r="CU544" s="527">
        <v>83</v>
      </c>
      <c r="CV544" s="419">
        <v>26</v>
      </c>
      <c r="CW544" s="419">
        <v>64</v>
      </c>
      <c r="CX544" s="527">
        <v>26</v>
      </c>
      <c r="CY544" s="527">
        <v>60</v>
      </c>
      <c r="CZ544" s="419">
        <v>44</v>
      </c>
      <c r="DA544" s="419">
        <v>15</v>
      </c>
      <c r="DB544" s="527">
        <v>44</v>
      </c>
      <c r="DC544" s="528">
        <v>19</v>
      </c>
      <c r="DD544" s="419">
        <v>14</v>
      </c>
      <c r="DE544" s="419">
        <v>7</v>
      </c>
      <c r="DF544" s="527">
        <v>30</v>
      </c>
      <c r="DG544" s="527">
        <v>8</v>
      </c>
      <c r="DH544" s="419">
        <v>30</v>
      </c>
      <c r="DI544" s="419">
        <v>5</v>
      </c>
      <c r="DJ544" s="527">
        <v>14</v>
      </c>
      <c r="DK544" s="528">
        <v>7</v>
      </c>
      <c r="DL544" s="419">
        <v>3</v>
      </c>
      <c r="DM544" s="419">
        <v>3</v>
      </c>
      <c r="DN544" s="527">
        <v>3</v>
      </c>
      <c r="DO544" s="527">
        <v>3</v>
      </c>
      <c r="DP544" s="419"/>
      <c r="DQ544" s="419"/>
      <c r="DR544" s="421"/>
      <c r="DS544" s="421"/>
      <c r="DT544" s="419"/>
      <c r="DU544" s="419"/>
      <c r="DV544" s="421"/>
      <c r="DW544" s="421"/>
      <c r="DX544" s="419"/>
      <c r="DY544" s="419"/>
      <c r="DZ544" s="421"/>
      <c r="EA544" s="421"/>
      <c r="EB544" s="419"/>
      <c r="EC544" s="419"/>
      <c r="ED544" s="421"/>
      <c r="EE544" s="421"/>
      <c r="EF544" s="419"/>
      <c r="EG544" s="421"/>
      <c r="EH544" s="424">
        <f t="shared" si="225"/>
        <v>184</v>
      </c>
      <c r="EI544" s="424">
        <f t="shared" si="226"/>
        <v>6</v>
      </c>
      <c r="EJ544" s="422">
        <f t="shared" si="227"/>
        <v>0.4891304347826087</v>
      </c>
      <c r="EK544" s="425">
        <f t="shared" si="228"/>
        <v>180</v>
      </c>
      <c r="EL544" s="425">
        <f t="shared" si="229"/>
        <v>6</v>
      </c>
      <c r="EM544" s="423">
        <f t="shared" si="230"/>
        <v>0.46111111111111114</v>
      </c>
      <c r="EN544" s="424">
        <f t="shared" si="231"/>
        <v>884</v>
      </c>
      <c r="EO544" s="425">
        <f t="shared" si="232"/>
        <v>897</v>
      </c>
      <c r="EP544" s="419"/>
      <c r="EQ544" s="421"/>
      <c r="ER544" s="419">
        <v>243</v>
      </c>
      <c r="ES544" s="527">
        <v>242</v>
      </c>
      <c r="ET544" s="419">
        <v>95</v>
      </c>
      <c r="EU544" s="527">
        <v>103</v>
      </c>
      <c r="EV544" s="419"/>
      <c r="EW544" s="421"/>
      <c r="EX544" s="419"/>
      <c r="EY544" s="421"/>
      <c r="EZ544" s="419"/>
      <c r="FA544" s="421"/>
      <c r="FB544" s="536"/>
      <c r="FC544" s="527"/>
      <c r="FD544" s="419"/>
      <c r="FE544" s="421"/>
      <c r="FF544" s="419"/>
      <c r="FG544" s="421"/>
      <c r="FH544" s="419"/>
      <c r="FI544" s="421"/>
      <c r="FJ544" s="424">
        <f t="shared" si="233"/>
        <v>338</v>
      </c>
      <c r="FK544" s="425">
        <f t="shared" si="234"/>
        <v>345</v>
      </c>
      <c r="FL544" s="419"/>
      <c r="FM544" s="421"/>
      <c r="FN544" s="424">
        <f t="shared" si="235"/>
        <v>1756</v>
      </c>
      <c r="FO544" s="425">
        <f t="shared" si="236"/>
        <v>1273</v>
      </c>
    </row>
    <row r="545" spans="1:171" customFormat="1" ht="15" customHeight="1">
      <c r="A545" s="17" t="s">
        <v>166</v>
      </c>
      <c r="B545" s="46" t="s">
        <v>1069</v>
      </c>
      <c r="C545" s="44"/>
      <c r="D545" s="2">
        <v>228644</v>
      </c>
      <c r="E545" s="125">
        <v>15</v>
      </c>
      <c r="F545" s="419">
        <v>45</v>
      </c>
      <c r="G545" s="532">
        <v>47</v>
      </c>
      <c r="H545" s="419"/>
      <c r="I545" s="421"/>
      <c r="J545" s="419">
        <v>248</v>
      </c>
      <c r="K545" s="531">
        <v>158</v>
      </c>
      <c r="L545" s="422">
        <f t="shared" si="215"/>
        <v>0.68698060941828254</v>
      </c>
      <c r="M545" s="423">
        <f t="shared" si="216"/>
        <v>0</v>
      </c>
      <c r="N545" s="419">
        <v>361</v>
      </c>
      <c r="O545" s="525">
        <f>0</f>
        <v>0</v>
      </c>
      <c r="P545" s="525">
        <f>0</f>
        <v>0</v>
      </c>
      <c r="Q545" s="525">
        <f>0</f>
        <v>0</v>
      </c>
      <c r="R545" s="424">
        <f t="shared" si="213"/>
        <v>0</v>
      </c>
      <c r="S545" s="434"/>
      <c r="T545" s="526">
        <f>0</f>
        <v>0</v>
      </c>
      <c r="U545" s="526">
        <f>0</f>
        <v>0</v>
      </c>
      <c r="V545" s="526">
        <f>0</f>
        <v>0</v>
      </c>
      <c r="W545" s="425">
        <f t="shared" si="214"/>
        <v>0</v>
      </c>
      <c r="X545" s="419"/>
      <c r="Y545" s="419"/>
      <c r="Z545" s="421"/>
      <c r="AA545" s="421"/>
      <c r="AB545" s="419"/>
      <c r="AC545" s="419"/>
      <c r="AD545" s="421"/>
      <c r="AE545" s="421"/>
      <c r="AF545" s="419"/>
      <c r="AG545" s="419"/>
      <c r="AH545" s="421"/>
      <c r="AI545" s="421"/>
      <c r="AJ545" s="419"/>
      <c r="AK545" s="419"/>
      <c r="AL545" s="421"/>
      <c r="AM545" s="421"/>
      <c r="AN545" s="419"/>
      <c r="AO545" s="419"/>
      <c r="AP545" s="421"/>
      <c r="AQ545" s="421"/>
      <c r="AR545" s="424">
        <f t="shared" si="217"/>
        <v>0</v>
      </c>
      <c r="AS545" s="422">
        <f t="shared" si="218"/>
        <v>0.27389984825493169</v>
      </c>
      <c r="AT545" s="425">
        <f t="shared" si="219"/>
        <v>0</v>
      </c>
      <c r="AU545" s="423">
        <f t="shared" si="220"/>
        <v>0</v>
      </c>
      <c r="AV545" s="419"/>
      <c r="AW545" s="421"/>
      <c r="AX545" s="419">
        <v>51</v>
      </c>
      <c r="AY545" s="419">
        <v>236</v>
      </c>
      <c r="AZ545" s="527">
        <v>51</v>
      </c>
      <c r="BA545" s="527">
        <v>235</v>
      </c>
      <c r="BB545" s="419">
        <v>26</v>
      </c>
      <c r="BC545" s="419">
        <v>18</v>
      </c>
      <c r="BD545" s="527">
        <v>26</v>
      </c>
      <c r="BE545" s="527">
        <v>19</v>
      </c>
      <c r="BF545" s="419">
        <v>13</v>
      </c>
      <c r="BG545" s="419">
        <v>15</v>
      </c>
      <c r="BH545" s="527">
        <v>13</v>
      </c>
      <c r="BI545" s="528">
        <v>9</v>
      </c>
      <c r="BJ545" s="419">
        <v>14</v>
      </c>
      <c r="BK545" s="419">
        <v>3</v>
      </c>
      <c r="BL545" s="421"/>
      <c r="BM545" s="434"/>
      <c r="BN545" s="419"/>
      <c r="BO545" s="419"/>
      <c r="BP545" s="421"/>
      <c r="BQ545" s="421"/>
      <c r="BR545" s="419"/>
      <c r="BS545" s="419"/>
      <c r="BT545" s="421"/>
      <c r="BU545" s="421"/>
      <c r="BV545" s="419"/>
      <c r="BW545" s="419"/>
      <c r="BX545" s="421"/>
      <c r="BY545" s="421"/>
      <c r="BZ545" s="419"/>
      <c r="CA545" s="419"/>
      <c r="CB545" s="421"/>
      <c r="CC545" s="421"/>
      <c r="CD545" s="419"/>
      <c r="CE545" s="419"/>
      <c r="CF545" s="421"/>
      <c r="CG545" s="421"/>
      <c r="CH545" s="419"/>
      <c r="CI545" s="419"/>
      <c r="CJ545" s="421"/>
      <c r="CK545" s="421"/>
      <c r="CL545" s="419"/>
      <c r="CM545" s="421"/>
      <c r="CN545" s="424">
        <f t="shared" si="221"/>
        <v>272</v>
      </c>
      <c r="CO545" s="424">
        <f t="shared" si="222"/>
        <v>4</v>
      </c>
      <c r="CP545" s="425">
        <f t="shared" si="223"/>
        <v>263</v>
      </c>
      <c r="CQ545" s="425">
        <f t="shared" si="224"/>
        <v>3</v>
      </c>
      <c r="CR545" s="419">
        <v>26</v>
      </c>
      <c r="CS545" s="419">
        <v>34</v>
      </c>
      <c r="CT545" s="527">
        <v>26</v>
      </c>
      <c r="CU545" s="528">
        <v>26</v>
      </c>
      <c r="CV545" s="419">
        <v>51</v>
      </c>
      <c r="CW545" s="419">
        <v>11</v>
      </c>
      <c r="CX545" s="527">
        <v>51</v>
      </c>
      <c r="CY545" s="527">
        <v>13</v>
      </c>
      <c r="CZ545" s="419"/>
      <c r="DA545" s="419"/>
      <c r="DB545" s="527">
        <v>14</v>
      </c>
      <c r="DC545" s="530">
        <v>2</v>
      </c>
      <c r="DD545" s="419"/>
      <c r="DE545" s="419"/>
      <c r="DF545" s="421"/>
      <c r="DG545" s="421"/>
      <c r="DH545" s="419"/>
      <c r="DI545" s="419"/>
      <c r="DJ545" s="421"/>
      <c r="DK545" s="421"/>
      <c r="DL545" s="419"/>
      <c r="DM545" s="419"/>
      <c r="DN545" s="421"/>
      <c r="DO545" s="421"/>
      <c r="DP545" s="419"/>
      <c r="DQ545" s="419"/>
      <c r="DR545" s="421"/>
      <c r="DS545" s="421"/>
      <c r="DT545" s="419"/>
      <c r="DU545" s="419"/>
      <c r="DV545" s="421"/>
      <c r="DW545" s="421"/>
      <c r="DX545" s="419"/>
      <c r="DY545" s="419"/>
      <c r="DZ545" s="421"/>
      <c r="EA545" s="421"/>
      <c r="EB545" s="419"/>
      <c r="EC545" s="419"/>
      <c r="ED545" s="421"/>
      <c r="EE545" s="421"/>
      <c r="EF545" s="419"/>
      <c r="EG545" s="421"/>
      <c r="EH545" s="424">
        <f t="shared" si="225"/>
        <v>45</v>
      </c>
      <c r="EI545" s="424">
        <f t="shared" si="226"/>
        <v>2</v>
      </c>
      <c r="EJ545" s="422">
        <f t="shared" si="227"/>
        <v>0.75555555555555554</v>
      </c>
      <c r="EK545" s="425">
        <f t="shared" si="228"/>
        <v>41</v>
      </c>
      <c r="EL545" s="425">
        <f t="shared" si="229"/>
        <v>3</v>
      </c>
      <c r="EM545" s="423">
        <f t="shared" si="230"/>
        <v>0.63414634146341464</v>
      </c>
      <c r="EN545" s="424">
        <f t="shared" si="231"/>
        <v>317</v>
      </c>
      <c r="EO545" s="425">
        <f t="shared" si="232"/>
        <v>304</v>
      </c>
      <c r="EP545" s="419"/>
      <c r="EQ545" s="421"/>
      <c r="ER545" s="419">
        <v>210</v>
      </c>
      <c r="ES545" s="527">
        <v>200</v>
      </c>
      <c r="ET545" s="419">
        <v>100</v>
      </c>
      <c r="EU545" s="527">
        <v>109</v>
      </c>
      <c r="EV545" s="419"/>
      <c r="EW545" s="421"/>
      <c r="EX545" s="419"/>
      <c r="EY545" s="421"/>
      <c r="EZ545" s="419"/>
      <c r="FA545" s="421"/>
      <c r="FB545" s="536"/>
      <c r="FC545" s="527"/>
      <c r="FD545" s="419"/>
      <c r="FE545" s="421"/>
      <c r="FF545" s="419"/>
      <c r="FG545" s="421"/>
      <c r="FH545" s="419">
        <v>37</v>
      </c>
      <c r="FI545" s="421">
        <v>43</v>
      </c>
      <c r="FJ545" s="424">
        <f t="shared" si="233"/>
        <v>347</v>
      </c>
      <c r="FK545" s="425">
        <f t="shared" si="234"/>
        <v>352</v>
      </c>
      <c r="FL545" s="419"/>
      <c r="FM545" s="421"/>
      <c r="FN545" s="424">
        <f t="shared" si="235"/>
        <v>1318</v>
      </c>
      <c r="FO545" s="425">
        <f t="shared" si="236"/>
        <v>861</v>
      </c>
    </row>
    <row r="546" spans="1:171" customFormat="1" ht="15" customHeight="1">
      <c r="A546" s="17" t="s">
        <v>166</v>
      </c>
      <c r="B546" s="46" t="s">
        <v>1070</v>
      </c>
      <c r="C546" s="44"/>
      <c r="D546" s="44">
        <v>416801</v>
      </c>
      <c r="E546" s="125">
        <v>15</v>
      </c>
      <c r="F546" s="419"/>
      <c r="G546" s="532"/>
      <c r="H546" s="419"/>
      <c r="I546" s="421"/>
      <c r="J546" s="419"/>
      <c r="K546" s="421"/>
      <c r="L546" s="422">
        <f t="shared" si="215"/>
        <v>0</v>
      </c>
      <c r="M546" s="423">
        <f t="shared" si="216"/>
        <v>0</v>
      </c>
      <c r="N546" s="419">
        <v>159</v>
      </c>
      <c r="O546" s="525">
        <f>0</f>
        <v>0</v>
      </c>
      <c r="P546" s="525">
        <f>0</f>
        <v>0</v>
      </c>
      <c r="Q546" s="525">
        <f>0</f>
        <v>0</v>
      </c>
      <c r="R546" s="424">
        <f t="shared" si="213"/>
        <v>0</v>
      </c>
      <c r="S546" s="434"/>
      <c r="T546" s="526">
        <f>0</f>
        <v>0</v>
      </c>
      <c r="U546" s="526">
        <f>0</f>
        <v>0</v>
      </c>
      <c r="V546" s="526">
        <f>0</f>
        <v>0</v>
      </c>
      <c r="W546" s="425">
        <f t="shared" si="214"/>
        <v>0</v>
      </c>
      <c r="X546" s="419"/>
      <c r="Y546" s="419"/>
      <c r="Z546" s="421"/>
      <c r="AA546" s="421"/>
      <c r="AB546" s="419"/>
      <c r="AC546" s="419"/>
      <c r="AD546" s="421"/>
      <c r="AE546" s="421"/>
      <c r="AF546" s="419"/>
      <c r="AG546" s="419"/>
      <c r="AH546" s="421"/>
      <c r="AI546" s="421"/>
      <c r="AJ546" s="419"/>
      <c r="AK546" s="419"/>
      <c r="AL546" s="421"/>
      <c r="AM546" s="421"/>
      <c r="AN546" s="419"/>
      <c r="AO546" s="419"/>
      <c r="AP546" s="421"/>
      <c r="AQ546" s="421"/>
      <c r="AR546" s="424">
        <f t="shared" si="217"/>
        <v>0</v>
      </c>
      <c r="AS546" s="422">
        <f t="shared" si="218"/>
        <v>0.91907514450867056</v>
      </c>
      <c r="AT546" s="425">
        <f t="shared" si="219"/>
        <v>0</v>
      </c>
      <c r="AU546" s="423">
        <f t="shared" si="220"/>
        <v>0</v>
      </c>
      <c r="AV546" s="419"/>
      <c r="AW546" s="421"/>
      <c r="AX546" s="419">
        <v>51</v>
      </c>
      <c r="AY546" s="419">
        <v>14</v>
      </c>
      <c r="AZ546" s="527">
        <v>51</v>
      </c>
      <c r="BA546" s="527">
        <v>15</v>
      </c>
      <c r="BB546" s="419"/>
      <c r="BC546" s="419"/>
      <c r="BD546" s="529">
        <v>0</v>
      </c>
      <c r="BE546" s="527">
        <v>0</v>
      </c>
      <c r="BF546" s="419"/>
      <c r="BG546" s="419"/>
      <c r="BH546" s="421"/>
      <c r="BI546" s="421"/>
      <c r="BJ546" s="419"/>
      <c r="BK546" s="419"/>
      <c r="BL546" s="421"/>
      <c r="BM546" s="421"/>
      <c r="BN546" s="419"/>
      <c r="BO546" s="419"/>
      <c r="BP546" s="421"/>
      <c r="BQ546" s="421"/>
      <c r="BR546" s="419"/>
      <c r="BS546" s="419"/>
      <c r="BT546" s="421"/>
      <c r="BU546" s="421"/>
      <c r="BV546" s="419"/>
      <c r="BW546" s="419"/>
      <c r="BX546" s="421"/>
      <c r="BY546" s="421"/>
      <c r="BZ546" s="419"/>
      <c r="CA546" s="419"/>
      <c r="CB546" s="421"/>
      <c r="CC546" s="421"/>
      <c r="CD546" s="419"/>
      <c r="CE546" s="419"/>
      <c r="CF546" s="421"/>
      <c r="CG546" s="421"/>
      <c r="CH546" s="419"/>
      <c r="CI546" s="419"/>
      <c r="CJ546" s="421"/>
      <c r="CK546" s="421"/>
      <c r="CL546" s="419"/>
      <c r="CM546" s="421"/>
      <c r="CN546" s="424">
        <f t="shared" si="221"/>
        <v>14</v>
      </c>
      <c r="CO546" s="424">
        <f t="shared" si="222"/>
        <v>1</v>
      </c>
      <c r="CP546" s="425">
        <f t="shared" si="223"/>
        <v>15</v>
      </c>
      <c r="CQ546" s="425">
        <f t="shared" si="224"/>
        <v>2</v>
      </c>
      <c r="CR546" s="419"/>
      <c r="CS546" s="419"/>
      <c r="CT546" s="421"/>
      <c r="CU546" s="421"/>
      <c r="CV546" s="419"/>
      <c r="CW546" s="419"/>
      <c r="CX546" s="421"/>
      <c r="CY546" s="421"/>
      <c r="CZ546" s="419"/>
      <c r="DA546" s="419"/>
      <c r="DB546" s="421"/>
      <c r="DC546" s="421"/>
      <c r="DD546" s="419"/>
      <c r="DE546" s="419"/>
      <c r="DF546" s="421"/>
      <c r="DG546" s="421"/>
      <c r="DH546" s="419"/>
      <c r="DI546" s="419"/>
      <c r="DJ546" s="421"/>
      <c r="DK546" s="421"/>
      <c r="DL546" s="419"/>
      <c r="DM546" s="419"/>
      <c r="DN546" s="421"/>
      <c r="DO546" s="421"/>
      <c r="DP546" s="419"/>
      <c r="DQ546" s="419"/>
      <c r="DR546" s="421"/>
      <c r="DS546" s="421"/>
      <c r="DT546" s="419"/>
      <c r="DU546" s="419"/>
      <c r="DV546" s="421"/>
      <c r="DW546" s="421"/>
      <c r="DX546" s="419"/>
      <c r="DY546" s="419"/>
      <c r="DZ546" s="421"/>
      <c r="EA546" s="421"/>
      <c r="EB546" s="419"/>
      <c r="EC546" s="419"/>
      <c r="ED546" s="421"/>
      <c r="EE546" s="421"/>
      <c r="EF546" s="419"/>
      <c r="EG546" s="421"/>
      <c r="EH546" s="424">
        <f t="shared" si="225"/>
        <v>0</v>
      </c>
      <c r="EI546" s="424">
        <f t="shared" si="226"/>
        <v>0</v>
      </c>
      <c r="EJ546" s="422">
        <f t="shared" si="227"/>
        <v>0</v>
      </c>
      <c r="EK546" s="425">
        <f t="shared" si="228"/>
        <v>0</v>
      </c>
      <c r="EL546" s="425">
        <f t="shared" si="229"/>
        <v>0</v>
      </c>
      <c r="EM546" s="423">
        <f t="shared" si="230"/>
        <v>0</v>
      </c>
      <c r="EN546" s="424">
        <f t="shared" si="231"/>
        <v>14</v>
      </c>
      <c r="EO546" s="425">
        <f t="shared" si="232"/>
        <v>15</v>
      </c>
      <c r="EP546" s="419"/>
      <c r="EQ546" s="421"/>
      <c r="ER546" s="419"/>
      <c r="ES546" s="421"/>
      <c r="ET546" s="419"/>
      <c r="EU546" s="421"/>
      <c r="EV546" s="419"/>
      <c r="EW546" s="421"/>
      <c r="EX546" s="419"/>
      <c r="EY546" s="421"/>
      <c r="EZ546" s="419"/>
      <c r="FA546" s="421"/>
      <c r="FB546" s="419"/>
      <c r="FC546" s="421"/>
      <c r="FD546" s="419"/>
      <c r="FE546" s="421"/>
      <c r="FF546" s="419"/>
      <c r="FG546" s="421"/>
      <c r="FH546" s="419"/>
      <c r="FI546" s="421"/>
      <c r="FJ546" s="424">
        <f t="shared" si="233"/>
        <v>0</v>
      </c>
      <c r="FK546" s="425">
        <f t="shared" si="234"/>
        <v>0</v>
      </c>
      <c r="FL546" s="419"/>
      <c r="FM546" s="421"/>
      <c r="FN546" s="424">
        <f t="shared" si="235"/>
        <v>173</v>
      </c>
      <c r="FO546" s="425">
        <f t="shared" si="236"/>
        <v>15</v>
      </c>
    </row>
    <row r="547" spans="1:171" customFormat="1" ht="15" customHeight="1">
      <c r="A547" s="17" t="s">
        <v>166</v>
      </c>
      <c r="B547" s="46" t="s">
        <v>1071</v>
      </c>
      <c r="C547" s="44"/>
      <c r="D547" s="44">
        <v>228653</v>
      </c>
      <c r="E547" s="125">
        <v>15</v>
      </c>
      <c r="F547" s="419">
        <v>26</v>
      </c>
      <c r="G547" s="531">
        <v>20</v>
      </c>
      <c r="H547" s="419"/>
      <c r="I547" s="421"/>
      <c r="J547" s="419"/>
      <c r="K547" s="421"/>
      <c r="L547" s="422">
        <f t="shared" si="215"/>
        <v>0</v>
      </c>
      <c r="M547" s="423">
        <f t="shared" si="216"/>
        <v>0</v>
      </c>
      <c r="N547" s="419">
        <v>470</v>
      </c>
      <c r="O547" s="525">
        <f>0</f>
        <v>0</v>
      </c>
      <c r="P547" s="525">
        <f>0</f>
        <v>0</v>
      </c>
      <c r="Q547" s="525">
        <f>0</f>
        <v>0</v>
      </c>
      <c r="R547" s="424">
        <f t="shared" si="213"/>
        <v>0</v>
      </c>
      <c r="S547" s="434"/>
      <c r="T547" s="526">
        <f>0</f>
        <v>0</v>
      </c>
      <c r="U547" s="526">
        <f>0</f>
        <v>0</v>
      </c>
      <c r="V547" s="526">
        <f>0</f>
        <v>0</v>
      </c>
      <c r="W547" s="425">
        <f t="shared" si="214"/>
        <v>0</v>
      </c>
      <c r="X547" s="419"/>
      <c r="Y547" s="419"/>
      <c r="Z547" s="421"/>
      <c r="AA547" s="421"/>
      <c r="AB547" s="419"/>
      <c r="AC547" s="419"/>
      <c r="AD547" s="421"/>
      <c r="AE547" s="421"/>
      <c r="AF547" s="419"/>
      <c r="AG547" s="419"/>
      <c r="AH547" s="421"/>
      <c r="AI547" s="421"/>
      <c r="AJ547" s="419"/>
      <c r="AK547" s="419"/>
      <c r="AL547" s="421"/>
      <c r="AM547" s="421"/>
      <c r="AN547" s="419"/>
      <c r="AO547" s="419"/>
      <c r="AP547" s="421"/>
      <c r="AQ547" s="421"/>
      <c r="AR547" s="424">
        <f t="shared" si="217"/>
        <v>0</v>
      </c>
      <c r="AS547" s="422">
        <f t="shared" si="218"/>
        <v>0.376</v>
      </c>
      <c r="AT547" s="425">
        <f t="shared" si="219"/>
        <v>0</v>
      </c>
      <c r="AU547" s="423">
        <f t="shared" si="220"/>
        <v>0</v>
      </c>
      <c r="AV547" s="419"/>
      <c r="AW547" s="421"/>
      <c r="AX547" s="419">
        <v>51</v>
      </c>
      <c r="AY547" s="419">
        <v>363</v>
      </c>
      <c r="AZ547" s="527">
        <v>51</v>
      </c>
      <c r="BA547" s="527">
        <v>364</v>
      </c>
      <c r="BB547" s="419">
        <v>26</v>
      </c>
      <c r="BC547" s="419">
        <v>11</v>
      </c>
      <c r="BD547" s="527">
        <v>26</v>
      </c>
      <c r="BE547" s="528">
        <v>15</v>
      </c>
      <c r="BF547" s="419">
        <v>30</v>
      </c>
      <c r="BG547" s="419">
        <v>7</v>
      </c>
      <c r="BH547" s="527">
        <v>30</v>
      </c>
      <c r="BI547" s="529">
        <v>1</v>
      </c>
      <c r="BJ547" s="419"/>
      <c r="BK547" s="419"/>
      <c r="BL547" s="421"/>
      <c r="BM547" s="421"/>
      <c r="BN547" s="419"/>
      <c r="BO547" s="419"/>
      <c r="BP547" s="421"/>
      <c r="BQ547" s="421"/>
      <c r="BR547" s="419"/>
      <c r="BS547" s="419"/>
      <c r="BT547" s="421"/>
      <c r="BU547" s="421"/>
      <c r="BV547" s="419"/>
      <c r="BW547" s="419"/>
      <c r="BX547" s="421"/>
      <c r="BY547" s="421"/>
      <c r="BZ547" s="419"/>
      <c r="CA547" s="419"/>
      <c r="CB547" s="421"/>
      <c r="CC547" s="421"/>
      <c r="CD547" s="419"/>
      <c r="CE547" s="419"/>
      <c r="CF547" s="421"/>
      <c r="CG547" s="421"/>
      <c r="CH547" s="419"/>
      <c r="CI547" s="419"/>
      <c r="CJ547" s="421"/>
      <c r="CK547" s="421"/>
      <c r="CL547" s="419"/>
      <c r="CM547" s="421"/>
      <c r="CN547" s="424">
        <f t="shared" si="221"/>
        <v>381</v>
      </c>
      <c r="CO547" s="424">
        <f t="shared" si="222"/>
        <v>3</v>
      </c>
      <c r="CP547" s="425">
        <f t="shared" si="223"/>
        <v>380</v>
      </c>
      <c r="CQ547" s="425">
        <f t="shared" si="224"/>
        <v>3</v>
      </c>
      <c r="CR547" s="419">
        <v>51</v>
      </c>
      <c r="CS547" s="419">
        <v>33</v>
      </c>
      <c r="CT547" s="527">
        <v>51</v>
      </c>
      <c r="CU547" s="527">
        <v>34</v>
      </c>
      <c r="CV547" s="419">
        <v>26</v>
      </c>
      <c r="CW547" s="419">
        <v>31</v>
      </c>
      <c r="CX547" s="527">
        <v>26</v>
      </c>
      <c r="CY547" s="527">
        <v>32</v>
      </c>
      <c r="CZ547" s="419">
        <v>30</v>
      </c>
      <c r="DA547" s="419">
        <v>1</v>
      </c>
      <c r="DB547" s="527">
        <v>30</v>
      </c>
      <c r="DC547" s="527">
        <v>1</v>
      </c>
      <c r="DD547" s="419"/>
      <c r="DE547" s="419"/>
      <c r="DF547" s="421"/>
      <c r="DG547" s="421"/>
      <c r="DH547" s="419"/>
      <c r="DI547" s="419"/>
      <c r="DJ547" s="421"/>
      <c r="DK547" s="421"/>
      <c r="DL547" s="419"/>
      <c r="DM547" s="419"/>
      <c r="DN547" s="421"/>
      <c r="DO547" s="421"/>
      <c r="DP547" s="419"/>
      <c r="DQ547" s="419"/>
      <c r="DR547" s="421"/>
      <c r="DS547" s="421"/>
      <c r="DT547" s="419"/>
      <c r="DU547" s="419"/>
      <c r="DV547" s="421"/>
      <c r="DW547" s="421"/>
      <c r="DX547" s="419"/>
      <c r="DY547" s="419"/>
      <c r="DZ547" s="421"/>
      <c r="EA547" s="421"/>
      <c r="EB547" s="419"/>
      <c r="EC547" s="419"/>
      <c r="ED547" s="421"/>
      <c r="EE547" s="421"/>
      <c r="EF547" s="419"/>
      <c r="EG547" s="421"/>
      <c r="EH547" s="424">
        <f t="shared" si="225"/>
        <v>65</v>
      </c>
      <c r="EI547" s="424">
        <f t="shared" si="226"/>
        <v>3</v>
      </c>
      <c r="EJ547" s="422">
        <f t="shared" si="227"/>
        <v>0.50769230769230766</v>
      </c>
      <c r="EK547" s="425">
        <f t="shared" si="228"/>
        <v>67</v>
      </c>
      <c r="EL547" s="425">
        <f t="shared" si="229"/>
        <v>3</v>
      </c>
      <c r="EM547" s="423">
        <f t="shared" si="230"/>
        <v>0.5074626865671642</v>
      </c>
      <c r="EN547" s="424">
        <f t="shared" si="231"/>
        <v>446</v>
      </c>
      <c r="EO547" s="425">
        <f t="shared" si="232"/>
        <v>447</v>
      </c>
      <c r="EP547" s="419"/>
      <c r="EQ547" s="421"/>
      <c r="ER547" s="419">
        <v>236</v>
      </c>
      <c r="ES547" s="527">
        <v>215</v>
      </c>
      <c r="ET547" s="419"/>
      <c r="EU547" s="421"/>
      <c r="EV547" s="419"/>
      <c r="EW547" s="421"/>
      <c r="EX547" s="419"/>
      <c r="EY547" s="421"/>
      <c r="EZ547" s="419"/>
      <c r="FA547" s="421"/>
      <c r="FB547" s="536"/>
      <c r="FC547" s="527"/>
      <c r="FD547" s="419"/>
      <c r="FE547" s="421"/>
      <c r="FF547" s="419"/>
      <c r="FG547" s="421"/>
      <c r="FH547" s="419">
        <v>72</v>
      </c>
      <c r="FI547" s="421">
        <v>63</v>
      </c>
      <c r="FJ547" s="424">
        <f t="shared" si="233"/>
        <v>308</v>
      </c>
      <c r="FK547" s="425">
        <f t="shared" si="234"/>
        <v>278</v>
      </c>
      <c r="FL547" s="419"/>
      <c r="FM547" s="421"/>
      <c r="FN547" s="424">
        <f t="shared" si="235"/>
        <v>1250</v>
      </c>
      <c r="FO547" s="425">
        <f t="shared" si="236"/>
        <v>745</v>
      </c>
    </row>
    <row r="548" spans="1:171" customFormat="1" ht="15" customHeight="1">
      <c r="A548" s="17" t="s">
        <v>166</v>
      </c>
      <c r="B548" s="46" t="s">
        <v>1072</v>
      </c>
      <c r="C548" s="44"/>
      <c r="D548" s="44">
        <v>228635</v>
      </c>
      <c r="E548" s="125">
        <v>15</v>
      </c>
      <c r="F548" s="419">
        <v>180</v>
      </c>
      <c r="G548" s="532">
        <v>211</v>
      </c>
      <c r="H548" s="419"/>
      <c r="I548" s="421"/>
      <c r="J548" s="419"/>
      <c r="K548" s="421"/>
      <c r="L548" s="422">
        <f t="shared" si="215"/>
        <v>0</v>
      </c>
      <c r="M548" s="423">
        <f t="shared" si="216"/>
        <v>0</v>
      </c>
      <c r="N548" s="419"/>
      <c r="O548" s="525">
        <f>0</f>
        <v>0</v>
      </c>
      <c r="P548" s="525">
        <f>0</f>
        <v>0</v>
      </c>
      <c r="Q548" s="525">
        <f>0</f>
        <v>0</v>
      </c>
      <c r="R548" s="424">
        <f t="shared" si="213"/>
        <v>0</v>
      </c>
      <c r="S548" s="421"/>
      <c r="T548" s="526">
        <f>0</f>
        <v>0</v>
      </c>
      <c r="U548" s="526">
        <f>0</f>
        <v>0</v>
      </c>
      <c r="V548" s="526">
        <f>0</f>
        <v>0</v>
      </c>
      <c r="W548" s="425">
        <f t="shared" si="214"/>
        <v>0</v>
      </c>
      <c r="X548" s="419"/>
      <c r="Y548" s="419"/>
      <c r="Z548" s="421"/>
      <c r="AA548" s="421"/>
      <c r="AB548" s="419"/>
      <c r="AC548" s="419"/>
      <c r="AD548" s="421"/>
      <c r="AE548" s="421"/>
      <c r="AF548" s="419"/>
      <c r="AG548" s="419"/>
      <c r="AH548" s="421"/>
      <c r="AI548" s="421"/>
      <c r="AJ548" s="419"/>
      <c r="AK548" s="419"/>
      <c r="AL548" s="421"/>
      <c r="AM548" s="421"/>
      <c r="AN548" s="419"/>
      <c r="AO548" s="419"/>
      <c r="AP548" s="421"/>
      <c r="AQ548" s="421"/>
      <c r="AR548" s="424">
        <f t="shared" si="217"/>
        <v>0</v>
      </c>
      <c r="AS548" s="422">
        <f t="shared" si="218"/>
        <v>0</v>
      </c>
      <c r="AT548" s="425">
        <f t="shared" si="219"/>
        <v>0</v>
      </c>
      <c r="AU548" s="423">
        <f t="shared" si="220"/>
        <v>0</v>
      </c>
      <c r="AV548" s="419"/>
      <c r="AW548" s="421"/>
      <c r="AX548" s="419">
        <v>51</v>
      </c>
      <c r="AY548" s="419">
        <v>93</v>
      </c>
      <c r="AZ548" s="527">
        <v>51</v>
      </c>
      <c r="BA548" s="527">
        <v>98</v>
      </c>
      <c r="BB548" s="419">
        <v>26</v>
      </c>
      <c r="BC548" s="419">
        <v>3</v>
      </c>
      <c r="BD548" s="527">
        <v>26</v>
      </c>
      <c r="BE548" s="527">
        <v>3</v>
      </c>
      <c r="BF548" s="419">
        <v>14</v>
      </c>
      <c r="BG548" s="419">
        <v>1</v>
      </c>
      <c r="BH548" s="421"/>
      <c r="BI548" s="434"/>
      <c r="BJ548" s="419"/>
      <c r="BK548" s="419"/>
      <c r="BL548" s="421"/>
      <c r="BM548" s="421"/>
      <c r="BN548" s="419"/>
      <c r="BO548" s="419"/>
      <c r="BP548" s="421"/>
      <c r="BQ548" s="421"/>
      <c r="BR548" s="419"/>
      <c r="BS548" s="419"/>
      <c r="BT548" s="421"/>
      <c r="BU548" s="421"/>
      <c r="BV548" s="419"/>
      <c r="BW548" s="419"/>
      <c r="BX548" s="421"/>
      <c r="BY548" s="421"/>
      <c r="BZ548" s="419"/>
      <c r="CA548" s="419"/>
      <c r="CB548" s="421"/>
      <c r="CC548" s="421"/>
      <c r="CD548" s="419"/>
      <c r="CE548" s="419"/>
      <c r="CF548" s="421"/>
      <c r="CG548" s="421"/>
      <c r="CH548" s="419"/>
      <c r="CI548" s="419"/>
      <c r="CJ548" s="421"/>
      <c r="CK548" s="421"/>
      <c r="CL548" s="419"/>
      <c r="CM548" s="421"/>
      <c r="CN548" s="424">
        <f t="shared" si="221"/>
        <v>97</v>
      </c>
      <c r="CO548" s="424">
        <f t="shared" si="222"/>
        <v>3</v>
      </c>
      <c r="CP548" s="425">
        <f t="shared" si="223"/>
        <v>101</v>
      </c>
      <c r="CQ548" s="425">
        <f t="shared" si="224"/>
        <v>2</v>
      </c>
      <c r="CR548" s="419">
        <v>26</v>
      </c>
      <c r="CS548" s="419">
        <v>62</v>
      </c>
      <c r="CT548" s="527">
        <v>26</v>
      </c>
      <c r="CU548" s="528">
        <v>39</v>
      </c>
      <c r="CV548" s="419">
        <v>42</v>
      </c>
      <c r="CW548" s="419">
        <v>8</v>
      </c>
      <c r="CX548" s="527">
        <v>42</v>
      </c>
      <c r="CY548" s="527">
        <v>9</v>
      </c>
      <c r="CZ548" s="419">
        <v>14</v>
      </c>
      <c r="DA548" s="419">
        <v>3</v>
      </c>
      <c r="DB548" s="527">
        <v>14</v>
      </c>
      <c r="DC548" s="527">
        <v>3</v>
      </c>
      <c r="DD548" s="419">
        <v>40</v>
      </c>
      <c r="DE548" s="419">
        <v>2</v>
      </c>
      <c r="DF548" s="527">
        <v>40</v>
      </c>
      <c r="DG548" s="528">
        <v>1</v>
      </c>
      <c r="DH548" s="419"/>
      <c r="DI548" s="419"/>
      <c r="DJ548" s="421"/>
      <c r="DK548" s="421"/>
      <c r="DL548" s="419"/>
      <c r="DM548" s="419"/>
      <c r="DN548" s="421"/>
      <c r="DO548" s="421"/>
      <c r="DP548" s="419"/>
      <c r="DQ548" s="419"/>
      <c r="DR548" s="421"/>
      <c r="DS548" s="421"/>
      <c r="DT548" s="419"/>
      <c r="DU548" s="419"/>
      <c r="DV548" s="421"/>
      <c r="DW548" s="421"/>
      <c r="DX548" s="419"/>
      <c r="DY548" s="419"/>
      <c r="DZ548" s="421"/>
      <c r="EA548" s="421"/>
      <c r="EB548" s="419"/>
      <c r="EC548" s="419"/>
      <c r="ED548" s="421"/>
      <c r="EE548" s="421"/>
      <c r="EF548" s="419"/>
      <c r="EG548" s="421"/>
      <c r="EH548" s="424">
        <f t="shared" si="225"/>
        <v>75</v>
      </c>
      <c r="EI548" s="424">
        <f t="shared" si="226"/>
        <v>4</v>
      </c>
      <c r="EJ548" s="422">
        <f t="shared" si="227"/>
        <v>0.82666666666666666</v>
      </c>
      <c r="EK548" s="425">
        <f t="shared" si="228"/>
        <v>52</v>
      </c>
      <c r="EL548" s="425">
        <f t="shared" si="229"/>
        <v>4</v>
      </c>
      <c r="EM548" s="423">
        <f t="shared" si="230"/>
        <v>0.75</v>
      </c>
      <c r="EN548" s="424">
        <f t="shared" si="231"/>
        <v>172</v>
      </c>
      <c r="EO548" s="425">
        <f t="shared" si="232"/>
        <v>153</v>
      </c>
      <c r="EP548" s="419"/>
      <c r="EQ548" s="421"/>
      <c r="ER548" s="419">
        <v>212</v>
      </c>
      <c r="ES548" s="527">
        <v>226</v>
      </c>
      <c r="ET548" s="419"/>
      <c r="EU548" s="421"/>
      <c r="EV548" s="419"/>
      <c r="EW548" s="421"/>
      <c r="EX548" s="419"/>
      <c r="EY548" s="421"/>
      <c r="EZ548" s="419"/>
      <c r="FA548" s="421"/>
      <c r="FB548" s="536"/>
      <c r="FC548" s="527"/>
      <c r="FD548" s="419"/>
      <c r="FE548" s="421"/>
      <c r="FF548" s="419"/>
      <c r="FG548" s="421"/>
      <c r="FH548" s="419">
        <v>40</v>
      </c>
      <c r="FI548" s="421">
        <v>38</v>
      </c>
      <c r="FJ548" s="424">
        <f t="shared" si="233"/>
        <v>252</v>
      </c>
      <c r="FK548" s="425">
        <f t="shared" si="234"/>
        <v>264</v>
      </c>
      <c r="FL548" s="419"/>
      <c r="FM548" s="421"/>
      <c r="FN548" s="424">
        <f t="shared" si="235"/>
        <v>604</v>
      </c>
      <c r="FO548" s="425">
        <f t="shared" si="236"/>
        <v>628</v>
      </c>
    </row>
    <row r="549" spans="1:171" customFormat="1" ht="15" customHeight="1">
      <c r="A549" s="17" t="s">
        <v>166</v>
      </c>
      <c r="B549" s="1" t="s">
        <v>1073</v>
      </c>
      <c r="C549" s="44"/>
      <c r="D549" s="316">
        <v>485537</v>
      </c>
      <c r="E549" s="125">
        <v>15</v>
      </c>
      <c r="F549" s="419"/>
      <c r="G549" s="532"/>
      <c r="H549" s="419"/>
      <c r="I549" s="421"/>
      <c r="J549" s="419"/>
      <c r="K549" s="421"/>
      <c r="L549" s="422">
        <f t="shared" si="215"/>
        <v>0</v>
      </c>
      <c r="M549" s="423">
        <f t="shared" si="216"/>
        <v>0</v>
      </c>
      <c r="N549" s="419"/>
      <c r="O549" s="525">
        <f>0</f>
        <v>0</v>
      </c>
      <c r="P549" s="525">
        <f>0</f>
        <v>0</v>
      </c>
      <c r="Q549" s="525">
        <f>0</f>
        <v>0</v>
      </c>
      <c r="R549" s="424">
        <f t="shared" si="213"/>
        <v>0</v>
      </c>
      <c r="S549" s="421"/>
      <c r="T549" s="526">
        <f>0</f>
        <v>0</v>
      </c>
      <c r="U549" s="526">
        <f>0</f>
        <v>0</v>
      </c>
      <c r="V549" s="526">
        <f>0</f>
        <v>0</v>
      </c>
      <c r="W549" s="425">
        <f t="shared" si="214"/>
        <v>0</v>
      </c>
      <c r="X549" s="419"/>
      <c r="Y549" s="419"/>
      <c r="Z549" s="421"/>
      <c r="AA549" s="421"/>
      <c r="AB549" s="419"/>
      <c r="AC549" s="419"/>
      <c r="AD549" s="421"/>
      <c r="AE549" s="421"/>
      <c r="AF549" s="419"/>
      <c r="AG549" s="419"/>
      <c r="AH549" s="421"/>
      <c r="AI549" s="421"/>
      <c r="AJ549" s="419"/>
      <c r="AK549" s="419"/>
      <c r="AL549" s="421"/>
      <c r="AM549" s="421"/>
      <c r="AN549" s="419"/>
      <c r="AO549" s="419"/>
      <c r="AP549" s="421"/>
      <c r="AQ549" s="421"/>
      <c r="AR549" s="424">
        <f t="shared" si="217"/>
        <v>0</v>
      </c>
      <c r="AS549" s="422">
        <f t="shared" si="218"/>
        <v>0</v>
      </c>
      <c r="AT549" s="425">
        <f t="shared" si="219"/>
        <v>0</v>
      </c>
      <c r="AU549" s="423">
        <f t="shared" si="220"/>
        <v>0</v>
      </c>
      <c r="AV549" s="419"/>
      <c r="AW549" s="421"/>
      <c r="AX549" s="419">
        <v>51</v>
      </c>
      <c r="AY549" s="419">
        <v>15</v>
      </c>
      <c r="AZ549" s="527">
        <v>26</v>
      </c>
      <c r="BA549" s="528">
        <v>11</v>
      </c>
      <c r="BB549" s="419">
        <v>26</v>
      </c>
      <c r="BC549" s="419">
        <v>8</v>
      </c>
      <c r="BD549" s="527">
        <v>51</v>
      </c>
      <c r="BE549" s="528">
        <v>11</v>
      </c>
      <c r="BF549" s="419"/>
      <c r="BG549" s="419"/>
      <c r="BH549" s="421"/>
      <c r="BI549" s="421"/>
      <c r="BJ549" s="419"/>
      <c r="BK549" s="419"/>
      <c r="BL549" s="421"/>
      <c r="BM549" s="421"/>
      <c r="BN549" s="419"/>
      <c r="BO549" s="419"/>
      <c r="BP549" s="421"/>
      <c r="BQ549" s="421"/>
      <c r="BR549" s="419"/>
      <c r="BS549" s="419"/>
      <c r="BT549" s="421"/>
      <c r="BU549" s="421"/>
      <c r="BV549" s="419"/>
      <c r="BW549" s="419"/>
      <c r="BX549" s="421"/>
      <c r="BY549" s="421"/>
      <c r="BZ549" s="419"/>
      <c r="CA549" s="419"/>
      <c r="CB549" s="421"/>
      <c r="CC549" s="421"/>
      <c r="CD549" s="419"/>
      <c r="CE549" s="419"/>
      <c r="CF549" s="421"/>
      <c r="CG549" s="421"/>
      <c r="CH549" s="419"/>
      <c r="CI549" s="419"/>
      <c r="CJ549" s="421"/>
      <c r="CK549" s="421"/>
      <c r="CL549" s="419"/>
      <c r="CM549" s="421"/>
      <c r="CN549" s="424">
        <f t="shared" si="221"/>
        <v>23</v>
      </c>
      <c r="CO549" s="424">
        <f t="shared" si="222"/>
        <v>2</v>
      </c>
      <c r="CP549" s="425">
        <f t="shared" si="223"/>
        <v>22</v>
      </c>
      <c r="CQ549" s="425">
        <f t="shared" si="224"/>
        <v>2</v>
      </c>
      <c r="CR549" s="419"/>
      <c r="CS549" s="419"/>
      <c r="CT549" s="421"/>
      <c r="CU549" s="421"/>
      <c r="CV549" s="419"/>
      <c r="CW549" s="419"/>
      <c r="CX549" s="421"/>
      <c r="CY549" s="421"/>
      <c r="CZ549" s="419"/>
      <c r="DA549" s="419"/>
      <c r="DB549" s="421"/>
      <c r="DC549" s="421"/>
      <c r="DD549" s="419"/>
      <c r="DE549" s="419"/>
      <c r="DF549" s="421"/>
      <c r="DG549" s="421"/>
      <c r="DH549" s="419"/>
      <c r="DI549" s="419"/>
      <c r="DJ549" s="421"/>
      <c r="DK549" s="421"/>
      <c r="DL549" s="419"/>
      <c r="DM549" s="419"/>
      <c r="DN549" s="421"/>
      <c r="DO549" s="421"/>
      <c r="DP549" s="419"/>
      <c r="DQ549" s="419"/>
      <c r="DR549" s="421"/>
      <c r="DS549" s="421"/>
      <c r="DT549" s="419"/>
      <c r="DU549" s="419"/>
      <c r="DV549" s="421"/>
      <c r="DW549" s="421"/>
      <c r="DX549" s="419"/>
      <c r="DY549" s="419"/>
      <c r="DZ549" s="421"/>
      <c r="EA549" s="421"/>
      <c r="EB549" s="419"/>
      <c r="EC549" s="419"/>
      <c r="ED549" s="421"/>
      <c r="EE549" s="421"/>
      <c r="EF549" s="419"/>
      <c r="EG549" s="421"/>
      <c r="EH549" s="424">
        <f t="shared" si="225"/>
        <v>0</v>
      </c>
      <c r="EI549" s="424">
        <f t="shared" si="226"/>
        <v>0</v>
      </c>
      <c r="EJ549" s="422">
        <f t="shared" si="227"/>
        <v>0</v>
      </c>
      <c r="EK549" s="425">
        <f t="shared" si="228"/>
        <v>0</v>
      </c>
      <c r="EL549" s="425">
        <f t="shared" si="229"/>
        <v>0</v>
      </c>
      <c r="EM549" s="423">
        <f t="shared" si="230"/>
        <v>0</v>
      </c>
      <c r="EN549" s="424">
        <f t="shared" si="231"/>
        <v>23</v>
      </c>
      <c r="EO549" s="425">
        <f t="shared" si="232"/>
        <v>22</v>
      </c>
      <c r="EP549" s="419"/>
      <c r="EQ549" s="421"/>
      <c r="ER549" s="419"/>
      <c r="ES549" s="421"/>
      <c r="ET549" s="419"/>
      <c r="EU549" s="421"/>
      <c r="EV549" s="419"/>
      <c r="EW549" s="421"/>
      <c r="EX549" s="419"/>
      <c r="EY549" s="421"/>
      <c r="EZ549" s="419"/>
      <c r="FA549" s="421"/>
      <c r="FB549" s="419"/>
      <c r="FC549" s="421"/>
      <c r="FD549" s="419"/>
      <c r="FE549" s="421"/>
      <c r="FF549" s="419"/>
      <c r="FG549" s="421"/>
      <c r="FH549" s="419"/>
      <c r="FI549" s="421"/>
      <c r="FJ549" s="424">
        <f t="shared" si="233"/>
        <v>0</v>
      </c>
      <c r="FK549" s="425">
        <f t="shared" si="234"/>
        <v>0</v>
      </c>
      <c r="FL549" s="419"/>
      <c r="FM549" s="421"/>
      <c r="FN549" s="424">
        <f t="shared" si="235"/>
        <v>23</v>
      </c>
      <c r="FO549" s="425">
        <f t="shared" si="236"/>
        <v>22</v>
      </c>
    </row>
    <row r="550" spans="1:171" ht="12.5">
      <c r="A550" s="17" t="s">
        <v>166</v>
      </c>
      <c r="B550" s="1" t="s">
        <v>1202</v>
      </c>
      <c r="C550" s="44" t="s">
        <v>1203</v>
      </c>
      <c r="D550" s="316">
        <v>224615</v>
      </c>
      <c r="E550" s="125">
        <v>10</v>
      </c>
      <c r="F550" s="419"/>
      <c r="G550" s="421"/>
      <c r="H550" s="419"/>
      <c r="I550" s="421"/>
      <c r="J550" s="419"/>
      <c r="K550" s="421"/>
      <c r="L550" s="422">
        <f t="shared" si="215"/>
        <v>0</v>
      </c>
      <c r="M550" s="423">
        <f t="shared" si="216"/>
        <v>0</v>
      </c>
      <c r="N550" s="419"/>
      <c r="O550" s="525">
        <f>0</f>
        <v>0</v>
      </c>
      <c r="P550" s="525">
        <f>0</f>
        <v>0</v>
      </c>
      <c r="Q550" s="525">
        <f>0</f>
        <v>0</v>
      </c>
      <c r="R550" s="424">
        <f t="shared" si="213"/>
        <v>0</v>
      </c>
      <c r="S550" s="421"/>
      <c r="T550" s="526">
        <f>0</f>
        <v>0</v>
      </c>
      <c r="U550" s="526">
        <f>0</f>
        <v>0</v>
      </c>
      <c r="V550" s="526">
        <f>0</f>
        <v>0</v>
      </c>
      <c r="W550" s="425">
        <f t="shared" si="214"/>
        <v>0</v>
      </c>
      <c r="X550" s="419"/>
      <c r="Y550" s="419"/>
      <c r="Z550" s="421"/>
      <c r="AA550" s="421"/>
      <c r="AB550" s="419"/>
      <c r="AC550" s="419"/>
      <c r="AD550" s="421"/>
      <c r="AE550" s="421"/>
      <c r="AF550" s="419"/>
      <c r="AG550" s="419"/>
      <c r="AH550" s="421"/>
      <c r="AI550" s="421"/>
      <c r="AJ550" s="419"/>
      <c r="AK550" s="419"/>
      <c r="AL550" s="421"/>
      <c r="AM550" s="421"/>
      <c r="AN550" s="419"/>
      <c r="AO550" s="419"/>
      <c r="AP550" s="421"/>
      <c r="AQ550" s="421"/>
      <c r="AR550" s="424">
        <f t="shared" si="217"/>
        <v>0</v>
      </c>
      <c r="AS550" s="422">
        <f t="shared" si="218"/>
        <v>0</v>
      </c>
      <c r="AT550" s="425">
        <f t="shared" si="219"/>
        <v>0</v>
      </c>
      <c r="AU550" s="423">
        <f t="shared" si="220"/>
        <v>0</v>
      </c>
      <c r="AV550" s="419"/>
      <c r="AW550" s="421"/>
      <c r="AX550" s="419"/>
      <c r="AY550" s="419"/>
      <c r="AZ550" s="421"/>
      <c r="BA550" s="421"/>
      <c r="BB550" s="419"/>
      <c r="BC550" s="419"/>
      <c r="BD550" s="421"/>
      <c r="BE550" s="421"/>
      <c r="BF550" s="419"/>
      <c r="BG550" s="419"/>
      <c r="BH550" s="421"/>
      <c r="BI550" s="421"/>
      <c r="BJ550" s="419"/>
      <c r="BK550" s="419"/>
      <c r="BL550" s="421"/>
      <c r="BM550" s="421"/>
      <c r="BN550" s="419"/>
      <c r="BO550" s="419"/>
      <c r="BP550" s="421"/>
      <c r="BQ550" s="421"/>
      <c r="BR550" s="419"/>
      <c r="BS550" s="419"/>
      <c r="BT550" s="421"/>
      <c r="BU550" s="421"/>
      <c r="BV550" s="419"/>
      <c r="BW550" s="419"/>
      <c r="BX550" s="421"/>
      <c r="BY550" s="421"/>
      <c r="BZ550" s="419"/>
      <c r="CA550" s="419"/>
      <c r="CB550" s="421"/>
      <c r="CC550" s="421"/>
      <c r="CD550" s="419"/>
      <c r="CE550" s="419"/>
      <c r="CF550" s="421"/>
      <c r="CG550" s="421"/>
      <c r="CH550" s="419"/>
      <c r="CI550" s="419"/>
      <c r="CJ550" s="421"/>
      <c r="CK550" s="421"/>
      <c r="CL550" s="419"/>
      <c r="CM550" s="421"/>
      <c r="CN550" s="424">
        <f t="shared" si="221"/>
        <v>0</v>
      </c>
      <c r="CO550" s="424">
        <f t="shared" si="222"/>
        <v>0</v>
      </c>
      <c r="CP550" s="425">
        <f t="shared" si="223"/>
        <v>0</v>
      </c>
      <c r="CQ550" s="425">
        <f t="shared" si="224"/>
        <v>0</v>
      </c>
      <c r="CR550" s="419"/>
      <c r="CS550" s="419"/>
      <c r="CT550" s="421"/>
      <c r="CU550" s="421"/>
      <c r="CV550" s="419"/>
      <c r="CW550" s="419"/>
      <c r="CX550" s="421"/>
      <c r="CY550" s="421"/>
      <c r="CZ550" s="419"/>
      <c r="DA550" s="419"/>
      <c r="DB550" s="421"/>
      <c r="DC550" s="421"/>
      <c r="DD550" s="419"/>
      <c r="DE550" s="419"/>
      <c r="DF550" s="421"/>
      <c r="DG550" s="421"/>
      <c r="DH550" s="419"/>
      <c r="DI550" s="419"/>
      <c r="DJ550" s="421"/>
      <c r="DK550" s="421"/>
      <c r="DL550" s="419"/>
      <c r="DM550" s="419"/>
      <c r="DN550" s="421"/>
      <c r="DO550" s="421"/>
      <c r="DP550" s="419"/>
      <c r="DQ550" s="419"/>
      <c r="DR550" s="421"/>
      <c r="DS550" s="421"/>
      <c r="DT550" s="419"/>
      <c r="DU550" s="419"/>
      <c r="DV550" s="421"/>
      <c r="DW550" s="421"/>
      <c r="DX550" s="419"/>
      <c r="DY550" s="419"/>
      <c r="DZ550" s="421"/>
      <c r="EA550" s="421"/>
      <c r="EB550" s="419"/>
      <c r="EC550" s="419"/>
      <c r="ED550" s="421"/>
      <c r="EE550" s="421"/>
      <c r="EF550" s="419"/>
      <c r="EG550" s="421"/>
      <c r="EH550" s="424">
        <f t="shared" si="225"/>
        <v>0</v>
      </c>
      <c r="EI550" s="424">
        <f t="shared" si="226"/>
        <v>0</v>
      </c>
      <c r="EJ550" s="422">
        <f t="shared" si="227"/>
        <v>0</v>
      </c>
      <c r="EK550" s="425">
        <f t="shared" si="228"/>
        <v>0</v>
      </c>
      <c r="EL550" s="425">
        <f t="shared" si="229"/>
        <v>0</v>
      </c>
      <c r="EM550" s="423">
        <f t="shared" si="230"/>
        <v>0</v>
      </c>
      <c r="EN550" s="424">
        <f t="shared" si="231"/>
        <v>0</v>
      </c>
      <c r="EO550" s="425">
        <f t="shared" si="232"/>
        <v>0</v>
      </c>
      <c r="EP550" s="419"/>
      <c r="EQ550" s="421"/>
      <c r="ER550" s="419"/>
      <c r="ES550" s="421"/>
      <c r="ET550" s="419"/>
      <c r="EU550" s="421"/>
      <c r="EV550" s="419"/>
      <c r="EW550" s="421"/>
      <c r="EX550" s="419"/>
      <c r="EY550" s="421"/>
      <c r="EZ550" s="419"/>
      <c r="FA550" s="421"/>
      <c r="FB550" s="419"/>
      <c r="FC550" s="421"/>
      <c r="FD550" s="419"/>
      <c r="FE550" s="421"/>
      <c r="FF550" s="419"/>
      <c r="FG550" s="421"/>
      <c r="FH550" s="419"/>
      <c r="FI550" s="421"/>
      <c r="FJ550" s="424">
        <f t="shared" si="233"/>
        <v>0</v>
      </c>
      <c r="FK550" s="425">
        <f t="shared" si="234"/>
        <v>0</v>
      </c>
      <c r="FL550" s="419"/>
      <c r="FM550" s="421"/>
      <c r="FN550" s="424">
        <f t="shared" si="235"/>
        <v>0</v>
      </c>
      <c r="FO550" s="425">
        <f t="shared" si="236"/>
        <v>0</v>
      </c>
    </row>
    <row r="551" spans="1:171" s="272" customFormat="1" ht="15" customHeight="1">
      <c r="A551" s="43" t="s">
        <v>167</v>
      </c>
      <c r="B551" s="42" t="s">
        <v>1074</v>
      </c>
      <c r="C551" s="113" t="s">
        <v>1177</v>
      </c>
      <c r="D551" s="40">
        <v>232186</v>
      </c>
      <c r="E551" s="40">
        <v>1</v>
      </c>
      <c r="F551" s="419">
        <v>0</v>
      </c>
      <c r="G551" s="421">
        <v>0</v>
      </c>
      <c r="H551" s="419"/>
      <c r="I551" s="421"/>
      <c r="J551" s="419">
        <v>0</v>
      </c>
      <c r="K551" s="421">
        <v>0</v>
      </c>
      <c r="L551" s="422">
        <f t="shared" si="215"/>
        <v>0</v>
      </c>
      <c r="M551" s="423">
        <f t="shared" si="216"/>
        <v>0</v>
      </c>
      <c r="N551" s="419">
        <v>5734</v>
      </c>
      <c r="O551" s="309">
        <f>0</f>
        <v>0</v>
      </c>
      <c r="P551" s="309">
        <f>0</f>
        <v>0</v>
      </c>
      <c r="Q551" s="309">
        <f>0</f>
        <v>0</v>
      </c>
      <c r="R551" s="424">
        <f t="shared" si="213"/>
        <v>0</v>
      </c>
      <c r="S551" s="421">
        <v>5890</v>
      </c>
      <c r="T551" s="301">
        <f>0</f>
        <v>0</v>
      </c>
      <c r="U551" s="301">
        <f>0</f>
        <v>0</v>
      </c>
      <c r="V551" s="301">
        <f>0</f>
        <v>0</v>
      </c>
      <c r="W551" s="425">
        <f>SUM(T551:V551)</f>
        <v>0</v>
      </c>
      <c r="X551" s="419"/>
      <c r="Y551" s="419"/>
      <c r="Z551" s="421"/>
      <c r="AA551" s="421"/>
      <c r="AB551" s="419"/>
      <c r="AC551" s="419"/>
      <c r="AD551" s="421"/>
      <c r="AE551" s="421"/>
      <c r="AF551" s="419"/>
      <c r="AG551" s="419"/>
      <c r="AH551" s="421"/>
      <c r="AI551" s="421"/>
      <c r="AJ551" s="419"/>
      <c r="AK551" s="419"/>
      <c r="AL551" s="421"/>
      <c r="AM551" s="421"/>
      <c r="AN551" s="419"/>
      <c r="AO551" s="419"/>
      <c r="AP551" s="421"/>
      <c r="AQ551" s="421"/>
      <c r="AR551" s="424">
        <f t="shared" si="217"/>
        <v>0</v>
      </c>
      <c r="AS551" s="422">
        <f t="shared" si="218"/>
        <v>0.5816005680089259</v>
      </c>
      <c r="AT551" s="425">
        <f t="shared" si="219"/>
        <v>0</v>
      </c>
      <c r="AU551" s="423">
        <f t="shared" si="220"/>
        <v>0.58138387128615143</v>
      </c>
      <c r="AV551" s="419">
        <v>691</v>
      </c>
      <c r="AW551" s="421">
        <v>749</v>
      </c>
      <c r="AX551" s="419">
        <v>13</v>
      </c>
      <c r="AY551" s="419">
        <v>895</v>
      </c>
      <c r="AZ551" s="421">
        <v>13</v>
      </c>
      <c r="BA551" s="421">
        <v>1012</v>
      </c>
      <c r="BB551" s="419">
        <v>11</v>
      </c>
      <c r="BC551" s="419">
        <v>333</v>
      </c>
      <c r="BD551" s="421">
        <v>11</v>
      </c>
      <c r="BE551" s="421">
        <v>388</v>
      </c>
      <c r="BF551" s="419">
        <v>52</v>
      </c>
      <c r="BG551" s="419">
        <v>305</v>
      </c>
      <c r="BH551" s="421">
        <v>52</v>
      </c>
      <c r="BI551" s="421">
        <v>330</v>
      </c>
      <c r="BJ551" s="419">
        <v>44</v>
      </c>
      <c r="BK551" s="419">
        <v>251</v>
      </c>
      <c r="BL551" s="421">
        <v>44</v>
      </c>
      <c r="BM551" s="421">
        <v>219</v>
      </c>
      <c r="BN551" s="419">
        <v>14</v>
      </c>
      <c r="BO551" s="419">
        <v>163</v>
      </c>
      <c r="BP551" s="421">
        <v>51</v>
      </c>
      <c r="BQ551" s="421">
        <v>186</v>
      </c>
      <c r="BR551" s="419">
        <v>45</v>
      </c>
      <c r="BS551" s="419">
        <v>163</v>
      </c>
      <c r="BT551" s="421">
        <v>45</v>
      </c>
      <c r="BU551" s="421">
        <v>175</v>
      </c>
      <c r="BV551" s="419">
        <v>51</v>
      </c>
      <c r="BW551" s="419">
        <v>154</v>
      </c>
      <c r="BX551" s="421">
        <v>14</v>
      </c>
      <c r="BY551" s="421">
        <v>158</v>
      </c>
      <c r="BZ551" s="419">
        <v>30</v>
      </c>
      <c r="CA551" s="419">
        <v>135</v>
      </c>
      <c r="CB551" s="421">
        <v>30</v>
      </c>
      <c r="CC551" s="421">
        <v>139</v>
      </c>
      <c r="CD551" s="419">
        <v>50</v>
      </c>
      <c r="CE551" s="419">
        <v>100</v>
      </c>
      <c r="CF551" s="421">
        <v>50</v>
      </c>
      <c r="CG551" s="421">
        <v>97</v>
      </c>
      <c r="CH551" s="419">
        <v>43</v>
      </c>
      <c r="CI551" s="419">
        <v>97</v>
      </c>
      <c r="CJ551" s="421">
        <v>43</v>
      </c>
      <c r="CK551" s="421">
        <v>95</v>
      </c>
      <c r="CL551" s="419">
        <v>372</v>
      </c>
      <c r="CM551" s="421">
        <v>396</v>
      </c>
      <c r="CN551" s="424">
        <f t="shared" si="221"/>
        <v>2968</v>
      </c>
      <c r="CO551" s="424">
        <f t="shared" si="222"/>
        <v>10</v>
      </c>
      <c r="CP551" s="425">
        <f t="shared" si="223"/>
        <v>3195</v>
      </c>
      <c r="CQ551" s="425">
        <f t="shared" si="224"/>
        <v>10</v>
      </c>
      <c r="CR551" s="419">
        <v>13</v>
      </c>
      <c r="CS551" s="419">
        <v>53</v>
      </c>
      <c r="CT551" s="421">
        <v>13</v>
      </c>
      <c r="CU551" s="420">
        <v>42</v>
      </c>
      <c r="CV551" s="419">
        <v>30</v>
      </c>
      <c r="CW551" s="419">
        <v>31</v>
      </c>
      <c r="CX551" s="421">
        <v>51</v>
      </c>
      <c r="CY551" s="421">
        <v>37</v>
      </c>
      <c r="CZ551" s="419">
        <v>51</v>
      </c>
      <c r="DA551" s="419">
        <v>25</v>
      </c>
      <c r="DB551" s="421">
        <v>30</v>
      </c>
      <c r="DC551" s="420">
        <v>33</v>
      </c>
      <c r="DD551" s="419">
        <v>45</v>
      </c>
      <c r="DE551" s="419">
        <v>24</v>
      </c>
      <c r="DF551" s="421">
        <v>45</v>
      </c>
      <c r="DG551" s="421">
        <v>28</v>
      </c>
      <c r="DH551" s="419">
        <v>42</v>
      </c>
      <c r="DI551" s="419">
        <v>21</v>
      </c>
      <c r="DJ551" s="421">
        <v>42</v>
      </c>
      <c r="DK551" s="420">
        <v>26</v>
      </c>
      <c r="DL551" s="419">
        <v>26</v>
      </c>
      <c r="DM551" s="419">
        <v>21</v>
      </c>
      <c r="DN551" s="421">
        <v>26</v>
      </c>
      <c r="DO551" s="421">
        <v>22</v>
      </c>
      <c r="DP551" s="419">
        <v>11</v>
      </c>
      <c r="DQ551" s="419">
        <v>19</v>
      </c>
      <c r="DR551" s="421">
        <v>40</v>
      </c>
      <c r="DS551" s="421">
        <v>17</v>
      </c>
      <c r="DT551" s="419">
        <v>14</v>
      </c>
      <c r="DU551" s="419">
        <v>18</v>
      </c>
      <c r="DV551" s="421">
        <v>44</v>
      </c>
      <c r="DW551" s="421">
        <v>16</v>
      </c>
      <c r="DX551" s="419">
        <v>40</v>
      </c>
      <c r="DY551" s="419">
        <v>14</v>
      </c>
      <c r="DZ551" s="421">
        <v>14</v>
      </c>
      <c r="EA551" s="421">
        <v>15</v>
      </c>
      <c r="EB551" s="419">
        <v>44</v>
      </c>
      <c r="EC551" s="419">
        <v>11</v>
      </c>
      <c r="ED551" s="421">
        <v>11</v>
      </c>
      <c r="EE551" s="420">
        <v>14</v>
      </c>
      <c r="EF551" s="419">
        <v>56</v>
      </c>
      <c r="EG551" s="421">
        <v>47</v>
      </c>
      <c r="EH551" s="424">
        <f t="shared" si="225"/>
        <v>293</v>
      </c>
      <c r="EI551" s="424">
        <f t="shared" si="226"/>
        <v>10</v>
      </c>
      <c r="EJ551" s="422">
        <f t="shared" si="227"/>
        <v>0.18088737201365188</v>
      </c>
      <c r="EK551" s="425">
        <f t="shared" si="228"/>
        <v>297</v>
      </c>
      <c r="EL551" s="425">
        <f t="shared" si="229"/>
        <v>10</v>
      </c>
      <c r="EM551" s="423">
        <f t="shared" si="230"/>
        <v>0.14141414141414141</v>
      </c>
      <c r="EN551" s="424">
        <f t="shared" si="231"/>
        <v>3261</v>
      </c>
      <c r="EO551" s="425">
        <f t="shared" si="232"/>
        <v>3492</v>
      </c>
      <c r="EP551" s="419">
        <v>173</v>
      </c>
      <c r="EQ551" s="420"/>
      <c r="ER551" s="419"/>
      <c r="ES551" s="421"/>
      <c r="ET551" s="419"/>
      <c r="EU551" s="421"/>
      <c r="EV551" s="419"/>
      <c r="EW551" s="421"/>
      <c r="EX551" s="419"/>
      <c r="EY551" s="421"/>
      <c r="EZ551" s="419"/>
      <c r="FA551" s="421"/>
      <c r="FB551" s="419"/>
      <c r="FC551" s="421"/>
      <c r="FD551" s="419"/>
      <c r="FE551" s="421"/>
      <c r="FF551" s="419"/>
      <c r="FG551" s="421"/>
      <c r="FH551" s="419"/>
      <c r="FI551" s="421"/>
      <c r="FJ551" s="424">
        <f t="shared" si="233"/>
        <v>173</v>
      </c>
      <c r="FK551" s="425">
        <f t="shared" si="234"/>
        <v>0</v>
      </c>
      <c r="FL551" s="419"/>
      <c r="FM551" s="421"/>
      <c r="FN551" s="424">
        <f t="shared" si="235"/>
        <v>9859</v>
      </c>
      <c r="FO551" s="425">
        <f t="shared" si="236"/>
        <v>10131</v>
      </c>
    </row>
    <row r="552" spans="1:171" s="272" customFormat="1" ht="15" customHeight="1">
      <c r="A552" s="43" t="s">
        <v>167</v>
      </c>
      <c r="B552" s="42" t="s">
        <v>1075</v>
      </c>
      <c r="C552" s="113" t="s">
        <v>1177</v>
      </c>
      <c r="D552" s="40">
        <v>232982</v>
      </c>
      <c r="E552" s="40">
        <v>1</v>
      </c>
      <c r="F552" s="419">
        <v>65</v>
      </c>
      <c r="G552" s="420">
        <v>93</v>
      </c>
      <c r="H552" s="419"/>
      <c r="I552" s="421"/>
      <c r="J552" s="419">
        <v>0</v>
      </c>
      <c r="K552" s="421">
        <v>0</v>
      </c>
      <c r="L552" s="422">
        <f t="shared" si="215"/>
        <v>0</v>
      </c>
      <c r="M552" s="423">
        <f t="shared" si="216"/>
        <v>0</v>
      </c>
      <c r="N552" s="419">
        <v>3869</v>
      </c>
      <c r="O552" s="309">
        <f>0</f>
        <v>0</v>
      </c>
      <c r="P552" s="309">
        <f>0</f>
        <v>0</v>
      </c>
      <c r="Q552" s="309">
        <f>0</f>
        <v>0</v>
      </c>
      <c r="R552" s="424">
        <f t="shared" si="213"/>
        <v>0</v>
      </c>
      <c r="S552" s="421">
        <v>3837</v>
      </c>
      <c r="T552" s="301">
        <f>0</f>
        <v>0</v>
      </c>
      <c r="U552" s="301">
        <f>0</f>
        <v>0</v>
      </c>
      <c r="V552" s="301">
        <f>0</f>
        <v>0</v>
      </c>
      <c r="W552" s="425">
        <f t="shared" si="214"/>
        <v>0</v>
      </c>
      <c r="X552" s="419"/>
      <c r="Y552" s="419"/>
      <c r="Z552" s="421"/>
      <c r="AA552" s="421"/>
      <c r="AB552" s="419"/>
      <c r="AC552" s="419"/>
      <c r="AD552" s="421"/>
      <c r="AE552" s="421"/>
      <c r="AF552" s="419"/>
      <c r="AG552" s="419"/>
      <c r="AH552" s="421"/>
      <c r="AI552" s="421"/>
      <c r="AJ552" s="419"/>
      <c r="AK552" s="419"/>
      <c r="AL552" s="421"/>
      <c r="AM552" s="421"/>
      <c r="AN552" s="419"/>
      <c r="AO552" s="419"/>
      <c r="AP552" s="421"/>
      <c r="AQ552" s="421"/>
      <c r="AR552" s="424">
        <f t="shared" si="217"/>
        <v>0</v>
      </c>
      <c r="AS552" s="422">
        <f t="shared" si="218"/>
        <v>0.71954621536172592</v>
      </c>
      <c r="AT552" s="425">
        <f t="shared" si="219"/>
        <v>0</v>
      </c>
      <c r="AU552" s="423">
        <f t="shared" si="220"/>
        <v>0.7100296076980015</v>
      </c>
      <c r="AV552" s="419">
        <v>126</v>
      </c>
      <c r="AW552" s="420">
        <v>163</v>
      </c>
      <c r="AX552" s="419">
        <v>13</v>
      </c>
      <c r="AY552" s="419">
        <v>387</v>
      </c>
      <c r="AZ552" s="421">
        <v>13</v>
      </c>
      <c r="BA552" s="421">
        <v>355</v>
      </c>
      <c r="BB552" s="419">
        <v>14</v>
      </c>
      <c r="BC552" s="419">
        <v>232</v>
      </c>
      <c r="BD552" s="421">
        <v>14</v>
      </c>
      <c r="BE552" s="421">
        <v>221</v>
      </c>
      <c r="BF552" s="419">
        <v>51</v>
      </c>
      <c r="BG552" s="419">
        <v>124</v>
      </c>
      <c r="BH552" s="421">
        <v>51</v>
      </c>
      <c r="BI552" s="421">
        <v>134</v>
      </c>
      <c r="BJ552" s="419">
        <v>52</v>
      </c>
      <c r="BK552" s="419">
        <v>75</v>
      </c>
      <c r="BL552" s="421">
        <v>13</v>
      </c>
      <c r="BM552" s="421">
        <v>69</v>
      </c>
      <c r="BN552" s="419">
        <v>13</v>
      </c>
      <c r="BO552" s="419">
        <v>73</v>
      </c>
      <c r="BP552" s="421">
        <v>52</v>
      </c>
      <c r="BQ552" s="421">
        <v>68</v>
      </c>
      <c r="BR552" s="419">
        <v>44</v>
      </c>
      <c r="BS552" s="419">
        <v>51</v>
      </c>
      <c r="BT552" s="421">
        <v>44</v>
      </c>
      <c r="BU552" s="421">
        <v>58</v>
      </c>
      <c r="BV552" s="419">
        <v>11</v>
      </c>
      <c r="BW552" s="419">
        <v>41</v>
      </c>
      <c r="BX552" s="421">
        <v>11</v>
      </c>
      <c r="BY552" s="420">
        <v>53</v>
      </c>
      <c r="BZ552" s="419">
        <v>40</v>
      </c>
      <c r="CA552" s="419">
        <v>24</v>
      </c>
      <c r="CB552" s="421">
        <v>31</v>
      </c>
      <c r="CC552" s="421">
        <v>28</v>
      </c>
      <c r="CD552" s="419">
        <v>45</v>
      </c>
      <c r="CE552" s="419">
        <v>23</v>
      </c>
      <c r="CF552" s="421">
        <v>40</v>
      </c>
      <c r="CG552" s="421">
        <v>20</v>
      </c>
      <c r="CH552" s="419">
        <v>23</v>
      </c>
      <c r="CI552" s="419">
        <v>17</v>
      </c>
      <c r="CJ552" s="421">
        <v>45</v>
      </c>
      <c r="CK552" s="421">
        <v>19</v>
      </c>
      <c r="CL552" s="419">
        <v>61</v>
      </c>
      <c r="CM552" s="421">
        <v>70</v>
      </c>
      <c r="CN552" s="424">
        <f t="shared" si="221"/>
        <v>1108</v>
      </c>
      <c r="CO552" s="424">
        <f t="shared" si="222"/>
        <v>10</v>
      </c>
      <c r="CP552" s="425">
        <f t="shared" si="223"/>
        <v>1095</v>
      </c>
      <c r="CQ552" s="425">
        <f t="shared" si="224"/>
        <v>10</v>
      </c>
      <c r="CR552" s="419">
        <v>51</v>
      </c>
      <c r="CS552" s="419">
        <v>83</v>
      </c>
      <c r="CT552" s="421">
        <v>51</v>
      </c>
      <c r="CU552" s="421">
        <v>72</v>
      </c>
      <c r="CV552" s="419">
        <v>13</v>
      </c>
      <c r="CW552" s="419">
        <v>40</v>
      </c>
      <c r="CX552" s="421">
        <v>13</v>
      </c>
      <c r="CY552" s="420">
        <v>49</v>
      </c>
      <c r="CZ552" s="419">
        <v>14</v>
      </c>
      <c r="DA552" s="419">
        <v>39</v>
      </c>
      <c r="DB552" s="421">
        <v>14</v>
      </c>
      <c r="DC552" s="421">
        <v>34</v>
      </c>
      <c r="DD552" s="419">
        <v>40</v>
      </c>
      <c r="DE552" s="419">
        <v>10</v>
      </c>
      <c r="DF552" s="421">
        <v>52</v>
      </c>
      <c r="DG552" s="420">
        <v>13</v>
      </c>
      <c r="DH552" s="419">
        <v>52</v>
      </c>
      <c r="DI552" s="419">
        <v>7</v>
      </c>
      <c r="DJ552" s="421">
        <v>23</v>
      </c>
      <c r="DK552" s="420">
        <v>10</v>
      </c>
      <c r="DL552" s="419">
        <v>42</v>
      </c>
      <c r="DM552" s="419">
        <v>7</v>
      </c>
      <c r="DN552" s="421">
        <v>40</v>
      </c>
      <c r="DO552" s="420">
        <v>9</v>
      </c>
      <c r="DP552" s="419">
        <v>44</v>
      </c>
      <c r="DQ552" s="419">
        <v>4</v>
      </c>
      <c r="DR552" s="421">
        <v>26</v>
      </c>
      <c r="DS552" s="420">
        <v>7</v>
      </c>
      <c r="DT552" s="419">
        <v>26</v>
      </c>
      <c r="DU552" s="419">
        <v>4</v>
      </c>
      <c r="DV552" s="421">
        <v>42</v>
      </c>
      <c r="DW552" s="420">
        <v>7</v>
      </c>
      <c r="DX552" s="419">
        <v>23</v>
      </c>
      <c r="DY552" s="419">
        <v>4</v>
      </c>
      <c r="DZ552" s="421">
        <v>45</v>
      </c>
      <c r="EA552" s="420">
        <v>5</v>
      </c>
      <c r="EB552" s="419">
        <v>11</v>
      </c>
      <c r="EC552" s="419">
        <v>4</v>
      </c>
      <c r="ED552" s="421">
        <v>44</v>
      </c>
      <c r="EE552" s="421">
        <v>4</v>
      </c>
      <c r="EF552" s="419">
        <v>7</v>
      </c>
      <c r="EG552" s="421">
        <v>6</v>
      </c>
      <c r="EH552" s="424">
        <f t="shared" si="225"/>
        <v>209</v>
      </c>
      <c r="EI552" s="424">
        <f t="shared" si="226"/>
        <v>10</v>
      </c>
      <c r="EJ552" s="422">
        <f t="shared" si="227"/>
        <v>0.39712918660287083</v>
      </c>
      <c r="EK552" s="425">
        <f t="shared" si="228"/>
        <v>216</v>
      </c>
      <c r="EL552" s="425">
        <f t="shared" si="229"/>
        <v>10</v>
      </c>
      <c r="EM552" s="423">
        <f t="shared" si="230"/>
        <v>0.33333333333333331</v>
      </c>
      <c r="EN552" s="424">
        <f t="shared" si="231"/>
        <v>1317</v>
      </c>
      <c r="EO552" s="425">
        <f t="shared" si="232"/>
        <v>1311</v>
      </c>
      <c r="EP552" s="419"/>
      <c r="EQ552" s="421"/>
      <c r="ER552" s="419"/>
      <c r="ES552" s="421"/>
      <c r="ET552" s="419"/>
      <c r="EU552" s="421"/>
      <c r="EV552" s="419"/>
      <c r="EW552" s="421"/>
      <c r="EX552" s="419"/>
      <c r="EY552" s="421"/>
      <c r="EZ552" s="419"/>
      <c r="FA552" s="421"/>
      <c r="FB552" s="419"/>
      <c r="FC552" s="421"/>
      <c r="FD552" s="419"/>
      <c r="FE552" s="421"/>
      <c r="FF552" s="419"/>
      <c r="FG552" s="421"/>
      <c r="FH552" s="419"/>
      <c r="FI552" s="421"/>
      <c r="FJ552" s="424">
        <f t="shared" si="233"/>
        <v>0</v>
      </c>
      <c r="FK552" s="425">
        <f t="shared" si="234"/>
        <v>0</v>
      </c>
      <c r="FL552" s="419"/>
      <c r="FM552" s="421"/>
      <c r="FN552" s="424">
        <f t="shared" si="235"/>
        <v>5377</v>
      </c>
      <c r="FO552" s="425">
        <f t="shared" si="236"/>
        <v>5404</v>
      </c>
    </row>
    <row r="553" spans="1:171">
      <c r="A553" s="43" t="s">
        <v>167</v>
      </c>
      <c r="B553" s="42" t="s">
        <v>1076</v>
      </c>
      <c r="C553" s="41" t="s">
        <v>1177</v>
      </c>
      <c r="D553" s="40">
        <v>234076</v>
      </c>
      <c r="E553" s="40">
        <v>1</v>
      </c>
      <c r="F553" s="419">
        <v>29</v>
      </c>
      <c r="G553" s="421">
        <v>32</v>
      </c>
      <c r="H553" s="419"/>
      <c r="I553" s="421"/>
      <c r="J553" s="419">
        <v>0</v>
      </c>
      <c r="K553" s="421">
        <v>0</v>
      </c>
      <c r="L553" s="422">
        <f t="shared" si="215"/>
        <v>0</v>
      </c>
      <c r="M553" s="423">
        <f t="shared" si="216"/>
        <v>0</v>
      </c>
      <c r="N553" s="419">
        <v>4148</v>
      </c>
      <c r="O553" s="309">
        <f>0</f>
        <v>0</v>
      </c>
      <c r="P553" s="309">
        <f>0</f>
        <v>0</v>
      </c>
      <c r="Q553" s="309">
        <f>0</f>
        <v>0</v>
      </c>
      <c r="R553" s="424">
        <f t="shared" si="213"/>
        <v>0</v>
      </c>
      <c r="S553" s="421">
        <v>4171</v>
      </c>
      <c r="T553" s="301">
        <f>0</f>
        <v>0</v>
      </c>
      <c r="U553" s="301">
        <f>0</f>
        <v>0</v>
      </c>
      <c r="V553" s="301">
        <f>0</f>
        <v>0</v>
      </c>
      <c r="W553" s="425">
        <f t="shared" si="214"/>
        <v>0</v>
      </c>
      <c r="X553" s="419"/>
      <c r="Y553" s="419"/>
      <c r="Z553" s="421"/>
      <c r="AA553" s="421"/>
      <c r="AB553" s="419"/>
      <c r="AC553" s="419"/>
      <c r="AD553" s="421"/>
      <c r="AE553" s="421"/>
      <c r="AF553" s="419"/>
      <c r="AG553" s="419"/>
      <c r="AH553" s="421"/>
      <c r="AI553" s="421"/>
      <c r="AJ553" s="419"/>
      <c r="AK553" s="419"/>
      <c r="AL553" s="421"/>
      <c r="AM553" s="421"/>
      <c r="AN553" s="419"/>
      <c r="AO553" s="419"/>
      <c r="AP553" s="421"/>
      <c r="AQ553" s="421"/>
      <c r="AR553" s="424">
        <f t="shared" si="217"/>
        <v>0</v>
      </c>
      <c r="AS553" s="422">
        <f t="shared" si="218"/>
        <v>0.56566207554888859</v>
      </c>
      <c r="AT553" s="425">
        <f t="shared" si="219"/>
        <v>0</v>
      </c>
      <c r="AU553" s="423">
        <f t="shared" si="220"/>
        <v>0.59230332291962506</v>
      </c>
      <c r="AV553" s="419">
        <v>290</v>
      </c>
      <c r="AW553" s="421">
        <v>312</v>
      </c>
      <c r="AX553" s="419">
        <v>52</v>
      </c>
      <c r="AY553" s="419">
        <v>681</v>
      </c>
      <c r="AZ553" s="421">
        <v>52</v>
      </c>
      <c r="BA553" s="421">
        <v>678</v>
      </c>
      <c r="BB553" s="419">
        <v>13</v>
      </c>
      <c r="BC553" s="419">
        <v>358</v>
      </c>
      <c r="BD553" s="421">
        <v>13</v>
      </c>
      <c r="BE553" s="421">
        <v>351</v>
      </c>
      <c r="BF553" s="419">
        <v>51</v>
      </c>
      <c r="BG553" s="419">
        <v>200</v>
      </c>
      <c r="BH553" s="421">
        <v>51</v>
      </c>
      <c r="BI553" s="421">
        <v>210</v>
      </c>
      <c r="BJ553" s="419">
        <v>14</v>
      </c>
      <c r="BK553" s="419">
        <v>163</v>
      </c>
      <c r="BL553" s="421">
        <v>11</v>
      </c>
      <c r="BM553" s="421">
        <v>185</v>
      </c>
      <c r="BN553" s="419">
        <v>11</v>
      </c>
      <c r="BO553" s="419">
        <v>116</v>
      </c>
      <c r="BP553" s="421">
        <v>14</v>
      </c>
      <c r="BQ553" s="420">
        <v>146</v>
      </c>
      <c r="BR553" s="419">
        <v>27</v>
      </c>
      <c r="BS553" s="419">
        <v>86</v>
      </c>
      <c r="BT553" s="421">
        <v>27</v>
      </c>
      <c r="BU553" s="420">
        <v>110</v>
      </c>
      <c r="BV553" s="419">
        <v>44</v>
      </c>
      <c r="BW553" s="419">
        <v>78</v>
      </c>
      <c r="BX553" s="421">
        <v>42</v>
      </c>
      <c r="BY553" s="421">
        <v>77</v>
      </c>
      <c r="BZ553" s="419">
        <v>4</v>
      </c>
      <c r="CA553" s="419">
        <v>73</v>
      </c>
      <c r="CB553" s="421">
        <v>44</v>
      </c>
      <c r="CC553" s="421">
        <v>75</v>
      </c>
      <c r="CD553" s="419">
        <v>42</v>
      </c>
      <c r="CE553" s="419">
        <v>62</v>
      </c>
      <c r="CF553" s="421">
        <v>4</v>
      </c>
      <c r="CG553" s="421">
        <v>70</v>
      </c>
      <c r="CH553" s="419">
        <v>45</v>
      </c>
      <c r="CI553" s="419">
        <v>41</v>
      </c>
      <c r="CJ553" s="421">
        <v>22</v>
      </c>
      <c r="CK553" s="420">
        <v>50</v>
      </c>
      <c r="CL553" s="419">
        <v>234</v>
      </c>
      <c r="CM553" s="421">
        <v>237</v>
      </c>
      <c r="CN553" s="424">
        <f t="shared" si="221"/>
        <v>2092</v>
      </c>
      <c r="CO553" s="424">
        <f t="shared" si="222"/>
        <v>10</v>
      </c>
      <c r="CP553" s="425">
        <f t="shared" si="223"/>
        <v>2189</v>
      </c>
      <c r="CQ553" s="425">
        <f t="shared" si="224"/>
        <v>10</v>
      </c>
      <c r="CR553" s="419">
        <v>14</v>
      </c>
      <c r="CS553" s="419">
        <v>81</v>
      </c>
      <c r="CT553" s="421">
        <v>14</v>
      </c>
      <c r="CU553" s="420">
        <v>61</v>
      </c>
      <c r="CV553" s="419">
        <v>13</v>
      </c>
      <c r="CW553" s="419">
        <v>46</v>
      </c>
      <c r="CX553" s="421">
        <v>26</v>
      </c>
      <c r="CY553" s="421">
        <v>44</v>
      </c>
      <c r="CZ553" s="419">
        <v>26</v>
      </c>
      <c r="DA553" s="419">
        <v>44</v>
      </c>
      <c r="DB553" s="421">
        <v>13</v>
      </c>
      <c r="DC553" s="421">
        <v>37</v>
      </c>
      <c r="DD553" s="419">
        <v>40</v>
      </c>
      <c r="DE553" s="419">
        <v>31</v>
      </c>
      <c r="DF553" s="421">
        <v>40</v>
      </c>
      <c r="DG553" s="421">
        <v>33</v>
      </c>
      <c r="DH553" s="419">
        <v>51</v>
      </c>
      <c r="DI553" s="419">
        <v>25</v>
      </c>
      <c r="DJ553" s="421">
        <v>45</v>
      </c>
      <c r="DK553" s="421">
        <v>30</v>
      </c>
      <c r="DL553" s="419">
        <v>45</v>
      </c>
      <c r="DM553" s="419">
        <v>21</v>
      </c>
      <c r="DN553" s="421">
        <v>51</v>
      </c>
      <c r="DO553" s="420">
        <v>26</v>
      </c>
      <c r="DP553" s="419">
        <v>42</v>
      </c>
      <c r="DQ553" s="419">
        <v>15</v>
      </c>
      <c r="DR553" s="421">
        <v>42</v>
      </c>
      <c r="DS553" s="420">
        <v>21</v>
      </c>
      <c r="DT553" s="419">
        <v>23</v>
      </c>
      <c r="DU553" s="419">
        <v>14</v>
      </c>
      <c r="DV553" s="421">
        <v>16</v>
      </c>
      <c r="DW553" s="421">
        <v>13</v>
      </c>
      <c r="DX553" s="419">
        <v>38</v>
      </c>
      <c r="DY553" s="419">
        <v>12</v>
      </c>
      <c r="DZ553" s="421">
        <v>38</v>
      </c>
      <c r="EA553" s="421">
        <v>13</v>
      </c>
      <c r="EB553" s="419">
        <v>54</v>
      </c>
      <c r="EC553" s="419">
        <v>11</v>
      </c>
      <c r="ED553" s="421">
        <v>27</v>
      </c>
      <c r="EE553" s="421">
        <v>12</v>
      </c>
      <c r="EF553" s="419">
        <v>43</v>
      </c>
      <c r="EG553" s="421">
        <v>48</v>
      </c>
      <c r="EH553" s="424">
        <f t="shared" si="225"/>
        <v>343</v>
      </c>
      <c r="EI553" s="424">
        <f t="shared" si="226"/>
        <v>10</v>
      </c>
      <c r="EJ553" s="422">
        <f t="shared" si="227"/>
        <v>0.23615160349854228</v>
      </c>
      <c r="EK553" s="425">
        <f t="shared" si="228"/>
        <v>338</v>
      </c>
      <c r="EL553" s="425">
        <f t="shared" si="229"/>
        <v>10</v>
      </c>
      <c r="EM553" s="423">
        <f t="shared" si="230"/>
        <v>0.18047337278106509</v>
      </c>
      <c r="EN553" s="424">
        <f t="shared" si="231"/>
        <v>2435</v>
      </c>
      <c r="EO553" s="425">
        <f t="shared" si="232"/>
        <v>2527</v>
      </c>
      <c r="EP553" s="419">
        <v>287</v>
      </c>
      <c r="EQ553" s="420"/>
      <c r="ER553" s="419">
        <v>144</v>
      </c>
      <c r="ES553" s="420"/>
      <c r="ET553" s="419"/>
      <c r="EU553" s="421"/>
      <c r="EV553" s="419"/>
      <c r="EW553" s="421"/>
      <c r="EX553" s="419"/>
      <c r="EY553" s="421"/>
      <c r="EZ553" s="419"/>
      <c r="FA553" s="421"/>
      <c r="FB553" s="419"/>
      <c r="FC553" s="421"/>
      <c r="FD553" s="419"/>
      <c r="FE553" s="421"/>
      <c r="FF553" s="419"/>
      <c r="FG553" s="421"/>
      <c r="FH553" s="419"/>
      <c r="FI553" s="421"/>
      <c r="FJ553" s="424">
        <f t="shared" si="233"/>
        <v>431</v>
      </c>
      <c r="FK553" s="425">
        <f t="shared" si="234"/>
        <v>0</v>
      </c>
      <c r="FL553" s="419"/>
      <c r="FM553" s="421"/>
      <c r="FN553" s="424">
        <f t="shared" si="235"/>
        <v>7333</v>
      </c>
      <c r="FO553" s="425">
        <f t="shared" si="236"/>
        <v>7042</v>
      </c>
    </row>
    <row r="554" spans="1:171">
      <c r="A554" s="43" t="s">
        <v>167</v>
      </c>
      <c r="B554" s="42" t="s">
        <v>1077</v>
      </c>
      <c r="C554" s="38" t="s">
        <v>1177</v>
      </c>
      <c r="D554" s="40">
        <v>234030</v>
      </c>
      <c r="E554" s="40">
        <v>1</v>
      </c>
      <c r="F554" s="419">
        <v>0</v>
      </c>
      <c r="G554" s="421">
        <v>0</v>
      </c>
      <c r="H554" s="419"/>
      <c r="I554" s="421"/>
      <c r="J554" s="419">
        <v>0</v>
      </c>
      <c r="K554" s="421">
        <v>0</v>
      </c>
      <c r="L554" s="422">
        <f t="shared" si="215"/>
        <v>0</v>
      </c>
      <c r="M554" s="423">
        <f t="shared" si="216"/>
        <v>0</v>
      </c>
      <c r="N554" s="419">
        <v>5255</v>
      </c>
      <c r="O554" s="309">
        <f>0</f>
        <v>0</v>
      </c>
      <c r="P554" s="309">
        <f>0</f>
        <v>0</v>
      </c>
      <c r="Q554" s="309">
        <f>0</f>
        <v>0</v>
      </c>
      <c r="R554" s="424">
        <f t="shared" si="213"/>
        <v>0</v>
      </c>
      <c r="S554" s="421">
        <v>4942</v>
      </c>
      <c r="T554" s="301">
        <f>0</f>
        <v>0</v>
      </c>
      <c r="U554" s="301">
        <f>0</f>
        <v>0</v>
      </c>
      <c r="V554" s="301">
        <f>0</f>
        <v>0</v>
      </c>
      <c r="W554" s="425">
        <f t="shared" si="214"/>
        <v>0</v>
      </c>
      <c r="X554" s="419"/>
      <c r="Y554" s="419"/>
      <c r="Z554" s="421"/>
      <c r="AA554" s="421"/>
      <c r="AB554" s="419"/>
      <c r="AC554" s="419"/>
      <c r="AD554" s="421"/>
      <c r="AE554" s="421"/>
      <c r="AF554" s="419"/>
      <c r="AG554" s="419"/>
      <c r="AH554" s="421"/>
      <c r="AI554" s="421"/>
      <c r="AJ554" s="419"/>
      <c r="AK554" s="419"/>
      <c r="AL554" s="421"/>
      <c r="AM554" s="421"/>
      <c r="AN554" s="419"/>
      <c r="AO554" s="419"/>
      <c r="AP554" s="421"/>
      <c r="AQ554" s="421"/>
      <c r="AR554" s="424">
        <f t="shared" si="217"/>
        <v>0</v>
      </c>
      <c r="AS554" s="422">
        <f t="shared" si="218"/>
        <v>0.67973095330487643</v>
      </c>
      <c r="AT554" s="425">
        <f t="shared" si="219"/>
        <v>0</v>
      </c>
      <c r="AU554" s="423">
        <f t="shared" si="220"/>
        <v>0.71107913669064748</v>
      </c>
      <c r="AV554" s="419">
        <v>264</v>
      </c>
      <c r="AW554" s="421">
        <v>243</v>
      </c>
      <c r="AX554" s="419">
        <v>52</v>
      </c>
      <c r="AY554" s="419">
        <v>290</v>
      </c>
      <c r="AZ554" s="421">
        <v>52</v>
      </c>
      <c r="BA554" s="421">
        <v>341</v>
      </c>
      <c r="BB554" s="419">
        <v>51</v>
      </c>
      <c r="BC554" s="419">
        <v>275</v>
      </c>
      <c r="BD554" s="421">
        <v>51</v>
      </c>
      <c r="BE554" s="420">
        <v>219</v>
      </c>
      <c r="BF554" s="419">
        <v>13</v>
      </c>
      <c r="BG554" s="419">
        <v>228</v>
      </c>
      <c r="BH554" s="421">
        <v>13</v>
      </c>
      <c r="BI554" s="421">
        <v>205</v>
      </c>
      <c r="BJ554" s="419">
        <v>44</v>
      </c>
      <c r="BK554" s="419">
        <v>213</v>
      </c>
      <c r="BL554" s="421">
        <v>44</v>
      </c>
      <c r="BM554" s="421">
        <v>198</v>
      </c>
      <c r="BN554" s="419">
        <v>50</v>
      </c>
      <c r="BO554" s="419">
        <v>67</v>
      </c>
      <c r="BP554" s="421">
        <v>14</v>
      </c>
      <c r="BQ554" s="421">
        <v>56</v>
      </c>
      <c r="BR554" s="419">
        <v>26</v>
      </c>
      <c r="BS554" s="419">
        <v>53</v>
      </c>
      <c r="BT554" s="421">
        <v>26</v>
      </c>
      <c r="BU554" s="421">
        <v>54</v>
      </c>
      <c r="BV554" s="419">
        <v>43</v>
      </c>
      <c r="BW554" s="419">
        <v>44</v>
      </c>
      <c r="BX554" s="421">
        <v>31</v>
      </c>
      <c r="BY554" s="421">
        <v>50</v>
      </c>
      <c r="BZ554" s="419">
        <v>14</v>
      </c>
      <c r="CA554" s="419">
        <v>37</v>
      </c>
      <c r="CB554" s="421">
        <v>50</v>
      </c>
      <c r="CC554" s="420">
        <v>49</v>
      </c>
      <c r="CD554" s="419">
        <v>31</v>
      </c>
      <c r="CE554" s="419">
        <v>35</v>
      </c>
      <c r="CF554" s="421">
        <v>30</v>
      </c>
      <c r="CG554" s="421">
        <v>37</v>
      </c>
      <c r="CH554" s="419">
        <v>11</v>
      </c>
      <c r="CI554" s="419">
        <v>25</v>
      </c>
      <c r="CJ554" s="421">
        <v>45</v>
      </c>
      <c r="CK554" s="421">
        <v>29</v>
      </c>
      <c r="CL554" s="419">
        <v>157</v>
      </c>
      <c r="CM554" s="421">
        <v>153</v>
      </c>
      <c r="CN554" s="424">
        <f t="shared" si="221"/>
        <v>1424</v>
      </c>
      <c r="CO554" s="424">
        <f t="shared" si="222"/>
        <v>10</v>
      </c>
      <c r="CP554" s="425">
        <f t="shared" si="223"/>
        <v>1391</v>
      </c>
      <c r="CQ554" s="425">
        <f t="shared" si="224"/>
        <v>10</v>
      </c>
      <c r="CR554" s="419">
        <v>51</v>
      </c>
      <c r="CS554" s="419">
        <v>172</v>
      </c>
      <c r="CT554" s="421">
        <v>51</v>
      </c>
      <c r="CU554" s="421">
        <v>180</v>
      </c>
      <c r="CV554" s="419">
        <v>13</v>
      </c>
      <c r="CW554" s="419">
        <v>48</v>
      </c>
      <c r="CX554" s="421">
        <v>13</v>
      </c>
      <c r="CY554" s="420">
        <v>60</v>
      </c>
      <c r="CZ554" s="419">
        <v>26</v>
      </c>
      <c r="DA554" s="419">
        <v>40</v>
      </c>
      <c r="DB554" s="421">
        <v>26</v>
      </c>
      <c r="DC554" s="421">
        <v>46</v>
      </c>
      <c r="DD554" s="419">
        <v>14</v>
      </c>
      <c r="DE554" s="419">
        <v>26</v>
      </c>
      <c r="DF554" s="421">
        <v>14</v>
      </c>
      <c r="DG554" s="421">
        <v>31</v>
      </c>
      <c r="DH554" s="419">
        <v>40</v>
      </c>
      <c r="DI554" s="419">
        <v>21</v>
      </c>
      <c r="DJ554" s="421">
        <v>42</v>
      </c>
      <c r="DK554" s="421">
        <v>18</v>
      </c>
      <c r="DL554" s="419">
        <v>42</v>
      </c>
      <c r="DM554" s="419">
        <v>13</v>
      </c>
      <c r="DN554" s="421">
        <v>40</v>
      </c>
      <c r="DO554" s="420">
        <v>17</v>
      </c>
      <c r="DP554" s="419">
        <v>44</v>
      </c>
      <c r="DQ554" s="419">
        <v>12</v>
      </c>
      <c r="DR554" s="421">
        <v>30</v>
      </c>
      <c r="DS554" s="420">
        <v>9</v>
      </c>
      <c r="DT554" s="419">
        <v>30</v>
      </c>
      <c r="DU554" s="419">
        <v>9</v>
      </c>
      <c r="DV554" s="421">
        <v>44</v>
      </c>
      <c r="DW554" s="420">
        <v>5</v>
      </c>
      <c r="DX554" s="419">
        <v>52</v>
      </c>
      <c r="DY554" s="419">
        <v>6</v>
      </c>
      <c r="DZ554" s="421">
        <v>52</v>
      </c>
      <c r="EA554" s="420">
        <v>3</v>
      </c>
      <c r="EB554" s="419">
        <v>27</v>
      </c>
      <c r="EC554" s="419">
        <v>4</v>
      </c>
      <c r="ED554" s="421">
        <v>27</v>
      </c>
      <c r="EE554" s="420">
        <v>2</v>
      </c>
      <c r="EF554" s="419">
        <v>2</v>
      </c>
      <c r="EG554" s="420">
        <v>3</v>
      </c>
      <c r="EH554" s="424">
        <f t="shared" si="225"/>
        <v>353</v>
      </c>
      <c r="EI554" s="424">
        <f t="shared" si="226"/>
        <v>10</v>
      </c>
      <c r="EJ554" s="422">
        <f t="shared" si="227"/>
        <v>0.48725212464589235</v>
      </c>
      <c r="EK554" s="425">
        <f t="shared" si="228"/>
        <v>374</v>
      </c>
      <c r="EL554" s="425">
        <f t="shared" si="229"/>
        <v>10</v>
      </c>
      <c r="EM554" s="423">
        <f t="shared" si="230"/>
        <v>0.48128342245989303</v>
      </c>
      <c r="EN554" s="424">
        <f t="shared" si="231"/>
        <v>1777</v>
      </c>
      <c r="EO554" s="425">
        <f t="shared" si="232"/>
        <v>1765</v>
      </c>
      <c r="EP554" s="419"/>
      <c r="EQ554" s="421"/>
      <c r="ER554" s="419">
        <v>210</v>
      </c>
      <c r="ES554" s="420"/>
      <c r="ET554" s="419">
        <v>101</v>
      </c>
      <c r="EU554" s="420"/>
      <c r="EV554" s="419">
        <v>124</v>
      </c>
      <c r="EW554" s="420"/>
      <c r="EX554" s="419"/>
      <c r="EY554" s="421"/>
      <c r="EZ554" s="419"/>
      <c r="FA554" s="421"/>
      <c r="FB554" s="419"/>
      <c r="FC554" s="421"/>
      <c r="FD554" s="419"/>
      <c r="FE554" s="421"/>
      <c r="FF554" s="419"/>
      <c r="FG554" s="421"/>
      <c r="FH554" s="419"/>
      <c r="FI554" s="421"/>
      <c r="FJ554" s="424">
        <f t="shared" si="233"/>
        <v>435</v>
      </c>
      <c r="FK554" s="425">
        <f t="shared" si="234"/>
        <v>0</v>
      </c>
      <c r="FL554" s="419"/>
      <c r="FM554" s="421"/>
      <c r="FN554" s="424">
        <f t="shared" si="235"/>
        <v>7731</v>
      </c>
      <c r="FO554" s="425">
        <f t="shared" si="236"/>
        <v>6950</v>
      </c>
    </row>
    <row r="555" spans="1:171">
      <c r="A555" s="43" t="s">
        <v>167</v>
      </c>
      <c r="B555" s="42" t="s">
        <v>1078</v>
      </c>
      <c r="C555" s="41" t="s">
        <v>1177</v>
      </c>
      <c r="D555" s="40">
        <v>233921</v>
      </c>
      <c r="E555" s="40">
        <v>1</v>
      </c>
      <c r="F555" s="419">
        <v>0</v>
      </c>
      <c r="G555" s="421">
        <v>0</v>
      </c>
      <c r="H555" s="419"/>
      <c r="I555" s="421"/>
      <c r="J555" s="419">
        <v>54</v>
      </c>
      <c r="K555" s="421">
        <v>55</v>
      </c>
      <c r="L555" s="422">
        <f t="shared" si="215"/>
        <v>7.9005120702267742E-3</v>
      </c>
      <c r="M555" s="423">
        <f t="shared" si="216"/>
        <v>8.0503512880562064E-3</v>
      </c>
      <c r="N555" s="419">
        <v>6835</v>
      </c>
      <c r="O555" s="309">
        <f>0</f>
        <v>0</v>
      </c>
      <c r="P555" s="309">
        <f>0</f>
        <v>0</v>
      </c>
      <c r="Q555" s="309">
        <f>0</f>
        <v>0</v>
      </c>
      <c r="R555" s="424">
        <f t="shared" si="213"/>
        <v>0</v>
      </c>
      <c r="S555" s="421">
        <v>6832</v>
      </c>
      <c r="T555" s="301">
        <f>0</f>
        <v>0</v>
      </c>
      <c r="U555" s="301">
        <f>0</f>
        <v>0</v>
      </c>
      <c r="V555" s="301">
        <f>0</f>
        <v>0</v>
      </c>
      <c r="W555" s="425">
        <f t="shared" si="214"/>
        <v>0</v>
      </c>
      <c r="X555" s="419"/>
      <c r="Y555" s="419"/>
      <c r="Z555" s="421"/>
      <c r="AA555" s="421"/>
      <c r="AB555" s="419"/>
      <c r="AC555" s="419"/>
      <c r="AD555" s="421"/>
      <c r="AE555" s="421"/>
      <c r="AF555" s="419"/>
      <c r="AG555" s="419"/>
      <c r="AH555" s="421"/>
      <c r="AI555" s="421"/>
      <c r="AJ555" s="419"/>
      <c r="AK555" s="419"/>
      <c r="AL555" s="421"/>
      <c r="AM555" s="421"/>
      <c r="AN555" s="419"/>
      <c r="AO555" s="419"/>
      <c r="AP555" s="421"/>
      <c r="AQ555" s="421"/>
      <c r="AR555" s="424">
        <f t="shared" si="217"/>
        <v>0</v>
      </c>
      <c r="AS555" s="422">
        <f t="shared" si="218"/>
        <v>0.73963856725462618</v>
      </c>
      <c r="AT555" s="425">
        <f t="shared" si="219"/>
        <v>0</v>
      </c>
      <c r="AU555" s="423">
        <f t="shared" si="220"/>
        <v>0.75358482241341274</v>
      </c>
      <c r="AV555" s="419">
        <v>198</v>
      </c>
      <c r="AW555" s="421">
        <v>174</v>
      </c>
      <c r="AX555" s="419">
        <v>14</v>
      </c>
      <c r="AY555" s="419">
        <v>431</v>
      </c>
      <c r="AZ555" s="421">
        <v>14</v>
      </c>
      <c r="BA555" s="421">
        <v>393</v>
      </c>
      <c r="BB555" s="419">
        <v>11</v>
      </c>
      <c r="BC555" s="419">
        <v>195</v>
      </c>
      <c r="BD555" s="421">
        <v>52</v>
      </c>
      <c r="BE555" s="421">
        <v>193</v>
      </c>
      <c r="BF555" s="419">
        <v>52</v>
      </c>
      <c r="BG555" s="419">
        <v>190</v>
      </c>
      <c r="BH555" s="421">
        <v>11</v>
      </c>
      <c r="BI555" s="421">
        <v>193</v>
      </c>
      <c r="BJ555" s="419">
        <v>13</v>
      </c>
      <c r="BK555" s="419">
        <v>168</v>
      </c>
      <c r="BL555" s="421">
        <v>13</v>
      </c>
      <c r="BM555" s="421">
        <v>135</v>
      </c>
      <c r="BN555" s="419">
        <v>4</v>
      </c>
      <c r="BO555" s="419">
        <v>89</v>
      </c>
      <c r="BP555" s="421">
        <v>3</v>
      </c>
      <c r="BQ555" s="421">
        <v>92</v>
      </c>
      <c r="BR555" s="419">
        <v>3</v>
      </c>
      <c r="BS555" s="419">
        <v>84</v>
      </c>
      <c r="BT555" s="421">
        <v>4</v>
      </c>
      <c r="BU555" s="421">
        <v>84</v>
      </c>
      <c r="BV555" s="419">
        <v>1</v>
      </c>
      <c r="BW555" s="419">
        <v>55</v>
      </c>
      <c r="BX555" s="421">
        <v>1</v>
      </c>
      <c r="BY555" s="421">
        <v>62</v>
      </c>
      <c r="BZ555" s="419">
        <v>45</v>
      </c>
      <c r="CA555" s="419">
        <v>45</v>
      </c>
      <c r="CB555" s="421">
        <v>45</v>
      </c>
      <c r="CC555" s="421">
        <v>40</v>
      </c>
      <c r="CD555" s="419">
        <v>26</v>
      </c>
      <c r="CE555" s="419">
        <v>40</v>
      </c>
      <c r="CF555" s="421">
        <v>44</v>
      </c>
      <c r="CG555" s="421">
        <v>37</v>
      </c>
      <c r="CH555" s="419">
        <v>27</v>
      </c>
      <c r="CI555" s="419">
        <v>32</v>
      </c>
      <c r="CJ555" s="421">
        <v>26</v>
      </c>
      <c r="CK555" s="421">
        <v>36</v>
      </c>
      <c r="CL555" s="419">
        <v>196</v>
      </c>
      <c r="CM555" s="421">
        <v>183</v>
      </c>
      <c r="CN555" s="424">
        <f t="shared" si="221"/>
        <v>1525</v>
      </c>
      <c r="CO555" s="424">
        <f t="shared" si="222"/>
        <v>10</v>
      </c>
      <c r="CP555" s="425">
        <f t="shared" si="223"/>
        <v>1448</v>
      </c>
      <c r="CQ555" s="425">
        <f t="shared" si="224"/>
        <v>10</v>
      </c>
      <c r="CR555" s="419">
        <v>14</v>
      </c>
      <c r="CS555" s="419">
        <v>184</v>
      </c>
      <c r="CT555" s="421">
        <v>14</v>
      </c>
      <c r="CU555" s="421">
        <v>220</v>
      </c>
      <c r="CV555" s="419">
        <v>26</v>
      </c>
      <c r="CW555" s="419">
        <v>48</v>
      </c>
      <c r="CX555" s="421">
        <v>26</v>
      </c>
      <c r="CY555" s="421">
        <v>56</v>
      </c>
      <c r="CZ555" s="419">
        <v>40</v>
      </c>
      <c r="DA555" s="419">
        <v>41</v>
      </c>
      <c r="DB555" s="421">
        <v>13</v>
      </c>
      <c r="DC555" s="420">
        <v>55</v>
      </c>
      <c r="DD555" s="419">
        <v>13</v>
      </c>
      <c r="DE555" s="419">
        <v>38</v>
      </c>
      <c r="DF555" s="421">
        <v>40</v>
      </c>
      <c r="DG555" s="421">
        <v>42</v>
      </c>
      <c r="DH555" s="419">
        <v>1</v>
      </c>
      <c r="DI555" s="419">
        <v>37</v>
      </c>
      <c r="DJ555" s="421">
        <v>45</v>
      </c>
      <c r="DK555" s="421">
        <v>33</v>
      </c>
      <c r="DL555" s="419">
        <v>45</v>
      </c>
      <c r="DM555" s="419">
        <v>30</v>
      </c>
      <c r="DN555" s="421">
        <v>11</v>
      </c>
      <c r="DO555" s="421">
        <v>28</v>
      </c>
      <c r="DP555" s="419">
        <v>11</v>
      </c>
      <c r="DQ555" s="419">
        <v>21</v>
      </c>
      <c r="DR555" s="421">
        <v>1</v>
      </c>
      <c r="DS555" s="420">
        <v>28</v>
      </c>
      <c r="DT555" s="419">
        <v>19</v>
      </c>
      <c r="DU555" s="419">
        <v>14</v>
      </c>
      <c r="DV555" s="421">
        <v>27</v>
      </c>
      <c r="DW555" s="420">
        <v>18</v>
      </c>
      <c r="DX555" s="419">
        <v>27</v>
      </c>
      <c r="DY555" s="419">
        <v>11</v>
      </c>
      <c r="DZ555" s="421">
        <v>42</v>
      </c>
      <c r="EA555" s="420">
        <v>16</v>
      </c>
      <c r="EB555" s="419">
        <v>44</v>
      </c>
      <c r="EC555" s="419">
        <v>9</v>
      </c>
      <c r="ED555" s="421">
        <v>19</v>
      </c>
      <c r="EE555" s="420">
        <v>16</v>
      </c>
      <c r="EF555" s="419">
        <v>36</v>
      </c>
      <c r="EG555" s="420">
        <v>45</v>
      </c>
      <c r="EH555" s="424">
        <f t="shared" si="225"/>
        <v>469</v>
      </c>
      <c r="EI555" s="424">
        <f t="shared" si="226"/>
        <v>10</v>
      </c>
      <c r="EJ555" s="422">
        <f t="shared" si="227"/>
        <v>0.39232409381663114</v>
      </c>
      <c r="EK555" s="425">
        <f t="shared" si="228"/>
        <v>557</v>
      </c>
      <c r="EL555" s="425">
        <f t="shared" si="229"/>
        <v>10</v>
      </c>
      <c r="EM555" s="423">
        <f t="shared" si="230"/>
        <v>0.39497307001795334</v>
      </c>
      <c r="EN555" s="424">
        <f t="shared" si="231"/>
        <v>1994</v>
      </c>
      <c r="EO555" s="425">
        <f t="shared" si="232"/>
        <v>2005</v>
      </c>
      <c r="EP555" s="419"/>
      <c r="EQ555" s="421"/>
      <c r="ER555" s="419">
        <v>37</v>
      </c>
      <c r="ES555" s="420"/>
      <c r="ET555" s="419"/>
      <c r="EU555" s="421"/>
      <c r="EV555" s="419"/>
      <c r="EW555" s="421"/>
      <c r="EX555" s="419"/>
      <c r="EY555" s="421"/>
      <c r="EZ555" s="419"/>
      <c r="FA555" s="421"/>
      <c r="FB555" s="419"/>
      <c r="FC555" s="421"/>
      <c r="FD555" s="419">
        <v>123</v>
      </c>
      <c r="FE555" s="420"/>
      <c r="FF555" s="419"/>
      <c r="FG555" s="421"/>
      <c r="FH555" s="419"/>
      <c r="FI555" s="421"/>
      <c r="FJ555" s="424">
        <f t="shared" si="233"/>
        <v>160</v>
      </c>
      <c r="FK555" s="425">
        <f t="shared" si="234"/>
        <v>0</v>
      </c>
      <c r="FL555" s="419"/>
      <c r="FM555" s="421"/>
      <c r="FN555" s="424">
        <f t="shared" si="235"/>
        <v>9241</v>
      </c>
      <c r="FO555" s="425">
        <f t="shared" si="236"/>
        <v>9066</v>
      </c>
    </row>
    <row r="556" spans="1:171">
      <c r="A556" s="43" t="s">
        <v>167</v>
      </c>
      <c r="B556" s="42" t="s">
        <v>1079</v>
      </c>
      <c r="C556" s="41" t="s">
        <v>1177</v>
      </c>
      <c r="D556" s="40">
        <v>231624</v>
      </c>
      <c r="E556" s="40">
        <v>2</v>
      </c>
      <c r="F556" s="419">
        <v>0</v>
      </c>
      <c r="G556" s="421">
        <v>0</v>
      </c>
      <c r="H556" s="419"/>
      <c r="I556" s="421"/>
      <c r="J556" s="419">
        <v>0</v>
      </c>
      <c r="K556" s="421">
        <v>0</v>
      </c>
      <c r="L556" s="422">
        <f t="shared" si="215"/>
        <v>0</v>
      </c>
      <c r="M556" s="423">
        <f t="shared" si="216"/>
        <v>0</v>
      </c>
      <c r="N556" s="419">
        <v>1653</v>
      </c>
      <c r="O556" s="309">
        <f>0</f>
        <v>0</v>
      </c>
      <c r="P556" s="309">
        <f>0</f>
        <v>0</v>
      </c>
      <c r="Q556" s="309">
        <f>0</f>
        <v>0</v>
      </c>
      <c r="R556" s="424">
        <f t="shared" si="213"/>
        <v>0</v>
      </c>
      <c r="S556" s="421">
        <v>1604</v>
      </c>
      <c r="T556" s="301">
        <f>0</f>
        <v>0</v>
      </c>
      <c r="U556" s="301">
        <f>0</f>
        <v>0</v>
      </c>
      <c r="V556" s="301">
        <f>0</f>
        <v>0</v>
      </c>
      <c r="W556" s="425">
        <f t="shared" si="214"/>
        <v>0</v>
      </c>
      <c r="X556" s="419"/>
      <c r="Y556" s="419"/>
      <c r="Z556" s="421"/>
      <c r="AA556" s="421"/>
      <c r="AB556" s="419"/>
      <c r="AC556" s="419"/>
      <c r="AD556" s="421"/>
      <c r="AE556" s="421"/>
      <c r="AF556" s="419"/>
      <c r="AG556" s="419"/>
      <c r="AH556" s="421"/>
      <c r="AI556" s="421"/>
      <c r="AJ556" s="419"/>
      <c r="AK556" s="419"/>
      <c r="AL556" s="421"/>
      <c r="AM556" s="421"/>
      <c r="AN556" s="419"/>
      <c r="AO556" s="419"/>
      <c r="AP556" s="421"/>
      <c r="AQ556" s="421"/>
      <c r="AR556" s="424">
        <f t="shared" si="217"/>
        <v>0</v>
      </c>
      <c r="AS556" s="422">
        <f t="shared" si="218"/>
        <v>0.60772058823529407</v>
      </c>
      <c r="AT556" s="425">
        <f t="shared" si="219"/>
        <v>0</v>
      </c>
      <c r="AU556" s="423">
        <f t="shared" si="220"/>
        <v>0.64965573106520857</v>
      </c>
      <c r="AV556" s="419">
        <v>9</v>
      </c>
      <c r="AW556" s="420">
        <v>24</v>
      </c>
      <c r="AX556" s="419">
        <v>52</v>
      </c>
      <c r="AY556" s="419">
        <v>466</v>
      </c>
      <c r="AZ556" s="421">
        <v>52</v>
      </c>
      <c r="BA556" s="421">
        <v>471</v>
      </c>
      <c r="BB556" s="419">
        <v>13</v>
      </c>
      <c r="BC556" s="419">
        <v>129</v>
      </c>
      <c r="BD556" s="421">
        <v>13</v>
      </c>
      <c r="BE556" s="421">
        <v>127</v>
      </c>
      <c r="BF556" s="419">
        <v>22</v>
      </c>
      <c r="BG556" s="419">
        <v>36</v>
      </c>
      <c r="BH556" s="421">
        <v>22</v>
      </c>
      <c r="BI556" s="421">
        <v>37</v>
      </c>
      <c r="BJ556" s="419">
        <v>42</v>
      </c>
      <c r="BK556" s="419">
        <v>19</v>
      </c>
      <c r="BL556" s="421">
        <v>42</v>
      </c>
      <c r="BM556" s="421">
        <v>18</v>
      </c>
      <c r="BN556" s="419">
        <v>26</v>
      </c>
      <c r="BO556" s="419">
        <v>17</v>
      </c>
      <c r="BP556" s="421">
        <v>26</v>
      </c>
      <c r="BQ556" s="421">
        <v>18</v>
      </c>
      <c r="BR556" s="419">
        <v>54</v>
      </c>
      <c r="BS556" s="419">
        <v>16</v>
      </c>
      <c r="BT556" s="421">
        <v>11</v>
      </c>
      <c r="BU556" s="421">
        <v>17</v>
      </c>
      <c r="BV556" s="419">
        <v>11</v>
      </c>
      <c r="BW556" s="419">
        <v>13</v>
      </c>
      <c r="BX556" s="421">
        <v>44</v>
      </c>
      <c r="BY556" s="421">
        <v>13</v>
      </c>
      <c r="BZ556" s="419">
        <v>44</v>
      </c>
      <c r="CA556" s="419">
        <v>13</v>
      </c>
      <c r="CB556" s="421">
        <v>40</v>
      </c>
      <c r="CC556" s="421">
        <v>12</v>
      </c>
      <c r="CD556" s="419">
        <v>40</v>
      </c>
      <c r="CE556" s="419">
        <v>13</v>
      </c>
      <c r="CF556" s="421">
        <v>54</v>
      </c>
      <c r="CG556" s="421">
        <v>12</v>
      </c>
      <c r="CH556" s="419">
        <v>42</v>
      </c>
      <c r="CI556" s="419">
        <v>7</v>
      </c>
      <c r="CJ556" s="421">
        <v>42</v>
      </c>
      <c r="CK556" s="421">
        <v>7</v>
      </c>
      <c r="CL556" s="419">
        <v>14</v>
      </c>
      <c r="CM556" s="421">
        <v>13</v>
      </c>
      <c r="CN556" s="424">
        <f t="shared" si="221"/>
        <v>743</v>
      </c>
      <c r="CO556" s="424">
        <f t="shared" si="222"/>
        <v>10</v>
      </c>
      <c r="CP556" s="425">
        <f t="shared" si="223"/>
        <v>745</v>
      </c>
      <c r="CQ556" s="425">
        <f t="shared" si="224"/>
        <v>10</v>
      </c>
      <c r="CR556" s="419">
        <v>13</v>
      </c>
      <c r="CS556" s="419">
        <v>32</v>
      </c>
      <c r="CT556" s="421">
        <v>13</v>
      </c>
      <c r="CU556" s="420">
        <v>47</v>
      </c>
      <c r="CV556" s="419">
        <v>40</v>
      </c>
      <c r="CW556" s="419">
        <v>14</v>
      </c>
      <c r="CX556" s="421">
        <v>26</v>
      </c>
      <c r="CY556" s="421">
        <v>14</v>
      </c>
      <c r="CZ556" s="419">
        <v>11</v>
      </c>
      <c r="DA556" s="419">
        <v>12</v>
      </c>
      <c r="DB556" s="421">
        <v>11</v>
      </c>
      <c r="DC556" s="421">
        <v>10</v>
      </c>
      <c r="DD556" s="419">
        <v>26</v>
      </c>
      <c r="DE556" s="419">
        <v>11</v>
      </c>
      <c r="DF556" s="421">
        <v>30</v>
      </c>
      <c r="DG556" s="421">
        <v>9</v>
      </c>
      <c r="DH556" s="419">
        <v>5</v>
      </c>
      <c r="DI556" s="419">
        <v>5</v>
      </c>
      <c r="DJ556" s="421">
        <v>5</v>
      </c>
      <c r="DK556" s="421">
        <v>5</v>
      </c>
      <c r="DL556" s="419">
        <v>54</v>
      </c>
      <c r="DM556" s="419">
        <v>4</v>
      </c>
      <c r="DN556" s="421">
        <v>54</v>
      </c>
      <c r="DO556" s="420">
        <v>5</v>
      </c>
      <c r="DP556" s="419">
        <v>45</v>
      </c>
      <c r="DQ556" s="419">
        <v>4</v>
      </c>
      <c r="DR556" s="421">
        <v>40</v>
      </c>
      <c r="DS556" s="421">
        <v>4</v>
      </c>
      <c r="DT556" s="419">
        <v>30</v>
      </c>
      <c r="DU556" s="419">
        <v>3</v>
      </c>
      <c r="DV556" s="421">
        <v>45</v>
      </c>
      <c r="DW556" s="420">
        <v>2</v>
      </c>
      <c r="DX556" s="419"/>
      <c r="DY556" s="419"/>
      <c r="DZ556" s="420"/>
      <c r="EA556" s="421">
        <v>0</v>
      </c>
      <c r="EB556" s="419"/>
      <c r="EC556" s="419"/>
      <c r="ED556" s="420"/>
      <c r="EE556" s="421">
        <v>0</v>
      </c>
      <c r="EF556" s="419"/>
      <c r="EG556" s="421">
        <v>0</v>
      </c>
      <c r="EH556" s="424">
        <f t="shared" si="225"/>
        <v>85</v>
      </c>
      <c r="EI556" s="424">
        <f t="shared" si="226"/>
        <v>8</v>
      </c>
      <c r="EJ556" s="422">
        <f t="shared" si="227"/>
        <v>0.37647058823529411</v>
      </c>
      <c r="EK556" s="425">
        <f t="shared" si="228"/>
        <v>96</v>
      </c>
      <c r="EL556" s="425">
        <f t="shared" si="229"/>
        <v>8</v>
      </c>
      <c r="EM556" s="423">
        <f t="shared" si="230"/>
        <v>0.48958333333333331</v>
      </c>
      <c r="EN556" s="424">
        <f t="shared" si="231"/>
        <v>828</v>
      </c>
      <c r="EO556" s="425">
        <f t="shared" si="232"/>
        <v>841</v>
      </c>
      <c r="EP556" s="419">
        <v>230</v>
      </c>
      <c r="EQ556" s="420"/>
      <c r="ER556" s="419"/>
      <c r="ES556" s="421"/>
      <c r="ET556" s="419"/>
      <c r="EU556" s="421"/>
      <c r="EV556" s="419"/>
      <c r="EW556" s="421"/>
      <c r="EX556" s="419"/>
      <c r="EY556" s="421"/>
      <c r="EZ556" s="419"/>
      <c r="FA556" s="421"/>
      <c r="FB556" s="419"/>
      <c r="FC556" s="421"/>
      <c r="FD556" s="419"/>
      <c r="FE556" s="421"/>
      <c r="FF556" s="419"/>
      <c r="FG556" s="421"/>
      <c r="FH556" s="419"/>
      <c r="FI556" s="421"/>
      <c r="FJ556" s="424">
        <f t="shared" si="233"/>
        <v>230</v>
      </c>
      <c r="FK556" s="425">
        <f t="shared" si="234"/>
        <v>0</v>
      </c>
      <c r="FL556" s="419"/>
      <c r="FM556" s="421"/>
      <c r="FN556" s="424">
        <f t="shared" si="235"/>
        <v>2720</v>
      </c>
      <c r="FO556" s="425">
        <f t="shared" si="236"/>
        <v>2469</v>
      </c>
    </row>
    <row r="557" spans="1:171" s="272" customFormat="1" ht="15" customHeight="1">
      <c r="A557" s="43" t="s">
        <v>167</v>
      </c>
      <c r="B557" s="42" t="s">
        <v>1080</v>
      </c>
      <c r="C557" s="113" t="s">
        <v>1177</v>
      </c>
      <c r="D557" s="40">
        <v>232423</v>
      </c>
      <c r="E557" s="40">
        <v>3</v>
      </c>
      <c r="F557" s="419">
        <v>0</v>
      </c>
      <c r="G557" s="421">
        <v>0</v>
      </c>
      <c r="H557" s="419"/>
      <c r="I557" s="421"/>
      <c r="J557" s="419">
        <v>0</v>
      </c>
      <c r="K557" s="421">
        <v>0</v>
      </c>
      <c r="L557" s="422">
        <f t="shared" si="215"/>
        <v>0</v>
      </c>
      <c r="M557" s="423">
        <f t="shared" si="216"/>
        <v>0</v>
      </c>
      <c r="N557" s="419">
        <v>4495</v>
      </c>
      <c r="O557" s="309">
        <f>0</f>
        <v>0</v>
      </c>
      <c r="P557" s="309">
        <f>0</f>
        <v>0</v>
      </c>
      <c r="Q557" s="309">
        <f>0</f>
        <v>0</v>
      </c>
      <c r="R557" s="424">
        <f t="shared" si="213"/>
        <v>0</v>
      </c>
      <c r="S557" s="421">
        <v>4713</v>
      </c>
      <c r="T557" s="301">
        <f>0</f>
        <v>0</v>
      </c>
      <c r="U557" s="301">
        <f>0</f>
        <v>0</v>
      </c>
      <c r="V557" s="301">
        <f>0</f>
        <v>0</v>
      </c>
      <c r="W557" s="425">
        <f t="shared" si="214"/>
        <v>0</v>
      </c>
      <c r="X557" s="419"/>
      <c r="Y557" s="419"/>
      <c r="Z557" s="421"/>
      <c r="AA557" s="421"/>
      <c r="AB557" s="419"/>
      <c r="AC557" s="419"/>
      <c r="AD557" s="421"/>
      <c r="AE557" s="421"/>
      <c r="AF557" s="419"/>
      <c r="AG557" s="419"/>
      <c r="AH557" s="421"/>
      <c r="AI557" s="421"/>
      <c r="AJ557" s="419"/>
      <c r="AK557" s="419"/>
      <c r="AL557" s="421"/>
      <c r="AM557" s="421"/>
      <c r="AN557" s="419"/>
      <c r="AO557" s="419"/>
      <c r="AP557" s="421"/>
      <c r="AQ557" s="421"/>
      <c r="AR557" s="424">
        <f t="shared" si="217"/>
        <v>0</v>
      </c>
      <c r="AS557" s="422">
        <f t="shared" si="218"/>
        <v>0.85180974038279322</v>
      </c>
      <c r="AT557" s="425">
        <f t="shared" si="219"/>
        <v>0</v>
      </c>
      <c r="AU557" s="423">
        <f t="shared" si="220"/>
        <v>0.84296190305848684</v>
      </c>
      <c r="AV557" s="419">
        <v>19</v>
      </c>
      <c r="AW557" s="420">
        <v>23</v>
      </c>
      <c r="AX557" s="419">
        <v>13</v>
      </c>
      <c r="AY557" s="419">
        <v>334</v>
      </c>
      <c r="AZ557" s="421">
        <v>13</v>
      </c>
      <c r="BA557" s="421">
        <v>384</v>
      </c>
      <c r="BB557" s="419">
        <v>52</v>
      </c>
      <c r="BC557" s="419">
        <v>117</v>
      </c>
      <c r="BD557" s="421">
        <v>51</v>
      </c>
      <c r="BE557" s="421">
        <v>122</v>
      </c>
      <c r="BF557" s="419">
        <v>51</v>
      </c>
      <c r="BG557" s="419">
        <v>116</v>
      </c>
      <c r="BH557" s="421">
        <v>52</v>
      </c>
      <c r="BI557" s="421">
        <v>101</v>
      </c>
      <c r="BJ557" s="419">
        <v>31</v>
      </c>
      <c r="BK557" s="419">
        <v>28</v>
      </c>
      <c r="BL557" s="421">
        <v>31</v>
      </c>
      <c r="BM557" s="420">
        <v>48</v>
      </c>
      <c r="BN557" s="419">
        <v>42</v>
      </c>
      <c r="BO557" s="419">
        <v>21</v>
      </c>
      <c r="BP557" s="421">
        <v>13</v>
      </c>
      <c r="BQ557" s="421">
        <v>23</v>
      </c>
      <c r="BR557" s="419">
        <v>30</v>
      </c>
      <c r="BS557" s="419">
        <v>17</v>
      </c>
      <c r="BT557" s="421">
        <v>50</v>
      </c>
      <c r="BU557" s="421">
        <v>18</v>
      </c>
      <c r="BV557" s="419">
        <v>45</v>
      </c>
      <c r="BW557" s="419">
        <v>16</v>
      </c>
      <c r="BX557" s="421">
        <v>42</v>
      </c>
      <c r="BY557" s="421">
        <v>18</v>
      </c>
      <c r="BZ557" s="419">
        <v>23</v>
      </c>
      <c r="CA557" s="419">
        <v>13</v>
      </c>
      <c r="CB557" s="421">
        <v>9</v>
      </c>
      <c r="CC557" s="420">
        <v>17</v>
      </c>
      <c r="CD557" s="419">
        <v>44</v>
      </c>
      <c r="CE557" s="419">
        <v>12</v>
      </c>
      <c r="CF557" s="421">
        <v>44</v>
      </c>
      <c r="CG557" s="420">
        <v>17</v>
      </c>
      <c r="CH557" s="419">
        <v>9</v>
      </c>
      <c r="CI557" s="419">
        <v>12</v>
      </c>
      <c r="CJ557" s="421">
        <v>54</v>
      </c>
      <c r="CK557" s="420">
        <v>16</v>
      </c>
      <c r="CL557" s="419">
        <v>40</v>
      </c>
      <c r="CM557" s="420">
        <v>51</v>
      </c>
      <c r="CN557" s="424">
        <f t="shared" si="221"/>
        <v>726</v>
      </c>
      <c r="CO557" s="424">
        <f t="shared" si="222"/>
        <v>10</v>
      </c>
      <c r="CP557" s="425">
        <f t="shared" si="223"/>
        <v>815</v>
      </c>
      <c r="CQ557" s="425">
        <f t="shared" si="224"/>
        <v>10</v>
      </c>
      <c r="CR557" s="419">
        <v>51</v>
      </c>
      <c r="CS557" s="419">
        <v>16</v>
      </c>
      <c r="CT557" s="421">
        <v>51</v>
      </c>
      <c r="CU557" s="420">
        <v>21</v>
      </c>
      <c r="CV557" s="419">
        <v>42</v>
      </c>
      <c r="CW557" s="419">
        <v>11</v>
      </c>
      <c r="CX557" s="421">
        <v>42</v>
      </c>
      <c r="CY557" s="421">
        <v>10</v>
      </c>
      <c r="CZ557" s="419">
        <v>50</v>
      </c>
      <c r="DA557" s="419">
        <v>6</v>
      </c>
      <c r="DB557" s="421">
        <v>50</v>
      </c>
      <c r="DC557" s="421">
        <v>6</v>
      </c>
      <c r="DD557" s="419">
        <v>30</v>
      </c>
      <c r="DE557" s="419">
        <v>4</v>
      </c>
      <c r="DF557" s="421">
        <v>30</v>
      </c>
      <c r="DG557" s="420">
        <v>3</v>
      </c>
      <c r="DH557" s="419"/>
      <c r="DI557" s="419"/>
      <c r="DJ557" s="420"/>
      <c r="DK557" s="421">
        <v>0</v>
      </c>
      <c r="DL557" s="419"/>
      <c r="DM557" s="419"/>
      <c r="DN557" s="420"/>
      <c r="DO557" s="421">
        <v>0</v>
      </c>
      <c r="DP557" s="419"/>
      <c r="DQ557" s="419"/>
      <c r="DR557" s="420"/>
      <c r="DS557" s="421">
        <v>0</v>
      </c>
      <c r="DT557" s="419"/>
      <c r="DU557" s="419"/>
      <c r="DV557" s="420"/>
      <c r="DW557" s="421">
        <v>0</v>
      </c>
      <c r="DX557" s="419"/>
      <c r="DY557" s="419"/>
      <c r="DZ557" s="420"/>
      <c r="EA557" s="421">
        <v>0</v>
      </c>
      <c r="EB557" s="419"/>
      <c r="EC557" s="419"/>
      <c r="ED557" s="420"/>
      <c r="EE557" s="421">
        <v>0</v>
      </c>
      <c r="EF557" s="419"/>
      <c r="EG557" s="421">
        <v>0</v>
      </c>
      <c r="EH557" s="424">
        <f t="shared" si="225"/>
        <v>37</v>
      </c>
      <c r="EI557" s="424">
        <f t="shared" si="226"/>
        <v>4</v>
      </c>
      <c r="EJ557" s="422">
        <f t="shared" si="227"/>
        <v>0.43243243243243246</v>
      </c>
      <c r="EK557" s="425">
        <f t="shared" si="228"/>
        <v>40</v>
      </c>
      <c r="EL557" s="425">
        <f t="shared" si="229"/>
        <v>4</v>
      </c>
      <c r="EM557" s="423">
        <f t="shared" si="230"/>
        <v>0.52500000000000002</v>
      </c>
      <c r="EN557" s="424">
        <f t="shared" si="231"/>
        <v>763</v>
      </c>
      <c r="EO557" s="425">
        <f t="shared" si="232"/>
        <v>855</v>
      </c>
      <c r="EP557" s="419"/>
      <c r="EQ557" s="421"/>
      <c r="ER557" s="419"/>
      <c r="ES557" s="421"/>
      <c r="ET557" s="419"/>
      <c r="EU557" s="421"/>
      <c r="EV557" s="419"/>
      <c r="EW557" s="421"/>
      <c r="EX557" s="419"/>
      <c r="EY557" s="421"/>
      <c r="EZ557" s="419"/>
      <c r="FA557" s="421"/>
      <c r="FB557" s="419"/>
      <c r="FC557" s="421"/>
      <c r="FD557" s="419"/>
      <c r="FE557" s="421"/>
      <c r="FF557" s="419"/>
      <c r="FG557" s="421"/>
      <c r="FH557" s="419"/>
      <c r="FI557" s="421"/>
      <c r="FJ557" s="424">
        <f t="shared" si="233"/>
        <v>0</v>
      </c>
      <c r="FK557" s="425">
        <f t="shared" si="234"/>
        <v>0</v>
      </c>
      <c r="FL557" s="419"/>
      <c r="FM557" s="421"/>
      <c r="FN557" s="424">
        <f t="shared" si="235"/>
        <v>5277</v>
      </c>
      <c r="FO557" s="425">
        <f t="shared" si="236"/>
        <v>5591</v>
      </c>
    </row>
    <row r="558" spans="1:171" s="272" customFormat="1" ht="15" customHeight="1">
      <c r="A558" s="43" t="s">
        <v>167</v>
      </c>
      <c r="B558" s="42" t="s">
        <v>1081</v>
      </c>
      <c r="C558" s="493" t="s">
        <v>1196</v>
      </c>
      <c r="D558" s="40">
        <v>232566</v>
      </c>
      <c r="E558" s="494">
        <v>5</v>
      </c>
      <c r="F558" s="419">
        <v>0</v>
      </c>
      <c r="G558" s="421">
        <v>0</v>
      </c>
      <c r="H558" s="419"/>
      <c r="I558" s="421"/>
      <c r="J558" s="419">
        <v>0</v>
      </c>
      <c r="K558" s="421">
        <v>0</v>
      </c>
      <c r="L558" s="422">
        <f t="shared" si="215"/>
        <v>0</v>
      </c>
      <c r="M558" s="423">
        <f t="shared" si="216"/>
        <v>0</v>
      </c>
      <c r="N558" s="419">
        <v>977</v>
      </c>
      <c r="O558" s="309">
        <f>0</f>
        <v>0</v>
      </c>
      <c r="P558" s="309">
        <f>0</f>
        <v>0</v>
      </c>
      <c r="Q558" s="309">
        <f>0</f>
        <v>0</v>
      </c>
      <c r="R558" s="424">
        <f t="shared" si="213"/>
        <v>0</v>
      </c>
      <c r="S558" s="421">
        <v>821</v>
      </c>
      <c r="T558" s="301">
        <f>0</f>
        <v>0</v>
      </c>
      <c r="U558" s="301">
        <f>0</f>
        <v>0</v>
      </c>
      <c r="V558" s="301">
        <f>0</f>
        <v>0</v>
      </c>
      <c r="W558" s="425">
        <f t="shared" si="214"/>
        <v>0</v>
      </c>
      <c r="X558" s="419"/>
      <c r="Y558" s="419"/>
      <c r="Z558" s="421"/>
      <c r="AA558" s="421"/>
      <c r="AB558" s="419"/>
      <c r="AC558" s="419"/>
      <c r="AD558" s="421"/>
      <c r="AE558" s="421"/>
      <c r="AF558" s="419"/>
      <c r="AG558" s="419"/>
      <c r="AH558" s="421"/>
      <c r="AI558" s="421"/>
      <c r="AJ558" s="419"/>
      <c r="AK558" s="419"/>
      <c r="AL558" s="421"/>
      <c r="AM558" s="421"/>
      <c r="AN558" s="419"/>
      <c r="AO558" s="419"/>
      <c r="AP558" s="421"/>
      <c r="AQ558" s="421"/>
      <c r="AR558" s="424">
        <f t="shared" si="217"/>
        <v>0</v>
      </c>
      <c r="AS558" s="422">
        <f t="shared" si="218"/>
        <v>0.88416289592760178</v>
      </c>
      <c r="AT558" s="425">
        <f t="shared" si="219"/>
        <v>0</v>
      </c>
      <c r="AU558" s="423">
        <f t="shared" si="220"/>
        <v>0.83861082737487236</v>
      </c>
      <c r="AV558" s="419">
        <v>0</v>
      </c>
      <c r="AW558" s="421">
        <v>0</v>
      </c>
      <c r="AX558" s="419">
        <v>13</v>
      </c>
      <c r="AY558" s="419">
        <v>86</v>
      </c>
      <c r="AZ558" s="421">
        <v>13</v>
      </c>
      <c r="BA558" s="420">
        <v>110</v>
      </c>
      <c r="BB558" s="419">
        <v>51</v>
      </c>
      <c r="BC558" s="419">
        <v>24</v>
      </c>
      <c r="BD558" s="421">
        <v>52</v>
      </c>
      <c r="BE558" s="421">
        <v>26</v>
      </c>
      <c r="BF558" s="419">
        <v>52</v>
      </c>
      <c r="BG558" s="419">
        <v>18</v>
      </c>
      <c r="BH558" s="421">
        <v>51</v>
      </c>
      <c r="BI558" s="420">
        <v>22</v>
      </c>
      <c r="BJ558" s="419"/>
      <c r="BK558" s="419"/>
      <c r="BL558" s="420"/>
      <c r="BM558" s="421">
        <v>0</v>
      </c>
      <c r="BN558" s="419"/>
      <c r="BO558" s="419"/>
      <c r="BP558" s="420"/>
      <c r="BQ558" s="421">
        <v>0</v>
      </c>
      <c r="BR558" s="419"/>
      <c r="BS558" s="419"/>
      <c r="BT558" s="420"/>
      <c r="BU558" s="421">
        <v>0</v>
      </c>
      <c r="BV558" s="419"/>
      <c r="BW558" s="419"/>
      <c r="BX558" s="420"/>
      <c r="BY558" s="421">
        <v>0</v>
      </c>
      <c r="BZ558" s="419"/>
      <c r="CA558" s="419"/>
      <c r="CB558" s="420"/>
      <c r="CC558" s="421">
        <v>0</v>
      </c>
      <c r="CD558" s="419"/>
      <c r="CE558" s="419"/>
      <c r="CF558" s="420"/>
      <c r="CG558" s="421">
        <v>0</v>
      </c>
      <c r="CH558" s="419"/>
      <c r="CI558" s="419"/>
      <c r="CJ558" s="420"/>
      <c r="CK558" s="421">
        <v>0</v>
      </c>
      <c r="CL558" s="419">
        <v>0</v>
      </c>
      <c r="CM558" s="421">
        <v>0</v>
      </c>
      <c r="CN558" s="424">
        <f t="shared" si="221"/>
        <v>128</v>
      </c>
      <c r="CO558" s="424">
        <f t="shared" si="222"/>
        <v>3</v>
      </c>
      <c r="CP558" s="425">
        <f t="shared" si="223"/>
        <v>158</v>
      </c>
      <c r="CQ558" s="425">
        <f t="shared" si="224"/>
        <v>3</v>
      </c>
      <c r="CR558" s="419"/>
      <c r="CS558" s="419"/>
      <c r="CT558" s="421"/>
      <c r="CU558" s="421"/>
      <c r="CV558" s="419"/>
      <c r="CW558" s="419"/>
      <c r="CX558" s="421"/>
      <c r="CY558" s="421"/>
      <c r="CZ558" s="419"/>
      <c r="DA558" s="419"/>
      <c r="DB558" s="421"/>
      <c r="DC558" s="421"/>
      <c r="DD558" s="419"/>
      <c r="DE558" s="419"/>
      <c r="DF558" s="421"/>
      <c r="DG558" s="421"/>
      <c r="DH558" s="419"/>
      <c r="DI558" s="419"/>
      <c r="DJ558" s="421"/>
      <c r="DK558" s="421"/>
      <c r="DL558" s="419"/>
      <c r="DM558" s="419"/>
      <c r="DN558" s="421"/>
      <c r="DO558" s="421"/>
      <c r="DP558" s="419"/>
      <c r="DQ558" s="419"/>
      <c r="DR558" s="421"/>
      <c r="DS558" s="421"/>
      <c r="DT558" s="419"/>
      <c r="DU558" s="419"/>
      <c r="DV558" s="421"/>
      <c r="DW558" s="421"/>
      <c r="DX558" s="419"/>
      <c r="DY558" s="419"/>
      <c r="DZ558" s="421"/>
      <c r="EA558" s="421"/>
      <c r="EB558" s="419"/>
      <c r="EC558" s="419"/>
      <c r="ED558" s="421"/>
      <c r="EE558" s="421"/>
      <c r="EF558" s="419"/>
      <c r="EG558" s="421"/>
      <c r="EH558" s="424">
        <f t="shared" si="225"/>
        <v>0</v>
      </c>
      <c r="EI558" s="424">
        <f t="shared" si="226"/>
        <v>0</v>
      </c>
      <c r="EJ558" s="422">
        <f t="shared" si="227"/>
        <v>0</v>
      </c>
      <c r="EK558" s="425">
        <f t="shared" si="228"/>
        <v>0</v>
      </c>
      <c r="EL558" s="425">
        <f t="shared" si="229"/>
        <v>0</v>
      </c>
      <c r="EM558" s="423">
        <f t="shared" si="230"/>
        <v>0</v>
      </c>
      <c r="EN558" s="424">
        <f t="shared" si="231"/>
        <v>128</v>
      </c>
      <c r="EO558" s="425">
        <f t="shared" si="232"/>
        <v>158</v>
      </c>
      <c r="EP558" s="419"/>
      <c r="EQ558" s="421"/>
      <c r="ER558" s="419"/>
      <c r="ES558" s="421"/>
      <c r="ET558" s="419"/>
      <c r="EU558" s="421"/>
      <c r="EV558" s="419"/>
      <c r="EW558" s="421"/>
      <c r="EX558" s="419"/>
      <c r="EY558" s="421"/>
      <c r="EZ558" s="419"/>
      <c r="FA558" s="421"/>
      <c r="FB558" s="419"/>
      <c r="FC558" s="421"/>
      <c r="FD558" s="419"/>
      <c r="FE558" s="421"/>
      <c r="FF558" s="419"/>
      <c r="FG558" s="421"/>
      <c r="FH558" s="419"/>
      <c r="FI558" s="421"/>
      <c r="FJ558" s="424">
        <f t="shared" si="233"/>
        <v>0</v>
      </c>
      <c r="FK558" s="425">
        <f t="shared" si="234"/>
        <v>0</v>
      </c>
      <c r="FL558" s="419"/>
      <c r="FM558" s="421"/>
      <c r="FN558" s="424">
        <f t="shared" si="235"/>
        <v>1105</v>
      </c>
      <c r="FO558" s="425">
        <f t="shared" si="236"/>
        <v>979</v>
      </c>
    </row>
    <row r="559" spans="1:171" s="272" customFormat="1" ht="15" customHeight="1">
      <c r="A559" s="43" t="s">
        <v>167</v>
      </c>
      <c r="B559" s="42" t="s">
        <v>1082</v>
      </c>
      <c r="C559" s="493" t="s">
        <v>1198</v>
      </c>
      <c r="D559" s="40">
        <v>232937</v>
      </c>
      <c r="E559" s="494">
        <v>4</v>
      </c>
      <c r="F559" s="419">
        <v>0</v>
      </c>
      <c r="G559" s="421">
        <v>0</v>
      </c>
      <c r="H559" s="419"/>
      <c r="I559" s="421"/>
      <c r="J559" s="419">
        <v>3</v>
      </c>
      <c r="K559" s="420">
        <v>1</v>
      </c>
      <c r="L559" s="422">
        <f t="shared" si="215"/>
        <v>4.9180327868852463E-3</v>
      </c>
      <c r="M559" s="423">
        <f t="shared" si="216"/>
        <v>1.4084507042253522E-3</v>
      </c>
      <c r="N559" s="419">
        <v>610</v>
      </c>
      <c r="O559" s="309">
        <f>0</f>
        <v>0</v>
      </c>
      <c r="P559" s="309">
        <f>0</f>
        <v>0</v>
      </c>
      <c r="Q559" s="309">
        <f>0</f>
        <v>0</v>
      </c>
      <c r="R559" s="424">
        <f t="shared" si="213"/>
        <v>0</v>
      </c>
      <c r="S559" s="421">
        <v>710</v>
      </c>
      <c r="T559" s="301">
        <f>0</f>
        <v>0</v>
      </c>
      <c r="U559" s="301">
        <f>0</f>
        <v>0</v>
      </c>
      <c r="V559" s="301">
        <f>0</f>
        <v>0</v>
      </c>
      <c r="W559" s="425">
        <f t="shared" si="214"/>
        <v>0</v>
      </c>
      <c r="X559" s="419"/>
      <c r="Y559" s="419"/>
      <c r="Z559" s="421"/>
      <c r="AA559" s="421"/>
      <c r="AB559" s="419"/>
      <c r="AC559" s="419"/>
      <c r="AD559" s="421"/>
      <c r="AE559" s="421"/>
      <c r="AF559" s="419"/>
      <c r="AG559" s="419"/>
      <c r="AH559" s="421"/>
      <c r="AI559" s="421"/>
      <c r="AJ559" s="419"/>
      <c r="AK559" s="419"/>
      <c r="AL559" s="421"/>
      <c r="AM559" s="421"/>
      <c r="AN559" s="419"/>
      <c r="AO559" s="419"/>
      <c r="AP559" s="421"/>
      <c r="AQ559" s="421"/>
      <c r="AR559" s="424">
        <f t="shared" si="217"/>
        <v>0</v>
      </c>
      <c r="AS559" s="422">
        <f t="shared" si="218"/>
        <v>0.76249999999999996</v>
      </c>
      <c r="AT559" s="425">
        <f t="shared" si="219"/>
        <v>0</v>
      </c>
      <c r="AU559" s="423">
        <f t="shared" si="220"/>
        <v>0.81891580161476352</v>
      </c>
      <c r="AV559" s="419">
        <v>0</v>
      </c>
      <c r="AW559" s="421">
        <v>0</v>
      </c>
      <c r="AX559" s="419">
        <v>44</v>
      </c>
      <c r="AY559" s="419">
        <v>72</v>
      </c>
      <c r="AZ559" s="421">
        <v>44</v>
      </c>
      <c r="BA559" s="420">
        <v>42</v>
      </c>
      <c r="BB559" s="419">
        <v>13</v>
      </c>
      <c r="BC559" s="419">
        <v>53</v>
      </c>
      <c r="BD559" s="421">
        <v>13</v>
      </c>
      <c r="BE559" s="420">
        <v>39</v>
      </c>
      <c r="BF559" s="419">
        <v>11</v>
      </c>
      <c r="BG559" s="419">
        <v>20</v>
      </c>
      <c r="BH559" s="421">
        <v>11</v>
      </c>
      <c r="BI559" s="420">
        <v>31</v>
      </c>
      <c r="BJ559" s="419">
        <v>43</v>
      </c>
      <c r="BK559" s="419">
        <v>10</v>
      </c>
      <c r="BL559" s="421">
        <v>50</v>
      </c>
      <c r="BM559" s="421">
        <v>8</v>
      </c>
      <c r="BN559" s="419">
        <v>9</v>
      </c>
      <c r="BO559" s="419">
        <v>7</v>
      </c>
      <c r="BP559" s="421">
        <v>9</v>
      </c>
      <c r="BQ559" s="421">
        <v>8</v>
      </c>
      <c r="BR559" s="419">
        <v>14</v>
      </c>
      <c r="BS559" s="419">
        <v>6</v>
      </c>
      <c r="BT559" s="421">
        <v>14</v>
      </c>
      <c r="BU559" s="421">
        <v>7</v>
      </c>
      <c r="BV559" s="419">
        <v>50</v>
      </c>
      <c r="BW559" s="419">
        <v>4</v>
      </c>
      <c r="BX559" s="421">
        <v>45</v>
      </c>
      <c r="BY559" s="420">
        <v>6</v>
      </c>
      <c r="BZ559" s="419">
        <v>45</v>
      </c>
      <c r="CA559" s="419">
        <v>4</v>
      </c>
      <c r="CB559" s="421">
        <v>43</v>
      </c>
      <c r="CC559" s="420">
        <v>5</v>
      </c>
      <c r="CD559" s="419">
        <v>40</v>
      </c>
      <c r="CE559" s="419">
        <v>1</v>
      </c>
      <c r="CF559" s="421">
        <v>40</v>
      </c>
      <c r="CG559" s="420">
        <v>4</v>
      </c>
      <c r="CH559" s="419"/>
      <c r="CI559" s="419"/>
      <c r="CJ559" s="420"/>
      <c r="CK559" s="421">
        <v>0</v>
      </c>
      <c r="CL559" s="419">
        <v>0</v>
      </c>
      <c r="CM559" s="421">
        <v>0</v>
      </c>
      <c r="CN559" s="424">
        <f t="shared" si="221"/>
        <v>177</v>
      </c>
      <c r="CO559" s="424">
        <f t="shared" si="222"/>
        <v>9</v>
      </c>
      <c r="CP559" s="425">
        <f t="shared" si="223"/>
        <v>150</v>
      </c>
      <c r="CQ559" s="425">
        <f t="shared" si="224"/>
        <v>9</v>
      </c>
      <c r="CR559" s="419">
        <v>40</v>
      </c>
      <c r="CS559" s="419">
        <v>5</v>
      </c>
      <c r="CT559" s="421">
        <v>44</v>
      </c>
      <c r="CU559" s="420">
        <v>3</v>
      </c>
      <c r="CV559" s="419">
        <v>42</v>
      </c>
      <c r="CW559" s="419">
        <v>3</v>
      </c>
      <c r="CX559" s="421">
        <v>42</v>
      </c>
      <c r="CY559" s="420">
        <v>2</v>
      </c>
      <c r="CZ559" s="419">
        <v>44</v>
      </c>
      <c r="DA559" s="419">
        <v>2</v>
      </c>
      <c r="DB559" s="421">
        <v>40</v>
      </c>
      <c r="DC559" s="420">
        <v>1</v>
      </c>
      <c r="DD559" s="419"/>
      <c r="DE559" s="419"/>
      <c r="DF559" s="421"/>
      <c r="DG559" s="421"/>
      <c r="DH559" s="419"/>
      <c r="DI559" s="419"/>
      <c r="DJ559" s="421"/>
      <c r="DK559" s="421"/>
      <c r="DL559" s="419"/>
      <c r="DM559" s="419"/>
      <c r="DN559" s="421"/>
      <c r="DO559" s="421"/>
      <c r="DP559" s="419"/>
      <c r="DQ559" s="419"/>
      <c r="DR559" s="421"/>
      <c r="DS559" s="421"/>
      <c r="DT559" s="419"/>
      <c r="DU559" s="419"/>
      <c r="DV559" s="421"/>
      <c r="DW559" s="421"/>
      <c r="DX559" s="419"/>
      <c r="DY559" s="419"/>
      <c r="DZ559" s="421"/>
      <c r="EA559" s="421"/>
      <c r="EB559" s="419"/>
      <c r="EC559" s="419"/>
      <c r="ED559" s="421"/>
      <c r="EE559" s="421"/>
      <c r="EF559" s="419"/>
      <c r="EG559" s="421"/>
      <c r="EH559" s="424">
        <f t="shared" si="225"/>
        <v>10</v>
      </c>
      <c r="EI559" s="424">
        <f t="shared" si="226"/>
        <v>3</v>
      </c>
      <c r="EJ559" s="422">
        <f t="shared" si="227"/>
        <v>0.5</v>
      </c>
      <c r="EK559" s="425">
        <f t="shared" si="228"/>
        <v>6</v>
      </c>
      <c r="EL559" s="425">
        <f t="shared" si="229"/>
        <v>3</v>
      </c>
      <c r="EM559" s="423">
        <f t="shared" si="230"/>
        <v>0.5</v>
      </c>
      <c r="EN559" s="424">
        <f t="shared" si="231"/>
        <v>187</v>
      </c>
      <c r="EO559" s="425">
        <f t="shared" si="232"/>
        <v>156</v>
      </c>
      <c r="EP559" s="419"/>
      <c r="EQ559" s="421"/>
      <c r="ER559" s="419"/>
      <c r="ES559" s="421"/>
      <c r="ET559" s="419"/>
      <c r="EU559" s="421"/>
      <c r="EV559" s="419"/>
      <c r="EW559" s="421"/>
      <c r="EX559" s="419"/>
      <c r="EY559" s="421"/>
      <c r="EZ559" s="419"/>
      <c r="FA559" s="421"/>
      <c r="FB559" s="419"/>
      <c r="FC559" s="421"/>
      <c r="FD559" s="419"/>
      <c r="FE559" s="421"/>
      <c r="FF559" s="419"/>
      <c r="FG559" s="421"/>
      <c r="FH559" s="419"/>
      <c r="FI559" s="421"/>
      <c r="FJ559" s="424">
        <f t="shared" si="233"/>
        <v>0</v>
      </c>
      <c r="FK559" s="425">
        <f t="shared" si="234"/>
        <v>0</v>
      </c>
      <c r="FL559" s="419"/>
      <c r="FM559" s="421"/>
      <c r="FN559" s="424">
        <f t="shared" si="235"/>
        <v>800</v>
      </c>
      <c r="FO559" s="425">
        <f t="shared" si="236"/>
        <v>867</v>
      </c>
    </row>
    <row r="560" spans="1:171" s="272" customFormat="1" ht="15" customHeight="1">
      <c r="A560" s="43" t="s">
        <v>167</v>
      </c>
      <c r="B560" s="42" t="s">
        <v>1083</v>
      </c>
      <c r="C560" s="113" t="s">
        <v>1177</v>
      </c>
      <c r="D560" s="40">
        <v>233277</v>
      </c>
      <c r="E560" s="40">
        <v>3</v>
      </c>
      <c r="F560" s="419">
        <v>30</v>
      </c>
      <c r="G560" s="420">
        <v>20</v>
      </c>
      <c r="H560" s="419"/>
      <c r="I560" s="421"/>
      <c r="J560" s="419">
        <v>0</v>
      </c>
      <c r="K560" s="420">
        <v>31</v>
      </c>
      <c r="L560" s="422">
        <f t="shared" si="215"/>
        <v>0</v>
      </c>
      <c r="M560" s="423">
        <f t="shared" si="216"/>
        <v>1.6489361702127659E-2</v>
      </c>
      <c r="N560" s="419">
        <v>1843</v>
      </c>
      <c r="O560" s="309">
        <f>0</f>
        <v>0</v>
      </c>
      <c r="P560" s="309">
        <f>0</f>
        <v>0</v>
      </c>
      <c r="Q560" s="309">
        <f>0</f>
        <v>0</v>
      </c>
      <c r="R560" s="424">
        <f t="shared" si="213"/>
        <v>0</v>
      </c>
      <c r="S560" s="421">
        <v>1880</v>
      </c>
      <c r="T560" s="301">
        <f>0</f>
        <v>0</v>
      </c>
      <c r="U560" s="301">
        <f>0</f>
        <v>0</v>
      </c>
      <c r="V560" s="301">
        <f>0</f>
        <v>0</v>
      </c>
      <c r="W560" s="425">
        <f t="shared" si="214"/>
        <v>0</v>
      </c>
      <c r="X560" s="419"/>
      <c r="Y560" s="419"/>
      <c r="Z560" s="421"/>
      <c r="AA560" s="421"/>
      <c r="AB560" s="419"/>
      <c r="AC560" s="419"/>
      <c r="AD560" s="421"/>
      <c r="AE560" s="421"/>
      <c r="AF560" s="419"/>
      <c r="AG560" s="419"/>
      <c r="AH560" s="421"/>
      <c r="AI560" s="421"/>
      <c r="AJ560" s="419"/>
      <c r="AK560" s="419"/>
      <c r="AL560" s="421"/>
      <c r="AM560" s="421"/>
      <c r="AN560" s="419"/>
      <c r="AO560" s="419"/>
      <c r="AP560" s="421"/>
      <c r="AQ560" s="421"/>
      <c r="AR560" s="424">
        <f t="shared" si="217"/>
        <v>0</v>
      </c>
      <c r="AS560" s="422">
        <f t="shared" si="218"/>
        <v>0.82020471740097911</v>
      </c>
      <c r="AT560" s="425">
        <f t="shared" si="219"/>
        <v>0</v>
      </c>
      <c r="AU560" s="423">
        <f t="shared" si="220"/>
        <v>0.77366255144032925</v>
      </c>
      <c r="AV560" s="419">
        <v>19</v>
      </c>
      <c r="AW560" s="420">
        <v>14</v>
      </c>
      <c r="AX560" s="419">
        <v>13</v>
      </c>
      <c r="AY560" s="419">
        <v>135</v>
      </c>
      <c r="AZ560" s="421">
        <v>51</v>
      </c>
      <c r="BA560" s="421">
        <v>156</v>
      </c>
      <c r="BB560" s="419">
        <v>51</v>
      </c>
      <c r="BC560" s="419">
        <v>47</v>
      </c>
      <c r="BD560" s="421">
        <v>13</v>
      </c>
      <c r="BE560" s="420">
        <v>148</v>
      </c>
      <c r="BF560" s="419">
        <v>44</v>
      </c>
      <c r="BG560" s="419">
        <v>42</v>
      </c>
      <c r="BH560" s="421">
        <v>44</v>
      </c>
      <c r="BI560" s="421">
        <v>47</v>
      </c>
      <c r="BJ560" s="419">
        <v>42</v>
      </c>
      <c r="BK560" s="419">
        <v>26</v>
      </c>
      <c r="BL560" s="421">
        <v>42</v>
      </c>
      <c r="BM560" s="421">
        <v>27</v>
      </c>
      <c r="BN560" s="419">
        <v>50</v>
      </c>
      <c r="BO560" s="419">
        <v>13</v>
      </c>
      <c r="BP560" s="421">
        <v>52</v>
      </c>
      <c r="BQ560" s="420">
        <v>17</v>
      </c>
      <c r="BR560" s="419">
        <v>43</v>
      </c>
      <c r="BS560" s="419">
        <v>13</v>
      </c>
      <c r="BT560" s="421">
        <v>50</v>
      </c>
      <c r="BU560" s="421">
        <v>11</v>
      </c>
      <c r="BV560" s="419">
        <v>23</v>
      </c>
      <c r="BW560" s="419">
        <v>10</v>
      </c>
      <c r="BX560" s="421">
        <v>9</v>
      </c>
      <c r="BY560" s="421">
        <v>8</v>
      </c>
      <c r="BZ560" s="419">
        <v>52</v>
      </c>
      <c r="CA560" s="419">
        <v>10</v>
      </c>
      <c r="CB560" s="421">
        <v>42</v>
      </c>
      <c r="CC560" s="420">
        <v>6</v>
      </c>
      <c r="CD560" s="419">
        <v>9</v>
      </c>
      <c r="CE560" s="419">
        <v>8</v>
      </c>
      <c r="CF560" s="421">
        <v>23</v>
      </c>
      <c r="CG560" s="420">
        <v>5</v>
      </c>
      <c r="CH560" s="419">
        <v>42</v>
      </c>
      <c r="CI560" s="419">
        <v>6</v>
      </c>
      <c r="CJ560" s="421">
        <v>43</v>
      </c>
      <c r="CK560" s="420">
        <v>3</v>
      </c>
      <c r="CL560" s="419">
        <v>5</v>
      </c>
      <c r="CM560" s="420">
        <v>1</v>
      </c>
      <c r="CN560" s="424">
        <f t="shared" si="221"/>
        <v>315</v>
      </c>
      <c r="CO560" s="424">
        <f t="shared" si="222"/>
        <v>10</v>
      </c>
      <c r="CP560" s="425">
        <f t="shared" si="223"/>
        <v>429</v>
      </c>
      <c r="CQ560" s="425">
        <f t="shared" si="224"/>
        <v>10</v>
      </c>
      <c r="CR560" s="419">
        <v>51</v>
      </c>
      <c r="CS560" s="419">
        <v>35</v>
      </c>
      <c r="CT560" s="421">
        <v>51</v>
      </c>
      <c r="CU560" s="420">
        <v>52</v>
      </c>
      <c r="CV560" s="419">
        <v>42</v>
      </c>
      <c r="CW560" s="419">
        <v>5</v>
      </c>
      <c r="CX560" s="421">
        <v>42</v>
      </c>
      <c r="CY560" s="421">
        <v>4</v>
      </c>
      <c r="CZ560" s="419"/>
      <c r="DA560" s="419"/>
      <c r="DB560" s="420"/>
      <c r="DC560" s="421">
        <v>0</v>
      </c>
      <c r="DD560" s="419"/>
      <c r="DE560" s="419"/>
      <c r="DF560" s="421"/>
      <c r="DG560" s="421"/>
      <c r="DH560" s="419"/>
      <c r="DI560" s="419"/>
      <c r="DJ560" s="421"/>
      <c r="DK560" s="421"/>
      <c r="DL560" s="419"/>
      <c r="DM560" s="419"/>
      <c r="DN560" s="421"/>
      <c r="DO560" s="421"/>
      <c r="DP560" s="419"/>
      <c r="DQ560" s="419"/>
      <c r="DR560" s="421"/>
      <c r="DS560" s="421"/>
      <c r="DT560" s="419"/>
      <c r="DU560" s="419"/>
      <c r="DV560" s="421"/>
      <c r="DW560" s="421"/>
      <c r="DX560" s="419"/>
      <c r="DY560" s="419"/>
      <c r="DZ560" s="421"/>
      <c r="EA560" s="421"/>
      <c r="EB560" s="419"/>
      <c r="EC560" s="419"/>
      <c r="ED560" s="421"/>
      <c r="EE560" s="421"/>
      <c r="EF560" s="419"/>
      <c r="EG560" s="421"/>
      <c r="EH560" s="424">
        <f t="shared" si="225"/>
        <v>40</v>
      </c>
      <c r="EI560" s="424">
        <f t="shared" si="226"/>
        <v>2</v>
      </c>
      <c r="EJ560" s="422">
        <f t="shared" si="227"/>
        <v>0.875</v>
      </c>
      <c r="EK560" s="425">
        <f t="shared" si="228"/>
        <v>56</v>
      </c>
      <c r="EL560" s="425">
        <f t="shared" si="229"/>
        <v>2</v>
      </c>
      <c r="EM560" s="423">
        <f t="shared" si="230"/>
        <v>0.9285714285714286</v>
      </c>
      <c r="EN560" s="424">
        <f t="shared" si="231"/>
        <v>355</v>
      </c>
      <c r="EO560" s="425">
        <f t="shared" si="232"/>
        <v>485</v>
      </c>
      <c r="EP560" s="419"/>
      <c r="EQ560" s="421"/>
      <c r="ER560" s="419"/>
      <c r="ES560" s="421"/>
      <c r="ET560" s="419"/>
      <c r="EU560" s="421"/>
      <c r="EV560" s="419"/>
      <c r="EW560" s="421"/>
      <c r="EX560" s="419"/>
      <c r="EY560" s="421"/>
      <c r="EZ560" s="419"/>
      <c r="FA560" s="421"/>
      <c r="FB560" s="419"/>
      <c r="FC560" s="421"/>
      <c r="FD560" s="419"/>
      <c r="FE560" s="421"/>
      <c r="FF560" s="419"/>
      <c r="FG560" s="421"/>
      <c r="FH560" s="419"/>
      <c r="FI560" s="421"/>
      <c r="FJ560" s="424">
        <f t="shared" si="233"/>
        <v>0</v>
      </c>
      <c r="FK560" s="425">
        <f t="shared" si="234"/>
        <v>0</v>
      </c>
      <c r="FL560" s="419"/>
      <c r="FM560" s="421"/>
      <c r="FN560" s="424">
        <f t="shared" si="235"/>
        <v>2247</v>
      </c>
      <c r="FO560" s="425">
        <f t="shared" si="236"/>
        <v>2430</v>
      </c>
    </row>
    <row r="561" spans="1:171" s="272" customFormat="1" ht="15" customHeight="1">
      <c r="A561" s="43" t="s">
        <v>167</v>
      </c>
      <c r="B561" s="42" t="s">
        <v>1084</v>
      </c>
      <c r="C561" s="493" t="s">
        <v>1196</v>
      </c>
      <c r="D561" s="40">
        <v>232681</v>
      </c>
      <c r="E561" s="494">
        <v>5</v>
      </c>
      <c r="F561" s="419">
        <v>29</v>
      </c>
      <c r="G561" s="421">
        <v>27</v>
      </c>
      <c r="H561" s="419"/>
      <c r="I561" s="421"/>
      <c r="J561" s="419">
        <v>0</v>
      </c>
      <c r="K561" s="421">
        <v>0</v>
      </c>
      <c r="L561" s="422">
        <f t="shared" si="215"/>
        <v>0</v>
      </c>
      <c r="M561" s="423">
        <f t="shared" si="216"/>
        <v>0</v>
      </c>
      <c r="N561" s="419">
        <v>1021</v>
      </c>
      <c r="O561" s="309">
        <f>0</f>
        <v>0</v>
      </c>
      <c r="P561" s="309">
        <f>0</f>
        <v>0</v>
      </c>
      <c r="Q561" s="309">
        <f>0</f>
        <v>0</v>
      </c>
      <c r="R561" s="424">
        <f t="shared" si="213"/>
        <v>0</v>
      </c>
      <c r="S561" s="421">
        <v>1038</v>
      </c>
      <c r="T561" s="301">
        <f>0</f>
        <v>0</v>
      </c>
      <c r="U561" s="301">
        <f>0</f>
        <v>0</v>
      </c>
      <c r="V561" s="301">
        <f>0</f>
        <v>0</v>
      </c>
      <c r="W561" s="425">
        <f t="shared" si="214"/>
        <v>0</v>
      </c>
      <c r="X561" s="419"/>
      <c r="Y561" s="419"/>
      <c r="Z561" s="421"/>
      <c r="AA561" s="421"/>
      <c r="AB561" s="419"/>
      <c r="AC561" s="419"/>
      <c r="AD561" s="421"/>
      <c r="AE561" s="421"/>
      <c r="AF561" s="419"/>
      <c r="AG561" s="419"/>
      <c r="AH561" s="421"/>
      <c r="AI561" s="421"/>
      <c r="AJ561" s="419"/>
      <c r="AK561" s="419"/>
      <c r="AL561" s="421"/>
      <c r="AM561" s="421"/>
      <c r="AN561" s="419"/>
      <c r="AO561" s="419"/>
      <c r="AP561" s="421"/>
      <c r="AQ561" s="421"/>
      <c r="AR561" s="424">
        <f t="shared" si="217"/>
        <v>0</v>
      </c>
      <c r="AS561" s="422">
        <f t="shared" si="218"/>
        <v>0.84800664451827246</v>
      </c>
      <c r="AT561" s="425">
        <f t="shared" si="219"/>
        <v>0</v>
      </c>
      <c r="AU561" s="423">
        <f t="shared" si="220"/>
        <v>0.83844911147011314</v>
      </c>
      <c r="AV561" s="419">
        <v>1</v>
      </c>
      <c r="AW561" s="420">
        <v>0</v>
      </c>
      <c r="AX561" s="419">
        <v>13</v>
      </c>
      <c r="AY561" s="419">
        <v>106</v>
      </c>
      <c r="AZ561" s="421">
        <v>13</v>
      </c>
      <c r="BA561" s="420">
        <v>133</v>
      </c>
      <c r="BB561" s="419">
        <v>52</v>
      </c>
      <c r="BC561" s="419">
        <v>37</v>
      </c>
      <c r="BD561" s="421">
        <v>52</v>
      </c>
      <c r="BE561" s="421">
        <v>35</v>
      </c>
      <c r="BF561" s="419">
        <v>45</v>
      </c>
      <c r="BG561" s="419">
        <v>10</v>
      </c>
      <c r="BH561" s="421">
        <v>45</v>
      </c>
      <c r="BI561" s="420">
        <v>5</v>
      </c>
      <c r="BJ561" s="419"/>
      <c r="BK561" s="419"/>
      <c r="BL561" s="420"/>
      <c r="BM561" s="421">
        <v>0</v>
      </c>
      <c r="BN561" s="419"/>
      <c r="BO561" s="419"/>
      <c r="BP561" s="420"/>
      <c r="BQ561" s="421">
        <v>0</v>
      </c>
      <c r="BR561" s="419"/>
      <c r="BS561" s="419"/>
      <c r="BT561" s="420"/>
      <c r="BU561" s="421">
        <v>0</v>
      </c>
      <c r="BV561" s="419"/>
      <c r="BW561" s="419"/>
      <c r="BX561" s="420"/>
      <c r="BY561" s="421">
        <v>0</v>
      </c>
      <c r="BZ561" s="419"/>
      <c r="CA561" s="419"/>
      <c r="CB561" s="420"/>
      <c r="CC561" s="421">
        <v>0</v>
      </c>
      <c r="CD561" s="419"/>
      <c r="CE561" s="419"/>
      <c r="CF561" s="420"/>
      <c r="CG561" s="421">
        <v>0</v>
      </c>
      <c r="CH561" s="419"/>
      <c r="CI561" s="419"/>
      <c r="CJ561" s="420"/>
      <c r="CK561" s="421">
        <v>0</v>
      </c>
      <c r="CL561" s="419">
        <v>0</v>
      </c>
      <c r="CM561" s="421">
        <v>0</v>
      </c>
      <c r="CN561" s="424">
        <f t="shared" si="221"/>
        <v>153</v>
      </c>
      <c r="CO561" s="424">
        <f t="shared" si="222"/>
        <v>3</v>
      </c>
      <c r="CP561" s="425">
        <f t="shared" si="223"/>
        <v>173</v>
      </c>
      <c r="CQ561" s="425">
        <f t="shared" si="224"/>
        <v>3</v>
      </c>
      <c r="CR561" s="419"/>
      <c r="CS561" s="419"/>
      <c r="CT561" s="421"/>
      <c r="CU561" s="421"/>
      <c r="CV561" s="419"/>
      <c r="CW561" s="419"/>
      <c r="CX561" s="421"/>
      <c r="CY561" s="421"/>
      <c r="CZ561" s="419"/>
      <c r="DA561" s="419"/>
      <c r="DB561" s="421"/>
      <c r="DC561" s="421"/>
      <c r="DD561" s="419"/>
      <c r="DE561" s="419"/>
      <c r="DF561" s="421"/>
      <c r="DG561" s="421"/>
      <c r="DH561" s="419"/>
      <c r="DI561" s="419"/>
      <c r="DJ561" s="421"/>
      <c r="DK561" s="421"/>
      <c r="DL561" s="419"/>
      <c r="DM561" s="419"/>
      <c r="DN561" s="421"/>
      <c r="DO561" s="421"/>
      <c r="DP561" s="419"/>
      <c r="DQ561" s="419"/>
      <c r="DR561" s="421"/>
      <c r="DS561" s="421"/>
      <c r="DT561" s="419"/>
      <c r="DU561" s="419"/>
      <c r="DV561" s="421"/>
      <c r="DW561" s="421"/>
      <c r="DX561" s="419"/>
      <c r="DY561" s="419"/>
      <c r="DZ561" s="421"/>
      <c r="EA561" s="421"/>
      <c r="EB561" s="419"/>
      <c r="EC561" s="419"/>
      <c r="ED561" s="421"/>
      <c r="EE561" s="421"/>
      <c r="EF561" s="419"/>
      <c r="EG561" s="421"/>
      <c r="EH561" s="424">
        <f t="shared" si="225"/>
        <v>0</v>
      </c>
      <c r="EI561" s="424">
        <f t="shared" si="226"/>
        <v>0</v>
      </c>
      <c r="EJ561" s="422">
        <f t="shared" si="227"/>
        <v>0</v>
      </c>
      <c r="EK561" s="425">
        <f t="shared" si="228"/>
        <v>0</v>
      </c>
      <c r="EL561" s="425">
        <f t="shared" si="229"/>
        <v>0</v>
      </c>
      <c r="EM561" s="423">
        <f t="shared" si="230"/>
        <v>0</v>
      </c>
      <c r="EN561" s="424">
        <f t="shared" si="231"/>
        <v>153</v>
      </c>
      <c r="EO561" s="425">
        <f t="shared" si="232"/>
        <v>173</v>
      </c>
      <c r="EP561" s="419"/>
      <c r="EQ561" s="421"/>
      <c r="ER561" s="419"/>
      <c r="ES561" s="421"/>
      <c r="ET561" s="419"/>
      <c r="EU561" s="421"/>
      <c r="EV561" s="419"/>
      <c r="EW561" s="421"/>
      <c r="EX561" s="419"/>
      <c r="EY561" s="421"/>
      <c r="EZ561" s="419"/>
      <c r="FA561" s="421"/>
      <c r="FB561" s="419"/>
      <c r="FC561" s="421"/>
      <c r="FD561" s="419"/>
      <c r="FE561" s="421"/>
      <c r="FF561" s="419"/>
      <c r="FG561" s="421"/>
      <c r="FH561" s="419"/>
      <c r="FI561" s="421"/>
      <c r="FJ561" s="424">
        <f t="shared" si="233"/>
        <v>0</v>
      </c>
      <c r="FK561" s="425">
        <f t="shared" si="234"/>
        <v>0</v>
      </c>
      <c r="FL561" s="419"/>
      <c r="FM561" s="421"/>
      <c r="FN561" s="424">
        <f t="shared" si="235"/>
        <v>1204</v>
      </c>
      <c r="FO561" s="425">
        <f t="shared" si="236"/>
        <v>1238</v>
      </c>
    </row>
    <row r="562" spans="1:171" s="272" customFormat="1" ht="15" customHeight="1">
      <c r="A562" s="43" t="s">
        <v>167</v>
      </c>
      <c r="B562" s="42" t="s">
        <v>1085</v>
      </c>
      <c r="C562" s="113" t="s">
        <v>1177</v>
      </c>
      <c r="D562" s="40">
        <v>234155</v>
      </c>
      <c r="E562" s="40">
        <v>3</v>
      </c>
      <c r="F562" s="419">
        <v>0</v>
      </c>
      <c r="G562" s="421">
        <v>0</v>
      </c>
      <c r="H562" s="419"/>
      <c r="I562" s="421"/>
      <c r="J562" s="419">
        <v>0</v>
      </c>
      <c r="K562" s="421">
        <v>0</v>
      </c>
      <c r="L562" s="422">
        <f t="shared" si="215"/>
        <v>0</v>
      </c>
      <c r="M562" s="423">
        <f t="shared" si="216"/>
        <v>0</v>
      </c>
      <c r="N562" s="419">
        <v>672</v>
      </c>
      <c r="O562" s="309">
        <f>0</f>
        <v>0</v>
      </c>
      <c r="P562" s="309">
        <f>0</f>
        <v>0</v>
      </c>
      <c r="Q562" s="309">
        <f>0</f>
        <v>0</v>
      </c>
      <c r="R562" s="424">
        <f t="shared" si="213"/>
        <v>0</v>
      </c>
      <c r="S562" s="421">
        <v>643</v>
      </c>
      <c r="T562" s="301">
        <f>0</f>
        <v>0</v>
      </c>
      <c r="U562" s="301">
        <f>0</f>
        <v>0</v>
      </c>
      <c r="V562" s="301">
        <f>0</f>
        <v>0</v>
      </c>
      <c r="W562" s="425">
        <f t="shared" si="214"/>
        <v>0</v>
      </c>
      <c r="X562" s="419"/>
      <c r="Y562" s="419"/>
      <c r="Z562" s="421"/>
      <c r="AA562" s="421"/>
      <c r="AB562" s="419"/>
      <c r="AC562" s="419"/>
      <c r="AD562" s="421"/>
      <c r="AE562" s="421"/>
      <c r="AF562" s="419"/>
      <c r="AG562" s="419"/>
      <c r="AH562" s="421"/>
      <c r="AI562" s="421"/>
      <c r="AJ562" s="419"/>
      <c r="AK562" s="419"/>
      <c r="AL562" s="421"/>
      <c r="AM562" s="421"/>
      <c r="AN562" s="419"/>
      <c r="AO562" s="419"/>
      <c r="AP562" s="421"/>
      <c r="AQ562" s="421"/>
      <c r="AR562" s="424">
        <f t="shared" si="217"/>
        <v>0</v>
      </c>
      <c r="AS562" s="422">
        <f t="shared" si="218"/>
        <v>0.81553398058252424</v>
      </c>
      <c r="AT562" s="425">
        <f t="shared" si="219"/>
        <v>0</v>
      </c>
      <c r="AU562" s="423">
        <f t="shared" si="220"/>
        <v>0.83506493506493507</v>
      </c>
      <c r="AV562" s="419">
        <v>20</v>
      </c>
      <c r="AW562" s="420">
        <v>12</v>
      </c>
      <c r="AX562" s="419">
        <v>52</v>
      </c>
      <c r="AY562" s="419">
        <v>28</v>
      </c>
      <c r="AZ562" s="421">
        <v>52</v>
      </c>
      <c r="BA562" s="421">
        <v>28</v>
      </c>
      <c r="BB562" s="419">
        <v>13</v>
      </c>
      <c r="BC562" s="419">
        <v>21</v>
      </c>
      <c r="BD562" s="421">
        <v>13</v>
      </c>
      <c r="BE562" s="421">
        <v>18</v>
      </c>
      <c r="BF562" s="419">
        <v>31</v>
      </c>
      <c r="BG562" s="419">
        <v>19</v>
      </c>
      <c r="BH562" s="421">
        <v>27</v>
      </c>
      <c r="BI562" s="421">
        <v>17</v>
      </c>
      <c r="BJ562" s="419">
        <v>9</v>
      </c>
      <c r="BK562" s="419">
        <v>10</v>
      </c>
      <c r="BL562" s="421">
        <v>31</v>
      </c>
      <c r="BM562" s="420">
        <v>13</v>
      </c>
      <c r="BN562" s="419">
        <v>26</v>
      </c>
      <c r="BO562" s="419">
        <v>7</v>
      </c>
      <c r="BP562" s="421">
        <v>42</v>
      </c>
      <c r="BQ562" s="421">
        <v>7</v>
      </c>
      <c r="BR562" s="419">
        <v>27</v>
      </c>
      <c r="BS562" s="419">
        <v>7</v>
      </c>
      <c r="BT562" s="421">
        <v>30</v>
      </c>
      <c r="BU562" s="421">
        <v>6</v>
      </c>
      <c r="BV562" s="419">
        <v>11</v>
      </c>
      <c r="BW562" s="419">
        <v>6</v>
      </c>
      <c r="BX562" s="421">
        <v>11</v>
      </c>
      <c r="BY562" s="421">
        <v>6</v>
      </c>
      <c r="BZ562" s="419">
        <v>42</v>
      </c>
      <c r="CA562" s="419">
        <v>6</v>
      </c>
      <c r="CB562" s="421">
        <v>43</v>
      </c>
      <c r="CC562" s="420">
        <v>4</v>
      </c>
      <c r="CD562" s="419">
        <v>43</v>
      </c>
      <c r="CE562" s="419">
        <v>5</v>
      </c>
      <c r="CF562" s="421">
        <v>26</v>
      </c>
      <c r="CG562" s="420">
        <v>3</v>
      </c>
      <c r="CH562" s="419">
        <v>30</v>
      </c>
      <c r="CI562" s="419">
        <v>4</v>
      </c>
      <c r="CJ562" s="421">
        <v>9</v>
      </c>
      <c r="CK562" s="420">
        <v>2</v>
      </c>
      <c r="CL562" s="419">
        <v>0</v>
      </c>
      <c r="CM562" s="421">
        <v>0</v>
      </c>
      <c r="CN562" s="424">
        <f t="shared" si="221"/>
        <v>113</v>
      </c>
      <c r="CO562" s="424">
        <f t="shared" si="222"/>
        <v>10</v>
      </c>
      <c r="CP562" s="425">
        <f t="shared" si="223"/>
        <v>104</v>
      </c>
      <c r="CQ562" s="425">
        <f t="shared" si="224"/>
        <v>10</v>
      </c>
      <c r="CR562" s="419">
        <v>13</v>
      </c>
      <c r="CS562" s="419">
        <v>16</v>
      </c>
      <c r="CT562" s="421">
        <v>13</v>
      </c>
      <c r="CU562" s="420">
        <v>7</v>
      </c>
      <c r="CV562" s="419">
        <v>42</v>
      </c>
      <c r="CW562" s="419">
        <v>3</v>
      </c>
      <c r="CX562" s="421">
        <v>42</v>
      </c>
      <c r="CY562" s="420">
        <v>4</v>
      </c>
      <c r="CZ562" s="419"/>
      <c r="DA562" s="419"/>
      <c r="DB562" s="420"/>
      <c r="DC562" s="421">
        <v>0</v>
      </c>
      <c r="DD562" s="419"/>
      <c r="DE562" s="419"/>
      <c r="DF562" s="421"/>
      <c r="DG562" s="421"/>
      <c r="DH562" s="419"/>
      <c r="DI562" s="419"/>
      <c r="DJ562" s="421"/>
      <c r="DK562" s="421"/>
      <c r="DL562" s="419"/>
      <c r="DM562" s="419"/>
      <c r="DN562" s="421"/>
      <c r="DO562" s="421"/>
      <c r="DP562" s="419"/>
      <c r="DQ562" s="419"/>
      <c r="DR562" s="421"/>
      <c r="DS562" s="421"/>
      <c r="DT562" s="419"/>
      <c r="DU562" s="419"/>
      <c r="DV562" s="421"/>
      <c r="DW562" s="421"/>
      <c r="DX562" s="419"/>
      <c r="DY562" s="419"/>
      <c r="DZ562" s="421"/>
      <c r="EA562" s="421"/>
      <c r="EB562" s="419"/>
      <c r="EC562" s="419"/>
      <c r="ED562" s="421"/>
      <c r="EE562" s="421"/>
      <c r="EF562" s="419"/>
      <c r="EG562" s="421"/>
      <c r="EH562" s="424">
        <f t="shared" si="225"/>
        <v>19</v>
      </c>
      <c r="EI562" s="424">
        <f t="shared" si="226"/>
        <v>2</v>
      </c>
      <c r="EJ562" s="422">
        <f t="shared" si="227"/>
        <v>0.84210526315789469</v>
      </c>
      <c r="EK562" s="425">
        <f t="shared" si="228"/>
        <v>11</v>
      </c>
      <c r="EL562" s="425">
        <f t="shared" si="229"/>
        <v>2</v>
      </c>
      <c r="EM562" s="423">
        <f t="shared" si="230"/>
        <v>0.63636363636363635</v>
      </c>
      <c r="EN562" s="424">
        <f t="shared" si="231"/>
        <v>132</v>
      </c>
      <c r="EO562" s="425">
        <f t="shared" si="232"/>
        <v>115</v>
      </c>
      <c r="EP562" s="419"/>
      <c r="EQ562" s="421"/>
      <c r="ER562" s="419"/>
      <c r="ES562" s="421"/>
      <c r="ET562" s="419"/>
      <c r="EU562" s="421"/>
      <c r="EV562" s="419"/>
      <c r="EW562" s="421"/>
      <c r="EX562" s="419"/>
      <c r="EY562" s="421"/>
      <c r="EZ562" s="419"/>
      <c r="FA562" s="421"/>
      <c r="FB562" s="419"/>
      <c r="FC562" s="421"/>
      <c r="FD562" s="419"/>
      <c r="FE562" s="421"/>
      <c r="FF562" s="419"/>
      <c r="FG562" s="421"/>
      <c r="FH562" s="419"/>
      <c r="FI562" s="421"/>
      <c r="FJ562" s="424">
        <f t="shared" si="233"/>
        <v>0</v>
      </c>
      <c r="FK562" s="425">
        <f t="shared" si="234"/>
        <v>0</v>
      </c>
      <c r="FL562" s="419"/>
      <c r="FM562" s="421"/>
      <c r="FN562" s="424">
        <f t="shared" si="235"/>
        <v>824</v>
      </c>
      <c r="FO562" s="425">
        <f t="shared" si="236"/>
        <v>770</v>
      </c>
    </row>
    <row r="563" spans="1:171" s="272" customFormat="1" ht="15" customHeight="1">
      <c r="A563" s="43" t="s">
        <v>167</v>
      </c>
      <c r="B563" s="42" t="s">
        <v>1086</v>
      </c>
      <c r="C563" s="113" t="s">
        <v>1177</v>
      </c>
      <c r="D563" s="40">
        <v>231712</v>
      </c>
      <c r="E563" s="40">
        <v>5</v>
      </c>
      <c r="F563" s="419">
        <v>0</v>
      </c>
      <c r="G563" s="421">
        <v>0</v>
      </c>
      <c r="H563" s="419"/>
      <c r="I563" s="421"/>
      <c r="J563" s="419">
        <v>0</v>
      </c>
      <c r="K563" s="421">
        <v>0</v>
      </c>
      <c r="L563" s="422">
        <f t="shared" si="215"/>
        <v>0</v>
      </c>
      <c r="M563" s="423">
        <f t="shared" si="216"/>
        <v>0</v>
      </c>
      <c r="N563" s="419">
        <v>1088</v>
      </c>
      <c r="O563" s="309">
        <f>0</f>
        <v>0</v>
      </c>
      <c r="P563" s="309">
        <f>0</f>
        <v>0</v>
      </c>
      <c r="Q563" s="309">
        <f>0</f>
        <v>0</v>
      </c>
      <c r="R563" s="424">
        <f t="shared" si="213"/>
        <v>0</v>
      </c>
      <c r="S563" s="421">
        <v>1105</v>
      </c>
      <c r="T563" s="301">
        <f>0</f>
        <v>0</v>
      </c>
      <c r="U563" s="301">
        <f>0</f>
        <v>0</v>
      </c>
      <c r="V563" s="301">
        <f>0</f>
        <v>0</v>
      </c>
      <c r="W563" s="425">
        <f t="shared" si="214"/>
        <v>0</v>
      </c>
      <c r="X563" s="419"/>
      <c r="Y563" s="419"/>
      <c r="Z563" s="421"/>
      <c r="AA563" s="421"/>
      <c r="AB563" s="419"/>
      <c r="AC563" s="419"/>
      <c r="AD563" s="421"/>
      <c r="AE563" s="421"/>
      <c r="AF563" s="419"/>
      <c r="AG563" s="419"/>
      <c r="AH563" s="421"/>
      <c r="AI563" s="421"/>
      <c r="AJ563" s="419"/>
      <c r="AK563" s="419"/>
      <c r="AL563" s="421"/>
      <c r="AM563" s="421"/>
      <c r="AN563" s="419"/>
      <c r="AO563" s="419"/>
      <c r="AP563" s="421"/>
      <c r="AQ563" s="421"/>
      <c r="AR563" s="424">
        <f t="shared" si="217"/>
        <v>0</v>
      </c>
      <c r="AS563" s="422">
        <f t="shared" si="218"/>
        <v>0.93712316968130926</v>
      </c>
      <c r="AT563" s="425">
        <f t="shared" si="219"/>
        <v>0</v>
      </c>
      <c r="AU563" s="423">
        <f t="shared" si="220"/>
        <v>0.94606164383561642</v>
      </c>
      <c r="AV563" s="419">
        <v>0</v>
      </c>
      <c r="AW563" s="421">
        <v>0</v>
      </c>
      <c r="AX563" s="419">
        <v>13</v>
      </c>
      <c r="AY563" s="419">
        <v>60</v>
      </c>
      <c r="AZ563" s="421">
        <v>13</v>
      </c>
      <c r="BA563" s="421">
        <v>52</v>
      </c>
      <c r="BB563" s="419">
        <v>3</v>
      </c>
      <c r="BC563" s="419">
        <v>7</v>
      </c>
      <c r="BD563" s="421">
        <v>40</v>
      </c>
      <c r="BE563" s="420">
        <v>10</v>
      </c>
      <c r="BF563" s="419">
        <v>40</v>
      </c>
      <c r="BG563" s="419">
        <v>6</v>
      </c>
      <c r="BH563" s="421">
        <v>3</v>
      </c>
      <c r="BI563" s="420">
        <v>1</v>
      </c>
      <c r="BJ563" s="419"/>
      <c r="BK563" s="419"/>
      <c r="BL563" s="420"/>
      <c r="BM563" s="421">
        <v>0</v>
      </c>
      <c r="BN563" s="419"/>
      <c r="BO563" s="419"/>
      <c r="BP563" s="420"/>
      <c r="BQ563" s="421">
        <v>0</v>
      </c>
      <c r="BR563" s="419"/>
      <c r="BS563" s="419"/>
      <c r="BT563" s="420"/>
      <c r="BU563" s="421">
        <v>0</v>
      </c>
      <c r="BV563" s="419"/>
      <c r="BW563" s="419"/>
      <c r="BX563" s="420"/>
      <c r="BY563" s="421">
        <v>0</v>
      </c>
      <c r="BZ563" s="419"/>
      <c r="CA563" s="419"/>
      <c r="CB563" s="420"/>
      <c r="CC563" s="421">
        <v>0</v>
      </c>
      <c r="CD563" s="419"/>
      <c r="CE563" s="419"/>
      <c r="CF563" s="420"/>
      <c r="CG563" s="421">
        <v>0</v>
      </c>
      <c r="CH563" s="419"/>
      <c r="CI563" s="419"/>
      <c r="CJ563" s="420"/>
      <c r="CK563" s="421">
        <v>0</v>
      </c>
      <c r="CL563" s="419">
        <v>0</v>
      </c>
      <c r="CM563" s="421">
        <v>0</v>
      </c>
      <c r="CN563" s="424">
        <f t="shared" si="221"/>
        <v>73</v>
      </c>
      <c r="CO563" s="424">
        <f t="shared" si="222"/>
        <v>3</v>
      </c>
      <c r="CP563" s="425">
        <f t="shared" si="223"/>
        <v>63</v>
      </c>
      <c r="CQ563" s="425">
        <f t="shared" si="224"/>
        <v>3</v>
      </c>
      <c r="CR563" s="419"/>
      <c r="CS563" s="419"/>
      <c r="CT563" s="421"/>
      <c r="CU563" s="421"/>
      <c r="CV563" s="419"/>
      <c r="CW563" s="419"/>
      <c r="CX563" s="421"/>
      <c r="CY563" s="421"/>
      <c r="CZ563" s="419"/>
      <c r="DA563" s="419"/>
      <c r="DB563" s="421"/>
      <c r="DC563" s="421"/>
      <c r="DD563" s="419"/>
      <c r="DE563" s="419"/>
      <c r="DF563" s="421"/>
      <c r="DG563" s="421"/>
      <c r="DH563" s="419"/>
      <c r="DI563" s="419"/>
      <c r="DJ563" s="421"/>
      <c r="DK563" s="421"/>
      <c r="DL563" s="419"/>
      <c r="DM563" s="419"/>
      <c r="DN563" s="421"/>
      <c r="DO563" s="421"/>
      <c r="DP563" s="419"/>
      <c r="DQ563" s="419"/>
      <c r="DR563" s="421"/>
      <c r="DS563" s="421"/>
      <c r="DT563" s="419"/>
      <c r="DU563" s="419"/>
      <c r="DV563" s="421"/>
      <c r="DW563" s="421"/>
      <c r="DX563" s="419"/>
      <c r="DY563" s="419"/>
      <c r="DZ563" s="421"/>
      <c r="EA563" s="421"/>
      <c r="EB563" s="419"/>
      <c r="EC563" s="419"/>
      <c r="ED563" s="421"/>
      <c r="EE563" s="421"/>
      <c r="EF563" s="419"/>
      <c r="EG563" s="421"/>
      <c r="EH563" s="424">
        <f t="shared" si="225"/>
        <v>0</v>
      </c>
      <c r="EI563" s="424">
        <f t="shared" si="226"/>
        <v>0</v>
      </c>
      <c r="EJ563" s="422">
        <f t="shared" si="227"/>
        <v>0</v>
      </c>
      <c r="EK563" s="425">
        <f t="shared" si="228"/>
        <v>0</v>
      </c>
      <c r="EL563" s="425">
        <f t="shared" si="229"/>
        <v>0</v>
      </c>
      <c r="EM563" s="423">
        <f t="shared" si="230"/>
        <v>0</v>
      </c>
      <c r="EN563" s="424">
        <f t="shared" si="231"/>
        <v>73</v>
      </c>
      <c r="EO563" s="425">
        <f t="shared" si="232"/>
        <v>63</v>
      </c>
      <c r="EP563" s="419"/>
      <c r="EQ563" s="421"/>
      <c r="ER563" s="419"/>
      <c r="ES563" s="421"/>
      <c r="ET563" s="419"/>
      <c r="EU563" s="421"/>
      <c r="EV563" s="419"/>
      <c r="EW563" s="421"/>
      <c r="EX563" s="419"/>
      <c r="EY563" s="421"/>
      <c r="EZ563" s="419"/>
      <c r="FA563" s="421"/>
      <c r="FB563" s="419"/>
      <c r="FC563" s="421"/>
      <c r="FD563" s="419"/>
      <c r="FE563" s="421"/>
      <c r="FF563" s="419"/>
      <c r="FG563" s="421"/>
      <c r="FH563" s="419"/>
      <c r="FI563" s="421"/>
      <c r="FJ563" s="424">
        <f t="shared" si="233"/>
        <v>0</v>
      </c>
      <c r="FK563" s="425">
        <f t="shared" si="234"/>
        <v>0</v>
      </c>
      <c r="FL563" s="419"/>
      <c r="FM563" s="421"/>
      <c r="FN563" s="424">
        <f t="shared" si="235"/>
        <v>1161</v>
      </c>
      <c r="FO563" s="425">
        <f t="shared" si="236"/>
        <v>1168</v>
      </c>
    </row>
    <row r="564" spans="1:171" s="272" customFormat="1" ht="15" customHeight="1">
      <c r="A564" s="43" t="s">
        <v>167</v>
      </c>
      <c r="B564" s="42" t="s">
        <v>1087</v>
      </c>
      <c r="C564" s="113" t="s">
        <v>1177</v>
      </c>
      <c r="D564" s="40">
        <v>233897</v>
      </c>
      <c r="E564" s="118">
        <v>6</v>
      </c>
      <c r="F564" s="419">
        <v>0</v>
      </c>
      <c r="G564" s="421">
        <v>0</v>
      </c>
      <c r="H564" s="419"/>
      <c r="I564" s="421"/>
      <c r="J564" s="419">
        <v>0</v>
      </c>
      <c r="K564" s="421">
        <v>0</v>
      </c>
      <c r="L564" s="422">
        <f t="shared" si="215"/>
        <v>0</v>
      </c>
      <c r="M564" s="423">
        <f t="shared" si="216"/>
        <v>0</v>
      </c>
      <c r="N564" s="419">
        <v>261</v>
      </c>
      <c r="O564" s="309">
        <f>0</f>
        <v>0</v>
      </c>
      <c r="P564" s="309">
        <f>0</f>
        <v>0</v>
      </c>
      <c r="Q564" s="309">
        <f>0</f>
        <v>0</v>
      </c>
      <c r="R564" s="424">
        <f t="shared" si="213"/>
        <v>0</v>
      </c>
      <c r="S564" s="421">
        <v>232</v>
      </c>
      <c r="T564" s="301">
        <f>0</f>
        <v>0</v>
      </c>
      <c r="U564" s="301">
        <f>0</f>
        <v>0</v>
      </c>
      <c r="V564" s="301">
        <f>0</f>
        <v>0</v>
      </c>
      <c r="W564" s="425">
        <f t="shared" si="214"/>
        <v>0</v>
      </c>
      <c r="X564" s="419"/>
      <c r="Y564" s="419"/>
      <c r="Z564" s="421"/>
      <c r="AA564" s="421"/>
      <c r="AB564" s="419"/>
      <c r="AC564" s="419"/>
      <c r="AD564" s="421"/>
      <c r="AE564" s="421"/>
      <c r="AF564" s="419"/>
      <c r="AG564" s="419"/>
      <c r="AH564" s="421"/>
      <c r="AI564" s="421"/>
      <c r="AJ564" s="419"/>
      <c r="AK564" s="419"/>
      <c r="AL564" s="421"/>
      <c r="AM564" s="421"/>
      <c r="AN564" s="419"/>
      <c r="AO564" s="419"/>
      <c r="AP564" s="421"/>
      <c r="AQ564" s="421"/>
      <c r="AR564" s="424">
        <f t="shared" si="217"/>
        <v>0</v>
      </c>
      <c r="AS564" s="422">
        <f t="shared" si="218"/>
        <v>1</v>
      </c>
      <c r="AT564" s="425">
        <f t="shared" si="219"/>
        <v>0</v>
      </c>
      <c r="AU564" s="423">
        <f t="shared" si="220"/>
        <v>1</v>
      </c>
      <c r="AV564" s="419">
        <v>0</v>
      </c>
      <c r="AW564" s="421">
        <v>0</v>
      </c>
      <c r="AX564" s="419"/>
      <c r="AY564" s="419"/>
      <c r="AZ564" s="421"/>
      <c r="BA564" s="421"/>
      <c r="BB564" s="419"/>
      <c r="BC564" s="419"/>
      <c r="BD564" s="421"/>
      <c r="BE564" s="421"/>
      <c r="BF564" s="419"/>
      <c r="BG564" s="419"/>
      <c r="BH564" s="421"/>
      <c r="BI564" s="421"/>
      <c r="BJ564" s="419"/>
      <c r="BK564" s="419"/>
      <c r="BL564" s="421"/>
      <c r="BM564" s="421"/>
      <c r="BN564" s="419"/>
      <c r="BO564" s="419"/>
      <c r="BP564" s="421"/>
      <c r="BQ564" s="421"/>
      <c r="BR564" s="419"/>
      <c r="BS564" s="419"/>
      <c r="BT564" s="421"/>
      <c r="BU564" s="421"/>
      <c r="BV564" s="419"/>
      <c r="BW564" s="419"/>
      <c r="BX564" s="421"/>
      <c r="BY564" s="421"/>
      <c r="BZ564" s="419"/>
      <c r="CA564" s="419"/>
      <c r="CB564" s="421"/>
      <c r="CC564" s="421"/>
      <c r="CD564" s="419"/>
      <c r="CE564" s="419"/>
      <c r="CF564" s="421"/>
      <c r="CG564" s="421"/>
      <c r="CH564" s="419"/>
      <c r="CI564" s="419"/>
      <c r="CJ564" s="421"/>
      <c r="CK564" s="421"/>
      <c r="CL564" s="419"/>
      <c r="CM564" s="421"/>
      <c r="CN564" s="424">
        <f t="shared" si="221"/>
        <v>0</v>
      </c>
      <c r="CO564" s="424">
        <f t="shared" si="222"/>
        <v>0</v>
      </c>
      <c r="CP564" s="425">
        <f t="shared" si="223"/>
        <v>0</v>
      </c>
      <c r="CQ564" s="425">
        <f t="shared" si="224"/>
        <v>0</v>
      </c>
      <c r="CR564" s="419"/>
      <c r="CS564" s="419"/>
      <c r="CT564" s="421"/>
      <c r="CU564" s="421"/>
      <c r="CV564" s="419"/>
      <c r="CW564" s="419"/>
      <c r="CX564" s="421"/>
      <c r="CY564" s="421"/>
      <c r="CZ564" s="419"/>
      <c r="DA564" s="419"/>
      <c r="DB564" s="421"/>
      <c r="DC564" s="421"/>
      <c r="DD564" s="419"/>
      <c r="DE564" s="419"/>
      <c r="DF564" s="421"/>
      <c r="DG564" s="421"/>
      <c r="DH564" s="419"/>
      <c r="DI564" s="419"/>
      <c r="DJ564" s="421"/>
      <c r="DK564" s="421"/>
      <c r="DL564" s="419"/>
      <c r="DM564" s="419"/>
      <c r="DN564" s="421"/>
      <c r="DO564" s="421"/>
      <c r="DP564" s="419"/>
      <c r="DQ564" s="419"/>
      <c r="DR564" s="421"/>
      <c r="DS564" s="421"/>
      <c r="DT564" s="419"/>
      <c r="DU564" s="419"/>
      <c r="DV564" s="421"/>
      <c r="DW564" s="421"/>
      <c r="DX564" s="419"/>
      <c r="DY564" s="419"/>
      <c r="DZ564" s="421"/>
      <c r="EA564" s="421"/>
      <c r="EB564" s="419"/>
      <c r="EC564" s="419"/>
      <c r="ED564" s="421"/>
      <c r="EE564" s="421"/>
      <c r="EF564" s="419"/>
      <c r="EG564" s="421"/>
      <c r="EH564" s="424">
        <f t="shared" si="225"/>
        <v>0</v>
      </c>
      <c r="EI564" s="424">
        <f t="shared" si="226"/>
        <v>0</v>
      </c>
      <c r="EJ564" s="422">
        <f t="shared" si="227"/>
        <v>0</v>
      </c>
      <c r="EK564" s="425">
        <f t="shared" si="228"/>
        <v>0</v>
      </c>
      <c r="EL564" s="425">
        <f t="shared" si="229"/>
        <v>0</v>
      </c>
      <c r="EM564" s="423">
        <f t="shared" si="230"/>
        <v>0</v>
      </c>
      <c r="EN564" s="424">
        <f t="shared" si="231"/>
        <v>0</v>
      </c>
      <c r="EO564" s="425">
        <f t="shared" si="232"/>
        <v>0</v>
      </c>
      <c r="EP564" s="419"/>
      <c r="EQ564" s="421"/>
      <c r="ER564" s="419"/>
      <c r="ES564" s="421"/>
      <c r="ET564" s="419"/>
      <c r="EU564" s="421"/>
      <c r="EV564" s="419"/>
      <c r="EW564" s="421"/>
      <c r="EX564" s="419"/>
      <c r="EY564" s="421"/>
      <c r="EZ564" s="419"/>
      <c r="FA564" s="421"/>
      <c r="FB564" s="419"/>
      <c r="FC564" s="421"/>
      <c r="FD564" s="419"/>
      <c r="FE564" s="421"/>
      <c r="FF564" s="419"/>
      <c r="FG564" s="421"/>
      <c r="FH564" s="419"/>
      <c r="FI564" s="421"/>
      <c r="FJ564" s="424">
        <f t="shared" si="233"/>
        <v>0</v>
      </c>
      <c r="FK564" s="425">
        <f t="shared" si="234"/>
        <v>0</v>
      </c>
      <c r="FL564" s="419"/>
      <c r="FM564" s="421"/>
      <c r="FN564" s="424">
        <f t="shared" si="235"/>
        <v>261</v>
      </c>
      <c r="FO564" s="425">
        <f t="shared" si="236"/>
        <v>232</v>
      </c>
    </row>
    <row r="565" spans="1:171" s="272" customFormat="1" ht="15" customHeight="1">
      <c r="A565" s="43" t="s">
        <v>167</v>
      </c>
      <c r="B565" s="42" t="s">
        <v>1088</v>
      </c>
      <c r="C565" s="113" t="s">
        <v>1177</v>
      </c>
      <c r="D565" s="40">
        <v>232414</v>
      </c>
      <c r="E565" s="118">
        <v>8</v>
      </c>
      <c r="F565" s="419">
        <v>480</v>
      </c>
      <c r="G565" s="420">
        <v>262</v>
      </c>
      <c r="H565" s="419"/>
      <c r="I565" s="421"/>
      <c r="J565" s="419">
        <v>922</v>
      </c>
      <c r="K565" s="421">
        <v>1055</v>
      </c>
      <c r="L565" s="422">
        <f t="shared" si="215"/>
        <v>0</v>
      </c>
      <c r="M565" s="423">
        <f t="shared" si="216"/>
        <v>0</v>
      </c>
      <c r="N565" s="419">
        <v>0</v>
      </c>
      <c r="O565" s="309">
        <f>0</f>
        <v>0</v>
      </c>
      <c r="P565" s="309">
        <f>0</f>
        <v>0</v>
      </c>
      <c r="Q565" s="309">
        <f>0</f>
        <v>0</v>
      </c>
      <c r="R565" s="424">
        <f t="shared" si="213"/>
        <v>0</v>
      </c>
      <c r="S565" s="421">
        <v>0</v>
      </c>
      <c r="T565" s="301">
        <f>0</f>
        <v>0</v>
      </c>
      <c r="U565" s="301">
        <f>0</f>
        <v>0</v>
      </c>
      <c r="V565" s="301">
        <f>0</f>
        <v>0</v>
      </c>
      <c r="W565" s="425">
        <f t="shared" si="214"/>
        <v>0</v>
      </c>
      <c r="X565" s="419"/>
      <c r="Y565" s="419"/>
      <c r="Z565" s="421"/>
      <c r="AA565" s="421"/>
      <c r="AB565" s="419"/>
      <c r="AC565" s="419"/>
      <c r="AD565" s="421"/>
      <c r="AE565" s="421"/>
      <c r="AF565" s="419"/>
      <c r="AG565" s="419"/>
      <c r="AH565" s="421"/>
      <c r="AI565" s="421"/>
      <c r="AJ565" s="419"/>
      <c r="AK565" s="419"/>
      <c r="AL565" s="421"/>
      <c r="AM565" s="421"/>
      <c r="AN565" s="419"/>
      <c r="AO565" s="419"/>
      <c r="AP565" s="421"/>
      <c r="AQ565" s="421"/>
      <c r="AR565" s="424">
        <f t="shared" si="217"/>
        <v>0</v>
      </c>
      <c r="AS565" s="422">
        <f t="shared" si="218"/>
        <v>0</v>
      </c>
      <c r="AT565" s="425">
        <f t="shared" si="219"/>
        <v>0</v>
      </c>
      <c r="AU565" s="423">
        <f t="shared" si="220"/>
        <v>0</v>
      </c>
      <c r="AV565" s="419">
        <v>0</v>
      </c>
      <c r="AW565" s="421">
        <v>0</v>
      </c>
      <c r="AX565" s="419"/>
      <c r="AY565" s="419"/>
      <c r="AZ565" s="421"/>
      <c r="BA565" s="421"/>
      <c r="BB565" s="419"/>
      <c r="BC565" s="419"/>
      <c r="BD565" s="421"/>
      <c r="BE565" s="421"/>
      <c r="BF565" s="419"/>
      <c r="BG565" s="419"/>
      <c r="BH565" s="421"/>
      <c r="BI565" s="421"/>
      <c r="BJ565" s="419"/>
      <c r="BK565" s="419"/>
      <c r="BL565" s="421"/>
      <c r="BM565" s="421"/>
      <c r="BN565" s="419"/>
      <c r="BO565" s="419"/>
      <c r="BP565" s="421"/>
      <c r="BQ565" s="421"/>
      <c r="BR565" s="419"/>
      <c r="BS565" s="419"/>
      <c r="BT565" s="421"/>
      <c r="BU565" s="421"/>
      <c r="BV565" s="419"/>
      <c r="BW565" s="419"/>
      <c r="BX565" s="421"/>
      <c r="BY565" s="421"/>
      <c r="BZ565" s="419"/>
      <c r="CA565" s="419"/>
      <c r="CB565" s="421"/>
      <c r="CC565" s="421"/>
      <c r="CD565" s="419"/>
      <c r="CE565" s="419"/>
      <c r="CF565" s="421"/>
      <c r="CG565" s="421"/>
      <c r="CH565" s="419"/>
      <c r="CI565" s="419"/>
      <c r="CJ565" s="421"/>
      <c r="CK565" s="421"/>
      <c r="CL565" s="419"/>
      <c r="CM565" s="421"/>
      <c r="CN565" s="424">
        <f t="shared" si="221"/>
        <v>0</v>
      </c>
      <c r="CO565" s="424">
        <f t="shared" si="222"/>
        <v>0</v>
      </c>
      <c r="CP565" s="425">
        <f t="shared" si="223"/>
        <v>0</v>
      </c>
      <c r="CQ565" s="425">
        <f t="shared" si="224"/>
        <v>0</v>
      </c>
      <c r="CR565" s="419"/>
      <c r="CS565" s="419"/>
      <c r="CT565" s="421"/>
      <c r="CU565" s="421"/>
      <c r="CV565" s="419"/>
      <c r="CW565" s="419"/>
      <c r="CX565" s="421"/>
      <c r="CY565" s="421"/>
      <c r="CZ565" s="419"/>
      <c r="DA565" s="419"/>
      <c r="DB565" s="421"/>
      <c r="DC565" s="421"/>
      <c r="DD565" s="419"/>
      <c r="DE565" s="419"/>
      <c r="DF565" s="421"/>
      <c r="DG565" s="421"/>
      <c r="DH565" s="419"/>
      <c r="DI565" s="419"/>
      <c r="DJ565" s="421"/>
      <c r="DK565" s="421"/>
      <c r="DL565" s="419"/>
      <c r="DM565" s="419"/>
      <c r="DN565" s="421"/>
      <c r="DO565" s="421"/>
      <c r="DP565" s="419"/>
      <c r="DQ565" s="419"/>
      <c r="DR565" s="421"/>
      <c r="DS565" s="421"/>
      <c r="DT565" s="419"/>
      <c r="DU565" s="419"/>
      <c r="DV565" s="421"/>
      <c r="DW565" s="421"/>
      <c r="DX565" s="419"/>
      <c r="DY565" s="419"/>
      <c r="DZ565" s="421"/>
      <c r="EA565" s="421"/>
      <c r="EB565" s="419"/>
      <c r="EC565" s="419"/>
      <c r="ED565" s="421"/>
      <c r="EE565" s="421"/>
      <c r="EF565" s="419"/>
      <c r="EG565" s="421"/>
      <c r="EH565" s="424">
        <f t="shared" si="225"/>
        <v>0</v>
      </c>
      <c r="EI565" s="424">
        <f t="shared" si="226"/>
        <v>0</v>
      </c>
      <c r="EJ565" s="422">
        <f t="shared" si="227"/>
        <v>0</v>
      </c>
      <c r="EK565" s="425">
        <f t="shared" si="228"/>
        <v>0</v>
      </c>
      <c r="EL565" s="425">
        <f t="shared" si="229"/>
        <v>0</v>
      </c>
      <c r="EM565" s="423">
        <f t="shared" si="230"/>
        <v>0</v>
      </c>
      <c r="EN565" s="424">
        <f t="shared" si="231"/>
        <v>0</v>
      </c>
      <c r="EO565" s="425">
        <f t="shared" si="232"/>
        <v>0</v>
      </c>
      <c r="EP565" s="419"/>
      <c r="EQ565" s="421"/>
      <c r="ER565" s="419"/>
      <c r="ES565" s="421"/>
      <c r="ET565" s="419"/>
      <c r="EU565" s="421"/>
      <c r="EV565" s="419"/>
      <c r="EW565" s="421"/>
      <c r="EX565" s="419"/>
      <c r="EY565" s="421"/>
      <c r="EZ565" s="419"/>
      <c r="FA565" s="421"/>
      <c r="FB565" s="419"/>
      <c r="FC565" s="421"/>
      <c r="FD565" s="419"/>
      <c r="FE565" s="421"/>
      <c r="FF565" s="419"/>
      <c r="FG565" s="421"/>
      <c r="FH565" s="419"/>
      <c r="FI565" s="421"/>
      <c r="FJ565" s="424">
        <f t="shared" si="233"/>
        <v>0</v>
      </c>
      <c r="FK565" s="425">
        <f t="shared" si="234"/>
        <v>0</v>
      </c>
      <c r="FL565" s="419"/>
      <c r="FM565" s="421"/>
      <c r="FN565" s="424">
        <f t="shared" si="235"/>
        <v>1402</v>
      </c>
      <c r="FO565" s="425">
        <f t="shared" si="236"/>
        <v>1317</v>
      </c>
    </row>
    <row r="566" spans="1:171" s="272" customFormat="1" ht="15" customHeight="1">
      <c r="A566" s="43" t="s">
        <v>167</v>
      </c>
      <c r="B566" s="42" t="s">
        <v>1089</v>
      </c>
      <c r="C566" s="113" t="s">
        <v>1177</v>
      </c>
      <c r="D566" s="40">
        <v>232450</v>
      </c>
      <c r="E566" s="118">
        <v>8</v>
      </c>
      <c r="F566" s="419">
        <v>883</v>
      </c>
      <c r="G566" s="421">
        <v>764</v>
      </c>
      <c r="H566" s="419"/>
      <c r="I566" s="421"/>
      <c r="J566" s="419">
        <v>971</v>
      </c>
      <c r="K566" s="421">
        <v>985</v>
      </c>
      <c r="L566" s="422">
        <f t="shared" si="215"/>
        <v>0</v>
      </c>
      <c r="M566" s="423">
        <f t="shared" si="216"/>
        <v>0</v>
      </c>
      <c r="N566" s="419">
        <v>0</v>
      </c>
      <c r="O566" s="309">
        <f>0</f>
        <v>0</v>
      </c>
      <c r="P566" s="309">
        <f>0</f>
        <v>0</v>
      </c>
      <c r="Q566" s="309">
        <f>0</f>
        <v>0</v>
      </c>
      <c r="R566" s="424">
        <f t="shared" si="213"/>
        <v>0</v>
      </c>
      <c r="S566" s="421">
        <v>0</v>
      </c>
      <c r="T566" s="301">
        <f>0</f>
        <v>0</v>
      </c>
      <c r="U566" s="301">
        <f>0</f>
        <v>0</v>
      </c>
      <c r="V566" s="301">
        <f>0</f>
        <v>0</v>
      </c>
      <c r="W566" s="425">
        <f t="shared" si="214"/>
        <v>0</v>
      </c>
      <c r="X566" s="419"/>
      <c r="Y566" s="419"/>
      <c r="Z566" s="421"/>
      <c r="AA566" s="421"/>
      <c r="AB566" s="419"/>
      <c r="AC566" s="419"/>
      <c r="AD566" s="421"/>
      <c r="AE566" s="421"/>
      <c r="AF566" s="419"/>
      <c r="AG566" s="419"/>
      <c r="AH566" s="421"/>
      <c r="AI566" s="421"/>
      <c r="AJ566" s="419"/>
      <c r="AK566" s="419"/>
      <c r="AL566" s="421"/>
      <c r="AM566" s="421"/>
      <c r="AN566" s="419"/>
      <c r="AO566" s="419"/>
      <c r="AP566" s="421"/>
      <c r="AQ566" s="421"/>
      <c r="AR566" s="424">
        <f t="shared" si="217"/>
        <v>0</v>
      </c>
      <c r="AS566" s="422">
        <f t="shared" si="218"/>
        <v>0</v>
      </c>
      <c r="AT566" s="425">
        <f t="shared" si="219"/>
        <v>0</v>
      </c>
      <c r="AU566" s="423">
        <f t="shared" si="220"/>
        <v>0</v>
      </c>
      <c r="AV566" s="419">
        <v>0</v>
      </c>
      <c r="AW566" s="421">
        <v>0</v>
      </c>
      <c r="AX566" s="419"/>
      <c r="AY566" s="419"/>
      <c r="AZ566" s="421"/>
      <c r="BA566" s="421"/>
      <c r="BB566" s="419"/>
      <c r="BC566" s="419"/>
      <c r="BD566" s="421"/>
      <c r="BE566" s="421"/>
      <c r="BF566" s="419"/>
      <c r="BG566" s="419"/>
      <c r="BH566" s="421"/>
      <c r="BI566" s="421"/>
      <c r="BJ566" s="419"/>
      <c r="BK566" s="419"/>
      <c r="BL566" s="421"/>
      <c r="BM566" s="421"/>
      <c r="BN566" s="419"/>
      <c r="BO566" s="419"/>
      <c r="BP566" s="421"/>
      <c r="BQ566" s="421"/>
      <c r="BR566" s="419"/>
      <c r="BS566" s="419"/>
      <c r="BT566" s="421"/>
      <c r="BU566" s="421"/>
      <c r="BV566" s="419"/>
      <c r="BW566" s="419"/>
      <c r="BX566" s="421"/>
      <c r="BY566" s="421"/>
      <c r="BZ566" s="419"/>
      <c r="CA566" s="419"/>
      <c r="CB566" s="421"/>
      <c r="CC566" s="421"/>
      <c r="CD566" s="419"/>
      <c r="CE566" s="419"/>
      <c r="CF566" s="421"/>
      <c r="CG566" s="421"/>
      <c r="CH566" s="419"/>
      <c r="CI566" s="419"/>
      <c r="CJ566" s="421"/>
      <c r="CK566" s="421"/>
      <c r="CL566" s="419"/>
      <c r="CM566" s="421"/>
      <c r="CN566" s="424">
        <f t="shared" si="221"/>
        <v>0</v>
      </c>
      <c r="CO566" s="424">
        <f t="shared" si="222"/>
        <v>0</v>
      </c>
      <c r="CP566" s="425">
        <f t="shared" si="223"/>
        <v>0</v>
      </c>
      <c r="CQ566" s="425">
        <f t="shared" si="224"/>
        <v>0</v>
      </c>
      <c r="CR566" s="419"/>
      <c r="CS566" s="419"/>
      <c r="CT566" s="421"/>
      <c r="CU566" s="421"/>
      <c r="CV566" s="419"/>
      <c r="CW566" s="419"/>
      <c r="CX566" s="421"/>
      <c r="CY566" s="421"/>
      <c r="CZ566" s="419"/>
      <c r="DA566" s="419"/>
      <c r="DB566" s="421"/>
      <c r="DC566" s="421"/>
      <c r="DD566" s="419"/>
      <c r="DE566" s="419"/>
      <c r="DF566" s="421"/>
      <c r="DG566" s="421"/>
      <c r="DH566" s="419"/>
      <c r="DI566" s="419"/>
      <c r="DJ566" s="421"/>
      <c r="DK566" s="421"/>
      <c r="DL566" s="419"/>
      <c r="DM566" s="419"/>
      <c r="DN566" s="421"/>
      <c r="DO566" s="421"/>
      <c r="DP566" s="419"/>
      <c r="DQ566" s="419"/>
      <c r="DR566" s="421"/>
      <c r="DS566" s="421"/>
      <c r="DT566" s="419"/>
      <c r="DU566" s="419"/>
      <c r="DV566" s="421"/>
      <c r="DW566" s="421"/>
      <c r="DX566" s="419"/>
      <c r="DY566" s="419"/>
      <c r="DZ566" s="421"/>
      <c r="EA566" s="421"/>
      <c r="EB566" s="419"/>
      <c r="EC566" s="419"/>
      <c r="ED566" s="421"/>
      <c r="EE566" s="421"/>
      <c r="EF566" s="419"/>
      <c r="EG566" s="421"/>
      <c r="EH566" s="424">
        <f t="shared" si="225"/>
        <v>0</v>
      </c>
      <c r="EI566" s="424">
        <f t="shared" si="226"/>
        <v>0</v>
      </c>
      <c r="EJ566" s="422">
        <f t="shared" si="227"/>
        <v>0</v>
      </c>
      <c r="EK566" s="425">
        <f t="shared" si="228"/>
        <v>0</v>
      </c>
      <c r="EL566" s="425">
        <f t="shared" si="229"/>
        <v>0</v>
      </c>
      <c r="EM566" s="423">
        <f t="shared" si="230"/>
        <v>0</v>
      </c>
      <c r="EN566" s="424">
        <f t="shared" si="231"/>
        <v>0</v>
      </c>
      <c r="EO566" s="425">
        <f t="shared" si="232"/>
        <v>0</v>
      </c>
      <c r="EP566" s="419"/>
      <c r="EQ566" s="421"/>
      <c r="ER566" s="419"/>
      <c r="ES566" s="421"/>
      <c r="ET566" s="419"/>
      <c r="EU566" s="421"/>
      <c r="EV566" s="419"/>
      <c r="EW566" s="421"/>
      <c r="EX566" s="419"/>
      <c r="EY566" s="421"/>
      <c r="EZ566" s="419"/>
      <c r="FA566" s="421"/>
      <c r="FB566" s="419"/>
      <c r="FC566" s="421"/>
      <c r="FD566" s="419"/>
      <c r="FE566" s="421"/>
      <c r="FF566" s="419"/>
      <c r="FG566" s="421"/>
      <c r="FH566" s="419"/>
      <c r="FI566" s="421"/>
      <c r="FJ566" s="424">
        <f t="shared" si="233"/>
        <v>0</v>
      </c>
      <c r="FK566" s="425">
        <f t="shared" si="234"/>
        <v>0</v>
      </c>
      <c r="FL566" s="419"/>
      <c r="FM566" s="421"/>
      <c r="FN566" s="424">
        <f t="shared" si="235"/>
        <v>1854</v>
      </c>
      <c r="FO566" s="425">
        <f t="shared" si="236"/>
        <v>1749</v>
      </c>
    </row>
    <row r="567" spans="1:171" s="272" customFormat="1" ht="15" customHeight="1">
      <c r="A567" s="43" t="s">
        <v>167</v>
      </c>
      <c r="B567" s="42" t="s">
        <v>1090</v>
      </c>
      <c r="C567" s="113" t="s">
        <v>1177</v>
      </c>
      <c r="D567" s="40">
        <v>232946</v>
      </c>
      <c r="E567" s="118">
        <v>8</v>
      </c>
      <c r="F567" s="419">
        <v>2325</v>
      </c>
      <c r="G567" s="421">
        <v>2629</v>
      </c>
      <c r="H567" s="419"/>
      <c r="I567" s="421"/>
      <c r="J567" s="419">
        <v>5266</v>
      </c>
      <c r="K567" s="421">
        <v>5157</v>
      </c>
      <c r="L567" s="422">
        <f t="shared" si="215"/>
        <v>0</v>
      </c>
      <c r="M567" s="423">
        <f t="shared" si="216"/>
        <v>0</v>
      </c>
      <c r="N567" s="419">
        <v>0</v>
      </c>
      <c r="O567" s="309">
        <f>0</f>
        <v>0</v>
      </c>
      <c r="P567" s="309">
        <f>0</f>
        <v>0</v>
      </c>
      <c r="Q567" s="309">
        <f>0</f>
        <v>0</v>
      </c>
      <c r="R567" s="424">
        <f t="shared" si="213"/>
        <v>0</v>
      </c>
      <c r="S567" s="421">
        <v>0</v>
      </c>
      <c r="T567" s="301">
        <f>0</f>
        <v>0</v>
      </c>
      <c r="U567" s="301">
        <f>0</f>
        <v>0</v>
      </c>
      <c r="V567" s="301">
        <f>0</f>
        <v>0</v>
      </c>
      <c r="W567" s="425">
        <f t="shared" si="214"/>
        <v>0</v>
      </c>
      <c r="X567" s="419"/>
      <c r="Y567" s="419"/>
      <c r="Z567" s="421"/>
      <c r="AA567" s="421"/>
      <c r="AB567" s="419"/>
      <c r="AC567" s="419"/>
      <c r="AD567" s="421"/>
      <c r="AE567" s="421"/>
      <c r="AF567" s="419"/>
      <c r="AG567" s="419"/>
      <c r="AH567" s="421"/>
      <c r="AI567" s="421"/>
      <c r="AJ567" s="419"/>
      <c r="AK567" s="419"/>
      <c r="AL567" s="421"/>
      <c r="AM567" s="421"/>
      <c r="AN567" s="419"/>
      <c r="AO567" s="419"/>
      <c r="AP567" s="421"/>
      <c r="AQ567" s="421"/>
      <c r="AR567" s="424">
        <f t="shared" si="217"/>
        <v>0</v>
      </c>
      <c r="AS567" s="422">
        <f t="shared" si="218"/>
        <v>0</v>
      </c>
      <c r="AT567" s="425">
        <f t="shared" si="219"/>
        <v>0</v>
      </c>
      <c r="AU567" s="423">
        <f t="shared" si="220"/>
        <v>0</v>
      </c>
      <c r="AV567" s="419">
        <v>0</v>
      </c>
      <c r="AW567" s="421">
        <v>0</v>
      </c>
      <c r="AX567" s="419"/>
      <c r="AY567" s="419"/>
      <c r="AZ567" s="421"/>
      <c r="BA567" s="421"/>
      <c r="BB567" s="419"/>
      <c r="BC567" s="419"/>
      <c r="BD567" s="421"/>
      <c r="BE567" s="421"/>
      <c r="BF567" s="419"/>
      <c r="BG567" s="419"/>
      <c r="BH567" s="421"/>
      <c r="BI567" s="421"/>
      <c r="BJ567" s="419"/>
      <c r="BK567" s="419"/>
      <c r="BL567" s="421"/>
      <c r="BM567" s="421"/>
      <c r="BN567" s="419"/>
      <c r="BO567" s="419"/>
      <c r="BP567" s="421"/>
      <c r="BQ567" s="421"/>
      <c r="BR567" s="419"/>
      <c r="BS567" s="419"/>
      <c r="BT567" s="421"/>
      <c r="BU567" s="421"/>
      <c r="BV567" s="419"/>
      <c r="BW567" s="419"/>
      <c r="BX567" s="421"/>
      <c r="BY567" s="421"/>
      <c r="BZ567" s="419"/>
      <c r="CA567" s="419"/>
      <c r="CB567" s="421"/>
      <c r="CC567" s="421"/>
      <c r="CD567" s="419"/>
      <c r="CE567" s="419"/>
      <c r="CF567" s="421"/>
      <c r="CG567" s="421"/>
      <c r="CH567" s="419"/>
      <c r="CI567" s="419"/>
      <c r="CJ567" s="421"/>
      <c r="CK567" s="421"/>
      <c r="CL567" s="419"/>
      <c r="CM567" s="421"/>
      <c r="CN567" s="424">
        <f t="shared" si="221"/>
        <v>0</v>
      </c>
      <c r="CO567" s="424">
        <f t="shared" si="222"/>
        <v>0</v>
      </c>
      <c r="CP567" s="425">
        <f t="shared" si="223"/>
        <v>0</v>
      </c>
      <c r="CQ567" s="425">
        <f t="shared" si="224"/>
        <v>0</v>
      </c>
      <c r="CR567" s="419"/>
      <c r="CS567" s="419"/>
      <c r="CT567" s="421"/>
      <c r="CU567" s="421"/>
      <c r="CV567" s="419"/>
      <c r="CW567" s="419"/>
      <c r="CX567" s="421"/>
      <c r="CY567" s="421"/>
      <c r="CZ567" s="419"/>
      <c r="DA567" s="419"/>
      <c r="DB567" s="421"/>
      <c r="DC567" s="421"/>
      <c r="DD567" s="419"/>
      <c r="DE567" s="419"/>
      <c r="DF567" s="421"/>
      <c r="DG567" s="421"/>
      <c r="DH567" s="419"/>
      <c r="DI567" s="419"/>
      <c r="DJ567" s="421"/>
      <c r="DK567" s="421"/>
      <c r="DL567" s="419"/>
      <c r="DM567" s="419"/>
      <c r="DN567" s="421"/>
      <c r="DO567" s="421"/>
      <c r="DP567" s="419"/>
      <c r="DQ567" s="419"/>
      <c r="DR567" s="421"/>
      <c r="DS567" s="421"/>
      <c r="DT567" s="419"/>
      <c r="DU567" s="419"/>
      <c r="DV567" s="421"/>
      <c r="DW567" s="421"/>
      <c r="DX567" s="419"/>
      <c r="DY567" s="419"/>
      <c r="DZ567" s="421"/>
      <c r="EA567" s="421"/>
      <c r="EB567" s="419"/>
      <c r="EC567" s="419"/>
      <c r="ED567" s="421"/>
      <c r="EE567" s="421"/>
      <c r="EF567" s="419"/>
      <c r="EG567" s="421"/>
      <c r="EH567" s="424">
        <f t="shared" si="225"/>
        <v>0</v>
      </c>
      <c r="EI567" s="424">
        <f t="shared" si="226"/>
        <v>0</v>
      </c>
      <c r="EJ567" s="422">
        <f t="shared" si="227"/>
        <v>0</v>
      </c>
      <c r="EK567" s="425">
        <f t="shared" si="228"/>
        <v>0</v>
      </c>
      <c r="EL567" s="425">
        <f t="shared" si="229"/>
        <v>0</v>
      </c>
      <c r="EM567" s="423">
        <f t="shared" si="230"/>
        <v>0</v>
      </c>
      <c r="EN567" s="424">
        <f t="shared" si="231"/>
        <v>0</v>
      </c>
      <c r="EO567" s="425">
        <f t="shared" si="232"/>
        <v>0</v>
      </c>
      <c r="EP567" s="419"/>
      <c r="EQ567" s="421"/>
      <c r="ER567" s="419"/>
      <c r="ES567" s="421"/>
      <c r="ET567" s="419"/>
      <c r="EU567" s="421"/>
      <c r="EV567" s="419"/>
      <c r="EW567" s="421"/>
      <c r="EX567" s="419"/>
      <c r="EY567" s="421"/>
      <c r="EZ567" s="419"/>
      <c r="FA567" s="421"/>
      <c r="FB567" s="419"/>
      <c r="FC567" s="421"/>
      <c r="FD567" s="419"/>
      <c r="FE567" s="421"/>
      <c r="FF567" s="419"/>
      <c r="FG567" s="421"/>
      <c r="FH567" s="419"/>
      <c r="FI567" s="421"/>
      <c r="FJ567" s="424">
        <f t="shared" si="233"/>
        <v>0</v>
      </c>
      <c r="FK567" s="425">
        <f t="shared" si="234"/>
        <v>0</v>
      </c>
      <c r="FL567" s="419"/>
      <c r="FM567" s="421"/>
      <c r="FN567" s="424">
        <f t="shared" si="235"/>
        <v>7591</v>
      </c>
      <c r="FO567" s="425">
        <f t="shared" si="236"/>
        <v>7786</v>
      </c>
    </row>
    <row r="568" spans="1:171" s="272" customFormat="1" ht="15" customHeight="1">
      <c r="A568" s="43" t="s">
        <v>167</v>
      </c>
      <c r="B568" s="42" t="s">
        <v>1091</v>
      </c>
      <c r="C568" s="113" t="s">
        <v>1221</v>
      </c>
      <c r="D568" s="40">
        <v>233754</v>
      </c>
      <c r="E568" s="118">
        <v>8</v>
      </c>
      <c r="F568" s="419">
        <v>642</v>
      </c>
      <c r="G568" s="421">
        <v>532</v>
      </c>
      <c r="H568" s="419"/>
      <c r="I568" s="421"/>
      <c r="J568" s="419">
        <v>903</v>
      </c>
      <c r="K568" s="421">
        <v>853</v>
      </c>
      <c r="L568" s="422">
        <f t="shared" si="215"/>
        <v>0</v>
      </c>
      <c r="M568" s="423">
        <f t="shared" si="216"/>
        <v>0</v>
      </c>
      <c r="N568" s="419">
        <v>0</v>
      </c>
      <c r="O568" s="309">
        <f>0</f>
        <v>0</v>
      </c>
      <c r="P568" s="309">
        <f>0</f>
        <v>0</v>
      </c>
      <c r="Q568" s="309">
        <f>0</f>
        <v>0</v>
      </c>
      <c r="R568" s="424">
        <f t="shared" si="213"/>
        <v>0</v>
      </c>
      <c r="S568" s="421">
        <v>0</v>
      </c>
      <c r="T568" s="301">
        <f>0</f>
        <v>0</v>
      </c>
      <c r="U568" s="301">
        <f>0</f>
        <v>0</v>
      </c>
      <c r="V568" s="301">
        <f>0</f>
        <v>0</v>
      </c>
      <c r="W568" s="425">
        <f t="shared" si="214"/>
        <v>0</v>
      </c>
      <c r="X568" s="419"/>
      <c r="Y568" s="419"/>
      <c r="Z568" s="421"/>
      <c r="AA568" s="421"/>
      <c r="AB568" s="419"/>
      <c r="AC568" s="419"/>
      <c r="AD568" s="421"/>
      <c r="AE568" s="421"/>
      <c r="AF568" s="419"/>
      <c r="AG568" s="419"/>
      <c r="AH568" s="421"/>
      <c r="AI568" s="421"/>
      <c r="AJ568" s="419"/>
      <c r="AK568" s="419"/>
      <c r="AL568" s="421"/>
      <c r="AM568" s="421"/>
      <c r="AN568" s="419"/>
      <c r="AO568" s="419"/>
      <c r="AP568" s="421"/>
      <c r="AQ568" s="421"/>
      <c r="AR568" s="424">
        <f t="shared" si="217"/>
        <v>0</v>
      </c>
      <c r="AS568" s="422">
        <f t="shared" si="218"/>
        <v>0</v>
      </c>
      <c r="AT568" s="425">
        <f t="shared" si="219"/>
        <v>0</v>
      </c>
      <c r="AU568" s="423">
        <f t="shared" si="220"/>
        <v>0</v>
      </c>
      <c r="AV568" s="419">
        <v>0</v>
      </c>
      <c r="AW568" s="421">
        <v>0</v>
      </c>
      <c r="AX568" s="419"/>
      <c r="AY568" s="419"/>
      <c r="AZ568" s="421"/>
      <c r="BA568" s="421"/>
      <c r="BB568" s="419"/>
      <c r="BC568" s="419"/>
      <c r="BD568" s="421"/>
      <c r="BE568" s="421"/>
      <c r="BF568" s="419"/>
      <c r="BG568" s="419"/>
      <c r="BH568" s="421"/>
      <c r="BI568" s="421"/>
      <c r="BJ568" s="419"/>
      <c r="BK568" s="419"/>
      <c r="BL568" s="421"/>
      <c r="BM568" s="421"/>
      <c r="BN568" s="419"/>
      <c r="BO568" s="419"/>
      <c r="BP568" s="421"/>
      <c r="BQ568" s="421"/>
      <c r="BR568" s="419"/>
      <c r="BS568" s="419"/>
      <c r="BT568" s="421"/>
      <c r="BU568" s="421"/>
      <c r="BV568" s="419"/>
      <c r="BW568" s="419"/>
      <c r="BX568" s="421"/>
      <c r="BY568" s="421"/>
      <c r="BZ568" s="419"/>
      <c r="CA568" s="419"/>
      <c r="CB568" s="421"/>
      <c r="CC568" s="421"/>
      <c r="CD568" s="419"/>
      <c r="CE568" s="419"/>
      <c r="CF568" s="421"/>
      <c r="CG568" s="421"/>
      <c r="CH568" s="419"/>
      <c r="CI568" s="419"/>
      <c r="CJ568" s="421"/>
      <c r="CK568" s="421"/>
      <c r="CL568" s="419"/>
      <c r="CM568" s="421"/>
      <c r="CN568" s="424">
        <f t="shared" si="221"/>
        <v>0</v>
      </c>
      <c r="CO568" s="424">
        <f t="shared" si="222"/>
        <v>0</v>
      </c>
      <c r="CP568" s="425">
        <f t="shared" si="223"/>
        <v>0</v>
      </c>
      <c r="CQ568" s="425">
        <f t="shared" si="224"/>
        <v>0</v>
      </c>
      <c r="CR568" s="419"/>
      <c r="CS568" s="419"/>
      <c r="CT568" s="421"/>
      <c r="CU568" s="421"/>
      <c r="CV568" s="419"/>
      <c r="CW568" s="419"/>
      <c r="CX568" s="421"/>
      <c r="CY568" s="421"/>
      <c r="CZ568" s="419"/>
      <c r="DA568" s="419"/>
      <c r="DB568" s="421"/>
      <c r="DC568" s="421"/>
      <c r="DD568" s="419"/>
      <c r="DE568" s="419"/>
      <c r="DF568" s="421"/>
      <c r="DG568" s="421"/>
      <c r="DH568" s="419"/>
      <c r="DI568" s="419"/>
      <c r="DJ568" s="421"/>
      <c r="DK568" s="421"/>
      <c r="DL568" s="419"/>
      <c r="DM568" s="419"/>
      <c r="DN568" s="421"/>
      <c r="DO568" s="421"/>
      <c r="DP568" s="419"/>
      <c r="DQ568" s="419"/>
      <c r="DR568" s="421"/>
      <c r="DS568" s="421"/>
      <c r="DT568" s="419"/>
      <c r="DU568" s="419"/>
      <c r="DV568" s="421"/>
      <c r="DW568" s="421"/>
      <c r="DX568" s="419"/>
      <c r="DY568" s="419"/>
      <c r="DZ568" s="421"/>
      <c r="EA568" s="421"/>
      <c r="EB568" s="419"/>
      <c r="EC568" s="419"/>
      <c r="ED568" s="421"/>
      <c r="EE568" s="421"/>
      <c r="EF568" s="419"/>
      <c r="EG568" s="421"/>
      <c r="EH568" s="424">
        <f t="shared" si="225"/>
        <v>0</v>
      </c>
      <c r="EI568" s="424">
        <f t="shared" si="226"/>
        <v>0</v>
      </c>
      <c r="EJ568" s="422">
        <f t="shared" si="227"/>
        <v>0</v>
      </c>
      <c r="EK568" s="425">
        <f t="shared" si="228"/>
        <v>0</v>
      </c>
      <c r="EL568" s="425">
        <f t="shared" si="229"/>
        <v>0</v>
      </c>
      <c r="EM568" s="423">
        <f t="shared" si="230"/>
        <v>0</v>
      </c>
      <c r="EN568" s="424">
        <f t="shared" si="231"/>
        <v>0</v>
      </c>
      <c r="EO568" s="425">
        <f t="shared" si="232"/>
        <v>0</v>
      </c>
      <c r="EP568" s="419"/>
      <c r="EQ568" s="421"/>
      <c r="ER568" s="419"/>
      <c r="ES568" s="421"/>
      <c r="ET568" s="419"/>
      <c r="EU568" s="421"/>
      <c r="EV568" s="419"/>
      <c r="EW568" s="421"/>
      <c r="EX568" s="419"/>
      <c r="EY568" s="421"/>
      <c r="EZ568" s="419"/>
      <c r="FA568" s="421"/>
      <c r="FB568" s="419"/>
      <c r="FC568" s="421"/>
      <c r="FD568" s="419"/>
      <c r="FE568" s="421"/>
      <c r="FF568" s="419"/>
      <c r="FG568" s="421"/>
      <c r="FH568" s="419"/>
      <c r="FI568" s="421"/>
      <c r="FJ568" s="424">
        <f t="shared" si="233"/>
        <v>0</v>
      </c>
      <c r="FK568" s="425">
        <f t="shared" si="234"/>
        <v>0</v>
      </c>
      <c r="FL568" s="419"/>
      <c r="FM568" s="421"/>
      <c r="FN568" s="424">
        <f t="shared" si="235"/>
        <v>1545</v>
      </c>
      <c r="FO568" s="425">
        <f t="shared" si="236"/>
        <v>1385</v>
      </c>
    </row>
    <row r="569" spans="1:171" s="272" customFormat="1" ht="15" customHeight="1">
      <c r="A569" s="43" t="s">
        <v>167</v>
      </c>
      <c r="B569" s="42" t="s">
        <v>1092</v>
      </c>
      <c r="C569" s="113" t="s">
        <v>1177</v>
      </c>
      <c r="D569" s="40">
        <v>233772</v>
      </c>
      <c r="E569" s="118">
        <v>8</v>
      </c>
      <c r="F569" s="419">
        <v>1774</v>
      </c>
      <c r="G569" s="420">
        <v>1253</v>
      </c>
      <c r="H569" s="419"/>
      <c r="I569" s="421"/>
      <c r="J569" s="419">
        <v>2591</v>
      </c>
      <c r="K569" s="421">
        <v>2384</v>
      </c>
      <c r="L569" s="422">
        <f t="shared" si="215"/>
        <v>0</v>
      </c>
      <c r="M569" s="423">
        <f t="shared" si="216"/>
        <v>0</v>
      </c>
      <c r="N569" s="419">
        <v>0</v>
      </c>
      <c r="O569" s="309">
        <f>0</f>
        <v>0</v>
      </c>
      <c r="P569" s="309">
        <f>0</f>
        <v>0</v>
      </c>
      <c r="Q569" s="309">
        <f>0</f>
        <v>0</v>
      </c>
      <c r="R569" s="424">
        <f t="shared" si="213"/>
        <v>0</v>
      </c>
      <c r="S569" s="421">
        <v>0</v>
      </c>
      <c r="T569" s="301">
        <f>0</f>
        <v>0</v>
      </c>
      <c r="U569" s="301">
        <f>0</f>
        <v>0</v>
      </c>
      <c r="V569" s="301">
        <f>0</f>
        <v>0</v>
      </c>
      <c r="W569" s="425">
        <f t="shared" si="214"/>
        <v>0</v>
      </c>
      <c r="X569" s="419"/>
      <c r="Y569" s="419"/>
      <c r="Z569" s="421"/>
      <c r="AA569" s="421"/>
      <c r="AB569" s="419"/>
      <c r="AC569" s="419"/>
      <c r="AD569" s="421"/>
      <c r="AE569" s="421"/>
      <c r="AF569" s="419"/>
      <c r="AG569" s="419"/>
      <c r="AH569" s="421"/>
      <c r="AI569" s="421"/>
      <c r="AJ569" s="419"/>
      <c r="AK569" s="419"/>
      <c r="AL569" s="421"/>
      <c r="AM569" s="421"/>
      <c r="AN569" s="419"/>
      <c r="AO569" s="419"/>
      <c r="AP569" s="421"/>
      <c r="AQ569" s="421"/>
      <c r="AR569" s="424">
        <f t="shared" si="217"/>
        <v>0</v>
      </c>
      <c r="AS569" s="422">
        <f t="shared" si="218"/>
        <v>0</v>
      </c>
      <c r="AT569" s="425">
        <f t="shared" si="219"/>
        <v>0</v>
      </c>
      <c r="AU569" s="423">
        <f t="shared" si="220"/>
        <v>0</v>
      </c>
      <c r="AV569" s="419">
        <v>0</v>
      </c>
      <c r="AW569" s="421">
        <v>0</v>
      </c>
      <c r="AX569" s="419"/>
      <c r="AY569" s="419"/>
      <c r="AZ569" s="421"/>
      <c r="BA569" s="421"/>
      <c r="BB569" s="419"/>
      <c r="BC569" s="419"/>
      <c r="BD569" s="421"/>
      <c r="BE569" s="421"/>
      <c r="BF569" s="419"/>
      <c r="BG569" s="419"/>
      <c r="BH569" s="421"/>
      <c r="BI569" s="421"/>
      <c r="BJ569" s="419"/>
      <c r="BK569" s="419"/>
      <c r="BL569" s="421"/>
      <c r="BM569" s="421"/>
      <c r="BN569" s="419"/>
      <c r="BO569" s="419"/>
      <c r="BP569" s="421"/>
      <c r="BQ569" s="421"/>
      <c r="BR569" s="419"/>
      <c r="BS569" s="419"/>
      <c r="BT569" s="421"/>
      <c r="BU569" s="421"/>
      <c r="BV569" s="419"/>
      <c r="BW569" s="419"/>
      <c r="BX569" s="421"/>
      <c r="BY569" s="421"/>
      <c r="BZ569" s="419"/>
      <c r="CA569" s="419"/>
      <c r="CB569" s="421"/>
      <c r="CC569" s="421"/>
      <c r="CD569" s="419"/>
      <c r="CE569" s="419"/>
      <c r="CF569" s="421"/>
      <c r="CG569" s="421"/>
      <c r="CH569" s="419"/>
      <c r="CI569" s="419"/>
      <c r="CJ569" s="421"/>
      <c r="CK569" s="421"/>
      <c r="CL569" s="419"/>
      <c r="CM569" s="421"/>
      <c r="CN569" s="424">
        <f t="shared" si="221"/>
        <v>0</v>
      </c>
      <c r="CO569" s="424">
        <f t="shared" si="222"/>
        <v>0</v>
      </c>
      <c r="CP569" s="425">
        <f t="shared" si="223"/>
        <v>0</v>
      </c>
      <c r="CQ569" s="425">
        <f t="shared" si="224"/>
        <v>0</v>
      </c>
      <c r="CR569" s="419"/>
      <c r="CS569" s="419"/>
      <c r="CT569" s="421"/>
      <c r="CU569" s="421"/>
      <c r="CV569" s="419"/>
      <c r="CW569" s="419"/>
      <c r="CX569" s="421"/>
      <c r="CY569" s="421"/>
      <c r="CZ569" s="419"/>
      <c r="DA569" s="419"/>
      <c r="DB569" s="421"/>
      <c r="DC569" s="421"/>
      <c r="DD569" s="419"/>
      <c r="DE569" s="419"/>
      <c r="DF569" s="421"/>
      <c r="DG569" s="421"/>
      <c r="DH569" s="419"/>
      <c r="DI569" s="419"/>
      <c r="DJ569" s="421"/>
      <c r="DK569" s="421"/>
      <c r="DL569" s="419"/>
      <c r="DM569" s="419"/>
      <c r="DN569" s="421"/>
      <c r="DO569" s="421"/>
      <c r="DP569" s="419"/>
      <c r="DQ569" s="419"/>
      <c r="DR569" s="421"/>
      <c r="DS569" s="421"/>
      <c r="DT569" s="419"/>
      <c r="DU569" s="419"/>
      <c r="DV569" s="421"/>
      <c r="DW569" s="421"/>
      <c r="DX569" s="419"/>
      <c r="DY569" s="419"/>
      <c r="DZ569" s="421"/>
      <c r="EA569" s="421"/>
      <c r="EB569" s="419"/>
      <c r="EC569" s="419"/>
      <c r="ED569" s="421"/>
      <c r="EE569" s="421"/>
      <c r="EF569" s="419"/>
      <c r="EG569" s="421"/>
      <c r="EH569" s="424">
        <f t="shared" si="225"/>
        <v>0</v>
      </c>
      <c r="EI569" s="424">
        <f t="shared" si="226"/>
        <v>0</v>
      </c>
      <c r="EJ569" s="422">
        <f t="shared" si="227"/>
        <v>0</v>
      </c>
      <c r="EK569" s="425">
        <f t="shared" si="228"/>
        <v>0</v>
      </c>
      <c r="EL569" s="425">
        <f t="shared" si="229"/>
        <v>0</v>
      </c>
      <c r="EM569" s="423">
        <f t="shared" si="230"/>
        <v>0</v>
      </c>
      <c r="EN569" s="424">
        <f t="shared" si="231"/>
        <v>0</v>
      </c>
      <c r="EO569" s="425">
        <f t="shared" si="232"/>
        <v>0</v>
      </c>
      <c r="EP569" s="419"/>
      <c r="EQ569" s="421"/>
      <c r="ER569" s="419"/>
      <c r="ES569" s="421"/>
      <c r="ET569" s="419"/>
      <c r="EU569" s="421"/>
      <c r="EV569" s="419"/>
      <c r="EW569" s="421"/>
      <c r="EX569" s="419"/>
      <c r="EY569" s="421"/>
      <c r="EZ569" s="419"/>
      <c r="FA569" s="421"/>
      <c r="FB569" s="419"/>
      <c r="FC569" s="421"/>
      <c r="FD569" s="419"/>
      <c r="FE569" s="421"/>
      <c r="FF569" s="419"/>
      <c r="FG569" s="421"/>
      <c r="FH569" s="419"/>
      <c r="FI569" s="421"/>
      <c r="FJ569" s="424">
        <f t="shared" si="233"/>
        <v>0</v>
      </c>
      <c r="FK569" s="425">
        <f t="shared" si="234"/>
        <v>0</v>
      </c>
      <c r="FL569" s="419"/>
      <c r="FM569" s="421"/>
      <c r="FN569" s="424">
        <f t="shared" si="235"/>
        <v>4365</v>
      </c>
      <c r="FO569" s="425">
        <f t="shared" si="236"/>
        <v>3637</v>
      </c>
    </row>
    <row r="570" spans="1:171" s="272" customFormat="1" ht="15" customHeight="1">
      <c r="A570" s="43" t="s">
        <v>167</v>
      </c>
      <c r="B570" s="42" t="s">
        <v>1093</v>
      </c>
      <c r="C570" s="113" t="s">
        <v>1177</v>
      </c>
      <c r="D570" s="40">
        <v>231536</v>
      </c>
      <c r="E570" s="118">
        <v>9</v>
      </c>
      <c r="F570" s="419">
        <v>561</v>
      </c>
      <c r="G570" s="421">
        <v>557</v>
      </c>
      <c r="H570" s="419"/>
      <c r="I570" s="421"/>
      <c r="J570" s="419">
        <v>478</v>
      </c>
      <c r="K570" s="421">
        <v>434</v>
      </c>
      <c r="L570" s="422">
        <f t="shared" si="215"/>
        <v>0</v>
      </c>
      <c r="M570" s="423">
        <f t="shared" si="216"/>
        <v>0</v>
      </c>
      <c r="N570" s="419">
        <v>0</v>
      </c>
      <c r="O570" s="309">
        <f>0</f>
        <v>0</v>
      </c>
      <c r="P570" s="309">
        <f>0</f>
        <v>0</v>
      </c>
      <c r="Q570" s="309">
        <f>0</f>
        <v>0</v>
      </c>
      <c r="R570" s="424">
        <f t="shared" si="213"/>
        <v>0</v>
      </c>
      <c r="S570" s="421">
        <v>0</v>
      </c>
      <c r="T570" s="301">
        <f>0</f>
        <v>0</v>
      </c>
      <c r="U570" s="301">
        <f>0</f>
        <v>0</v>
      </c>
      <c r="V570" s="301">
        <f>0</f>
        <v>0</v>
      </c>
      <c r="W570" s="425">
        <f t="shared" si="214"/>
        <v>0</v>
      </c>
      <c r="X570" s="419"/>
      <c r="Y570" s="419"/>
      <c r="Z570" s="421"/>
      <c r="AA570" s="421"/>
      <c r="AB570" s="419"/>
      <c r="AC570" s="419"/>
      <c r="AD570" s="421"/>
      <c r="AE570" s="421"/>
      <c r="AF570" s="419"/>
      <c r="AG570" s="419"/>
      <c r="AH570" s="421"/>
      <c r="AI570" s="421"/>
      <c r="AJ570" s="419"/>
      <c r="AK570" s="419"/>
      <c r="AL570" s="421"/>
      <c r="AM570" s="421"/>
      <c r="AN570" s="419"/>
      <c r="AO570" s="419"/>
      <c r="AP570" s="421"/>
      <c r="AQ570" s="421"/>
      <c r="AR570" s="424">
        <f t="shared" si="217"/>
        <v>0</v>
      </c>
      <c r="AS570" s="422">
        <f t="shared" si="218"/>
        <v>0</v>
      </c>
      <c r="AT570" s="425">
        <f t="shared" si="219"/>
        <v>0</v>
      </c>
      <c r="AU570" s="423">
        <f t="shared" si="220"/>
        <v>0</v>
      </c>
      <c r="AV570" s="419">
        <v>0</v>
      </c>
      <c r="AW570" s="421">
        <v>0</v>
      </c>
      <c r="AX570" s="419"/>
      <c r="AY570" s="419"/>
      <c r="AZ570" s="421"/>
      <c r="BA570" s="421"/>
      <c r="BB570" s="419"/>
      <c r="BC570" s="419"/>
      <c r="BD570" s="421"/>
      <c r="BE570" s="421"/>
      <c r="BF570" s="419"/>
      <c r="BG570" s="419"/>
      <c r="BH570" s="421"/>
      <c r="BI570" s="421"/>
      <c r="BJ570" s="419"/>
      <c r="BK570" s="419"/>
      <c r="BL570" s="421"/>
      <c r="BM570" s="421"/>
      <c r="BN570" s="419"/>
      <c r="BO570" s="419"/>
      <c r="BP570" s="421"/>
      <c r="BQ570" s="421"/>
      <c r="BR570" s="419"/>
      <c r="BS570" s="419"/>
      <c r="BT570" s="421"/>
      <c r="BU570" s="421"/>
      <c r="BV570" s="419"/>
      <c r="BW570" s="419"/>
      <c r="BX570" s="421"/>
      <c r="BY570" s="421"/>
      <c r="BZ570" s="419"/>
      <c r="CA570" s="419"/>
      <c r="CB570" s="421"/>
      <c r="CC570" s="421"/>
      <c r="CD570" s="419"/>
      <c r="CE570" s="419"/>
      <c r="CF570" s="421"/>
      <c r="CG570" s="421"/>
      <c r="CH570" s="419"/>
      <c r="CI570" s="419"/>
      <c r="CJ570" s="421"/>
      <c r="CK570" s="421"/>
      <c r="CL570" s="419"/>
      <c r="CM570" s="421"/>
      <c r="CN570" s="424">
        <f t="shared" si="221"/>
        <v>0</v>
      </c>
      <c r="CO570" s="424">
        <f t="shared" si="222"/>
        <v>0</v>
      </c>
      <c r="CP570" s="425">
        <f t="shared" si="223"/>
        <v>0</v>
      </c>
      <c r="CQ570" s="425">
        <f t="shared" si="224"/>
        <v>0</v>
      </c>
      <c r="CR570" s="419"/>
      <c r="CS570" s="419"/>
      <c r="CT570" s="421"/>
      <c r="CU570" s="421"/>
      <c r="CV570" s="419"/>
      <c r="CW570" s="419"/>
      <c r="CX570" s="421"/>
      <c r="CY570" s="421"/>
      <c r="CZ570" s="419"/>
      <c r="DA570" s="419"/>
      <c r="DB570" s="421"/>
      <c r="DC570" s="421"/>
      <c r="DD570" s="419"/>
      <c r="DE570" s="419"/>
      <c r="DF570" s="421"/>
      <c r="DG570" s="421"/>
      <c r="DH570" s="419"/>
      <c r="DI570" s="419"/>
      <c r="DJ570" s="421"/>
      <c r="DK570" s="421"/>
      <c r="DL570" s="419"/>
      <c r="DM570" s="419"/>
      <c r="DN570" s="421"/>
      <c r="DO570" s="421"/>
      <c r="DP570" s="419"/>
      <c r="DQ570" s="419"/>
      <c r="DR570" s="421"/>
      <c r="DS570" s="421"/>
      <c r="DT570" s="419"/>
      <c r="DU570" s="419"/>
      <c r="DV570" s="421"/>
      <c r="DW570" s="421"/>
      <c r="DX570" s="419"/>
      <c r="DY570" s="419"/>
      <c r="DZ570" s="421"/>
      <c r="EA570" s="421"/>
      <c r="EB570" s="419"/>
      <c r="EC570" s="419"/>
      <c r="ED570" s="421"/>
      <c r="EE570" s="421"/>
      <c r="EF570" s="419"/>
      <c r="EG570" s="421"/>
      <c r="EH570" s="424">
        <f t="shared" si="225"/>
        <v>0</v>
      </c>
      <c r="EI570" s="424">
        <f t="shared" si="226"/>
        <v>0</v>
      </c>
      <c r="EJ570" s="422">
        <f t="shared" si="227"/>
        <v>0</v>
      </c>
      <c r="EK570" s="425">
        <f t="shared" si="228"/>
        <v>0</v>
      </c>
      <c r="EL570" s="425">
        <f t="shared" si="229"/>
        <v>0</v>
      </c>
      <c r="EM570" s="423">
        <f t="shared" si="230"/>
        <v>0</v>
      </c>
      <c r="EN570" s="424">
        <f t="shared" si="231"/>
        <v>0</v>
      </c>
      <c r="EO570" s="425">
        <f t="shared" si="232"/>
        <v>0</v>
      </c>
      <c r="EP570" s="419"/>
      <c r="EQ570" s="421"/>
      <c r="ER570" s="419"/>
      <c r="ES570" s="421"/>
      <c r="ET570" s="419"/>
      <c r="EU570" s="421"/>
      <c r="EV570" s="419"/>
      <c r="EW570" s="421"/>
      <c r="EX570" s="419"/>
      <c r="EY570" s="421"/>
      <c r="EZ570" s="419"/>
      <c r="FA570" s="421"/>
      <c r="FB570" s="419"/>
      <c r="FC570" s="421"/>
      <c r="FD570" s="419"/>
      <c r="FE570" s="421"/>
      <c r="FF570" s="419"/>
      <c r="FG570" s="421"/>
      <c r="FH570" s="419"/>
      <c r="FI570" s="421"/>
      <c r="FJ570" s="424">
        <f t="shared" si="233"/>
        <v>0</v>
      </c>
      <c r="FK570" s="425">
        <f t="shared" si="234"/>
        <v>0</v>
      </c>
      <c r="FL570" s="419"/>
      <c r="FM570" s="421"/>
      <c r="FN570" s="424">
        <f t="shared" si="235"/>
        <v>1039</v>
      </c>
      <c r="FO570" s="425">
        <f t="shared" si="236"/>
        <v>991</v>
      </c>
    </row>
    <row r="571" spans="1:171" s="272" customFormat="1" ht="15" customHeight="1">
      <c r="A571" s="43" t="s">
        <v>167</v>
      </c>
      <c r="B571" s="42" t="s">
        <v>1094</v>
      </c>
      <c r="C571" s="113" t="s">
        <v>1177</v>
      </c>
      <c r="D571" s="40">
        <v>231697</v>
      </c>
      <c r="E571" s="118">
        <v>9</v>
      </c>
      <c r="F571" s="419">
        <v>825</v>
      </c>
      <c r="G571" s="421">
        <v>702</v>
      </c>
      <c r="H571" s="419"/>
      <c r="I571" s="421"/>
      <c r="J571" s="419">
        <v>441</v>
      </c>
      <c r="K571" s="421">
        <v>408</v>
      </c>
      <c r="L571" s="422">
        <f t="shared" si="215"/>
        <v>0</v>
      </c>
      <c r="M571" s="423">
        <f t="shared" si="216"/>
        <v>0</v>
      </c>
      <c r="N571" s="419">
        <v>0</v>
      </c>
      <c r="O571" s="309">
        <f>0</f>
        <v>0</v>
      </c>
      <c r="P571" s="309">
        <f>0</f>
        <v>0</v>
      </c>
      <c r="Q571" s="309">
        <f>0</f>
        <v>0</v>
      </c>
      <c r="R571" s="424">
        <f t="shared" si="213"/>
        <v>0</v>
      </c>
      <c r="S571" s="421">
        <v>0</v>
      </c>
      <c r="T571" s="301">
        <f>0</f>
        <v>0</v>
      </c>
      <c r="U571" s="301">
        <f>0</f>
        <v>0</v>
      </c>
      <c r="V571" s="301">
        <f>0</f>
        <v>0</v>
      </c>
      <c r="W571" s="425">
        <f t="shared" si="214"/>
        <v>0</v>
      </c>
      <c r="X571" s="419"/>
      <c r="Y571" s="419"/>
      <c r="Z571" s="421"/>
      <c r="AA571" s="421"/>
      <c r="AB571" s="419"/>
      <c r="AC571" s="419"/>
      <c r="AD571" s="421"/>
      <c r="AE571" s="421"/>
      <c r="AF571" s="419"/>
      <c r="AG571" s="419"/>
      <c r="AH571" s="421"/>
      <c r="AI571" s="421"/>
      <c r="AJ571" s="419"/>
      <c r="AK571" s="419"/>
      <c r="AL571" s="421"/>
      <c r="AM571" s="421"/>
      <c r="AN571" s="419"/>
      <c r="AO571" s="419"/>
      <c r="AP571" s="421"/>
      <c r="AQ571" s="421"/>
      <c r="AR571" s="424">
        <f t="shared" si="217"/>
        <v>0</v>
      </c>
      <c r="AS571" s="422">
        <f t="shared" si="218"/>
        <v>0</v>
      </c>
      <c r="AT571" s="425">
        <f t="shared" si="219"/>
        <v>0</v>
      </c>
      <c r="AU571" s="423">
        <f t="shared" si="220"/>
        <v>0</v>
      </c>
      <c r="AV571" s="419">
        <v>0</v>
      </c>
      <c r="AW571" s="421">
        <v>0</v>
      </c>
      <c r="AX571" s="419"/>
      <c r="AY571" s="419"/>
      <c r="AZ571" s="421"/>
      <c r="BA571" s="421"/>
      <c r="BB571" s="419"/>
      <c r="BC571" s="419"/>
      <c r="BD571" s="421"/>
      <c r="BE571" s="421"/>
      <c r="BF571" s="419"/>
      <c r="BG571" s="419"/>
      <c r="BH571" s="421"/>
      <c r="BI571" s="421"/>
      <c r="BJ571" s="419"/>
      <c r="BK571" s="419"/>
      <c r="BL571" s="421"/>
      <c r="BM571" s="421"/>
      <c r="BN571" s="419"/>
      <c r="BO571" s="419"/>
      <c r="BP571" s="421"/>
      <c r="BQ571" s="421"/>
      <c r="BR571" s="419"/>
      <c r="BS571" s="419"/>
      <c r="BT571" s="421"/>
      <c r="BU571" s="421"/>
      <c r="BV571" s="419"/>
      <c r="BW571" s="419"/>
      <c r="BX571" s="421"/>
      <c r="BY571" s="421"/>
      <c r="BZ571" s="419"/>
      <c r="CA571" s="419"/>
      <c r="CB571" s="421"/>
      <c r="CC571" s="421"/>
      <c r="CD571" s="419"/>
      <c r="CE571" s="419"/>
      <c r="CF571" s="421"/>
      <c r="CG571" s="421"/>
      <c r="CH571" s="419"/>
      <c r="CI571" s="419"/>
      <c r="CJ571" s="421"/>
      <c r="CK571" s="421"/>
      <c r="CL571" s="419"/>
      <c r="CM571" s="421"/>
      <c r="CN571" s="424">
        <f t="shared" si="221"/>
        <v>0</v>
      </c>
      <c r="CO571" s="424">
        <f t="shared" si="222"/>
        <v>0</v>
      </c>
      <c r="CP571" s="425">
        <f t="shared" si="223"/>
        <v>0</v>
      </c>
      <c r="CQ571" s="425">
        <f t="shared" si="224"/>
        <v>0</v>
      </c>
      <c r="CR571" s="419"/>
      <c r="CS571" s="419"/>
      <c r="CT571" s="421"/>
      <c r="CU571" s="421"/>
      <c r="CV571" s="419"/>
      <c r="CW571" s="419"/>
      <c r="CX571" s="421"/>
      <c r="CY571" s="421"/>
      <c r="CZ571" s="419"/>
      <c r="DA571" s="419"/>
      <c r="DB571" s="421"/>
      <c r="DC571" s="421"/>
      <c r="DD571" s="419"/>
      <c r="DE571" s="419"/>
      <c r="DF571" s="421"/>
      <c r="DG571" s="421"/>
      <c r="DH571" s="419"/>
      <c r="DI571" s="419"/>
      <c r="DJ571" s="421"/>
      <c r="DK571" s="421"/>
      <c r="DL571" s="419"/>
      <c r="DM571" s="419"/>
      <c r="DN571" s="421"/>
      <c r="DO571" s="421"/>
      <c r="DP571" s="419"/>
      <c r="DQ571" s="419"/>
      <c r="DR571" s="421"/>
      <c r="DS571" s="421"/>
      <c r="DT571" s="419"/>
      <c r="DU571" s="419"/>
      <c r="DV571" s="421"/>
      <c r="DW571" s="421"/>
      <c r="DX571" s="419"/>
      <c r="DY571" s="419"/>
      <c r="DZ571" s="421"/>
      <c r="EA571" s="421"/>
      <c r="EB571" s="419"/>
      <c r="EC571" s="419"/>
      <c r="ED571" s="421"/>
      <c r="EE571" s="421"/>
      <c r="EF571" s="419"/>
      <c r="EG571" s="421"/>
      <c r="EH571" s="424">
        <f t="shared" si="225"/>
        <v>0</v>
      </c>
      <c r="EI571" s="424">
        <f t="shared" si="226"/>
        <v>0</v>
      </c>
      <c r="EJ571" s="422">
        <f t="shared" si="227"/>
        <v>0</v>
      </c>
      <c r="EK571" s="425">
        <f t="shared" si="228"/>
        <v>0</v>
      </c>
      <c r="EL571" s="425">
        <f t="shared" si="229"/>
        <v>0</v>
      </c>
      <c r="EM571" s="423">
        <f t="shared" si="230"/>
        <v>0</v>
      </c>
      <c r="EN571" s="424">
        <f t="shared" si="231"/>
        <v>0</v>
      </c>
      <c r="EO571" s="425">
        <f t="shared" si="232"/>
        <v>0</v>
      </c>
      <c r="EP571" s="419"/>
      <c r="EQ571" s="421"/>
      <c r="ER571" s="419"/>
      <c r="ES571" s="421"/>
      <c r="ET571" s="419"/>
      <c r="EU571" s="421"/>
      <c r="EV571" s="419"/>
      <c r="EW571" s="421"/>
      <c r="EX571" s="419"/>
      <c r="EY571" s="421"/>
      <c r="EZ571" s="419"/>
      <c r="FA571" s="421"/>
      <c r="FB571" s="419"/>
      <c r="FC571" s="421"/>
      <c r="FD571" s="419"/>
      <c r="FE571" s="421"/>
      <c r="FF571" s="419"/>
      <c r="FG571" s="421"/>
      <c r="FH571" s="419"/>
      <c r="FI571" s="421"/>
      <c r="FJ571" s="424">
        <f t="shared" si="233"/>
        <v>0</v>
      </c>
      <c r="FK571" s="425">
        <f t="shared" si="234"/>
        <v>0</v>
      </c>
      <c r="FL571" s="419"/>
      <c r="FM571" s="421"/>
      <c r="FN571" s="424">
        <f t="shared" si="235"/>
        <v>1266</v>
      </c>
      <c r="FO571" s="425">
        <f t="shared" si="236"/>
        <v>1110</v>
      </c>
    </row>
    <row r="572" spans="1:171" s="272" customFormat="1" ht="15" customHeight="1">
      <c r="A572" s="43" t="s">
        <v>167</v>
      </c>
      <c r="B572" s="42" t="s">
        <v>1095</v>
      </c>
      <c r="C572" s="113" t="s">
        <v>1177</v>
      </c>
      <c r="D572" s="40">
        <v>232195</v>
      </c>
      <c r="E572" s="118">
        <v>9</v>
      </c>
      <c r="F572" s="419">
        <v>916</v>
      </c>
      <c r="G572" s="421">
        <v>942</v>
      </c>
      <c r="H572" s="419"/>
      <c r="I572" s="421"/>
      <c r="J572" s="419">
        <v>874</v>
      </c>
      <c r="K572" s="421">
        <v>905</v>
      </c>
      <c r="L572" s="422">
        <f t="shared" si="215"/>
        <v>0</v>
      </c>
      <c r="M572" s="423">
        <f t="shared" si="216"/>
        <v>0</v>
      </c>
      <c r="N572" s="419">
        <v>0</v>
      </c>
      <c r="O572" s="309">
        <f>0</f>
        <v>0</v>
      </c>
      <c r="P572" s="309">
        <f>0</f>
        <v>0</v>
      </c>
      <c r="Q572" s="309">
        <f>0</f>
        <v>0</v>
      </c>
      <c r="R572" s="424">
        <f t="shared" si="213"/>
        <v>0</v>
      </c>
      <c r="S572" s="421">
        <v>0</v>
      </c>
      <c r="T572" s="301">
        <f>0</f>
        <v>0</v>
      </c>
      <c r="U572" s="301">
        <f>0</f>
        <v>0</v>
      </c>
      <c r="V572" s="301">
        <f>0</f>
        <v>0</v>
      </c>
      <c r="W572" s="425">
        <f t="shared" si="214"/>
        <v>0</v>
      </c>
      <c r="X572" s="419"/>
      <c r="Y572" s="419"/>
      <c r="Z572" s="421"/>
      <c r="AA572" s="421"/>
      <c r="AB572" s="419"/>
      <c r="AC572" s="419"/>
      <c r="AD572" s="421"/>
      <c r="AE572" s="421"/>
      <c r="AF572" s="419"/>
      <c r="AG572" s="419"/>
      <c r="AH572" s="421"/>
      <c r="AI572" s="421"/>
      <c r="AJ572" s="419"/>
      <c r="AK572" s="419"/>
      <c r="AL572" s="421"/>
      <c r="AM572" s="421"/>
      <c r="AN572" s="419"/>
      <c r="AO572" s="419"/>
      <c r="AP572" s="421"/>
      <c r="AQ572" s="421"/>
      <c r="AR572" s="424">
        <f t="shared" si="217"/>
        <v>0</v>
      </c>
      <c r="AS572" s="422">
        <f t="shared" si="218"/>
        <v>0</v>
      </c>
      <c r="AT572" s="425">
        <f t="shared" si="219"/>
        <v>0</v>
      </c>
      <c r="AU572" s="423">
        <f t="shared" si="220"/>
        <v>0</v>
      </c>
      <c r="AV572" s="419">
        <v>0</v>
      </c>
      <c r="AW572" s="421">
        <v>0</v>
      </c>
      <c r="AX572" s="419"/>
      <c r="AY572" s="419"/>
      <c r="AZ572" s="421"/>
      <c r="BA572" s="421"/>
      <c r="BB572" s="419"/>
      <c r="BC572" s="419"/>
      <c r="BD572" s="421"/>
      <c r="BE572" s="421"/>
      <c r="BF572" s="419"/>
      <c r="BG572" s="419"/>
      <c r="BH572" s="421"/>
      <c r="BI572" s="421"/>
      <c r="BJ572" s="419"/>
      <c r="BK572" s="419"/>
      <c r="BL572" s="421"/>
      <c r="BM572" s="421"/>
      <c r="BN572" s="419"/>
      <c r="BO572" s="419"/>
      <c r="BP572" s="421"/>
      <c r="BQ572" s="421"/>
      <c r="BR572" s="419"/>
      <c r="BS572" s="419"/>
      <c r="BT572" s="421"/>
      <c r="BU572" s="421"/>
      <c r="BV572" s="419"/>
      <c r="BW572" s="419"/>
      <c r="BX572" s="421"/>
      <c r="BY572" s="421"/>
      <c r="BZ572" s="419"/>
      <c r="CA572" s="419"/>
      <c r="CB572" s="421"/>
      <c r="CC572" s="421"/>
      <c r="CD572" s="419"/>
      <c r="CE572" s="419"/>
      <c r="CF572" s="421"/>
      <c r="CG572" s="421"/>
      <c r="CH572" s="419"/>
      <c r="CI572" s="419"/>
      <c r="CJ572" s="421"/>
      <c r="CK572" s="421"/>
      <c r="CL572" s="419"/>
      <c r="CM572" s="421"/>
      <c r="CN572" s="424">
        <f t="shared" si="221"/>
        <v>0</v>
      </c>
      <c r="CO572" s="424">
        <f t="shared" si="222"/>
        <v>0</v>
      </c>
      <c r="CP572" s="425">
        <f t="shared" si="223"/>
        <v>0</v>
      </c>
      <c r="CQ572" s="425">
        <f t="shared" si="224"/>
        <v>0</v>
      </c>
      <c r="CR572" s="419"/>
      <c r="CS572" s="419"/>
      <c r="CT572" s="421"/>
      <c r="CU572" s="421"/>
      <c r="CV572" s="419"/>
      <c r="CW572" s="419"/>
      <c r="CX572" s="421"/>
      <c r="CY572" s="421"/>
      <c r="CZ572" s="419"/>
      <c r="DA572" s="419"/>
      <c r="DB572" s="421"/>
      <c r="DC572" s="421"/>
      <c r="DD572" s="419"/>
      <c r="DE572" s="419"/>
      <c r="DF572" s="421"/>
      <c r="DG572" s="421"/>
      <c r="DH572" s="419"/>
      <c r="DI572" s="419"/>
      <c r="DJ572" s="421"/>
      <c r="DK572" s="421"/>
      <c r="DL572" s="419"/>
      <c r="DM572" s="419"/>
      <c r="DN572" s="421"/>
      <c r="DO572" s="421"/>
      <c r="DP572" s="419"/>
      <c r="DQ572" s="419"/>
      <c r="DR572" s="421"/>
      <c r="DS572" s="421"/>
      <c r="DT572" s="419"/>
      <c r="DU572" s="419"/>
      <c r="DV572" s="421"/>
      <c r="DW572" s="421"/>
      <c r="DX572" s="419"/>
      <c r="DY572" s="419"/>
      <c r="DZ572" s="421"/>
      <c r="EA572" s="421"/>
      <c r="EB572" s="419"/>
      <c r="EC572" s="419"/>
      <c r="ED572" s="421"/>
      <c r="EE572" s="421"/>
      <c r="EF572" s="419"/>
      <c r="EG572" s="421"/>
      <c r="EH572" s="424">
        <f t="shared" si="225"/>
        <v>0</v>
      </c>
      <c r="EI572" s="424">
        <f t="shared" si="226"/>
        <v>0</v>
      </c>
      <c r="EJ572" s="422">
        <f t="shared" si="227"/>
        <v>0</v>
      </c>
      <c r="EK572" s="425">
        <f t="shared" si="228"/>
        <v>0</v>
      </c>
      <c r="EL572" s="425">
        <f t="shared" si="229"/>
        <v>0</v>
      </c>
      <c r="EM572" s="423">
        <f t="shared" si="230"/>
        <v>0</v>
      </c>
      <c r="EN572" s="424">
        <f t="shared" si="231"/>
        <v>0</v>
      </c>
      <c r="EO572" s="425">
        <f t="shared" si="232"/>
        <v>0</v>
      </c>
      <c r="EP572" s="419"/>
      <c r="EQ572" s="421"/>
      <c r="ER572" s="419"/>
      <c r="ES572" s="421"/>
      <c r="ET572" s="419"/>
      <c r="EU572" s="421"/>
      <c r="EV572" s="419"/>
      <c r="EW572" s="421"/>
      <c r="EX572" s="419"/>
      <c r="EY572" s="421"/>
      <c r="EZ572" s="419"/>
      <c r="FA572" s="421"/>
      <c r="FB572" s="419"/>
      <c r="FC572" s="421"/>
      <c r="FD572" s="419"/>
      <c r="FE572" s="421"/>
      <c r="FF572" s="419"/>
      <c r="FG572" s="421"/>
      <c r="FH572" s="419"/>
      <c r="FI572" s="421"/>
      <c r="FJ572" s="424">
        <f t="shared" si="233"/>
        <v>0</v>
      </c>
      <c r="FK572" s="425">
        <f t="shared" si="234"/>
        <v>0</v>
      </c>
      <c r="FL572" s="419"/>
      <c r="FM572" s="421"/>
      <c r="FN572" s="424">
        <f t="shared" si="235"/>
        <v>1790</v>
      </c>
      <c r="FO572" s="425">
        <f t="shared" si="236"/>
        <v>1847</v>
      </c>
    </row>
    <row r="573" spans="1:171" s="272" customFormat="1" ht="15" customHeight="1">
      <c r="A573" s="43" t="s">
        <v>167</v>
      </c>
      <c r="B573" s="42" t="s">
        <v>1096</v>
      </c>
      <c r="C573" s="113" t="s">
        <v>1177</v>
      </c>
      <c r="D573" s="40">
        <v>232575</v>
      </c>
      <c r="E573" s="118">
        <v>9</v>
      </c>
      <c r="F573" s="419">
        <v>880</v>
      </c>
      <c r="G573" s="421">
        <v>761</v>
      </c>
      <c r="H573" s="419"/>
      <c r="I573" s="421"/>
      <c r="J573" s="419">
        <v>849</v>
      </c>
      <c r="K573" s="421">
        <v>860</v>
      </c>
      <c r="L573" s="422">
        <f t="shared" si="215"/>
        <v>0</v>
      </c>
      <c r="M573" s="423">
        <f t="shared" si="216"/>
        <v>0</v>
      </c>
      <c r="N573" s="419">
        <v>0</v>
      </c>
      <c r="O573" s="309">
        <f>0</f>
        <v>0</v>
      </c>
      <c r="P573" s="309">
        <f>0</f>
        <v>0</v>
      </c>
      <c r="Q573" s="309">
        <f>0</f>
        <v>0</v>
      </c>
      <c r="R573" s="424">
        <f t="shared" si="213"/>
        <v>0</v>
      </c>
      <c r="S573" s="421">
        <v>0</v>
      </c>
      <c r="T573" s="301">
        <f>0</f>
        <v>0</v>
      </c>
      <c r="U573" s="301">
        <f>0</f>
        <v>0</v>
      </c>
      <c r="V573" s="301">
        <f>0</f>
        <v>0</v>
      </c>
      <c r="W573" s="425">
        <f t="shared" si="214"/>
        <v>0</v>
      </c>
      <c r="X573" s="419"/>
      <c r="Y573" s="419"/>
      <c r="Z573" s="421"/>
      <c r="AA573" s="421"/>
      <c r="AB573" s="419"/>
      <c r="AC573" s="419"/>
      <c r="AD573" s="421"/>
      <c r="AE573" s="421"/>
      <c r="AF573" s="419"/>
      <c r="AG573" s="419"/>
      <c r="AH573" s="421"/>
      <c r="AI573" s="421"/>
      <c r="AJ573" s="419"/>
      <c r="AK573" s="419"/>
      <c r="AL573" s="421"/>
      <c r="AM573" s="421"/>
      <c r="AN573" s="419"/>
      <c r="AO573" s="419"/>
      <c r="AP573" s="421"/>
      <c r="AQ573" s="421"/>
      <c r="AR573" s="424">
        <f t="shared" si="217"/>
        <v>0</v>
      </c>
      <c r="AS573" s="422">
        <f t="shared" si="218"/>
        <v>0</v>
      </c>
      <c r="AT573" s="425">
        <f t="shared" si="219"/>
        <v>0</v>
      </c>
      <c r="AU573" s="423">
        <f t="shared" si="220"/>
        <v>0</v>
      </c>
      <c r="AV573" s="419">
        <v>0</v>
      </c>
      <c r="AW573" s="421">
        <v>0</v>
      </c>
      <c r="AX573" s="419"/>
      <c r="AY573" s="419"/>
      <c r="AZ573" s="421"/>
      <c r="BA573" s="421"/>
      <c r="BB573" s="419"/>
      <c r="BC573" s="419"/>
      <c r="BD573" s="421"/>
      <c r="BE573" s="421"/>
      <c r="BF573" s="419"/>
      <c r="BG573" s="419"/>
      <c r="BH573" s="421"/>
      <c r="BI573" s="421"/>
      <c r="BJ573" s="419"/>
      <c r="BK573" s="419"/>
      <c r="BL573" s="421"/>
      <c r="BM573" s="421"/>
      <c r="BN573" s="419"/>
      <c r="BO573" s="419"/>
      <c r="BP573" s="421"/>
      <c r="BQ573" s="421"/>
      <c r="BR573" s="419"/>
      <c r="BS573" s="419"/>
      <c r="BT573" s="421"/>
      <c r="BU573" s="421"/>
      <c r="BV573" s="419"/>
      <c r="BW573" s="419"/>
      <c r="BX573" s="421"/>
      <c r="BY573" s="421"/>
      <c r="BZ573" s="419"/>
      <c r="CA573" s="419"/>
      <c r="CB573" s="421"/>
      <c r="CC573" s="421"/>
      <c r="CD573" s="419"/>
      <c r="CE573" s="419"/>
      <c r="CF573" s="421"/>
      <c r="CG573" s="421"/>
      <c r="CH573" s="419"/>
      <c r="CI573" s="419"/>
      <c r="CJ573" s="421"/>
      <c r="CK573" s="421"/>
      <c r="CL573" s="419"/>
      <c r="CM573" s="421"/>
      <c r="CN573" s="424">
        <f t="shared" si="221"/>
        <v>0</v>
      </c>
      <c r="CO573" s="424">
        <f t="shared" si="222"/>
        <v>0</v>
      </c>
      <c r="CP573" s="425">
        <f t="shared" si="223"/>
        <v>0</v>
      </c>
      <c r="CQ573" s="425">
        <f t="shared" si="224"/>
        <v>0</v>
      </c>
      <c r="CR573" s="419"/>
      <c r="CS573" s="419"/>
      <c r="CT573" s="421"/>
      <c r="CU573" s="421"/>
      <c r="CV573" s="419"/>
      <c r="CW573" s="419"/>
      <c r="CX573" s="421"/>
      <c r="CY573" s="421"/>
      <c r="CZ573" s="419"/>
      <c r="DA573" s="419"/>
      <c r="DB573" s="421"/>
      <c r="DC573" s="421"/>
      <c r="DD573" s="419"/>
      <c r="DE573" s="419"/>
      <c r="DF573" s="421"/>
      <c r="DG573" s="421"/>
      <c r="DH573" s="419"/>
      <c r="DI573" s="419"/>
      <c r="DJ573" s="421"/>
      <c r="DK573" s="421"/>
      <c r="DL573" s="419"/>
      <c r="DM573" s="419"/>
      <c r="DN573" s="421"/>
      <c r="DO573" s="421"/>
      <c r="DP573" s="419"/>
      <c r="DQ573" s="419"/>
      <c r="DR573" s="421"/>
      <c r="DS573" s="421"/>
      <c r="DT573" s="419"/>
      <c r="DU573" s="419"/>
      <c r="DV573" s="421"/>
      <c r="DW573" s="421"/>
      <c r="DX573" s="419"/>
      <c r="DY573" s="419"/>
      <c r="DZ573" s="421"/>
      <c r="EA573" s="421"/>
      <c r="EB573" s="419"/>
      <c r="EC573" s="419"/>
      <c r="ED573" s="421"/>
      <c r="EE573" s="421"/>
      <c r="EF573" s="419"/>
      <c r="EG573" s="421"/>
      <c r="EH573" s="424">
        <f t="shared" si="225"/>
        <v>0</v>
      </c>
      <c r="EI573" s="424">
        <f t="shared" si="226"/>
        <v>0</v>
      </c>
      <c r="EJ573" s="422">
        <f t="shared" si="227"/>
        <v>0</v>
      </c>
      <c r="EK573" s="425">
        <f t="shared" si="228"/>
        <v>0</v>
      </c>
      <c r="EL573" s="425">
        <f t="shared" si="229"/>
        <v>0</v>
      </c>
      <c r="EM573" s="423">
        <f t="shared" si="230"/>
        <v>0</v>
      </c>
      <c r="EN573" s="424">
        <f t="shared" si="231"/>
        <v>0</v>
      </c>
      <c r="EO573" s="425">
        <f t="shared" si="232"/>
        <v>0</v>
      </c>
      <c r="EP573" s="419"/>
      <c r="EQ573" s="421"/>
      <c r="ER573" s="419"/>
      <c r="ES573" s="421"/>
      <c r="ET573" s="419"/>
      <c r="EU573" s="421"/>
      <c r="EV573" s="419"/>
      <c r="EW573" s="421"/>
      <c r="EX573" s="419"/>
      <c r="EY573" s="421"/>
      <c r="EZ573" s="419"/>
      <c r="FA573" s="421"/>
      <c r="FB573" s="419"/>
      <c r="FC573" s="421"/>
      <c r="FD573" s="419"/>
      <c r="FE573" s="421"/>
      <c r="FF573" s="419"/>
      <c r="FG573" s="421"/>
      <c r="FH573" s="419"/>
      <c r="FI573" s="421"/>
      <c r="FJ573" s="424">
        <f t="shared" si="233"/>
        <v>0</v>
      </c>
      <c r="FK573" s="425">
        <f t="shared" si="234"/>
        <v>0</v>
      </c>
      <c r="FL573" s="419"/>
      <c r="FM573" s="421"/>
      <c r="FN573" s="424">
        <f t="shared" si="235"/>
        <v>1729</v>
      </c>
      <c r="FO573" s="425">
        <f t="shared" si="236"/>
        <v>1621</v>
      </c>
    </row>
    <row r="574" spans="1:171" s="272" customFormat="1" ht="15" customHeight="1">
      <c r="A574" s="43" t="s">
        <v>167</v>
      </c>
      <c r="B574" s="42" t="s">
        <v>1097</v>
      </c>
      <c r="C574" s="113" t="s">
        <v>1177</v>
      </c>
      <c r="D574" s="40">
        <v>232867</v>
      </c>
      <c r="E574" s="118">
        <v>9</v>
      </c>
      <c r="F574" s="419">
        <v>219</v>
      </c>
      <c r="G574" s="421">
        <v>241</v>
      </c>
      <c r="H574" s="419"/>
      <c r="I574" s="421"/>
      <c r="J574" s="419">
        <v>422</v>
      </c>
      <c r="K574" s="421">
        <v>480</v>
      </c>
      <c r="L574" s="422">
        <f t="shared" si="215"/>
        <v>0</v>
      </c>
      <c r="M574" s="423">
        <f t="shared" si="216"/>
        <v>0</v>
      </c>
      <c r="N574" s="419">
        <v>0</v>
      </c>
      <c r="O574" s="309">
        <f>0</f>
        <v>0</v>
      </c>
      <c r="P574" s="309">
        <f>0</f>
        <v>0</v>
      </c>
      <c r="Q574" s="309">
        <f>0</f>
        <v>0</v>
      </c>
      <c r="R574" s="424">
        <f t="shared" si="213"/>
        <v>0</v>
      </c>
      <c r="S574" s="421">
        <v>0</v>
      </c>
      <c r="T574" s="301">
        <f>0</f>
        <v>0</v>
      </c>
      <c r="U574" s="301">
        <f>0</f>
        <v>0</v>
      </c>
      <c r="V574" s="301">
        <f>0</f>
        <v>0</v>
      </c>
      <c r="W574" s="425">
        <f t="shared" si="214"/>
        <v>0</v>
      </c>
      <c r="X574" s="419"/>
      <c r="Y574" s="419"/>
      <c r="Z574" s="421"/>
      <c r="AA574" s="421"/>
      <c r="AB574" s="419"/>
      <c r="AC574" s="419"/>
      <c r="AD574" s="421"/>
      <c r="AE574" s="421"/>
      <c r="AF574" s="419"/>
      <c r="AG574" s="419"/>
      <c r="AH574" s="421"/>
      <c r="AI574" s="421"/>
      <c r="AJ574" s="419"/>
      <c r="AK574" s="419"/>
      <c r="AL574" s="421"/>
      <c r="AM574" s="421"/>
      <c r="AN574" s="419"/>
      <c r="AO574" s="419"/>
      <c r="AP574" s="421"/>
      <c r="AQ574" s="421"/>
      <c r="AR574" s="424">
        <f t="shared" si="217"/>
        <v>0</v>
      </c>
      <c r="AS574" s="422">
        <f t="shared" si="218"/>
        <v>0</v>
      </c>
      <c r="AT574" s="425">
        <f t="shared" si="219"/>
        <v>0</v>
      </c>
      <c r="AU574" s="423">
        <f t="shared" si="220"/>
        <v>0</v>
      </c>
      <c r="AV574" s="419">
        <v>0</v>
      </c>
      <c r="AW574" s="421">
        <v>0</v>
      </c>
      <c r="AX574" s="419"/>
      <c r="AY574" s="419"/>
      <c r="AZ574" s="421"/>
      <c r="BA574" s="421"/>
      <c r="BB574" s="419"/>
      <c r="BC574" s="419"/>
      <c r="BD574" s="421"/>
      <c r="BE574" s="421"/>
      <c r="BF574" s="419"/>
      <c r="BG574" s="419"/>
      <c r="BH574" s="421"/>
      <c r="BI574" s="421"/>
      <c r="BJ574" s="419"/>
      <c r="BK574" s="419"/>
      <c r="BL574" s="421"/>
      <c r="BM574" s="421"/>
      <c r="BN574" s="419"/>
      <c r="BO574" s="419"/>
      <c r="BP574" s="421"/>
      <c r="BQ574" s="421"/>
      <c r="BR574" s="419"/>
      <c r="BS574" s="419"/>
      <c r="BT574" s="421"/>
      <c r="BU574" s="421"/>
      <c r="BV574" s="419"/>
      <c r="BW574" s="419"/>
      <c r="BX574" s="421"/>
      <c r="BY574" s="421"/>
      <c r="BZ574" s="419"/>
      <c r="CA574" s="419"/>
      <c r="CB574" s="421"/>
      <c r="CC574" s="421"/>
      <c r="CD574" s="419"/>
      <c r="CE574" s="419"/>
      <c r="CF574" s="421"/>
      <c r="CG574" s="421"/>
      <c r="CH574" s="419"/>
      <c r="CI574" s="419"/>
      <c r="CJ574" s="421"/>
      <c r="CK574" s="421"/>
      <c r="CL574" s="419"/>
      <c r="CM574" s="421"/>
      <c r="CN574" s="424">
        <f t="shared" si="221"/>
        <v>0</v>
      </c>
      <c r="CO574" s="424">
        <f t="shared" si="222"/>
        <v>0</v>
      </c>
      <c r="CP574" s="425">
        <f t="shared" si="223"/>
        <v>0</v>
      </c>
      <c r="CQ574" s="425">
        <f t="shared" si="224"/>
        <v>0</v>
      </c>
      <c r="CR574" s="419"/>
      <c r="CS574" s="419"/>
      <c r="CT574" s="421"/>
      <c r="CU574" s="421"/>
      <c r="CV574" s="419"/>
      <c r="CW574" s="419"/>
      <c r="CX574" s="421"/>
      <c r="CY574" s="421"/>
      <c r="CZ574" s="419"/>
      <c r="DA574" s="419"/>
      <c r="DB574" s="421"/>
      <c r="DC574" s="421"/>
      <c r="DD574" s="419"/>
      <c r="DE574" s="419"/>
      <c r="DF574" s="421"/>
      <c r="DG574" s="421"/>
      <c r="DH574" s="419"/>
      <c r="DI574" s="419"/>
      <c r="DJ574" s="421"/>
      <c r="DK574" s="421"/>
      <c r="DL574" s="419"/>
      <c r="DM574" s="419"/>
      <c r="DN574" s="421"/>
      <c r="DO574" s="421"/>
      <c r="DP574" s="419"/>
      <c r="DQ574" s="419"/>
      <c r="DR574" s="421"/>
      <c r="DS574" s="421"/>
      <c r="DT574" s="419"/>
      <c r="DU574" s="419"/>
      <c r="DV574" s="421"/>
      <c r="DW574" s="421"/>
      <c r="DX574" s="419"/>
      <c r="DY574" s="419"/>
      <c r="DZ574" s="421"/>
      <c r="EA574" s="421"/>
      <c r="EB574" s="419"/>
      <c r="EC574" s="419"/>
      <c r="ED574" s="421"/>
      <c r="EE574" s="421"/>
      <c r="EF574" s="419"/>
      <c r="EG574" s="421"/>
      <c r="EH574" s="424">
        <f t="shared" si="225"/>
        <v>0</v>
      </c>
      <c r="EI574" s="424">
        <f t="shared" si="226"/>
        <v>0</v>
      </c>
      <c r="EJ574" s="422">
        <f t="shared" si="227"/>
        <v>0</v>
      </c>
      <c r="EK574" s="425">
        <f t="shared" si="228"/>
        <v>0</v>
      </c>
      <c r="EL574" s="425">
        <f t="shared" si="229"/>
        <v>0</v>
      </c>
      <c r="EM574" s="423">
        <f t="shared" si="230"/>
        <v>0</v>
      </c>
      <c r="EN574" s="424">
        <f t="shared" si="231"/>
        <v>0</v>
      </c>
      <c r="EO574" s="425">
        <f t="shared" si="232"/>
        <v>0</v>
      </c>
      <c r="EP574" s="419"/>
      <c r="EQ574" s="421"/>
      <c r="ER574" s="419"/>
      <c r="ES574" s="421"/>
      <c r="ET574" s="419"/>
      <c r="EU574" s="421"/>
      <c r="EV574" s="419"/>
      <c r="EW574" s="421"/>
      <c r="EX574" s="419"/>
      <c r="EY574" s="421"/>
      <c r="EZ574" s="419"/>
      <c r="FA574" s="421"/>
      <c r="FB574" s="419"/>
      <c r="FC574" s="421"/>
      <c r="FD574" s="419"/>
      <c r="FE574" s="421"/>
      <c r="FF574" s="419"/>
      <c r="FG574" s="421"/>
      <c r="FH574" s="419"/>
      <c r="FI574" s="421"/>
      <c r="FJ574" s="424">
        <f t="shared" si="233"/>
        <v>0</v>
      </c>
      <c r="FK574" s="425">
        <f t="shared" si="234"/>
        <v>0</v>
      </c>
      <c r="FL574" s="419"/>
      <c r="FM574" s="421"/>
      <c r="FN574" s="424">
        <f t="shared" si="235"/>
        <v>641</v>
      </c>
      <c r="FO574" s="425">
        <f t="shared" si="236"/>
        <v>721</v>
      </c>
    </row>
    <row r="575" spans="1:171" s="272" customFormat="1" ht="15" customHeight="1">
      <c r="A575" s="43" t="s">
        <v>167</v>
      </c>
      <c r="B575" s="42" t="s">
        <v>1098</v>
      </c>
      <c r="C575" s="113" t="s">
        <v>1177</v>
      </c>
      <c r="D575" s="40">
        <v>233116</v>
      </c>
      <c r="E575" s="118">
        <v>9</v>
      </c>
      <c r="F575" s="419">
        <v>701</v>
      </c>
      <c r="G575" s="421">
        <v>669</v>
      </c>
      <c r="H575" s="419"/>
      <c r="I575" s="421"/>
      <c r="J575" s="419">
        <v>559</v>
      </c>
      <c r="K575" s="421">
        <v>545</v>
      </c>
      <c r="L575" s="422">
        <f t="shared" si="215"/>
        <v>0</v>
      </c>
      <c r="M575" s="423">
        <f t="shared" si="216"/>
        <v>0</v>
      </c>
      <c r="N575" s="419">
        <v>0</v>
      </c>
      <c r="O575" s="309">
        <f>0</f>
        <v>0</v>
      </c>
      <c r="P575" s="309">
        <f>0</f>
        <v>0</v>
      </c>
      <c r="Q575" s="309">
        <f>0</f>
        <v>0</v>
      </c>
      <c r="R575" s="424">
        <f t="shared" si="213"/>
        <v>0</v>
      </c>
      <c r="S575" s="421">
        <v>0</v>
      </c>
      <c r="T575" s="301">
        <f>0</f>
        <v>0</v>
      </c>
      <c r="U575" s="301">
        <f>0</f>
        <v>0</v>
      </c>
      <c r="V575" s="301">
        <f>0</f>
        <v>0</v>
      </c>
      <c r="W575" s="425">
        <f t="shared" si="214"/>
        <v>0</v>
      </c>
      <c r="X575" s="419"/>
      <c r="Y575" s="419"/>
      <c r="Z575" s="421"/>
      <c r="AA575" s="421"/>
      <c r="AB575" s="419"/>
      <c r="AC575" s="419"/>
      <c r="AD575" s="421"/>
      <c r="AE575" s="421"/>
      <c r="AF575" s="419"/>
      <c r="AG575" s="419"/>
      <c r="AH575" s="421"/>
      <c r="AI575" s="421"/>
      <c r="AJ575" s="419"/>
      <c r="AK575" s="419"/>
      <c r="AL575" s="421"/>
      <c r="AM575" s="421"/>
      <c r="AN575" s="419"/>
      <c r="AO575" s="419"/>
      <c r="AP575" s="421"/>
      <c r="AQ575" s="421"/>
      <c r="AR575" s="424">
        <f t="shared" si="217"/>
        <v>0</v>
      </c>
      <c r="AS575" s="422">
        <f t="shared" si="218"/>
        <v>0</v>
      </c>
      <c r="AT575" s="425">
        <f t="shared" si="219"/>
        <v>0</v>
      </c>
      <c r="AU575" s="423">
        <f t="shared" si="220"/>
        <v>0</v>
      </c>
      <c r="AV575" s="419">
        <v>0</v>
      </c>
      <c r="AW575" s="421">
        <v>0</v>
      </c>
      <c r="AX575" s="419"/>
      <c r="AY575" s="419"/>
      <c r="AZ575" s="421"/>
      <c r="BA575" s="421"/>
      <c r="BB575" s="419"/>
      <c r="BC575" s="419"/>
      <c r="BD575" s="421"/>
      <c r="BE575" s="421"/>
      <c r="BF575" s="419"/>
      <c r="BG575" s="419"/>
      <c r="BH575" s="421"/>
      <c r="BI575" s="421"/>
      <c r="BJ575" s="419"/>
      <c r="BK575" s="419"/>
      <c r="BL575" s="421"/>
      <c r="BM575" s="421"/>
      <c r="BN575" s="419"/>
      <c r="BO575" s="419"/>
      <c r="BP575" s="421"/>
      <c r="BQ575" s="421"/>
      <c r="BR575" s="419"/>
      <c r="BS575" s="419"/>
      <c r="BT575" s="421"/>
      <c r="BU575" s="421"/>
      <c r="BV575" s="419"/>
      <c r="BW575" s="419"/>
      <c r="BX575" s="421"/>
      <c r="BY575" s="421"/>
      <c r="BZ575" s="419"/>
      <c r="CA575" s="419"/>
      <c r="CB575" s="421"/>
      <c r="CC575" s="421"/>
      <c r="CD575" s="419"/>
      <c r="CE575" s="419"/>
      <c r="CF575" s="421"/>
      <c r="CG575" s="421"/>
      <c r="CH575" s="419"/>
      <c r="CI575" s="419"/>
      <c r="CJ575" s="421"/>
      <c r="CK575" s="421"/>
      <c r="CL575" s="419"/>
      <c r="CM575" s="421"/>
      <c r="CN575" s="424">
        <f t="shared" si="221"/>
        <v>0</v>
      </c>
      <c r="CO575" s="424">
        <f t="shared" si="222"/>
        <v>0</v>
      </c>
      <c r="CP575" s="425">
        <f t="shared" si="223"/>
        <v>0</v>
      </c>
      <c r="CQ575" s="425">
        <f t="shared" si="224"/>
        <v>0</v>
      </c>
      <c r="CR575" s="419"/>
      <c r="CS575" s="419"/>
      <c r="CT575" s="421"/>
      <c r="CU575" s="421"/>
      <c r="CV575" s="419"/>
      <c r="CW575" s="419"/>
      <c r="CX575" s="421"/>
      <c r="CY575" s="421"/>
      <c r="CZ575" s="419"/>
      <c r="DA575" s="419"/>
      <c r="DB575" s="421"/>
      <c r="DC575" s="421"/>
      <c r="DD575" s="419"/>
      <c r="DE575" s="419"/>
      <c r="DF575" s="421"/>
      <c r="DG575" s="421"/>
      <c r="DH575" s="419"/>
      <c r="DI575" s="419"/>
      <c r="DJ575" s="421"/>
      <c r="DK575" s="421"/>
      <c r="DL575" s="419"/>
      <c r="DM575" s="419"/>
      <c r="DN575" s="421"/>
      <c r="DO575" s="421"/>
      <c r="DP575" s="419"/>
      <c r="DQ575" s="419"/>
      <c r="DR575" s="421"/>
      <c r="DS575" s="421"/>
      <c r="DT575" s="419"/>
      <c r="DU575" s="419"/>
      <c r="DV575" s="421"/>
      <c r="DW575" s="421"/>
      <c r="DX575" s="419"/>
      <c r="DY575" s="419"/>
      <c r="DZ575" s="421"/>
      <c r="EA575" s="421"/>
      <c r="EB575" s="419"/>
      <c r="EC575" s="419"/>
      <c r="ED575" s="421"/>
      <c r="EE575" s="421"/>
      <c r="EF575" s="419"/>
      <c r="EG575" s="421"/>
      <c r="EH575" s="424">
        <f t="shared" si="225"/>
        <v>0</v>
      </c>
      <c r="EI575" s="424">
        <f t="shared" si="226"/>
        <v>0</v>
      </c>
      <c r="EJ575" s="422">
        <f t="shared" si="227"/>
        <v>0</v>
      </c>
      <c r="EK575" s="425">
        <f t="shared" si="228"/>
        <v>0</v>
      </c>
      <c r="EL575" s="425">
        <f t="shared" si="229"/>
        <v>0</v>
      </c>
      <c r="EM575" s="423">
        <f t="shared" si="230"/>
        <v>0</v>
      </c>
      <c r="EN575" s="424">
        <f t="shared" si="231"/>
        <v>0</v>
      </c>
      <c r="EO575" s="425">
        <f t="shared" si="232"/>
        <v>0</v>
      </c>
      <c r="EP575" s="419"/>
      <c r="EQ575" s="421"/>
      <c r="ER575" s="419"/>
      <c r="ES575" s="421"/>
      <c r="ET575" s="419"/>
      <c r="EU575" s="421"/>
      <c r="EV575" s="419"/>
      <c r="EW575" s="421"/>
      <c r="EX575" s="419"/>
      <c r="EY575" s="421"/>
      <c r="EZ575" s="419"/>
      <c r="FA575" s="421"/>
      <c r="FB575" s="419"/>
      <c r="FC575" s="421"/>
      <c r="FD575" s="419"/>
      <c r="FE575" s="421"/>
      <c r="FF575" s="419"/>
      <c r="FG575" s="421"/>
      <c r="FH575" s="419"/>
      <c r="FI575" s="421"/>
      <c r="FJ575" s="424">
        <f t="shared" si="233"/>
        <v>0</v>
      </c>
      <c r="FK575" s="425">
        <f t="shared" si="234"/>
        <v>0</v>
      </c>
      <c r="FL575" s="419"/>
      <c r="FM575" s="421"/>
      <c r="FN575" s="424">
        <f t="shared" si="235"/>
        <v>1260</v>
      </c>
      <c r="FO575" s="425">
        <f t="shared" si="236"/>
        <v>1214</v>
      </c>
    </row>
    <row r="576" spans="1:171" s="272" customFormat="1" ht="15" customHeight="1">
      <c r="A576" s="43" t="s">
        <v>167</v>
      </c>
      <c r="B576" s="42" t="s">
        <v>1099</v>
      </c>
      <c r="C576" s="113" t="s">
        <v>1211</v>
      </c>
      <c r="D576" s="40">
        <v>233639</v>
      </c>
      <c r="E576" s="118">
        <v>9</v>
      </c>
      <c r="F576" s="419">
        <v>761</v>
      </c>
      <c r="G576" s="420">
        <v>495</v>
      </c>
      <c r="H576" s="419"/>
      <c r="I576" s="421"/>
      <c r="J576" s="419">
        <v>500</v>
      </c>
      <c r="K576" s="421">
        <v>466</v>
      </c>
      <c r="L576" s="422">
        <f t="shared" si="215"/>
        <v>0</v>
      </c>
      <c r="M576" s="423">
        <f t="shared" si="216"/>
        <v>0</v>
      </c>
      <c r="N576" s="419">
        <v>0</v>
      </c>
      <c r="O576" s="309">
        <f>0</f>
        <v>0</v>
      </c>
      <c r="P576" s="309">
        <f>0</f>
        <v>0</v>
      </c>
      <c r="Q576" s="309">
        <f>0</f>
        <v>0</v>
      </c>
      <c r="R576" s="424">
        <f t="shared" si="213"/>
        <v>0</v>
      </c>
      <c r="S576" s="421">
        <v>0</v>
      </c>
      <c r="T576" s="301">
        <f>0</f>
        <v>0</v>
      </c>
      <c r="U576" s="301">
        <f>0</f>
        <v>0</v>
      </c>
      <c r="V576" s="301">
        <f>0</f>
        <v>0</v>
      </c>
      <c r="W576" s="425">
        <f t="shared" si="214"/>
        <v>0</v>
      </c>
      <c r="X576" s="419"/>
      <c r="Y576" s="419"/>
      <c r="Z576" s="421"/>
      <c r="AA576" s="421"/>
      <c r="AB576" s="419"/>
      <c r="AC576" s="419"/>
      <c r="AD576" s="421"/>
      <c r="AE576" s="421"/>
      <c r="AF576" s="419"/>
      <c r="AG576" s="419"/>
      <c r="AH576" s="421"/>
      <c r="AI576" s="421"/>
      <c r="AJ576" s="419"/>
      <c r="AK576" s="419"/>
      <c r="AL576" s="421"/>
      <c r="AM576" s="421"/>
      <c r="AN576" s="419"/>
      <c r="AO576" s="419"/>
      <c r="AP576" s="421"/>
      <c r="AQ576" s="421"/>
      <c r="AR576" s="424">
        <f t="shared" si="217"/>
        <v>0</v>
      </c>
      <c r="AS576" s="422">
        <f t="shared" si="218"/>
        <v>0</v>
      </c>
      <c r="AT576" s="425">
        <f t="shared" si="219"/>
        <v>0</v>
      </c>
      <c r="AU576" s="423">
        <f t="shared" si="220"/>
        <v>0</v>
      </c>
      <c r="AV576" s="419">
        <v>0</v>
      </c>
      <c r="AW576" s="421">
        <v>0</v>
      </c>
      <c r="AX576" s="419"/>
      <c r="AY576" s="419"/>
      <c r="AZ576" s="421"/>
      <c r="BA576" s="421"/>
      <c r="BB576" s="419"/>
      <c r="BC576" s="419"/>
      <c r="BD576" s="421"/>
      <c r="BE576" s="421"/>
      <c r="BF576" s="419"/>
      <c r="BG576" s="419"/>
      <c r="BH576" s="421"/>
      <c r="BI576" s="421"/>
      <c r="BJ576" s="419"/>
      <c r="BK576" s="419"/>
      <c r="BL576" s="421"/>
      <c r="BM576" s="421"/>
      <c r="BN576" s="419"/>
      <c r="BO576" s="419"/>
      <c r="BP576" s="421"/>
      <c r="BQ576" s="421"/>
      <c r="BR576" s="419"/>
      <c r="BS576" s="419"/>
      <c r="BT576" s="421"/>
      <c r="BU576" s="421"/>
      <c r="BV576" s="419"/>
      <c r="BW576" s="419"/>
      <c r="BX576" s="421"/>
      <c r="BY576" s="421"/>
      <c r="BZ576" s="419"/>
      <c r="CA576" s="419"/>
      <c r="CB576" s="421"/>
      <c r="CC576" s="421"/>
      <c r="CD576" s="419"/>
      <c r="CE576" s="419"/>
      <c r="CF576" s="421"/>
      <c r="CG576" s="421"/>
      <c r="CH576" s="419"/>
      <c r="CI576" s="419"/>
      <c r="CJ576" s="421"/>
      <c r="CK576" s="421"/>
      <c r="CL576" s="419"/>
      <c r="CM576" s="421"/>
      <c r="CN576" s="424">
        <f t="shared" si="221"/>
        <v>0</v>
      </c>
      <c r="CO576" s="424">
        <f t="shared" si="222"/>
        <v>0</v>
      </c>
      <c r="CP576" s="425">
        <f t="shared" si="223"/>
        <v>0</v>
      </c>
      <c r="CQ576" s="425">
        <f t="shared" si="224"/>
        <v>0</v>
      </c>
      <c r="CR576" s="419"/>
      <c r="CS576" s="419"/>
      <c r="CT576" s="421"/>
      <c r="CU576" s="421"/>
      <c r="CV576" s="419"/>
      <c r="CW576" s="419"/>
      <c r="CX576" s="421"/>
      <c r="CY576" s="421"/>
      <c r="CZ576" s="419"/>
      <c r="DA576" s="419"/>
      <c r="DB576" s="421"/>
      <c r="DC576" s="421"/>
      <c r="DD576" s="419"/>
      <c r="DE576" s="419"/>
      <c r="DF576" s="421"/>
      <c r="DG576" s="421"/>
      <c r="DH576" s="419"/>
      <c r="DI576" s="419"/>
      <c r="DJ576" s="421"/>
      <c r="DK576" s="421"/>
      <c r="DL576" s="419"/>
      <c r="DM576" s="419"/>
      <c r="DN576" s="421"/>
      <c r="DO576" s="421"/>
      <c r="DP576" s="419"/>
      <c r="DQ576" s="419"/>
      <c r="DR576" s="421"/>
      <c r="DS576" s="421"/>
      <c r="DT576" s="419"/>
      <c r="DU576" s="419"/>
      <c r="DV576" s="421"/>
      <c r="DW576" s="421"/>
      <c r="DX576" s="419"/>
      <c r="DY576" s="419"/>
      <c r="DZ576" s="421"/>
      <c r="EA576" s="421"/>
      <c r="EB576" s="419"/>
      <c r="EC576" s="419"/>
      <c r="ED576" s="421"/>
      <c r="EE576" s="421"/>
      <c r="EF576" s="419"/>
      <c r="EG576" s="421"/>
      <c r="EH576" s="424">
        <f t="shared" si="225"/>
        <v>0</v>
      </c>
      <c r="EI576" s="424">
        <f t="shared" si="226"/>
        <v>0</v>
      </c>
      <c r="EJ576" s="422">
        <f t="shared" si="227"/>
        <v>0</v>
      </c>
      <c r="EK576" s="425">
        <f t="shared" si="228"/>
        <v>0</v>
      </c>
      <c r="EL576" s="425">
        <f t="shared" si="229"/>
        <v>0</v>
      </c>
      <c r="EM576" s="423">
        <f t="shared" si="230"/>
        <v>0</v>
      </c>
      <c r="EN576" s="424">
        <f t="shared" si="231"/>
        <v>0</v>
      </c>
      <c r="EO576" s="425">
        <f t="shared" si="232"/>
        <v>0</v>
      </c>
      <c r="EP576" s="419"/>
      <c r="EQ576" s="421"/>
      <c r="ER576" s="419"/>
      <c r="ES576" s="421"/>
      <c r="ET576" s="419"/>
      <c r="EU576" s="421"/>
      <c r="EV576" s="419"/>
      <c r="EW576" s="421"/>
      <c r="EX576" s="419"/>
      <c r="EY576" s="421"/>
      <c r="EZ576" s="419"/>
      <c r="FA576" s="421"/>
      <c r="FB576" s="419"/>
      <c r="FC576" s="421"/>
      <c r="FD576" s="419"/>
      <c r="FE576" s="421"/>
      <c r="FF576" s="419"/>
      <c r="FG576" s="421"/>
      <c r="FH576" s="419"/>
      <c r="FI576" s="421"/>
      <c r="FJ576" s="424">
        <f t="shared" si="233"/>
        <v>0</v>
      </c>
      <c r="FK576" s="425">
        <f t="shared" si="234"/>
        <v>0</v>
      </c>
      <c r="FL576" s="419"/>
      <c r="FM576" s="421"/>
      <c r="FN576" s="424">
        <f t="shared" si="235"/>
        <v>1261</v>
      </c>
      <c r="FO576" s="425">
        <f t="shared" si="236"/>
        <v>961</v>
      </c>
    </row>
    <row r="577" spans="1:171" s="272" customFormat="1" ht="15" customHeight="1">
      <c r="A577" s="43" t="s">
        <v>167</v>
      </c>
      <c r="B577" s="42" t="s">
        <v>1100</v>
      </c>
      <c r="C577" s="113" t="s">
        <v>1177</v>
      </c>
      <c r="D577" s="40">
        <v>233949</v>
      </c>
      <c r="E577" s="118">
        <v>9</v>
      </c>
      <c r="F577" s="419">
        <v>507</v>
      </c>
      <c r="G577" s="420">
        <v>355</v>
      </c>
      <c r="H577" s="419"/>
      <c r="I577" s="421"/>
      <c r="J577" s="419">
        <v>703</v>
      </c>
      <c r="K577" s="421">
        <v>661</v>
      </c>
      <c r="L577" s="422">
        <f t="shared" si="215"/>
        <v>0</v>
      </c>
      <c r="M577" s="423">
        <f t="shared" si="216"/>
        <v>0</v>
      </c>
      <c r="N577" s="419">
        <v>0</v>
      </c>
      <c r="O577" s="309">
        <f>0</f>
        <v>0</v>
      </c>
      <c r="P577" s="309">
        <f>0</f>
        <v>0</v>
      </c>
      <c r="Q577" s="309">
        <f>0</f>
        <v>0</v>
      </c>
      <c r="R577" s="424">
        <f t="shared" si="213"/>
        <v>0</v>
      </c>
      <c r="S577" s="421">
        <v>0</v>
      </c>
      <c r="T577" s="301">
        <f>0</f>
        <v>0</v>
      </c>
      <c r="U577" s="301">
        <f>0</f>
        <v>0</v>
      </c>
      <c r="V577" s="301">
        <f>0</f>
        <v>0</v>
      </c>
      <c r="W577" s="425">
        <f t="shared" si="214"/>
        <v>0</v>
      </c>
      <c r="X577" s="419"/>
      <c r="Y577" s="419"/>
      <c r="Z577" s="421"/>
      <c r="AA577" s="421"/>
      <c r="AB577" s="419"/>
      <c r="AC577" s="419"/>
      <c r="AD577" s="421"/>
      <c r="AE577" s="421"/>
      <c r="AF577" s="419"/>
      <c r="AG577" s="419"/>
      <c r="AH577" s="421"/>
      <c r="AI577" s="421"/>
      <c r="AJ577" s="419"/>
      <c r="AK577" s="419"/>
      <c r="AL577" s="421"/>
      <c r="AM577" s="421"/>
      <c r="AN577" s="419"/>
      <c r="AO577" s="419"/>
      <c r="AP577" s="421"/>
      <c r="AQ577" s="421"/>
      <c r="AR577" s="424">
        <f t="shared" si="217"/>
        <v>0</v>
      </c>
      <c r="AS577" s="422">
        <f t="shared" si="218"/>
        <v>0</v>
      </c>
      <c r="AT577" s="425">
        <f t="shared" si="219"/>
        <v>0</v>
      </c>
      <c r="AU577" s="423">
        <f t="shared" si="220"/>
        <v>0</v>
      </c>
      <c r="AV577" s="419">
        <v>0</v>
      </c>
      <c r="AW577" s="421">
        <v>0</v>
      </c>
      <c r="AX577" s="419"/>
      <c r="AY577" s="419"/>
      <c r="AZ577" s="421"/>
      <c r="BA577" s="421"/>
      <c r="BB577" s="419"/>
      <c r="BC577" s="419"/>
      <c r="BD577" s="421"/>
      <c r="BE577" s="421"/>
      <c r="BF577" s="419"/>
      <c r="BG577" s="419"/>
      <c r="BH577" s="421"/>
      <c r="BI577" s="421"/>
      <c r="BJ577" s="419"/>
      <c r="BK577" s="419"/>
      <c r="BL577" s="421"/>
      <c r="BM577" s="421"/>
      <c r="BN577" s="419"/>
      <c r="BO577" s="419"/>
      <c r="BP577" s="421"/>
      <c r="BQ577" s="421"/>
      <c r="BR577" s="419"/>
      <c r="BS577" s="419"/>
      <c r="BT577" s="421"/>
      <c r="BU577" s="421"/>
      <c r="BV577" s="419"/>
      <c r="BW577" s="419"/>
      <c r="BX577" s="421"/>
      <c r="BY577" s="421"/>
      <c r="BZ577" s="419"/>
      <c r="CA577" s="419"/>
      <c r="CB577" s="421"/>
      <c r="CC577" s="421"/>
      <c r="CD577" s="419"/>
      <c r="CE577" s="419"/>
      <c r="CF577" s="421"/>
      <c r="CG577" s="421"/>
      <c r="CH577" s="419"/>
      <c r="CI577" s="419"/>
      <c r="CJ577" s="421"/>
      <c r="CK577" s="421"/>
      <c r="CL577" s="419"/>
      <c r="CM577" s="421"/>
      <c r="CN577" s="424">
        <f t="shared" si="221"/>
        <v>0</v>
      </c>
      <c r="CO577" s="424">
        <f t="shared" si="222"/>
        <v>0</v>
      </c>
      <c r="CP577" s="425">
        <f t="shared" si="223"/>
        <v>0</v>
      </c>
      <c r="CQ577" s="425">
        <f t="shared" si="224"/>
        <v>0</v>
      </c>
      <c r="CR577" s="419"/>
      <c r="CS577" s="419"/>
      <c r="CT577" s="421"/>
      <c r="CU577" s="421"/>
      <c r="CV577" s="419"/>
      <c r="CW577" s="419"/>
      <c r="CX577" s="421"/>
      <c r="CY577" s="421"/>
      <c r="CZ577" s="419"/>
      <c r="DA577" s="419"/>
      <c r="DB577" s="421"/>
      <c r="DC577" s="421"/>
      <c r="DD577" s="419"/>
      <c r="DE577" s="419"/>
      <c r="DF577" s="421"/>
      <c r="DG577" s="421"/>
      <c r="DH577" s="419"/>
      <c r="DI577" s="419"/>
      <c r="DJ577" s="421"/>
      <c r="DK577" s="421"/>
      <c r="DL577" s="419"/>
      <c r="DM577" s="419"/>
      <c r="DN577" s="421"/>
      <c r="DO577" s="421"/>
      <c r="DP577" s="419"/>
      <c r="DQ577" s="419"/>
      <c r="DR577" s="421"/>
      <c r="DS577" s="421"/>
      <c r="DT577" s="419"/>
      <c r="DU577" s="419"/>
      <c r="DV577" s="421"/>
      <c r="DW577" s="421"/>
      <c r="DX577" s="419"/>
      <c r="DY577" s="419"/>
      <c r="DZ577" s="421"/>
      <c r="EA577" s="421"/>
      <c r="EB577" s="419"/>
      <c r="EC577" s="419"/>
      <c r="ED577" s="421"/>
      <c r="EE577" s="421"/>
      <c r="EF577" s="419"/>
      <c r="EG577" s="421"/>
      <c r="EH577" s="424">
        <f t="shared" si="225"/>
        <v>0</v>
      </c>
      <c r="EI577" s="424">
        <f t="shared" si="226"/>
        <v>0</v>
      </c>
      <c r="EJ577" s="422">
        <f t="shared" si="227"/>
        <v>0</v>
      </c>
      <c r="EK577" s="425">
        <f t="shared" si="228"/>
        <v>0</v>
      </c>
      <c r="EL577" s="425">
        <f t="shared" si="229"/>
        <v>0</v>
      </c>
      <c r="EM577" s="423">
        <f t="shared" si="230"/>
        <v>0</v>
      </c>
      <c r="EN577" s="424">
        <f t="shared" si="231"/>
        <v>0</v>
      </c>
      <c r="EO577" s="425">
        <f t="shared" si="232"/>
        <v>0</v>
      </c>
      <c r="EP577" s="419"/>
      <c r="EQ577" s="421"/>
      <c r="ER577" s="419"/>
      <c r="ES577" s="421"/>
      <c r="ET577" s="419"/>
      <c r="EU577" s="421"/>
      <c r="EV577" s="419"/>
      <c r="EW577" s="421"/>
      <c r="EX577" s="419"/>
      <c r="EY577" s="421"/>
      <c r="EZ577" s="419"/>
      <c r="FA577" s="421"/>
      <c r="FB577" s="419"/>
      <c r="FC577" s="421"/>
      <c r="FD577" s="419"/>
      <c r="FE577" s="421"/>
      <c r="FF577" s="419"/>
      <c r="FG577" s="421"/>
      <c r="FH577" s="419"/>
      <c r="FI577" s="421"/>
      <c r="FJ577" s="424">
        <f t="shared" si="233"/>
        <v>0</v>
      </c>
      <c r="FK577" s="425">
        <f t="shared" si="234"/>
        <v>0</v>
      </c>
      <c r="FL577" s="419"/>
      <c r="FM577" s="421"/>
      <c r="FN577" s="424">
        <f t="shared" si="235"/>
        <v>1210</v>
      </c>
      <c r="FO577" s="425">
        <f t="shared" si="236"/>
        <v>1016</v>
      </c>
    </row>
    <row r="578" spans="1:171">
      <c r="A578" s="43" t="s">
        <v>167</v>
      </c>
      <c r="B578" s="42" t="s">
        <v>1101</v>
      </c>
      <c r="C578" s="41" t="s">
        <v>1177</v>
      </c>
      <c r="D578" s="40">
        <v>231873</v>
      </c>
      <c r="E578" s="118">
        <v>10</v>
      </c>
      <c r="F578" s="419">
        <v>198</v>
      </c>
      <c r="G578" s="420">
        <v>152</v>
      </c>
      <c r="H578" s="419"/>
      <c r="I578" s="421"/>
      <c r="J578" s="419">
        <v>115</v>
      </c>
      <c r="K578" s="421">
        <v>109</v>
      </c>
      <c r="L578" s="422">
        <f t="shared" si="215"/>
        <v>0</v>
      </c>
      <c r="M578" s="423">
        <f t="shared" si="216"/>
        <v>0</v>
      </c>
      <c r="N578" s="419">
        <v>0</v>
      </c>
      <c r="O578" s="309">
        <f>0</f>
        <v>0</v>
      </c>
      <c r="P578" s="309">
        <f>0</f>
        <v>0</v>
      </c>
      <c r="Q578" s="309">
        <f>0</f>
        <v>0</v>
      </c>
      <c r="R578" s="424">
        <f t="shared" si="213"/>
        <v>0</v>
      </c>
      <c r="S578" s="421">
        <v>0</v>
      </c>
      <c r="T578" s="301">
        <f>0</f>
        <v>0</v>
      </c>
      <c r="U578" s="301">
        <f>0</f>
        <v>0</v>
      </c>
      <c r="V578" s="301">
        <f>0</f>
        <v>0</v>
      </c>
      <c r="W578" s="425">
        <f t="shared" si="214"/>
        <v>0</v>
      </c>
      <c r="X578" s="419"/>
      <c r="Y578" s="419"/>
      <c r="Z578" s="421"/>
      <c r="AA578" s="421"/>
      <c r="AB578" s="419"/>
      <c r="AC578" s="419"/>
      <c r="AD578" s="421"/>
      <c r="AE578" s="421"/>
      <c r="AF578" s="419"/>
      <c r="AG578" s="419"/>
      <c r="AH578" s="421"/>
      <c r="AI578" s="421"/>
      <c r="AJ578" s="419"/>
      <c r="AK578" s="419"/>
      <c r="AL578" s="421"/>
      <c r="AM578" s="421"/>
      <c r="AN578" s="419"/>
      <c r="AO578" s="419"/>
      <c r="AP578" s="421"/>
      <c r="AQ578" s="421"/>
      <c r="AR578" s="424">
        <f t="shared" si="217"/>
        <v>0</v>
      </c>
      <c r="AS578" s="422">
        <f t="shared" si="218"/>
        <v>0</v>
      </c>
      <c r="AT578" s="425">
        <f t="shared" si="219"/>
        <v>0</v>
      </c>
      <c r="AU578" s="423">
        <f t="shared" si="220"/>
        <v>0</v>
      </c>
      <c r="AV578" s="419">
        <v>0</v>
      </c>
      <c r="AW578" s="421">
        <v>0</v>
      </c>
      <c r="AX578" s="419"/>
      <c r="AY578" s="419"/>
      <c r="AZ578" s="421"/>
      <c r="BA578" s="421"/>
      <c r="BB578" s="419"/>
      <c r="BC578" s="419"/>
      <c r="BD578" s="421"/>
      <c r="BE578" s="421"/>
      <c r="BF578" s="419"/>
      <c r="BG578" s="419"/>
      <c r="BH578" s="421"/>
      <c r="BI578" s="421"/>
      <c r="BJ578" s="419"/>
      <c r="BK578" s="419"/>
      <c r="BL578" s="421"/>
      <c r="BM578" s="421"/>
      <c r="BN578" s="419"/>
      <c r="BO578" s="419"/>
      <c r="BP578" s="421"/>
      <c r="BQ578" s="421"/>
      <c r="BR578" s="419"/>
      <c r="BS578" s="419"/>
      <c r="BT578" s="421"/>
      <c r="BU578" s="421"/>
      <c r="BV578" s="419"/>
      <c r="BW578" s="419"/>
      <c r="BX578" s="421"/>
      <c r="BY578" s="421"/>
      <c r="BZ578" s="419"/>
      <c r="CA578" s="419"/>
      <c r="CB578" s="421"/>
      <c r="CC578" s="421"/>
      <c r="CD578" s="419"/>
      <c r="CE578" s="419"/>
      <c r="CF578" s="421"/>
      <c r="CG578" s="421"/>
      <c r="CH578" s="419"/>
      <c r="CI578" s="419"/>
      <c r="CJ578" s="421"/>
      <c r="CK578" s="421"/>
      <c r="CL578" s="419"/>
      <c r="CM578" s="421"/>
      <c r="CN578" s="424">
        <f t="shared" si="221"/>
        <v>0</v>
      </c>
      <c r="CO578" s="424">
        <f t="shared" si="222"/>
        <v>0</v>
      </c>
      <c r="CP578" s="425">
        <f t="shared" si="223"/>
        <v>0</v>
      </c>
      <c r="CQ578" s="425">
        <f t="shared" si="224"/>
        <v>0</v>
      </c>
      <c r="CR578" s="419"/>
      <c r="CS578" s="419"/>
      <c r="CT578" s="421"/>
      <c r="CU578" s="421"/>
      <c r="CV578" s="419"/>
      <c r="CW578" s="419"/>
      <c r="CX578" s="421"/>
      <c r="CY578" s="421"/>
      <c r="CZ578" s="419"/>
      <c r="DA578" s="419"/>
      <c r="DB578" s="421"/>
      <c r="DC578" s="421"/>
      <c r="DD578" s="419"/>
      <c r="DE578" s="419"/>
      <c r="DF578" s="421"/>
      <c r="DG578" s="421"/>
      <c r="DH578" s="419"/>
      <c r="DI578" s="419"/>
      <c r="DJ578" s="421"/>
      <c r="DK578" s="421"/>
      <c r="DL578" s="419"/>
      <c r="DM578" s="419"/>
      <c r="DN578" s="421"/>
      <c r="DO578" s="421"/>
      <c r="DP578" s="419"/>
      <c r="DQ578" s="419"/>
      <c r="DR578" s="421"/>
      <c r="DS578" s="421"/>
      <c r="DT578" s="419"/>
      <c r="DU578" s="419"/>
      <c r="DV578" s="421"/>
      <c r="DW578" s="421"/>
      <c r="DX578" s="419"/>
      <c r="DY578" s="419"/>
      <c r="DZ578" s="421"/>
      <c r="EA578" s="421"/>
      <c r="EB578" s="419"/>
      <c r="EC578" s="419"/>
      <c r="ED578" s="421"/>
      <c r="EE578" s="421"/>
      <c r="EF578" s="419"/>
      <c r="EG578" s="421"/>
      <c r="EH578" s="424">
        <f t="shared" si="225"/>
        <v>0</v>
      </c>
      <c r="EI578" s="424">
        <f t="shared" si="226"/>
        <v>0</v>
      </c>
      <c r="EJ578" s="422">
        <f t="shared" si="227"/>
        <v>0</v>
      </c>
      <c r="EK578" s="425">
        <f t="shared" si="228"/>
        <v>0</v>
      </c>
      <c r="EL578" s="425">
        <f t="shared" si="229"/>
        <v>0</v>
      </c>
      <c r="EM578" s="423">
        <f t="shared" si="230"/>
        <v>0</v>
      </c>
      <c r="EN578" s="424">
        <f t="shared" si="231"/>
        <v>0</v>
      </c>
      <c r="EO578" s="425">
        <f t="shared" si="232"/>
        <v>0</v>
      </c>
      <c r="EP578" s="419"/>
      <c r="EQ578" s="421"/>
      <c r="ER578" s="419"/>
      <c r="ES578" s="421"/>
      <c r="ET578" s="419"/>
      <c r="EU578" s="421"/>
      <c r="EV578" s="419"/>
      <c r="EW578" s="421"/>
      <c r="EX578" s="419"/>
      <c r="EY578" s="421"/>
      <c r="EZ578" s="419"/>
      <c r="FA578" s="421"/>
      <c r="FB578" s="419"/>
      <c r="FC578" s="421"/>
      <c r="FD578" s="419"/>
      <c r="FE578" s="421"/>
      <c r="FF578" s="419"/>
      <c r="FG578" s="421"/>
      <c r="FH578" s="419"/>
      <c r="FI578" s="421"/>
      <c r="FJ578" s="424">
        <f t="shared" si="233"/>
        <v>0</v>
      </c>
      <c r="FK578" s="425">
        <f t="shared" si="234"/>
        <v>0</v>
      </c>
      <c r="FL578" s="419"/>
      <c r="FM578" s="421"/>
      <c r="FN578" s="424">
        <f t="shared" si="235"/>
        <v>313</v>
      </c>
      <c r="FO578" s="425">
        <f t="shared" si="236"/>
        <v>261</v>
      </c>
    </row>
    <row r="579" spans="1:171" s="272" customFormat="1" ht="15" customHeight="1">
      <c r="A579" s="43" t="s">
        <v>167</v>
      </c>
      <c r="B579" s="42" t="s">
        <v>1102</v>
      </c>
      <c r="C579" s="127" t="s">
        <v>1177</v>
      </c>
      <c r="D579" s="40">
        <v>231882</v>
      </c>
      <c r="E579" s="118">
        <v>10</v>
      </c>
      <c r="F579" s="419">
        <v>500</v>
      </c>
      <c r="G579" s="420">
        <v>677</v>
      </c>
      <c r="H579" s="419"/>
      <c r="I579" s="421"/>
      <c r="J579" s="419">
        <v>225</v>
      </c>
      <c r="K579" s="421">
        <v>221</v>
      </c>
      <c r="L579" s="422">
        <f t="shared" si="215"/>
        <v>0</v>
      </c>
      <c r="M579" s="423">
        <f t="shared" si="216"/>
        <v>0</v>
      </c>
      <c r="N579" s="419">
        <v>0</v>
      </c>
      <c r="O579" s="309">
        <f>0</f>
        <v>0</v>
      </c>
      <c r="P579" s="309">
        <f>0</f>
        <v>0</v>
      </c>
      <c r="Q579" s="309">
        <f>0</f>
        <v>0</v>
      </c>
      <c r="R579" s="424">
        <f t="shared" si="213"/>
        <v>0</v>
      </c>
      <c r="S579" s="421">
        <v>0</v>
      </c>
      <c r="T579" s="301">
        <f>0</f>
        <v>0</v>
      </c>
      <c r="U579" s="301">
        <f>0</f>
        <v>0</v>
      </c>
      <c r="V579" s="301">
        <f>0</f>
        <v>0</v>
      </c>
      <c r="W579" s="425">
        <f t="shared" si="214"/>
        <v>0</v>
      </c>
      <c r="X579" s="419"/>
      <c r="Y579" s="419"/>
      <c r="Z579" s="421"/>
      <c r="AA579" s="421"/>
      <c r="AB579" s="419"/>
      <c r="AC579" s="419"/>
      <c r="AD579" s="421"/>
      <c r="AE579" s="421"/>
      <c r="AF579" s="419"/>
      <c r="AG579" s="419"/>
      <c r="AH579" s="421"/>
      <c r="AI579" s="421"/>
      <c r="AJ579" s="419"/>
      <c r="AK579" s="419"/>
      <c r="AL579" s="421"/>
      <c r="AM579" s="421"/>
      <c r="AN579" s="419"/>
      <c r="AO579" s="419"/>
      <c r="AP579" s="421"/>
      <c r="AQ579" s="421"/>
      <c r="AR579" s="424">
        <f t="shared" si="217"/>
        <v>0</v>
      </c>
      <c r="AS579" s="422">
        <f t="shared" si="218"/>
        <v>0</v>
      </c>
      <c r="AT579" s="425">
        <f t="shared" si="219"/>
        <v>0</v>
      </c>
      <c r="AU579" s="423">
        <f t="shared" si="220"/>
        <v>0</v>
      </c>
      <c r="AV579" s="419">
        <v>0</v>
      </c>
      <c r="AW579" s="421">
        <v>0</v>
      </c>
      <c r="AX579" s="419"/>
      <c r="AY579" s="419"/>
      <c r="AZ579" s="421"/>
      <c r="BA579" s="421"/>
      <c r="BB579" s="419"/>
      <c r="BC579" s="419"/>
      <c r="BD579" s="421"/>
      <c r="BE579" s="421"/>
      <c r="BF579" s="419"/>
      <c r="BG579" s="419"/>
      <c r="BH579" s="421"/>
      <c r="BI579" s="421"/>
      <c r="BJ579" s="419"/>
      <c r="BK579" s="419"/>
      <c r="BL579" s="421"/>
      <c r="BM579" s="421"/>
      <c r="BN579" s="419"/>
      <c r="BO579" s="419"/>
      <c r="BP579" s="421"/>
      <c r="BQ579" s="421"/>
      <c r="BR579" s="419"/>
      <c r="BS579" s="419"/>
      <c r="BT579" s="421"/>
      <c r="BU579" s="421"/>
      <c r="BV579" s="419"/>
      <c r="BW579" s="419"/>
      <c r="BX579" s="421"/>
      <c r="BY579" s="421"/>
      <c r="BZ579" s="419"/>
      <c r="CA579" s="419"/>
      <c r="CB579" s="421"/>
      <c r="CC579" s="421"/>
      <c r="CD579" s="419"/>
      <c r="CE579" s="419"/>
      <c r="CF579" s="421"/>
      <c r="CG579" s="421"/>
      <c r="CH579" s="419"/>
      <c r="CI579" s="419"/>
      <c r="CJ579" s="421"/>
      <c r="CK579" s="421"/>
      <c r="CL579" s="419"/>
      <c r="CM579" s="421"/>
      <c r="CN579" s="424">
        <f t="shared" si="221"/>
        <v>0</v>
      </c>
      <c r="CO579" s="424">
        <f t="shared" si="222"/>
        <v>0</v>
      </c>
      <c r="CP579" s="425">
        <f t="shared" si="223"/>
        <v>0</v>
      </c>
      <c r="CQ579" s="425">
        <f t="shared" si="224"/>
        <v>0</v>
      </c>
      <c r="CR579" s="419"/>
      <c r="CS579" s="419"/>
      <c r="CT579" s="421"/>
      <c r="CU579" s="421"/>
      <c r="CV579" s="419"/>
      <c r="CW579" s="419"/>
      <c r="CX579" s="421"/>
      <c r="CY579" s="421"/>
      <c r="CZ579" s="419"/>
      <c r="DA579" s="419"/>
      <c r="DB579" s="421"/>
      <c r="DC579" s="421"/>
      <c r="DD579" s="419"/>
      <c r="DE579" s="419"/>
      <c r="DF579" s="421"/>
      <c r="DG579" s="421"/>
      <c r="DH579" s="419"/>
      <c r="DI579" s="419"/>
      <c r="DJ579" s="421"/>
      <c r="DK579" s="421"/>
      <c r="DL579" s="419"/>
      <c r="DM579" s="419"/>
      <c r="DN579" s="421"/>
      <c r="DO579" s="421"/>
      <c r="DP579" s="419"/>
      <c r="DQ579" s="419"/>
      <c r="DR579" s="421"/>
      <c r="DS579" s="421"/>
      <c r="DT579" s="419"/>
      <c r="DU579" s="419"/>
      <c r="DV579" s="421"/>
      <c r="DW579" s="421"/>
      <c r="DX579" s="419"/>
      <c r="DY579" s="419"/>
      <c r="DZ579" s="421"/>
      <c r="EA579" s="421"/>
      <c r="EB579" s="419"/>
      <c r="EC579" s="419"/>
      <c r="ED579" s="421"/>
      <c r="EE579" s="421"/>
      <c r="EF579" s="419"/>
      <c r="EG579" s="421"/>
      <c r="EH579" s="424">
        <f t="shared" si="225"/>
        <v>0</v>
      </c>
      <c r="EI579" s="424">
        <f t="shared" si="226"/>
        <v>0</v>
      </c>
      <c r="EJ579" s="422">
        <f t="shared" si="227"/>
        <v>0</v>
      </c>
      <c r="EK579" s="425">
        <f t="shared" si="228"/>
        <v>0</v>
      </c>
      <c r="EL579" s="425">
        <f t="shared" si="229"/>
        <v>0</v>
      </c>
      <c r="EM579" s="423">
        <f t="shared" si="230"/>
        <v>0</v>
      </c>
      <c r="EN579" s="424">
        <f t="shared" si="231"/>
        <v>0</v>
      </c>
      <c r="EO579" s="425">
        <f t="shared" si="232"/>
        <v>0</v>
      </c>
      <c r="EP579" s="419"/>
      <c r="EQ579" s="421"/>
      <c r="ER579" s="419"/>
      <c r="ES579" s="421"/>
      <c r="ET579" s="419"/>
      <c r="EU579" s="421"/>
      <c r="EV579" s="419"/>
      <c r="EW579" s="421"/>
      <c r="EX579" s="419"/>
      <c r="EY579" s="421"/>
      <c r="EZ579" s="419"/>
      <c r="FA579" s="421"/>
      <c r="FB579" s="419"/>
      <c r="FC579" s="421"/>
      <c r="FD579" s="419"/>
      <c r="FE579" s="421"/>
      <c r="FF579" s="419"/>
      <c r="FG579" s="421"/>
      <c r="FH579" s="419"/>
      <c r="FI579" s="421"/>
      <c r="FJ579" s="424">
        <f t="shared" si="233"/>
        <v>0</v>
      </c>
      <c r="FK579" s="425">
        <f t="shared" si="234"/>
        <v>0</v>
      </c>
      <c r="FL579" s="419"/>
      <c r="FM579" s="421"/>
      <c r="FN579" s="424">
        <f t="shared" si="235"/>
        <v>725</v>
      </c>
      <c r="FO579" s="425">
        <f t="shared" si="236"/>
        <v>898</v>
      </c>
    </row>
    <row r="580" spans="1:171">
      <c r="A580" s="43" t="s">
        <v>167</v>
      </c>
      <c r="B580" s="42" t="s">
        <v>1103</v>
      </c>
      <c r="C580" s="41" t="s">
        <v>1177</v>
      </c>
      <c r="D580" s="40">
        <v>232052</v>
      </c>
      <c r="E580" s="118">
        <v>10</v>
      </c>
      <c r="F580" s="419">
        <v>94</v>
      </c>
      <c r="G580" s="421">
        <v>85</v>
      </c>
      <c r="H580" s="419"/>
      <c r="I580" s="421"/>
      <c r="J580" s="419">
        <v>37</v>
      </c>
      <c r="K580" s="420">
        <v>45</v>
      </c>
      <c r="L580" s="422">
        <f t="shared" si="215"/>
        <v>0</v>
      </c>
      <c r="M580" s="423">
        <f t="shared" si="216"/>
        <v>0</v>
      </c>
      <c r="N580" s="419">
        <v>0</v>
      </c>
      <c r="O580" s="309">
        <f>0</f>
        <v>0</v>
      </c>
      <c r="P580" s="309">
        <f>0</f>
        <v>0</v>
      </c>
      <c r="Q580" s="309">
        <f>0</f>
        <v>0</v>
      </c>
      <c r="R580" s="424">
        <f t="shared" si="213"/>
        <v>0</v>
      </c>
      <c r="S580" s="421">
        <v>0</v>
      </c>
      <c r="T580" s="301">
        <f>0</f>
        <v>0</v>
      </c>
      <c r="U580" s="301">
        <f>0</f>
        <v>0</v>
      </c>
      <c r="V580" s="301">
        <f>0</f>
        <v>0</v>
      </c>
      <c r="W580" s="425">
        <f t="shared" si="214"/>
        <v>0</v>
      </c>
      <c r="X580" s="419"/>
      <c r="Y580" s="419"/>
      <c r="Z580" s="421"/>
      <c r="AA580" s="421"/>
      <c r="AB580" s="419"/>
      <c r="AC580" s="419"/>
      <c r="AD580" s="421"/>
      <c r="AE580" s="421"/>
      <c r="AF580" s="419"/>
      <c r="AG580" s="419"/>
      <c r="AH580" s="421"/>
      <c r="AI580" s="421"/>
      <c r="AJ580" s="419"/>
      <c r="AK580" s="419"/>
      <c r="AL580" s="421"/>
      <c r="AM580" s="421"/>
      <c r="AN580" s="419"/>
      <c r="AO580" s="419"/>
      <c r="AP580" s="421"/>
      <c r="AQ580" s="421"/>
      <c r="AR580" s="424">
        <f t="shared" si="217"/>
        <v>0</v>
      </c>
      <c r="AS580" s="422">
        <f t="shared" si="218"/>
        <v>0</v>
      </c>
      <c r="AT580" s="425">
        <f t="shared" si="219"/>
        <v>0</v>
      </c>
      <c r="AU580" s="423">
        <f t="shared" si="220"/>
        <v>0</v>
      </c>
      <c r="AV580" s="419">
        <v>0</v>
      </c>
      <c r="AW580" s="421">
        <v>0</v>
      </c>
      <c r="AX580" s="419"/>
      <c r="AY580" s="419"/>
      <c r="AZ580" s="421"/>
      <c r="BA580" s="421"/>
      <c r="BB580" s="419"/>
      <c r="BC580" s="419"/>
      <c r="BD580" s="421"/>
      <c r="BE580" s="421"/>
      <c r="BF580" s="419"/>
      <c r="BG580" s="419"/>
      <c r="BH580" s="421"/>
      <c r="BI580" s="421"/>
      <c r="BJ580" s="419"/>
      <c r="BK580" s="419"/>
      <c r="BL580" s="421"/>
      <c r="BM580" s="421"/>
      <c r="BN580" s="419"/>
      <c r="BO580" s="419"/>
      <c r="BP580" s="421"/>
      <c r="BQ580" s="421"/>
      <c r="BR580" s="419"/>
      <c r="BS580" s="419"/>
      <c r="BT580" s="421"/>
      <c r="BU580" s="421"/>
      <c r="BV580" s="419"/>
      <c r="BW580" s="419"/>
      <c r="BX580" s="421"/>
      <c r="BY580" s="421"/>
      <c r="BZ580" s="419"/>
      <c r="CA580" s="419"/>
      <c r="CB580" s="421"/>
      <c r="CC580" s="421"/>
      <c r="CD580" s="419"/>
      <c r="CE580" s="419"/>
      <c r="CF580" s="421"/>
      <c r="CG580" s="421"/>
      <c r="CH580" s="419"/>
      <c r="CI580" s="419"/>
      <c r="CJ580" s="421"/>
      <c r="CK580" s="421"/>
      <c r="CL580" s="419"/>
      <c r="CM580" s="421"/>
      <c r="CN580" s="424">
        <f t="shared" si="221"/>
        <v>0</v>
      </c>
      <c r="CO580" s="424">
        <f t="shared" si="222"/>
        <v>0</v>
      </c>
      <c r="CP580" s="425">
        <f t="shared" si="223"/>
        <v>0</v>
      </c>
      <c r="CQ580" s="425">
        <f t="shared" si="224"/>
        <v>0</v>
      </c>
      <c r="CR580" s="419"/>
      <c r="CS580" s="419"/>
      <c r="CT580" s="421"/>
      <c r="CU580" s="421"/>
      <c r="CV580" s="419"/>
      <c r="CW580" s="419"/>
      <c r="CX580" s="421"/>
      <c r="CY580" s="421"/>
      <c r="CZ580" s="419"/>
      <c r="DA580" s="419"/>
      <c r="DB580" s="421"/>
      <c r="DC580" s="421"/>
      <c r="DD580" s="419"/>
      <c r="DE580" s="419"/>
      <c r="DF580" s="421"/>
      <c r="DG580" s="421"/>
      <c r="DH580" s="419"/>
      <c r="DI580" s="419"/>
      <c r="DJ580" s="421"/>
      <c r="DK580" s="421"/>
      <c r="DL580" s="419"/>
      <c r="DM580" s="419"/>
      <c r="DN580" s="421"/>
      <c r="DO580" s="421"/>
      <c r="DP580" s="419"/>
      <c r="DQ580" s="419"/>
      <c r="DR580" s="421"/>
      <c r="DS580" s="421"/>
      <c r="DT580" s="419"/>
      <c r="DU580" s="419"/>
      <c r="DV580" s="421"/>
      <c r="DW580" s="421"/>
      <c r="DX580" s="419"/>
      <c r="DY580" s="419"/>
      <c r="DZ580" s="421"/>
      <c r="EA580" s="421"/>
      <c r="EB580" s="419"/>
      <c r="EC580" s="419"/>
      <c r="ED580" s="421"/>
      <c r="EE580" s="421"/>
      <c r="EF580" s="419"/>
      <c r="EG580" s="421"/>
      <c r="EH580" s="424">
        <f t="shared" si="225"/>
        <v>0</v>
      </c>
      <c r="EI580" s="424">
        <f t="shared" si="226"/>
        <v>0</v>
      </c>
      <c r="EJ580" s="422">
        <f t="shared" si="227"/>
        <v>0</v>
      </c>
      <c r="EK580" s="425">
        <f t="shared" si="228"/>
        <v>0</v>
      </c>
      <c r="EL580" s="425">
        <f t="shared" si="229"/>
        <v>0</v>
      </c>
      <c r="EM580" s="423">
        <f t="shared" si="230"/>
        <v>0</v>
      </c>
      <c r="EN580" s="424">
        <f t="shared" si="231"/>
        <v>0</v>
      </c>
      <c r="EO580" s="425">
        <f t="shared" si="232"/>
        <v>0</v>
      </c>
      <c r="EP580" s="419"/>
      <c r="EQ580" s="421"/>
      <c r="ER580" s="419"/>
      <c r="ES580" s="421"/>
      <c r="ET580" s="419"/>
      <c r="EU580" s="421"/>
      <c r="EV580" s="419"/>
      <c r="EW580" s="421"/>
      <c r="EX580" s="419"/>
      <c r="EY580" s="421"/>
      <c r="EZ580" s="419"/>
      <c r="FA580" s="421"/>
      <c r="FB580" s="419"/>
      <c r="FC580" s="421"/>
      <c r="FD580" s="419"/>
      <c r="FE580" s="421"/>
      <c r="FF580" s="419"/>
      <c r="FG580" s="421"/>
      <c r="FH580" s="419"/>
      <c r="FI580" s="421"/>
      <c r="FJ580" s="424">
        <f t="shared" si="233"/>
        <v>0</v>
      </c>
      <c r="FK580" s="425">
        <f t="shared" si="234"/>
        <v>0</v>
      </c>
      <c r="FL580" s="419"/>
      <c r="FM580" s="421"/>
      <c r="FN580" s="424">
        <f t="shared" si="235"/>
        <v>131</v>
      </c>
      <c r="FO580" s="425">
        <f t="shared" si="236"/>
        <v>130</v>
      </c>
    </row>
    <row r="581" spans="1:171">
      <c r="A581" s="43" t="s">
        <v>167</v>
      </c>
      <c r="B581" s="42" t="s">
        <v>1104</v>
      </c>
      <c r="C581" s="38" t="s">
        <v>1177</v>
      </c>
      <c r="D581" s="40">
        <v>232788</v>
      </c>
      <c r="E581" s="118">
        <v>10</v>
      </c>
      <c r="F581" s="419">
        <v>421</v>
      </c>
      <c r="G581" s="421">
        <v>444</v>
      </c>
      <c r="H581" s="419"/>
      <c r="I581" s="421"/>
      <c r="J581" s="419">
        <v>252</v>
      </c>
      <c r="K581" s="421">
        <v>264</v>
      </c>
      <c r="L581" s="422">
        <f t="shared" si="215"/>
        <v>0</v>
      </c>
      <c r="M581" s="423">
        <f t="shared" si="216"/>
        <v>0</v>
      </c>
      <c r="N581" s="419">
        <v>0</v>
      </c>
      <c r="O581" s="309">
        <f>0</f>
        <v>0</v>
      </c>
      <c r="P581" s="309">
        <f>0</f>
        <v>0</v>
      </c>
      <c r="Q581" s="309">
        <f>0</f>
        <v>0</v>
      </c>
      <c r="R581" s="424">
        <f t="shared" si="213"/>
        <v>0</v>
      </c>
      <c r="S581" s="421">
        <v>0</v>
      </c>
      <c r="T581" s="301">
        <f>0</f>
        <v>0</v>
      </c>
      <c r="U581" s="301">
        <f>0</f>
        <v>0</v>
      </c>
      <c r="V581" s="301">
        <f>0</f>
        <v>0</v>
      </c>
      <c r="W581" s="425">
        <f t="shared" si="214"/>
        <v>0</v>
      </c>
      <c r="X581" s="419"/>
      <c r="Y581" s="419"/>
      <c r="Z581" s="421"/>
      <c r="AA581" s="421"/>
      <c r="AB581" s="419"/>
      <c r="AC581" s="419"/>
      <c r="AD581" s="421"/>
      <c r="AE581" s="421"/>
      <c r="AF581" s="419"/>
      <c r="AG581" s="419"/>
      <c r="AH581" s="421"/>
      <c r="AI581" s="421"/>
      <c r="AJ581" s="419"/>
      <c r="AK581" s="419"/>
      <c r="AL581" s="421"/>
      <c r="AM581" s="421"/>
      <c r="AN581" s="419"/>
      <c r="AO581" s="419"/>
      <c r="AP581" s="421"/>
      <c r="AQ581" s="421"/>
      <c r="AR581" s="424">
        <f t="shared" si="217"/>
        <v>0</v>
      </c>
      <c r="AS581" s="422">
        <f t="shared" si="218"/>
        <v>0</v>
      </c>
      <c r="AT581" s="425">
        <f t="shared" si="219"/>
        <v>0</v>
      </c>
      <c r="AU581" s="423">
        <f t="shared" si="220"/>
        <v>0</v>
      </c>
      <c r="AV581" s="419">
        <v>0</v>
      </c>
      <c r="AW581" s="421">
        <v>0</v>
      </c>
      <c r="AX581" s="419"/>
      <c r="AY581" s="419"/>
      <c r="AZ581" s="421"/>
      <c r="BA581" s="421"/>
      <c r="BB581" s="419"/>
      <c r="BC581" s="419"/>
      <c r="BD581" s="421"/>
      <c r="BE581" s="421"/>
      <c r="BF581" s="419"/>
      <c r="BG581" s="419"/>
      <c r="BH581" s="421"/>
      <c r="BI581" s="421"/>
      <c r="BJ581" s="419"/>
      <c r="BK581" s="419"/>
      <c r="BL581" s="421"/>
      <c r="BM581" s="421"/>
      <c r="BN581" s="419"/>
      <c r="BO581" s="419"/>
      <c r="BP581" s="421"/>
      <c r="BQ581" s="421"/>
      <c r="BR581" s="419"/>
      <c r="BS581" s="419"/>
      <c r="BT581" s="421"/>
      <c r="BU581" s="421"/>
      <c r="BV581" s="419"/>
      <c r="BW581" s="419"/>
      <c r="BX581" s="421"/>
      <c r="BY581" s="421"/>
      <c r="BZ581" s="419"/>
      <c r="CA581" s="419"/>
      <c r="CB581" s="421"/>
      <c r="CC581" s="421"/>
      <c r="CD581" s="419"/>
      <c r="CE581" s="419"/>
      <c r="CF581" s="421"/>
      <c r="CG581" s="421"/>
      <c r="CH581" s="419"/>
      <c r="CI581" s="419"/>
      <c r="CJ581" s="421"/>
      <c r="CK581" s="421"/>
      <c r="CL581" s="419"/>
      <c r="CM581" s="421"/>
      <c r="CN581" s="424">
        <f t="shared" si="221"/>
        <v>0</v>
      </c>
      <c r="CO581" s="424">
        <f t="shared" si="222"/>
        <v>0</v>
      </c>
      <c r="CP581" s="425">
        <f t="shared" si="223"/>
        <v>0</v>
      </c>
      <c r="CQ581" s="425">
        <f t="shared" si="224"/>
        <v>0</v>
      </c>
      <c r="CR581" s="419"/>
      <c r="CS581" s="419"/>
      <c r="CT581" s="421"/>
      <c r="CU581" s="421"/>
      <c r="CV581" s="419"/>
      <c r="CW581" s="419"/>
      <c r="CX581" s="421"/>
      <c r="CY581" s="421"/>
      <c r="CZ581" s="419"/>
      <c r="DA581" s="419"/>
      <c r="DB581" s="421"/>
      <c r="DC581" s="421"/>
      <c r="DD581" s="419"/>
      <c r="DE581" s="419"/>
      <c r="DF581" s="421"/>
      <c r="DG581" s="421"/>
      <c r="DH581" s="419"/>
      <c r="DI581" s="419"/>
      <c r="DJ581" s="421"/>
      <c r="DK581" s="421"/>
      <c r="DL581" s="419"/>
      <c r="DM581" s="419"/>
      <c r="DN581" s="421"/>
      <c r="DO581" s="421"/>
      <c r="DP581" s="419"/>
      <c r="DQ581" s="419"/>
      <c r="DR581" s="421"/>
      <c r="DS581" s="421"/>
      <c r="DT581" s="419"/>
      <c r="DU581" s="419"/>
      <c r="DV581" s="421"/>
      <c r="DW581" s="421"/>
      <c r="DX581" s="419"/>
      <c r="DY581" s="419"/>
      <c r="DZ581" s="421"/>
      <c r="EA581" s="421"/>
      <c r="EB581" s="419"/>
      <c r="EC581" s="419"/>
      <c r="ED581" s="421"/>
      <c r="EE581" s="421"/>
      <c r="EF581" s="419"/>
      <c r="EG581" s="421"/>
      <c r="EH581" s="424">
        <f t="shared" si="225"/>
        <v>0</v>
      </c>
      <c r="EI581" s="424">
        <f t="shared" si="226"/>
        <v>0</v>
      </c>
      <c r="EJ581" s="422">
        <f t="shared" si="227"/>
        <v>0</v>
      </c>
      <c r="EK581" s="425">
        <f t="shared" si="228"/>
        <v>0</v>
      </c>
      <c r="EL581" s="425">
        <f t="shared" si="229"/>
        <v>0</v>
      </c>
      <c r="EM581" s="423">
        <f t="shared" si="230"/>
        <v>0</v>
      </c>
      <c r="EN581" s="424">
        <f t="shared" si="231"/>
        <v>0</v>
      </c>
      <c r="EO581" s="425">
        <f t="shared" si="232"/>
        <v>0</v>
      </c>
      <c r="EP581" s="419"/>
      <c r="EQ581" s="421"/>
      <c r="ER581" s="419"/>
      <c r="ES581" s="421"/>
      <c r="ET581" s="419"/>
      <c r="EU581" s="421"/>
      <c r="EV581" s="419"/>
      <c r="EW581" s="421"/>
      <c r="EX581" s="419"/>
      <c r="EY581" s="421"/>
      <c r="EZ581" s="419"/>
      <c r="FA581" s="421"/>
      <c r="FB581" s="419"/>
      <c r="FC581" s="421"/>
      <c r="FD581" s="419"/>
      <c r="FE581" s="421"/>
      <c r="FF581" s="419"/>
      <c r="FG581" s="421"/>
      <c r="FH581" s="419"/>
      <c r="FI581" s="421"/>
      <c r="FJ581" s="424">
        <f t="shared" si="233"/>
        <v>0</v>
      </c>
      <c r="FK581" s="425">
        <f t="shared" si="234"/>
        <v>0</v>
      </c>
      <c r="FL581" s="419"/>
      <c r="FM581" s="421"/>
      <c r="FN581" s="424">
        <f t="shared" si="235"/>
        <v>673</v>
      </c>
      <c r="FO581" s="425">
        <f t="shared" si="236"/>
        <v>708</v>
      </c>
    </row>
    <row r="582" spans="1:171" s="272" customFormat="1" ht="15" customHeight="1">
      <c r="A582" s="43" t="s">
        <v>167</v>
      </c>
      <c r="B582" s="114" t="s">
        <v>1105</v>
      </c>
      <c r="C582" s="127" t="s">
        <v>1177</v>
      </c>
      <c r="D582" s="40">
        <v>233019</v>
      </c>
      <c r="E582" s="118">
        <v>10</v>
      </c>
      <c r="F582" s="419">
        <v>472</v>
      </c>
      <c r="G582" s="420">
        <v>302</v>
      </c>
      <c r="H582" s="419"/>
      <c r="I582" s="421"/>
      <c r="J582" s="419">
        <v>344</v>
      </c>
      <c r="K582" s="421">
        <v>346</v>
      </c>
      <c r="L582" s="422">
        <f t="shared" si="215"/>
        <v>0</v>
      </c>
      <c r="M582" s="423">
        <f t="shared" si="216"/>
        <v>0</v>
      </c>
      <c r="N582" s="419">
        <v>0</v>
      </c>
      <c r="O582" s="309">
        <f>0</f>
        <v>0</v>
      </c>
      <c r="P582" s="309">
        <f>0</f>
        <v>0</v>
      </c>
      <c r="Q582" s="309">
        <f>0</f>
        <v>0</v>
      </c>
      <c r="R582" s="424">
        <f t="shared" si="213"/>
        <v>0</v>
      </c>
      <c r="S582" s="421">
        <v>0</v>
      </c>
      <c r="T582" s="301">
        <f>0</f>
        <v>0</v>
      </c>
      <c r="U582" s="301">
        <f>0</f>
        <v>0</v>
      </c>
      <c r="V582" s="301">
        <f>0</f>
        <v>0</v>
      </c>
      <c r="W582" s="425">
        <f t="shared" si="214"/>
        <v>0</v>
      </c>
      <c r="X582" s="419"/>
      <c r="Y582" s="419"/>
      <c r="Z582" s="421"/>
      <c r="AA582" s="421"/>
      <c r="AB582" s="419"/>
      <c r="AC582" s="419"/>
      <c r="AD582" s="421"/>
      <c r="AE582" s="421"/>
      <c r="AF582" s="419"/>
      <c r="AG582" s="419"/>
      <c r="AH582" s="421"/>
      <c r="AI582" s="421"/>
      <c r="AJ582" s="419"/>
      <c r="AK582" s="419"/>
      <c r="AL582" s="421"/>
      <c r="AM582" s="421"/>
      <c r="AN582" s="419"/>
      <c r="AO582" s="419"/>
      <c r="AP582" s="421"/>
      <c r="AQ582" s="421"/>
      <c r="AR582" s="424">
        <f t="shared" si="217"/>
        <v>0</v>
      </c>
      <c r="AS582" s="422">
        <f t="shared" si="218"/>
        <v>0</v>
      </c>
      <c r="AT582" s="425">
        <f t="shared" si="219"/>
        <v>0</v>
      </c>
      <c r="AU582" s="423">
        <f t="shared" si="220"/>
        <v>0</v>
      </c>
      <c r="AV582" s="419">
        <v>0</v>
      </c>
      <c r="AW582" s="421">
        <v>0</v>
      </c>
      <c r="AX582" s="419"/>
      <c r="AY582" s="419"/>
      <c r="AZ582" s="421"/>
      <c r="BA582" s="421"/>
      <c r="BB582" s="419"/>
      <c r="BC582" s="419"/>
      <c r="BD582" s="421"/>
      <c r="BE582" s="421"/>
      <c r="BF582" s="419"/>
      <c r="BG582" s="419"/>
      <c r="BH582" s="421"/>
      <c r="BI582" s="421"/>
      <c r="BJ582" s="419"/>
      <c r="BK582" s="419"/>
      <c r="BL582" s="421"/>
      <c r="BM582" s="421"/>
      <c r="BN582" s="419"/>
      <c r="BO582" s="419"/>
      <c r="BP582" s="421"/>
      <c r="BQ582" s="421"/>
      <c r="BR582" s="419"/>
      <c r="BS582" s="419"/>
      <c r="BT582" s="421"/>
      <c r="BU582" s="421"/>
      <c r="BV582" s="419"/>
      <c r="BW582" s="419"/>
      <c r="BX582" s="421"/>
      <c r="BY582" s="421"/>
      <c r="BZ582" s="419"/>
      <c r="CA582" s="419"/>
      <c r="CB582" s="421"/>
      <c r="CC582" s="421"/>
      <c r="CD582" s="419"/>
      <c r="CE582" s="419"/>
      <c r="CF582" s="421"/>
      <c r="CG582" s="421"/>
      <c r="CH582" s="419"/>
      <c r="CI582" s="419"/>
      <c r="CJ582" s="421"/>
      <c r="CK582" s="421"/>
      <c r="CL582" s="419"/>
      <c r="CM582" s="421"/>
      <c r="CN582" s="424">
        <f t="shared" si="221"/>
        <v>0</v>
      </c>
      <c r="CO582" s="424">
        <f t="shared" si="222"/>
        <v>0</v>
      </c>
      <c r="CP582" s="425">
        <f t="shared" si="223"/>
        <v>0</v>
      </c>
      <c r="CQ582" s="425">
        <f t="shared" si="224"/>
        <v>0</v>
      </c>
      <c r="CR582" s="419"/>
      <c r="CS582" s="419"/>
      <c r="CT582" s="421"/>
      <c r="CU582" s="421"/>
      <c r="CV582" s="419"/>
      <c r="CW582" s="419"/>
      <c r="CX582" s="421"/>
      <c r="CY582" s="421"/>
      <c r="CZ582" s="419"/>
      <c r="DA582" s="419"/>
      <c r="DB582" s="421"/>
      <c r="DC582" s="421"/>
      <c r="DD582" s="419"/>
      <c r="DE582" s="419"/>
      <c r="DF582" s="421"/>
      <c r="DG582" s="421"/>
      <c r="DH582" s="419"/>
      <c r="DI582" s="419"/>
      <c r="DJ582" s="421"/>
      <c r="DK582" s="421"/>
      <c r="DL582" s="419"/>
      <c r="DM582" s="419"/>
      <c r="DN582" s="421"/>
      <c r="DO582" s="421"/>
      <c r="DP582" s="419"/>
      <c r="DQ582" s="419"/>
      <c r="DR582" s="421"/>
      <c r="DS582" s="421"/>
      <c r="DT582" s="419"/>
      <c r="DU582" s="419"/>
      <c r="DV582" s="421"/>
      <c r="DW582" s="421"/>
      <c r="DX582" s="419"/>
      <c r="DY582" s="419"/>
      <c r="DZ582" s="421"/>
      <c r="EA582" s="421"/>
      <c r="EB582" s="419"/>
      <c r="EC582" s="419"/>
      <c r="ED582" s="421"/>
      <c r="EE582" s="421"/>
      <c r="EF582" s="419"/>
      <c r="EG582" s="421"/>
      <c r="EH582" s="424">
        <f t="shared" si="225"/>
        <v>0</v>
      </c>
      <c r="EI582" s="424">
        <f t="shared" si="226"/>
        <v>0</v>
      </c>
      <c r="EJ582" s="422">
        <f t="shared" si="227"/>
        <v>0</v>
      </c>
      <c r="EK582" s="425">
        <f t="shared" si="228"/>
        <v>0</v>
      </c>
      <c r="EL582" s="425">
        <f t="shared" si="229"/>
        <v>0</v>
      </c>
      <c r="EM582" s="423">
        <f t="shared" si="230"/>
        <v>0</v>
      </c>
      <c r="EN582" s="424">
        <f t="shared" si="231"/>
        <v>0</v>
      </c>
      <c r="EO582" s="425">
        <f t="shared" si="232"/>
        <v>0</v>
      </c>
      <c r="EP582" s="419"/>
      <c r="EQ582" s="421"/>
      <c r="ER582" s="419"/>
      <c r="ES582" s="421"/>
      <c r="ET582" s="419"/>
      <c r="EU582" s="421"/>
      <c r="EV582" s="419"/>
      <c r="EW582" s="421"/>
      <c r="EX582" s="419"/>
      <c r="EY582" s="421"/>
      <c r="EZ582" s="419"/>
      <c r="FA582" s="421"/>
      <c r="FB582" s="419"/>
      <c r="FC582" s="421"/>
      <c r="FD582" s="419"/>
      <c r="FE582" s="421"/>
      <c r="FF582" s="419"/>
      <c r="FG582" s="421"/>
      <c r="FH582" s="419"/>
      <c r="FI582" s="421"/>
      <c r="FJ582" s="424">
        <f t="shared" si="233"/>
        <v>0</v>
      </c>
      <c r="FK582" s="425">
        <f t="shared" si="234"/>
        <v>0</v>
      </c>
      <c r="FL582" s="419"/>
      <c r="FM582" s="421"/>
      <c r="FN582" s="424">
        <f t="shared" si="235"/>
        <v>816</v>
      </c>
      <c r="FO582" s="425">
        <f t="shared" si="236"/>
        <v>648</v>
      </c>
    </row>
    <row r="583" spans="1:171">
      <c r="A583" s="43" t="s">
        <v>167</v>
      </c>
      <c r="B583" s="42" t="s">
        <v>1106</v>
      </c>
      <c r="C583" s="41" t="s">
        <v>1177</v>
      </c>
      <c r="D583" s="40">
        <v>233037</v>
      </c>
      <c r="E583" s="118">
        <v>10</v>
      </c>
      <c r="F583" s="419">
        <v>149</v>
      </c>
      <c r="G583" s="421">
        <v>164</v>
      </c>
      <c r="H583" s="419"/>
      <c r="I583" s="421"/>
      <c r="J583" s="419">
        <v>142</v>
      </c>
      <c r="K583" s="421">
        <v>118</v>
      </c>
      <c r="L583" s="422">
        <f t="shared" si="215"/>
        <v>0</v>
      </c>
      <c r="M583" s="423">
        <f t="shared" si="216"/>
        <v>0</v>
      </c>
      <c r="N583" s="419">
        <v>0</v>
      </c>
      <c r="O583" s="309">
        <f>0</f>
        <v>0</v>
      </c>
      <c r="P583" s="309">
        <f>0</f>
        <v>0</v>
      </c>
      <c r="Q583" s="309">
        <f>0</f>
        <v>0</v>
      </c>
      <c r="R583" s="424">
        <f t="shared" si="213"/>
        <v>0</v>
      </c>
      <c r="S583" s="421">
        <v>0</v>
      </c>
      <c r="T583" s="301">
        <f>0</f>
        <v>0</v>
      </c>
      <c r="U583" s="301">
        <f>0</f>
        <v>0</v>
      </c>
      <c r="V583" s="301">
        <f>0</f>
        <v>0</v>
      </c>
      <c r="W583" s="425">
        <f t="shared" si="214"/>
        <v>0</v>
      </c>
      <c r="X583" s="419"/>
      <c r="Y583" s="419"/>
      <c r="Z583" s="421"/>
      <c r="AA583" s="421"/>
      <c r="AB583" s="419"/>
      <c r="AC583" s="419"/>
      <c r="AD583" s="421"/>
      <c r="AE583" s="421"/>
      <c r="AF583" s="419"/>
      <c r="AG583" s="419"/>
      <c r="AH583" s="421"/>
      <c r="AI583" s="421"/>
      <c r="AJ583" s="419"/>
      <c r="AK583" s="419"/>
      <c r="AL583" s="421"/>
      <c r="AM583" s="421"/>
      <c r="AN583" s="419"/>
      <c r="AO583" s="419"/>
      <c r="AP583" s="421"/>
      <c r="AQ583" s="421"/>
      <c r="AR583" s="424">
        <f t="shared" si="217"/>
        <v>0</v>
      </c>
      <c r="AS583" s="422">
        <f t="shared" si="218"/>
        <v>0</v>
      </c>
      <c r="AT583" s="425">
        <f t="shared" si="219"/>
        <v>0</v>
      </c>
      <c r="AU583" s="423">
        <f t="shared" si="220"/>
        <v>0</v>
      </c>
      <c r="AV583" s="419">
        <v>0</v>
      </c>
      <c r="AW583" s="421">
        <v>0</v>
      </c>
      <c r="AX583" s="419"/>
      <c r="AY583" s="419"/>
      <c r="AZ583" s="421"/>
      <c r="BA583" s="421"/>
      <c r="BB583" s="419"/>
      <c r="BC583" s="419"/>
      <c r="BD583" s="421"/>
      <c r="BE583" s="421"/>
      <c r="BF583" s="419"/>
      <c r="BG583" s="419"/>
      <c r="BH583" s="421"/>
      <c r="BI583" s="421"/>
      <c r="BJ583" s="419"/>
      <c r="BK583" s="419"/>
      <c r="BL583" s="421"/>
      <c r="BM583" s="421"/>
      <c r="BN583" s="419"/>
      <c r="BO583" s="419"/>
      <c r="BP583" s="421"/>
      <c r="BQ583" s="421"/>
      <c r="BR583" s="419"/>
      <c r="BS583" s="419"/>
      <c r="BT583" s="421"/>
      <c r="BU583" s="421"/>
      <c r="BV583" s="419"/>
      <c r="BW583" s="419"/>
      <c r="BX583" s="421"/>
      <c r="BY583" s="421"/>
      <c r="BZ583" s="419"/>
      <c r="CA583" s="419"/>
      <c r="CB583" s="421"/>
      <c r="CC583" s="421"/>
      <c r="CD583" s="419"/>
      <c r="CE583" s="419"/>
      <c r="CF583" s="421"/>
      <c r="CG583" s="421"/>
      <c r="CH583" s="419"/>
      <c r="CI583" s="419"/>
      <c r="CJ583" s="421"/>
      <c r="CK583" s="421"/>
      <c r="CL583" s="419"/>
      <c r="CM583" s="421"/>
      <c r="CN583" s="424">
        <f t="shared" si="221"/>
        <v>0</v>
      </c>
      <c r="CO583" s="424">
        <f t="shared" si="222"/>
        <v>0</v>
      </c>
      <c r="CP583" s="425">
        <f t="shared" si="223"/>
        <v>0</v>
      </c>
      <c r="CQ583" s="425">
        <f t="shared" si="224"/>
        <v>0</v>
      </c>
      <c r="CR583" s="419"/>
      <c r="CS583" s="419"/>
      <c r="CT583" s="421"/>
      <c r="CU583" s="421"/>
      <c r="CV583" s="419"/>
      <c r="CW583" s="419"/>
      <c r="CX583" s="421"/>
      <c r="CY583" s="421"/>
      <c r="CZ583" s="419"/>
      <c r="DA583" s="419"/>
      <c r="DB583" s="421"/>
      <c r="DC583" s="421"/>
      <c r="DD583" s="419"/>
      <c r="DE583" s="419"/>
      <c r="DF583" s="421"/>
      <c r="DG583" s="421"/>
      <c r="DH583" s="419"/>
      <c r="DI583" s="419"/>
      <c r="DJ583" s="421"/>
      <c r="DK583" s="421"/>
      <c r="DL583" s="419"/>
      <c r="DM583" s="419"/>
      <c r="DN583" s="421"/>
      <c r="DO583" s="421"/>
      <c r="DP583" s="419"/>
      <c r="DQ583" s="419"/>
      <c r="DR583" s="421"/>
      <c r="DS583" s="421"/>
      <c r="DT583" s="419"/>
      <c r="DU583" s="419"/>
      <c r="DV583" s="421"/>
      <c r="DW583" s="421"/>
      <c r="DX583" s="419"/>
      <c r="DY583" s="419"/>
      <c r="DZ583" s="421"/>
      <c r="EA583" s="421"/>
      <c r="EB583" s="419"/>
      <c r="EC583" s="419"/>
      <c r="ED583" s="421"/>
      <c r="EE583" s="421"/>
      <c r="EF583" s="419"/>
      <c r="EG583" s="421"/>
      <c r="EH583" s="424">
        <f t="shared" si="225"/>
        <v>0</v>
      </c>
      <c r="EI583" s="424">
        <f t="shared" si="226"/>
        <v>0</v>
      </c>
      <c r="EJ583" s="422">
        <f t="shared" si="227"/>
        <v>0</v>
      </c>
      <c r="EK583" s="425">
        <f t="shared" si="228"/>
        <v>0</v>
      </c>
      <c r="EL583" s="425">
        <f t="shared" si="229"/>
        <v>0</v>
      </c>
      <c r="EM583" s="423">
        <f t="shared" si="230"/>
        <v>0</v>
      </c>
      <c r="EN583" s="424">
        <f t="shared" si="231"/>
        <v>0</v>
      </c>
      <c r="EO583" s="425">
        <f t="shared" si="232"/>
        <v>0</v>
      </c>
      <c r="EP583" s="419"/>
      <c r="EQ583" s="421"/>
      <c r="ER583" s="419"/>
      <c r="ES583" s="421"/>
      <c r="ET583" s="419"/>
      <c r="EU583" s="421"/>
      <c r="EV583" s="419"/>
      <c r="EW583" s="421"/>
      <c r="EX583" s="419"/>
      <c r="EY583" s="421"/>
      <c r="EZ583" s="419"/>
      <c r="FA583" s="421"/>
      <c r="FB583" s="419"/>
      <c r="FC583" s="421"/>
      <c r="FD583" s="419"/>
      <c r="FE583" s="421"/>
      <c r="FF583" s="419"/>
      <c r="FG583" s="421"/>
      <c r="FH583" s="419"/>
      <c r="FI583" s="421"/>
      <c r="FJ583" s="424">
        <f t="shared" si="233"/>
        <v>0</v>
      </c>
      <c r="FK583" s="425">
        <f t="shared" si="234"/>
        <v>0</v>
      </c>
      <c r="FL583" s="419"/>
      <c r="FM583" s="421"/>
      <c r="FN583" s="424">
        <f t="shared" si="235"/>
        <v>291</v>
      </c>
      <c r="FO583" s="425">
        <f t="shared" si="236"/>
        <v>282</v>
      </c>
    </row>
    <row r="584" spans="1:171">
      <c r="A584" s="43" t="s">
        <v>167</v>
      </c>
      <c r="B584" s="42" t="s">
        <v>1107</v>
      </c>
      <c r="C584" s="41" t="s">
        <v>1177</v>
      </c>
      <c r="D584" s="40">
        <v>233310</v>
      </c>
      <c r="E584" s="118">
        <v>10</v>
      </c>
      <c r="F584" s="419">
        <v>685</v>
      </c>
      <c r="G584" s="421">
        <v>644</v>
      </c>
      <c r="H584" s="419"/>
      <c r="I584" s="421"/>
      <c r="J584" s="419">
        <v>278</v>
      </c>
      <c r="K584" s="420">
        <v>346</v>
      </c>
      <c r="L584" s="422">
        <f t="shared" si="215"/>
        <v>0</v>
      </c>
      <c r="M584" s="423">
        <f t="shared" si="216"/>
        <v>0</v>
      </c>
      <c r="N584" s="419">
        <v>0</v>
      </c>
      <c r="O584" s="309">
        <f>0</f>
        <v>0</v>
      </c>
      <c r="P584" s="309">
        <f>0</f>
        <v>0</v>
      </c>
      <c r="Q584" s="309">
        <f>0</f>
        <v>0</v>
      </c>
      <c r="R584" s="424">
        <f t="shared" si="213"/>
        <v>0</v>
      </c>
      <c r="S584" s="421">
        <v>0</v>
      </c>
      <c r="T584" s="301">
        <f>0</f>
        <v>0</v>
      </c>
      <c r="U584" s="301">
        <f>0</f>
        <v>0</v>
      </c>
      <c r="V584" s="301">
        <f>0</f>
        <v>0</v>
      </c>
      <c r="W584" s="425">
        <f t="shared" si="214"/>
        <v>0</v>
      </c>
      <c r="X584" s="419"/>
      <c r="Y584" s="419"/>
      <c r="Z584" s="421"/>
      <c r="AA584" s="421"/>
      <c r="AB584" s="419"/>
      <c r="AC584" s="419"/>
      <c r="AD584" s="421"/>
      <c r="AE584" s="421"/>
      <c r="AF584" s="419"/>
      <c r="AG584" s="419"/>
      <c r="AH584" s="421"/>
      <c r="AI584" s="421"/>
      <c r="AJ584" s="419"/>
      <c r="AK584" s="419"/>
      <c r="AL584" s="421"/>
      <c r="AM584" s="421"/>
      <c r="AN584" s="419"/>
      <c r="AO584" s="419"/>
      <c r="AP584" s="421"/>
      <c r="AQ584" s="421"/>
      <c r="AR584" s="424">
        <f t="shared" si="217"/>
        <v>0</v>
      </c>
      <c r="AS584" s="422">
        <f t="shared" si="218"/>
        <v>0</v>
      </c>
      <c r="AT584" s="425">
        <f t="shared" si="219"/>
        <v>0</v>
      </c>
      <c r="AU584" s="423">
        <f t="shared" si="220"/>
        <v>0</v>
      </c>
      <c r="AV584" s="419">
        <v>0</v>
      </c>
      <c r="AW584" s="421">
        <v>0</v>
      </c>
      <c r="AX584" s="419"/>
      <c r="AY584" s="419"/>
      <c r="AZ584" s="421"/>
      <c r="BA584" s="421"/>
      <c r="BB584" s="419"/>
      <c r="BC584" s="419"/>
      <c r="BD584" s="421"/>
      <c r="BE584" s="421"/>
      <c r="BF584" s="419"/>
      <c r="BG584" s="419"/>
      <c r="BH584" s="421"/>
      <c r="BI584" s="421"/>
      <c r="BJ584" s="419"/>
      <c r="BK584" s="419"/>
      <c r="BL584" s="421"/>
      <c r="BM584" s="421"/>
      <c r="BN584" s="419"/>
      <c r="BO584" s="419"/>
      <c r="BP584" s="421"/>
      <c r="BQ584" s="421"/>
      <c r="BR584" s="419"/>
      <c r="BS584" s="419"/>
      <c r="BT584" s="421"/>
      <c r="BU584" s="421"/>
      <c r="BV584" s="419"/>
      <c r="BW584" s="419"/>
      <c r="BX584" s="421"/>
      <c r="BY584" s="421"/>
      <c r="BZ584" s="419"/>
      <c r="CA584" s="419"/>
      <c r="CB584" s="421"/>
      <c r="CC584" s="421"/>
      <c r="CD584" s="419"/>
      <c r="CE584" s="419"/>
      <c r="CF584" s="421"/>
      <c r="CG584" s="421"/>
      <c r="CH584" s="419"/>
      <c r="CI584" s="419"/>
      <c r="CJ584" s="421"/>
      <c r="CK584" s="421"/>
      <c r="CL584" s="419"/>
      <c r="CM584" s="421"/>
      <c r="CN584" s="424">
        <f t="shared" si="221"/>
        <v>0</v>
      </c>
      <c r="CO584" s="424">
        <f t="shared" si="222"/>
        <v>0</v>
      </c>
      <c r="CP584" s="425">
        <f t="shared" si="223"/>
        <v>0</v>
      </c>
      <c r="CQ584" s="425">
        <f t="shared" si="224"/>
        <v>0</v>
      </c>
      <c r="CR584" s="419"/>
      <c r="CS584" s="419"/>
      <c r="CT584" s="421"/>
      <c r="CU584" s="421"/>
      <c r="CV584" s="419"/>
      <c r="CW584" s="419"/>
      <c r="CX584" s="421"/>
      <c r="CY584" s="421"/>
      <c r="CZ584" s="419"/>
      <c r="DA584" s="419"/>
      <c r="DB584" s="421"/>
      <c r="DC584" s="421"/>
      <c r="DD584" s="419"/>
      <c r="DE584" s="419"/>
      <c r="DF584" s="421"/>
      <c r="DG584" s="421"/>
      <c r="DH584" s="419"/>
      <c r="DI584" s="419"/>
      <c r="DJ584" s="421"/>
      <c r="DK584" s="421"/>
      <c r="DL584" s="419"/>
      <c r="DM584" s="419"/>
      <c r="DN584" s="421"/>
      <c r="DO584" s="421"/>
      <c r="DP584" s="419"/>
      <c r="DQ584" s="419"/>
      <c r="DR584" s="421"/>
      <c r="DS584" s="421"/>
      <c r="DT584" s="419"/>
      <c r="DU584" s="419"/>
      <c r="DV584" s="421"/>
      <c r="DW584" s="421"/>
      <c r="DX584" s="419"/>
      <c r="DY584" s="419"/>
      <c r="DZ584" s="421"/>
      <c r="EA584" s="421"/>
      <c r="EB584" s="419"/>
      <c r="EC584" s="419"/>
      <c r="ED584" s="421"/>
      <c r="EE584" s="421"/>
      <c r="EF584" s="419"/>
      <c r="EG584" s="421"/>
      <c r="EH584" s="424">
        <f t="shared" si="225"/>
        <v>0</v>
      </c>
      <c r="EI584" s="424">
        <f t="shared" si="226"/>
        <v>0</v>
      </c>
      <c r="EJ584" s="422">
        <f t="shared" si="227"/>
        <v>0</v>
      </c>
      <c r="EK584" s="425">
        <f t="shared" si="228"/>
        <v>0</v>
      </c>
      <c r="EL584" s="425">
        <f t="shared" si="229"/>
        <v>0</v>
      </c>
      <c r="EM584" s="423">
        <f t="shared" si="230"/>
        <v>0</v>
      </c>
      <c r="EN584" s="424">
        <f t="shared" si="231"/>
        <v>0</v>
      </c>
      <c r="EO584" s="425">
        <f t="shared" si="232"/>
        <v>0</v>
      </c>
      <c r="EP584" s="419"/>
      <c r="EQ584" s="421"/>
      <c r="ER584" s="419"/>
      <c r="ES584" s="421"/>
      <c r="ET584" s="419"/>
      <c r="EU584" s="421"/>
      <c r="EV584" s="419"/>
      <c r="EW584" s="421"/>
      <c r="EX584" s="419"/>
      <c r="EY584" s="421"/>
      <c r="EZ584" s="419"/>
      <c r="FA584" s="421"/>
      <c r="FB584" s="419"/>
      <c r="FC584" s="421"/>
      <c r="FD584" s="419"/>
      <c r="FE584" s="421"/>
      <c r="FF584" s="419"/>
      <c r="FG584" s="421"/>
      <c r="FH584" s="419"/>
      <c r="FI584" s="421"/>
      <c r="FJ584" s="424">
        <f t="shared" si="233"/>
        <v>0</v>
      </c>
      <c r="FK584" s="425">
        <f t="shared" si="234"/>
        <v>0</v>
      </c>
      <c r="FL584" s="419"/>
      <c r="FM584" s="421"/>
      <c r="FN584" s="424">
        <f t="shared" si="235"/>
        <v>963</v>
      </c>
      <c r="FO584" s="425">
        <f t="shared" si="236"/>
        <v>990</v>
      </c>
    </row>
    <row r="585" spans="1:171">
      <c r="A585" s="43" t="s">
        <v>167</v>
      </c>
      <c r="B585" s="42" t="s">
        <v>1108</v>
      </c>
      <c r="C585" s="41" t="s">
        <v>1177</v>
      </c>
      <c r="D585" s="40">
        <v>233338</v>
      </c>
      <c r="E585" s="118">
        <v>10</v>
      </c>
      <c r="F585" s="419">
        <v>21</v>
      </c>
      <c r="G585" s="420">
        <v>6</v>
      </c>
      <c r="H585" s="419"/>
      <c r="I585" s="421"/>
      <c r="J585" s="419">
        <v>228</v>
      </c>
      <c r="K585" s="421">
        <v>214</v>
      </c>
      <c r="L585" s="422">
        <f t="shared" si="215"/>
        <v>0</v>
      </c>
      <c r="M585" s="423">
        <f t="shared" si="216"/>
        <v>0</v>
      </c>
      <c r="N585" s="419">
        <v>0</v>
      </c>
      <c r="O585" s="309">
        <f>0</f>
        <v>0</v>
      </c>
      <c r="P585" s="309">
        <f>0</f>
        <v>0</v>
      </c>
      <c r="Q585" s="309">
        <f>0</f>
        <v>0</v>
      </c>
      <c r="R585" s="424">
        <f t="shared" si="213"/>
        <v>0</v>
      </c>
      <c r="S585" s="421">
        <v>0</v>
      </c>
      <c r="T585" s="301">
        <f>0</f>
        <v>0</v>
      </c>
      <c r="U585" s="301">
        <f>0</f>
        <v>0</v>
      </c>
      <c r="V585" s="301">
        <f>0</f>
        <v>0</v>
      </c>
      <c r="W585" s="425">
        <f t="shared" si="214"/>
        <v>0</v>
      </c>
      <c r="X585" s="419"/>
      <c r="Y585" s="419"/>
      <c r="Z585" s="421"/>
      <c r="AA585" s="421"/>
      <c r="AB585" s="419"/>
      <c r="AC585" s="419"/>
      <c r="AD585" s="421"/>
      <c r="AE585" s="421"/>
      <c r="AF585" s="419"/>
      <c r="AG585" s="419"/>
      <c r="AH585" s="421"/>
      <c r="AI585" s="421"/>
      <c r="AJ585" s="419"/>
      <c r="AK585" s="419"/>
      <c r="AL585" s="421"/>
      <c r="AM585" s="421"/>
      <c r="AN585" s="419"/>
      <c r="AO585" s="419"/>
      <c r="AP585" s="421"/>
      <c r="AQ585" s="421"/>
      <c r="AR585" s="424">
        <f t="shared" si="217"/>
        <v>0</v>
      </c>
      <c r="AS585" s="422">
        <f t="shared" si="218"/>
        <v>0</v>
      </c>
      <c r="AT585" s="425">
        <f t="shared" si="219"/>
        <v>0</v>
      </c>
      <c r="AU585" s="423">
        <f t="shared" si="220"/>
        <v>0</v>
      </c>
      <c r="AV585" s="419">
        <v>0</v>
      </c>
      <c r="AW585" s="421">
        <v>0</v>
      </c>
      <c r="AX585" s="419"/>
      <c r="AY585" s="419"/>
      <c r="AZ585" s="421"/>
      <c r="BA585" s="421"/>
      <c r="BB585" s="419"/>
      <c r="BC585" s="419"/>
      <c r="BD585" s="421"/>
      <c r="BE585" s="421"/>
      <c r="BF585" s="419"/>
      <c r="BG585" s="419"/>
      <c r="BH585" s="421"/>
      <c r="BI585" s="421"/>
      <c r="BJ585" s="419"/>
      <c r="BK585" s="419"/>
      <c r="BL585" s="421"/>
      <c r="BM585" s="421"/>
      <c r="BN585" s="419"/>
      <c r="BO585" s="419"/>
      <c r="BP585" s="421"/>
      <c r="BQ585" s="421"/>
      <c r="BR585" s="419"/>
      <c r="BS585" s="419"/>
      <c r="BT585" s="421"/>
      <c r="BU585" s="421"/>
      <c r="BV585" s="419"/>
      <c r="BW585" s="419"/>
      <c r="BX585" s="421"/>
      <c r="BY585" s="421"/>
      <c r="BZ585" s="419"/>
      <c r="CA585" s="419"/>
      <c r="CB585" s="421"/>
      <c r="CC585" s="421"/>
      <c r="CD585" s="419"/>
      <c r="CE585" s="419"/>
      <c r="CF585" s="421"/>
      <c r="CG585" s="421"/>
      <c r="CH585" s="419"/>
      <c r="CI585" s="419"/>
      <c r="CJ585" s="421"/>
      <c r="CK585" s="421"/>
      <c r="CL585" s="419"/>
      <c r="CM585" s="421"/>
      <c r="CN585" s="424">
        <f t="shared" si="221"/>
        <v>0</v>
      </c>
      <c r="CO585" s="424">
        <f t="shared" si="222"/>
        <v>0</v>
      </c>
      <c r="CP585" s="425">
        <f t="shared" si="223"/>
        <v>0</v>
      </c>
      <c r="CQ585" s="425">
        <f t="shared" si="224"/>
        <v>0</v>
      </c>
      <c r="CR585" s="419"/>
      <c r="CS585" s="419"/>
      <c r="CT585" s="421"/>
      <c r="CU585" s="421"/>
      <c r="CV585" s="419"/>
      <c r="CW585" s="419"/>
      <c r="CX585" s="421"/>
      <c r="CY585" s="421"/>
      <c r="CZ585" s="419"/>
      <c r="DA585" s="419"/>
      <c r="DB585" s="421"/>
      <c r="DC585" s="421"/>
      <c r="DD585" s="419"/>
      <c r="DE585" s="419"/>
      <c r="DF585" s="421"/>
      <c r="DG585" s="421"/>
      <c r="DH585" s="419"/>
      <c r="DI585" s="419"/>
      <c r="DJ585" s="421"/>
      <c r="DK585" s="421"/>
      <c r="DL585" s="419"/>
      <c r="DM585" s="419"/>
      <c r="DN585" s="421"/>
      <c r="DO585" s="421"/>
      <c r="DP585" s="419"/>
      <c r="DQ585" s="419"/>
      <c r="DR585" s="421"/>
      <c r="DS585" s="421"/>
      <c r="DT585" s="419"/>
      <c r="DU585" s="419"/>
      <c r="DV585" s="421"/>
      <c r="DW585" s="421"/>
      <c r="DX585" s="419"/>
      <c r="DY585" s="419"/>
      <c r="DZ585" s="421"/>
      <c r="EA585" s="421"/>
      <c r="EB585" s="419"/>
      <c r="EC585" s="419"/>
      <c r="ED585" s="421"/>
      <c r="EE585" s="421"/>
      <c r="EF585" s="419"/>
      <c r="EG585" s="421"/>
      <c r="EH585" s="424">
        <f t="shared" si="225"/>
        <v>0</v>
      </c>
      <c r="EI585" s="424">
        <f t="shared" si="226"/>
        <v>0</v>
      </c>
      <c r="EJ585" s="422">
        <f t="shared" si="227"/>
        <v>0</v>
      </c>
      <c r="EK585" s="425">
        <f t="shared" si="228"/>
        <v>0</v>
      </c>
      <c r="EL585" s="425">
        <f t="shared" si="229"/>
        <v>0</v>
      </c>
      <c r="EM585" s="423">
        <f t="shared" si="230"/>
        <v>0</v>
      </c>
      <c r="EN585" s="424">
        <f t="shared" si="231"/>
        <v>0</v>
      </c>
      <c r="EO585" s="425">
        <f t="shared" si="232"/>
        <v>0</v>
      </c>
      <c r="EP585" s="419"/>
      <c r="EQ585" s="421"/>
      <c r="ER585" s="419"/>
      <c r="ES585" s="421"/>
      <c r="ET585" s="419"/>
      <c r="EU585" s="421"/>
      <c r="EV585" s="419"/>
      <c r="EW585" s="421"/>
      <c r="EX585" s="419"/>
      <c r="EY585" s="421"/>
      <c r="EZ585" s="419"/>
      <c r="FA585" s="421"/>
      <c r="FB585" s="419"/>
      <c r="FC585" s="421"/>
      <c r="FD585" s="419"/>
      <c r="FE585" s="421"/>
      <c r="FF585" s="419"/>
      <c r="FG585" s="421"/>
      <c r="FH585" s="419"/>
      <c r="FI585" s="421"/>
      <c r="FJ585" s="424">
        <f t="shared" si="233"/>
        <v>0</v>
      </c>
      <c r="FK585" s="425">
        <f t="shared" si="234"/>
        <v>0</v>
      </c>
      <c r="FL585" s="419"/>
      <c r="FM585" s="421"/>
      <c r="FN585" s="424">
        <f t="shared" si="235"/>
        <v>249</v>
      </c>
      <c r="FO585" s="425">
        <f t="shared" si="236"/>
        <v>220</v>
      </c>
    </row>
    <row r="586" spans="1:171">
      <c r="A586" s="43" t="s">
        <v>167</v>
      </c>
      <c r="B586" s="42" t="s">
        <v>1109</v>
      </c>
      <c r="C586" s="38" t="s">
        <v>1177</v>
      </c>
      <c r="D586" s="40">
        <v>233648</v>
      </c>
      <c r="E586" s="118">
        <v>10</v>
      </c>
      <c r="F586" s="419">
        <v>213</v>
      </c>
      <c r="G586" s="420">
        <v>259</v>
      </c>
      <c r="H586" s="419"/>
      <c r="I586" s="421"/>
      <c r="J586" s="419">
        <v>260</v>
      </c>
      <c r="K586" s="421">
        <v>244</v>
      </c>
      <c r="L586" s="422">
        <f t="shared" si="215"/>
        <v>0</v>
      </c>
      <c r="M586" s="423">
        <f t="shared" si="216"/>
        <v>0</v>
      </c>
      <c r="N586" s="419">
        <v>0</v>
      </c>
      <c r="O586" s="309">
        <f>0</f>
        <v>0</v>
      </c>
      <c r="P586" s="309">
        <f>0</f>
        <v>0</v>
      </c>
      <c r="Q586" s="309">
        <f>0</f>
        <v>0</v>
      </c>
      <c r="R586" s="424">
        <f t="shared" ref="R586:R636" si="237">SUM(O586:Q586)</f>
        <v>0</v>
      </c>
      <c r="S586" s="421">
        <v>0</v>
      </c>
      <c r="T586" s="301">
        <f>0</f>
        <v>0</v>
      </c>
      <c r="U586" s="301">
        <f>0</f>
        <v>0</v>
      </c>
      <c r="V586" s="301">
        <f>0</f>
        <v>0</v>
      </c>
      <c r="W586" s="425">
        <f t="shared" ref="W586:W636" si="238">SUM(T586:V586)</f>
        <v>0</v>
      </c>
      <c r="X586" s="419"/>
      <c r="Y586" s="419"/>
      <c r="Z586" s="421"/>
      <c r="AA586" s="421"/>
      <c r="AB586" s="419"/>
      <c r="AC586" s="419"/>
      <c r="AD586" s="421"/>
      <c r="AE586" s="421"/>
      <c r="AF586" s="419"/>
      <c r="AG586" s="419"/>
      <c r="AH586" s="421"/>
      <c r="AI586" s="421"/>
      <c r="AJ586" s="419"/>
      <c r="AK586" s="419"/>
      <c r="AL586" s="421"/>
      <c r="AM586" s="421"/>
      <c r="AN586" s="419"/>
      <c r="AO586" s="419"/>
      <c r="AP586" s="421"/>
      <c r="AQ586" s="421"/>
      <c r="AR586" s="424">
        <f t="shared" si="217"/>
        <v>0</v>
      </c>
      <c r="AS586" s="422">
        <f t="shared" si="218"/>
        <v>0</v>
      </c>
      <c r="AT586" s="425">
        <f t="shared" si="219"/>
        <v>0</v>
      </c>
      <c r="AU586" s="423">
        <f t="shared" si="220"/>
        <v>0</v>
      </c>
      <c r="AV586" s="419">
        <v>0</v>
      </c>
      <c r="AW586" s="421">
        <v>0</v>
      </c>
      <c r="AX586" s="419"/>
      <c r="AY586" s="419"/>
      <c r="AZ586" s="421"/>
      <c r="BA586" s="421"/>
      <c r="BB586" s="419"/>
      <c r="BC586" s="419"/>
      <c r="BD586" s="421"/>
      <c r="BE586" s="421"/>
      <c r="BF586" s="419"/>
      <c r="BG586" s="419"/>
      <c r="BH586" s="421"/>
      <c r="BI586" s="421"/>
      <c r="BJ586" s="419"/>
      <c r="BK586" s="419"/>
      <c r="BL586" s="421"/>
      <c r="BM586" s="421"/>
      <c r="BN586" s="419"/>
      <c r="BO586" s="419"/>
      <c r="BP586" s="421"/>
      <c r="BQ586" s="421"/>
      <c r="BR586" s="419"/>
      <c r="BS586" s="419"/>
      <c r="BT586" s="421"/>
      <c r="BU586" s="421"/>
      <c r="BV586" s="419"/>
      <c r="BW586" s="419"/>
      <c r="BX586" s="421"/>
      <c r="BY586" s="421"/>
      <c r="BZ586" s="419"/>
      <c r="CA586" s="419"/>
      <c r="CB586" s="421"/>
      <c r="CC586" s="421"/>
      <c r="CD586" s="419"/>
      <c r="CE586" s="419"/>
      <c r="CF586" s="421"/>
      <c r="CG586" s="421"/>
      <c r="CH586" s="419"/>
      <c r="CI586" s="419"/>
      <c r="CJ586" s="421"/>
      <c r="CK586" s="421"/>
      <c r="CL586" s="419"/>
      <c r="CM586" s="421"/>
      <c r="CN586" s="424">
        <f t="shared" si="221"/>
        <v>0</v>
      </c>
      <c r="CO586" s="424">
        <f t="shared" si="222"/>
        <v>0</v>
      </c>
      <c r="CP586" s="425">
        <f t="shared" si="223"/>
        <v>0</v>
      </c>
      <c r="CQ586" s="425">
        <f t="shared" si="224"/>
        <v>0</v>
      </c>
      <c r="CR586" s="419"/>
      <c r="CS586" s="419"/>
      <c r="CT586" s="421"/>
      <c r="CU586" s="421"/>
      <c r="CV586" s="419"/>
      <c r="CW586" s="419"/>
      <c r="CX586" s="421"/>
      <c r="CY586" s="421"/>
      <c r="CZ586" s="419"/>
      <c r="DA586" s="419"/>
      <c r="DB586" s="421"/>
      <c r="DC586" s="421"/>
      <c r="DD586" s="419"/>
      <c r="DE586" s="419"/>
      <c r="DF586" s="421"/>
      <c r="DG586" s="421"/>
      <c r="DH586" s="419"/>
      <c r="DI586" s="419"/>
      <c r="DJ586" s="421"/>
      <c r="DK586" s="421"/>
      <c r="DL586" s="419"/>
      <c r="DM586" s="419"/>
      <c r="DN586" s="421"/>
      <c r="DO586" s="421"/>
      <c r="DP586" s="419"/>
      <c r="DQ586" s="419"/>
      <c r="DR586" s="421"/>
      <c r="DS586" s="421"/>
      <c r="DT586" s="419"/>
      <c r="DU586" s="419"/>
      <c r="DV586" s="421"/>
      <c r="DW586" s="421"/>
      <c r="DX586" s="419"/>
      <c r="DY586" s="419"/>
      <c r="DZ586" s="421"/>
      <c r="EA586" s="421"/>
      <c r="EB586" s="419"/>
      <c r="EC586" s="419"/>
      <c r="ED586" s="421"/>
      <c r="EE586" s="421"/>
      <c r="EF586" s="419"/>
      <c r="EG586" s="421"/>
      <c r="EH586" s="424">
        <f t="shared" si="225"/>
        <v>0</v>
      </c>
      <c r="EI586" s="424">
        <f t="shared" si="226"/>
        <v>0</v>
      </c>
      <c r="EJ586" s="422">
        <f t="shared" si="227"/>
        <v>0</v>
      </c>
      <c r="EK586" s="425">
        <f t="shared" si="228"/>
        <v>0</v>
      </c>
      <c r="EL586" s="425">
        <f t="shared" si="229"/>
        <v>0</v>
      </c>
      <c r="EM586" s="423">
        <f t="shared" si="230"/>
        <v>0</v>
      </c>
      <c r="EN586" s="424">
        <f t="shared" si="231"/>
        <v>0</v>
      </c>
      <c r="EO586" s="425">
        <f t="shared" si="232"/>
        <v>0</v>
      </c>
      <c r="EP586" s="419"/>
      <c r="EQ586" s="421"/>
      <c r="ER586" s="419"/>
      <c r="ES586" s="421"/>
      <c r="ET586" s="419"/>
      <c r="EU586" s="421"/>
      <c r="EV586" s="419"/>
      <c r="EW586" s="421"/>
      <c r="EX586" s="419"/>
      <c r="EY586" s="421"/>
      <c r="EZ586" s="419"/>
      <c r="FA586" s="421"/>
      <c r="FB586" s="419"/>
      <c r="FC586" s="421"/>
      <c r="FD586" s="419"/>
      <c r="FE586" s="421"/>
      <c r="FF586" s="419"/>
      <c r="FG586" s="421"/>
      <c r="FH586" s="419"/>
      <c r="FI586" s="421"/>
      <c r="FJ586" s="424">
        <f t="shared" si="233"/>
        <v>0</v>
      </c>
      <c r="FK586" s="425">
        <f t="shared" si="234"/>
        <v>0</v>
      </c>
      <c r="FL586" s="419"/>
      <c r="FM586" s="421"/>
      <c r="FN586" s="424">
        <f t="shared" si="235"/>
        <v>473</v>
      </c>
      <c r="FO586" s="425">
        <f t="shared" si="236"/>
        <v>503</v>
      </c>
    </row>
    <row r="587" spans="1:171">
      <c r="A587" s="43" t="s">
        <v>167</v>
      </c>
      <c r="B587" s="42" t="s">
        <v>1110</v>
      </c>
      <c r="C587" s="41" t="s">
        <v>1177</v>
      </c>
      <c r="D587" s="40">
        <v>233903</v>
      </c>
      <c r="E587" s="118">
        <v>10</v>
      </c>
      <c r="F587" s="419">
        <v>305</v>
      </c>
      <c r="G587" s="421">
        <v>351</v>
      </c>
      <c r="H587" s="419"/>
      <c r="I587" s="421"/>
      <c r="J587" s="419">
        <v>258</v>
      </c>
      <c r="K587" s="421">
        <v>249</v>
      </c>
      <c r="L587" s="422">
        <f t="shared" ref="L587:L636" si="239">IF(N587&gt;0,J587/N587, )</f>
        <v>0</v>
      </c>
      <c r="M587" s="423">
        <f t="shared" ref="M587:M636" si="240">IF(S587&gt;0,K587/S587, )</f>
        <v>0</v>
      </c>
      <c r="N587" s="419">
        <v>0</v>
      </c>
      <c r="O587" s="309">
        <f>0</f>
        <v>0</v>
      </c>
      <c r="P587" s="309">
        <f>0</f>
        <v>0</v>
      </c>
      <c r="Q587" s="309">
        <f>0</f>
        <v>0</v>
      </c>
      <c r="R587" s="424">
        <f t="shared" si="237"/>
        <v>0</v>
      </c>
      <c r="S587" s="421">
        <v>0</v>
      </c>
      <c r="T587" s="301">
        <f>0</f>
        <v>0</v>
      </c>
      <c r="U587" s="301">
        <f>0</f>
        <v>0</v>
      </c>
      <c r="V587" s="301">
        <f>0</f>
        <v>0</v>
      </c>
      <c r="W587" s="425">
        <f t="shared" si="238"/>
        <v>0</v>
      </c>
      <c r="X587" s="419"/>
      <c r="Y587" s="419"/>
      <c r="Z587" s="421"/>
      <c r="AA587" s="421"/>
      <c r="AB587" s="419"/>
      <c r="AC587" s="419"/>
      <c r="AD587" s="421"/>
      <c r="AE587" s="421"/>
      <c r="AF587" s="419"/>
      <c r="AG587" s="419"/>
      <c r="AH587" s="421"/>
      <c r="AI587" s="421"/>
      <c r="AJ587" s="419"/>
      <c r="AK587" s="419"/>
      <c r="AL587" s="421"/>
      <c r="AM587" s="421"/>
      <c r="AN587" s="419"/>
      <c r="AO587" s="419"/>
      <c r="AP587" s="421"/>
      <c r="AQ587" s="421"/>
      <c r="AR587" s="424">
        <f t="shared" ref="AR587:AR636" si="241">COUNTA(X587,AB587,AF587,AJ587,AN587)</f>
        <v>0</v>
      </c>
      <c r="AS587" s="422">
        <f t="shared" ref="AS587:AS636" si="242">IF(FN587&gt;0,N587/FN587,)</f>
        <v>0</v>
      </c>
      <c r="AT587" s="425">
        <f t="shared" ref="AT587:AT636" si="243">COUNTA(Z587,AD587,AH587,AL587,AP587)</f>
        <v>0</v>
      </c>
      <c r="AU587" s="423">
        <f t="shared" ref="AU587:AU636" si="244">IF(FO587&gt;0,S587/FO587,)</f>
        <v>0</v>
      </c>
      <c r="AV587" s="419">
        <v>0</v>
      </c>
      <c r="AW587" s="421">
        <v>0</v>
      </c>
      <c r="AX587" s="419"/>
      <c r="AY587" s="419"/>
      <c r="AZ587" s="421"/>
      <c r="BA587" s="421"/>
      <c r="BB587" s="419"/>
      <c r="BC587" s="419"/>
      <c r="BD587" s="421"/>
      <c r="BE587" s="421"/>
      <c r="BF587" s="419"/>
      <c r="BG587" s="419"/>
      <c r="BH587" s="421"/>
      <c r="BI587" s="421"/>
      <c r="BJ587" s="419"/>
      <c r="BK587" s="419"/>
      <c r="BL587" s="421"/>
      <c r="BM587" s="421"/>
      <c r="BN587" s="419"/>
      <c r="BO587" s="419"/>
      <c r="BP587" s="421"/>
      <c r="BQ587" s="421"/>
      <c r="BR587" s="419"/>
      <c r="BS587" s="419"/>
      <c r="BT587" s="421"/>
      <c r="BU587" s="421"/>
      <c r="BV587" s="419"/>
      <c r="BW587" s="419"/>
      <c r="BX587" s="421"/>
      <c r="BY587" s="421"/>
      <c r="BZ587" s="419"/>
      <c r="CA587" s="419"/>
      <c r="CB587" s="421"/>
      <c r="CC587" s="421"/>
      <c r="CD587" s="419"/>
      <c r="CE587" s="419"/>
      <c r="CF587" s="421"/>
      <c r="CG587" s="421"/>
      <c r="CH587" s="419"/>
      <c r="CI587" s="419"/>
      <c r="CJ587" s="421"/>
      <c r="CK587" s="421"/>
      <c r="CL587" s="419"/>
      <c r="CM587" s="421"/>
      <c r="CN587" s="424">
        <f t="shared" ref="CN587:CN636" si="245">AY587+BC587+BG587+BK587+BO587+BS587+BW587+CA587+CE587+CI587+CL587</f>
        <v>0</v>
      </c>
      <c r="CO587" s="424">
        <f t="shared" ref="CO587:CO636" si="246">COUNTA(AX587,BB587,BF587,BJ587,BN587,BR587,BV587,BZ587,CD587,CH587)</f>
        <v>0</v>
      </c>
      <c r="CP587" s="425">
        <f t="shared" ref="CP587:CP636" si="247">BA587+BE587+BI587+BM587+BQ587+BU587+BY587+CC587+CG587+CK587+CM587</f>
        <v>0</v>
      </c>
      <c r="CQ587" s="425">
        <f t="shared" ref="CQ587:CQ636" si="248">COUNTA(AZ587,BD587,BH587,BL587,BP587,BT587,BX587,CB587,CF587,CJ587)</f>
        <v>0</v>
      </c>
      <c r="CR587" s="419"/>
      <c r="CS587" s="419"/>
      <c r="CT587" s="421"/>
      <c r="CU587" s="421"/>
      <c r="CV587" s="419"/>
      <c r="CW587" s="419"/>
      <c r="CX587" s="421"/>
      <c r="CY587" s="421"/>
      <c r="CZ587" s="419"/>
      <c r="DA587" s="419"/>
      <c r="DB587" s="421"/>
      <c r="DC587" s="421"/>
      <c r="DD587" s="419"/>
      <c r="DE587" s="419"/>
      <c r="DF587" s="421"/>
      <c r="DG587" s="421"/>
      <c r="DH587" s="419"/>
      <c r="DI587" s="419"/>
      <c r="DJ587" s="421"/>
      <c r="DK587" s="421"/>
      <c r="DL587" s="419"/>
      <c r="DM587" s="419"/>
      <c r="DN587" s="421"/>
      <c r="DO587" s="421"/>
      <c r="DP587" s="419"/>
      <c r="DQ587" s="419"/>
      <c r="DR587" s="421"/>
      <c r="DS587" s="421"/>
      <c r="DT587" s="419"/>
      <c r="DU587" s="419"/>
      <c r="DV587" s="421"/>
      <c r="DW587" s="421"/>
      <c r="DX587" s="419"/>
      <c r="DY587" s="419"/>
      <c r="DZ587" s="421"/>
      <c r="EA587" s="421"/>
      <c r="EB587" s="419"/>
      <c r="EC587" s="419"/>
      <c r="ED587" s="421"/>
      <c r="EE587" s="421"/>
      <c r="EF587" s="419"/>
      <c r="EG587" s="421"/>
      <c r="EH587" s="424">
        <f t="shared" ref="EH587:EH636" si="249">CS587+CW587+DA587+DE587+DI587+DM587+DQ587+DU587+DY587+EC587+EF587</f>
        <v>0</v>
      </c>
      <c r="EI587" s="424">
        <f t="shared" ref="EI587:EI636" si="250">COUNTA(CR587,CV587,CZ587,DD587,DH587,DL587,DP587,DT587,DX587,EB587)</f>
        <v>0</v>
      </c>
      <c r="EJ587" s="422">
        <f t="shared" ref="EJ587:EJ636" si="251">IF(EH587&gt;0,CS587/EH587,)</f>
        <v>0</v>
      </c>
      <c r="EK587" s="425">
        <f t="shared" ref="EK587:EK636" si="252">CU587+CY587+DC587+DG587+DK587+DO587+DS587+DW587+EA587+EE587+EG587</f>
        <v>0</v>
      </c>
      <c r="EL587" s="425">
        <f t="shared" ref="EL587:EL636" si="253">COUNTA(CT587,CX587,DB587,DF587,DJ587,DN587,DR587,DV587,DZ587,ED587)</f>
        <v>0</v>
      </c>
      <c r="EM587" s="423">
        <f t="shared" ref="EM587:EM636" si="254">IF(EK587&gt;0,CU587/EK587,)</f>
        <v>0</v>
      </c>
      <c r="EN587" s="424">
        <f t="shared" ref="EN587:EN636" si="255">CN587+EH587</f>
        <v>0</v>
      </c>
      <c r="EO587" s="425">
        <f t="shared" ref="EO587:EO636" si="256">CP587+EK587</f>
        <v>0</v>
      </c>
      <c r="EP587" s="419"/>
      <c r="EQ587" s="421"/>
      <c r="ER587" s="419"/>
      <c r="ES587" s="421"/>
      <c r="ET587" s="419"/>
      <c r="EU587" s="421"/>
      <c r="EV587" s="419"/>
      <c r="EW587" s="421"/>
      <c r="EX587" s="419"/>
      <c r="EY587" s="421"/>
      <c r="EZ587" s="419"/>
      <c r="FA587" s="421"/>
      <c r="FB587" s="419"/>
      <c r="FC587" s="421"/>
      <c r="FD587" s="419"/>
      <c r="FE587" s="421"/>
      <c r="FF587" s="419"/>
      <c r="FG587" s="421"/>
      <c r="FH587" s="419"/>
      <c r="FI587" s="421"/>
      <c r="FJ587" s="424">
        <f t="shared" ref="FJ587:FJ636" si="257">EP587+ER587+ET587+EV587+EX587+EZ587+FB587+FD587+FF587+FH587</f>
        <v>0</v>
      </c>
      <c r="FK587" s="425">
        <f t="shared" ref="FK587:FK636" si="258">EQ587+ES587+EU587+EW587+EY587+FA587+FC587+FE587+FG587+FI587</f>
        <v>0</v>
      </c>
      <c r="FL587" s="419"/>
      <c r="FM587" s="421"/>
      <c r="FN587" s="424">
        <f t="shared" ref="FN587:FN636" si="259">F587+H587+J587+N587+AV587+EN587+FJ587+FL587</f>
        <v>563</v>
      </c>
      <c r="FO587" s="425">
        <f t="shared" ref="FO587:FO636" si="260">G587+I587+K587+S587+AW587+EO587+FK587+FM587</f>
        <v>600</v>
      </c>
    </row>
    <row r="588" spans="1:171" s="272" customFormat="1" ht="15" customHeight="1">
      <c r="A588" s="43" t="s">
        <v>167</v>
      </c>
      <c r="B588" s="42" t="s">
        <v>1111</v>
      </c>
      <c r="C588" s="127" t="s">
        <v>1177</v>
      </c>
      <c r="D588" s="40">
        <v>234377</v>
      </c>
      <c r="E588" s="118">
        <v>10</v>
      </c>
      <c r="F588" s="419">
        <v>331</v>
      </c>
      <c r="G588" s="421">
        <v>386</v>
      </c>
      <c r="H588" s="419"/>
      <c r="I588" s="421"/>
      <c r="J588" s="419">
        <v>316</v>
      </c>
      <c r="K588" s="421">
        <v>318</v>
      </c>
      <c r="L588" s="422">
        <f t="shared" si="239"/>
        <v>0</v>
      </c>
      <c r="M588" s="423">
        <f t="shared" si="240"/>
        <v>0</v>
      </c>
      <c r="N588" s="419">
        <v>0</v>
      </c>
      <c r="O588" s="309">
        <f>0</f>
        <v>0</v>
      </c>
      <c r="P588" s="309">
        <f>0</f>
        <v>0</v>
      </c>
      <c r="Q588" s="309">
        <f>0</f>
        <v>0</v>
      </c>
      <c r="R588" s="424">
        <f t="shared" si="237"/>
        <v>0</v>
      </c>
      <c r="S588" s="421">
        <v>0</v>
      </c>
      <c r="T588" s="301">
        <f>0</f>
        <v>0</v>
      </c>
      <c r="U588" s="301">
        <f>0</f>
        <v>0</v>
      </c>
      <c r="V588" s="301">
        <f>0</f>
        <v>0</v>
      </c>
      <c r="W588" s="425">
        <f t="shared" si="238"/>
        <v>0</v>
      </c>
      <c r="X588" s="419"/>
      <c r="Y588" s="419"/>
      <c r="Z588" s="421"/>
      <c r="AA588" s="421"/>
      <c r="AB588" s="419"/>
      <c r="AC588" s="419"/>
      <c r="AD588" s="421"/>
      <c r="AE588" s="421"/>
      <c r="AF588" s="419"/>
      <c r="AG588" s="419"/>
      <c r="AH588" s="421"/>
      <c r="AI588" s="421"/>
      <c r="AJ588" s="419"/>
      <c r="AK588" s="419"/>
      <c r="AL588" s="421"/>
      <c r="AM588" s="421"/>
      <c r="AN588" s="419"/>
      <c r="AO588" s="419"/>
      <c r="AP588" s="421"/>
      <c r="AQ588" s="421"/>
      <c r="AR588" s="424">
        <f t="shared" si="241"/>
        <v>0</v>
      </c>
      <c r="AS588" s="422">
        <f t="shared" si="242"/>
        <v>0</v>
      </c>
      <c r="AT588" s="425">
        <f t="shared" si="243"/>
        <v>0</v>
      </c>
      <c r="AU588" s="423">
        <f t="shared" si="244"/>
        <v>0</v>
      </c>
      <c r="AV588" s="419">
        <v>0</v>
      </c>
      <c r="AW588" s="421">
        <v>0</v>
      </c>
      <c r="AX588" s="419"/>
      <c r="AY588" s="419"/>
      <c r="AZ588" s="421"/>
      <c r="BA588" s="421"/>
      <c r="BB588" s="419"/>
      <c r="BC588" s="419"/>
      <c r="BD588" s="421"/>
      <c r="BE588" s="421"/>
      <c r="BF588" s="419"/>
      <c r="BG588" s="419"/>
      <c r="BH588" s="421"/>
      <c r="BI588" s="421"/>
      <c r="BJ588" s="419"/>
      <c r="BK588" s="419"/>
      <c r="BL588" s="421"/>
      <c r="BM588" s="421"/>
      <c r="BN588" s="419"/>
      <c r="BO588" s="419"/>
      <c r="BP588" s="421"/>
      <c r="BQ588" s="421"/>
      <c r="BR588" s="419"/>
      <c r="BS588" s="419"/>
      <c r="BT588" s="421"/>
      <c r="BU588" s="421"/>
      <c r="BV588" s="419"/>
      <c r="BW588" s="419"/>
      <c r="BX588" s="421"/>
      <c r="BY588" s="421"/>
      <c r="BZ588" s="419"/>
      <c r="CA588" s="419"/>
      <c r="CB588" s="421"/>
      <c r="CC588" s="421"/>
      <c r="CD588" s="419"/>
      <c r="CE588" s="419"/>
      <c r="CF588" s="421"/>
      <c r="CG588" s="421"/>
      <c r="CH588" s="419"/>
      <c r="CI588" s="419"/>
      <c r="CJ588" s="421"/>
      <c r="CK588" s="421"/>
      <c r="CL588" s="419"/>
      <c r="CM588" s="421"/>
      <c r="CN588" s="424">
        <f t="shared" si="245"/>
        <v>0</v>
      </c>
      <c r="CO588" s="424">
        <f t="shared" si="246"/>
        <v>0</v>
      </c>
      <c r="CP588" s="425">
        <f t="shared" si="247"/>
        <v>0</v>
      </c>
      <c r="CQ588" s="425">
        <f t="shared" si="248"/>
        <v>0</v>
      </c>
      <c r="CR588" s="419"/>
      <c r="CS588" s="419"/>
      <c r="CT588" s="421"/>
      <c r="CU588" s="421"/>
      <c r="CV588" s="419"/>
      <c r="CW588" s="419"/>
      <c r="CX588" s="421"/>
      <c r="CY588" s="421"/>
      <c r="CZ588" s="419"/>
      <c r="DA588" s="419"/>
      <c r="DB588" s="421"/>
      <c r="DC588" s="421"/>
      <c r="DD588" s="419"/>
      <c r="DE588" s="419"/>
      <c r="DF588" s="421"/>
      <c r="DG588" s="421"/>
      <c r="DH588" s="419"/>
      <c r="DI588" s="419"/>
      <c r="DJ588" s="421"/>
      <c r="DK588" s="421"/>
      <c r="DL588" s="419"/>
      <c r="DM588" s="419"/>
      <c r="DN588" s="421"/>
      <c r="DO588" s="421"/>
      <c r="DP588" s="419"/>
      <c r="DQ588" s="419"/>
      <c r="DR588" s="421"/>
      <c r="DS588" s="421"/>
      <c r="DT588" s="419"/>
      <c r="DU588" s="419"/>
      <c r="DV588" s="421"/>
      <c r="DW588" s="421"/>
      <c r="DX588" s="419"/>
      <c r="DY588" s="419"/>
      <c r="DZ588" s="421"/>
      <c r="EA588" s="421"/>
      <c r="EB588" s="419"/>
      <c r="EC588" s="419"/>
      <c r="ED588" s="421"/>
      <c r="EE588" s="421"/>
      <c r="EF588" s="419"/>
      <c r="EG588" s="421"/>
      <c r="EH588" s="424">
        <f t="shared" si="249"/>
        <v>0</v>
      </c>
      <c r="EI588" s="424">
        <f t="shared" si="250"/>
        <v>0</v>
      </c>
      <c r="EJ588" s="422">
        <f t="shared" si="251"/>
        <v>0</v>
      </c>
      <c r="EK588" s="425">
        <f t="shared" si="252"/>
        <v>0</v>
      </c>
      <c r="EL588" s="425">
        <f t="shared" si="253"/>
        <v>0</v>
      </c>
      <c r="EM588" s="423">
        <f t="shared" si="254"/>
        <v>0</v>
      </c>
      <c r="EN588" s="424">
        <f t="shared" si="255"/>
        <v>0</v>
      </c>
      <c r="EO588" s="425">
        <f t="shared" si="256"/>
        <v>0</v>
      </c>
      <c r="EP588" s="419"/>
      <c r="EQ588" s="421"/>
      <c r="ER588" s="419"/>
      <c r="ES588" s="421"/>
      <c r="ET588" s="419"/>
      <c r="EU588" s="421"/>
      <c r="EV588" s="419"/>
      <c r="EW588" s="421"/>
      <c r="EX588" s="419"/>
      <c r="EY588" s="421"/>
      <c r="EZ588" s="419"/>
      <c r="FA588" s="421"/>
      <c r="FB588" s="419"/>
      <c r="FC588" s="421"/>
      <c r="FD588" s="419"/>
      <c r="FE588" s="421"/>
      <c r="FF588" s="419"/>
      <c r="FG588" s="421"/>
      <c r="FH588" s="419"/>
      <c r="FI588" s="421"/>
      <c r="FJ588" s="424">
        <f t="shared" si="257"/>
        <v>0</v>
      </c>
      <c r="FK588" s="425">
        <f t="shared" si="258"/>
        <v>0</v>
      </c>
      <c r="FL588" s="419"/>
      <c r="FM588" s="421"/>
      <c r="FN588" s="424">
        <f t="shared" si="259"/>
        <v>647</v>
      </c>
      <c r="FO588" s="425">
        <f t="shared" si="260"/>
        <v>704</v>
      </c>
    </row>
    <row r="589" spans="1:171">
      <c r="A589" s="43" t="s">
        <v>167</v>
      </c>
      <c r="B589" s="42" t="s">
        <v>1112</v>
      </c>
      <c r="C589" s="41" t="s">
        <v>1177</v>
      </c>
      <c r="D589" s="40">
        <v>234085</v>
      </c>
      <c r="E589" s="118">
        <v>15</v>
      </c>
      <c r="F589" s="419">
        <v>0</v>
      </c>
      <c r="G589" s="421">
        <v>0</v>
      </c>
      <c r="H589" s="419"/>
      <c r="I589" s="421"/>
      <c r="J589" s="419">
        <v>0</v>
      </c>
      <c r="K589" s="421">
        <v>0</v>
      </c>
      <c r="L589" s="422">
        <f t="shared" si="239"/>
        <v>0</v>
      </c>
      <c r="M589" s="423">
        <f t="shared" si="240"/>
        <v>0</v>
      </c>
      <c r="N589" s="419">
        <v>351</v>
      </c>
      <c r="O589" s="309">
        <f>0</f>
        <v>0</v>
      </c>
      <c r="P589" s="309">
        <f>0</f>
        <v>0</v>
      </c>
      <c r="Q589" s="309">
        <f>0</f>
        <v>0</v>
      </c>
      <c r="R589" s="424">
        <f t="shared" si="237"/>
        <v>0</v>
      </c>
      <c r="S589" s="421">
        <v>372</v>
      </c>
      <c r="T589" s="301">
        <f>0</f>
        <v>0</v>
      </c>
      <c r="U589" s="301">
        <f>0</f>
        <v>0</v>
      </c>
      <c r="V589" s="301">
        <f>0</f>
        <v>0</v>
      </c>
      <c r="W589" s="425">
        <f t="shared" si="238"/>
        <v>0</v>
      </c>
      <c r="X589" s="419"/>
      <c r="Y589" s="419"/>
      <c r="Z589" s="421"/>
      <c r="AA589" s="421"/>
      <c r="AB589" s="419"/>
      <c r="AC589" s="419"/>
      <c r="AD589" s="421"/>
      <c r="AE589" s="421"/>
      <c r="AF589" s="419"/>
      <c r="AG589" s="419"/>
      <c r="AH589" s="421"/>
      <c r="AI589" s="421"/>
      <c r="AJ589" s="419"/>
      <c r="AK589" s="419"/>
      <c r="AL589" s="421"/>
      <c r="AM589" s="421"/>
      <c r="AN589" s="419"/>
      <c r="AO589" s="419"/>
      <c r="AP589" s="421"/>
      <c r="AQ589" s="421"/>
      <c r="AR589" s="424">
        <f t="shared" si="241"/>
        <v>0</v>
      </c>
      <c r="AS589" s="422">
        <f t="shared" si="242"/>
        <v>1</v>
      </c>
      <c r="AT589" s="425">
        <f t="shared" si="243"/>
        <v>0</v>
      </c>
      <c r="AU589" s="423">
        <f t="shared" si="244"/>
        <v>1</v>
      </c>
      <c r="AV589" s="419">
        <v>0</v>
      </c>
      <c r="AW589" s="421">
        <v>0</v>
      </c>
      <c r="AX589" s="419"/>
      <c r="AY589" s="419"/>
      <c r="AZ589" s="421"/>
      <c r="BA589" s="421"/>
      <c r="BB589" s="419"/>
      <c r="BC589" s="419"/>
      <c r="BD589" s="421"/>
      <c r="BE589" s="421"/>
      <c r="BF589" s="419"/>
      <c r="BG589" s="419"/>
      <c r="BH589" s="421"/>
      <c r="BI589" s="421"/>
      <c r="BJ589" s="419"/>
      <c r="BK589" s="419"/>
      <c r="BL589" s="421"/>
      <c r="BM589" s="421"/>
      <c r="BN589" s="419"/>
      <c r="BO589" s="419"/>
      <c r="BP589" s="421"/>
      <c r="BQ589" s="421"/>
      <c r="BR589" s="419"/>
      <c r="BS589" s="419"/>
      <c r="BT589" s="421"/>
      <c r="BU589" s="421"/>
      <c r="BV589" s="419"/>
      <c r="BW589" s="419"/>
      <c r="BX589" s="421"/>
      <c r="BY589" s="421"/>
      <c r="BZ589" s="419"/>
      <c r="CA589" s="419"/>
      <c r="CB589" s="421"/>
      <c r="CC589" s="421"/>
      <c r="CD589" s="419"/>
      <c r="CE589" s="419"/>
      <c r="CF589" s="421"/>
      <c r="CG589" s="421"/>
      <c r="CH589" s="419"/>
      <c r="CI589" s="419"/>
      <c r="CJ589" s="421"/>
      <c r="CK589" s="421"/>
      <c r="CL589" s="419"/>
      <c r="CM589" s="421"/>
      <c r="CN589" s="424">
        <f t="shared" si="245"/>
        <v>0</v>
      </c>
      <c r="CO589" s="424">
        <f t="shared" si="246"/>
        <v>0</v>
      </c>
      <c r="CP589" s="425">
        <f t="shared" si="247"/>
        <v>0</v>
      </c>
      <c r="CQ589" s="425">
        <f t="shared" si="248"/>
        <v>0</v>
      </c>
      <c r="CR589" s="419"/>
      <c r="CS589" s="419"/>
      <c r="CT589" s="421"/>
      <c r="CU589" s="421"/>
      <c r="CV589" s="419"/>
      <c r="CW589" s="419"/>
      <c r="CX589" s="421"/>
      <c r="CY589" s="421"/>
      <c r="CZ589" s="419"/>
      <c r="DA589" s="419"/>
      <c r="DB589" s="421"/>
      <c r="DC589" s="421"/>
      <c r="DD589" s="419"/>
      <c r="DE589" s="419"/>
      <c r="DF589" s="421"/>
      <c r="DG589" s="421"/>
      <c r="DH589" s="419"/>
      <c r="DI589" s="419"/>
      <c r="DJ589" s="421"/>
      <c r="DK589" s="421"/>
      <c r="DL589" s="419"/>
      <c r="DM589" s="419"/>
      <c r="DN589" s="421"/>
      <c r="DO589" s="421"/>
      <c r="DP589" s="419"/>
      <c r="DQ589" s="419"/>
      <c r="DR589" s="421"/>
      <c r="DS589" s="421"/>
      <c r="DT589" s="419"/>
      <c r="DU589" s="419"/>
      <c r="DV589" s="421"/>
      <c r="DW589" s="421"/>
      <c r="DX589" s="419"/>
      <c r="DY589" s="419"/>
      <c r="DZ589" s="421"/>
      <c r="EA589" s="421"/>
      <c r="EB589" s="419"/>
      <c r="EC589" s="419"/>
      <c r="ED589" s="421"/>
      <c r="EE589" s="421"/>
      <c r="EF589" s="419"/>
      <c r="EG589" s="421"/>
      <c r="EH589" s="424">
        <f t="shared" si="249"/>
        <v>0</v>
      </c>
      <c r="EI589" s="424">
        <f t="shared" si="250"/>
        <v>0</v>
      </c>
      <c r="EJ589" s="422">
        <f t="shared" si="251"/>
        <v>0</v>
      </c>
      <c r="EK589" s="425">
        <f t="shared" si="252"/>
        <v>0</v>
      </c>
      <c r="EL589" s="425">
        <f t="shared" si="253"/>
        <v>0</v>
      </c>
      <c r="EM589" s="423">
        <f t="shared" si="254"/>
        <v>0</v>
      </c>
      <c r="EN589" s="424">
        <f t="shared" si="255"/>
        <v>0</v>
      </c>
      <c r="EO589" s="425">
        <f t="shared" si="256"/>
        <v>0</v>
      </c>
      <c r="EP589" s="419"/>
      <c r="EQ589" s="421"/>
      <c r="ER589" s="419"/>
      <c r="ES589" s="421"/>
      <c r="ET589" s="419"/>
      <c r="EU589" s="421"/>
      <c r="EV589" s="419"/>
      <c r="EW589" s="421"/>
      <c r="EX589" s="419"/>
      <c r="EY589" s="421"/>
      <c r="EZ589" s="419"/>
      <c r="FA589" s="421"/>
      <c r="FB589" s="419"/>
      <c r="FC589" s="421"/>
      <c r="FD589" s="419"/>
      <c r="FE589" s="421"/>
      <c r="FF589" s="419"/>
      <c r="FG589" s="421"/>
      <c r="FH589" s="419"/>
      <c r="FI589" s="421"/>
      <c r="FJ589" s="424">
        <f t="shared" si="257"/>
        <v>0</v>
      </c>
      <c r="FK589" s="425">
        <f t="shared" si="258"/>
        <v>0</v>
      </c>
      <c r="FL589" s="419"/>
      <c r="FM589" s="421"/>
      <c r="FN589" s="424">
        <f t="shared" si="259"/>
        <v>351</v>
      </c>
      <c r="FO589" s="425">
        <f t="shared" si="260"/>
        <v>372</v>
      </c>
    </row>
    <row r="590" spans="1:171">
      <c r="A590" s="468" t="s">
        <v>168</v>
      </c>
      <c r="B590" s="469" t="s">
        <v>1113</v>
      </c>
      <c r="C590" s="470" t="s">
        <v>1177</v>
      </c>
      <c r="D590" s="471">
        <v>238032</v>
      </c>
      <c r="E590" s="472">
        <v>1</v>
      </c>
      <c r="F590" s="419"/>
      <c r="G590" s="421"/>
      <c r="H590" s="419"/>
      <c r="I590" s="421"/>
      <c r="J590" s="419"/>
      <c r="K590" s="421"/>
      <c r="L590" s="422">
        <f t="shared" si="239"/>
        <v>0</v>
      </c>
      <c r="M590" s="423">
        <f t="shared" si="240"/>
        <v>0</v>
      </c>
      <c r="N590" s="419">
        <v>4561</v>
      </c>
      <c r="O590" s="309">
        <f>0</f>
        <v>0</v>
      </c>
      <c r="P590" s="309">
        <f>0</f>
        <v>0</v>
      </c>
      <c r="Q590" s="309">
        <f>0</f>
        <v>0</v>
      </c>
      <c r="R590" s="424">
        <f t="shared" si="237"/>
        <v>0</v>
      </c>
      <c r="S590" s="421">
        <v>4649</v>
      </c>
      <c r="T590" s="301">
        <f>0</f>
        <v>0</v>
      </c>
      <c r="U590" s="301">
        <f>0</f>
        <v>0</v>
      </c>
      <c r="V590" s="301">
        <f>0</f>
        <v>0</v>
      </c>
      <c r="W590" s="425">
        <f t="shared" si="238"/>
        <v>0</v>
      </c>
      <c r="X590" s="419"/>
      <c r="Y590" s="419"/>
      <c r="Z590" s="421"/>
      <c r="AA590" s="421"/>
      <c r="AB590" s="419"/>
      <c r="AC590" s="419"/>
      <c r="AD590" s="421"/>
      <c r="AE590" s="421"/>
      <c r="AF590" s="419"/>
      <c r="AG590" s="419"/>
      <c r="AH590" s="421"/>
      <c r="AI590" s="421"/>
      <c r="AJ590" s="419"/>
      <c r="AK590" s="419"/>
      <c r="AL590" s="421"/>
      <c r="AM590" s="421"/>
      <c r="AN590" s="419"/>
      <c r="AO590" s="419"/>
      <c r="AP590" s="421"/>
      <c r="AQ590" s="421"/>
      <c r="AR590" s="424">
        <f t="shared" si="241"/>
        <v>0</v>
      </c>
      <c r="AS590" s="422">
        <f t="shared" si="242"/>
        <v>0.69011953396883041</v>
      </c>
      <c r="AT590" s="425">
        <f t="shared" si="243"/>
        <v>0</v>
      </c>
      <c r="AU590" s="423">
        <f t="shared" si="244"/>
        <v>0.70685722974000309</v>
      </c>
      <c r="AV590" s="419"/>
      <c r="AW590" s="421"/>
      <c r="AX590" s="419">
        <v>13</v>
      </c>
      <c r="AY590" s="419">
        <v>310</v>
      </c>
      <c r="AZ590" s="421">
        <v>13</v>
      </c>
      <c r="BA590" s="421">
        <v>305</v>
      </c>
      <c r="BB590" s="419">
        <v>52</v>
      </c>
      <c r="BC590" s="419">
        <v>284</v>
      </c>
      <c r="BD590" s="421">
        <v>52</v>
      </c>
      <c r="BE590" s="421">
        <v>246</v>
      </c>
      <c r="BF590" s="419">
        <v>51</v>
      </c>
      <c r="BG590" s="419">
        <v>197</v>
      </c>
      <c r="BH590" s="421">
        <v>51</v>
      </c>
      <c r="BI590" s="421">
        <v>212</v>
      </c>
      <c r="BJ590" s="419">
        <v>9</v>
      </c>
      <c r="BK590" s="419">
        <v>185</v>
      </c>
      <c r="BL590" s="421">
        <v>9</v>
      </c>
      <c r="BM590" s="421">
        <v>193</v>
      </c>
      <c r="BN590" s="419">
        <v>44</v>
      </c>
      <c r="BO590" s="419">
        <v>108</v>
      </c>
      <c r="BP590" s="421">
        <v>14</v>
      </c>
      <c r="BQ590" s="420">
        <v>69</v>
      </c>
      <c r="BR590" s="419">
        <v>14</v>
      </c>
      <c r="BS590" s="419">
        <v>98</v>
      </c>
      <c r="BT590" s="421">
        <v>44</v>
      </c>
      <c r="BU590" s="420">
        <v>57</v>
      </c>
      <c r="BV590" s="419">
        <v>50</v>
      </c>
      <c r="BW590" s="419">
        <v>45</v>
      </c>
      <c r="BX590" s="421">
        <v>16</v>
      </c>
      <c r="BY590" s="420">
        <v>28</v>
      </c>
      <c r="BZ590" s="419">
        <v>1</v>
      </c>
      <c r="CA590" s="419">
        <v>33</v>
      </c>
      <c r="CB590" s="421">
        <v>26</v>
      </c>
      <c r="CC590" s="420">
        <v>26</v>
      </c>
      <c r="CD590" s="419">
        <v>27</v>
      </c>
      <c r="CE590" s="419">
        <v>29</v>
      </c>
      <c r="CF590" s="421">
        <v>43</v>
      </c>
      <c r="CG590" s="420">
        <v>23</v>
      </c>
      <c r="CH590" s="419">
        <v>16</v>
      </c>
      <c r="CI590" s="419">
        <v>26</v>
      </c>
      <c r="CJ590" s="421">
        <v>42</v>
      </c>
      <c r="CK590" s="421">
        <v>21</v>
      </c>
      <c r="CL590" s="419">
        <v>166</v>
      </c>
      <c r="CM590" s="421">
        <v>160</v>
      </c>
      <c r="CN590" s="424">
        <f t="shared" si="245"/>
        <v>1481</v>
      </c>
      <c r="CO590" s="424">
        <f t="shared" si="246"/>
        <v>10</v>
      </c>
      <c r="CP590" s="425">
        <f t="shared" si="247"/>
        <v>1340</v>
      </c>
      <c r="CQ590" s="425">
        <f t="shared" si="248"/>
        <v>10</v>
      </c>
      <c r="CR590" s="419">
        <v>14</v>
      </c>
      <c r="CS590" s="419">
        <v>28</v>
      </c>
      <c r="CT590" s="421">
        <v>14</v>
      </c>
      <c r="CU590" s="420">
        <v>38</v>
      </c>
      <c r="CV590" s="419">
        <v>3</v>
      </c>
      <c r="CW590" s="419">
        <v>23</v>
      </c>
      <c r="CX590" s="421">
        <v>26</v>
      </c>
      <c r="CY590" s="421">
        <v>25</v>
      </c>
      <c r="CZ590" s="419">
        <v>40</v>
      </c>
      <c r="DA590" s="419">
        <v>22</v>
      </c>
      <c r="DB590" s="421">
        <v>40</v>
      </c>
      <c r="DC590" s="421">
        <v>19</v>
      </c>
      <c r="DD590" s="419">
        <v>26</v>
      </c>
      <c r="DE590" s="419">
        <v>21</v>
      </c>
      <c r="DF590" s="421">
        <v>42</v>
      </c>
      <c r="DG590" s="421">
        <v>19</v>
      </c>
      <c r="DH590" s="419">
        <v>42</v>
      </c>
      <c r="DI590" s="419">
        <v>13</v>
      </c>
      <c r="DJ590" s="421">
        <v>50</v>
      </c>
      <c r="DK590" s="420">
        <v>16</v>
      </c>
      <c r="DL590" s="419">
        <v>51</v>
      </c>
      <c r="DM590" s="419">
        <v>13</v>
      </c>
      <c r="DN590" s="421">
        <v>3</v>
      </c>
      <c r="DO590" s="421">
        <v>14</v>
      </c>
      <c r="DP590" s="419">
        <v>50</v>
      </c>
      <c r="DQ590" s="419">
        <v>12</v>
      </c>
      <c r="DR590" s="421">
        <v>52</v>
      </c>
      <c r="DS590" s="421">
        <v>12</v>
      </c>
      <c r="DT590" s="419">
        <v>45</v>
      </c>
      <c r="DU590" s="419">
        <v>11</v>
      </c>
      <c r="DV590" s="421">
        <v>45</v>
      </c>
      <c r="DW590" s="421">
        <v>10</v>
      </c>
      <c r="DX590" s="419">
        <v>52</v>
      </c>
      <c r="DY590" s="419">
        <v>11</v>
      </c>
      <c r="DZ590" s="421">
        <v>27</v>
      </c>
      <c r="EA590" s="420">
        <v>8</v>
      </c>
      <c r="EB590" s="419">
        <v>31</v>
      </c>
      <c r="EC590" s="419">
        <v>8</v>
      </c>
      <c r="ED590" s="421">
        <v>51</v>
      </c>
      <c r="EE590" s="421">
        <v>7</v>
      </c>
      <c r="EF590" s="419">
        <v>32</v>
      </c>
      <c r="EG590" s="421">
        <v>31</v>
      </c>
      <c r="EH590" s="424">
        <f t="shared" si="249"/>
        <v>194</v>
      </c>
      <c r="EI590" s="424">
        <f t="shared" si="250"/>
        <v>10</v>
      </c>
      <c r="EJ590" s="422">
        <f t="shared" si="251"/>
        <v>0.14432989690721648</v>
      </c>
      <c r="EK590" s="425">
        <f t="shared" si="252"/>
        <v>199</v>
      </c>
      <c r="EL590" s="425">
        <f t="shared" si="253"/>
        <v>10</v>
      </c>
      <c r="EM590" s="423">
        <f t="shared" si="254"/>
        <v>0.19095477386934673</v>
      </c>
      <c r="EN590" s="424">
        <f t="shared" si="255"/>
        <v>1675</v>
      </c>
      <c r="EO590" s="425">
        <f t="shared" si="256"/>
        <v>1539</v>
      </c>
      <c r="EP590" s="419">
        <v>101</v>
      </c>
      <c r="EQ590" s="421">
        <v>107</v>
      </c>
      <c r="ER590" s="419">
        <v>93</v>
      </c>
      <c r="ES590" s="421">
        <v>101</v>
      </c>
      <c r="ET590" s="419">
        <v>45</v>
      </c>
      <c r="EU590" s="421">
        <v>47</v>
      </c>
      <c r="EV590" s="419">
        <v>71</v>
      </c>
      <c r="EW590" s="421">
        <v>72</v>
      </c>
      <c r="EX590" s="419"/>
      <c r="EY590" s="421"/>
      <c r="EZ590" s="419"/>
      <c r="FA590" s="421"/>
      <c r="FB590" s="419"/>
      <c r="FC590" s="421"/>
      <c r="FD590" s="419"/>
      <c r="FE590" s="421"/>
      <c r="FF590" s="419"/>
      <c r="FG590" s="421"/>
      <c r="FH590" s="419">
        <v>63</v>
      </c>
      <c r="FI590" s="421">
        <v>62</v>
      </c>
      <c r="FJ590" s="424">
        <f t="shared" si="257"/>
        <v>373</v>
      </c>
      <c r="FK590" s="425">
        <f t="shared" si="258"/>
        <v>389</v>
      </c>
      <c r="FL590" s="419"/>
      <c r="FM590" s="421"/>
      <c r="FN590" s="424">
        <f t="shared" si="259"/>
        <v>6609</v>
      </c>
      <c r="FO590" s="425">
        <f t="shared" si="260"/>
        <v>6577</v>
      </c>
    </row>
    <row r="591" spans="1:171">
      <c r="A591" s="468" t="s">
        <v>168</v>
      </c>
      <c r="B591" s="469" t="s">
        <v>1114</v>
      </c>
      <c r="C591" s="470" t="s">
        <v>1177</v>
      </c>
      <c r="D591" s="471">
        <v>237525</v>
      </c>
      <c r="E591" s="472">
        <v>3</v>
      </c>
      <c r="F591" s="419"/>
      <c r="G591" s="421"/>
      <c r="H591" s="419"/>
      <c r="I591" s="421"/>
      <c r="J591" s="419">
        <v>115</v>
      </c>
      <c r="K591" s="421">
        <v>114</v>
      </c>
      <c r="L591" s="422">
        <f t="shared" si="239"/>
        <v>6.9235400361228175E-2</v>
      </c>
      <c r="M591" s="423">
        <f t="shared" si="240"/>
        <v>7.0024570024570021E-2</v>
      </c>
      <c r="N591" s="419">
        <v>1661</v>
      </c>
      <c r="O591" s="309">
        <f>0</f>
        <v>0</v>
      </c>
      <c r="P591" s="309">
        <f>0</f>
        <v>0</v>
      </c>
      <c r="Q591" s="309">
        <f>0</f>
        <v>0</v>
      </c>
      <c r="R591" s="424">
        <f t="shared" si="237"/>
        <v>0</v>
      </c>
      <c r="S591" s="421">
        <v>1628</v>
      </c>
      <c r="T591" s="301">
        <f>0</f>
        <v>0</v>
      </c>
      <c r="U591" s="301">
        <f>0</f>
        <v>0</v>
      </c>
      <c r="V591" s="301">
        <f>0</f>
        <v>0</v>
      </c>
      <c r="W591" s="425">
        <f t="shared" si="238"/>
        <v>0</v>
      </c>
      <c r="X591" s="419"/>
      <c r="Y591" s="419"/>
      <c r="Z591" s="421"/>
      <c r="AA591" s="421"/>
      <c r="AB591" s="419"/>
      <c r="AC591" s="419"/>
      <c r="AD591" s="421"/>
      <c r="AE591" s="421"/>
      <c r="AF591" s="419"/>
      <c r="AG591" s="419"/>
      <c r="AH591" s="421"/>
      <c r="AI591" s="421"/>
      <c r="AJ591" s="419"/>
      <c r="AK591" s="419"/>
      <c r="AL591" s="421"/>
      <c r="AM591" s="421"/>
      <c r="AN591" s="419"/>
      <c r="AO591" s="419"/>
      <c r="AP591" s="421"/>
      <c r="AQ591" s="421"/>
      <c r="AR591" s="424">
        <f t="shared" si="241"/>
        <v>0</v>
      </c>
      <c r="AS591" s="422">
        <f t="shared" si="242"/>
        <v>0.57474048442906578</v>
      </c>
      <c r="AT591" s="425">
        <f t="shared" si="243"/>
        <v>0</v>
      </c>
      <c r="AU591" s="423">
        <f t="shared" si="244"/>
        <v>0.58246869409660107</v>
      </c>
      <c r="AV591" s="419"/>
      <c r="AW591" s="421"/>
      <c r="AX591" s="419">
        <v>13</v>
      </c>
      <c r="AY591" s="419">
        <v>269</v>
      </c>
      <c r="AZ591" s="421">
        <v>13</v>
      </c>
      <c r="BA591" s="421">
        <v>276</v>
      </c>
      <c r="BB591" s="419">
        <v>51</v>
      </c>
      <c r="BC591" s="419">
        <v>141</v>
      </c>
      <c r="BD591" s="421">
        <v>51</v>
      </c>
      <c r="BE591" s="421">
        <v>153</v>
      </c>
      <c r="BF591" s="419">
        <v>52</v>
      </c>
      <c r="BG591" s="419">
        <v>120</v>
      </c>
      <c r="BH591" s="421">
        <v>52</v>
      </c>
      <c r="BI591" s="421">
        <v>127</v>
      </c>
      <c r="BJ591" s="419">
        <v>44</v>
      </c>
      <c r="BK591" s="419">
        <v>73</v>
      </c>
      <c r="BL591" s="421">
        <v>42</v>
      </c>
      <c r="BM591" s="420">
        <v>49</v>
      </c>
      <c r="BN591" s="419">
        <v>11</v>
      </c>
      <c r="BO591" s="419">
        <v>59</v>
      </c>
      <c r="BP591" s="421">
        <v>44</v>
      </c>
      <c r="BQ591" s="420">
        <v>45</v>
      </c>
      <c r="BR591" s="419">
        <v>14</v>
      </c>
      <c r="BS591" s="419">
        <v>46</v>
      </c>
      <c r="BT591" s="421">
        <v>11</v>
      </c>
      <c r="BU591" s="420">
        <v>26</v>
      </c>
      <c r="BV591" s="419">
        <v>42</v>
      </c>
      <c r="BW591" s="419">
        <v>38</v>
      </c>
      <c r="BX591" s="421">
        <v>14</v>
      </c>
      <c r="BY591" s="420">
        <v>26</v>
      </c>
      <c r="BZ591" s="419">
        <v>43</v>
      </c>
      <c r="CA591" s="419">
        <v>30</v>
      </c>
      <c r="CB591" s="421">
        <v>43</v>
      </c>
      <c r="CC591" s="420">
        <v>21</v>
      </c>
      <c r="CD591" s="419">
        <v>43</v>
      </c>
      <c r="CE591" s="419">
        <v>23</v>
      </c>
      <c r="CF591" s="421">
        <v>23</v>
      </c>
      <c r="CG591" s="421">
        <v>19</v>
      </c>
      <c r="CH591" s="419">
        <v>31</v>
      </c>
      <c r="CI591" s="419">
        <v>15</v>
      </c>
      <c r="CJ591" s="421">
        <v>26</v>
      </c>
      <c r="CK591" s="421">
        <v>17</v>
      </c>
      <c r="CL591" s="419">
        <v>68</v>
      </c>
      <c r="CM591" s="421">
        <v>55</v>
      </c>
      <c r="CN591" s="424">
        <f t="shared" si="245"/>
        <v>882</v>
      </c>
      <c r="CO591" s="424">
        <f t="shared" si="246"/>
        <v>10</v>
      </c>
      <c r="CP591" s="425">
        <f t="shared" si="247"/>
        <v>814</v>
      </c>
      <c r="CQ591" s="425">
        <f t="shared" si="248"/>
        <v>10</v>
      </c>
      <c r="CR591" s="419">
        <v>13</v>
      </c>
      <c r="CS591" s="419">
        <v>19</v>
      </c>
      <c r="CT591" s="421">
        <v>13</v>
      </c>
      <c r="CU591" s="420">
        <v>11</v>
      </c>
      <c r="CV591" s="419">
        <v>26</v>
      </c>
      <c r="CW591" s="419">
        <v>7</v>
      </c>
      <c r="CX591" s="421">
        <v>26</v>
      </c>
      <c r="CY591" s="420">
        <v>5</v>
      </c>
      <c r="CZ591" s="419"/>
      <c r="DA591" s="419"/>
      <c r="DB591" s="421"/>
      <c r="DC591" s="421"/>
      <c r="DD591" s="419"/>
      <c r="DE591" s="419"/>
      <c r="DF591" s="421"/>
      <c r="DG591" s="421"/>
      <c r="DH591" s="419"/>
      <c r="DI591" s="419"/>
      <c r="DJ591" s="421"/>
      <c r="DK591" s="421"/>
      <c r="DL591" s="419"/>
      <c r="DM591" s="419"/>
      <c r="DN591" s="421"/>
      <c r="DO591" s="421"/>
      <c r="DP591" s="419"/>
      <c r="DQ591" s="419"/>
      <c r="DR591" s="421"/>
      <c r="DS591" s="421"/>
      <c r="DT591" s="419"/>
      <c r="DU591" s="419"/>
      <c r="DV591" s="421"/>
      <c r="DW591" s="421"/>
      <c r="DX591" s="419"/>
      <c r="DY591" s="419"/>
      <c r="DZ591" s="421"/>
      <c r="EA591" s="421"/>
      <c r="EB591" s="419"/>
      <c r="EC591" s="419"/>
      <c r="ED591" s="421"/>
      <c r="EE591" s="421"/>
      <c r="EF591" s="419"/>
      <c r="EG591" s="421"/>
      <c r="EH591" s="424">
        <f t="shared" si="249"/>
        <v>26</v>
      </c>
      <c r="EI591" s="424">
        <f t="shared" si="250"/>
        <v>2</v>
      </c>
      <c r="EJ591" s="422">
        <f t="shared" si="251"/>
        <v>0.73076923076923073</v>
      </c>
      <c r="EK591" s="425">
        <f t="shared" si="252"/>
        <v>16</v>
      </c>
      <c r="EL591" s="425">
        <f t="shared" si="253"/>
        <v>2</v>
      </c>
      <c r="EM591" s="423">
        <f t="shared" si="254"/>
        <v>0.6875</v>
      </c>
      <c r="EN591" s="424">
        <f t="shared" si="255"/>
        <v>908</v>
      </c>
      <c r="EO591" s="425">
        <f t="shared" si="256"/>
        <v>830</v>
      </c>
      <c r="EP591" s="419"/>
      <c r="EQ591" s="421"/>
      <c r="ER591" s="419">
        <v>60</v>
      </c>
      <c r="ES591" s="420">
        <v>79</v>
      </c>
      <c r="ET591" s="419"/>
      <c r="EU591" s="421"/>
      <c r="EV591" s="419">
        <v>76</v>
      </c>
      <c r="EW591" s="421">
        <v>71</v>
      </c>
      <c r="EX591" s="419"/>
      <c r="EY591" s="421"/>
      <c r="EZ591" s="419"/>
      <c r="FA591" s="421"/>
      <c r="FB591" s="419"/>
      <c r="FC591" s="421"/>
      <c r="FD591" s="419"/>
      <c r="FE591" s="421"/>
      <c r="FF591" s="419"/>
      <c r="FG591" s="421"/>
      <c r="FH591" s="419">
        <v>70</v>
      </c>
      <c r="FI591" s="421">
        <v>73</v>
      </c>
      <c r="FJ591" s="424">
        <f t="shared" si="257"/>
        <v>206</v>
      </c>
      <c r="FK591" s="425">
        <f t="shared" si="258"/>
        <v>223</v>
      </c>
      <c r="FL591" s="419"/>
      <c r="FM591" s="421"/>
      <c r="FN591" s="424">
        <f t="shared" si="259"/>
        <v>2890</v>
      </c>
      <c r="FO591" s="425">
        <f t="shared" si="260"/>
        <v>2795</v>
      </c>
    </row>
    <row r="592" spans="1:171" s="272" customFormat="1" ht="15" customHeight="1">
      <c r="A592" s="468" t="s">
        <v>168</v>
      </c>
      <c r="B592" s="469" t="s">
        <v>1115</v>
      </c>
      <c r="C592" s="473" t="s">
        <v>1177</v>
      </c>
      <c r="D592" s="471">
        <v>237330</v>
      </c>
      <c r="E592" s="472">
        <v>5</v>
      </c>
      <c r="F592" s="419"/>
      <c r="G592" s="421"/>
      <c r="H592" s="419"/>
      <c r="I592" s="421"/>
      <c r="J592" s="419"/>
      <c r="K592" s="421"/>
      <c r="L592" s="422">
        <f t="shared" si="239"/>
        <v>0</v>
      </c>
      <c r="M592" s="423">
        <f t="shared" si="240"/>
        <v>0</v>
      </c>
      <c r="N592" s="419">
        <v>383</v>
      </c>
      <c r="O592" s="309">
        <f>0</f>
        <v>0</v>
      </c>
      <c r="P592" s="309">
        <f>0</f>
        <v>0</v>
      </c>
      <c r="Q592" s="309">
        <f>0</f>
        <v>0</v>
      </c>
      <c r="R592" s="424">
        <f t="shared" si="237"/>
        <v>0</v>
      </c>
      <c r="S592" s="421">
        <v>370</v>
      </c>
      <c r="T592" s="301">
        <f>0</f>
        <v>0</v>
      </c>
      <c r="U592" s="301">
        <f>0</f>
        <v>0</v>
      </c>
      <c r="V592" s="301">
        <f>0</f>
        <v>0</v>
      </c>
      <c r="W592" s="425">
        <f t="shared" si="238"/>
        <v>0</v>
      </c>
      <c r="X592" s="419"/>
      <c r="Y592" s="419"/>
      <c r="Z592" s="421"/>
      <c r="AA592" s="421"/>
      <c r="AB592" s="419"/>
      <c r="AC592" s="419"/>
      <c r="AD592" s="421"/>
      <c r="AE592" s="421"/>
      <c r="AF592" s="419"/>
      <c r="AG592" s="419"/>
      <c r="AH592" s="421"/>
      <c r="AI592" s="421"/>
      <c r="AJ592" s="419"/>
      <c r="AK592" s="419"/>
      <c r="AL592" s="421"/>
      <c r="AM592" s="421"/>
      <c r="AN592" s="419"/>
      <c r="AO592" s="419"/>
      <c r="AP592" s="421"/>
      <c r="AQ592" s="421"/>
      <c r="AR592" s="424">
        <f t="shared" si="241"/>
        <v>0</v>
      </c>
      <c r="AS592" s="422">
        <f t="shared" si="242"/>
        <v>0.77845528455284552</v>
      </c>
      <c r="AT592" s="425">
        <f t="shared" si="243"/>
        <v>0</v>
      </c>
      <c r="AU592" s="423">
        <f t="shared" si="244"/>
        <v>0.74596774193548387</v>
      </c>
      <c r="AV592" s="419"/>
      <c r="AW592" s="421"/>
      <c r="AX592" s="419">
        <v>44</v>
      </c>
      <c r="AY592" s="419">
        <v>60</v>
      </c>
      <c r="AZ592" s="421">
        <v>44</v>
      </c>
      <c r="BA592" s="421">
        <v>68</v>
      </c>
      <c r="BB592" s="419">
        <v>13</v>
      </c>
      <c r="BC592" s="419">
        <v>37</v>
      </c>
      <c r="BD592" s="421">
        <v>13</v>
      </c>
      <c r="BE592" s="421">
        <v>38</v>
      </c>
      <c r="BF592" s="419">
        <v>51</v>
      </c>
      <c r="BG592" s="419">
        <v>12</v>
      </c>
      <c r="BH592" s="421">
        <v>51</v>
      </c>
      <c r="BI592" s="420">
        <v>20</v>
      </c>
      <c r="BJ592" s="419"/>
      <c r="BK592" s="419"/>
      <c r="BL592" s="421"/>
      <c r="BM592" s="421"/>
      <c r="BN592" s="419"/>
      <c r="BO592" s="419"/>
      <c r="BP592" s="421"/>
      <c r="BQ592" s="421"/>
      <c r="BR592" s="419"/>
      <c r="BS592" s="419"/>
      <c r="BT592" s="421"/>
      <c r="BU592" s="421"/>
      <c r="BV592" s="419"/>
      <c r="BW592" s="419"/>
      <c r="BX592" s="421"/>
      <c r="BY592" s="421"/>
      <c r="BZ592" s="419"/>
      <c r="CA592" s="419"/>
      <c r="CB592" s="421"/>
      <c r="CC592" s="421"/>
      <c r="CD592" s="419"/>
      <c r="CE592" s="419"/>
      <c r="CF592" s="421"/>
      <c r="CG592" s="421"/>
      <c r="CH592" s="419"/>
      <c r="CI592" s="419"/>
      <c r="CJ592" s="421"/>
      <c r="CK592" s="421"/>
      <c r="CL592" s="419"/>
      <c r="CM592" s="421"/>
      <c r="CN592" s="424">
        <f t="shared" si="245"/>
        <v>109</v>
      </c>
      <c r="CO592" s="424">
        <f t="shared" si="246"/>
        <v>3</v>
      </c>
      <c r="CP592" s="425">
        <f t="shared" si="247"/>
        <v>126</v>
      </c>
      <c r="CQ592" s="425">
        <f t="shared" si="248"/>
        <v>3</v>
      </c>
      <c r="CR592" s="419"/>
      <c r="CS592" s="419"/>
      <c r="CT592" s="421"/>
      <c r="CU592" s="421"/>
      <c r="CV592" s="419"/>
      <c r="CW592" s="419"/>
      <c r="CX592" s="421"/>
      <c r="CY592" s="421"/>
      <c r="CZ592" s="419"/>
      <c r="DA592" s="419"/>
      <c r="DB592" s="421"/>
      <c r="DC592" s="421"/>
      <c r="DD592" s="419"/>
      <c r="DE592" s="419"/>
      <c r="DF592" s="421"/>
      <c r="DG592" s="421"/>
      <c r="DH592" s="419"/>
      <c r="DI592" s="419"/>
      <c r="DJ592" s="421"/>
      <c r="DK592" s="421"/>
      <c r="DL592" s="419"/>
      <c r="DM592" s="419"/>
      <c r="DN592" s="421"/>
      <c r="DO592" s="421"/>
      <c r="DP592" s="419"/>
      <c r="DQ592" s="419"/>
      <c r="DR592" s="421"/>
      <c r="DS592" s="421"/>
      <c r="DT592" s="419"/>
      <c r="DU592" s="419"/>
      <c r="DV592" s="421"/>
      <c r="DW592" s="421"/>
      <c r="DX592" s="419"/>
      <c r="DY592" s="419"/>
      <c r="DZ592" s="421"/>
      <c r="EA592" s="421"/>
      <c r="EB592" s="419"/>
      <c r="EC592" s="419"/>
      <c r="ED592" s="421"/>
      <c r="EE592" s="421"/>
      <c r="EF592" s="419"/>
      <c r="EG592" s="421"/>
      <c r="EH592" s="424">
        <f t="shared" si="249"/>
        <v>0</v>
      </c>
      <c r="EI592" s="424">
        <f t="shared" si="250"/>
        <v>0</v>
      </c>
      <c r="EJ592" s="422">
        <f t="shared" si="251"/>
        <v>0</v>
      </c>
      <c r="EK592" s="425">
        <f t="shared" si="252"/>
        <v>0</v>
      </c>
      <c r="EL592" s="425">
        <f t="shared" si="253"/>
        <v>0</v>
      </c>
      <c r="EM592" s="423">
        <f t="shared" si="254"/>
        <v>0</v>
      </c>
      <c r="EN592" s="424">
        <f t="shared" si="255"/>
        <v>109</v>
      </c>
      <c r="EO592" s="425">
        <f t="shared" si="256"/>
        <v>126</v>
      </c>
      <c r="EP592" s="419"/>
      <c r="EQ592" s="421"/>
      <c r="ER592" s="419"/>
      <c r="ES592" s="421"/>
      <c r="ET592" s="419"/>
      <c r="EU592" s="421"/>
      <c r="EV592" s="419"/>
      <c r="EW592" s="421"/>
      <c r="EX592" s="419"/>
      <c r="EY592" s="421"/>
      <c r="EZ592" s="419"/>
      <c r="FA592" s="421"/>
      <c r="FB592" s="419"/>
      <c r="FC592" s="421"/>
      <c r="FD592" s="419"/>
      <c r="FE592" s="421"/>
      <c r="FF592" s="419"/>
      <c r="FG592" s="421"/>
      <c r="FH592" s="419"/>
      <c r="FI592" s="421"/>
      <c r="FJ592" s="424">
        <f t="shared" si="257"/>
        <v>0</v>
      </c>
      <c r="FK592" s="425">
        <f t="shared" si="258"/>
        <v>0</v>
      </c>
      <c r="FL592" s="419"/>
      <c r="FM592" s="421"/>
      <c r="FN592" s="424">
        <f t="shared" si="259"/>
        <v>492</v>
      </c>
      <c r="FO592" s="425">
        <f t="shared" si="260"/>
        <v>496</v>
      </c>
    </row>
    <row r="593" spans="1:171">
      <c r="A593" s="468" t="s">
        <v>168</v>
      </c>
      <c r="B593" s="469" t="s">
        <v>1116</v>
      </c>
      <c r="C593" s="470" t="s">
        <v>1177</v>
      </c>
      <c r="D593" s="471">
        <v>237367</v>
      </c>
      <c r="E593" s="472">
        <v>5</v>
      </c>
      <c r="F593" s="419"/>
      <c r="G593" s="421"/>
      <c r="H593" s="419"/>
      <c r="I593" s="421"/>
      <c r="J593" s="419">
        <v>106</v>
      </c>
      <c r="K593" s="420">
        <v>144</v>
      </c>
      <c r="L593" s="422">
        <f t="shared" si="239"/>
        <v>0.16562499999999999</v>
      </c>
      <c r="M593" s="423">
        <f t="shared" si="240"/>
        <v>0.22119815668202766</v>
      </c>
      <c r="N593" s="419">
        <v>640</v>
      </c>
      <c r="O593" s="309">
        <f>0</f>
        <v>0</v>
      </c>
      <c r="P593" s="309">
        <f>0</f>
        <v>0</v>
      </c>
      <c r="Q593" s="309">
        <f>0</f>
        <v>0</v>
      </c>
      <c r="R593" s="424">
        <f t="shared" si="237"/>
        <v>0</v>
      </c>
      <c r="S593" s="421">
        <v>651</v>
      </c>
      <c r="T593" s="301">
        <f>0</f>
        <v>0</v>
      </c>
      <c r="U593" s="301">
        <f>0</f>
        <v>0</v>
      </c>
      <c r="V593" s="301">
        <f>0</f>
        <v>0</v>
      </c>
      <c r="W593" s="425">
        <f t="shared" si="238"/>
        <v>0</v>
      </c>
      <c r="X593" s="419"/>
      <c r="Y593" s="419"/>
      <c r="Z593" s="421"/>
      <c r="AA593" s="421"/>
      <c r="AB593" s="419"/>
      <c r="AC593" s="419"/>
      <c r="AD593" s="421"/>
      <c r="AE593" s="421"/>
      <c r="AF593" s="419"/>
      <c r="AG593" s="419"/>
      <c r="AH593" s="421"/>
      <c r="AI593" s="421"/>
      <c r="AJ593" s="419"/>
      <c r="AK593" s="419"/>
      <c r="AL593" s="421"/>
      <c r="AM593" s="421"/>
      <c r="AN593" s="419"/>
      <c r="AO593" s="419"/>
      <c r="AP593" s="421"/>
      <c r="AQ593" s="421"/>
      <c r="AR593" s="424">
        <f t="shared" si="241"/>
        <v>0</v>
      </c>
      <c r="AS593" s="422">
        <f t="shared" si="242"/>
        <v>0.77575757575757576</v>
      </c>
      <c r="AT593" s="425">
        <f t="shared" si="243"/>
        <v>0</v>
      </c>
      <c r="AU593" s="423">
        <f t="shared" si="244"/>
        <v>0.73809523809523814</v>
      </c>
      <c r="AV593" s="419"/>
      <c r="AW593" s="421"/>
      <c r="AX593" s="419">
        <v>13</v>
      </c>
      <c r="AY593" s="419">
        <v>52</v>
      </c>
      <c r="AZ593" s="421">
        <v>13</v>
      </c>
      <c r="BA593" s="421">
        <v>46</v>
      </c>
      <c r="BB593" s="419">
        <v>43</v>
      </c>
      <c r="BC593" s="419">
        <v>15</v>
      </c>
      <c r="BD593" s="421">
        <v>52</v>
      </c>
      <c r="BE593" s="420">
        <v>22</v>
      </c>
      <c r="BF593" s="419">
        <v>52</v>
      </c>
      <c r="BG593" s="419">
        <v>11</v>
      </c>
      <c r="BH593" s="421">
        <v>43</v>
      </c>
      <c r="BI593" s="420">
        <v>16</v>
      </c>
      <c r="BJ593" s="419">
        <v>4</v>
      </c>
      <c r="BK593" s="419">
        <v>1</v>
      </c>
      <c r="BL593" s="421">
        <v>4</v>
      </c>
      <c r="BM593" s="420">
        <v>3</v>
      </c>
      <c r="BN593" s="419"/>
      <c r="BO593" s="419"/>
      <c r="BP593" s="421"/>
      <c r="BQ593" s="421"/>
      <c r="BR593" s="419"/>
      <c r="BS593" s="419"/>
      <c r="BT593" s="421"/>
      <c r="BU593" s="421"/>
      <c r="BV593" s="419"/>
      <c r="BW593" s="419"/>
      <c r="BX593" s="421"/>
      <c r="BY593" s="421"/>
      <c r="BZ593" s="419"/>
      <c r="CA593" s="419"/>
      <c r="CB593" s="421"/>
      <c r="CC593" s="421"/>
      <c r="CD593" s="419"/>
      <c r="CE593" s="419"/>
      <c r="CF593" s="421"/>
      <c r="CG593" s="421"/>
      <c r="CH593" s="419"/>
      <c r="CI593" s="419"/>
      <c r="CJ593" s="421"/>
      <c r="CK593" s="421"/>
      <c r="CL593" s="419"/>
      <c r="CM593" s="421"/>
      <c r="CN593" s="424">
        <f t="shared" si="245"/>
        <v>79</v>
      </c>
      <c r="CO593" s="424">
        <f t="shared" si="246"/>
        <v>4</v>
      </c>
      <c r="CP593" s="425">
        <f t="shared" si="247"/>
        <v>87</v>
      </c>
      <c r="CQ593" s="425">
        <f t="shared" si="248"/>
        <v>4</v>
      </c>
      <c r="CR593" s="419"/>
      <c r="CS593" s="419"/>
      <c r="CT593" s="421"/>
      <c r="CU593" s="421"/>
      <c r="CV593" s="419"/>
      <c r="CW593" s="419"/>
      <c r="CX593" s="421"/>
      <c r="CY593" s="421"/>
      <c r="CZ593" s="419"/>
      <c r="DA593" s="419"/>
      <c r="DB593" s="421"/>
      <c r="DC593" s="421"/>
      <c r="DD593" s="419"/>
      <c r="DE593" s="419"/>
      <c r="DF593" s="421"/>
      <c r="DG593" s="421"/>
      <c r="DH593" s="419"/>
      <c r="DI593" s="419"/>
      <c r="DJ593" s="421"/>
      <c r="DK593" s="421"/>
      <c r="DL593" s="419"/>
      <c r="DM593" s="419"/>
      <c r="DN593" s="421"/>
      <c r="DO593" s="421"/>
      <c r="DP593" s="419"/>
      <c r="DQ593" s="419"/>
      <c r="DR593" s="421"/>
      <c r="DS593" s="421"/>
      <c r="DT593" s="419"/>
      <c r="DU593" s="419"/>
      <c r="DV593" s="421"/>
      <c r="DW593" s="421"/>
      <c r="DX593" s="419"/>
      <c r="DY593" s="419"/>
      <c r="DZ593" s="421"/>
      <c r="EA593" s="421"/>
      <c r="EB593" s="419"/>
      <c r="EC593" s="419"/>
      <c r="ED593" s="421"/>
      <c r="EE593" s="421"/>
      <c r="EF593" s="419"/>
      <c r="EG593" s="421"/>
      <c r="EH593" s="424">
        <f t="shared" si="249"/>
        <v>0</v>
      </c>
      <c r="EI593" s="424">
        <f t="shared" si="250"/>
        <v>0</v>
      </c>
      <c r="EJ593" s="422">
        <f t="shared" si="251"/>
        <v>0</v>
      </c>
      <c r="EK593" s="425">
        <f t="shared" si="252"/>
        <v>0</v>
      </c>
      <c r="EL593" s="425">
        <f t="shared" si="253"/>
        <v>0</v>
      </c>
      <c r="EM593" s="423">
        <f t="shared" si="254"/>
        <v>0</v>
      </c>
      <c r="EN593" s="424">
        <f t="shared" si="255"/>
        <v>79</v>
      </c>
      <c r="EO593" s="425">
        <f t="shared" si="256"/>
        <v>87</v>
      </c>
      <c r="EP593" s="419"/>
      <c r="EQ593" s="421"/>
      <c r="ER593" s="419"/>
      <c r="ES593" s="421"/>
      <c r="ET593" s="419"/>
      <c r="EU593" s="421"/>
      <c r="EV593" s="419"/>
      <c r="EW593" s="421"/>
      <c r="EX593" s="419"/>
      <c r="EY593" s="421"/>
      <c r="EZ593" s="419"/>
      <c r="FA593" s="421"/>
      <c r="FB593" s="419"/>
      <c r="FC593" s="421"/>
      <c r="FD593" s="419"/>
      <c r="FE593" s="421"/>
      <c r="FF593" s="419"/>
      <c r="FG593" s="421"/>
      <c r="FH593" s="419"/>
      <c r="FI593" s="421"/>
      <c r="FJ593" s="424">
        <f t="shared" si="257"/>
        <v>0</v>
      </c>
      <c r="FK593" s="425">
        <f t="shared" si="258"/>
        <v>0</v>
      </c>
      <c r="FL593" s="419"/>
      <c r="FM593" s="421"/>
      <c r="FN593" s="424">
        <f t="shared" si="259"/>
        <v>825</v>
      </c>
      <c r="FO593" s="425">
        <f t="shared" si="260"/>
        <v>882</v>
      </c>
    </row>
    <row r="594" spans="1:171">
      <c r="A594" s="468" t="s">
        <v>168</v>
      </c>
      <c r="B594" s="469" t="s">
        <v>1117</v>
      </c>
      <c r="C594" s="470" t="s">
        <v>1177</v>
      </c>
      <c r="D594" s="471">
        <v>237792</v>
      </c>
      <c r="E594" s="472">
        <v>5</v>
      </c>
      <c r="F594" s="419"/>
      <c r="G594" s="421"/>
      <c r="H594" s="419"/>
      <c r="I594" s="421"/>
      <c r="J594" s="419"/>
      <c r="K594" s="421"/>
      <c r="L594" s="422">
        <f t="shared" si="239"/>
        <v>0</v>
      </c>
      <c r="M594" s="423">
        <f t="shared" si="240"/>
        <v>0</v>
      </c>
      <c r="N594" s="419">
        <v>652</v>
      </c>
      <c r="O594" s="309">
        <f>0</f>
        <v>0</v>
      </c>
      <c r="P594" s="309">
        <f>0</f>
        <v>0</v>
      </c>
      <c r="Q594" s="309">
        <f>0</f>
        <v>0</v>
      </c>
      <c r="R594" s="424">
        <f t="shared" si="237"/>
        <v>0</v>
      </c>
      <c r="S594" s="421">
        <v>634</v>
      </c>
      <c r="T594" s="301">
        <f>0</f>
        <v>0</v>
      </c>
      <c r="U594" s="301">
        <f>0</f>
        <v>0</v>
      </c>
      <c r="V594" s="301">
        <f>0</f>
        <v>0</v>
      </c>
      <c r="W594" s="425">
        <f t="shared" si="238"/>
        <v>0</v>
      </c>
      <c r="X594" s="419"/>
      <c r="Y594" s="419"/>
      <c r="Z594" s="421"/>
      <c r="AA594" s="421"/>
      <c r="AB594" s="419"/>
      <c r="AC594" s="419"/>
      <c r="AD594" s="421"/>
      <c r="AE594" s="421"/>
      <c r="AF594" s="419"/>
      <c r="AG594" s="419"/>
      <c r="AH594" s="421"/>
      <c r="AI594" s="421"/>
      <c r="AJ594" s="419"/>
      <c r="AK594" s="419"/>
      <c r="AL594" s="421"/>
      <c r="AM594" s="421"/>
      <c r="AN594" s="419"/>
      <c r="AO594" s="419"/>
      <c r="AP594" s="421"/>
      <c r="AQ594" s="421"/>
      <c r="AR594" s="424">
        <f t="shared" si="241"/>
        <v>0</v>
      </c>
      <c r="AS594" s="422">
        <f t="shared" si="242"/>
        <v>0.91444600280504906</v>
      </c>
      <c r="AT594" s="425">
        <f t="shared" si="243"/>
        <v>0</v>
      </c>
      <c r="AU594" s="423">
        <f t="shared" si="244"/>
        <v>0.91884057971014488</v>
      </c>
      <c r="AV594" s="419"/>
      <c r="AW594" s="421"/>
      <c r="AX594" s="419">
        <v>13</v>
      </c>
      <c r="AY594" s="419">
        <v>28</v>
      </c>
      <c r="AZ594" s="421">
        <v>52</v>
      </c>
      <c r="BA594" s="421">
        <v>28</v>
      </c>
      <c r="BB594" s="419">
        <v>52</v>
      </c>
      <c r="BC594" s="419">
        <v>28</v>
      </c>
      <c r="BD594" s="421">
        <v>13</v>
      </c>
      <c r="BE594" s="420">
        <v>17</v>
      </c>
      <c r="BF594" s="419">
        <v>11</v>
      </c>
      <c r="BG594" s="419">
        <v>2</v>
      </c>
      <c r="BH594" s="421">
        <v>11</v>
      </c>
      <c r="BI594" s="421">
        <v>2</v>
      </c>
      <c r="BJ594" s="419"/>
      <c r="BK594" s="419"/>
      <c r="BL594" s="421">
        <v>5</v>
      </c>
      <c r="BM594" s="420">
        <v>1</v>
      </c>
      <c r="BN594" s="419"/>
      <c r="BO594" s="419"/>
      <c r="BP594" s="421"/>
      <c r="BQ594" s="421"/>
      <c r="BR594" s="419"/>
      <c r="BS594" s="419"/>
      <c r="BT594" s="421"/>
      <c r="BU594" s="421"/>
      <c r="BV594" s="419"/>
      <c r="BW594" s="419"/>
      <c r="BX594" s="421"/>
      <c r="BY594" s="421"/>
      <c r="BZ594" s="419"/>
      <c r="CA594" s="419"/>
      <c r="CB594" s="421"/>
      <c r="CC594" s="421"/>
      <c r="CD594" s="419"/>
      <c r="CE594" s="419"/>
      <c r="CF594" s="421"/>
      <c r="CG594" s="421"/>
      <c r="CH594" s="419"/>
      <c r="CI594" s="419"/>
      <c r="CJ594" s="421"/>
      <c r="CK594" s="421"/>
      <c r="CL594" s="419"/>
      <c r="CM594" s="421"/>
      <c r="CN594" s="424">
        <f t="shared" si="245"/>
        <v>58</v>
      </c>
      <c r="CO594" s="424">
        <f t="shared" si="246"/>
        <v>3</v>
      </c>
      <c r="CP594" s="425">
        <f t="shared" si="247"/>
        <v>48</v>
      </c>
      <c r="CQ594" s="425">
        <f t="shared" si="248"/>
        <v>4</v>
      </c>
      <c r="CR594" s="419"/>
      <c r="CS594" s="419"/>
      <c r="CT594" s="421"/>
      <c r="CU594" s="421"/>
      <c r="CV594" s="419"/>
      <c r="CW594" s="419"/>
      <c r="CX594" s="421"/>
      <c r="CY594" s="421"/>
      <c r="CZ594" s="419"/>
      <c r="DA594" s="419"/>
      <c r="DB594" s="421"/>
      <c r="DC594" s="421"/>
      <c r="DD594" s="419"/>
      <c r="DE594" s="419"/>
      <c r="DF594" s="421"/>
      <c r="DG594" s="421"/>
      <c r="DH594" s="419"/>
      <c r="DI594" s="419"/>
      <c r="DJ594" s="421"/>
      <c r="DK594" s="421"/>
      <c r="DL594" s="419"/>
      <c r="DM594" s="419"/>
      <c r="DN594" s="421"/>
      <c r="DO594" s="421"/>
      <c r="DP594" s="419"/>
      <c r="DQ594" s="419"/>
      <c r="DR594" s="421"/>
      <c r="DS594" s="421"/>
      <c r="DT594" s="419"/>
      <c r="DU594" s="419"/>
      <c r="DV594" s="421"/>
      <c r="DW594" s="421"/>
      <c r="DX594" s="419"/>
      <c r="DY594" s="419"/>
      <c r="DZ594" s="421"/>
      <c r="EA594" s="421"/>
      <c r="EB594" s="419"/>
      <c r="EC594" s="419"/>
      <c r="ED594" s="421"/>
      <c r="EE594" s="421"/>
      <c r="EF594" s="419"/>
      <c r="EG594" s="421"/>
      <c r="EH594" s="424">
        <f t="shared" si="249"/>
        <v>0</v>
      </c>
      <c r="EI594" s="424">
        <f t="shared" si="250"/>
        <v>0</v>
      </c>
      <c r="EJ594" s="422">
        <f t="shared" si="251"/>
        <v>0</v>
      </c>
      <c r="EK594" s="425">
        <f t="shared" si="252"/>
        <v>0</v>
      </c>
      <c r="EL594" s="425">
        <f t="shared" si="253"/>
        <v>0</v>
      </c>
      <c r="EM594" s="423">
        <f t="shared" si="254"/>
        <v>0</v>
      </c>
      <c r="EN594" s="424">
        <f t="shared" si="255"/>
        <v>58</v>
      </c>
      <c r="EO594" s="425">
        <f t="shared" si="256"/>
        <v>48</v>
      </c>
      <c r="EP594" s="419"/>
      <c r="EQ594" s="421"/>
      <c r="ER594" s="419"/>
      <c r="ES594" s="421"/>
      <c r="ET594" s="419"/>
      <c r="EU594" s="421"/>
      <c r="EV594" s="419"/>
      <c r="EW594" s="421"/>
      <c r="EX594" s="419"/>
      <c r="EY594" s="421"/>
      <c r="EZ594" s="419"/>
      <c r="FA594" s="421"/>
      <c r="FB594" s="419"/>
      <c r="FC594" s="421"/>
      <c r="FD594" s="419"/>
      <c r="FE594" s="421"/>
      <c r="FF594" s="419"/>
      <c r="FG594" s="421"/>
      <c r="FH594" s="419">
        <v>3</v>
      </c>
      <c r="FI594" s="420">
        <v>8</v>
      </c>
      <c r="FJ594" s="424">
        <f t="shared" si="257"/>
        <v>3</v>
      </c>
      <c r="FK594" s="425">
        <f t="shared" si="258"/>
        <v>8</v>
      </c>
      <c r="FL594" s="419"/>
      <c r="FM594" s="421"/>
      <c r="FN594" s="424">
        <f t="shared" si="259"/>
        <v>713</v>
      </c>
      <c r="FO594" s="425">
        <f t="shared" si="260"/>
        <v>690</v>
      </c>
    </row>
    <row r="595" spans="1:171">
      <c r="A595" s="468" t="s">
        <v>168</v>
      </c>
      <c r="B595" s="469" t="s">
        <v>1118</v>
      </c>
      <c r="C595" s="470" t="s">
        <v>1222</v>
      </c>
      <c r="D595" s="471">
        <v>237932</v>
      </c>
      <c r="E595" s="472">
        <v>5</v>
      </c>
      <c r="F595" s="419"/>
      <c r="G595" s="421"/>
      <c r="H595" s="419"/>
      <c r="I595" s="421"/>
      <c r="J595" s="419">
        <v>36</v>
      </c>
      <c r="K595" s="421">
        <v>37</v>
      </c>
      <c r="L595" s="422">
        <f t="shared" si="239"/>
        <v>8.3333333333333329E-2</v>
      </c>
      <c r="M595" s="423">
        <f t="shared" si="240"/>
        <v>8.9805825242718448E-2</v>
      </c>
      <c r="N595" s="419">
        <v>432</v>
      </c>
      <c r="O595" s="309">
        <f>0</f>
        <v>0</v>
      </c>
      <c r="P595" s="309">
        <f>0</f>
        <v>0</v>
      </c>
      <c r="Q595" s="309">
        <f>0</f>
        <v>0</v>
      </c>
      <c r="R595" s="424">
        <f t="shared" si="237"/>
        <v>0</v>
      </c>
      <c r="S595" s="421">
        <v>412</v>
      </c>
      <c r="T595" s="301">
        <f>0</f>
        <v>0</v>
      </c>
      <c r="U595" s="301">
        <f>0</f>
        <v>0</v>
      </c>
      <c r="V595" s="301">
        <f>0</f>
        <v>0</v>
      </c>
      <c r="W595" s="425">
        <f t="shared" si="238"/>
        <v>0</v>
      </c>
      <c r="X595" s="419"/>
      <c r="Y595" s="419"/>
      <c r="Z595" s="421"/>
      <c r="AA595" s="421"/>
      <c r="AB595" s="419"/>
      <c r="AC595" s="419"/>
      <c r="AD595" s="421"/>
      <c r="AE595" s="421"/>
      <c r="AF595" s="419"/>
      <c r="AG595" s="419"/>
      <c r="AH595" s="421"/>
      <c r="AI595" s="421"/>
      <c r="AJ595" s="419"/>
      <c r="AK595" s="419"/>
      <c r="AL595" s="421"/>
      <c r="AM595" s="421"/>
      <c r="AN595" s="419"/>
      <c r="AO595" s="419"/>
      <c r="AP595" s="421"/>
      <c r="AQ595" s="421"/>
      <c r="AR595" s="424">
        <f t="shared" si="241"/>
        <v>0</v>
      </c>
      <c r="AS595" s="422">
        <f t="shared" si="242"/>
        <v>0.7769784172661871</v>
      </c>
      <c r="AT595" s="425">
        <f t="shared" si="243"/>
        <v>0</v>
      </c>
      <c r="AU595" s="423">
        <f t="shared" si="244"/>
        <v>0.76579925650557623</v>
      </c>
      <c r="AV595" s="419"/>
      <c r="AW595" s="421"/>
      <c r="AX595" s="419">
        <v>13</v>
      </c>
      <c r="AY595" s="419">
        <v>28</v>
      </c>
      <c r="AZ595" s="421">
        <v>52</v>
      </c>
      <c r="BA595" s="421">
        <v>28</v>
      </c>
      <c r="BB595" s="419">
        <v>52</v>
      </c>
      <c r="BC595" s="419">
        <v>26</v>
      </c>
      <c r="BD595" s="421">
        <v>26</v>
      </c>
      <c r="BE595" s="421">
        <v>26</v>
      </c>
      <c r="BF595" s="419">
        <v>51</v>
      </c>
      <c r="BG595" s="419">
        <v>16</v>
      </c>
      <c r="BH595" s="421">
        <v>13</v>
      </c>
      <c r="BI595" s="421">
        <v>17</v>
      </c>
      <c r="BJ595" s="419">
        <v>26</v>
      </c>
      <c r="BK595" s="419">
        <v>12</v>
      </c>
      <c r="BL595" s="421">
        <v>51</v>
      </c>
      <c r="BM595" s="421">
        <v>14</v>
      </c>
      <c r="BN595" s="419">
        <v>45</v>
      </c>
      <c r="BO595" s="419">
        <v>6</v>
      </c>
      <c r="BP595" s="421">
        <v>45</v>
      </c>
      <c r="BQ595" s="420">
        <v>4</v>
      </c>
      <c r="BR595" s="419"/>
      <c r="BS595" s="419"/>
      <c r="BT595" s="421"/>
      <c r="BU595" s="421"/>
      <c r="BV595" s="419"/>
      <c r="BW595" s="419"/>
      <c r="BX595" s="421"/>
      <c r="BY595" s="421"/>
      <c r="BZ595" s="419"/>
      <c r="CA595" s="419"/>
      <c r="CB595" s="421"/>
      <c r="CC595" s="421"/>
      <c r="CD595" s="419"/>
      <c r="CE595" s="419"/>
      <c r="CF595" s="421"/>
      <c r="CG595" s="421"/>
      <c r="CH595" s="419"/>
      <c r="CI595" s="419"/>
      <c r="CJ595" s="421"/>
      <c r="CK595" s="421"/>
      <c r="CL595" s="419"/>
      <c r="CM595" s="421"/>
      <c r="CN595" s="424">
        <f t="shared" si="245"/>
        <v>88</v>
      </c>
      <c r="CO595" s="424">
        <f t="shared" si="246"/>
        <v>5</v>
      </c>
      <c r="CP595" s="425">
        <f t="shared" si="247"/>
        <v>89</v>
      </c>
      <c r="CQ595" s="425">
        <f t="shared" si="248"/>
        <v>5</v>
      </c>
      <c r="CR595" s="419"/>
      <c r="CS595" s="419"/>
      <c r="CT595" s="421"/>
      <c r="CU595" s="421"/>
      <c r="CV595" s="419"/>
      <c r="CW595" s="419"/>
      <c r="CX595" s="421"/>
      <c r="CY595" s="421"/>
      <c r="CZ595" s="419"/>
      <c r="DA595" s="419"/>
      <c r="DB595" s="421"/>
      <c r="DC595" s="421"/>
      <c r="DD595" s="419"/>
      <c r="DE595" s="419"/>
      <c r="DF595" s="421"/>
      <c r="DG595" s="421"/>
      <c r="DH595" s="419"/>
      <c r="DI595" s="419"/>
      <c r="DJ595" s="421"/>
      <c r="DK595" s="421"/>
      <c r="DL595" s="419"/>
      <c r="DM595" s="419"/>
      <c r="DN595" s="421"/>
      <c r="DO595" s="421"/>
      <c r="DP595" s="419"/>
      <c r="DQ595" s="419"/>
      <c r="DR595" s="421"/>
      <c r="DS595" s="421"/>
      <c r="DT595" s="419"/>
      <c r="DU595" s="419"/>
      <c r="DV595" s="421"/>
      <c r="DW595" s="421"/>
      <c r="DX595" s="419"/>
      <c r="DY595" s="419"/>
      <c r="DZ595" s="421"/>
      <c r="EA595" s="421"/>
      <c r="EB595" s="419"/>
      <c r="EC595" s="419"/>
      <c r="ED595" s="421"/>
      <c r="EE595" s="421"/>
      <c r="EF595" s="419"/>
      <c r="EG595" s="421"/>
      <c r="EH595" s="424">
        <f t="shared" si="249"/>
        <v>0</v>
      </c>
      <c r="EI595" s="424">
        <f t="shared" si="250"/>
        <v>0</v>
      </c>
      <c r="EJ595" s="422">
        <f t="shared" si="251"/>
        <v>0</v>
      </c>
      <c r="EK595" s="425">
        <f t="shared" si="252"/>
        <v>0</v>
      </c>
      <c r="EL595" s="425">
        <f t="shared" si="253"/>
        <v>0</v>
      </c>
      <c r="EM595" s="423">
        <f t="shared" si="254"/>
        <v>0</v>
      </c>
      <c r="EN595" s="424">
        <f t="shared" si="255"/>
        <v>88</v>
      </c>
      <c r="EO595" s="425">
        <f t="shared" si="256"/>
        <v>89</v>
      </c>
      <c r="EP595" s="419"/>
      <c r="EQ595" s="421"/>
      <c r="ER595" s="419"/>
      <c r="ES595" s="421"/>
      <c r="ET595" s="419"/>
      <c r="EU595" s="421"/>
      <c r="EV595" s="419"/>
      <c r="EW595" s="421"/>
      <c r="EX595" s="419"/>
      <c r="EY595" s="421"/>
      <c r="EZ595" s="419"/>
      <c r="FA595" s="421"/>
      <c r="FB595" s="419"/>
      <c r="FC595" s="421"/>
      <c r="FD595" s="419"/>
      <c r="FE595" s="421"/>
      <c r="FF595" s="419"/>
      <c r="FG595" s="421"/>
      <c r="FH595" s="419"/>
      <c r="FI595" s="421"/>
      <c r="FJ595" s="424">
        <f t="shared" si="257"/>
        <v>0</v>
      </c>
      <c r="FK595" s="425">
        <f t="shared" si="258"/>
        <v>0</v>
      </c>
      <c r="FL595" s="419"/>
      <c r="FM595" s="421"/>
      <c r="FN595" s="424">
        <f t="shared" si="259"/>
        <v>556</v>
      </c>
      <c r="FO595" s="425">
        <f t="shared" si="260"/>
        <v>538</v>
      </c>
    </row>
    <row r="596" spans="1:171">
      <c r="A596" s="468" t="s">
        <v>168</v>
      </c>
      <c r="B596" s="469" t="s">
        <v>1119</v>
      </c>
      <c r="C596" s="470"/>
      <c r="D596" s="471">
        <v>237215</v>
      </c>
      <c r="E596" s="472">
        <v>6</v>
      </c>
      <c r="F596" s="419"/>
      <c r="G596" s="421"/>
      <c r="H596" s="419"/>
      <c r="I596" s="421"/>
      <c r="J596" s="419">
        <v>103</v>
      </c>
      <c r="K596" s="420">
        <v>126</v>
      </c>
      <c r="L596" s="422">
        <f t="shared" si="239"/>
        <v>0.56284153005464477</v>
      </c>
      <c r="M596" s="423">
        <f t="shared" si="240"/>
        <v>0.69230769230769229</v>
      </c>
      <c r="N596" s="419">
        <v>183</v>
      </c>
      <c r="O596" s="309">
        <f>0</f>
        <v>0</v>
      </c>
      <c r="P596" s="309">
        <f>0</f>
        <v>0</v>
      </c>
      <c r="Q596" s="309">
        <f>0</f>
        <v>0</v>
      </c>
      <c r="R596" s="424">
        <f t="shared" si="237"/>
        <v>0</v>
      </c>
      <c r="S596" s="421">
        <v>182</v>
      </c>
      <c r="T596" s="301">
        <f>0</f>
        <v>0</v>
      </c>
      <c r="U596" s="301">
        <f>0</f>
        <v>0</v>
      </c>
      <c r="V596" s="301">
        <f>0</f>
        <v>0</v>
      </c>
      <c r="W596" s="425">
        <f t="shared" si="238"/>
        <v>0</v>
      </c>
      <c r="X596" s="419"/>
      <c r="Y596" s="419"/>
      <c r="Z596" s="421"/>
      <c r="AA596" s="421"/>
      <c r="AB596" s="419"/>
      <c r="AC596" s="419"/>
      <c r="AD596" s="421"/>
      <c r="AE596" s="421"/>
      <c r="AF596" s="419"/>
      <c r="AG596" s="419"/>
      <c r="AH596" s="421"/>
      <c r="AI596" s="421"/>
      <c r="AJ596" s="419"/>
      <c r="AK596" s="419"/>
      <c r="AL596" s="421"/>
      <c r="AM596" s="421"/>
      <c r="AN596" s="419"/>
      <c r="AO596" s="419"/>
      <c r="AP596" s="421"/>
      <c r="AQ596" s="421"/>
      <c r="AR596" s="424">
        <f t="shared" si="241"/>
        <v>0</v>
      </c>
      <c r="AS596" s="422">
        <f t="shared" si="242"/>
        <v>0.6398601398601399</v>
      </c>
      <c r="AT596" s="425">
        <f t="shared" si="243"/>
        <v>0</v>
      </c>
      <c r="AU596" s="423">
        <f t="shared" si="244"/>
        <v>0.59090909090909094</v>
      </c>
      <c r="AV596" s="419"/>
      <c r="AW596" s="421"/>
      <c r="AX596" s="419"/>
      <c r="AY596" s="419"/>
      <c r="AZ596" s="421"/>
      <c r="BA596" s="421"/>
      <c r="BB596" s="419"/>
      <c r="BC596" s="419"/>
      <c r="BD596" s="421"/>
      <c r="BE596" s="421"/>
      <c r="BF596" s="419"/>
      <c r="BG596" s="419"/>
      <c r="BH596" s="421"/>
      <c r="BI596" s="421"/>
      <c r="BJ596" s="419"/>
      <c r="BK596" s="419"/>
      <c r="BL596" s="421"/>
      <c r="BM596" s="421"/>
      <c r="BN596" s="419"/>
      <c r="BO596" s="419"/>
      <c r="BP596" s="421"/>
      <c r="BQ596" s="421"/>
      <c r="BR596" s="419"/>
      <c r="BS596" s="419"/>
      <c r="BT596" s="421"/>
      <c r="BU596" s="421"/>
      <c r="BV596" s="419"/>
      <c r="BW596" s="419"/>
      <c r="BX596" s="421"/>
      <c r="BY596" s="421"/>
      <c r="BZ596" s="419"/>
      <c r="CA596" s="419"/>
      <c r="CB596" s="421"/>
      <c r="CC596" s="421"/>
      <c r="CD596" s="419"/>
      <c r="CE596" s="419"/>
      <c r="CF596" s="421"/>
      <c r="CG596" s="421"/>
      <c r="CH596" s="419"/>
      <c r="CI596" s="419"/>
      <c r="CJ596" s="421"/>
      <c r="CK596" s="421"/>
      <c r="CL596" s="419"/>
      <c r="CM596" s="421"/>
      <c r="CN596" s="424">
        <f t="shared" si="245"/>
        <v>0</v>
      </c>
      <c r="CO596" s="424">
        <f t="shared" si="246"/>
        <v>0</v>
      </c>
      <c r="CP596" s="425">
        <f t="shared" si="247"/>
        <v>0</v>
      </c>
      <c r="CQ596" s="425">
        <f t="shared" si="248"/>
        <v>0</v>
      </c>
      <c r="CR596" s="419"/>
      <c r="CS596" s="419"/>
      <c r="CT596" s="421"/>
      <c r="CU596" s="421"/>
      <c r="CV596" s="419"/>
      <c r="CW596" s="419"/>
      <c r="CX596" s="421"/>
      <c r="CY596" s="421"/>
      <c r="CZ596" s="419"/>
      <c r="DA596" s="419"/>
      <c r="DB596" s="421"/>
      <c r="DC596" s="421"/>
      <c r="DD596" s="419"/>
      <c r="DE596" s="419"/>
      <c r="DF596" s="421"/>
      <c r="DG596" s="421"/>
      <c r="DH596" s="419"/>
      <c r="DI596" s="419"/>
      <c r="DJ596" s="421"/>
      <c r="DK596" s="421"/>
      <c r="DL596" s="419"/>
      <c r="DM596" s="419"/>
      <c r="DN596" s="421"/>
      <c r="DO596" s="421"/>
      <c r="DP596" s="419"/>
      <c r="DQ596" s="419"/>
      <c r="DR596" s="421"/>
      <c r="DS596" s="421"/>
      <c r="DT596" s="419"/>
      <c r="DU596" s="419"/>
      <c r="DV596" s="421"/>
      <c r="DW596" s="421"/>
      <c r="DX596" s="419"/>
      <c r="DY596" s="419"/>
      <c r="DZ596" s="421"/>
      <c r="EA596" s="421"/>
      <c r="EB596" s="419"/>
      <c r="EC596" s="419"/>
      <c r="ED596" s="421"/>
      <c r="EE596" s="421"/>
      <c r="EF596" s="419"/>
      <c r="EG596" s="421"/>
      <c r="EH596" s="424">
        <f t="shared" si="249"/>
        <v>0</v>
      </c>
      <c r="EI596" s="424">
        <f t="shared" si="250"/>
        <v>0</v>
      </c>
      <c r="EJ596" s="422">
        <f t="shared" si="251"/>
        <v>0</v>
      </c>
      <c r="EK596" s="425">
        <f t="shared" si="252"/>
        <v>0</v>
      </c>
      <c r="EL596" s="425">
        <f t="shared" si="253"/>
        <v>0</v>
      </c>
      <c r="EM596" s="423">
        <f t="shared" si="254"/>
        <v>0</v>
      </c>
      <c r="EN596" s="424">
        <f t="shared" si="255"/>
        <v>0</v>
      </c>
      <c r="EO596" s="425">
        <f t="shared" si="256"/>
        <v>0</v>
      </c>
      <c r="EP596" s="419"/>
      <c r="EQ596" s="421"/>
      <c r="ER596" s="419"/>
      <c r="ES596" s="421"/>
      <c r="ET596" s="419"/>
      <c r="EU596" s="421"/>
      <c r="EV596" s="419"/>
      <c r="EW596" s="421"/>
      <c r="EX596" s="419"/>
      <c r="EY596" s="421"/>
      <c r="EZ596" s="419"/>
      <c r="FA596" s="421"/>
      <c r="FB596" s="419"/>
      <c r="FC596" s="421"/>
      <c r="FD596" s="419"/>
      <c r="FE596" s="421"/>
      <c r="FF596" s="419"/>
      <c r="FG596" s="421"/>
      <c r="FH596" s="419"/>
      <c r="FI596" s="421"/>
      <c r="FJ596" s="424">
        <f t="shared" si="257"/>
        <v>0</v>
      </c>
      <c r="FK596" s="425">
        <f t="shared" si="258"/>
        <v>0</v>
      </c>
      <c r="FL596" s="419"/>
      <c r="FM596" s="421"/>
      <c r="FN596" s="424">
        <f t="shared" si="259"/>
        <v>286</v>
      </c>
      <c r="FO596" s="425">
        <f t="shared" si="260"/>
        <v>308</v>
      </c>
    </row>
    <row r="597" spans="1:171" s="272" customFormat="1" ht="15" customHeight="1">
      <c r="A597" s="468" t="s">
        <v>168</v>
      </c>
      <c r="B597" s="469" t="s">
        <v>1120</v>
      </c>
      <c r="C597" s="474"/>
      <c r="D597" s="471">
        <v>237385</v>
      </c>
      <c r="E597" s="472">
        <v>6</v>
      </c>
      <c r="F597" s="419"/>
      <c r="G597" s="421"/>
      <c r="H597" s="419"/>
      <c r="I597" s="421"/>
      <c r="J597" s="419">
        <v>141</v>
      </c>
      <c r="K597" s="420">
        <v>170</v>
      </c>
      <c r="L597" s="422">
        <f t="shared" si="239"/>
        <v>0.76216216216216215</v>
      </c>
      <c r="M597" s="423">
        <f t="shared" si="240"/>
        <v>1.0429447852760736</v>
      </c>
      <c r="N597" s="419">
        <v>185</v>
      </c>
      <c r="O597" s="309">
        <f>0</f>
        <v>0</v>
      </c>
      <c r="P597" s="309">
        <f>0</f>
        <v>0</v>
      </c>
      <c r="Q597" s="309">
        <f>0</f>
        <v>0</v>
      </c>
      <c r="R597" s="424">
        <f t="shared" si="237"/>
        <v>0</v>
      </c>
      <c r="S597" s="421">
        <v>163</v>
      </c>
      <c r="T597" s="301">
        <f>0</f>
        <v>0</v>
      </c>
      <c r="U597" s="301">
        <f>0</f>
        <v>0</v>
      </c>
      <c r="V597" s="301">
        <f>0</f>
        <v>0</v>
      </c>
      <c r="W597" s="425">
        <f t="shared" si="238"/>
        <v>0</v>
      </c>
      <c r="X597" s="419"/>
      <c r="Y597" s="419"/>
      <c r="Z597" s="421"/>
      <c r="AA597" s="421"/>
      <c r="AB597" s="419"/>
      <c r="AC597" s="419"/>
      <c r="AD597" s="421"/>
      <c r="AE597" s="421"/>
      <c r="AF597" s="419"/>
      <c r="AG597" s="419"/>
      <c r="AH597" s="421"/>
      <c r="AI597" s="421"/>
      <c r="AJ597" s="419"/>
      <c r="AK597" s="419"/>
      <c r="AL597" s="421"/>
      <c r="AM597" s="421"/>
      <c r="AN597" s="419"/>
      <c r="AO597" s="419"/>
      <c r="AP597" s="421"/>
      <c r="AQ597" s="421"/>
      <c r="AR597" s="424">
        <f t="shared" si="241"/>
        <v>0</v>
      </c>
      <c r="AS597" s="422">
        <f t="shared" si="242"/>
        <v>0.56748466257668717</v>
      </c>
      <c r="AT597" s="425">
        <f t="shared" si="243"/>
        <v>0</v>
      </c>
      <c r="AU597" s="423">
        <f t="shared" si="244"/>
        <v>0.4894894894894895</v>
      </c>
      <c r="AV597" s="419"/>
      <c r="AW597" s="421"/>
      <c r="AX597" s="419"/>
      <c r="AY597" s="419"/>
      <c r="AZ597" s="421"/>
      <c r="BA597" s="421"/>
      <c r="BB597" s="419"/>
      <c r="BC597" s="419"/>
      <c r="BD597" s="421"/>
      <c r="BE597" s="421"/>
      <c r="BF597" s="419"/>
      <c r="BG597" s="419"/>
      <c r="BH597" s="421"/>
      <c r="BI597" s="421"/>
      <c r="BJ597" s="419"/>
      <c r="BK597" s="419"/>
      <c r="BL597" s="421"/>
      <c r="BM597" s="421"/>
      <c r="BN597" s="419"/>
      <c r="BO597" s="419"/>
      <c r="BP597" s="421"/>
      <c r="BQ597" s="421"/>
      <c r="BR597" s="419"/>
      <c r="BS597" s="419"/>
      <c r="BT597" s="421"/>
      <c r="BU597" s="421"/>
      <c r="BV597" s="419"/>
      <c r="BW597" s="419"/>
      <c r="BX597" s="421"/>
      <c r="BY597" s="421"/>
      <c r="BZ597" s="419"/>
      <c r="CA597" s="419"/>
      <c r="CB597" s="421"/>
      <c r="CC597" s="421"/>
      <c r="CD597" s="419"/>
      <c r="CE597" s="419"/>
      <c r="CF597" s="421"/>
      <c r="CG597" s="421"/>
      <c r="CH597" s="419"/>
      <c r="CI597" s="419"/>
      <c r="CJ597" s="421"/>
      <c r="CK597" s="421"/>
      <c r="CL597" s="419"/>
      <c r="CM597" s="421"/>
      <c r="CN597" s="424">
        <f t="shared" si="245"/>
        <v>0</v>
      </c>
      <c r="CO597" s="424">
        <f t="shared" si="246"/>
        <v>0</v>
      </c>
      <c r="CP597" s="425">
        <f t="shared" si="247"/>
        <v>0</v>
      </c>
      <c r="CQ597" s="425">
        <f t="shared" si="248"/>
        <v>0</v>
      </c>
      <c r="CR597" s="419"/>
      <c r="CS597" s="419"/>
      <c r="CT597" s="421"/>
      <c r="CU597" s="421"/>
      <c r="CV597" s="419"/>
      <c r="CW597" s="419"/>
      <c r="CX597" s="421"/>
      <c r="CY597" s="421"/>
      <c r="CZ597" s="419"/>
      <c r="DA597" s="419"/>
      <c r="DB597" s="421"/>
      <c r="DC597" s="421"/>
      <c r="DD597" s="419"/>
      <c r="DE597" s="419"/>
      <c r="DF597" s="421"/>
      <c r="DG597" s="421"/>
      <c r="DH597" s="419"/>
      <c r="DI597" s="419"/>
      <c r="DJ597" s="421"/>
      <c r="DK597" s="421"/>
      <c r="DL597" s="419"/>
      <c r="DM597" s="419"/>
      <c r="DN597" s="421"/>
      <c r="DO597" s="421"/>
      <c r="DP597" s="419"/>
      <c r="DQ597" s="419"/>
      <c r="DR597" s="421"/>
      <c r="DS597" s="421"/>
      <c r="DT597" s="419"/>
      <c r="DU597" s="419"/>
      <c r="DV597" s="421"/>
      <c r="DW597" s="421"/>
      <c r="DX597" s="419"/>
      <c r="DY597" s="419"/>
      <c r="DZ597" s="421"/>
      <c r="EA597" s="421"/>
      <c r="EB597" s="419"/>
      <c r="EC597" s="419"/>
      <c r="ED597" s="421"/>
      <c r="EE597" s="421"/>
      <c r="EF597" s="419"/>
      <c r="EG597" s="421"/>
      <c r="EH597" s="424">
        <f t="shared" si="249"/>
        <v>0</v>
      </c>
      <c r="EI597" s="424">
        <f t="shared" si="250"/>
        <v>0</v>
      </c>
      <c r="EJ597" s="422">
        <f t="shared" si="251"/>
        <v>0</v>
      </c>
      <c r="EK597" s="425">
        <f t="shared" si="252"/>
        <v>0</v>
      </c>
      <c r="EL597" s="425">
        <f t="shared" si="253"/>
        <v>0</v>
      </c>
      <c r="EM597" s="423">
        <f t="shared" si="254"/>
        <v>0</v>
      </c>
      <c r="EN597" s="424">
        <f t="shared" si="255"/>
        <v>0</v>
      </c>
      <c r="EO597" s="425">
        <f t="shared" si="256"/>
        <v>0</v>
      </c>
      <c r="EP597" s="419"/>
      <c r="EQ597" s="421"/>
      <c r="ER597" s="419"/>
      <c r="ES597" s="421"/>
      <c r="ET597" s="419"/>
      <c r="EU597" s="421"/>
      <c r="EV597" s="419"/>
      <c r="EW597" s="421"/>
      <c r="EX597" s="419"/>
      <c r="EY597" s="421"/>
      <c r="EZ597" s="419"/>
      <c r="FA597" s="421"/>
      <c r="FB597" s="419"/>
      <c r="FC597" s="421"/>
      <c r="FD597" s="419"/>
      <c r="FE597" s="421"/>
      <c r="FF597" s="419"/>
      <c r="FG597" s="421"/>
      <c r="FH597" s="419"/>
      <c r="FI597" s="421"/>
      <c r="FJ597" s="424">
        <f t="shared" si="257"/>
        <v>0</v>
      </c>
      <c r="FK597" s="425">
        <f t="shared" si="258"/>
        <v>0</v>
      </c>
      <c r="FL597" s="419"/>
      <c r="FM597" s="421"/>
      <c r="FN597" s="424">
        <f t="shared" si="259"/>
        <v>326</v>
      </c>
      <c r="FO597" s="425">
        <f t="shared" si="260"/>
        <v>333</v>
      </c>
    </row>
    <row r="598" spans="1:171">
      <c r="A598" s="468" t="s">
        <v>168</v>
      </c>
      <c r="B598" s="469" t="s">
        <v>1121</v>
      </c>
      <c r="C598" s="470" t="s">
        <v>1222</v>
      </c>
      <c r="D598" s="471">
        <v>237899</v>
      </c>
      <c r="E598" s="472">
        <v>6</v>
      </c>
      <c r="F598" s="419"/>
      <c r="G598" s="421"/>
      <c r="H598" s="419"/>
      <c r="I598" s="421"/>
      <c r="J598" s="419"/>
      <c r="K598" s="421"/>
      <c r="L598" s="422">
        <f t="shared" si="239"/>
        <v>0</v>
      </c>
      <c r="M598" s="423">
        <f t="shared" si="240"/>
        <v>0</v>
      </c>
      <c r="N598" s="419">
        <v>360</v>
      </c>
      <c r="O598" s="309">
        <f>0</f>
        <v>0</v>
      </c>
      <c r="P598" s="309">
        <f>0</f>
        <v>0</v>
      </c>
      <c r="Q598" s="309">
        <f>0</f>
        <v>0</v>
      </c>
      <c r="R598" s="424">
        <f t="shared" si="237"/>
        <v>0</v>
      </c>
      <c r="S598" s="421">
        <v>365</v>
      </c>
      <c r="T598" s="301">
        <f>0</f>
        <v>0</v>
      </c>
      <c r="U598" s="301">
        <f>0</f>
        <v>0</v>
      </c>
      <c r="V598" s="301">
        <f>0</f>
        <v>0</v>
      </c>
      <c r="W598" s="425">
        <f t="shared" si="238"/>
        <v>0</v>
      </c>
      <c r="X598" s="419"/>
      <c r="Y598" s="419"/>
      <c r="Z598" s="421"/>
      <c r="AA598" s="421"/>
      <c r="AB598" s="419"/>
      <c r="AC598" s="419"/>
      <c r="AD598" s="421"/>
      <c r="AE598" s="421"/>
      <c r="AF598" s="419"/>
      <c r="AG598" s="419"/>
      <c r="AH598" s="421"/>
      <c r="AI598" s="421"/>
      <c r="AJ598" s="419"/>
      <c r="AK598" s="419"/>
      <c r="AL598" s="421"/>
      <c r="AM598" s="421"/>
      <c r="AN598" s="419"/>
      <c r="AO598" s="419"/>
      <c r="AP598" s="421"/>
      <c r="AQ598" s="421"/>
      <c r="AR598" s="424">
        <f t="shared" si="241"/>
        <v>0</v>
      </c>
      <c r="AS598" s="422">
        <f t="shared" si="242"/>
        <v>0.90452261306532666</v>
      </c>
      <c r="AT598" s="425">
        <f t="shared" si="243"/>
        <v>0</v>
      </c>
      <c r="AU598" s="423">
        <f t="shared" si="244"/>
        <v>0.85680751173708924</v>
      </c>
      <c r="AV598" s="419"/>
      <c r="AW598" s="421"/>
      <c r="AX598" s="419">
        <v>13</v>
      </c>
      <c r="AY598" s="419">
        <v>20</v>
      </c>
      <c r="AZ598" s="421">
        <v>13</v>
      </c>
      <c r="BA598" s="421">
        <v>20</v>
      </c>
      <c r="BB598" s="419">
        <v>43</v>
      </c>
      <c r="BC598" s="419">
        <v>7</v>
      </c>
      <c r="BD598" s="421">
        <v>44</v>
      </c>
      <c r="BE598" s="420">
        <v>15</v>
      </c>
      <c r="BF598" s="419">
        <v>26</v>
      </c>
      <c r="BG598" s="419">
        <v>6</v>
      </c>
      <c r="BH598" s="421">
        <v>31</v>
      </c>
      <c r="BI598" s="420">
        <v>9</v>
      </c>
      <c r="BJ598" s="419">
        <v>44</v>
      </c>
      <c r="BK598" s="419">
        <v>4</v>
      </c>
      <c r="BL598" s="421">
        <v>26</v>
      </c>
      <c r="BM598" s="420">
        <v>8</v>
      </c>
      <c r="BN598" s="419">
        <v>9</v>
      </c>
      <c r="BO598" s="419">
        <v>1</v>
      </c>
      <c r="BP598" s="421">
        <v>43</v>
      </c>
      <c r="BQ598" s="420">
        <v>8</v>
      </c>
      <c r="BR598" s="419"/>
      <c r="BS598" s="419"/>
      <c r="BT598" s="421">
        <v>9</v>
      </c>
      <c r="BU598" s="420">
        <v>1</v>
      </c>
      <c r="BV598" s="419"/>
      <c r="BW598" s="419"/>
      <c r="BX598" s="421"/>
      <c r="BY598" s="421"/>
      <c r="BZ598" s="419"/>
      <c r="CA598" s="419"/>
      <c r="CB598" s="421"/>
      <c r="CC598" s="421"/>
      <c r="CD598" s="419"/>
      <c r="CE598" s="419"/>
      <c r="CF598" s="421"/>
      <c r="CG598" s="421"/>
      <c r="CH598" s="419"/>
      <c r="CI598" s="419"/>
      <c r="CJ598" s="421"/>
      <c r="CK598" s="421"/>
      <c r="CL598" s="419"/>
      <c r="CM598" s="421"/>
      <c r="CN598" s="424">
        <f t="shared" si="245"/>
        <v>38</v>
      </c>
      <c r="CO598" s="424">
        <f t="shared" si="246"/>
        <v>5</v>
      </c>
      <c r="CP598" s="425">
        <f t="shared" si="247"/>
        <v>61</v>
      </c>
      <c r="CQ598" s="425">
        <f t="shared" si="248"/>
        <v>6</v>
      </c>
      <c r="CR598" s="419"/>
      <c r="CS598" s="419"/>
      <c r="CT598" s="421"/>
      <c r="CU598" s="421"/>
      <c r="CV598" s="419"/>
      <c r="CW598" s="419"/>
      <c r="CX598" s="421"/>
      <c r="CY598" s="421"/>
      <c r="CZ598" s="419"/>
      <c r="DA598" s="419"/>
      <c r="DB598" s="421"/>
      <c r="DC598" s="421"/>
      <c r="DD598" s="419"/>
      <c r="DE598" s="419"/>
      <c r="DF598" s="421"/>
      <c r="DG598" s="421"/>
      <c r="DH598" s="419"/>
      <c r="DI598" s="419"/>
      <c r="DJ598" s="421"/>
      <c r="DK598" s="421"/>
      <c r="DL598" s="419"/>
      <c r="DM598" s="419"/>
      <c r="DN598" s="421"/>
      <c r="DO598" s="421"/>
      <c r="DP598" s="419"/>
      <c r="DQ598" s="419"/>
      <c r="DR598" s="421"/>
      <c r="DS598" s="421"/>
      <c r="DT598" s="419"/>
      <c r="DU598" s="419"/>
      <c r="DV598" s="421"/>
      <c r="DW598" s="421"/>
      <c r="DX598" s="419"/>
      <c r="DY598" s="419"/>
      <c r="DZ598" s="421"/>
      <c r="EA598" s="421"/>
      <c r="EB598" s="419"/>
      <c r="EC598" s="419"/>
      <c r="ED598" s="421"/>
      <c r="EE598" s="421"/>
      <c r="EF598" s="419"/>
      <c r="EG598" s="421"/>
      <c r="EH598" s="424">
        <f t="shared" si="249"/>
        <v>0</v>
      </c>
      <c r="EI598" s="424">
        <f t="shared" si="250"/>
        <v>0</v>
      </c>
      <c r="EJ598" s="422">
        <f t="shared" si="251"/>
        <v>0</v>
      </c>
      <c r="EK598" s="425">
        <f t="shared" si="252"/>
        <v>0</v>
      </c>
      <c r="EL598" s="425">
        <f t="shared" si="253"/>
        <v>0</v>
      </c>
      <c r="EM598" s="423">
        <f t="shared" si="254"/>
        <v>0</v>
      </c>
      <c r="EN598" s="424">
        <f t="shared" si="255"/>
        <v>38</v>
      </c>
      <c r="EO598" s="425">
        <f t="shared" si="256"/>
        <v>61</v>
      </c>
      <c r="EP598" s="419"/>
      <c r="EQ598" s="421"/>
      <c r="ER598" s="419"/>
      <c r="ES598" s="421"/>
      <c r="ET598" s="419"/>
      <c r="EU598" s="421"/>
      <c r="EV598" s="419"/>
      <c r="EW598" s="421"/>
      <c r="EX598" s="419"/>
      <c r="EY598" s="421"/>
      <c r="EZ598" s="419"/>
      <c r="FA598" s="421"/>
      <c r="FB598" s="419"/>
      <c r="FC598" s="421"/>
      <c r="FD598" s="419"/>
      <c r="FE598" s="421"/>
      <c r="FF598" s="419"/>
      <c r="FG598" s="421"/>
      <c r="FH598" s="419"/>
      <c r="FI598" s="421"/>
      <c r="FJ598" s="424">
        <f t="shared" si="257"/>
        <v>0</v>
      </c>
      <c r="FK598" s="425">
        <f t="shared" si="258"/>
        <v>0</v>
      </c>
      <c r="FL598" s="419"/>
      <c r="FM598" s="421"/>
      <c r="FN598" s="424">
        <f t="shared" si="259"/>
        <v>398</v>
      </c>
      <c r="FO598" s="425">
        <f t="shared" si="260"/>
        <v>426</v>
      </c>
    </row>
    <row r="599" spans="1:171">
      <c r="A599" s="468" t="s">
        <v>168</v>
      </c>
      <c r="B599" s="469" t="s">
        <v>1122</v>
      </c>
      <c r="C599" s="470"/>
      <c r="D599" s="471">
        <v>237950</v>
      </c>
      <c r="E599" s="472">
        <v>6</v>
      </c>
      <c r="F599" s="419"/>
      <c r="G599" s="421"/>
      <c r="H599" s="419"/>
      <c r="I599" s="421"/>
      <c r="J599" s="419"/>
      <c r="K599" s="421"/>
      <c r="L599" s="422">
        <f t="shared" si="239"/>
        <v>0</v>
      </c>
      <c r="M599" s="423">
        <f t="shared" si="240"/>
        <v>0</v>
      </c>
      <c r="N599" s="419">
        <v>162</v>
      </c>
      <c r="O599" s="309">
        <f>0</f>
        <v>0</v>
      </c>
      <c r="P599" s="309">
        <f>0</f>
        <v>0</v>
      </c>
      <c r="Q599" s="309">
        <f>0</f>
        <v>0</v>
      </c>
      <c r="R599" s="424">
        <f t="shared" si="237"/>
        <v>0</v>
      </c>
      <c r="S599" s="421">
        <v>165</v>
      </c>
      <c r="T599" s="301">
        <f>0</f>
        <v>0</v>
      </c>
      <c r="U599" s="301">
        <f>0</f>
        <v>0</v>
      </c>
      <c r="V599" s="301">
        <f>0</f>
        <v>0</v>
      </c>
      <c r="W599" s="425">
        <f t="shared" si="238"/>
        <v>0</v>
      </c>
      <c r="X599" s="419"/>
      <c r="Y599" s="419"/>
      <c r="Z599" s="421"/>
      <c r="AA599" s="421"/>
      <c r="AB599" s="419"/>
      <c r="AC599" s="419"/>
      <c r="AD599" s="421"/>
      <c r="AE599" s="421"/>
      <c r="AF599" s="419"/>
      <c r="AG599" s="419"/>
      <c r="AH599" s="421"/>
      <c r="AI599" s="421"/>
      <c r="AJ599" s="419"/>
      <c r="AK599" s="419"/>
      <c r="AL599" s="421"/>
      <c r="AM599" s="421"/>
      <c r="AN599" s="419"/>
      <c r="AO599" s="419"/>
      <c r="AP599" s="421"/>
      <c r="AQ599" s="421"/>
      <c r="AR599" s="424">
        <f t="shared" si="241"/>
        <v>0</v>
      </c>
      <c r="AS599" s="422">
        <f t="shared" si="242"/>
        <v>1</v>
      </c>
      <c r="AT599" s="425">
        <f t="shared" si="243"/>
        <v>0</v>
      </c>
      <c r="AU599" s="423">
        <f t="shared" si="244"/>
        <v>1</v>
      </c>
      <c r="AV599" s="419"/>
      <c r="AW599" s="421"/>
      <c r="AX599" s="419"/>
      <c r="AY599" s="419"/>
      <c r="AZ599" s="421"/>
      <c r="BA599" s="421"/>
      <c r="BB599" s="419"/>
      <c r="BC599" s="419"/>
      <c r="BD599" s="421"/>
      <c r="BE599" s="421"/>
      <c r="BF599" s="419"/>
      <c r="BG599" s="419"/>
      <c r="BH599" s="421"/>
      <c r="BI599" s="421"/>
      <c r="BJ599" s="419"/>
      <c r="BK599" s="419"/>
      <c r="BL599" s="421"/>
      <c r="BM599" s="421"/>
      <c r="BN599" s="419"/>
      <c r="BO599" s="419"/>
      <c r="BP599" s="421"/>
      <c r="BQ599" s="421"/>
      <c r="BR599" s="419"/>
      <c r="BS599" s="419"/>
      <c r="BT599" s="421"/>
      <c r="BU599" s="421"/>
      <c r="BV599" s="419"/>
      <c r="BW599" s="419"/>
      <c r="BX599" s="421"/>
      <c r="BY599" s="421"/>
      <c r="BZ599" s="419"/>
      <c r="CA599" s="419"/>
      <c r="CB599" s="421"/>
      <c r="CC599" s="421"/>
      <c r="CD599" s="419"/>
      <c r="CE599" s="419"/>
      <c r="CF599" s="421"/>
      <c r="CG599" s="421"/>
      <c r="CH599" s="419"/>
      <c r="CI599" s="419"/>
      <c r="CJ599" s="421"/>
      <c r="CK599" s="421"/>
      <c r="CL599" s="419"/>
      <c r="CM599" s="421"/>
      <c r="CN599" s="424">
        <f t="shared" si="245"/>
        <v>0</v>
      </c>
      <c r="CO599" s="424">
        <f t="shared" si="246"/>
        <v>0</v>
      </c>
      <c r="CP599" s="425">
        <f t="shared" si="247"/>
        <v>0</v>
      </c>
      <c r="CQ599" s="425">
        <f t="shared" si="248"/>
        <v>0</v>
      </c>
      <c r="CR599" s="419"/>
      <c r="CS599" s="419"/>
      <c r="CT599" s="421"/>
      <c r="CU599" s="421"/>
      <c r="CV599" s="419"/>
      <c r="CW599" s="419"/>
      <c r="CX599" s="421"/>
      <c r="CY599" s="421"/>
      <c r="CZ599" s="419"/>
      <c r="DA599" s="419"/>
      <c r="DB599" s="421"/>
      <c r="DC599" s="421"/>
      <c r="DD599" s="419"/>
      <c r="DE599" s="419"/>
      <c r="DF599" s="421"/>
      <c r="DG599" s="421"/>
      <c r="DH599" s="419"/>
      <c r="DI599" s="419"/>
      <c r="DJ599" s="421"/>
      <c r="DK599" s="421"/>
      <c r="DL599" s="419"/>
      <c r="DM599" s="419"/>
      <c r="DN599" s="421"/>
      <c r="DO599" s="421"/>
      <c r="DP599" s="419"/>
      <c r="DQ599" s="419"/>
      <c r="DR599" s="421"/>
      <c r="DS599" s="421"/>
      <c r="DT599" s="419"/>
      <c r="DU599" s="419"/>
      <c r="DV599" s="421"/>
      <c r="DW599" s="421"/>
      <c r="DX599" s="419"/>
      <c r="DY599" s="419"/>
      <c r="DZ599" s="421"/>
      <c r="EA599" s="421"/>
      <c r="EB599" s="419"/>
      <c r="EC599" s="419"/>
      <c r="ED599" s="421"/>
      <c r="EE599" s="421"/>
      <c r="EF599" s="419"/>
      <c r="EG599" s="421"/>
      <c r="EH599" s="424">
        <f t="shared" si="249"/>
        <v>0</v>
      </c>
      <c r="EI599" s="424">
        <f t="shared" si="250"/>
        <v>0</v>
      </c>
      <c r="EJ599" s="422">
        <f t="shared" si="251"/>
        <v>0</v>
      </c>
      <c r="EK599" s="425">
        <f t="shared" si="252"/>
        <v>0</v>
      </c>
      <c r="EL599" s="425">
        <f t="shared" si="253"/>
        <v>0</v>
      </c>
      <c r="EM599" s="423">
        <f t="shared" si="254"/>
        <v>0</v>
      </c>
      <c r="EN599" s="424">
        <f t="shared" si="255"/>
        <v>0</v>
      </c>
      <c r="EO599" s="425">
        <f t="shared" si="256"/>
        <v>0</v>
      </c>
      <c r="EP599" s="419"/>
      <c r="EQ599" s="421"/>
      <c r="ER599" s="419"/>
      <c r="ES599" s="421"/>
      <c r="ET599" s="419"/>
      <c r="EU599" s="421"/>
      <c r="EV599" s="419"/>
      <c r="EW599" s="421"/>
      <c r="EX599" s="419"/>
      <c r="EY599" s="421"/>
      <c r="EZ599" s="419"/>
      <c r="FA599" s="421"/>
      <c r="FB599" s="419"/>
      <c r="FC599" s="421"/>
      <c r="FD599" s="419"/>
      <c r="FE599" s="421"/>
      <c r="FF599" s="419"/>
      <c r="FG599" s="421"/>
      <c r="FH599" s="419"/>
      <c r="FI599" s="421"/>
      <c r="FJ599" s="424">
        <f t="shared" si="257"/>
        <v>0</v>
      </c>
      <c r="FK599" s="425">
        <f t="shared" si="258"/>
        <v>0</v>
      </c>
      <c r="FL599" s="419"/>
      <c r="FM599" s="421"/>
      <c r="FN599" s="424">
        <f t="shared" si="259"/>
        <v>162</v>
      </c>
      <c r="FO599" s="425">
        <f t="shared" si="260"/>
        <v>165</v>
      </c>
    </row>
    <row r="600" spans="1:171">
      <c r="A600" s="468" t="s">
        <v>168</v>
      </c>
      <c r="B600" s="469" t="s">
        <v>1123</v>
      </c>
      <c r="C600" s="470"/>
      <c r="D600" s="471">
        <v>237701</v>
      </c>
      <c r="E600" s="472">
        <v>7</v>
      </c>
      <c r="F600" s="419"/>
      <c r="G600" s="421"/>
      <c r="H600" s="419"/>
      <c r="I600" s="421"/>
      <c r="J600" s="419">
        <v>198</v>
      </c>
      <c r="K600" s="421">
        <v>213</v>
      </c>
      <c r="L600" s="422">
        <f t="shared" si="239"/>
        <v>5.3513513513513518</v>
      </c>
      <c r="M600" s="423">
        <f t="shared" si="240"/>
        <v>4.5319148936170217</v>
      </c>
      <c r="N600" s="419">
        <v>37</v>
      </c>
      <c r="O600" s="309">
        <f>0</f>
        <v>0</v>
      </c>
      <c r="P600" s="309">
        <f>0</f>
        <v>0</v>
      </c>
      <c r="Q600" s="309">
        <f>0</f>
        <v>0</v>
      </c>
      <c r="R600" s="424">
        <f t="shared" si="237"/>
        <v>0</v>
      </c>
      <c r="S600" s="420">
        <v>47</v>
      </c>
      <c r="T600" s="301">
        <f>0</f>
        <v>0</v>
      </c>
      <c r="U600" s="301">
        <f>0</f>
        <v>0</v>
      </c>
      <c r="V600" s="301">
        <f>0</f>
        <v>0</v>
      </c>
      <c r="W600" s="425">
        <f t="shared" si="238"/>
        <v>0</v>
      </c>
      <c r="X600" s="419">
        <v>24</v>
      </c>
      <c r="Y600" s="419">
        <v>37</v>
      </c>
      <c r="Z600" s="421">
        <v>24</v>
      </c>
      <c r="AA600" s="420">
        <v>47</v>
      </c>
      <c r="AB600" s="419"/>
      <c r="AC600" s="419"/>
      <c r="AD600" s="421"/>
      <c r="AE600" s="421"/>
      <c r="AF600" s="419"/>
      <c r="AG600" s="419"/>
      <c r="AH600" s="421"/>
      <c r="AI600" s="421"/>
      <c r="AJ600" s="419"/>
      <c r="AK600" s="419"/>
      <c r="AL600" s="421"/>
      <c r="AM600" s="421"/>
      <c r="AN600" s="419"/>
      <c r="AO600" s="419"/>
      <c r="AP600" s="421"/>
      <c r="AQ600" s="421"/>
      <c r="AR600" s="424">
        <f t="shared" si="241"/>
        <v>1</v>
      </c>
      <c r="AS600" s="422">
        <f t="shared" si="242"/>
        <v>0.1574468085106383</v>
      </c>
      <c r="AT600" s="425">
        <f t="shared" si="243"/>
        <v>1</v>
      </c>
      <c r="AU600" s="423">
        <f t="shared" si="244"/>
        <v>0.18076923076923077</v>
      </c>
      <c r="AV600" s="419"/>
      <c r="AW600" s="421"/>
      <c r="AX600" s="419"/>
      <c r="AY600" s="419"/>
      <c r="AZ600" s="421"/>
      <c r="BA600" s="421"/>
      <c r="BB600" s="419"/>
      <c r="BC600" s="419"/>
      <c r="BD600" s="421"/>
      <c r="BE600" s="421"/>
      <c r="BF600" s="419"/>
      <c r="BG600" s="419"/>
      <c r="BH600" s="421"/>
      <c r="BI600" s="421"/>
      <c r="BJ600" s="419"/>
      <c r="BK600" s="419"/>
      <c r="BL600" s="421"/>
      <c r="BM600" s="421"/>
      <c r="BN600" s="419"/>
      <c r="BO600" s="419"/>
      <c r="BP600" s="421"/>
      <c r="BQ600" s="421"/>
      <c r="BR600" s="419"/>
      <c r="BS600" s="419"/>
      <c r="BT600" s="421"/>
      <c r="BU600" s="421"/>
      <c r="BV600" s="419"/>
      <c r="BW600" s="419"/>
      <c r="BX600" s="421"/>
      <c r="BY600" s="421"/>
      <c r="BZ600" s="419"/>
      <c r="CA600" s="419"/>
      <c r="CB600" s="421"/>
      <c r="CC600" s="421"/>
      <c r="CD600" s="419"/>
      <c r="CE600" s="419"/>
      <c r="CF600" s="421"/>
      <c r="CG600" s="421"/>
      <c r="CH600" s="419"/>
      <c r="CI600" s="419"/>
      <c r="CJ600" s="421"/>
      <c r="CK600" s="421"/>
      <c r="CL600" s="419"/>
      <c r="CM600" s="421"/>
      <c r="CN600" s="424">
        <f t="shared" si="245"/>
        <v>0</v>
      </c>
      <c r="CO600" s="424">
        <f t="shared" si="246"/>
        <v>0</v>
      </c>
      <c r="CP600" s="425">
        <f t="shared" si="247"/>
        <v>0</v>
      </c>
      <c r="CQ600" s="425">
        <f t="shared" si="248"/>
        <v>0</v>
      </c>
      <c r="CR600" s="419"/>
      <c r="CS600" s="419"/>
      <c r="CT600" s="421"/>
      <c r="CU600" s="421"/>
      <c r="CV600" s="419"/>
      <c r="CW600" s="419"/>
      <c r="CX600" s="421"/>
      <c r="CY600" s="421"/>
      <c r="CZ600" s="419"/>
      <c r="DA600" s="419"/>
      <c r="DB600" s="421"/>
      <c r="DC600" s="421"/>
      <c r="DD600" s="419"/>
      <c r="DE600" s="419"/>
      <c r="DF600" s="421"/>
      <c r="DG600" s="421"/>
      <c r="DH600" s="419"/>
      <c r="DI600" s="419"/>
      <c r="DJ600" s="421"/>
      <c r="DK600" s="421"/>
      <c r="DL600" s="419"/>
      <c r="DM600" s="419"/>
      <c r="DN600" s="421"/>
      <c r="DO600" s="421"/>
      <c r="DP600" s="419"/>
      <c r="DQ600" s="419"/>
      <c r="DR600" s="421"/>
      <c r="DS600" s="421"/>
      <c r="DT600" s="419"/>
      <c r="DU600" s="419"/>
      <c r="DV600" s="421"/>
      <c r="DW600" s="421"/>
      <c r="DX600" s="419"/>
      <c r="DY600" s="419"/>
      <c r="DZ600" s="421"/>
      <c r="EA600" s="421"/>
      <c r="EB600" s="419"/>
      <c r="EC600" s="419"/>
      <c r="ED600" s="421"/>
      <c r="EE600" s="421"/>
      <c r="EF600" s="419"/>
      <c r="EG600" s="421"/>
      <c r="EH600" s="424">
        <f t="shared" si="249"/>
        <v>0</v>
      </c>
      <c r="EI600" s="424">
        <f t="shared" si="250"/>
        <v>0</v>
      </c>
      <c r="EJ600" s="422">
        <f t="shared" si="251"/>
        <v>0</v>
      </c>
      <c r="EK600" s="425">
        <f t="shared" si="252"/>
        <v>0</v>
      </c>
      <c r="EL600" s="425">
        <f t="shared" si="253"/>
        <v>0</v>
      </c>
      <c r="EM600" s="423">
        <f t="shared" si="254"/>
        <v>0</v>
      </c>
      <c r="EN600" s="424">
        <f t="shared" si="255"/>
        <v>0</v>
      </c>
      <c r="EO600" s="425">
        <f t="shared" si="256"/>
        <v>0</v>
      </c>
      <c r="EP600" s="419"/>
      <c r="EQ600" s="421"/>
      <c r="ER600" s="419"/>
      <c r="ES600" s="421"/>
      <c r="ET600" s="419"/>
      <c r="EU600" s="421"/>
      <c r="EV600" s="419"/>
      <c r="EW600" s="421"/>
      <c r="EX600" s="419"/>
      <c r="EY600" s="421"/>
      <c r="EZ600" s="419"/>
      <c r="FA600" s="421"/>
      <c r="FB600" s="419"/>
      <c r="FC600" s="421"/>
      <c r="FD600" s="419"/>
      <c r="FE600" s="421"/>
      <c r="FF600" s="419"/>
      <c r="FG600" s="421"/>
      <c r="FH600" s="419"/>
      <c r="FI600" s="421"/>
      <c r="FJ600" s="424">
        <f t="shared" si="257"/>
        <v>0</v>
      </c>
      <c r="FK600" s="425">
        <f t="shared" si="258"/>
        <v>0</v>
      </c>
      <c r="FL600" s="419"/>
      <c r="FM600" s="421"/>
      <c r="FN600" s="424">
        <f t="shared" si="259"/>
        <v>235</v>
      </c>
      <c r="FO600" s="425">
        <f t="shared" si="260"/>
        <v>260</v>
      </c>
    </row>
    <row r="601" spans="1:171">
      <c r="A601" s="468" t="s">
        <v>168</v>
      </c>
      <c r="B601" s="469" t="s">
        <v>1124</v>
      </c>
      <c r="C601" s="470" t="s">
        <v>1205</v>
      </c>
      <c r="D601" s="471">
        <v>237686</v>
      </c>
      <c r="E601" s="472">
        <v>7</v>
      </c>
      <c r="F601" s="419">
        <v>134</v>
      </c>
      <c r="G601" s="420">
        <v>105</v>
      </c>
      <c r="H601" s="419"/>
      <c r="I601" s="421"/>
      <c r="J601" s="419">
        <v>324</v>
      </c>
      <c r="K601" s="421">
        <v>301</v>
      </c>
      <c r="L601" s="422">
        <f t="shared" si="239"/>
        <v>1.4086956521739131</v>
      </c>
      <c r="M601" s="423">
        <f t="shared" si="240"/>
        <v>1.2594142259414225</v>
      </c>
      <c r="N601" s="419">
        <v>230</v>
      </c>
      <c r="O601" s="309">
        <f>0</f>
        <v>0</v>
      </c>
      <c r="P601" s="309">
        <f>0</f>
        <v>0</v>
      </c>
      <c r="Q601" s="309">
        <f>0</f>
        <v>0</v>
      </c>
      <c r="R601" s="424">
        <f t="shared" si="237"/>
        <v>0</v>
      </c>
      <c r="S601" s="421">
        <v>239</v>
      </c>
      <c r="T601" s="301">
        <f>0</f>
        <v>0</v>
      </c>
      <c r="U601" s="301">
        <f>0</f>
        <v>0</v>
      </c>
      <c r="V601" s="301">
        <f>0</f>
        <v>0</v>
      </c>
      <c r="W601" s="425">
        <f t="shared" si="238"/>
        <v>0</v>
      </c>
      <c r="X601" s="419">
        <v>24</v>
      </c>
      <c r="Y601" s="419">
        <v>146</v>
      </c>
      <c r="Z601" s="421">
        <v>24</v>
      </c>
      <c r="AA601" s="421">
        <v>155</v>
      </c>
      <c r="AB601" s="419">
        <v>13</v>
      </c>
      <c r="AC601" s="419">
        <v>30</v>
      </c>
      <c r="AD601" s="421">
        <v>51</v>
      </c>
      <c r="AE601" s="421">
        <v>27</v>
      </c>
      <c r="AF601" s="419">
        <v>51</v>
      </c>
      <c r="AG601" s="419">
        <v>25</v>
      </c>
      <c r="AH601" s="421">
        <v>52</v>
      </c>
      <c r="AI601" s="421">
        <v>21</v>
      </c>
      <c r="AJ601" s="419">
        <v>52</v>
      </c>
      <c r="AK601" s="419">
        <v>20</v>
      </c>
      <c r="AL601" s="421">
        <v>13</v>
      </c>
      <c r="AM601" s="421">
        <v>19</v>
      </c>
      <c r="AN601" s="419">
        <v>30</v>
      </c>
      <c r="AO601" s="419">
        <v>2</v>
      </c>
      <c r="AP601" s="421">
        <v>15</v>
      </c>
      <c r="AQ601" s="420">
        <v>16</v>
      </c>
      <c r="AR601" s="424">
        <f t="shared" si="241"/>
        <v>5</v>
      </c>
      <c r="AS601" s="422">
        <f t="shared" si="242"/>
        <v>0.33430232558139533</v>
      </c>
      <c r="AT601" s="425">
        <f t="shared" si="243"/>
        <v>5</v>
      </c>
      <c r="AU601" s="423">
        <f t="shared" si="244"/>
        <v>0.37054263565891471</v>
      </c>
      <c r="AV601" s="419"/>
      <c r="AW601" s="421"/>
      <c r="AX601" s="419"/>
      <c r="AY601" s="419"/>
      <c r="AZ601" s="421"/>
      <c r="BA601" s="421"/>
      <c r="BB601" s="419"/>
      <c r="BC601" s="419"/>
      <c r="BD601" s="421"/>
      <c r="BE601" s="421"/>
      <c r="BF601" s="419"/>
      <c r="BG601" s="419"/>
      <c r="BH601" s="421"/>
      <c r="BI601" s="421"/>
      <c r="BJ601" s="419"/>
      <c r="BK601" s="419"/>
      <c r="BL601" s="421"/>
      <c r="BM601" s="421"/>
      <c r="BN601" s="419"/>
      <c r="BO601" s="419"/>
      <c r="BP601" s="421"/>
      <c r="BQ601" s="421"/>
      <c r="BR601" s="419"/>
      <c r="BS601" s="419"/>
      <c r="BT601" s="421"/>
      <c r="BU601" s="421"/>
      <c r="BV601" s="419"/>
      <c r="BW601" s="419"/>
      <c r="BX601" s="421"/>
      <c r="BY601" s="421"/>
      <c r="BZ601" s="419"/>
      <c r="CA601" s="419"/>
      <c r="CB601" s="421"/>
      <c r="CC601" s="421"/>
      <c r="CD601" s="419"/>
      <c r="CE601" s="419"/>
      <c r="CF601" s="421"/>
      <c r="CG601" s="421"/>
      <c r="CH601" s="419"/>
      <c r="CI601" s="419"/>
      <c r="CJ601" s="421"/>
      <c r="CK601" s="421"/>
      <c r="CL601" s="419"/>
      <c r="CM601" s="421"/>
      <c r="CN601" s="424">
        <f t="shared" si="245"/>
        <v>0</v>
      </c>
      <c r="CO601" s="424">
        <f t="shared" si="246"/>
        <v>0</v>
      </c>
      <c r="CP601" s="425">
        <f t="shared" si="247"/>
        <v>0</v>
      </c>
      <c r="CQ601" s="425">
        <f t="shared" si="248"/>
        <v>0</v>
      </c>
      <c r="CR601" s="419"/>
      <c r="CS601" s="419"/>
      <c r="CT601" s="421"/>
      <c r="CU601" s="421"/>
      <c r="CV601" s="419"/>
      <c r="CW601" s="419"/>
      <c r="CX601" s="421"/>
      <c r="CY601" s="421"/>
      <c r="CZ601" s="419"/>
      <c r="DA601" s="419"/>
      <c r="DB601" s="421"/>
      <c r="DC601" s="421"/>
      <c r="DD601" s="419"/>
      <c r="DE601" s="419"/>
      <c r="DF601" s="421"/>
      <c r="DG601" s="421"/>
      <c r="DH601" s="419"/>
      <c r="DI601" s="419"/>
      <c r="DJ601" s="421"/>
      <c r="DK601" s="421"/>
      <c r="DL601" s="419"/>
      <c r="DM601" s="419"/>
      <c r="DN601" s="421"/>
      <c r="DO601" s="421"/>
      <c r="DP601" s="419"/>
      <c r="DQ601" s="419"/>
      <c r="DR601" s="421"/>
      <c r="DS601" s="421"/>
      <c r="DT601" s="419"/>
      <c r="DU601" s="419"/>
      <c r="DV601" s="421"/>
      <c r="DW601" s="421"/>
      <c r="DX601" s="419"/>
      <c r="DY601" s="419"/>
      <c r="DZ601" s="421"/>
      <c r="EA601" s="421"/>
      <c r="EB601" s="419"/>
      <c r="EC601" s="419"/>
      <c r="ED601" s="421"/>
      <c r="EE601" s="421"/>
      <c r="EF601" s="419"/>
      <c r="EG601" s="421"/>
      <c r="EH601" s="424">
        <f t="shared" si="249"/>
        <v>0</v>
      </c>
      <c r="EI601" s="424">
        <f t="shared" si="250"/>
        <v>0</v>
      </c>
      <c r="EJ601" s="422">
        <f t="shared" si="251"/>
        <v>0</v>
      </c>
      <c r="EK601" s="425">
        <f t="shared" si="252"/>
        <v>0</v>
      </c>
      <c r="EL601" s="425">
        <f t="shared" si="253"/>
        <v>0</v>
      </c>
      <c r="EM601" s="423">
        <f t="shared" si="254"/>
        <v>0</v>
      </c>
      <c r="EN601" s="424">
        <f t="shared" si="255"/>
        <v>0</v>
      </c>
      <c r="EO601" s="425">
        <f t="shared" si="256"/>
        <v>0</v>
      </c>
      <c r="EP601" s="419"/>
      <c r="EQ601" s="421"/>
      <c r="ER601" s="419"/>
      <c r="ES601" s="421"/>
      <c r="ET601" s="419"/>
      <c r="EU601" s="421"/>
      <c r="EV601" s="419"/>
      <c r="EW601" s="421"/>
      <c r="EX601" s="419"/>
      <c r="EY601" s="421"/>
      <c r="EZ601" s="419"/>
      <c r="FA601" s="421"/>
      <c r="FB601" s="419"/>
      <c r="FC601" s="421"/>
      <c r="FD601" s="419"/>
      <c r="FE601" s="421"/>
      <c r="FF601" s="419"/>
      <c r="FG601" s="421"/>
      <c r="FH601" s="419"/>
      <c r="FI601" s="421"/>
      <c r="FJ601" s="424">
        <f t="shared" si="257"/>
        <v>0</v>
      </c>
      <c r="FK601" s="425">
        <f t="shared" si="258"/>
        <v>0</v>
      </c>
      <c r="FL601" s="419"/>
      <c r="FM601" s="421"/>
      <c r="FN601" s="424">
        <f t="shared" si="259"/>
        <v>688</v>
      </c>
      <c r="FO601" s="425">
        <f t="shared" si="260"/>
        <v>645</v>
      </c>
    </row>
    <row r="602" spans="1:171">
      <c r="A602" s="468" t="s">
        <v>168</v>
      </c>
      <c r="B602" s="469" t="s">
        <v>1125</v>
      </c>
      <c r="C602" s="470"/>
      <c r="D602" s="471">
        <v>446774</v>
      </c>
      <c r="E602" s="472">
        <v>9</v>
      </c>
      <c r="F602" s="419">
        <v>551</v>
      </c>
      <c r="G602" s="420">
        <v>321</v>
      </c>
      <c r="H602" s="419"/>
      <c r="I602" s="421"/>
      <c r="J602" s="419">
        <v>552</v>
      </c>
      <c r="K602" s="420">
        <v>369</v>
      </c>
      <c r="L602" s="422">
        <f t="shared" si="239"/>
        <v>0</v>
      </c>
      <c r="M602" s="423">
        <f t="shared" si="240"/>
        <v>0</v>
      </c>
      <c r="N602" s="419"/>
      <c r="O602" s="309">
        <f>0</f>
        <v>0</v>
      </c>
      <c r="P602" s="309">
        <f>0</f>
        <v>0</v>
      </c>
      <c r="Q602" s="309">
        <f>0</f>
        <v>0</v>
      </c>
      <c r="R602" s="424">
        <f t="shared" si="237"/>
        <v>0</v>
      </c>
      <c r="S602" s="421"/>
      <c r="T602" s="301">
        <f>0</f>
        <v>0</v>
      </c>
      <c r="U602" s="301">
        <f>0</f>
        <v>0</v>
      </c>
      <c r="V602" s="301">
        <f>0</f>
        <v>0</v>
      </c>
      <c r="W602" s="425">
        <f t="shared" si="238"/>
        <v>0</v>
      </c>
      <c r="X602" s="419"/>
      <c r="Y602" s="419"/>
      <c r="Z602" s="421"/>
      <c r="AA602" s="421"/>
      <c r="AB602" s="419"/>
      <c r="AC602" s="419"/>
      <c r="AD602" s="421"/>
      <c r="AE602" s="421"/>
      <c r="AF602" s="419"/>
      <c r="AG602" s="419"/>
      <c r="AH602" s="421"/>
      <c r="AI602" s="421"/>
      <c r="AJ602" s="419"/>
      <c r="AK602" s="419"/>
      <c r="AL602" s="421"/>
      <c r="AM602" s="421"/>
      <c r="AN602" s="419"/>
      <c r="AO602" s="419"/>
      <c r="AP602" s="421"/>
      <c r="AQ602" s="421"/>
      <c r="AR602" s="424">
        <f t="shared" si="241"/>
        <v>0</v>
      </c>
      <c r="AS602" s="422">
        <f t="shared" si="242"/>
        <v>0</v>
      </c>
      <c r="AT602" s="425">
        <f t="shared" si="243"/>
        <v>0</v>
      </c>
      <c r="AU602" s="423">
        <f t="shared" si="244"/>
        <v>0</v>
      </c>
      <c r="AV602" s="419"/>
      <c r="AW602" s="421"/>
      <c r="AX602" s="419"/>
      <c r="AY602" s="419"/>
      <c r="AZ602" s="421"/>
      <c r="BA602" s="421"/>
      <c r="BB602" s="419"/>
      <c r="BC602" s="419"/>
      <c r="BD602" s="421"/>
      <c r="BE602" s="421"/>
      <c r="BF602" s="419"/>
      <c r="BG602" s="419"/>
      <c r="BH602" s="421"/>
      <c r="BI602" s="421"/>
      <c r="BJ602" s="419"/>
      <c r="BK602" s="419"/>
      <c r="BL602" s="421"/>
      <c r="BM602" s="421"/>
      <c r="BN602" s="419"/>
      <c r="BO602" s="419"/>
      <c r="BP602" s="421"/>
      <c r="BQ602" s="421"/>
      <c r="BR602" s="419"/>
      <c r="BS602" s="419"/>
      <c r="BT602" s="421"/>
      <c r="BU602" s="421"/>
      <c r="BV602" s="419"/>
      <c r="BW602" s="419"/>
      <c r="BX602" s="421"/>
      <c r="BY602" s="421"/>
      <c r="BZ602" s="419"/>
      <c r="CA602" s="419"/>
      <c r="CB602" s="421"/>
      <c r="CC602" s="421"/>
      <c r="CD602" s="419"/>
      <c r="CE602" s="419"/>
      <c r="CF602" s="421"/>
      <c r="CG602" s="421"/>
      <c r="CH602" s="419"/>
      <c r="CI602" s="419"/>
      <c r="CJ602" s="421"/>
      <c r="CK602" s="421"/>
      <c r="CL602" s="419"/>
      <c r="CM602" s="421"/>
      <c r="CN602" s="424">
        <f t="shared" si="245"/>
        <v>0</v>
      </c>
      <c r="CO602" s="424">
        <f t="shared" si="246"/>
        <v>0</v>
      </c>
      <c r="CP602" s="425">
        <f t="shared" si="247"/>
        <v>0</v>
      </c>
      <c r="CQ602" s="425">
        <f t="shared" si="248"/>
        <v>0</v>
      </c>
      <c r="CR602" s="419"/>
      <c r="CS602" s="419"/>
      <c r="CT602" s="421"/>
      <c r="CU602" s="421"/>
      <c r="CV602" s="419"/>
      <c r="CW602" s="419"/>
      <c r="CX602" s="421"/>
      <c r="CY602" s="421"/>
      <c r="CZ602" s="419"/>
      <c r="DA602" s="419"/>
      <c r="DB602" s="421"/>
      <c r="DC602" s="421"/>
      <c r="DD602" s="419"/>
      <c r="DE602" s="419"/>
      <c r="DF602" s="421"/>
      <c r="DG602" s="421"/>
      <c r="DH602" s="419"/>
      <c r="DI602" s="419"/>
      <c r="DJ602" s="421"/>
      <c r="DK602" s="421"/>
      <c r="DL602" s="419"/>
      <c r="DM602" s="419"/>
      <c r="DN602" s="421"/>
      <c r="DO602" s="421"/>
      <c r="DP602" s="419"/>
      <c r="DQ602" s="419"/>
      <c r="DR602" s="421"/>
      <c r="DS602" s="421"/>
      <c r="DT602" s="419"/>
      <c r="DU602" s="419"/>
      <c r="DV602" s="421"/>
      <c r="DW602" s="421"/>
      <c r="DX602" s="419"/>
      <c r="DY602" s="419"/>
      <c r="DZ602" s="421"/>
      <c r="EA602" s="421"/>
      <c r="EB602" s="419"/>
      <c r="EC602" s="419"/>
      <c r="ED602" s="421"/>
      <c r="EE602" s="421"/>
      <c r="EF602" s="419"/>
      <c r="EG602" s="421"/>
      <c r="EH602" s="424">
        <f t="shared" si="249"/>
        <v>0</v>
      </c>
      <c r="EI602" s="424">
        <f t="shared" si="250"/>
        <v>0</v>
      </c>
      <c r="EJ602" s="422">
        <f t="shared" si="251"/>
        <v>0</v>
      </c>
      <c r="EK602" s="425">
        <f t="shared" si="252"/>
        <v>0</v>
      </c>
      <c r="EL602" s="425">
        <f t="shared" si="253"/>
        <v>0</v>
      </c>
      <c r="EM602" s="423">
        <f t="shared" si="254"/>
        <v>0</v>
      </c>
      <c r="EN602" s="424">
        <f t="shared" si="255"/>
        <v>0</v>
      </c>
      <c r="EO602" s="425">
        <f t="shared" si="256"/>
        <v>0</v>
      </c>
      <c r="EP602" s="419"/>
      <c r="EQ602" s="421"/>
      <c r="ER602" s="419"/>
      <c r="ES602" s="421"/>
      <c r="ET602" s="419"/>
      <c r="EU602" s="421"/>
      <c r="EV602" s="419"/>
      <c r="EW602" s="421"/>
      <c r="EX602" s="419"/>
      <c r="EY602" s="421"/>
      <c r="EZ602" s="419"/>
      <c r="FA602" s="421"/>
      <c r="FB602" s="419"/>
      <c r="FC602" s="421"/>
      <c r="FD602" s="419"/>
      <c r="FE602" s="421"/>
      <c r="FF602" s="419"/>
      <c r="FG602" s="421"/>
      <c r="FH602" s="419"/>
      <c r="FI602" s="421"/>
      <c r="FJ602" s="424">
        <f t="shared" si="257"/>
        <v>0</v>
      </c>
      <c r="FK602" s="425">
        <f t="shared" si="258"/>
        <v>0</v>
      </c>
      <c r="FL602" s="419"/>
      <c r="FM602" s="421"/>
      <c r="FN602" s="424">
        <f t="shared" si="259"/>
        <v>1103</v>
      </c>
      <c r="FO602" s="425">
        <f t="shared" si="260"/>
        <v>690</v>
      </c>
    </row>
    <row r="603" spans="1:171">
      <c r="A603" s="468" t="s">
        <v>168</v>
      </c>
      <c r="B603" s="476" t="s">
        <v>1126</v>
      </c>
      <c r="C603" s="470"/>
      <c r="D603" s="477">
        <v>484932</v>
      </c>
      <c r="E603" s="472">
        <v>10</v>
      </c>
      <c r="F603" s="419">
        <v>75</v>
      </c>
      <c r="G603" s="421">
        <v>69</v>
      </c>
      <c r="H603" s="419"/>
      <c r="I603" s="421"/>
      <c r="J603" s="419">
        <v>390</v>
      </c>
      <c r="K603" s="421">
        <v>326</v>
      </c>
      <c r="L603" s="422">
        <f t="shared" si="239"/>
        <v>0</v>
      </c>
      <c r="M603" s="423">
        <f t="shared" si="240"/>
        <v>0</v>
      </c>
      <c r="N603" s="419"/>
      <c r="O603" s="309">
        <f>0</f>
        <v>0</v>
      </c>
      <c r="P603" s="309">
        <f>0</f>
        <v>0</v>
      </c>
      <c r="Q603" s="309">
        <f>0</f>
        <v>0</v>
      </c>
      <c r="R603" s="424">
        <f t="shared" si="237"/>
        <v>0</v>
      </c>
      <c r="S603" s="421"/>
      <c r="T603" s="301">
        <f>0</f>
        <v>0</v>
      </c>
      <c r="U603" s="301">
        <f>0</f>
        <v>0</v>
      </c>
      <c r="V603" s="301">
        <f>0</f>
        <v>0</v>
      </c>
      <c r="W603" s="425">
        <f t="shared" si="238"/>
        <v>0</v>
      </c>
      <c r="X603" s="419"/>
      <c r="Y603" s="419"/>
      <c r="Z603" s="421"/>
      <c r="AA603" s="421"/>
      <c r="AB603" s="419"/>
      <c r="AC603" s="419"/>
      <c r="AD603" s="421"/>
      <c r="AE603" s="421"/>
      <c r="AF603" s="419"/>
      <c r="AG603" s="419"/>
      <c r="AH603" s="421"/>
      <c r="AI603" s="421"/>
      <c r="AJ603" s="419"/>
      <c r="AK603" s="419"/>
      <c r="AL603" s="421"/>
      <c r="AM603" s="421"/>
      <c r="AN603" s="419"/>
      <c r="AO603" s="419"/>
      <c r="AP603" s="421"/>
      <c r="AQ603" s="421"/>
      <c r="AR603" s="424">
        <f t="shared" si="241"/>
        <v>0</v>
      </c>
      <c r="AS603" s="422">
        <f t="shared" si="242"/>
        <v>0</v>
      </c>
      <c r="AT603" s="425">
        <f t="shared" si="243"/>
        <v>0</v>
      </c>
      <c r="AU603" s="423">
        <f t="shared" si="244"/>
        <v>0</v>
      </c>
      <c r="AV603" s="419"/>
      <c r="AW603" s="421"/>
      <c r="AX603" s="419"/>
      <c r="AY603" s="419"/>
      <c r="AZ603" s="421"/>
      <c r="BA603" s="421"/>
      <c r="BB603" s="419"/>
      <c r="BC603" s="419"/>
      <c r="BD603" s="421"/>
      <c r="BE603" s="421"/>
      <c r="BF603" s="419"/>
      <c r="BG603" s="419"/>
      <c r="BH603" s="421"/>
      <c r="BI603" s="421"/>
      <c r="BJ603" s="419"/>
      <c r="BK603" s="419"/>
      <c r="BL603" s="421"/>
      <c r="BM603" s="421"/>
      <c r="BN603" s="419"/>
      <c r="BO603" s="419"/>
      <c r="BP603" s="421"/>
      <c r="BQ603" s="421"/>
      <c r="BR603" s="419"/>
      <c r="BS603" s="419"/>
      <c r="BT603" s="421"/>
      <c r="BU603" s="421"/>
      <c r="BV603" s="419"/>
      <c r="BW603" s="419"/>
      <c r="BX603" s="421"/>
      <c r="BY603" s="421"/>
      <c r="BZ603" s="419"/>
      <c r="CA603" s="419"/>
      <c r="CB603" s="421"/>
      <c r="CC603" s="421"/>
      <c r="CD603" s="419"/>
      <c r="CE603" s="419"/>
      <c r="CF603" s="421"/>
      <c r="CG603" s="421"/>
      <c r="CH603" s="419"/>
      <c r="CI603" s="419"/>
      <c r="CJ603" s="421"/>
      <c r="CK603" s="421"/>
      <c r="CL603" s="419"/>
      <c r="CM603" s="421"/>
      <c r="CN603" s="424">
        <f t="shared" si="245"/>
        <v>0</v>
      </c>
      <c r="CO603" s="424">
        <f t="shared" si="246"/>
        <v>0</v>
      </c>
      <c r="CP603" s="425">
        <f t="shared" si="247"/>
        <v>0</v>
      </c>
      <c r="CQ603" s="425">
        <f t="shared" si="248"/>
        <v>0</v>
      </c>
      <c r="CR603" s="419"/>
      <c r="CS603" s="419"/>
      <c r="CT603" s="421"/>
      <c r="CU603" s="421"/>
      <c r="CV603" s="419"/>
      <c r="CW603" s="419"/>
      <c r="CX603" s="421"/>
      <c r="CY603" s="421"/>
      <c r="CZ603" s="419"/>
      <c r="DA603" s="419"/>
      <c r="DB603" s="421"/>
      <c r="DC603" s="421"/>
      <c r="DD603" s="419"/>
      <c r="DE603" s="419"/>
      <c r="DF603" s="421"/>
      <c r="DG603" s="421"/>
      <c r="DH603" s="419"/>
      <c r="DI603" s="419"/>
      <c r="DJ603" s="421"/>
      <c r="DK603" s="421"/>
      <c r="DL603" s="419"/>
      <c r="DM603" s="419"/>
      <c r="DN603" s="421"/>
      <c r="DO603" s="421"/>
      <c r="DP603" s="419"/>
      <c r="DQ603" s="419"/>
      <c r="DR603" s="421"/>
      <c r="DS603" s="421"/>
      <c r="DT603" s="419"/>
      <c r="DU603" s="419"/>
      <c r="DV603" s="421"/>
      <c r="DW603" s="421"/>
      <c r="DX603" s="419"/>
      <c r="DY603" s="419"/>
      <c r="DZ603" s="421"/>
      <c r="EA603" s="421"/>
      <c r="EB603" s="419"/>
      <c r="EC603" s="419"/>
      <c r="ED603" s="421"/>
      <c r="EE603" s="421"/>
      <c r="EF603" s="419"/>
      <c r="EG603" s="421"/>
      <c r="EH603" s="424">
        <f t="shared" si="249"/>
        <v>0</v>
      </c>
      <c r="EI603" s="424">
        <f t="shared" si="250"/>
        <v>0</v>
      </c>
      <c r="EJ603" s="422">
        <f t="shared" si="251"/>
        <v>0</v>
      </c>
      <c r="EK603" s="425">
        <f t="shared" si="252"/>
        <v>0</v>
      </c>
      <c r="EL603" s="425">
        <f t="shared" si="253"/>
        <v>0</v>
      </c>
      <c r="EM603" s="423">
        <f t="shared" si="254"/>
        <v>0</v>
      </c>
      <c r="EN603" s="424">
        <f t="shared" si="255"/>
        <v>0</v>
      </c>
      <c r="EO603" s="425">
        <f t="shared" si="256"/>
        <v>0</v>
      </c>
      <c r="EP603" s="419"/>
      <c r="EQ603" s="421"/>
      <c r="ER603" s="419"/>
      <c r="ES603" s="421"/>
      <c r="ET603" s="419"/>
      <c r="EU603" s="421"/>
      <c r="EV603" s="419"/>
      <c r="EW603" s="421"/>
      <c r="EX603" s="419"/>
      <c r="EY603" s="421"/>
      <c r="EZ603" s="419"/>
      <c r="FA603" s="421"/>
      <c r="FB603" s="419"/>
      <c r="FC603" s="421"/>
      <c r="FD603" s="419"/>
      <c r="FE603" s="421"/>
      <c r="FF603" s="419"/>
      <c r="FG603" s="421"/>
      <c r="FH603" s="419"/>
      <c r="FI603" s="421"/>
      <c r="FJ603" s="424">
        <f t="shared" si="257"/>
        <v>0</v>
      </c>
      <c r="FK603" s="425">
        <f t="shared" si="258"/>
        <v>0</v>
      </c>
      <c r="FL603" s="419"/>
      <c r="FM603" s="421"/>
      <c r="FN603" s="424">
        <f t="shared" si="259"/>
        <v>465</v>
      </c>
      <c r="FO603" s="425">
        <f t="shared" si="260"/>
        <v>395</v>
      </c>
    </row>
    <row r="604" spans="1:171">
      <c r="A604" s="468" t="s">
        <v>168</v>
      </c>
      <c r="B604" s="469" t="s">
        <v>1127</v>
      </c>
      <c r="C604" s="470"/>
      <c r="D604" s="471">
        <v>438708</v>
      </c>
      <c r="E604" s="472">
        <v>10</v>
      </c>
      <c r="F604" s="419">
        <v>32</v>
      </c>
      <c r="G604" s="420">
        <v>41</v>
      </c>
      <c r="H604" s="419"/>
      <c r="I604" s="421"/>
      <c r="J604" s="419">
        <v>46</v>
      </c>
      <c r="K604" s="420">
        <v>77</v>
      </c>
      <c r="L604" s="422">
        <f t="shared" si="239"/>
        <v>0</v>
      </c>
      <c r="M604" s="423">
        <f t="shared" si="240"/>
        <v>0</v>
      </c>
      <c r="N604" s="419"/>
      <c r="O604" s="309">
        <f>0</f>
        <v>0</v>
      </c>
      <c r="P604" s="309">
        <f>0</f>
        <v>0</v>
      </c>
      <c r="Q604" s="309">
        <f>0</f>
        <v>0</v>
      </c>
      <c r="R604" s="424">
        <f t="shared" si="237"/>
        <v>0</v>
      </c>
      <c r="S604" s="421"/>
      <c r="T604" s="301">
        <f>0</f>
        <v>0</v>
      </c>
      <c r="U604" s="301">
        <f>0</f>
        <v>0</v>
      </c>
      <c r="V604" s="301">
        <f>0</f>
        <v>0</v>
      </c>
      <c r="W604" s="425">
        <f t="shared" si="238"/>
        <v>0</v>
      </c>
      <c r="X604" s="419"/>
      <c r="Y604" s="419"/>
      <c r="Z604" s="421"/>
      <c r="AA604" s="421"/>
      <c r="AB604" s="419"/>
      <c r="AC604" s="419"/>
      <c r="AD604" s="421"/>
      <c r="AE604" s="421"/>
      <c r="AF604" s="419"/>
      <c r="AG604" s="419"/>
      <c r="AH604" s="421"/>
      <c r="AI604" s="421"/>
      <c r="AJ604" s="419"/>
      <c r="AK604" s="419"/>
      <c r="AL604" s="421"/>
      <c r="AM604" s="421"/>
      <c r="AN604" s="419"/>
      <c r="AO604" s="419"/>
      <c r="AP604" s="421"/>
      <c r="AQ604" s="421"/>
      <c r="AR604" s="424">
        <f t="shared" si="241"/>
        <v>0</v>
      </c>
      <c r="AS604" s="422">
        <f t="shared" si="242"/>
        <v>0</v>
      </c>
      <c r="AT604" s="425">
        <f t="shared" si="243"/>
        <v>0</v>
      </c>
      <c r="AU604" s="423">
        <f t="shared" si="244"/>
        <v>0</v>
      </c>
      <c r="AV604" s="419"/>
      <c r="AW604" s="421"/>
      <c r="AX604" s="419"/>
      <c r="AY604" s="419"/>
      <c r="AZ604" s="421"/>
      <c r="BA604" s="421"/>
      <c r="BB604" s="419"/>
      <c r="BC604" s="419"/>
      <c r="BD604" s="421"/>
      <c r="BE604" s="421"/>
      <c r="BF604" s="419"/>
      <c r="BG604" s="419"/>
      <c r="BH604" s="421"/>
      <c r="BI604" s="421"/>
      <c r="BJ604" s="419"/>
      <c r="BK604" s="419"/>
      <c r="BL604" s="421"/>
      <c r="BM604" s="421"/>
      <c r="BN604" s="419"/>
      <c r="BO604" s="419"/>
      <c r="BP604" s="421"/>
      <c r="BQ604" s="421"/>
      <c r="BR604" s="419"/>
      <c r="BS604" s="419"/>
      <c r="BT604" s="421"/>
      <c r="BU604" s="421"/>
      <c r="BV604" s="419"/>
      <c r="BW604" s="419"/>
      <c r="BX604" s="421"/>
      <c r="BY604" s="421"/>
      <c r="BZ604" s="419"/>
      <c r="CA604" s="419"/>
      <c r="CB604" s="421"/>
      <c r="CC604" s="421"/>
      <c r="CD604" s="419"/>
      <c r="CE604" s="419"/>
      <c r="CF604" s="421"/>
      <c r="CG604" s="421"/>
      <c r="CH604" s="419"/>
      <c r="CI604" s="419"/>
      <c r="CJ604" s="421"/>
      <c r="CK604" s="421"/>
      <c r="CL604" s="419"/>
      <c r="CM604" s="421"/>
      <c r="CN604" s="424">
        <f t="shared" si="245"/>
        <v>0</v>
      </c>
      <c r="CO604" s="424">
        <f t="shared" si="246"/>
        <v>0</v>
      </c>
      <c r="CP604" s="425">
        <f t="shared" si="247"/>
        <v>0</v>
      </c>
      <c r="CQ604" s="425">
        <f t="shared" si="248"/>
        <v>0</v>
      </c>
      <c r="CR604" s="419"/>
      <c r="CS604" s="419"/>
      <c r="CT604" s="421"/>
      <c r="CU604" s="421"/>
      <c r="CV604" s="419"/>
      <c r="CW604" s="419"/>
      <c r="CX604" s="421"/>
      <c r="CY604" s="421"/>
      <c r="CZ604" s="419"/>
      <c r="DA604" s="419"/>
      <c r="DB604" s="421"/>
      <c r="DC604" s="421"/>
      <c r="DD604" s="419"/>
      <c r="DE604" s="419"/>
      <c r="DF604" s="421"/>
      <c r="DG604" s="421"/>
      <c r="DH604" s="419"/>
      <c r="DI604" s="419"/>
      <c r="DJ604" s="421"/>
      <c r="DK604" s="421"/>
      <c r="DL604" s="419"/>
      <c r="DM604" s="419"/>
      <c r="DN604" s="421"/>
      <c r="DO604" s="421"/>
      <c r="DP604" s="419"/>
      <c r="DQ604" s="419"/>
      <c r="DR604" s="421"/>
      <c r="DS604" s="421"/>
      <c r="DT604" s="419"/>
      <c r="DU604" s="419"/>
      <c r="DV604" s="421"/>
      <c r="DW604" s="421"/>
      <c r="DX604" s="419"/>
      <c r="DY604" s="419"/>
      <c r="DZ604" s="421"/>
      <c r="EA604" s="421"/>
      <c r="EB604" s="419"/>
      <c r="EC604" s="419"/>
      <c r="ED604" s="421"/>
      <c r="EE604" s="421"/>
      <c r="EF604" s="419"/>
      <c r="EG604" s="421"/>
      <c r="EH604" s="424">
        <f t="shared" si="249"/>
        <v>0</v>
      </c>
      <c r="EI604" s="424">
        <f t="shared" si="250"/>
        <v>0</v>
      </c>
      <c r="EJ604" s="422">
        <f t="shared" si="251"/>
        <v>0</v>
      </c>
      <c r="EK604" s="425">
        <f t="shared" si="252"/>
        <v>0</v>
      </c>
      <c r="EL604" s="425">
        <f t="shared" si="253"/>
        <v>0</v>
      </c>
      <c r="EM604" s="423">
        <f t="shared" si="254"/>
        <v>0</v>
      </c>
      <c r="EN604" s="424">
        <f t="shared" si="255"/>
        <v>0</v>
      </c>
      <c r="EO604" s="425">
        <f t="shared" si="256"/>
        <v>0</v>
      </c>
      <c r="EP604" s="419"/>
      <c r="EQ604" s="421"/>
      <c r="ER604" s="419"/>
      <c r="ES604" s="421"/>
      <c r="ET604" s="419"/>
      <c r="EU604" s="421"/>
      <c r="EV604" s="419"/>
      <c r="EW604" s="421"/>
      <c r="EX604" s="419"/>
      <c r="EY604" s="421"/>
      <c r="EZ604" s="419"/>
      <c r="FA604" s="421"/>
      <c r="FB604" s="419"/>
      <c r="FC604" s="421"/>
      <c r="FD604" s="419"/>
      <c r="FE604" s="421"/>
      <c r="FF604" s="419"/>
      <c r="FG604" s="421"/>
      <c r="FH604" s="419"/>
      <c r="FI604" s="421"/>
      <c r="FJ604" s="424">
        <f t="shared" si="257"/>
        <v>0</v>
      </c>
      <c r="FK604" s="425">
        <f t="shared" si="258"/>
        <v>0</v>
      </c>
      <c r="FL604" s="419"/>
      <c r="FM604" s="421"/>
      <c r="FN604" s="424">
        <f t="shared" si="259"/>
        <v>78</v>
      </c>
      <c r="FO604" s="425">
        <f t="shared" si="260"/>
        <v>118</v>
      </c>
    </row>
    <row r="605" spans="1:171">
      <c r="A605" s="468" t="s">
        <v>168</v>
      </c>
      <c r="B605" s="469" t="s">
        <v>1128</v>
      </c>
      <c r="C605" s="470"/>
      <c r="D605" s="471">
        <v>444954</v>
      </c>
      <c r="E605" s="472">
        <v>10</v>
      </c>
      <c r="F605" s="419">
        <v>737</v>
      </c>
      <c r="G605" s="421">
        <v>822</v>
      </c>
      <c r="H605" s="419"/>
      <c r="I605" s="421"/>
      <c r="J605" s="419">
        <v>380</v>
      </c>
      <c r="K605" s="421">
        <v>331</v>
      </c>
      <c r="L605" s="422">
        <f t="shared" si="239"/>
        <v>0</v>
      </c>
      <c r="M605" s="423">
        <f t="shared" si="240"/>
        <v>0</v>
      </c>
      <c r="N605" s="419"/>
      <c r="O605" s="309">
        <f>0</f>
        <v>0</v>
      </c>
      <c r="P605" s="309">
        <f>0</f>
        <v>0</v>
      </c>
      <c r="Q605" s="309">
        <f>0</f>
        <v>0</v>
      </c>
      <c r="R605" s="424">
        <f t="shared" si="237"/>
        <v>0</v>
      </c>
      <c r="S605" s="421"/>
      <c r="T605" s="301">
        <f>0</f>
        <v>0</v>
      </c>
      <c r="U605" s="301">
        <f>0</f>
        <v>0</v>
      </c>
      <c r="V605" s="301">
        <f>0</f>
        <v>0</v>
      </c>
      <c r="W605" s="425">
        <f t="shared" si="238"/>
        <v>0</v>
      </c>
      <c r="X605" s="419"/>
      <c r="Y605" s="419"/>
      <c r="Z605" s="421"/>
      <c r="AA605" s="421"/>
      <c r="AB605" s="419"/>
      <c r="AC605" s="419"/>
      <c r="AD605" s="421"/>
      <c r="AE605" s="421"/>
      <c r="AF605" s="419"/>
      <c r="AG605" s="419"/>
      <c r="AH605" s="421"/>
      <c r="AI605" s="421"/>
      <c r="AJ605" s="419"/>
      <c r="AK605" s="419"/>
      <c r="AL605" s="421"/>
      <c r="AM605" s="421"/>
      <c r="AN605" s="419"/>
      <c r="AO605" s="419"/>
      <c r="AP605" s="421"/>
      <c r="AQ605" s="421"/>
      <c r="AR605" s="424">
        <f t="shared" si="241"/>
        <v>0</v>
      </c>
      <c r="AS605" s="422">
        <f t="shared" si="242"/>
        <v>0</v>
      </c>
      <c r="AT605" s="425">
        <f t="shared" si="243"/>
        <v>0</v>
      </c>
      <c r="AU605" s="423">
        <f t="shared" si="244"/>
        <v>0</v>
      </c>
      <c r="AV605" s="419"/>
      <c r="AW605" s="421"/>
      <c r="AX605" s="419"/>
      <c r="AY605" s="419"/>
      <c r="AZ605" s="421"/>
      <c r="BA605" s="421"/>
      <c r="BB605" s="419"/>
      <c r="BC605" s="419"/>
      <c r="BD605" s="421"/>
      <c r="BE605" s="421"/>
      <c r="BF605" s="419"/>
      <c r="BG605" s="419"/>
      <c r="BH605" s="421"/>
      <c r="BI605" s="421"/>
      <c r="BJ605" s="419"/>
      <c r="BK605" s="419"/>
      <c r="BL605" s="421"/>
      <c r="BM605" s="421"/>
      <c r="BN605" s="419"/>
      <c r="BO605" s="419"/>
      <c r="BP605" s="421"/>
      <c r="BQ605" s="421"/>
      <c r="BR605" s="419"/>
      <c r="BS605" s="419"/>
      <c r="BT605" s="421"/>
      <c r="BU605" s="421"/>
      <c r="BV605" s="419"/>
      <c r="BW605" s="419"/>
      <c r="BX605" s="421"/>
      <c r="BY605" s="421"/>
      <c r="BZ605" s="419"/>
      <c r="CA605" s="419"/>
      <c r="CB605" s="421"/>
      <c r="CC605" s="421"/>
      <c r="CD605" s="419"/>
      <c r="CE605" s="419"/>
      <c r="CF605" s="421"/>
      <c r="CG605" s="421"/>
      <c r="CH605" s="419"/>
      <c r="CI605" s="419"/>
      <c r="CJ605" s="421"/>
      <c r="CK605" s="421"/>
      <c r="CL605" s="419"/>
      <c r="CM605" s="421"/>
      <c r="CN605" s="424">
        <f t="shared" si="245"/>
        <v>0</v>
      </c>
      <c r="CO605" s="424">
        <f t="shared" si="246"/>
        <v>0</v>
      </c>
      <c r="CP605" s="425">
        <f t="shared" si="247"/>
        <v>0</v>
      </c>
      <c r="CQ605" s="425">
        <f t="shared" si="248"/>
        <v>0</v>
      </c>
      <c r="CR605" s="419"/>
      <c r="CS605" s="419"/>
      <c r="CT605" s="421"/>
      <c r="CU605" s="421"/>
      <c r="CV605" s="419"/>
      <c r="CW605" s="419"/>
      <c r="CX605" s="421"/>
      <c r="CY605" s="421"/>
      <c r="CZ605" s="419"/>
      <c r="DA605" s="419"/>
      <c r="DB605" s="421"/>
      <c r="DC605" s="421"/>
      <c r="DD605" s="419"/>
      <c r="DE605" s="419"/>
      <c r="DF605" s="421"/>
      <c r="DG605" s="421"/>
      <c r="DH605" s="419"/>
      <c r="DI605" s="419"/>
      <c r="DJ605" s="421"/>
      <c r="DK605" s="421"/>
      <c r="DL605" s="419"/>
      <c r="DM605" s="419"/>
      <c r="DN605" s="421"/>
      <c r="DO605" s="421"/>
      <c r="DP605" s="419"/>
      <c r="DQ605" s="419"/>
      <c r="DR605" s="421"/>
      <c r="DS605" s="421"/>
      <c r="DT605" s="419"/>
      <c r="DU605" s="419"/>
      <c r="DV605" s="421"/>
      <c r="DW605" s="421"/>
      <c r="DX605" s="419"/>
      <c r="DY605" s="419"/>
      <c r="DZ605" s="421"/>
      <c r="EA605" s="421"/>
      <c r="EB605" s="419"/>
      <c r="EC605" s="419"/>
      <c r="ED605" s="421"/>
      <c r="EE605" s="421"/>
      <c r="EF605" s="419"/>
      <c r="EG605" s="421"/>
      <c r="EH605" s="424">
        <f t="shared" si="249"/>
        <v>0</v>
      </c>
      <c r="EI605" s="424">
        <f t="shared" si="250"/>
        <v>0</v>
      </c>
      <c r="EJ605" s="422">
        <f t="shared" si="251"/>
        <v>0</v>
      </c>
      <c r="EK605" s="425">
        <f t="shared" si="252"/>
        <v>0</v>
      </c>
      <c r="EL605" s="425">
        <f t="shared" si="253"/>
        <v>0</v>
      </c>
      <c r="EM605" s="423">
        <f t="shared" si="254"/>
        <v>0</v>
      </c>
      <c r="EN605" s="424">
        <f t="shared" si="255"/>
        <v>0</v>
      </c>
      <c r="EO605" s="425">
        <f t="shared" si="256"/>
        <v>0</v>
      </c>
      <c r="EP605" s="419"/>
      <c r="EQ605" s="421"/>
      <c r="ER605" s="419"/>
      <c r="ES605" s="421"/>
      <c r="ET605" s="419"/>
      <c r="EU605" s="421"/>
      <c r="EV605" s="419"/>
      <c r="EW605" s="421"/>
      <c r="EX605" s="419"/>
      <c r="EY605" s="421"/>
      <c r="EZ605" s="419"/>
      <c r="FA605" s="421"/>
      <c r="FB605" s="419"/>
      <c r="FC605" s="421"/>
      <c r="FD605" s="419"/>
      <c r="FE605" s="421"/>
      <c r="FF605" s="419"/>
      <c r="FG605" s="421"/>
      <c r="FH605" s="419"/>
      <c r="FI605" s="421"/>
      <c r="FJ605" s="424">
        <f t="shared" si="257"/>
        <v>0</v>
      </c>
      <c r="FK605" s="425">
        <f t="shared" si="258"/>
        <v>0</v>
      </c>
      <c r="FL605" s="419"/>
      <c r="FM605" s="421"/>
      <c r="FN605" s="424">
        <f t="shared" si="259"/>
        <v>1117</v>
      </c>
      <c r="FO605" s="425">
        <f t="shared" si="260"/>
        <v>1153</v>
      </c>
    </row>
    <row r="606" spans="1:171" s="272" customFormat="1" ht="15" customHeight="1">
      <c r="A606" s="478" t="s">
        <v>168</v>
      </c>
      <c r="B606" s="469" t="s">
        <v>1129</v>
      </c>
      <c r="C606" s="473"/>
      <c r="D606" s="471">
        <v>447582</v>
      </c>
      <c r="E606" s="472">
        <v>10</v>
      </c>
      <c r="F606" s="419">
        <v>111</v>
      </c>
      <c r="G606" s="421">
        <v>127</v>
      </c>
      <c r="H606" s="419"/>
      <c r="I606" s="421"/>
      <c r="J606" s="419">
        <v>138</v>
      </c>
      <c r="K606" s="421">
        <v>121</v>
      </c>
      <c r="L606" s="422">
        <f t="shared" si="239"/>
        <v>0</v>
      </c>
      <c r="M606" s="423">
        <f t="shared" si="240"/>
        <v>0</v>
      </c>
      <c r="N606" s="419"/>
      <c r="O606" s="309">
        <f>0</f>
        <v>0</v>
      </c>
      <c r="P606" s="309">
        <f>0</f>
        <v>0</v>
      </c>
      <c r="Q606" s="309">
        <f>0</f>
        <v>0</v>
      </c>
      <c r="R606" s="424">
        <f t="shared" si="237"/>
        <v>0</v>
      </c>
      <c r="S606" s="421"/>
      <c r="T606" s="301">
        <f>0</f>
        <v>0</v>
      </c>
      <c r="U606" s="301">
        <f>0</f>
        <v>0</v>
      </c>
      <c r="V606" s="301">
        <f>0</f>
        <v>0</v>
      </c>
      <c r="W606" s="425">
        <f t="shared" si="238"/>
        <v>0</v>
      </c>
      <c r="X606" s="419"/>
      <c r="Y606" s="419"/>
      <c r="Z606" s="421"/>
      <c r="AA606" s="421"/>
      <c r="AB606" s="419"/>
      <c r="AC606" s="419"/>
      <c r="AD606" s="421"/>
      <c r="AE606" s="421"/>
      <c r="AF606" s="419"/>
      <c r="AG606" s="419"/>
      <c r="AH606" s="421"/>
      <c r="AI606" s="421"/>
      <c r="AJ606" s="419"/>
      <c r="AK606" s="419"/>
      <c r="AL606" s="421"/>
      <c r="AM606" s="421"/>
      <c r="AN606" s="419"/>
      <c r="AO606" s="419"/>
      <c r="AP606" s="421"/>
      <c r="AQ606" s="421"/>
      <c r="AR606" s="424">
        <f t="shared" si="241"/>
        <v>0</v>
      </c>
      <c r="AS606" s="422">
        <f t="shared" si="242"/>
        <v>0</v>
      </c>
      <c r="AT606" s="425">
        <f t="shared" si="243"/>
        <v>0</v>
      </c>
      <c r="AU606" s="423">
        <f t="shared" si="244"/>
        <v>0</v>
      </c>
      <c r="AV606" s="419"/>
      <c r="AW606" s="421"/>
      <c r="AX606" s="419"/>
      <c r="AY606" s="419"/>
      <c r="AZ606" s="421"/>
      <c r="BA606" s="421"/>
      <c r="BB606" s="419"/>
      <c r="BC606" s="419"/>
      <c r="BD606" s="421"/>
      <c r="BE606" s="421"/>
      <c r="BF606" s="419"/>
      <c r="BG606" s="419"/>
      <c r="BH606" s="421"/>
      <c r="BI606" s="421"/>
      <c r="BJ606" s="419"/>
      <c r="BK606" s="419"/>
      <c r="BL606" s="421"/>
      <c r="BM606" s="421"/>
      <c r="BN606" s="419"/>
      <c r="BO606" s="419"/>
      <c r="BP606" s="421"/>
      <c r="BQ606" s="421"/>
      <c r="BR606" s="419"/>
      <c r="BS606" s="419"/>
      <c r="BT606" s="421"/>
      <c r="BU606" s="421"/>
      <c r="BV606" s="419"/>
      <c r="BW606" s="419"/>
      <c r="BX606" s="421"/>
      <c r="BY606" s="421"/>
      <c r="BZ606" s="419"/>
      <c r="CA606" s="419"/>
      <c r="CB606" s="421"/>
      <c r="CC606" s="421"/>
      <c r="CD606" s="419"/>
      <c r="CE606" s="419"/>
      <c r="CF606" s="421"/>
      <c r="CG606" s="421"/>
      <c r="CH606" s="419"/>
      <c r="CI606" s="419"/>
      <c r="CJ606" s="421"/>
      <c r="CK606" s="421"/>
      <c r="CL606" s="419"/>
      <c r="CM606" s="421"/>
      <c r="CN606" s="424">
        <f t="shared" si="245"/>
        <v>0</v>
      </c>
      <c r="CO606" s="424">
        <f t="shared" si="246"/>
        <v>0</v>
      </c>
      <c r="CP606" s="425">
        <f t="shared" si="247"/>
        <v>0</v>
      </c>
      <c r="CQ606" s="425">
        <f t="shared" si="248"/>
        <v>0</v>
      </c>
      <c r="CR606" s="419"/>
      <c r="CS606" s="419"/>
      <c r="CT606" s="421"/>
      <c r="CU606" s="421"/>
      <c r="CV606" s="419"/>
      <c r="CW606" s="419"/>
      <c r="CX606" s="421"/>
      <c r="CY606" s="421"/>
      <c r="CZ606" s="419"/>
      <c r="DA606" s="419"/>
      <c r="DB606" s="421"/>
      <c r="DC606" s="421"/>
      <c r="DD606" s="419"/>
      <c r="DE606" s="419"/>
      <c r="DF606" s="421"/>
      <c r="DG606" s="421"/>
      <c r="DH606" s="419"/>
      <c r="DI606" s="419"/>
      <c r="DJ606" s="421"/>
      <c r="DK606" s="421"/>
      <c r="DL606" s="419"/>
      <c r="DM606" s="419"/>
      <c r="DN606" s="421"/>
      <c r="DO606" s="421"/>
      <c r="DP606" s="419"/>
      <c r="DQ606" s="419"/>
      <c r="DR606" s="421"/>
      <c r="DS606" s="421"/>
      <c r="DT606" s="419"/>
      <c r="DU606" s="419"/>
      <c r="DV606" s="421"/>
      <c r="DW606" s="421"/>
      <c r="DX606" s="419"/>
      <c r="DY606" s="419"/>
      <c r="DZ606" s="421"/>
      <c r="EA606" s="421"/>
      <c r="EB606" s="419"/>
      <c r="EC606" s="419"/>
      <c r="ED606" s="421"/>
      <c r="EE606" s="421"/>
      <c r="EF606" s="419"/>
      <c r="EG606" s="421"/>
      <c r="EH606" s="424">
        <f t="shared" si="249"/>
        <v>0</v>
      </c>
      <c r="EI606" s="424">
        <f t="shared" si="250"/>
        <v>0</v>
      </c>
      <c r="EJ606" s="422">
        <f t="shared" si="251"/>
        <v>0</v>
      </c>
      <c r="EK606" s="425">
        <f t="shared" si="252"/>
        <v>0</v>
      </c>
      <c r="EL606" s="425">
        <f t="shared" si="253"/>
        <v>0</v>
      </c>
      <c r="EM606" s="423">
        <f t="shared" si="254"/>
        <v>0</v>
      </c>
      <c r="EN606" s="424">
        <f t="shared" si="255"/>
        <v>0</v>
      </c>
      <c r="EO606" s="425">
        <f t="shared" si="256"/>
        <v>0</v>
      </c>
      <c r="EP606" s="419"/>
      <c r="EQ606" s="421"/>
      <c r="ER606" s="419"/>
      <c r="ES606" s="421"/>
      <c r="ET606" s="419"/>
      <c r="EU606" s="421"/>
      <c r="EV606" s="419"/>
      <c r="EW606" s="421"/>
      <c r="EX606" s="419"/>
      <c r="EY606" s="421"/>
      <c r="EZ606" s="419"/>
      <c r="FA606" s="421"/>
      <c r="FB606" s="419"/>
      <c r="FC606" s="421"/>
      <c r="FD606" s="419"/>
      <c r="FE606" s="421"/>
      <c r="FF606" s="419"/>
      <c r="FG606" s="421"/>
      <c r="FH606" s="419"/>
      <c r="FI606" s="421"/>
      <c r="FJ606" s="424">
        <f t="shared" si="257"/>
        <v>0</v>
      </c>
      <c r="FK606" s="425">
        <f t="shared" si="258"/>
        <v>0</v>
      </c>
      <c r="FL606" s="419"/>
      <c r="FM606" s="421"/>
      <c r="FN606" s="424">
        <f t="shared" si="259"/>
        <v>249</v>
      </c>
      <c r="FO606" s="425">
        <f t="shared" si="260"/>
        <v>248</v>
      </c>
    </row>
    <row r="607" spans="1:171" s="272" customFormat="1" ht="15" customHeight="1">
      <c r="A607" s="468" t="s">
        <v>168</v>
      </c>
      <c r="B607" s="469" t="s">
        <v>1130</v>
      </c>
      <c r="C607" s="473"/>
      <c r="D607" s="471">
        <v>443492</v>
      </c>
      <c r="E607" s="472">
        <v>10</v>
      </c>
      <c r="F607" s="419">
        <v>55</v>
      </c>
      <c r="G607" s="421">
        <v>64</v>
      </c>
      <c r="H607" s="419"/>
      <c r="I607" s="421"/>
      <c r="J607" s="419">
        <v>311</v>
      </c>
      <c r="K607" s="420">
        <v>243</v>
      </c>
      <c r="L607" s="422">
        <f t="shared" si="239"/>
        <v>0</v>
      </c>
      <c r="M607" s="423">
        <f t="shared" si="240"/>
        <v>0</v>
      </c>
      <c r="N607" s="419"/>
      <c r="O607" s="309">
        <f>0</f>
        <v>0</v>
      </c>
      <c r="P607" s="309">
        <f>0</f>
        <v>0</v>
      </c>
      <c r="Q607" s="309">
        <f>0</f>
        <v>0</v>
      </c>
      <c r="R607" s="424">
        <f t="shared" si="237"/>
        <v>0</v>
      </c>
      <c r="S607" s="421"/>
      <c r="T607" s="301">
        <f>0</f>
        <v>0</v>
      </c>
      <c r="U607" s="301">
        <f>0</f>
        <v>0</v>
      </c>
      <c r="V607" s="301">
        <f>0</f>
        <v>0</v>
      </c>
      <c r="W607" s="425">
        <f t="shared" si="238"/>
        <v>0</v>
      </c>
      <c r="X607" s="419"/>
      <c r="Y607" s="419"/>
      <c r="Z607" s="421"/>
      <c r="AA607" s="421"/>
      <c r="AB607" s="419"/>
      <c r="AC607" s="419"/>
      <c r="AD607" s="421"/>
      <c r="AE607" s="421"/>
      <c r="AF607" s="419"/>
      <c r="AG607" s="419"/>
      <c r="AH607" s="421"/>
      <c r="AI607" s="421"/>
      <c r="AJ607" s="419"/>
      <c r="AK607" s="419"/>
      <c r="AL607" s="421"/>
      <c r="AM607" s="421"/>
      <c r="AN607" s="419"/>
      <c r="AO607" s="419"/>
      <c r="AP607" s="421"/>
      <c r="AQ607" s="421"/>
      <c r="AR607" s="424">
        <f t="shared" si="241"/>
        <v>0</v>
      </c>
      <c r="AS607" s="422">
        <f t="shared" si="242"/>
        <v>0</v>
      </c>
      <c r="AT607" s="425">
        <f t="shared" si="243"/>
        <v>0</v>
      </c>
      <c r="AU607" s="423">
        <f t="shared" si="244"/>
        <v>0</v>
      </c>
      <c r="AV607" s="419"/>
      <c r="AW607" s="421"/>
      <c r="AX607" s="419"/>
      <c r="AY607" s="419"/>
      <c r="AZ607" s="421"/>
      <c r="BA607" s="421"/>
      <c r="BB607" s="419"/>
      <c r="BC607" s="419"/>
      <c r="BD607" s="421"/>
      <c r="BE607" s="421"/>
      <c r="BF607" s="419"/>
      <c r="BG607" s="419"/>
      <c r="BH607" s="421"/>
      <c r="BI607" s="421"/>
      <c r="BJ607" s="419"/>
      <c r="BK607" s="419"/>
      <c r="BL607" s="421"/>
      <c r="BM607" s="421"/>
      <c r="BN607" s="419"/>
      <c r="BO607" s="419"/>
      <c r="BP607" s="421"/>
      <c r="BQ607" s="421"/>
      <c r="BR607" s="419"/>
      <c r="BS607" s="419"/>
      <c r="BT607" s="421"/>
      <c r="BU607" s="421"/>
      <c r="BV607" s="419"/>
      <c r="BW607" s="419"/>
      <c r="BX607" s="421"/>
      <c r="BY607" s="421"/>
      <c r="BZ607" s="419"/>
      <c r="CA607" s="419"/>
      <c r="CB607" s="421"/>
      <c r="CC607" s="421"/>
      <c r="CD607" s="419"/>
      <c r="CE607" s="419"/>
      <c r="CF607" s="421"/>
      <c r="CG607" s="421"/>
      <c r="CH607" s="419"/>
      <c r="CI607" s="419"/>
      <c r="CJ607" s="421"/>
      <c r="CK607" s="421"/>
      <c r="CL607" s="419"/>
      <c r="CM607" s="421"/>
      <c r="CN607" s="424">
        <f t="shared" si="245"/>
        <v>0</v>
      </c>
      <c r="CO607" s="424">
        <f t="shared" si="246"/>
        <v>0</v>
      </c>
      <c r="CP607" s="425">
        <f t="shared" si="247"/>
        <v>0</v>
      </c>
      <c r="CQ607" s="425">
        <f t="shared" si="248"/>
        <v>0</v>
      </c>
      <c r="CR607" s="419"/>
      <c r="CS607" s="419"/>
      <c r="CT607" s="421"/>
      <c r="CU607" s="421"/>
      <c r="CV607" s="419"/>
      <c r="CW607" s="419"/>
      <c r="CX607" s="421"/>
      <c r="CY607" s="421"/>
      <c r="CZ607" s="419"/>
      <c r="DA607" s="419"/>
      <c r="DB607" s="421"/>
      <c r="DC607" s="421"/>
      <c r="DD607" s="419"/>
      <c r="DE607" s="419"/>
      <c r="DF607" s="421"/>
      <c r="DG607" s="421"/>
      <c r="DH607" s="419"/>
      <c r="DI607" s="419"/>
      <c r="DJ607" s="421"/>
      <c r="DK607" s="421"/>
      <c r="DL607" s="419"/>
      <c r="DM607" s="419"/>
      <c r="DN607" s="421"/>
      <c r="DO607" s="421"/>
      <c r="DP607" s="419"/>
      <c r="DQ607" s="419"/>
      <c r="DR607" s="421"/>
      <c r="DS607" s="421"/>
      <c r="DT607" s="419"/>
      <c r="DU607" s="419"/>
      <c r="DV607" s="421"/>
      <c r="DW607" s="421"/>
      <c r="DX607" s="419"/>
      <c r="DY607" s="419"/>
      <c r="DZ607" s="421"/>
      <c r="EA607" s="421"/>
      <c r="EB607" s="419"/>
      <c r="EC607" s="419"/>
      <c r="ED607" s="421"/>
      <c r="EE607" s="421"/>
      <c r="EF607" s="419"/>
      <c r="EG607" s="421"/>
      <c r="EH607" s="424">
        <f t="shared" si="249"/>
        <v>0</v>
      </c>
      <c r="EI607" s="424">
        <f t="shared" si="250"/>
        <v>0</v>
      </c>
      <c r="EJ607" s="422">
        <f t="shared" si="251"/>
        <v>0</v>
      </c>
      <c r="EK607" s="425">
        <f t="shared" si="252"/>
        <v>0</v>
      </c>
      <c r="EL607" s="425">
        <f t="shared" si="253"/>
        <v>0</v>
      </c>
      <c r="EM607" s="423">
        <f t="shared" si="254"/>
        <v>0</v>
      </c>
      <c r="EN607" s="424">
        <f t="shared" si="255"/>
        <v>0</v>
      </c>
      <c r="EO607" s="425">
        <f t="shared" si="256"/>
        <v>0</v>
      </c>
      <c r="EP607" s="419"/>
      <c r="EQ607" s="421"/>
      <c r="ER607" s="419"/>
      <c r="ES607" s="421"/>
      <c r="ET607" s="419"/>
      <c r="EU607" s="421"/>
      <c r="EV607" s="419"/>
      <c r="EW607" s="421"/>
      <c r="EX607" s="419"/>
      <c r="EY607" s="421"/>
      <c r="EZ607" s="419"/>
      <c r="FA607" s="421"/>
      <c r="FB607" s="419"/>
      <c r="FC607" s="421"/>
      <c r="FD607" s="419"/>
      <c r="FE607" s="421"/>
      <c r="FF607" s="419"/>
      <c r="FG607" s="421"/>
      <c r="FH607" s="419"/>
      <c r="FI607" s="421"/>
      <c r="FJ607" s="424">
        <f t="shared" si="257"/>
        <v>0</v>
      </c>
      <c r="FK607" s="425">
        <f t="shared" si="258"/>
        <v>0</v>
      </c>
      <c r="FL607" s="419"/>
      <c r="FM607" s="421"/>
      <c r="FN607" s="424">
        <f t="shared" si="259"/>
        <v>366</v>
      </c>
      <c r="FO607" s="425">
        <f t="shared" si="260"/>
        <v>307</v>
      </c>
    </row>
    <row r="608" spans="1:171">
      <c r="A608" s="468" t="s">
        <v>168</v>
      </c>
      <c r="B608" s="469" t="s">
        <v>1131</v>
      </c>
      <c r="C608" s="470"/>
      <c r="D608" s="471">
        <v>237817</v>
      </c>
      <c r="E608" s="472">
        <v>10</v>
      </c>
      <c r="F608" s="419">
        <v>107</v>
      </c>
      <c r="G608" s="420">
        <v>154</v>
      </c>
      <c r="H608" s="419"/>
      <c r="I608" s="421"/>
      <c r="J608" s="419">
        <v>274</v>
      </c>
      <c r="K608" s="421">
        <v>257</v>
      </c>
      <c r="L608" s="422">
        <f t="shared" si="239"/>
        <v>0</v>
      </c>
      <c r="M608" s="423">
        <f t="shared" si="240"/>
        <v>0</v>
      </c>
      <c r="N608" s="419"/>
      <c r="O608" s="309">
        <f>0</f>
        <v>0</v>
      </c>
      <c r="P608" s="309">
        <f>0</f>
        <v>0</v>
      </c>
      <c r="Q608" s="309">
        <f>0</f>
        <v>0</v>
      </c>
      <c r="R608" s="424">
        <f t="shared" si="237"/>
        <v>0</v>
      </c>
      <c r="S608" s="421"/>
      <c r="T608" s="301">
        <f>0</f>
        <v>0</v>
      </c>
      <c r="U608" s="301">
        <f>0</f>
        <v>0</v>
      </c>
      <c r="V608" s="301">
        <f>0</f>
        <v>0</v>
      </c>
      <c r="W608" s="425">
        <f t="shared" si="238"/>
        <v>0</v>
      </c>
      <c r="X608" s="419"/>
      <c r="Y608" s="419"/>
      <c r="Z608" s="421"/>
      <c r="AA608" s="421"/>
      <c r="AB608" s="419"/>
      <c r="AC608" s="419"/>
      <c r="AD608" s="421"/>
      <c r="AE608" s="421"/>
      <c r="AF608" s="419"/>
      <c r="AG608" s="419"/>
      <c r="AH608" s="421"/>
      <c r="AI608" s="421"/>
      <c r="AJ608" s="419"/>
      <c r="AK608" s="419"/>
      <c r="AL608" s="421"/>
      <c r="AM608" s="421"/>
      <c r="AN608" s="419"/>
      <c r="AO608" s="419"/>
      <c r="AP608" s="421"/>
      <c r="AQ608" s="421"/>
      <c r="AR608" s="424">
        <f t="shared" si="241"/>
        <v>0</v>
      </c>
      <c r="AS608" s="422">
        <f t="shared" si="242"/>
        <v>0</v>
      </c>
      <c r="AT608" s="425">
        <f t="shared" si="243"/>
        <v>0</v>
      </c>
      <c r="AU608" s="423">
        <f t="shared" si="244"/>
        <v>0</v>
      </c>
      <c r="AV608" s="419"/>
      <c r="AW608" s="421"/>
      <c r="AX608" s="419"/>
      <c r="AY608" s="419"/>
      <c r="AZ608" s="421"/>
      <c r="BA608" s="421"/>
      <c r="BB608" s="419"/>
      <c r="BC608" s="419"/>
      <c r="BD608" s="421"/>
      <c r="BE608" s="421"/>
      <c r="BF608" s="419"/>
      <c r="BG608" s="419"/>
      <c r="BH608" s="421"/>
      <c r="BI608" s="421"/>
      <c r="BJ608" s="419"/>
      <c r="BK608" s="419"/>
      <c r="BL608" s="421"/>
      <c r="BM608" s="421"/>
      <c r="BN608" s="419"/>
      <c r="BO608" s="419"/>
      <c r="BP608" s="421"/>
      <c r="BQ608" s="421"/>
      <c r="BR608" s="419"/>
      <c r="BS608" s="419"/>
      <c r="BT608" s="421"/>
      <c r="BU608" s="421"/>
      <c r="BV608" s="419"/>
      <c r="BW608" s="419"/>
      <c r="BX608" s="421"/>
      <c r="BY608" s="421"/>
      <c r="BZ608" s="419"/>
      <c r="CA608" s="419"/>
      <c r="CB608" s="421"/>
      <c r="CC608" s="421"/>
      <c r="CD608" s="419"/>
      <c r="CE608" s="419"/>
      <c r="CF608" s="421"/>
      <c r="CG608" s="421"/>
      <c r="CH608" s="419"/>
      <c r="CI608" s="419"/>
      <c r="CJ608" s="421"/>
      <c r="CK608" s="421"/>
      <c r="CL608" s="419"/>
      <c r="CM608" s="421"/>
      <c r="CN608" s="424">
        <f t="shared" si="245"/>
        <v>0</v>
      </c>
      <c r="CO608" s="424">
        <f t="shared" si="246"/>
        <v>0</v>
      </c>
      <c r="CP608" s="425">
        <f t="shared" si="247"/>
        <v>0</v>
      </c>
      <c r="CQ608" s="425">
        <f t="shared" si="248"/>
        <v>0</v>
      </c>
      <c r="CR608" s="419"/>
      <c r="CS608" s="419"/>
      <c r="CT608" s="421"/>
      <c r="CU608" s="421"/>
      <c r="CV608" s="419"/>
      <c r="CW608" s="419"/>
      <c r="CX608" s="421"/>
      <c r="CY608" s="421"/>
      <c r="CZ608" s="419"/>
      <c r="DA608" s="419"/>
      <c r="DB608" s="421"/>
      <c r="DC608" s="421"/>
      <c r="DD608" s="419"/>
      <c r="DE608" s="419"/>
      <c r="DF608" s="421"/>
      <c r="DG608" s="421"/>
      <c r="DH608" s="419"/>
      <c r="DI608" s="419"/>
      <c r="DJ608" s="421"/>
      <c r="DK608" s="421"/>
      <c r="DL608" s="419"/>
      <c r="DM608" s="419"/>
      <c r="DN608" s="421"/>
      <c r="DO608" s="421"/>
      <c r="DP608" s="419"/>
      <c r="DQ608" s="419"/>
      <c r="DR608" s="421"/>
      <c r="DS608" s="421"/>
      <c r="DT608" s="419"/>
      <c r="DU608" s="419"/>
      <c r="DV608" s="421"/>
      <c r="DW608" s="421"/>
      <c r="DX608" s="419"/>
      <c r="DY608" s="419"/>
      <c r="DZ608" s="421"/>
      <c r="EA608" s="421"/>
      <c r="EB608" s="419"/>
      <c r="EC608" s="419"/>
      <c r="ED608" s="421"/>
      <c r="EE608" s="421"/>
      <c r="EF608" s="419"/>
      <c r="EG608" s="421"/>
      <c r="EH608" s="424">
        <f t="shared" si="249"/>
        <v>0</v>
      </c>
      <c r="EI608" s="424">
        <f t="shared" si="250"/>
        <v>0</v>
      </c>
      <c r="EJ608" s="422">
        <f t="shared" si="251"/>
        <v>0</v>
      </c>
      <c r="EK608" s="425">
        <f t="shared" si="252"/>
        <v>0</v>
      </c>
      <c r="EL608" s="425">
        <f t="shared" si="253"/>
        <v>0</v>
      </c>
      <c r="EM608" s="423">
        <f t="shared" si="254"/>
        <v>0</v>
      </c>
      <c r="EN608" s="424">
        <f t="shared" si="255"/>
        <v>0</v>
      </c>
      <c r="EO608" s="425">
        <f t="shared" si="256"/>
        <v>0</v>
      </c>
      <c r="EP608" s="419"/>
      <c r="EQ608" s="421"/>
      <c r="ER608" s="419"/>
      <c r="ES608" s="421"/>
      <c r="ET608" s="419"/>
      <c r="EU608" s="421"/>
      <c r="EV608" s="419"/>
      <c r="EW608" s="421"/>
      <c r="EX608" s="419"/>
      <c r="EY608" s="421"/>
      <c r="EZ608" s="419"/>
      <c r="FA608" s="421"/>
      <c r="FB608" s="419"/>
      <c r="FC608" s="421"/>
      <c r="FD608" s="419"/>
      <c r="FE608" s="421"/>
      <c r="FF608" s="419"/>
      <c r="FG608" s="421"/>
      <c r="FH608" s="419"/>
      <c r="FI608" s="421"/>
      <c r="FJ608" s="424">
        <f t="shared" si="257"/>
        <v>0</v>
      </c>
      <c r="FK608" s="425">
        <f t="shared" si="258"/>
        <v>0</v>
      </c>
      <c r="FL608" s="419"/>
      <c r="FM608" s="421"/>
      <c r="FN608" s="424">
        <f t="shared" si="259"/>
        <v>381</v>
      </c>
      <c r="FO608" s="425">
        <f t="shared" si="260"/>
        <v>411</v>
      </c>
    </row>
    <row r="609" spans="1:171">
      <c r="A609" s="468" t="s">
        <v>168</v>
      </c>
      <c r="B609" s="469" t="s">
        <v>1132</v>
      </c>
      <c r="C609" s="475"/>
      <c r="D609" s="471">
        <v>238014</v>
      </c>
      <c r="E609" s="472">
        <v>10</v>
      </c>
      <c r="F609" s="419">
        <v>97</v>
      </c>
      <c r="G609" s="421">
        <v>92</v>
      </c>
      <c r="H609" s="419"/>
      <c r="I609" s="421"/>
      <c r="J609" s="419">
        <v>206</v>
      </c>
      <c r="K609" s="421">
        <v>193</v>
      </c>
      <c r="L609" s="422">
        <f t="shared" si="239"/>
        <v>0</v>
      </c>
      <c r="M609" s="423">
        <f t="shared" si="240"/>
        <v>0</v>
      </c>
      <c r="N609" s="419"/>
      <c r="O609" s="309">
        <f>0</f>
        <v>0</v>
      </c>
      <c r="P609" s="309">
        <f>0</f>
        <v>0</v>
      </c>
      <c r="Q609" s="309">
        <f>0</f>
        <v>0</v>
      </c>
      <c r="R609" s="424">
        <f t="shared" si="237"/>
        <v>0</v>
      </c>
      <c r="S609" s="421"/>
      <c r="T609" s="301">
        <f>0</f>
        <v>0</v>
      </c>
      <c r="U609" s="301">
        <f>0</f>
        <v>0</v>
      </c>
      <c r="V609" s="301">
        <f>0</f>
        <v>0</v>
      </c>
      <c r="W609" s="425">
        <f t="shared" si="238"/>
        <v>0</v>
      </c>
      <c r="X609" s="419"/>
      <c r="Y609" s="419"/>
      <c r="Z609" s="421"/>
      <c r="AA609" s="421"/>
      <c r="AB609" s="419"/>
      <c r="AC609" s="419"/>
      <c r="AD609" s="421"/>
      <c r="AE609" s="421"/>
      <c r="AF609" s="419"/>
      <c r="AG609" s="419"/>
      <c r="AH609" s="421"/>
      <c r="AI609" s="421"/>
      <c r="AJ609" s="419"/>
      <c r="AK609" s="419"/>
      <c r="AL609" s="421"/>
      <c r="AM609" s="421"/>
      <c r="AN609" s="419"/>
      <c r="AO609" s="419"/>
      <c r="AP609" s="421"/>
      <c r="AQ609" s="421"/>
      <c r="AR609" s="424">
        <f t="shared" si="241"/>
        <v>0</v>
      </c>
      <c r="AS609" s="422">
        <f t="shared" si="242"/>
        <v>0</v>
      </c>
      <c r="AT609" s="425">
        <f t="shared" si="243"/>
        <v>0</v>
      </c>
      <c r="AU609" s="423">
        <f t="shared" si="244"/>
        <v>0</v>
      </c>
      <c r="AV609" s="419"/>
      <c r="AW609" s="421"/>
      <c r="AX609" s="419"/>
      <c r="AY609" s="419"/>
      <c r="AZ609" s="421"/>
      <c r="BA609" s="421"/>
      <c r="BB609" s="419"/>
      <c r="BC609" s="419"/>
      <c r="BD609" s="421"/>
      <c r="BE609" s="421"/>
      <c r="BF609" s="419"/>
      <c r="BG609" s="419"/>
      <c r="BH609" s="421"/>
      <c r="BI609" s="421"/>
      <c r="BJ609" s="419"/>
      <c r="BK609" s="419"/>
      <c r="BL609" s="421"/>
      <c r="BM609" s="421"/>
      <c r="BN609" s="419"/>
      <c r="BO609" s="419"/>
      <c r="BP609" s="421"/>
      <c r="BQ609" s="421"/>
      <c r="BR609" s="419"/>
      <c r="BS609" s="419"/>
      <c r="BT609" s="421"/>
      <c r="BU609" s="421"/>
      <c r="BV609" s="419"/>
      <c r="BW609" s="419"/>
      <c r="BX609" s="421"/>
      <c r="BY609" s="421"/>
      <c r="BZ609" s="419"/>
      <c r="CA609" s="419"/>
      <c r="CB609" s="421"/>
      <c r="CC609" s="421"/>
      <c r="CD609" s="419"/>
      <c r="CE609" s="419"/>
      <c r="CF609" s="421"/>
      <c r="CG609" s="421"/>
      <c r="CH609" s="419"/>
      <c r="CI609" s="419"/>
      <c r="CJ609" s="421"/>
      <c r="CK609" s="421"/>
      <c r="CL609" s="419"/>
      <c r="CM609" s="421"/>
      <c r="CN609" s="424">
        <f t="shared" si="245"/>
        <v>0</v>
      </c>
      <c r="CO609" s="424">
        <f t="shared" si="246"/>
        <v>0</v>
      </c>
      <c r="CP609" s="425">
        <f t="shared" si="247"/>
        <v>0</v>
      </c>
      <c r="CQ609" s="425">
        <f t="shared" si="248"/>
        <v>0</v>
      </c>
      <c r="CR609" s="419"/>
      <c r="CS609" s="419"/>
      <c r="CT609" s="421"/>
      <c r="CU609" s="421"/>
      <c r="CV609" s="419"/>
      <c r="CW609" s="419"/>
      <c r="CX609" s="421"/>
      <c r="CY609" s="421"/>
      <c r="CZ609" s="419"/>
      <c r="DA609" s="419"/>
      <c r="DB609" s="421"/>
      <c r="DC609" s="421"/>
      <c r="DD609" s="419"/>
      <c r="DE609" s="419"/>
      <c r="DF609" s="421"/>
      <c r="DG609" s="421"/>
      <c r="DH609" s="419"/>
      <c r="DI609" s="419"/>
      <c r="DJ609" s="421"/>
      <c r="DK609" s="421"/>
      <c r="DL609" s="419"/>
      <c r="DM609" s="419"/>
      <c r="DN609" s="421"/>
      <c r="DO609" s="421"/>
      <c r="DP609" s="419"/>
      <c r="DQ609" s="419"/>
      <c r="DR609" s="421"/>
      <c r="DS609" s="421"/>
      <c r="DT609" s="419"/>
      <c r="DU609" s="419"/>
      <c r="DV609" s="421"/>
      <c r="DW609" s="421"/>
      <c r="DX609" s="419"/>
      <c r="DY609" s="419"/>
      <c r="DZ609" s="421"/>
      <c r="EA609" s="421"/>
      <c r="EB609" s="419"/>
      <c r="EC609" s="419"/>
      <c r="ED609" s="421"/>
      <c r="EE609" s="421"/>
      <c r="EF609" s="419"/>
      <c r="EG609" s="421"/>
      <c r="EH609" s="424">
        <f t="shared" si="249"/>
        <v>0</v>
      </c>
      <c r="EI609" s="424">
        <f t="shared" si="250"/>
        <v>0</v>
      </c>
      <c r="EJ609" s="422">
        <f t="shared" si="251"/>
        <v>0</v>
      </c>
      <c r="EK609" s="425">
        <f t="shared" si="252"/>
        <v>0</v>
      </c>
      <c r="EL609" s="425">
        <f t="shared" si="253"/>
        <v>0</v>
      </c>
      <c r="EM609" s="423">
        <f t="shared" si="254"/>
        <v>0</v>
      </c>
      <c r="EN609" s="424">
        <f t="shared" si="255"/>
        <v>0</v>
      </c>
      <c r="EO609" s="425">
        <f t="shared" si="256"/>
        <v>0</v>
      </c>
      <c r="EP609" s="419"/>
      <c r="EQ609" s="421"/>
      <c r="ER609" s="419"/>
      <c r="ES609" s="421"/>
      <c r="ET609" s="419"/>
      <c r="EU609" s="421"/>
      <c r="EV609" s="419"/>
      <c r="EW609" s="421"/>
      <c r="EX609" s="419"/>
      <c r="EY609" s="421"/>
      <c r="EZ609" s="419"/>
      <c r="FA609" s="421"/>
      <c r="FB609" s="419"/>
      <c r="FC609" s="421"/>
      <c r="FD609" s="419"/>
      <c r="FE609" s="421"/>
      <c r="FF609" s="419"/>
      <c r="FG609" s="421"/>
      <c r="FH609" s="419"/>
      <c r="FI609" s="421"/>
      <c r="FJ609" s="424">
        <f t="shared" si="257"/>
        <v>0</v>
      </c>
      <c r="FK609" s="425">
        <f t="shared" si="258"/>
        <v>0</v>
      </c>
      <c r="FL609" s="419"/>
      <c r="FM609" s="421"/>
      <c r="FN609" s="424">
        <f t="shared" si="259"/>
        <v>303</v>
      </c>
      <c r="FO609" s="425">
        <f t="shared" si="260"/>
        <v>285</v>
      </c>
    </row>
    <row r="610" spans="1:171">
      <c r="A610" s="468" t="s">
        <v>168</v>
      </c>
      <c r="B610" s="469" t="s">
        <v>1133</v>
      </c>
      <c r="C610" s="470"/>
      <c r="D610" s="471">
        <v>237880</v>
      </c>
      <c r="E610" s="472">
        <v>15</v>
      </c>
      <c r="F610" s="419"/>
      <c r="G610" s="421"/>
      <c r="H610" s="419"/>
      <c r="I610" s="421"/>
      <c r="J610" s="419"/>
      <c r="K610" s="421"/>
      <c r="L610" s="422">
        <f t="shared" si="239"/>
        <v>0</v>
      </c>
      <c r="M610" s="423">
        <f t="shared" si="240"/>
        <v>0</v>
      </c>
      <c r="N610" s="419"/>
      <c r="O610" s="309">
        <f>0</f>
        <v>0</v>
      </c>
      <c r="P610" s="309">
        <f>0</f>
        <v>0</v>
      </c>
      <c r="Q610" s="309">
        <f>0</f>
        <v>0</v>
      </c>
      <c r="R610" s="424">
        <f t="shared" si="237"/>
        <v>0</v>
      </c>
      <c r="S610" s="421"/>
      <c r="T610" s="301">
        <f>0</f>
        <v>0</v>
      </c>
      <c r="U610" s="301">
        <f>0</f>
        <v>0</v>
      </c>
      <c r="V610" s="301">
        <f>0</f>
        <v>0</v>
      </c>
      <c r="W610" s="425">
        <f t="shared" si="238"/>
        <v>0</v>
      </c>
      <c r="X610" s="419"/>
      <c r="Y610" s="419"/>
      <c r="Z610" s="421"/>
      <c r="AA610" s="421"/>
      <c r="AB610" s="419"/>
      <c r="AC610" s="419"/>
      <c r="AD610" s="421"/>
      <c r="AE610" s="421"/>
      <c r="AF610" s="419"/>
      <c r="AG610" s="419"/>
      <c r="AH610" s="421"/>
      <c r="AI610" s="421"/>
      <c r="AJ610" s="419"/>
      <c r="AK610" s="419"/>
      <c r="AL610" s="421"/>
      <c r="AM610" s="421"/>
      <c r="AN610" s="419"/>
      <c r="AO610" s="419"/>
      <c r="AP610" s="421"/>
      <c r="AQ610" s="421"/>
      <c r="AR610" s="424">
        <f t="shared" si="241"/>
        <v>0</v>
      </c>
      <c r="AS610" s="422">
        <f t="shared" si="242"/>
        <v>0</v>
      </c>
      <c r="AT610" s="425">
        <f t="shared" si="243"/>
        <v>0</v>
      </c>
      <c r="AU610" s="423">
        <f t="shared" si="244"/>
        <v>0</v>
      </c>
      <c r="AV610" s="419"/>
      <c r="AW610" s="421"/>
      <c r="AX610" s="419"/>
      <c r="AY610" s="419"/>
      <c r="AZ610" s="421"/>
      <c r="BA610" s="421"/>
      <c r="BB610" s="419"/>
      <c r="BC610" s="419"/>
      <c r="BD610" s="421"/>
      <c r="BE610" s="421"/>
      <c r="BF610" s="419"/>
      <c r="BG610" s="419"/>
      <c r="BH610" s="421"/>
      <c r="BI610" s="421"/>
      <c r="BJ610" s="419"/>
      <c r="BK610" s="419"/>
      <c r="BL610" s="421"/>
      <c r="BM610" s="421"/>
      <c r="BN610" s="419"/>
      <c r="BO610" s="419"/>
      <c r="BP610" s="421"/>
      <c r="BQ610" s="421"/>
      <c r="BR610" s="419"/>
      <c r="BS610" s="419"/>
      <c r="BT610" s="421"/>
      <c r="BU610" s="421"/>
      <c r="BV610" s="419"/>
      <c r="BW610" s="419"/>
      <c r="BX610" s="421"/>
      <c r="BY610" s="421"/>
      <c r="BZ610" s="419"/>
      <c r="CA610" s="419"/>
      <c r="CB610" s="421"/>
      <c r="CC610" s="421"/>
      <c r="CD610" s="419"/>
      <c r="CE610" s="419"/>
      <c r="CF610" s="421"/>
      <c r="CG610" s="421"/>
      <c r="CH610" s="419"/>
      <c r="CI610" s="419"/>
      <c r="CJ610" s="421"/>
      <c r="CK610" s="421"/>
      <c r="CL610" s="419"/>
      <c r="CM610" s="421"/>
      <c r="CN610" s="424">
        <f t="shared" si="245"/>
        <v>0</v>
      </c>
      <c r="CO610" s="424">
        <f t="shared" si="246"/>
        <v>0</v>
      </c>
      <c r="CP610" s="425">
        <f t="shared" si="247"/>
        <v>0</v>
      </c>
      <c r="CQ610" s="425">
        <f t="shared" si="248"/>
        <v>0</v>
      </c>
      <c r="CR610" s="419"/>
      <c r="CS610" s="419"/>
      <c r="CT610" s="421"/>
      <c r="CU610" s="421"/>
      <c r="CV610" s="419"/>
      <c r="CW610" s="419"/>
      <c r="CX610" s="421"/>
      <c r="CY610" s="421"/>
      <c r="CZ610" s="419"/>
      <c r="DA610" s="419"/>
      <c r="DB610" s="421"/>
      <c r="DC610" s="421"/>
      <c r="DD610" s="419"/>
      <c r="DE610" s="419"/>
      <c r="DF610" s="421"/>
      <c r="DG610" s="421"/>
      <c r="DH610" s="419"/>
      <c r="DI610" s="419"/>
      <c r="DJ610" s="421"/>
      <c r="DK610" s="421"/>
      <c r="DL610" s="419"/>
      <c r="DM610" s="419"/>
      <c r="DN610" s="421"/>
      <c r="DO610" s="421"/>
      <c r="DP610" s="419"/>
      <c r="DQ610" s="419"/>
      <c r="DR610" s="421"/>
      <c r="DS610" s="421"/>
      <c r="DT610" s="419"/>
      <c r="DU610" s="419"/>
      <c r="DV610" s="421"/>
      <c r="DW610" s="421"/>
      <c r="DX610" s="419"/>
      <c r="DY610" s="419"/>
      <c r="DZ610" s="421"/>
      <c r="EA610" s="421"/>
      <c r="EB610" s="419"/>
      <c r="EC610" s="419"/>
      <c r="ED610" s="421"/>
      <c r="EE610" s="421"/>
      <c r="EF610" s="419"/>
      <c r="EG610" s="421"/>
      <c r="EH610" s="424">
        <f t="shared" si="249"/>
        <v>0</v>
      </c>
      <c r="EI610" s="424">
        <f t="shared" si="250"/>
        <v>0</v>
      </c>
      <c r="EJ610" s="422">
        <f t="shared" si="251"/>
        <v>0</v>
      </c>
      <c r="EK610" s="425">
        <f t="shared" si="252"/>
        <v>0</v>
      </c>
      <c r="EL610" s="425">
        <f t="shared" si="253"/>
        <v>0</v>
      </c>
      <c r="EM610" s="423">
        <f t="shared" si="254"/>
        <v>0</v>
      </c>
      <c r="EN610" s="424">
        <f t="shared" si="255"/>
        <v>0</v>
      </c>
      <c r="EO610" s="425">
        <f t="shared" si="256"/>
        <v>0</v>
      </c>
      <c r="EP610" s="419"/>
      <c r="EQ610" s="421"/>
      <c r="ER610" s="419"/>
      <c r="ES610" s="421"/>
      <c r="ET610" s="419"/>
      <c r="EU610" s="421"/>
      <c r="EV610" s="419"/>
      <c r="EW610" s="421"/>
      <c r="EX610" s="419"/>
      <c r="EY610" s="421"/>
      <c r="EZ610" s="419"/>
      <c r="FA610" s="421"/>
      <c r="FB610" s="419">
        <v>209</v>
      </c>
      <c r="FC610" s="421">
        <v>194</v>
      </c>
      <c r="FD610" s="419"/>
      <c r="FE610" s="421"/>
      <c r="FF610" s="419"/>
      <c r="FG610" s="421"/>
      <c r="FH610" s="419"/>
      <c r="FI610" s="421"/>
      <c r="FJ610" s="424">
        <f t="shared" si="257"/>
        <v>209</v>
      </c>
      <c r="FK610" s="425">
        <f t="shared" si="258"/>
        <v>194</v>
      </c>
      <c r="FL610" s="419"/>
      <c r="FM610" s="421"/>
      <c r="FN610" s="424">
        <f t="shared" si="259"/>
        <v>209</v>
      </c>
      <c r="FO610" s="425">
        <f t="shared" si="260"/>
        <v>194</v>
      </c>
    </row>
    <row r="611" spans="1:171" ht="12.5">
      <c r="A611" s="305" t="s">
        <v>168</v>
      </c>
      <c r="B611" s="479" t="s">
        <v>1134</v>
      </c>
      <c r="C611" s="479"/>
      <c r="D611" s="480">
        <v>237729</v>
      </c>
      <c r="E611" s="34">
        <v>14</v>
      </c>
      <c r="F611" s="419">
        <v>122</v>
      </c>
      <c r="G611" s="420">
        <v>76</v>
      </c>
      <c r="H611" s="419"/>
      <c r="I611" s="421"/>
      <c r="J611" s="419"/>
      <c r="K611" s="421"/>
      <c r="L611" s="422">
        <f t="shared" si="239"/>
        <v>0</v>
      </c>
      <c r="M611" s="423">
        <f t="shared" si="240"/>
        <v>0</v>
      </c>
      <c r="N611" s="419"/>
      <c r="O611" s="309">
        <f>0</f>
        <v>0</v>
      </c>
      <c r="P611" s="309">
        <f>0</f>
        <v>0</v>
      </c>
      <c r="Q611" s="309">
        <f>0</f>
        <v>0</v>
      </c>
      <c r="R611" s="424">
        <f t="shared" si="237"/>
        <v>0</v>
      </c>
      <c r="S611" s="421"/>
      <c r="T611" s="301">
        <f>0</f>
        <v>0</v>
      </c>
      <c r="U611" s="301">
        <f>0</f>
        <v>0</v>
      </c>
      <c r="V611" s="301">
        <f>0</f>
        <v>0</v>
      </c>
      <c r="W611" s="425">
        <f t="shared" si="238"/>
        <v>0</v>
      </c>
      <c r="X611" s="419"/>
      <c r="Y611" s="419"/>
      <c r="Z611" s="421"/>
      <c r="AA611" s="421"/>
      <c r="AB611" s="419"/>
      <c r="AC611" s="419"/>
      <c r="AD611" s="421"/>
      <c r="AE611" s="421"/>
      <c r="AF611" s="419"/>
      <c r="AG611" s="419"/>
      <c r="AH611" s="421"/>
      <c r="AI611" s="421"/>
      <c r="AJ611" s="419"/>
      <c r="AK611" s="419"/>
      <c r="AL611" s="421"/>
      <c r="AM611" s="421"/>
      <c r="AN611" s="419"/>
      <c r="AO611" s="419"/>
      <c r="AP611" s="421"/>
      <c r="AQ611" s="421"/>
      <c r="AR611" s="424">
        <f t="shared" si="241"/>
        <v>0</v>
      </c>
      <c r="AS611" s="422">
        <f t="shared" si="242"/>
        <v>0</v>
      </c>
      <c r="AT611" s="425">
        <f t="shared" si="243"/>
        <v>0</v>
      </c>
      <c r="AU611" s="423">
        <f t="shared" si="244"/>
        <v>0</v>
      </c>
      <c r="AV611" s="419"/>
      <c r="AW611" s="421"/>
      <c r="AX611" s="419"/>
      <c r="AY611" s="419"/>
      <c r="AZ611" s="421"/>
      <c r="BA611" s="421"/>
      <c r="BB611" s="419"/>
      <c r="BC611" s="419"/>
      <c r="BD611" s="421"/>
      <c r="BE611" s="421"/>
      <c r="BF611" s="419"/>
      <c r="BG611" s="419"/>
      <c r="BH611" s="421"/>
      <c r="BI611" s="421"/>
      <c r="BJ611" s="419"/>
      <c r="BK611" s="419"/>
      <c r="BL611" s="421"/>
      <c r="BM611" s="421"/>
      <c r="BN611" s="419"/>
      <c r="BO611" s="419"/>
      <c r="BP611" s="421"/>
      <c r="BQ611" s="421"/>
      <c r="BR611" s="419"/>
      <c r="BS611" s="419"/>
      <c r="BT611" s="421"/>
      <c r="BU611" s="421"/>
      <c r="BV611" s="419"/>
      <c r="BW611" s="419"/>
      <c r="BX611" s="421"/>
      <c r="BY611" s="421"/>
      <c r="BZ611" s="419"/>
      <c r="CA611" s="419"/>
      <c r="CB611" s="421"/>
      <c r="CC611" s="421"/>
      <c r="CD611" s="419"/>
      <c r="CE611" s="419"/>
      <c r="CF611" s="421"/>
      <c r="CG611" s="421"/>
      <c r="CH611" s="419"/>
      <c r="CI611" s="419"/>
      <c r="CJ611" s="421"/>
      <c r="CK611" s="421"/>
      <c r="CL611" s="419"/>
      <c r="CM611" s="421"/>
      <c r="CN611" s="424">
        <f t="shared" si="245"/>
        <v>0</v>
      </c>
      <c r="CO611" s="424">
        <f t="shared" si="246"/>
        <v>0</v>
      </c>
      <c r="CP611" s="425">
        <f t="shared" si="247"/>
        <v>0</v>
      </c>
      <c r="CQ611" s="425">
        <f t="shared" si="248"/>
        <v>0</v>
      </c>
      <c r="CR611" s="419"/>
      <c r="CS611" s="419"/>
      <c r="CT611" s="421"/>
      <c r="CU611" s="421"/>
      <c r="CV611" s="419"/>
      <c r="CW611" s="419"/>
      <c r="CX611" s="421"/>
      <c r="CY611" s="421"/>
      <c r="CZ611" s="419"/>
      <c r="DA611" s="419"/>
      <c r="DB611" s="421"/>
      <c r="DC611" s="421"/>
      <c r="DD611" s="419"/>
      <c r="DE611" s="419"/>
      <c r="DF611" s="421"/>
      <c r="DG611" s="421"/>
      <c r="DH611" s="419"/>
      <c r="DI611" s="419"/>
      <c r="DJ611" s="421"/>
      <c r="DK611" s="421"/>
      <c r="DL611" s="419"/>
      <c r="DM611" s="419"/>
      <c r="DN611" s="421"/>
      <c r="DO611" s="421"/>
      <c r="DP611" s="419"/>
      <c r="DQ611" s="419"/>
      <c r="DR611" s="421"/>
      <c r="DS611" s="421"/>
      <c r="DT611" s="419"/>
      <c r="DU611" s="419"/>
      <c r="DV611" s="421"/>
      <c r="DW611" s="421"/>
      <c r="DX611" s="419"/>
      <c r="DY611" s="419"/>
      <c r="DZ611" s="421"/>
      <c r="EA611" s="421"/>
      <c r="EB611" s="419"/>
      <c r="EC611" s="419"/>
      <c r="ED611" s="421"/>
      <c r="EE611" s="421"/>
      <c r="EF611" s="419"/>
      <c r="EG611" s="421"/>
      <c r="EH611" s="424">
        <f t="shared" si="249"/>
        <v>0</v>
      </c>
      <c r="EI611" s="424">
        <f t="shared" si="250"/>
        <v>0</v>
      </c>
      <c r="EJ611" s="422">
        <f t="shared" si="251"/>
        <v>0</v>
      </c>
      <c r="EK611" s="425">
        <f t="shared" si="252"/>
        <v>0</v>
      </c>
      <c r="EL611" s="425">
        <f t="shared" si="253"/>
        <v>0</v>
      </c>
      <c r="EM611" s="423">
        <f t="shared" si="254"/>
        <v>0</v>
      </c>
      <c r="EN611" s="424">
        <f t="shared" si="255"/>
        <v>0</v>
      </c>
      <c r="EO611" s="425">
        <f t="shared" si="256"/>
        <v>0</v>
      </c>
      <c r="EP611" s="419"/>
      <c r="EQ611" s="421"/>
      <c r="ER611" s="419"/>
      <c r="ES611" s="421"/>
      <c r="ET611" s="419"/>
      <c r="EU611" s="421"/>
      <c r="EV611" s="419"/>
      <c r="EW611" s="421"/>
      <c r="EX611" s="419"/>
      <c r="EY611" s="421"/>
      <c r="EZ611" s="419"/>
      <c r="FA611" s="421"/>
      <c r="FB611" s="419"/>
      <c r="FC611" s="421"/>
      <c r="FD611" s="419"/>
      <c r="FE611" s="421"/>
      <c r="FF611" s="419"/>
      <c r="FG611" s="421"/>
      <c r="FH611" s="419"/>
      <c r="FI611" s="421"/>
      <c r="FJ611" s="424">
        <f t="shared" si="257"/>
        <v>0</v>
      </c>
      <c r="FK611" s="425">
        <f t="shared" si="258"/>
        <v>0</v>
      </c>
      <c r="FL611" s="419"/>
      <c r="FM611" s="421"/>
      <c r="FN611" s="424">
        <f t="shared" si="259"/>
        <v>122</v>
      </c>
      <c r="FO611" s="425">
        <f t="shared" si="260"/>
        <v>76</v>
      </c>
    </row>
    <row r="612" spans="1:171" ht="12.5">
      <c r="A612" s="305" t="s">
        <v>168</v>
      </c>
      <c r="B612" s="479" t="s">
        <v>1135</v>
      </c>
      <c r="C612" s="479"/>
      <c r="D612" s="480">
        <v>237172</v>
      </c>
      <c r="E612" s="34">
        <v>14</v>
      </c>
      <c r="F612" s="419">
        <v>30</v>
      </c>
      <c r="G612" s="421">
        <v>27</v>
      </c>
      <c r="H612" s="419"/>
      <c r="I612" s="421"/>
      <c r="J612" s="419"/>
      <c r="K612" s="421"/>
      <c r="L612" s="422">
        <f t="shared" si="239"/>
        <v>0</v>
      </c>
      <c r="M612" s="423">
        <f t="shared" si="240"/>
        <v>0</v>
      </c>
      <c r="N612" s="419"/>
      <c r="O612" s="309">
        <f>0</f>
        <v>0</v>
      </c>
      <c r="P612" s="309">
        <f>0</f>
        <v>0</v>
      </c>
      <c r="Q612" s="309">
        <f>0</f>
        <v>0</v>
      </c>
      <c r="R612" s="424">
        <f t="shared" si="237"/>
        <v>0</v>
      </c>
      <c r="S612" s="421"/>
      <c r="T612" s="301">
        <f>0</f>
        <v>0</v>
      </c>
      <c r="U612" s="301">
        <f>0</f>
        <v>0</v>
      </c>
      <c r="V612" s="301">
        <f>0</f>
        <v>0</v>
      </c>
      <c r="W612" s="425">
        <f t="shared" si="238"/>
        <v>0</v>
      </c>
      <c r="X612" s="419"/>
      <c r="Y612" s="419"/>
      <c r="Z612" s="421"/>
      <c r="AA612" s="421"/>
      <c r="AB612" s="419"/>
      <c r="AC612" s="419"/>
      <c r="AD612" s="421"/>
      <c r="AE612" s="421"/>
      <c r="AF612" s="419"/>
      <c r="AG612" s="419"/>
      <c r="AH612" s="421"/>
      <c r="AI612" s="421"/>
      <c r="AJ612" s="419"/>
      <c r="AK612" s="419"/>
      <c r="AL612" s="421"/>
      <c r="AM612" s="421"/>
      <c r="AN612" s="419"/>
      <c r="AO612" s="419"/>
      <c r="AP612" s="421"/>
      <c r="AQ612" s="421"/>
      <c r="AR612" s="424">
        <f t="shared" si="241"/>
        <v>0</v>
      </c>
      <c r="AS612" s="422">
        <f t="shared" si="242"/>
        <v>0</v>
      </c>
      <c r="AT612" s="425">
        <f t="shared" si="243"/>
        <v>0</v>
      </c>
      <c r="AU612" s="423">
        <f t="shared" si="244"/>
        <v>0</v>
      </c>
      <c r="AV612" s="419"/>
      <c r="AW612" s="421"/>
      <c r="AX612" s="419"/>
      <c r="AY612" s="419"/>
      <c r="AZ612" s="421"/>
      <c r="BA612" s="421"/>
      <c r="BB612" s="419"/>
      <c r="BC612" s="419"/>
      <c r="BD612" s="421"/>
      <c r="BE612" s="421"/>
      <c r="BF612" s="419"/>
      <c r="BG612" s="419"/>
      <c r="BH612" s="421"/>
      <c r="BI612" s="421"/>
      <c r="BJ612" s="419"/>
      <c r="BK612" s="419"/>
      <c r="BL612" s="421"/>
      <c r="BM612" s="421"/>
      <c r="BN612" s="419"/>
      <c r="BO612" s="419"/>
      <c r="BP612" s="421"/>
      <c r="BQ612" s="421"/>
      <c r="BR612" s="419"/>
      <c r="BS612" s="419"/>
      <c r="BT612" s="421"/>
      <c r="BU612" s="421"/>
      <c r="BV612" s="419"/>
      <c r="BW612" s="419"/>
      <c r="BX612" s="421"/>
      <c r="BY612" s="421"/>
      <c r="BZ612" s="419"/>
      <c r="CA612" s="419"/>
      <c r="CB612" s="421"/>
      <c r="CC612" s="421"/>
      <c r="CD612" s="419"/>
      <c r="CE612" s="419"/>
      <c r="CF612" s="421"/>
      <c r="CG612" s="421"/>
      <c r="CH612" s="419"/>
      <c r="CI612" s="419"/>
      <c r="CJ612" s="421"/>
      <c r="CK612" s="421"/>
      <c r="CL612" s="419"/>
      <c r="CM612" s="421"/>
      <c r="CN612" s="424">
        <f t="shared" si="245"/>
        <v>0</v>
      </c>
      <c r="CO612" s="424">
        <f t="shared" si="246"/>
        <v>0</v>
      </c>
      <c r="CP612" s="425">
        <f t="shared" si="247"/>
        <v>0</v>
      </c>
      <c r="CQ612" s="425">
        <f t="shared" si="248"/>
        <v>0</v>
      </c>
      <c r="CR612" s="419"/>
      <c r="CS612" s="419"/>
      <c r="CT612" s="421"/>
      <c r="CU612" s="421"/>
      <c r="CV612" s="419"/>
      <c r="CW612" s="419"/>
      <c r="CX612" s="421"/>
      <c r="CY612" s="421"/>
      <c r="CZ612" s="419"/>
      <c r="DA612" s="419"/>
      <c r="DB612" s="421"/>
      <c r="DC612" s="421"/>
      <c r="DD612" s="419"/>
      <c r="DE612" s="419"/>
      <c r="DF612" s="421"/>
      <c r="DG612" s="421"/>
      <c r="DH612" s="419"/>
      <c r="DI612" s="419"/>
      <c r="DJ612" s="421"/>
      <c r="DK612" s="421"/>
      <c r="DL612" s="419"/>
      <c r="DM612" s="419"/>
      <c r="DN612" s="421"/>
      <c r="DO612" s="421"/>
      <c r="DP612" s="419"/>
      <c r="DQ612" s="419"/>
      <c r="DR612" s="421"/>
      <c r="DS612" s="421"/>
      <c r="DT612" s="419"/>
      <c r="DU612" s="419"/>
      <c r="DV612" s="421"/>
      <c r="DW612" s="421"/>
      <c r="DX612" s="419"/>
      <c r="DY612" s="419"/>
      <c r="DZ612" s="421"/>
      <c r="EA612" s="421"/>
      <c r="EB612" s="419"/>
      <c r="EC612" s="419"/>
      <c r="ED612" s="421"/>
      <c r="EE612" s="421"/>
      <c r="EF612" s="419"/>
      <c r="EG612" s="421"/>
      <c r="EH612" s="424">
        <f t="shared" si="249"/>
        <v>0</v>
      </c>
      <c r="EI612" s="424">
        <f t="shared" si="250"/>
        <v>0</v>
      </c>
      <c r="EJ612" s="422">
        <f t="shared" si="251"/>
        <v>0</v>
      </c>
      <c r="EK612" s="425">
        <f t="shared" si="252"/>
        <v>0</v>
      </c>
      <c r="EL612" s="425">
        <f t="shared" si="253"/>
        <v>0</v>
      </c>
      <c r="EM612" s="423">
        <f t="shared" si="254"/>
        <v>0</v>
      </c>
      <c r="EN612" s="424">
        <f t="shared" si="255"/>
        <v>0</v>
      </c>
      <c r="EO612" s="425">
        <f t="shared" si="256"/>
        <v>0</v>
      </c>
      <c r="EP612" s="419"/>
      <c r="EQ612" s="421"/>
      <c r="ER612" s="419"/>
      <c r="ES612" s="421"/>
      <c r="ET612" s="419"/>
      <c r="EU612" s="421"/>
      <c r="EV612" s="419"/>
      <c r="EW612" s="421"/>
      <c r="EX612" s="419"/>
      <c r="EY612" s="421"/>
      <c r="EZ612" s="419"/>
      <c r="FA612" s="421"/>
      <c r="FB612" s="419"/>
      <c r="FC612" s="421"/>
      <c r="FD612" s="419"/>
      <c r="FE612" s="421"/>
      <c r="FF612" s="419"/>
      <c r="FG612" s="421"/>
      <c r="FH612" s="419"/>
      <c r="FI612" s="421"/>
      <c r="FJ612" s="424">
        <f t="shared" si="257"/>
        <v>0</v>
      </c>
      <c r="FK612" s="425">
        <f t="shared" si="258"/>
        <v>0</v>
      </c>
      <c r="FL612" s="419"/>
      <c r="FM612" s="421"/>
      <c r="FN612" s="424">
        <f t="shared" si="259"/>
        <v>30</v>
      </c>
      <c r="FO612" s="425">
        <f t="shared" si="260"/>
        <v>27</v>
      </c>
    </row>
    <row r="613" spans="1:171" ht="12.5">
      <c r="A613" s="460" t="s">
        <v>168</v>
      </c>
      <c r="B613" s="479" t="s">
        <v>1136</v>
      </c>
      <c r="C613" s="479"/>
      <c r="D613" s="480">
        <v>237224</v>
      </c>
      <c r="E613" s="34">
        <v>14</v>
      </c>
      <c r="F613" s="419">
        <v>94</v>
      </c>
      <c r="G613" s="421">
        <v>106</v>
      </c>
      <c r="H613" s="419"/>
      <c r="I613" s="421"/>
      <c r="J613" s="419"/>
      <c r="K613" s="421"/>
      <c r="L613" s="422">
        <f t="shared" si="239"/>
        <v>0</v>
      </c>
      <c r="M613" s="423">
        <f t="shared" si="240"/>
        <v>0</v>
      </c>
      <c r="N613" s="419"/>
      <c r="O613" s="309">
        <f>0</f>
        <v>0</v>
      </c>
      <c r="P613" s="309">
        <f>0</f>
        <v>0</v>
      </c>
      <c r="Q613" s="309">
        <f>0</f>
        <v>0</v>
      </c>
      <c r="R613" s="424">
        <f t="shared" si="237"/>
        <v>0</v>
      </c>
      <c r="S613" s="421"/>
      <c r="T613" s="301">
        <f>0</f>
        <v>0</v>
      </c>
      <c r="U613" s="301">
        <f>0</f>
        <v>0</v>
      </c>
      <c r="V613" s="301">
        <f>0</f>
        <v>0</v>
      </c>
      <c r="W613" s="425">
        <f t="shared" si="238"/>
        <v>0</v>
      </c>
      <c r="X613" s="419"/>
      <c r="Y613" s="419"/>
      <c r="Z613" s="421"/>
      <c r="AA613" s="421"/>
      <c r="AB613" s="419"/>
      <c r="AC613" s="419"/>
      <c r="AD613" s="421"/>
      <c r="AE613" s="421"/>
      <c r="AF613" s="419"/>
      <c r="AG613" s="419"/>
      <c r="AH613" s="421"/>
      <c r="AI613" s="421"/>
      <c r="AJ613" s="419"/>
      <c r="AK613" s="419"/>
      <c r="AL613" s="421"/>
      <c r="AM613" s="421"/>
      <c r="AN613" s="419"/>
      <c r="AO613" s="419"/>
      <c r="AP613" s="421"/>
      <c r="AQ613" s="421"/>
      <c r="AR613" s="424">
        <f t="shared" si="241"/>
        <v>0</v>
      </c>
      <c r="AS613" s="422">
        <f t="shared" si="242"/>
        <v>0</v>
      </c>
      <c r="AT613" s="425">
        <f t="shared" si="243"/>
        <v>0</v>
      </c>
      <c r="AU613" s="423">
        <f t="shared" si="244"/>
        <v>0</v>
      </c>
      <c r="AV613" s="419"/>
      <c r="AW613" s="421"/>
      <c r="AX613" s="419"/>
      <c r="AY613" s="419"/>
      <c r="AZ613" s="421"/>
      <c r="BA613" s="421"/>
      <c r="BB613" s="419"/>
      <c r="BC613" s="419"/>
      <c r="BD613" s="421"/>
      <c r="BE613" s="421"/>
      <c r="BF613" s="419"/>
      <c r="BG613" s="419"/>
      <c r="BH613" s="421"/>
      <c r="BI613" s="421"/>
      <c r="BJ613" s="419"/>
      <c r="BK613" s="419"/>
      <c r="BL613" s="421"/>
      <c r="BM613" s="421"/>
      <c r="BN613" s="419"/>
      <c r="BO613" s="419"/>
      <c r="BP613" s="421"/>
      <c r="BQ613" s="421"/>
      <c r="BR613" s="419"/>
      <c r="BS613" s="419"/>
      <c r="BT613" s="421"/>
      <c r="BU613" s="421"/>
      <c r="BV613" s="419"/>
      <c r="BW613" s="419"/>
      <c r="BX613" s="421"/>
      <c r="BY613" s="421"/>
      <c r="BZ613" s="419"/>
      <c r="CA613" s="419"/>
      <c r="CB613" s="421"/>
      <c r="CC613" s="421"/>
      <c r="CD613" s="419"/>
      <c r="CE613" s="419"/>
      <c r="CF613" s="421"/>
      <c r="CG613" s="421"/>
      <c r="CH613" s="419"/>
      <c r="CI613" s="419"/>
      <c r="CJ613" s="421"/>
      <c r="CK613" s="421"/>
      <c r="CL613" s="419"/>
      <c r="CM613" s="421"/>
      <c r="CN613" s="424">
        <f t="shared" si="245"/>
        <v>0</v>
      </c>
      <c r="CO613" s="424">
        <f t="shared" si="246"/>
        <v>0</v>
      </c>
      <c r="CP613" s="425">
        <f t="shared" si="247"/>
        <v>0</v>
      </c>
      <c r="CQ613" s="425">
        <f t="shared" si="248"/>
        <v>0</v>
      </c>
      <c r="CR613" s="419"/>
      <c r="CS613" s="419"/>
      <c r="CT613" s="421"/>
      <c r="CU613" s="421"/>
      <c r="CV613" s="419"/>
      <c r="CW613" s="419"/>
      <c r="CX613" s="421"/>
      <c r="CY613" s="421"/>
      <c r="CZ613" s="419"/>
      <c r="DA613" s="419"/>
      <c r="DB613" s="421"/>
      <c r="DC613" s="421"/>
      <c r="DD613" s="419"/>
      <c r="DE613" s="419"/>
      <c r="DF613" s="421"/>
      <c r="DG613" s="421"/>
      <c r="DH613" s="419"/>
      <c r="DI613" s="419"/>
      <c r="DJ613" s="421"/>
      <c r="DK613" s="421"/>
      <c r="DL613" s="419"/>
      <c r="DM613" s="419"/>
      <c r="DN613" s="421"/>
      <c r="DO613" s="421"/>
      <c r="DP613" s="419"/>
      <c r="DQ613" s="419"/>
      <c r="DR613" s="421"/>
      <c r="DS613" s="421"/>
      <c r="DT613" s="419"/>
      <c r="DU613" s="419"/>
      <c r="DV613" s="421"/>
      <c r="DW613" s="421"/>
      <c r="DX613" s="419"/>
      <c r="DY613" s="419"/>
      <c r="DZ613" s="421"/>
      <c r="EA613" s="421"/>
      <c r="EB613" s="419"/>
      <c r="EC613" s="419"/>
      <c r="ED613" s="421"/>
      <c r="EE613" s="421"/>
      <c r="EF613" s="419"/>
      <c r="EG613" s="421"/>
      <c r="EH613" s="424">
        <f t="shared" si="249"/>
        <v>0</v>
      </c>
      <c r="EI613" s="424">
        <f t="shared" si="250"/>
        <v>0</v>
      </c>
      <c r="EJ613" s="422">
        <f t="shared" si="251"/>
        <v>0</v>
      </c>
      <c r="EK613" s="425">
        <f t="shared" si="252"/>
        <v>0</v>
      </c>
      <c r="EL613" s="425">
        <f t="shared" si="253"/>
        <v>0</v>
      </c>
      <c r="EM613" s="423">
        <f t="shared" si="254"/>
        <v>0</v>
      </c>
      <c r="EN613" s="424">
        <f t="shared" si="255"/>
        <v>0</v>
      </c>
      <c r="EO613" s="425">
        <f t="shared" si="256"/>
        <v>0</v>
      </c>
      <c r="EP613" s="419"/>
      <c r="EQ613" s="421"/>
      <c r="ER613" s="419"/>
      <c r="ES613" s="421"/>
      <c r="ET613" s="419"/>
      <c r="EU613" s="421"/>
      <c r="EV613" s="419"/>
      <c r="EW613" s="421"/>
      <c r="EX613" s="419"/>
      <c r="EY613" s="421"/>
      <c r="EZ613" s="419"/>
      <c r="FA613" s="421"/>
      <c r="FB613" s="419"/>
      <c r="FC613" s="421"/>
      <c r="FD613" s="419"/>
      <c r="FE613" s="421"/>
      <c r="FF613" s="419"/>
      <c r="FG613" s="421"/>
      <c r="FH613" s="419"/>
      <c r="FI613" s="421"/>
      <c r="FJ613" s="424">
        <f t="shared" si="257"/>
        <v>0</v>
      </c>
      <c r="FK613" s="425">
        <f t="shared" si="258"/>
        <v>0</v>
      </c>
      <c r="FL613" s="419"/>
      <c r="FM613" s="421"/>
      <c r="FN613" s="424">
        <f t="shared" si="259"/>
        <v>94</v>
      </c>
      <c r="FO613" s="425">
        <f t="shared" si="260"/>
        <v>106</v>
      </c>
    </row>
    <row r="614" spans="1:171" ht="12.5">
      <c r="A614" s="460" t="s">
        <v>168</v>
      </c>
      <c r="B614" s="479" t="s">
        <v>1137</v>
      </c>
      <c r="C614" s="479"/>
      <c r="D614" s="480">
        <v>237242</v>
      </c>
      <c r="E614" s="34">
        <v>14</v>
      </c>
      <c r="F614" s="419">
        <v>66</v>
      </c>
      <c r="G614" s="434">
        <v>28</v>
      </c>
      <c r="H614" s="419"/>
      <c r="I614" s="421"/>
      <c r="J614" s="419"/>
      <c r="K614" s="421"/>
      <c r="L614" s="422">
        <f t="shared" si="239"/>
        <v>0</v>
      </c>
      <c r="M614" s="423">
        <f t="shared" si="240"/>
        <v>0</v>
      </c>
      <c r="N614" s="419"/>
      <c r="O614" s="309">
        <f>0</f>
        <v>0</v>
      </c>
      <c r="P614" s="309">
        <f>0</f>
        <v>0</v>
      </c>
      <c r="Q614" s="309">
        <f>0</f>
        <v>0</v>
      </c>
      <c r="R614" s="424">
        <f t="shared" si="237"/>
        <v>0</v>
      </c>
      <c r="S614" s="421"/>
      <c r="T614" s="301">
        <f>0</f>
        <v>0</v>
      </c>
      <c r="U614" s="301">
        <f>0</f>
        <v>0</v>
      </c>
      <c r="V614" s="301">
        <f>0</f>
        <v>0</v>
      </c>
      <c r="W614" s="425">
        <f t="shared" si="238"/>
        <v>0</v>
      </c>
      <c r="X614" s="419"/>
      <c r="Y614" s="419"/>
      <c r="Z614" s="421"/>
      <c r="AA614" s="421"/>
      <c r="AB614" s="419"/>
      <c r="AC614" s="419"/>
      <c r="AD614" s="421"/>
      <c r="AE614" s="421"/>
      <c r="AF614" s="419"/>
      <c r="AG614" s="419"/>
      <c r="AH614" s="421"/>
      <c r="AI614" s="421"/>
      <c r="AJ614" s="419"/>
      <c r="AK614" s="419"/>
      <c r="AL614" s="421"/>
      <c r="AM614" s="421"/>
      <c r="AN614" s="419"/>
      <c r="AO614" s="419"/>
      <c r="AP614" s="421"/>
      <c r="AQ614" s="421"/>
      <c r="AR614" s="424">
        <f t="shared" si="241"/>
        <v>0</v>
      </c>
      <c r="AS614" s="422">
        <f t="shared" si="242"/>
        <v>0</v>
      </c>
      <c r="AT614" s="425">
        <f t="shared" si="243"/>
        <v>0</v>
      </c>
      <c r="AU614" s="423">
        <f t="shared" si="244"/>
        <v>0</v>
      </c>
      <c r="AV614" s="419"/>
      <c r="AW614" s="421"/>
      <c r="AX614" s="419"/>
      <c r="AY614" s="419"/>
      <c r="AZ614" s="421"/>
      <c r="BA614" s="421"/>
      <c r="BB614" s="419"/>
      <c r="BC614" s="419"/>
      <c r="BD614" s="421"/>
      <c r="BE614" s="421"/>
      <c r="BF614" s="419"/>
      <c r="BG614" s="419"/>
      <c r="BH614" s="421"/>
      <c r="BI614" s="421"/>
      <c r="BJ614" s="419"/>
      <c r="BK614" s="419"/>
      <c r="BL614" s="421"/>
      <c r="BM614" s="421"/>
      <c r="BN614" s="419"/>
      <c r="BO614" s="419"/>
      <c r="BP614" s="421"/>
      <c r="BQ614" s="421"/>
      <c r="BR614" s="419"/>
      <c r="BS614" s="419"/>
      <c r="BT614" s="421"/>
      <c r="BU614" s="421"/>
      <c r="BV614" s="419"/>
      <c r="BW614" s="419"/>
      <c r="BX614" s="421"/>
      <c r="BY614" s="421"/>
      <c r="BZ614" s="419"/>
      <c r="CA614" s="419"/>
      <c r="CB614" s="421"/>
      <c r="CC614" s="421"/>
      <c r="CD614" s="419"/>
      <c r="CE614" s="419"/>
      <c r="CF614" s="421"/>
      <c r="CG614" s="421"/>
      <c r="CH614" s="419"/>
      <c r="CI614" s="419"/>
      <c r="CJ614" s="421"/>
      <c r="CK614" s="421"/>
      <c r="CL614" s="419"/>
      <c r="CM614" s="421"/>
      <c r="CN614" s="424">
        <f t="shared" si="245"/>
        <v>0</v>
      </c>
      <c r="CO614" s="424">
        <f t="shared" si="246"/>
        <v>0</v>
      </c>
      <c r="CP614" s="425">
        <f t="shared" si="247"/>
        <v>0</v>
      </c>
      <c r="CQ614" s="425">
        <f t="shared" si="248"/>
        <v>0</v>
      </c>
      <c r="CR614" s="419"/>
      <c r="CS614" s="419"/>
      <c r="CT614" s="421"/>
      <c r="CU614" s="421"/>
      <c r="CV614" s="419"/>
      <c r="CW614" s="419"/>
      <c r="CX614" s="421"/>
      <c r="CY614" s="421"/>
      <c r="CZ614" s="419"/>
      <c r="DA614" s="419"/>
      <c r="DB614" s="421"/>
      <c r="DC614" s="421"/>
      <c r="DD614" s="419"/>
      <c r="DE614" s="419"/>
      <c r="DF614" s="421"/>
      <c r="DG614" s="421"/>
      <c r="DH614" s="419"/>
      <c r="DI614" s="419"/>
      <c r="DJ614" s="421"/>
      <c r="DK614" s="421"/>
      <c r="DL614" s="419"/>
      <c r="DM614" s="419"/>
      <c r="DN614" s="421"/>
      <c r="DO614" s="421"/>
      <c r="DP614" s="419"/>
      <c r="DQ614" s="419"/>
      <c r="DR614" s="421"/>
      <c r="DS614" s="421"/>
      <c r="DT614" s="419"/>
      <c r="DU614" s="419"/>
      <c r="DV614" s="421"/>
      <c r="DW614" s="421"/>
      <c r="DX614" s="419"/>
      <c r="DY614" s="419"/>
      <c r="DZ614" s="421"/>
      <c r="EA614" s="421"/>
      <c r="EB614" s="419"/>
      <c r="EC614" s="419"/>
      <c r="ED614" s="421"/>
      <c r="EE614" s="421"/>
      <c r="EF614" s="419"/>
      <c r="EG614" s="421"/>
      <c r="EH614" s="424">
        <f t="shared" si="249"/>
        <v>0</v>
      </c>
      <c r="EI614" s="424">
        <f t="shared" si="250"/>
        <v>0</v>
      </c>
      <c r="EJ614" s="422">
        <f t="shared" si="251"/>
        <v>0</v>
      </c>
      <c r="EK614" s="425">
        <f t="shared" si="252"/>
        <v>0</v>
      </c>
      <c r="EL614" s="425">
        <f t="shared" si="253"/>
        <v>0</v>
      </c>
      <c r="EM614" s="423">
        <f t="shared" si="254"/>
        <v>0</v>
      </c>
      <c r="EN614" s="424">
        <f t="shared" si="255"/>
        <v>0</v>
      </c>
      <c r="EO614" s="425">
        <f t="shared" si="256"/>
        <v>0</v>
      </c>
      <c r="EP614" s="419"/>
      <c r="EQ614" s="421"/>
      <c r="ER614" s="419"/>
      <c r="ES614" s="421"/>
      <c r="ET614" s="419"/>
      <c r="EU614" s="421"/>
      <c r="EV614" s="419"/>
      <c r="EW614" s="421"/>
      <c r="EX614" s="419"/>
      <c r="EY614" s="421"/>
      <c r="EZ614" s="419"/>
      <c r="FA614" s="421"/>
      <c r="FB614" s="419"/>
      <c r="FC614" s="421"/>
      <c r="FD614" s="419"/>
      <c r="FE614" s="421"/>
      <c r="FF614" s="419"/>
      <c r="FG614" s="421"/>
      <c r="FH614" s="419"/>
      <c r="FI614" s="421"/>
      <c r="FJ614" s="424">
        <f t="shared" si="257"/>
        <v>0</v>
      </c>
      <c r="FK614" s="425">
        <f t="shared" si="258"/>
        <v>0</v>
      </c>
      <c r="FL614" s="419"/>
      <c r="FM614" s="421"/>
      <c r="FN614" s="424">
        <f t="shared" si="259"/>
        <v>66</v>
      </c>
      <c r="FO614" s="425">
        <f t="shared" si="260"/>
        <v>28</v>
      </c>
    </row>
    <row r="615" spans="1:171" ht="12.5">
      <c r="A615" s="305" t="s">
        <v>168</v>
      </c>
      <c r="B615" s="479" t="s">
        <v>1138</v>
      </c>
      <c r="C615" s="479"/>
      <c r="D615" s="480">
        <v>430795</v>
      </c>
      <c r="E615" s="34">
        <v>14</v>
      </c>
      <c r="F615" s="419">
        <v>80</v>
      </c>
      <c r="G615" s="421">
        <v>83</v>
      </c>
      <c r="H615" s="419"/>
      <c r="I615" s="421"/>
      <c r="J615" s="419"/>
      <c r="K615" s="421"/>
      <c r="L615" s="422">
        <f t="shared" si="239"/>
        <v>0</v>
      </c>
      <c r="M615" s="423">
        <f t="shared" si="240"/>
        <v>0</v>
      </c>
      <c r="N615" s="419"/>
      <c r="O615" s="309">
        <f>0</f>
        <v>0</v>
      </c>
      <c r="P615" s="309">
        <f>0</f>
        <v>0</v>
      </c>
      <c r="Q615" s="309">
        <f>0</f>
        <v>0</v>
      </c>
      <c r="R615" s="424">
        <f t="shared" si="237"/>
        <v>0</v>
      </c>
      <c r="S615" s="421"/>
      <c r="T615" s="301">
        <f>0</f>
        <v>0</v>
      </c>
      <c r="U615" s="301">
        <f>0</f>
        <v>0</v>
      </c>
      <c r="V615" s="301">
        <f>0</f>
        <v>0</v>
      </c>
      <c r="W615" s="425">
        <f t="shared" si="238"/>
        <v>0</v>
      </c>
      <c r="X615" s="419"/>
      <c r="Y615" s="419"/>
      <c r="Z615" s="421"/>
      <c r="AA615" s="421"/>
      <c r="AB615" s="419"/>
      <c r="AC615" s="419"/>
      <c r="AD615" s="421"/>
      <c r="AE615" s="421"/>
      <c r="AF615" s="419"/>
      <c r="AG615" s="419"/>
      <c r="AH615" s="421"/>
      <c r="AI615" s="421"/>
      <c r="AJ615" s="419"/>
      <c r="AK615" s="419"/>
      <c r="AL615" s="421"/>
      <c r="AM615" s="421"/>
      <c r="AN615" s="419"/>
      <c r="AO615" s="419"/>
      <c r="AP615" s="421"/>
      <c r="AQ615" s="421"/>
      <c r="AR615" s="424">
        <f t="shared" si="241"/>
        <v>0</v>
      </c>
      <c r="AS615" s="422">
        <f t="shared" si="242"/>
        <v>0</v>
      </c>
      <c r="AT615" s="425">
        <f t="shared" si="243"/>
        <v>0</v>
      </c>
      <c r="AU615" s="423">
        <f t="shared" si="244"/>
        <v>0</v>
      </c>
      <c r="AV615" s="419"/>
      <c r="AW615" s="421"/>
      <c r="AX615" s="419"/>
      <c r="AY615" s="419"/>
      <c r="AZ615" s="421"/>
      <c r="BA615" s="421"/>
      <c r="BB615" s="419"/>
      <c r="BC615" s="419"/>
      <c r="BD615" s="421"/>
      <c r="BE615" s="421"/>
      <c r="BF615" s="419"/>
      <c r="BG615" s="419"/>
      <c r="BH615" s="421"/>
      <c r="BI615" s="421"/>
      <c r="BJ615" s="419"/>
      <c r="BK615" s="419"/>
      <c r="BL615" s="421"/>
      <c r="BM615" s="421"/>
      <c r="BN615" s="419"/>
      <c r="BO615" s="419"/>
      <c r="BP615" s="421"/>
      <c r="BQ615" s="421"/>
      <c r="BR615" s="419"/>
      <c r="BS615" s="419"/>
      <c r="BT615" s="421"/>
      <c r="BU615" s="421"/>
      <c r="BV615" s="419"/>
      <c r="BW615" s="419"/>
      <c r="BX615" s="421"/>
      <c r="BY615" s="421"/>
      <c r="BZ615" s="419"/>
      <c r="CA615" s="419"/>
      <c r="CB615" s="421"/>
      <c r="CC615" s="421"/>
      <c r="CD615" s="419"/>
      <c r="CE615" s="419"/>
      <c r="CF615" s="421"/>
      <c r="CG615" s="421"/>
      <c r="CH615" s="419"/>
      <c r="CI615" s="419"/>
      <c r="CJ615" s="421"/>
      <c r="CK615" s="421"/>
      <c r="CL615" s="419"/>
      <c r="CM615" s="421"/>
      <c r="CN615" s="424">
        <f t="shared" si="245"/>
        <v>0</v>
      </c>
      <c r="CO615" s="424">
        <f t="shared" si="246"/>
        <v>0</v>
      </c>
      <c r="CP615" s="425">
        <f t="shared" si="247"/>
        <v>0</v>
      </c>
      <c r="CQ615" s="425">
        <f t="shared" si="248"/>
        <v>0</v>
      </c>
      <c r="CR615" s="419"/>
      <c r="CS615" s="419"/>
      <c r="CT615" s="421"/>
      <c r="CU615" s="421"/>
      <c r="CV615" s="419"/>
      <c r="CW615" s="419"/>
      <c r="CX615" s="421"/>
      <c r="CY615" s="421"/>
      <c r="CZ615" s="419"/>
      <c r="DA615" s="419"/>
      <c r="DB615" s="421"/>
      <c r="DC615" s="421"/>
      <c r="DD615" s="419"/>
      <c r="DE615" s="419"/>
      <c r="DF615" s="421"/>
      <c r="DG615" s="421"/>
      <c r="DH615" s="419"/>
      <c r="DI615" s="419"/>
      <c r="DJ615" s="421"/>
      <c r="DK615" s="421"/>
      <c r="DL615" s="419"/>
      <c r="DM615" s="419"/>
      <c r="DN615" s="421"/>
      <c r="DO615" s="421"/>
      <c r="DP615" s="419"/>
      <c r="DQ615" s="419"/>
      <c r="DR615" s="421"/>
      <c r="DS615" s="421"/>
      <c r="DT615" s="419"/>
      <c r="DU615" s="419"/>
      <c r="DV615" s="421"/>
      <c r="DW615" s="421"/>
      <c r="DX615" s="419"/>
      <c r="DY615" s="419"/>
      <c r="DZ615" s="421"/>
      <c r="EA615" s="421"/>
      <c r="EB615" s="419"/>
      <c r="EC615" s="419"/>
      <c r="ED615" s="421"/>
      <c r="EE615" s="421"/>
      <c r="EF615" s="419"/>
      <c r="EG615" s="421"/>
      <c r="EH615" s="424">
        <f t="shared" si="249"/>
        <v>0</v>
      </c>
      <c r="EI615" s="424">
        <f t="shared" si="250"/>
        <v>0</v>
      </c>
      <c r="EJ615" s="422">
        <f t="shared" si="251"/>
        <v>0</v>
      </c>
      <c r="EK615" s="425">
        <f t="shared" si="252"/>
        <v>0</v>
      </c>
      <c r="EL615" s="425">
        <f t="shared" si="253"/>
        <v>0</v>
      </c>
      <c r="EM615" s="423">
        <f t="shared" si="254"/>
        <v>0</v>
      </c>
      <c r="EN615" s="424">
        <f t="shared" si="255"/>
        <v>0</v>
      </c>
      <c r="EO615" s="425">
        <f t="shared" si="256"/>
        <v>0</v>
      </c>
      <c r="EP615" s="419"/>
      <c r="EQ615" s="421"/>
      <c r="ER615" s="419"/>
      <c r="ES615" s="421"/>
      <c r="ET615" s="419"/>
      <c r="EU615" s="421"/>
      <c r="EV615" s="419"/>
      <c r="EW615" s="421"/>
      <c r="EX615" s="419"/>
      <c r="EY615" s="421"/>
      <c r="EZ615" s="419"/>
      <c r="FA615" s="421"/>
      <c r="FB615" s="419"/>
      <c r="FC615" s="421"/>
      <c r="FD615" s="419"/>
      <c r="FE615" s="421"/>
      <c r="FF615" s="419"/>
      <c r="FG615" s="421"/>
      <c r="FH615" s="419"/>
      <c r="FI615" s="421"/>
      <c r="FJ615" s="424">
        <f t="shared" si="257"/>
        <v>0</v>
      </c>
      <c r="FK615" s="425">
        <f t="shared" si="258"/>
        <v>0</v>
      </c>
      <c r="FL615" s="419"/>
      <c r="FM615" s="421"/>
      <c r="FN615" s="424">
        <f t="shared" si="259"/>
        <v>80</v>
      </c>
      <c r="FO615" s="425">
        <f t="shared" si="260"/>
        <v>83</v>
      </c>
    </row>
    <row r="616" spans="1:171" ht="12.5">
      <c r="A616" s="305" t="s">
        <v>168</v>
      </c>
      <c r="B616" s="479" t="s">
        <v>1139</v>
      </c>
      <c r="C616" s="479"/>
      <c r="D616" s="480">
        <v>413176</v>
      </c>
      <c r="E616" s="34">
        <v>14</v>
      </c>
      <c r="F616" s="419">
        <v>42</v>
      </c>
      <c r="G616" s="420">
        <v>27</v>
      </c>
      <c r="H616" s="419"/>
      <c r="I616" s="421"/>
      <c r="J616" s="419"/>
      <c r="K616" s="421"/>
      <c r="L616" s="422">
        <f t="shared" si="239"/>
        <v>0</v>
      </c>
      <c r="M616" s="423">
        <f t="shared" si="240"/>
        <v>0</v>
      </c>
      <c r="N616" s="419"/>
      <c r="O616" s="309">
        <f>0</f>
        <v>0</v>
      </c>
      <c r="P616" s="309">
        <f>0</f>
        <v>0</v>
      </c>
      <c r="Q616" s="309">
        <f>0</f>
        <v>0</v>
      </c>
      <c r="R616" s="424">
        <f t="shared" si="237"/>
        <v>0</v>
      </c>
      <c r="S616" s="421"/>
      <c r="T616" s="301">
        <f>0</f>
        <v>0</v>
      </c>
      <c r="U616" s="301">
        <f>0</f>
        <v>0</v>
      </c>
      <c r="V616" s="301">
        <f>0</f>
        <v>0</v>
      </c>
      <c r="W616" s="425">
        <f t="shared" si="238"/>
        <v>0</v>
      </c>
      <c r="X616" s="419"/>
      <c r="Y616" s="419"/>
      <c r="Z616" s="421"/>
      <c r="AA616" s="421"/>
      <c r="AB616" s="419"/>
      <c r="AC616" s="419"/>
      <c r="AD616" s="421"/>
      <c r="AE616" s="421"/>
      <c r="AF616" s="419"/>
      <c r="AG616" s="419"/>
      <c r="AH616" s="421"/>
      <c r="AI616" s="421"/>
      <c r="AJ616" s="419"/>
      <c r="AK616" s="419"/>
      <c r="AL616" s="421"/>
      <c r="AM616" s="421"/>
      <c r="AN616" s="419"/>
      <c r="AO616" s="419"/>
      <c r="AP616" s="421"/>
      <c r="AQ616" s="421"/>
      <c r="AR616" s="424">
        <f t="shared" si="241"/>
        <v>0</v>
      </c>
      <c r="AS616" s="422">
        <f t="shared" si="242"/>
        <v>0</v>
      </c>
      <c r="AT616" s="425">
        <f t="shared" si="243"/>
        <v>0</v>
      </c>
      <c r="AU616" s="423">
        <f t="shared" si="244"/>
        <v>0</v>
      </c>
      <c r="AV616" s="419"/>
      <c r="AW616" s="421"/>
      <c r="AX616" s="419"/>
      <c r="AY616" s="419"/>
      <c r="AZ616" s="421"/>
      <c r="BA616" s="421"/>
      <c r="BB616" s="419"/>
      <c r="BC616" s="419"/>
      <c r="BD616" s="421"/>
      <c r="BE616" s="421"/>
      <c r="BF616" s="419"/>
      <c r="BG616" s="419"/>
      <c r="BH616" s="421"/>
      <c r="BI616" s="421"/>
      <c r="BJ616" s="419"/>
      <c r="BK616" s="419"/>
      <c r="BL616" s="421"/>
      <c r="BM616" s="421"/>
      <c r="BN616" s="419"/>
      <c r="BO616" s="419"/>
      <c r="BP616" s="421"/>
      <c r="BQ616" s="421"/>
      <c r="BR616" s="419"/>
      <c r="BS616" s="419"/>
      <c r="BT616" s="421"/>
      <c r="BU616" s="421"/>
      <c r="BV616" s="419"/>
      <c r="BW616" s="419"/>
      <c r="BX616" s="421"/>
      <c r="BY616" s="421"/>
      <c r="BZ616" s="419"/>
      <c r="CA616" s="419"/>
      <c r="CB616" s="421"/>
      <c r="CC616" s="421"/>
      <c r="CD616" s="419"/>
      <c r="CE616" s="419"/>
      <c r="CF616" s="421"/>
      <c r="CG616" s="421"/>
      <c r="CH616" s="419"/>
      <c r="CI616" s="419"/>
      <c r="CJ616" s="421"/>
      <c r="CK616" s="421"/>
      <c r="CL616" s="419"/>
      <c r="CM616" s="421"/>
      <c r="CN616" s="424">
        <f t="shared" si="245"/>
        <v>0</v>
      </c>
      <c r="CO616" s="424">
        <f t="shared" si="246"/>
        <v>0</v>
      </c>
      <c r="CP616" s="425">
        <f t="shared" si="247"/>
        <v>0</v>
      </c>
      <c r="CQ616" s="425">
        <f t="shared" si="248"/>
        <v>0</v>
      </c>
      <c r="CR616" s="419"/>
      <c r="CS616" s="419"/>
      <c r="CT616" s="421"/>
      <c r="CU616" s="421"/>
      <c r="CV616" s="419"/>
      <c r="CW616" s="419"/>
      <c r="CX616" s="421"/>
      <c r="CY616" s="421"/>
      <c r="CZ616" s="419"/>
      <c r="DA616" s="419"/>
      <c r="DB616" s="421"/>
      <c r="DC616" s="421"/>
      <c r="DD616" s="419"/>
      <c r="DE616" s="419"/>
      <c r="DF616" s="421"/>
      <c r="DG616" s="421"/>
      <c r="DH616" s="419"/>
      <c r="DI616" s="419"/>
      <c r="DJ616" s="421"/>
      <c r="DK616" s="421"/>
      <c r="DL616" s="419"/>
      <c r="DM616" s="419"/>
      <c r="DN616" s="421"/>
      <c r="DO616" s="421"/>
      <c r="DP616" s="419"/>
      <c r="DQ616" s="419"/>
      <c r="DR616" s="421"/>
      <c r="DS616" s="421"/>
      <c r="DT616" s="419"/>
      <c r="DU616" s="419"/>
      <c r="DV616" s="421"/>
      <c r="DW616" s="421"/>
      <c r="DX616" s="419"/>
      <c r="DY616" s="419"/>
      <c r="DZ616" s="421"/>
      <c r="EA616" s="421"/>
      <c r="EB616" s="419"/>
      <c r="EC616" s="419"/>
      <c r="ED616" s="421"/>
      <c r="EE616" s="421"/>
      <c r="EF616" s="419"/>
      <c r="EG616" s="421"/>
      <c r="EH616" s="424">
        <f t="shared" si="249"/>
        <v>0</v>
      </c>
      <c r="EI616" s="424">
        <f t="shared" si="250"/>
        <v>0</v>
      </c>
      <c r="EJ616" s="422">
        <f t="shared" si="251"/>
        <v>0</v>
      </c>
      <c r="EK616" s="425">
        <f t="shared" si="252"/>
        <v>0</v>
      </c>
      <c r="EL616" s="425">
        <f t="shared" si="253"/>
        <v>0</v>
      </c>
      <c r="EM616" s="423">
        <f t="shared" si="254"/>
        <v>0</v>
      </c>
      <c r="EN616" s="424">
        <f t="shared" si="255"/>
        <v>0</v>
      </c>
      <c r="EO616" s="425">
        <f t="shared" si="256"/>
        <v>0</v>
      </c>
      <c r="EP616" s="419"/>
      <c r="EQ616" s="421"/>
      <c r="ER616" s="419"/>
      <c r="ES616" s="421"/>
      <c r="ET616" s="419"/>
      <c r="EU616" s="421"/>
      <c r="EV616" s="419"/>
      <c r="EW616" s="421"/>
      <c r="EX616" s="419"/>
      <c r="EY616" s="421"/>
      <c r="EZ616" s="419"/>
      <c r="FA616" s="421"/>
      <c r="FB616" s="419"/>
      <c r="FC616" s="421"/>
      <c r="FD616" s="419"/>
      <c r="FE616" s="421"/>
      <c r="FF616" s="419"/>
      <c r="FG616" s="421"/>
      <c r="FH616" s="419"/>
      <c r="FI616" s="421"/>
      <c r="FJ616" s="424">
        <f t="shared" si="257"/>
        <v>0</v>
      </c>
      <c r="FK616" s="425">
        <f t="shared" si="258"/>
        <v>0</v>
      </c>
      <c r="FL616" s="419"/>
      <c r="FM616" s="421"/>
      <c r="FN616" s="424">
        <f t="shared" si="259"/>
        <v>42</v>
      </c>
      <c r="FO616" s="425">
        <f t="shared" si="260"/>
        <v>27</v>
      </c>
    </row>
    <row r="617" spans="1:171" ht="12.5">
      <c r="A617" s="460" t="s">
        <v>168</v>
      </c>
      <c r="B617" s="479" t="s">
        <v>1140</v>
      </c>
      <c r="C617" s="479"/>
      <c r="D617" s="480">
        <v>237844</v>
      </c>
      <c r="E617" s="34">
        <v>14</v>
      </c>
      <c r="F617" s="419">
        <v>65</v>
      </c>
      <c r="G617" s="434">
        <v>98</v>
      </c>
      <c r="H617" s="419"/>
      <c r="I617" s="421"/>
      <c r="J617" s="419"/>
      <c r="K617" s="421"/>
      <c r="L617" s="422">
        <f t="shared" si="239"/>
        <v>0</v>
      </c>
      <c r="M617" s="423">
        <f t="shared" si="240"/>
        <v>0</v>
      </c>
      <c r="N617" s="419"/>
      <c r="O617" s="309">
        <f>0</f>
        <v>0</v>
      </c>
      <c r="P617" s="309">
        <f>0</f>
        <v>0</v>
      </c>
      <c r="Q617" s="309">
        <f>0</f>
        <v>0</v>
      </c>
      <c r="R617" s="424">
        <f t="shared" si="237"/>
        <v>0</v>
      </c>
      <c r="S617" s="421"/>
      <c r="T617" s="301">
        <f>0</f>
        <v>0</v>
      </c>
      <c r="U617" s="301">
        <f>0</f>
        <v>0</v>
      </c>
      <c r="V617" s="301">
        <f>0</f>
        <v>0</v>
      </c>
      <c r="W617" s="425">
        <f t="shared" si="238"/>
        <v>0</v>
      </c>
      <c r="X617" s="419"/>
      <c r="Y617" s="419"/>
      <c r="Z617" s="421"/>
      <c r="AA617" s="421"/>
      <c r="AB617" s="419"/>
      <c r="AC617" s="419"/>
      <c r="AD617" s="421"/>
      <c r="AE617" s="421"/>
      <c r="AF617" s="419"/>
      <c r="AG617" s="419"/>
      <c r="AH617" s="421"/>
      <c r="AI617" s="421"/>
      <c r="AJ617" s="419"/>
      <c r="AK617" s="419"/>
      <c r="AL617" s="421"/>
      <c r="AM617" s="421"/>
      <c r="AN617" s="419"/>
      <c r="AO617" s="419"/>
      <c r="AP617" s="421"/>
      <c r="AQ617" s="421"/>
      <c r="AR617" s="424">
        <f t="shared" si="241"/>
        <v>0</v>
      </c>
      <c r="AS617" s="422">
        <f t="shared" si="242"/>
        <v>0</v>
      </c>
      <c r="AT617" s="425">
        <f t="shared" si="243"/>
        <v>0</v>
      </c>
      <c r="AU617" s="423">
        <f t="shared" si="244"/>
        <v>0</v>
      </c>
      <c r="AV617" s="419"/>
      <c r="AW617" s="421"/>
      <c r="AX617" s="419"/>
      <c r="AY617" s="419"/>
      <c r="AZ617" s="421"/>
      <c r="BA617" s="421"/>
      <c r="BB617" s="419"/>
      <c r="BC617" s="419"/>
      <c r="BD617" s="421"/>
      <c r="BE617" s="421"/>
      <c r="BF617" s="419"/>
      <c r="BG617" s="419"/>
      <c r="BH617" s="421"/>
      <c r="BI617" s="421"/>
      <c r="BJ617" s="419"/>
      <c r="BK617" s="419"/>
      <c r="BL617" s="421"/>
      <c r="BM617" s="421"/>
      <c r="BN617" s="419"/>
      <c r="BO617" s="419"/>
      <c r="BP617" s="421"/>
      <c r="BQ617" s="421"/>
      <c r="BR617" s="419"/>
      <c r="BS617" s="419"/>
      <c r="BT617" s="421"/>
      <c r="BU617" s="421"/>
      <c r="BV617" s="419"/>
      <c r="BW617" s="419"/>
      <c r="BX617" s="421"/>
      <c r="BY617" s="421"/>
      <c r="BZ617" s="419"/>
      <c r="CA617" s="419"/>
      <c r="CB617" s="421"/>
      <c r="CC617" s="421"/>
      <c r="CD617" s="419"/>
      <c r="CE617" s="419"/>
      <c r="CF617" s="421"/>
      <c r="CG617" s="421"/>
      <c r="CH617" s="419"/>
      <c r="CI617" s="419"/>
      <c r="CJ617" s="421"/>
      <c r="CK617" s="421"/>
      <c r="CL617" s="419"/>
      <c r="CM617" s="421"/>
      <c r="CN617" s="424">
        <f t="shared" si="245"/>
        <v>0</v>
      </c>
      <c r="CO617" s="424">
        <f t="shared" si="246"/>
        <v>0</v>
      </c>
      <c r="CP617" s="425">
        <f t="shared" si="247"/>
        <v>0</v>
      </c>
      <c r="CQ617" s="425">
        <f t="shared" si="248"/>
        <v>0</v>
      </c>
      <c r="CR617" s="419"/>
      <c r="CS617" s="419"/>
      <c r="CT617" s="421"/>
      <c r="CU617" s="421"/>
      <c r="CV617" s="419"/>
      <c r="CW617" s="419"/>
      <c r="CX617" s="421"/>
      <c r="CY617" s="421"/>
      <c r="CZ617" s="419"/>
      <c r="DA617" s="419"/>
      <c r="DB617" s="421"/>
      <c r="DC617" s="421"/>
      <c r="DD617" s="419"/>
      <c r="DE617" s="419"/>
      <c r="DF617" s="421"/>
      <c r="DG617" s="421"/>
      <c r="DH617" s="419"/>
      <c r="DI617" s="419"/>
      <c r="DJ617" s="421"/>
      <c r="DK617" s="421"/>
      <c r="DL617" s="419"/>
      <c r="DM617" s="419"/>
      <c r="DN617" s="421"/>
      <c r="DO617" s="421"/>
      <c r="DP617" s="419"/>
      <c r="DQ617" s="419"/>
      <c r="DR617" s="421"/>
      <c r="DS617" s="421"/>
      <c r="DT617" s="419"/>
      <c r="DU617" s="419"/>
      <c r="DV617" s="421"/>
      <c r="DW617" s="421"/>
      <c r="DX617" s="419"/>
      <c r="DY617" s="419"/>
      <c r="DZ617" s="421"/>
      <c r="EA617" s="421"/>
      <c r="EB617" s="419"/>
      <c r="EC617" s="419"/>
      <c r="ED617" s="421"/>
      <c r="EE617" s="421"/>
      <c r="EF617" s="419"/>
      <c r="EG617" s="421"/>
      <c r="EH617" s="424">
        <f t="shared" si="249"/>
        <v>0</v>
      </c>
      <c r="EI617" s="424">
        <f t="shared" si="250"/>
        <v>0</v>
      </c>
      <c r="EJ617" s="422">
        <f t="shared" si="251"/>
        <v>0</v>
      </c>
      <c r="EK617" s="425">
        <f t="shared" si="252"/>
        <v>0</v>
      </c>
      <c r="EL617" s="425">
        <f t="shared" si="253"/>
        <v>0</v>
      </c>
      <c r="EM617" s="423">
        <f t="shared" si="254"/>
        <v>0</v>
      </c>
      <c r="EN617" s="424">
        <f t="shared" si="255"/>
        <v>0</v>
      </c>
      <c r="EO617" s="425">
        <f t="shared" si="256"/>
        <v>0</v>
      </c>
      <c r="EP617" s="419"/>
      <c r="EQ617" s="421"/>
      <c r="ER617" s="419"/>
      <c r="ES617" s="421"/>
      <c r="ET617" s="419"/>
      <c r="EU617" s="421"/>
      <c r="EV617" s="419"/>
      <c r="EW617" s="421"/>
      <c r="EX617" s="419"/>
      <c r="EY617" s="421"/>
      <c r="EZ617" s="419"/>
      <c r="FA617" s="421"/>
      <c r="FB617" s="419"/>
      <c r="FC617" s="421"/>
      <c r="FD617" s="419"/>
      <c r="FE617" s="421"/>
      <c r="FF617" s="419"/>
      <c r="FG617" s="421"/>
      <c r="FH617" s="419"/>
      <c r="FI617" s="421"/>
      <c r="FJ617" s="424">
        <f t="shared" si="257"/>
        <v>0</v>
      </c>
      <c r="FK617" s="425">
        <f t="shared" si="258"/>
        <v>0</v>
      </c>
      <c r="FL617" s="419"/>
      <c r="FM617" s="421"/>
      <c r="FN617" s="424">
        <f t="shared" si="259"/>
        <v>65</v>
      </c>
      <c r="FO617" s="425">
        <f t="shared" si="260"/>
        <v>98</v>
      </c>
    </row>
    <row r="618" spans="1:171" ht="12.5">
      <c r="A618" s="460" t="s">
        <v>168</v>
      </c>
      <c r="B618" s="479" t="s">
        <v>1141</v>
      </c>
      <c r="C618" s="479"/>
      <c r="D618" s="480">
        <v>431169</v>
      </c>
      <c r="E618" s="34">
        <v>14</v>
      </c>
      <c r="F618" s="419">
        <v>91</v>
      </c>
      <c r="G618" s="421">
        <v>108</v>
      </c>
      <c r="H618" s="419"/>
      <c r="I618" s="421"/>
      <c r="J618" s="419"/>
      <c r="K618" s="421"/>
      <c r="L618" s="422">
        <f t="shared" si="239"/>
        <v>0</v>
      </c>
      <c r="M618" s="423">
        <f t="shared" si="240"/>
        <v>0</v>
      </c>
      <c r="N618" s="419"/>
      <c r="O618" s="309">
        <f>0</f>
        <v>0</v>
      </c>
      <c r="P618" s="309">
        <f>0</f>
        <v>0</v>
      </c>
      <c r="Q618" s="309">
        <f>0</f>
        <v>0</v>
      </c>
      <c r="R618" s="424">
        <f t="shared" si="237"/>
        <v>0</v>
      </c>
      <c r="S618" s="421"/>
      <c r="T618" s="301">
        <f>0</f>
        <v>0</v>
      </c>
      <c r="U618" s="301">
        <f>0</f>
        <v>0</v>
      </c>
      <c r="V618" s="301">
        <f>0</f>
        <v>0</v>
      </c>
      <c r="W618" s="425">
        <f t="shared" si="238"/>
        <v>0</v>
      </c>
      <c r="X618" s="419"/>
      <c r="Y618" s="419"/>
      <c r="Z618" s="421"/>
      <c r="AA618" s="421"/>
      <c r="AB618" s="419"/>
      <c r="AC618" s="419"/>
      <c r="AD618" s="421"/>
      <c r="AE618" s="421"/>
      <c r="AF618" s="419"/>
      <c r="AG618" s="419"/>
      <c r="AH618" s="421"/>
      <c r="AI618" s="421"/>
      <c r="AJ618" s="419"/>
      <c r="AK618" s="419"/>
      <c r="AL618" s="421"/>
      <c r="AM618" s="421"/>
      <c r="AN618" s="419"/>
      <c r="AO618" s="419"/>
      <c r="AP618" s="421"/>
      <c r="AQ618" s="421"/>
      <c r="AR618" s="424">
        <f t="shared" si="241"/>
        <v>0</v>
      </c>
      <c r="AS618" s="422">
        <f t="shared" si="242"/>
        <v>0</v>
      </c>
      <c r="AT618" s="425">
        <f t="shared" si="243"/>
        <v>0</v>
      </c>
      <c r="AU618" s="423">
        <f t="shared" si="244"/>
        <v>0</v>
      </c>
      <c r="AV618" s="419"/>
      <c r="AW618" s="421"/>
      <c r="AX618" s="419"/>
      <c r="AY618" s="419"/>
      <c r="AZ618" s="421"/>
      <c r="BA618" s="421"/>
      <c r="BB618" s="419"/>
      <c r="BC618" s="419"/>
      <c r="BD618" s="421"/>
      <c r="BE618" s="421"/>
      <c r="BF618" s="419"/>
      <c r="BG618" s="419"/>
      <c r="BH618" s="421"/>
      <c r="BI618" s="421"/>
      <c r="BJ618" s="419"/>
      <c r="BK618" s="419"/>
      <c r="BL618" s="421"/>
      <c r="BM618" s="421"/>
      <c r="BN618" s="419"/>
      <c r="BO618" s="419"/>
      <c r="BP618" s="421"/>
      <c r="BQ618" s="421"/>
      <c r="BR618" s="419"/>
      <c r="BS618" s="419"/>
      <c r="BT618" s="421"/>
      <c r="BU618" s="421"/>
      <c r="BV618" s="419"/>
      <c r="BW618" s="419"/>
      <c r="BX618" s="421"/>
      <c r="BY618" s="421"/>
      <c r="BZ618" s="419"/>
      <c r="CA618" s="419"/>
      <c r="CB618" s="421"/>
      <c r="CC618" s="421"/>
      <c r="CD618" s="419"/>
      <c r="CE618" s="419"/>
      <c r="CF618" s="421"/>
      <c r="CG618" s="421"/>
      <c r="CH618" s="419"/>
      <c r="CI618" s="419"/>
      <c r="CJ618" s="421"/>
      <c r="CK618" s="421"/>
      <c r="CL618" s="419"/>
      <c r="CM618" s="421"/>
      <c r="CN618" s="424">
        <f t="shared" si="245"/>
        <v>0</v>
      </c>
      <c r="CO618" s="424">
        <f t="shared" si="246"/>
        <v>0</v>
      </c>
      <c r="CP618" s="425">
        <f t="shared" si="247"/>
        <v>0</v>
      </c>
      <c r="CQ618" s="425">
        <f t="shared" si="248"/>
        <v>0</v>
      </c>
      <c r="CR618" s="419"/>
      <c r="CS618" s="419"/>
      <c r="CT618" s="421"/>
      <c r="CU618" s="421"/>
      <c r="CV618" s="419"/>
      <c r="CW618" s="419"/>
      <c r="CX618" s="421"/>
      <c r="CY618" s="421"/>
      <c r="CZ618" s="419"/>
      <c r="DA618" s="419"/>
      <c r="DB618" s="421"/>
      <c r="DC618" s="421"/>
      <c r="DD618" s="419"/>
      <c r="DE618" s="419"/>
      <c r="DF618" s="421"/>
      <c r="DG618" s="421"/>
      <c r="DH618" s="419"/>
      <c r="DI618" s="419"/>
      <c r="DJ618" s="421"/>
      <c r="DK618" s="421"/>
      <c r="DL618" s="419"/>
      <c r="DM618" s="419"/>
      <c r="DN618" s="421"/>
      <c r="DO618" s="421"/>
      <c r="DP618" s="419"/>
      <c r="DQ618" s="419"/>
      <c r="DR618" s="421"/>
      <c r="DS618" s="421"/>
      <c r="DT618" s="419"/>
      <c r="DU618" s="419"/>
      <c r="DV618" s="421"/>
      <c r="DW618" s="421"/>
      <c r="DX618" s="419"/>
      <c r="DY618" s="419"/>
      <c r="DZ618" s="421"/>
      <c r="EA618" s="421"/>
      <c r="EB618" s="419"/>
      <c r="EC618" s="419"/>
      <c r="ED618" s="421"/>
      <c r="EE618" s="421"/>
      <c r="EF618" s="419"/>
      <c r="EG618" s="421"/>
      <c r="EH618" s="424">
        <f t="shared" si="249"/>
        <v>0</v>
      </c>
      <c r="EI618" s="424">
        <f t="shared" si="250"/>
        <v>0</v>
      </c>
      <c r="EJ618" s="422">
        <f t="shared" si="251"/>
        <v>0</v>
      </c>
      <c r="EK618" s="425">
        <f t="shared" si="252"/>
        <v>0</v>
      </c>
      <c r="EL618" s="425">
        <f t="shared" si="253"/>
        <v>0</v>
      </c>
      <c r="EM618" s="423">
        <f t="shared" si="254"/>
        <v>0</v>
      </c>
      <c r="EN618" s="424">
        <f t="shared" si="255"/>
        <v>0</v>
      </c>
      <c r="EO618" s="425">
        <f t="shared" si="256"/>
        <v>0</v>
      </c>
      <c r="EP618" s="419"/>
      <c r="EQ618" s="421"/>
      <c r="ER618" s="419"/>
      <c r="ES618" s="421"/>
      <c r="ET618" s="419"/>
      <c r="EU618" s="421"/>
      <c r="EV618" s="419"/>
      <c r="EW618" s="421"/>
      <c r="EX618" s="419"/>
      <c r="EY618" s="421"/>
      <c r="EZ618" s="419"/>
      <c r="FA618" s="421"/>
      <c r="FB618" s="419"/>
      <c r="FC618" s="421"/>
      <c r="FD618" s="419"/>
      <c r="FE618" s="421"/>
      <c r="FF618" s="419"/>
      <c r="FG618" s="421"/>
      <c r="FH618" s="419"/>
      <c r="FI618" s="421"/>
      <c r="FJ618" s="424">
        <f t="shared" si="257"/>
        <v>0</v>
      </c>
      <c r="FK618" s="425">
        <f t="shared" si="258"/>
        <v>0</v>
      </c>
      <c r="FL618" s="419"/>
      <c r="FM618" s="421"/>
      <c r="FN618" s="424">
        <f t="shared" si="259"/>
        <v>91</v>
      </c>
      <c r="FO618" s="425">
        <f t="shared" si="260"/>
        <v>108</v>
      </c>
    </row>
    <row r="619" spans="1:171" ht="12.5">
      <c r="A619" s="305" t="s">
        <v>168</v>
      </c>
      <c r="B619" s="479" t="s">
        <v>1142</v>
      </c>
      <c r="C619" s="479"/>
      <c r="D619" s="480">
        <v>237473</v>
      </c>
      <c r="E619" s="34">
        <v>14</v>
      </c>
      <c r="F619" s="419">
        <v>161</v>
      </c>
      <c r="G619" s="420">
        <v>99</v>
      </c>
      <c r="H619" s="419"/>
      <c r="I619" s="421"/>
      <c r="J619" s="419"/>
      <c r="K619" s="421"/>
      <c r="L619" s="422">
        <f t="shared" si="239"/>
        <v>0</v>
      </c>
      <c r="M619" s="423">
        <f t="shared" si="240"/>
        <v>0</v>
      </c>
      <c r="N619" s="419"/>
      <c r="O619" s="309">
        <f>0</f>
        <v>0</v>
      </c>
      <c r="P619" s="309">
        <f>0</f>
        <v>0</v>
      </c>
      <c r="Q619" s="309">
        <f>0</f>
        <v>0</v>
      </c>
      <c r="R619" s="424">
        <f t="shared" si="237"/>
        <v>0</v>
      </c>
      <c r="S619" s="421"/>
      <c r="T619" s="301">
        <f>0</f>
        <v>0</v>
      </c>
      <c r="U619" s="301">
        <f>0</f>
        <v>0</v>
      </c>
      <c r="V619" s="301">
        <f>0</f>
        <v>0</v>
      </c>
      <c r="W619" s="425">
        <f t="shared" si="238"/>
        <v>0</v>
      </c>
      <c r="X619" s="419"/>
      <c r="Y619" s="419"/>
      <c r="Z619" s="421"/>
      <c r="AA619" s="421"/>
      <c r="AB619" s="419"/>
      <c r="AC619" s="419"/>
      <c r="AD619" s="421"/>
      <c r="AE619" s="421"/>
      <c r="AF619" s="419"/>
      <c r="AG619" s="419"/>
      <c r="AH619" s="421"/>
      <c r="AI619" s="421"/>
      <c r="AJ619" s="419"/>
      <c r="AK619" s="419"/>
      <c r="AL619" s="421"/>
      <c r="AM619" s="421"/>
      <c r="AN619" s="419"/>
      <c r="AO619" s="419"/>
      <c r="AP619" s="421"/>
      <c r="AQ619" s="421"/>
      <c r="AR619" s="424">
        <f t="shared" si="241"/>
        <v>0</v>
      </c>
      <c r="AS619" s="422">
        <f t="shared" si="242"/>
        <v>0</v>
      </c>
      <c r="AT619" s="425">
        <f t="shared" si="243"/>
        <v>0</v>
      </c>
      <c r="AU619" s="423">
        <f t="shared" si="244"/>
        <v>0</v>
      </c>
      <c r="AV619" s="419"/>
      <c r="AW619" s="421"/>
      <c r="AX619" s="419"/>
      <c r="AY619" s="419"/>
      <c r="AZ619" s="421"/>
      <c r="BA619" s="421"/>
      <c r="BB619" s="419"/>
      <c r="BC619" s="419"/>
      <c r="BD619" s="421"/>
      <c r="BE619" s="421"/>
      <c r="BF619" s="419"/>
      <c r="BG619" s="419"/>
      <c r="BH619" s="421"/>
      <c r="BI619" s="421"/>
      <c r="BJ619" s="419"/>
      <c r="BK619" s="419"/>
      <c r="BL619" s="421"/>
      <c r="BM619" s="421"/>
      <c r="BN619" s="419"/>
      <c r="BO619" s="419"/>
      <c r="BP619" s="421"/>
      <c r="BQ619" s="421"/>
      <c r="BR619" s="419"/>
      <c r="BS619" s="419"/>
      <c r="BT619" s="421"/>
      <c r="BU619" s="421"/>
      <c r="BV619" s="419"/>
      <c r="BW619" s="419"/>
      <c r="BX619" s="421"/>
      <c r="BY619" s="421"/>
      <c r="BZ619" s="419"/>
      <c r="CA619" s="419"/>
      <c r="CB619" s="421"/>
      <c r="CC619" s="421"/>
      <c r="CD619" s="419"/>
      <c r="CE619" s="419"/>
      <c r="CF619" s="421"/>
      <c r="CG619" s="421"/>
      <c r="CH619" s="419"/>
      <c r="CI619" s="419"/>
      <c r="CJ619" s="421"/>
      <c r="CK619" s="421"/>
      <c r="CL619" s="419"/>
      <c r="CM619" s="421"/>
      <c r="CN619" s="424">
        <f t="shared" si="245"/>
        <v>0</v>
      </c>
      <c r="CO619" s="424">
        <f t="shared" si="246"/>
        <v>0</v>
      </c>
      <c r="CP619" s="425">
        <f t="shared" si="247"/>
        <v>0</v>
      </c>
      <c r="CQ619" s="425">
        <f t="shared" si="248"/>
        <v>0</v>
      </c>
      <c r="CR619" s="419"/>
      <c r="CS619" s="419"/>
      <c r="CT619" s="421"/>
      <c r="CU619" s="421"/>
      <c r="CV619" s="419"/>
      <c r="CW619" s="419"/>
      <c r="CX619" s="421"/>
      <c r="CY619" s="421"/>
      <c r="CZ619" s="419"/>
      <c r="DA619" s="419"/>
      <c r="DB619" s="421"/>
      <c r="DC619" s="421"/>
      <c r="DD619" s="419"/>
      <c r="DE619" s="419"/>
      <c r="DF619" s="421"/>
      <c r="DG619" s="421"/>
      <c r="DH619" s="419"/>
      <c r="DI619" s="419"/>
      <c r="DJ619" s="421"/>
      <c r="DK619" s="421"/>
      <c r="DL619" s="419"/>
      <c r="DM619" s="419"/>
      <c r="DN619" s="421"/>
      <c r="DO619" s="421"/>
      <c r="DP619" s="419"/>
      <c r="DQ619" s="419"/>
      <c r="DR619" s="421"/>
      <c r="DS619" s="421"/>
      <c r="DT619" s="419"/>
      <c r="DU619" s="419"/>
      <c r="DV619" s="421"/>
      <c r="DW619" s="421"/>
      <c r="DX619" s="419"/>
      <c r="DY619" s="419"/>
      <c r="DZ619" s="421"/>
      <c r="EA619" s="421"/>
      <c r="EB619" s="419"/>
      <c r="EC619" s="419"/>
      <c r="ED619" s="421"/>
      <c r="EE619" s="421"/>
      <c r="EF619" s="419"/>
      <c r="EG619" s="421"/>
      <c r="EH619" s="424">
        <f t="shared" si="249"/>
        <v>0</v>
      </c>
      <c r="EI619" s="424">
        <f t="shared" si="250"/>
        <v>0</v>
      </c>
      <c r="EJ619" s="422">
        <f t="shared" si="251"/>
        <v>0</v>
      </c>
      <c r="EK619" s="425">
        <f t="shared" si="252"/>
        <v>0</v>
      </c>
      <c r="EL619" s="425">
        <f t="shared" si="253"/>
        <v>0</v>
      </c>
      <c r="EM619" s="423">
        <f t="shared" si="254"/>
        <v>0</v>
      </c>
      <c r="EN619" s="424">
        <f t="shared" si="255"/>
        <v>0</v>
      </c>
      <c r="EO619" s="425">
        <f t="shared" si="256"/>
        <v>0</v>
      </c>
      <c r="EP619" s="419"/>
      <c r="EQ619" s="421"/>
      <c r="ER619" s="419"/>
      <c r="ES619" s="421"/>
      <c r="ET619" s="419"/>
      <c r="EU619" s="421"/>
      <c r="EV619" s="419"/>
      <c r="EW619" s="421"/>
      <c r="EX619" s="419"/>
      <c r="EY619" s="421"/>
      <c r="EZ619" s="419"/>
      <c r="FA619" s="421"/>
      <c r="FB619" s="419"/>
      <c r="FC619" s="421"/>
      <c r="FD619" s="419"/>
      <c r="FE619" s="421"/>
      <c r="FF619" s="419"/>
      <c r="FG619" s="421"/>
      <c r="FH619" s="419"/>
      <c r="FI619" s="421"/>
      <c r="FJ619" s="424">
        <f t="shared" si="257"/>
        <v>0</v>
      </c>
      <c r="FK619" s="425">
        <f t="shared" si="258"/>
        <v>0</v>
      </c>
      <c r="FL619" s="419"/>
      <c r="FM619" s="421"/>
      <c r="FN619" s="424">
        <f t="shared" si="259"/>
        <v>161</v>
      </c>
      <c r="FO619" s="425">
        <f t="shared" si="260"/>
        <v>99</v>
      </c>
    </row>
    <row r="620" spans="1:171" ht="12.5">
      <c r="A620" s="460" t="s">
        <v>168</v>
      </c>
      <c r="B620" s="479" t="s">
        <v>1143</v>
      </c>
      <c r="C620" s="479"/>
      <c r="D620" s="480">
        <v>446349</v>
      </c>
      <c r="E620" s="34">
        <v>14</v>
      </c>
      <c r="F620" s="419">
        <v>49</v>
      </c>
      <c r="G620" s="420">
        <v>38</v>
      </c>
      <c r="H620" s="419"/>
      <c r="I620" s="421"/>
      <c r="J620" s="419"/>
      <c r="K620" s="421"/>
      <c r="L620" s="422">
        <f t="shared" si="239"/>
        <v>0</v>
      </c>
      <c r="M620" s="423">
        <f t="shared" si="240"/>
        <v>0</v>
      </c>
      <c r="N620" s="419"/>
      <c r="O620" s="309">
        <f>0</f>
        <v>0</v>
      </c>
      <c r="P620" s="309">
        <f>0</f>
        <v>0</v>
      </c>
      <c r="Q620" s="309">
        <f>0</f>
        <v>0</v>
      </c>
      <c r="R620" s="424">
        <f t="shared" si="237"/>
        <v>0</v>
      </c>
      <c r="S620" s="421"/>
      <c r="T620" s="301">
        <f>0</f>
        <v>0</v>
      </c>
      <c r="U620" s="301">
        <f>0</f>
        <v>0</v>
      </c>
      <c r="V620" s="301">
        <f>0</f>
        <v>0</v>
      </c>
      <c r="W620" s="425">
        <f t="shared" si="238"/>
        <v>0</v>
      </c>
      <c r="X620" s="419"/>
      <c r="Y620" s="419"/>
      <c r="Z620" s="421"/>
      <c r="AA620" s="421"/>
      <c r="AB620" s="419"/>
      <c r="AC620" s="419"/>
      <c r="AD620" s="421"/>
      <c r="AE620" s="421"/>
      <c r="AF620" s="419"/>
      <c r="AG620" s="419"/>
      <c r="AH620" s="421"/>
      <c r="AI620" s="421"/>
      <c r="AJ620" s="419"/>
      <c r="AK620" s="419"/>
      <c r="AL620" s="421"/>
      <c r="AM620" s="421"/>
      <c r="AN620" s="419"/>
      <c r="AO620" s="419"/>
      <c r="AP620" s="421"/>
      <c r="AQ620" s="421"/>
      <c r="AR620" s="424">
        <f t="shared" si="241"/>
        <v>0</v>
      </c>
      <c r="AS620" s="422">
        <f t="shared" si="242"/>
        <v>0</v>
      </c>
      <c r="AT620" s="425">
        <f t="shared" si="243"/>
        <v>0</v>
      </c>
      <c r="AU620" s="423">
        <f t="shared" si="244"/>
        <v>0</v>
      </c>
      <c r="AV620" s="419"/>
      <c r="AW620" s="421"/>
      <c r="AX620" s="419"/>
      <c r="AY620" s="419"/>
      <c r="AZ620" s="421"/>
      <c r="BA620" s="421"/>
      <c r="BB620" s="419"/>
      <c r="BC620" s="419"/>
      <c r="BD620" s="421"/>
      <c r="BE620" s="421"/>
      <c r="BF620" s="419"/>
      <c r="BG620" s="419"/>
      <c r="BH620" s="421"/>
      <c r="BI620" s="421"/>
      <c r="BJ620" s="419"/>
      <c r="BK620" s="419"/>
      <c r="BL620" s="421"/>
      <c r="BM620" s="421"/>
      <c r="BN620" s="419"/>
      <c r="BO620" s="419"/>
      <c r="BP620" s="421"/>
      <c r="BQ620" s="421"/>
      <c r="BR620" s="419"/>
      <c r="BS620" s="419"/>
      <c r="BT620" s="421"/>
      <c r="BU620" s="421"/>
      <c r="BV620" s="419"/>
      <c r="BW620" s="419"/>
      <c r="BX620" s="421"/>
      <c r="BY620" s="421"/>
      <c r="BZ620" s="419"/>
      <c r="CA620" s="419"/>
      <c r="CB620" s="421"/>
      <c r="CC620" s="421"/>
      <c r="CD620" s="419"/>
      <c r="CE620" s="419"/>
      <c r="CF620" s="421"/>
      <c r="CG620" s="421"/>
      <c r="CH620" s="419"/>
      <c r="CI620" s="419"/>
      <c r="CJ620" s="421"/>
      <c r="CK620" s="421"/>
      <c r="CL620" s="419"/>
      <c r="CM620" s="421"/>
      <c r="CN620" s="424">
        <f t="shared" si="245"/>
        <v>0</v>
      </c>
      <c r="CO620" s="424">
        <f t="shared" si="246"/>
        <v>0</v>
      </c>
      <c r="CP620" s="425">
        <f t="shared" si="247"/>
        <v>0</v>
      </c>
      <c r="CQ620" s="425">
        <f t="shared" si="248"/>
        <v>0</v>
      </c>
      <c r="CR620" s="419"/>
      <c r="CS620" s="419"/>
      <c r="CT620" s="421"/>
      <c r="CU620" s="421"/>
      <c r="CV620" s="419"/>
      <c r="CW620" s="419"/>
      <c r="CX620" s="421"/>
      <c r="CY620" s="421"/>
      <c r="CZ620" s="419"/>
      <c r="DA620" s="419"/>
      <c r="DB620" s="421"/>
      <c r="DC620" s="421"/>
      <c r="DD620" s="419"/>
      <c r="DE620" s="419"/>
      <c r="DF620" s="421"/>
      <c r="DG620" s="421"/>
      <c r="DH620" s="419"/>
      <c r="DI620" s="419"/>
      <c r="DJ620" s="421"/>
      <c r="DK620" s="421"/>
      <c r="DL620" s="419"/>
      <c r="DM620" s="419"/>
      <c r="DN620" s="421"/>
      <c r="DO620" s="421"/>
      <c r="DP620" s="419"/>
      <c r="DQ620" s="419"/>
      <c r="DR620" s="421"/>
      <c r="DS620" s="421"/>
      <c r="DT620" s="419"/>
      <c r="DU620" s="419"/>
      <c r="DV620" s="421"/>
      <c r="DW620" s="421"/>
      <c r="DX620" s="419"/>
      <c r="DY620" s="419"/>
      <c r="DZ620" s="421"/>
      <c r="EA620" s="421"/>
      <c r="EB620" s="419"/>
      <c r="EC620" s="419"/>
      <c r="ED620" s="421"/>
      <c r="EE620" s="421"/>
      <c r="EF620" s="419"/>
      <c r="EG620" s="421"/>
      <c r="EH620" s="424">
        <f t="shared" si="249"/>
        <v>0</v>
      </c>
      <c r="EI620" s="424">
        <f t="shared" si="250"/>
        <v>0</v>
      </c>
      <c r="EJ620" s="422">
        <f t="shared" si="251"/>
        <v>0</v>
      </c>
      <c r="EK620" s="425">
        <f t="shared" si="252"/>
        <v>0</v>
      </c>
      <c r="EL620" s="425">
        <f t="shared" si="253"/>
        <v>0</v>
      </c>
      <c r="EM620" s="423">
        <f t="shared" si="254"/>
        <v>0</v>
      </c>
      <c r="EN620" s="424">
        <f t="shared" si="255"/>
        <v>0</v>
      </c>
      <c r="EO620" s="425">
        <f t="shared" si="256"/>
        <v>0</v>
      </c>
      <c r="EP620" s="419"/>
      <c r="EQ620" s="421"/>
      <c r="ER620" s="419"/>
      <c r="ES620" s="421"/>
      <c r="ET620" s="419"/>
      <c r="EU620" s="421"/>
      <c r="EV620" s="419"/>
      <c r="EW620" s="421"/>
      <c r="EX620" s="419"/>
      <c r="EY620" s="421"/>
      <c r="EZ620" s="419"/>
      <c r="FA620" s="421"/>
      <c r="FB620" s="419"/>
      <c r="FC620" s="421"/>
      <c r="FD620" s="419"/>
      <c r="FE620" s="421"/>
      <c r="FF620" s="419"/>
      <c r="FG620" s="421"/>
      <c r="FH620" s="419"/>
      <c r="FI620" s="421"/>
      <c r="FJ620" s="424">
        <f t="shared" si="257"/>
        <v>0</v>
      </c>
      <c r="FK620" s="425">
        <f t="shared" si="258"/>
        <v>0</v>
      </c>
      <c r="FL620" s="419"/>
      <c r="FM620" s="421"/>
      <c r="FN620" s="424">
        <f t="shared" si="259"/>
        <v>49</v>
      </c>
      <c r="FO620" s="425">
        <f t="shared" si="260"/>
        <v>38</v>
      </c>
    </row>
    <row r="621" spans="1:171" ht="12.5">
      <c r="A621" s="460" t="s">
        <v>168</v>
      </c>
      <c r="B621" s="479" t="s">
        <v>1144</v>
      </c>
      <c r="C621" s="479"/>
      <c r="D621" s="480">
        <v>237516</v>
      </c>
      <c r="E621" s="34">
        <v>14</v>
      </c>
      <c r="F621" s="419">
        <v>8</v>
      </c>
      <c r="G621" s="421">
        <v>8</v>
      </c>
      <c r="H621" s="419"/>
      <c r="I621" s="421"/>
      <c r="J621" s="419"/>
      <c r="K621" s="421"/>
      <c r="L621" s="422">
        <f t="shared" si="239"/>
        <v>0</v>
      </c>
      <c r="M621" s="423">
        <f t="shared" si="240"/>
        <v>0</v>
      </c>
      <c r="N621" s="419"/>
      <c r="O621" s="309">
        <f>0</f>
        <v>0</v>
      </c>
      <c r="P621" s="309">
        <f>0</f>
        <v>0</v>
      </c>
      <c r="Q621" s="309">
        <f>0</f>
        <v>0</v>
      </c>
      <c r="R621" s="424">
        <f t="shared" si="237"/>
        <v>0</v>
      </c>
      <c r="S621" s="421"/>
      <c r="T621" s="301">
        <f>0</f>
        <v>0</v>
      </c>
      <c r="U621" s="301">
        <f>0</f>
        <v>0</v>
      </c>
      <c r="V621" s="301">
        <f>0</f>
        <v>0</v>
      </c>
      <c r="W621" s="425">
        <f t="shared" si="238"/>
        <v>0</v>
      </c>
      <c r="X621" s="419"/>
      <c r="Y621" s="419"/>
      <c r="Z621" s="421"/>
      <c r="AA621" s="421"/>
      <c r="AB621" s="419"/>
      <c r="AC621" s="419"/>
      <c r="AD621" s="421"/>
      <c r="AE621" s="421"/>
      <c r="AF621" s="419"/>
      <c r="AG621" s="419"/>
      <c r="AH621" s="421"/>
      <c r="AI621" s="421"/>
      <c r="AJ621" s="419"/>
      <c r="AK621" s="419"/>
      <c r="AL621" s="421"/>
      <c r="AM621" s="421"/>
      <c r="AN621" s="419"/>
      <c r="AO621" s="419"/>
      <c r="AP621" s="421"/>
      <c r="AQ621" s="421"/>
      <c r="AR621" s="424">
        <f t="shared" si="241"/>
        <v>0</v>
      </c>
      <c r="AS621" s="422">
        <f t="shared" si="242"/>
        <v>0</v>
      </c>
      <c r="AT621" s="425">
        <f t="shared" si="243"/>
        <v>0</v>
      </c>
      <c r="AU621" s="423">
        <f t="shared" si="244"/>
        <v>0</v>
      </c>
      <c r="AV621" s="419"/>
      <c r="AW621" s="421"/>
      <c r="AX621" s="419"/>
      <c r="AY621" s="419"/>
      <c r="AZ621" s="421"/>
      <c r="BA621" s="421"/>
      <c r="BB621" s="419"/>
      <c r="BC621" s="419"/>
      <c r="BD621" s="421"/>
      <c r="BE621" s="421"/>
      <c r="BF621" s="419"/>
      <c r="BG621" s="419"/>
      <c r="BH621" s="421"/>
      <c r="BI621" s="421"/>
      <c r="BJ621" s="419"/>
      <c r="BK621" s="419"/>
      <c r="BL621" s="421"/>
      <c r="BM621" s="421"/>
      <c r="BN621" s="419"/>
      <c r="BO621" s="419"/>
      <c r="BP621" s="421"/>
      <c r="BQ621" s="421"/>
      <c r="BR621" s="419"/>
      <c r="BS621" s="419"/>
      <c r="BT621" s="421"/>
      <c r="BU621" s="421"/>
      <c r="BV621" s="419"/>
      <c r="BW621" s="419"/>
      <c r="BX621" s="421"/>
      <c r="BY621" s="421"/>
      <c r="BZ621" s="419"/>
      <c r="CA621" s="419"/>
      <c r="CB621" s="421"/>
      <c r="CC621" s="421"/>
      <c r="CD621" s="419"/>
      <c r="CE621" s="419"/>
      <c r="CF621" s="421"/>
      <c r="CG621" s="421"/>
      <c r="CH621" s="419"/>
      <c r="CI621" s="419"/>
      <c r="CJ621" s="421"/>
      <c r="CK621" s="421"/>
      <c r="CL621" s="419"/>
      <c r="CM621" s="421"/>
      <c r="CN621" s="424">
        <f t="shared" si="245"/>
        <v>0</v>
      </c>
      <c r="CO621" s="424">
        <f t="shared" si="246"/>
        <v>0</v>
      </c>
      <c r="CP621" s="425">
        <f t="shared" si="247"/>
        <v>0</v>
      </c>
      <c r="CQ621" s="425">
        <f t="shared" si="248"/>
        <v>0</v>
      </c>
      <c r="CR621" s="419"/>
      <c r="CS621" s="419"/>
      <c r="CT621" s="421"/>
      <c r="CU621" s="421"/>
      <c r="CV621" s="419"/>
      <c r="CW621" s="419"/>
      <c r="CX621" s="421"/>
      <c r="CY621" s="421"/>
      <c r="CZ621" s="419"/>
      <c r="DA621" s="419"/>
      <c r="DB621" s="421"/>
      <c r="DC621" s="421"/>
      <c r="DD621" s="419"/>
      <c r="DE621" s="419"/>
      <c r="DF621" s="421"/>
      <c r="DG621" s="421"/>
      <c r="DH621" s="419"/>
      <c r="DI621" s="419"/>
      <c r="DJ621" s="421"/>
      <c r="DK621" s="421"/>
      <c r="DL621" s="419"/>
      <c r="DM621" s="419"/>
      <c r="DN621" s="421"/>
      <c r="DO621" s="421"/>
      <c r="DP621" s="419"/>
      <c r="DQ621" s="419"/>
      <c r="DR621" s="421"/>
      <c r="DS621" s="421"/>
      <c r="DT621" s="419"/>
      <c r="DU621" s="419"/>
      <c r="DV621" s="421"/>
      <c r="DW621" s="421"/>
      <c r="DX621" s="419"/>
      <c r="DY621" s="419"/>
      <c r="DZ621" s="421"/>
      <c r="EA621" s="421"/>
      <c r="EB621" s="419"/>
      <c r="EC621" s="419"/>
      <c r="ED621" s="421"/>
      <c r="EE621" s="421"/>
      <c r="EF621" s="419"/>
      <c r="EG621" s="421"/>
      <c r="EH621" s="424">
        <f t="shared" si="249"/>
        <v>0</v>
      </c>
      <c r="EI621" s="424">
        <f t="shared" si="250"/>
        <v>0</v>
      </c>
      <c r="EJ621" s="422">
        <f t="shared" si="251"/>
        <v>0</v>
      </c>
      <c r="EK621" s="425">
        <f t="shared" si="252"/>
        <v>0</v>
      </c>
      <c r="EL621" s="425">
        <f t="shared" si="253"/>
        <v>0</v>
      </c>
      <c r="EM621" s="423">
        <f t="shared" si="254"/>
        <v>0</v>
      </c>
      <c r="EN621" s="424">
        <f t="shared" si="255"/>
        <v>0</v>
      </c>
      <c r="EO621" s="425">
        <f t="shared" si="256"/>
        <v>0</v>
      </c>
      <c r="EP621" s="419"/>
      <c r="EQ621" s="421"/>
      <c r="ER621" s="419"/>
      <c r="ES621" s="421"/>
      <c r="ET621" s="419"/>
      <c r="EU621" s="421"/>
      <c r="EV621" s="419"/>
      <c r="EW621" s="421"/>
      <c r="EX621" s="419"/>
      <c r="EY621" s="421"/>
      <c r="EZ621" s="419"/>
      <c r="FA621" s="421"/>
      <c r="FB621" s="419"/>
      <c r="FC621" s="421"/>
      <c r="FD621" s="419"/>
      <c r="FE621" s="421"/>
      <c r="FF621" s="419"/>
      <c r="FG621" s="421"/>
      <c r="FH621" s="419"/>
      <c r="FI621" s="421"/>
      <c r="FJ621" s="424">
        <f t="shared" si="257"/>
        <v>0</v>
      </c>
      <c r="FK621" s="425">
        <f t="shared" si="258"/>
        <v>0</v>
      </c>
      <c r="FL621" s="419"/>
      <c r="FM621" s="421"/>
      <c r="FN621" s="424">
        <f t="shared" si="259"/>
        <v>8</v>
      </c>
      <c r="FO621" s="425">
        <f t="shared" si="260"/>
        <v>8</v>
      </c>
    </row>
    <row r="622" spans="1:171" ht="12.5">
      <c r="A622" s="460" t="s">
        <v>168</v>
      </c>
      <c r="B622" s="479" t="s">
        <v>1145</v>
      </c>
      <c r="C622" s="479"/>
      <c r="D622" s="480">
        <v>237534</v>
      </c>
      <c r="E622" s="34">
        <v>14</v>
      </c>
      <c r="F622" s="419">
        <v>30</v>
      </c>
      <c r="G622" s="434">
        <v>9</v>
      </c>
      <c r="H622" s="419"/>
      <c r="I622" s="421"/>
      <c r="J622" s="419"/>
      <c r="K622" s="421"/>
      <c r="L622" s="422">
        <f t="shared" si="239"/>
        <v>0</v>
      </c>
      <c r="M622" s="423">
        <f t="shared" si="240"/>
        <v>0</v>
      </c>
      <c r="N622" s="419"/>
      <c r="O622" s="309">
        <f>0</f>
        <v>0</v>
      </c>
      <c r="P622" s="309">
        <f>0</f>
        <v>0</v>
      </c>
      <c r="Q622" s="309">
        <f>0</f>
        <v>0</v>
      </c>
      <c r="R622" s="424">
        <f t="shared" si="237"/>
        <v>0</v>
      </c>
      <c r="S622" s="421"/>
      <c r="T622" s="301">
        <f>0</f>
        <v>0</v>
      </c>
      <c r="U622" s="301">
        <f>0</f>
        <v>0</v>
      </c>
      <c r="V622" s="301">
        <f>0</f>
        <v>0</v>
      </c>
      <c r="W622" s="425">
        <f t="shared" si="238"/>
        <v>0</v>
      </c>
      <c r="X622" s="419"/>
      <c r="Y622" s="419"/>
      <c r="Z622" s="421"/>
      <c r="AA622" s="421"/>
      <c r="AB622" s="419"/>
      <c r="AC622" s="419"/>
      <c r="AD622" s="421"/>
      <c r="AE622" s="421"/>
      <c r="AF622" s="419"/>
      <c r="AG622" s="419"/>
      <c r="AH622" s="421"/>
      <c r="AI622" s="421"/>
      <c r="AJ622" s="419"/>
      <c r="AK622" s="419"/>
      <c r="AL622" s="421"/>
      <c r="AM622" s="421"/>
      <c r="AN622" s="419"/>
      <c r="AO622" s="419"/>
      <c r="AP622" s="421"/>
      <c r="AQ622" s="421"/>
      <c r="AR622" s="424">
        <f t="shared" si="241"/>
        <v>0</v>
      </c>
      <c r="AS622" s="422">
        <f t="shared" si="242"/>
        <v>0</v>
      </c>
      <c r="AT622" s="425">
        <f t="shared" si="243"/>
        <v>0</v>
      </c>
      <c r="AU622" s="423">
        <f t="shared" si="244"/>
        <v>0</v>
      </c>
      <c r="AV622" s="419"/>
      <c r="AW622" s="421"/>
      <c r="AX622" s="419"/>
      <c r="AY622" s="419"/>
      <c r="AZ622" s="421"/>
      <c r="BA622" s="421"/>
      <c r="BB622" s="419"/>
      <c r="BC622" s="419"/>
      <c r="BD622" s="421"/>
      <c r="BE622" s="421"/>
      <c r="BF622" s="419"/>
      <c r="BG622" s="419"/>
      <c r="BH622" s="421"/>
      <c r="BI622" s="421"/>
      <c r="BJ622" s="419"/>
      <c r="BK622" s="419"/>
      <c r="BL622" s="421"/>
      <c r="BM622" s="421"/>
      <c r="BN622" s="419"/>
      <c r="BO622" s="419"/>
      <c r="BP622" s="421"/>
      <c r="BQ622" s="421"/>
      <c r="BR622" s="419"/>
      <c r="BS622" s="419"/>
      <c r="BT622" s="421"/>
      <c r="BU622" s="421"/>
      <c r="BV622" s="419"/>
      <c r="BW622" s="419"/>
      <c r="BX622" s="421"/>
      <c r="BY622" s="421"/>
      <c r="BZ622" s="419"/>
      <c r="CA622" s="419"/>
      <c r="CB622" s="421"/>
      <c r="CC622" s="421"/>
      <c r="CD622" s="419"/>
      <c r="CE622" s="419"/>
      <c r="CF622" s="421"/>
      <c r="CG622" s="421"/>
      <c r="CH622" s="419"/>
      <c r="CI622" s="419"/>
      <c r="CJ622" s="421"/>
      <c r="CK622" s="421"/>
      <c r="CL622" s="419"/>
      <c r="CM622" s="421"/>
      <c r="CN622" s="424">
        <f t="shared" si="245"/>
        <v>0</v>
      </c>
      <c r="CO622" s="424">
        <f t="shared" si="246"/>
        <v>0</v>
      </c>
      <c r="CP622" s="425">
        <f t="shared" si="247"/>
        <v>0</v>
      </c>
      <c r="CQ622" s="425">
        <f t="shared" si="248"/>
        <v>0</v>
      </c>
      <c r="CR622" s="419"/>
      <c r="CS622" s="419"/>
      <c r="CT622" s="421"/>
      <c r="CU622" s="421"/>
      <c r="CV622" s="419"/>
      <c r="CW622" s="419"/>
      <c r="CX622" s="421"/>
      <c r="CY622" s="421"/>
      <c r="CZ622" s="419"/>
      <c r="DA622" s="419"/>
      <c r="DB622" s="421"/>
      <c r="DC622" s="421"/>
      <c r="DD622" s="419"/>
      <c r="DE622" s="419"/>
      <c r="DF622" s="421"/>
      <c r="DG622" s="421"/>
      <c r="DH622" s="419"/>
      <c r="DI622" s="419"/>
      <c r="DJ622" s="421"/>
      <c r="DK622" s="421"/>
      <c r="DL622" s="419"/>
      <c r="DM622" s="419"/>
      <c r="DN622" s="421"/>
      <c r="DO622" s="421"/>
      <c r="DP622" s="419"/>
      <c r="DQ622" s="419"/>
      <c r="DR622" s="421"/>
      <c r="DS622" s="421"/>
      <c r="DT622" s="419"/>
      <c r="DU622" s="419"/>
      <c r="DV622" s="421"/>
      <c r="DW622" s="421"/>
      <c r="DX622" s="419"/>
      <c r="DY622" s="419"/>
      <c r="DZ622" s="421"/>
      <c r="EA622" s="421"/>
      <c r="EB622" s="419"/>
      <c r="EC622" s="419"/>
      <c r="ED622" s="421"/>
      <c r="EE622" s="421"/>
      <c r="EF622" s="419"/>
      <c r="EG622" s="421"/>
      <c r="EH622" s="424">
        <f t="shared" si="249"/>
        <v>0</v>
      </c>
      <c r="EI622" s="424">
        <f t="shared" si="250"/>
        <v>0</v>
      </c>
      <c r="EJ622" s="422">
        <f t="shared" si="251"/>
        <v>0</v>
      </c>
      <c r="EK622" s="425">
        <f t="shared" si="252"/>
        <v>0</v>
      </c>
      <c r="EL622" s="425">
        <f t="shared" si="253"/>
        <v>0</v>
      </c>
      <c r="EM622" s="423">
        <f t="shared" si="254"/>
        <v>0</v>
      </c>
      <c r="EN622" s="424">
        <f t="shared" si="255"/>
        <v>0</v>
      </c>
      <c r="EO622" s="425">
        <f t="shared" si="256"/>
        <v>0</v>
      </c>
      <c r="EP622" s="419"/>
      <c r="EQ622" s="421"/>
      <c r="ER622" s="419"/>
      <c r="ES622" s="421"/>
      <c r="ET622" s="419"/>
      <c r="EU622" s="421"/>
      <c r="EV622" s="419"/>
      <c r="EW622" s="421"/>
      <c r="EX622" s="419"/>
      <c r="EY622" s="421"/>
      <c r="EZ622" s="419"/>
      <c r="FA622" s="421"/>
      <c r="FB622" s="419"/>
      <c r="FC622" s="421"/>
      <c r="FD622" s="419"/>
      <c r="FE622" s="421"/>
      <c r="FF622" s="419"/>
      <c r="FG622" s="421"/>
      <c r="FH622" s="419"/>
      <c r="FI622" s="421"/>
      <c r="FJ622" s="424">
        <f t="shared" si="257"/>
        <v>0</v>
      </c>
      <c r="FK622" s="425">
        <f t="shared" si="258"/>
        <v>0</v>
      </c>
      <c r="FL622" s="419"/>
      <c r="FM622" s="421"/>
      <c r="FN622" s="424">
        <f t="shared" si="259"/>
        <v>30</v>
      </c>
      <c r="FO622" s="425">
        <f t="shared" si="260"/>
        <v>9</v>
      </c>
    </row>
    <row r="623" spans="1:171" ht="12.5">
      <c r="A623" s="305" t="s">
        <v>168</v>
      </c>
      <c r="B623" s="479" t="s">
        <v>1146</v>
      </c>
      <c r="C623" s="479"/>
      <c r="D623" s="480">
        <v>237543</v>
      </c>
      <c r="E623" s="34">
        <v>14</v>
      </c>
      <c r="F623" s="419">
        <v>23</v>
      </c>
      <c r="G623" s="465">
        <v>75</v>
      </c>
      <c r="H623" s="419"/>
      <c r="I623" s="421"/>
      <c r="J623" s="419"/>
      <c r="K623" s="421"/>
      <c r="L623" s="422">
        <f t="shared" si="239"/>
        <v>0</v>
      </c>
      <c r="M623" s="423">
        <f t="shared" si="240"/>
        <v>0</v>
      </c>
      <c r="N623" s="419"/>
      <c r="O623" s="309">
        <f>0</f>
        <v>0</v>
      </c>
      <c r="P623" s="309">
        <f>0</f>
        <v>0</v>
      </c>
      <c r="Q623" s="309">
        <f>0</f>
        <v>0</v>
      </c>
      <c r="R623" s="424">
        <f t="shared" si="237"/>
        <v>0</v>
      </c>
      <c r="S623" s="421"/>
      <c r="T623" s="301">
        <f>0</f>
        <v>0</v>
      </c>
      <c r="U623" s="301">
        <f>0</f>
        <v>0</v>
      </c>
      <c r="V623" s="301">
        <f>0</f>
        <v>0</v>
      </c>
      <c r="W623" s="425">
        <f t="shared" si="238"/>
        <v>0</v>
      </c>
      <c r="X623" s="419"/>
      <c r="Y623" s="419"/>
      <c r="Z623" s="421"/>
      <c r="AA623" s="421"/>
      <c r="AB623" s="419"/>
      <c r="AC623" s="419"/>
      <c r="AD623" s="421"/>
      <c r="AE623" s="421"/>
      <c r="AF623" s="419"/>
      <c r="AG623" s="419"/>
      <c r="AH623" s="421"/>
      <c r="AI623" s="421"/>
      <c r="AJ623" s="419"/>
      <c r="AK623" s="419"/>
      <c r="AL623" s="421"/>
      <c r="AM623" s="421"/>
      <c r="AN623" s="419"/>
      <c r="AO623" s="419"/>
      <c r="AP623" s="421"/>
      <c r="AQ623" s="421"/>
      <c r="AR623" s="424">
        <f t="shared" si="241"/>
        <v>0</v>
      </c>
      <c r="AS623" s="422">
        <f t="shared" si="242"/>
        <v>0</v>
      </c>
      <c r="AT623" s="425">
        <f t="shared" si="243"/>
        <v>0</v>
      </c>
      <c r="AU623" s="423">
        <f t="shared" si="244"/>
        <v>0</v>
      </c>
      <c r="AV623" s="419"/>
      <c r="AW623" s="421"/>
      <c r="AX623" s="419"/>
      <c r="AY623" s="419"/>
      <c r="AZ623" s="421"/>
      <c r="BA623" s="421"/>
      <c r="BB623" s="419"/>
      <c r="BC623" s="419"/>
      <c r="BD623" s="421"/>
      <c r="BE623" s="421"/>
      <c r="BF623" s="419"/>
      <c r="BG623" s="419"/>
      <c r="BH623" s="421"/>
      <c r="BI623" s="421"/>
      <c r="BJ623" s="419"/>
      <c r="BK623" s="419"/>
      <c r="BL623" s="421"/>
      <c r="BM623" s="421"/>
      <c r="BN623" s="419"/>
      <c r="BO623" s="419"/>
      <c r="BP623" s="421"/>
      <c r="BQ623" s="421"/>
      <c r="BR623" s="419"/>
      <c r="BS623" s="419"/>
      <c r="BT623" s="421"/>
      <c r="BU623" s="421"/>
      <c r="BV623" s="419"/>
      <c r="BW623" s="419"/>
      <c r="BX623" s="421"/>
      <c r="BY623" s="421"/>
      <c r="BZ623" s="419"/>
      <c r="CA623" s="419"/>
      <c r="CB623" s="421"/>
      <c r="CC623" s="421"/>
      <c r="CD623" s="419"/>
      <c r="CE623" s="419"/>
      <c r="CF623" s="421"/>
      <c r="CG623" s="421"/>
      <c r="CH623" s="419"/>
      <c r="CI623" s="419"/>
      <c r="CJ623" s="421"/>
      <c r="CK623" s="421"/>
      <c r="CL623" s="419"/>
      <c r="CM623" s="421"/>
      <c r="CN623" s="424">
        <f t="shared" si="245"/>
        <v>0</v>
      </c>
      <c r="CO623" s="424">
        <f t="shared" si="246"/>
        <v>0</v>
      </c>
      <c r="CP623" s="425">
        <f t="shared" si="247"/>
        <v>0</v>
      </c>
      <c r="CQ623" s="425">
        <f t="shared" si="248"/>
        <v>0</v>
      </c>
      <c r="CR623" s="419"/>
      <c r="CS623" s="419"/>
      <c r="CT623" s="421"/>
      <c r="CU623" s="421"/>
      <c r="CV623" s="419"/>
      <c r="CW623" s="419"/>
      <c r="CX623" s="421"/>
      <c r="CY623" s="421"/>
      <c r="CZ623" s="419"/>
      <c r="DA623" s="419"/>
      <c r="DB623" s="421"/>
      <c r="DC623" s="421"/>
      <c r="DD623" s="419"/>
      <c r="DE623" s="419"/>
      <c r="DF623" s="421"/>
      <c r="DG623" s="421"/>
      <c r="DH623" s="419"/>
      <c r="DI623" s="419"/>
      <c r="DJ623" s="421"/>
      <c r="DK623" s="421"/>
      <c r="DL623" s="419"/>
      <c r="DM623" s="419"/>
      <c r="DN623" s="421"/>
      <c r="DO623" s="421"/>
      <c r="DP623" s="419"/>
      <c r="DQ623" s="419"/>
      <c r="DR623" s="421"/>
      <c r="DS623" s="421"/>
      <c r="DT623" s="419"/>
      <c r="DU623" s="419"/>
      <c r="DV623" s="421"/>
      <c r="DW623" s="421"/>
      <c r="DX623" s="419"/>
      <c r="DY623" s="419"/>
      <c r="DZ623" s="421"/>
      <c r="EA623" s="421"/>
      <c r="EB623" s="419"/>
      <c r="EC623" s="419"/>
      <c r="ED623" s="421"/>
      <c r="EE623" s="421"/>
      <c r="EF623" s="419"/>
      <c r="EG623" s="421"/>
      <c r="EH623" s="424">
        <f t="shared" si="249"/>
        <v>0</v>
      </c>
      <c r="EI623" s="424">
        <f t="shared" si="250"/>
        <v>0</v>
      </c>
      <c r="EJ623" s="422">
        <f t="shared" si="251"/>
        <v>0</v>
      </c>
      <c r="EK623" s="425">
        <f t="shared" si="252"/>
        <v>0</v>
      </c>
      <c r="EL623" s="425">
        <f t="shared" si="253"/>
        <v>0</v>
      </c>
      <c r="EM623" s="423">
        <f t="shared" si="254"/>
        <v>0</v>
      </c>
      <c r="EN623" s="424">
        <f t="shared" si="255"/>
        <v>0</v>
      </c>
      <c r="EO623" s="425">
        <f t="shared" si="256"/>
        <v>0</v>
      </c>
      <c r="EP623" s="419"/>
      <c r="EQ623" s="421"/>
      <c r="ER623" s="419"/>
      <c r="ES623" s="421"/>
      <c r="ET623" s="419"/>
      <c r="EU623" s="421"/>
      <c r="EV623" s="419"/>
      <c r="EW623" s="421"/>
      <c r="EX623" s="419"/>
      <c r="EY623" s="421"/>
      <c r="EZ623" s="419"/>
      <c r="FA623" s="421"/>
      <c r="FB623" s="419"/>
      <c r="FC623" s="421"/>
      <c r="FD623" s="419"/>
      <c r="FE623" s="421"/>
      <c r="FF623" s="419"/>
      <c r="FG623" s="421"/>
      <c r="FH623" s="419"/>
      <c r="FI623" s="421"/>
      <c r="FJ623" s="424">
        <f t="shared" si="257"/>
        <v>0</v>
      </c>
      <c r="FK623" s="425">
        <f t="shared" si="258"/>
        <v>0</v>
      </c>
      <c r="FL623" s="419"/>
      <c r="FM623" s="421"/>
      <c r="FN623" s="424">
        <f t="shared" si="259"/>
        <v>23</v>
      </c>
      <c r="FO623" s="425">
        <f t="shared" si="260"/>
        <v>75</v>
      </c>
    </row>
    <row r="624" spans="1:171" ht="12.5">
      <c r="A624" s="460" t="s">
        <v>168</v>
      </c>
      <c r="B624" s="479" t="s">
        <v>1147</v>
      </c>
      <c r="C624" s="479"/>
      <c r="D624" s="480">
        <v>368647</v>
      </c>
      <c r="E624" s="34">
        <v>14</v>
      </c>
      <c r="F624" s="419">
        <v>19</v>
      </c>
      <c r="G624" s="420">
        <v>15</v>
      </c>
      <c r="H624" s="419"/>
      <c r="I624" s="421"/>
      <c r="J624" s="419"/>
      <c r="K624" s="421"/>
      <c r="L624" s="422">
        <f t="shared" si="239"/>
        <v>0</v>
      </c>
      <c r="M624" s="423">
        <f t="shared" si="240"/>
        <v>0</v>
      </c>
      <c r="N624" s="419"/>
      <c r="O624" s="309">
        <f>0</f>
        <v>0</v>
      </c>
      <c r="P624" s="309">
        <f>0</f>
        <v>0</v>
      </c>
      <c r="Q624" s="309">
        <f>0</f>
        <v>0</v>
      </c>
      <c r="R624" s="424">
        <f t="shared" si="237"/>
        <v>0</v>
      </c>
      <c r="S624" s="421"/>
      <c r="T624" s="301">
        <f>0</f>
        <v>0</v>
      </c>
      <c r="U624" s="301">
        <f>0</f>
        <v>0</v>
      </c>
      <c r="V624" s="301">
        <f>0</f>
        <v>0</v>
      </c>
      <c r="W624" s="425">
        <f t="shared" si="238"/>
        <v>0</v>
      </c>
      <c r="X624" s="419"/>
      <c r="Y624" s="419"/>
      <c r="Z624" s="421"/>
      <c r="AA624" s="421"/>
      <c r="AB624" s="419"/>
      <c r="AC624" s="419"/>
      <c r="AD624" s="421"/>
      <c r="AE624" s="421"/>
      <c r="AF624" s="419"/>
      <c r="AG624" s="419"/>
      <c r="AH624" s="421"/>
      <c r="AI624" s="421"/>
      <c r="AJ624" s="419"/>
      <c r="AK624" s="419"/>
      <c r="AL624" s="421"/>
      <c r="AM624" s="421"/>
      <c r="AN624" s="419"/>
      <c r="AO624" s="419"/>
      <c r="AP624" s="421"/>
      <c r="AQ624" s="421"/>
      <c r="AR624" s="424">
        <f t="shared" si="241"/>
        <v>0</v>
      </c>
      <c r="AS624" s="422">
        <f t="shared" si="242"/>
        <v>0</v>
      </c>
      <c r="AT624" s="425">
        <f t="shared" si="243"/>
        <v>0</v>
      </c>
      <c r="AU624" s="423">
        <f t="shared" si="244"/>
        <v>0</v>
      </c>
      <c r="AV624" s="419"/>
      <c r="AW624" s="421"/>
      <c r="AX624" s="419"/>
      <c r="AY624" s="419"/>
      <c r="AZ624" s="421"/>
      <c r="BA624" s="421"/>
      <c r="BB624" s="419"/>
      <c r="BC624" s="419"/>
      <c r="BD624" s="421"/>
      <c r="BE624" s="421"/>
      <c r="BF624" s="419"/>
      <c r="BG624" s="419"/>
      <c r="BH624" s="421"/>
      <c r="BI624" s="421"/>
      <c r="BJ624" s="419"/>
      <c r="BK624" s="419"/>
      <c r="BL624" s="421"/>
      <c r="BM624" s="421"/>
      <c r="BN624" s="419"/>
      <c r="BO624" s="419"/>
      <c r="BP624" s="421"/>
      <c r="BQ624" s="421"/>
      <c r="BR624" s="419"/>
      <c r="BS624" s="419"/>
      <c r="BT624" s="421"/>
      <c r="BU624" s="421"/>
      <c r="BV624" s="419"/>
      <c r="BW624" s="419"/>
      <c r="BX624" s="421"/>
      <c r="BY624" s="421"/>
      <c r="BZ624" s="419"/>
      <c r="CA624" s="419"/>
      <c r="CB624" s="421"/>
      <c r="CC624" s="421"/>
      <c r="CD624" s="419"/>
      <c r="CE624" s="419"/>
      <c r="CF624" s="421"/>
      <c r="CG624" s="421"/>
      <c r="CH624" s="419"/>
      <c r="CI624" s="419"/>
      <c r="CJ624" s="421"/>
      <c r="CK624" s="421"/>
      <c r="CL624" s="419"/>
      <c r="CM624" s="421"/>
      <c r="CN624" s="424">
        <f t="shared" si="245"/>
        <v>0</v>
      </c>
      <c r="CO624" s="424">
        <f t="shared" si="246"/>
        <v>0</v>
      </c>
      <c r="CP624" s="425">
        <f t="shared" si="247"/>
        <v>0</v>
      </c>
      <c r="CQ624" s="425">
        <f t="shared" si="248"/>
        <v>0</v>
      </c>
      <c r="CR624" s="419"/>
      <c r="CS624" s="419"/>
      <c r="CT624" s="421"/>
      <c r="CU624" s="421"/>
      <c r="CV624" s="419"/>
      <c r="CW624" s="419"/>
      <c r="CX624" s="421"/>
      <c r="CY624" s="421"/>
      <c r="CZ624" s="419"/>
      <c r="DA624" s="419"/>
      <c r="DB624" s="421"/>
      <c r="DC624" s="421"/>
      <c r="DD624" s="419"/>
      <c r="DE624" s="419"/>
      <c r="DF624" s="421"/>
      <c r="DG624" s="421"/>
      <c r="DH624" s="419"/>
      <c r="DI624" s="419"/>
      <c r="DJ624" s="421"/>
      <c r="DK624" s="421"/>
      <c r="DL624" s="419"/>
      <c r="DM624" s="419"/>
      <c r="DN624" s="421"/>
      <c r="DO624" s="421"/>
      <c r="DP624" s="419"/>
      <c r="DQ624" s="419"/>
      <c r="DR624" s="421"/>
      <c r="DS624" s="421"/>
      <c r="DT624" s="419"/>
      <c r="DU624" s="419"/>
      <c r="DV624" s="421"/>
      <c r="DW624" s="421"/>
      <c r="DX624" s="419"/>
      <c r="DY624" s="419"/>
      <c r="DZ624" s="421"/>
      <c r="EA624" s="421"/>
      <c r="EB624" s="419"/>
      <c r="EC624" s="419"/>
      <c r="ED624" s="421"/>
      <c r="EE624" s="421"/>
      <c r="EF624" s="419"/>
      <c r="EG624" s="421"/>
      <c r="EH624" s="424">
        <f t="shared" si="249"/>
        <v>0</v>
      </c>
      <c r="EI624" s="424">
        <f t="shared" si="250"/>
        <v>0</v>
      </c>
      <c r="EJ624" s="422">
        <f t="shared" si="251"/>
        <v>0</v>
      </c>
      <c r="EK624" s="425">
        <f t="shared" si="252"/>
        <v>0</v>
      </c>
      <c r="EL624" s="425">
        <f t="shared" si="253"/>
        <v>0</v>
      </c>
      <c r="EM624" s="423">
        <f t="shared" si="254"/>
        <v>0</v>
      </c>
      <c r="EN624" s="424">
        <f t="shared" si="255"/>
        <v>0</v>
      </c>
      <c r="EO624" s="425">
        <f t="shared" si="256"/>
        <v>0</v>
      </c>
      <c r="EP624" s="419"/>
      <c r="EQ624" s="421"/>
      <c r="ER624" s="419"/>
      <c r="ES624" s="421"/>
      <c r="ET624" s="419"/>
      <c r="EU624" s="421"/>
      <c r="EV624" s="419"/>
      <c r="EW624" s="421"/>
      <c r="EX624" s="419"/>
      <c r="EY624" s="421"/>
      <c r="EZ624" s="419"/>
      <c r="FA624" s="421"/>
      <c r="FB624" s="419"/>
      <c r="FC624" s="421"/>
      <c r="FD624" s="419"/>
      <c r="FE624" s="421"/>
      <c r="FF624" s="419"/>
      <c r="FG624" s="421"/>
      <c r="FH624" s="419"/>
      <c r="FI624" s="421"/>
      <c r="FJ624" s="424">
        <f t="shared" si="257"/>
        <v>0</v>
      </c>
      <c r="FK624" s="425">
        <f t="shared" si="258"/>
        <v>0</v>
      </c>
      <c r="FL624" s="419"/>
      <c r="FM624" s="421"/>
      <c r="FN624" s="424">
        <f t="shared" si="259"/>
        <v>19</v>
      </c>
      <c r="FO624" s="425">
        <f t="shared" si="260"/>
        <v>15</v>
      </c>
    </row>
    <row r="625" spans="1:171" ht="12.5">
      <c r="A625" s="460" t="s">
        <v>168</v>
      </c>
      <c r="B625" s="479" t="s">
        <v>1148</v>
      </c>
      <c r="C625" s="479"/>
      <c r="D625" s="480">
        <v>237561</v>
      </c>
      <c r="E625" s="34">
        <v>14</v>
      </c>
      <c r="F625" s="419">
        <v>94</v>
      </c>
      <c r="G625" s="420">
        <v>47</v>
      </c>
      <c r="H625" s="419"/>
      <c r="I625" s="421"/>
      <c r="J625" s="419"/>
      <c r="K625" s="421"/>
      <c r="L625" s="422">
        <f t="shared" si="239"/>
        <v>0</v>
      </c>
      <c r="M625" s="423">
        <f t="shared" si="240"/>
        <v>0</v>
      </c>
      <c r="N625" s="419"/>
      <c r="O625" s="309">
        <f>0</f>
        <v>0</v>
      </c>
      <c r="P625" s="309">
        <f>0</f>
        <v>0</v>
      </c>
      <c r="Q625" s="309">
        <f>0</f>
        <v>0</v>
      </c>
      <c r="R625" s="424">
        <f t="shared" si="237"/>
        <v>0</v>
      </c>
      <c r="S625" s="421"/>
      <c r="T625" s="301">
        <f>0</f>
        <v>0</v>
      </c>
      <c r="U625" s="301">
        <f>0</f>
        <v>0</v>
      </c>
      <c r="V625" s="301">
        <f>0</f>
        <v>0</v>
      </c>
      <c r="W625" s="425">
        <f t="shared" si="238"/>
        <v>0</v>
      </c>
      <c r="X625" s="419"/>
      <c r="Y625" s="419"/>
      <c r="Z625" s="421"/>
      <c r="AA625" s="421"/>
      <c r="AB625" s="419"/>
      <c r="AC625" s="419"/>
      <c r="AD625" s="421"/>
      <c r="AE625" s="421"/>
      <c r="AF625" s="419"/>
      <c r="AG625" s="419"/>
      <c r="AH625" s="421"/>
      <c r="AI625" s="421"/>
      <c r="AJ625" s="419"/>
      <c r="AK625" s="419"/>
      <c r="AL625" s="421"/>
      <c r="AM625" s="421"/>
      <c r="AN625" s="419"/>
      <c r="AO625" s="419"/>
      <c r="AP625" s="421"/>
      <c r="AQ625" s="421"/>
      <c r="AR625" s="424">
        <f t="shared" si="241"/>
        <v>0</v>
      </c>
      <c r="AS625" s="422">
        <f t="shared" si="242"/>
        <v>0</v>
      </c>
      <c r="AT625" s="425">
        <f t="shared" si="243"/>
        <v>0</v>
      </c>
      <c r="AU625" s="423">
        <f t="shared" si="244"/>
        <v>0</v>
      </c>
      <c r="AV625" s="419"/>
      <c r="AW625" s="421"/>
      <c r="AX625" s="419"/>
      <c r="AY625" s="419"/>
      <c r="AZ625" s="421"/>
      <c r="BA625" s="421"/>
      <c r="BB625" s="419"/>
      <c r="BC625" s="419"/>
      <c r="BD625" s="421"/>
      <c r="BE625" s="421"/>
      <c r="BF625" s="419"/>
      <c r="BG625" s="419"/>
      <c r="BH625" s="421"/>
      <c r="BI625" s="421"/>
      <c r="BJ625" s="419"/>
      <c r="BK625" s="419"/>
      <c r="BL625" s="421"/>
      <c r="BM625" s="421"/>
      <c r="BN625" s="419"/>
      <c r="BO625" s="419"/>
      <c r="BP625" s="421"/>
      <c r="BQ625" s="421"/>
      <c r="BR625" s="419"/>
      <c r="BS625" s="419"/>
      <c r="BT625" s="421"/>
      <c r="BU625" s="421"/>
      <c r="BV625" s="419"/>
      <c r="BW625" s="419"/>
      <c r="BX625" s="421"/>
      <c r="BY625" s="421"/>
      <c r="BZ625" s="419"/>
      <c r="CA625" s="419"/>
      <c r="CB625" s="421"/>
      <c r="CC625" s="421"/>
      <c r="CD625" s="419"/>
      <c r="CE625" s="419"/>
      <c r="CF625" s="421"/>
      <c r="CG625" s="421"/>
      <c r="CH625" s="419"/>
      <c r="CI625" s="419"/>
      <c r="CJ625" s="421"/>
      <c r="CK625" s="421"/>
      <c r="CL625" s="419"/>
      <c r="CM625" s="421"/>
      <c r="CN625" s="424">
        <f t="shared" si="245"/>
        <v>0</v>
      </c>
      <c r="CO625" s="424">
        <f t="shared" si="246"/>
        <v>0</v>
      </c>
      <c r="CP625" s="425">
        <f t="shared" si="247"/>
        <v>0</v>
      </c>
      <c r="CQ625" s="425">
        <f t="shared" si="248"/>
        <v>0</v>
      </c>
      <c r="CR625" s="419"/>
      <c r="CS625" s="419"/>
      <c r="CT625" s="421"/>
      <c r="CU625" s="421"/>
      <c r="CV625" s="419"/>
      <c r="CW625" s="419"/>
      <c r="CX625" s="421"/>
      <c r="CY625" s="421"/>
      <c r="CZ625" s="419"/>
      <c r="DA625" s="419"/>
      <c r="DB625" s="421"/>
      <c r="DC625" s="421"/>
      <c r="DD625" s="419"/>
      <c r="DE625" s="419"/>
      <c r="DF625" s="421"/>
      <c r="DG625" s="421"/>
      <c r="DH625" s="419"/>
      <c r="DI625" s="419"/>
      <c r="DJ625" s="421"/>
      <c r="DK625" s="421"/>
      <c r="DL625" s="419"/>
      <c r="DM625" s="419"/>
      <c r="DN625" s="421"/>
      <c r="DO625" s="421"/>
      <c r="DP625" s="419"/>
      <c r="DQ625" s="419"/>
      <c r="DR625" s="421"/>
      <c r="DS625" s="421"/>
      <c r="DT625" s="419"/>
      <c r="DU625" s="419"/>
      <c r="DV625" s="421"/>
      <c r="DW625" s="421"/>
      <c r="DX625" s="419"/>
      <c r="DY625" s="419"/>
      <c r="DZ625" s="421"/>
      <c r="EA625" s="421"/>
      <c r="EB625" s="419"/>
      <c r="EC625" s="419"/>
      <c r="ED625" s="421"/>
      <c r="EE625" s="421"/>
      <c r="EF625" s="419"/>
      <c r="EG625" s="421"/>
      <c r="EH625" s="424">
        <f t="shared" si="249"/>
        <v>0</v>
      </c>
      <c r="EI625" s="424">
        <f t="shared" si="250"/>
        <v>0</v>
      </c>
      <c r="EJ625" s="422">
        <f t="shared" si="251"/>
        <v>0</v>
      </c>
      <c r="EK625" s="425">
        <f t="shared" si="252"/>
        <v>0</v>
      </c>
      <c r="EL625" s="425">
        <f t="shared" si="253"/>
        <v>0</v>
      </c>
      <c r="EM625" s="423">
        <f t="shared" si="254"/>
        <v>0</v>
      </c>
      <c r="EN625" s="424">
        <f t="shared" si="255"/>
        <v>0</v>
      </c>
      <c r="EO625" s="425">
        <f t="shared" si="256"/>
        <v>0</v>
      </c>
      <c r="EP625" s="419"/>
      <c r="EQ625" s="421"/>
      <c r="ER625" s="419"/>
      <c r="ES625" s="421"/>
      <c r="ET625" s="419"/>
      <c r="EU625" s="421"/>
      <c r="EV625" s="419"/>
      <c r="EW625" s="421"/>
      <c r="EX625" s="419"/>
      <c r="EY625" s="421"/>
      <c r="EZ625" s="419"/>
      <c r="FA625" s="421"/>
      <c r="FB625" s="419"/>
      <c r="FC625" s="421"/>
      <c r="FD625" s="419"/>
      <c r="FE625" s="421"/>
      <c r="FF625" s="419"/>
      <c r="FG625" s="421"/>
      <c r="FH625" s="419"/>
      <c r="FI625" s="421"/>
      <c r="FJ625" s="424">
        <f t="shared" si="257"/>
        <v>0</v>
      </c>
      <c r="FK625" s="425">
        <f t="shared" si="258"/>
        <v>0</v>
      </c>
      <c r="FL625" s="419"/>
      <c r="FM625" s="421"/>
      <c r="FN625" s="424">
        <f t="shared" si="259"/>
        <v>94</v>
      </c>
      <c r="FO625" s="425">
        <f t="shared" si="260"/>
        <v>47</v>
      </c>
    </row>
    <row r="626" spans="1:171" ht="12.5">
      <c r="A626" s="460" t="s">
        <v>168</v>
      </c>
      <c r="B626" s="479" t="s">
        <v>1149</v>
      </c>
      <c r="C626" s="479"/>
      <c r="D626" s="480">
        <v>419420</v>
      </c>
      <c r="E626" s="34">
        <v>14</v>
      </c>
      <c r="F626" s="419">
        <v>31</v>
      </c>
      <c r="G626" s="421">
        <v>29</v>
      </c>
      <c r="H626" s="419"/>
      <c r="I626" s="421"/>
      <c r="J626" s="419"/>
      <c r="K626" s="421"/>
      <c r="L626" s="422">
        <f t="shared" si="239"/>
        <v>0</v>
      </c>
      <c r="M626" s="423">
        <f t="shared" si="240"/>
        <v>0</v>
      </c>
      <c r="N626" s="419"/>
      <c r="O626" s="309">
        <f>0</f>
        <v>0</v>
      </c>
      <c r="P626" s="309">
        <f>0</f>
        <v>0</v>
      </c>
      <c r="Q626" s="309">
        <f>0</f>
        <v>0</v>
      </c>
      <c r="R626" s="424">
        <f t="shared" si="237"/>
        <v>0</v>
      </c>
      <c r="S626" s="421"/>
      <c r="T626" s="301">
        <f>0</f>
        <v>0</v>
      </c>
      <c r="U626" s="301">
        <f>0</f>
        <v>0</v>
      </c>
      <c r="V626" s="301">
        <f>0</f>
        <v>0</v>
      </c>
      <c r="W626" s="425">
        <f t="shared" si="238"/>
        <v>0</v>
      </c>
      <c r="X626" s="419"/>
      <c r="Y626" s="419"/>
      <c r="Z626" s="421"/>
      <c r="AA626" s="421"/>
      <c r="AB626" s="419"/>
      <c r="AC626" s="419"/>
      <c r="AD626" s="421"/>
      <c r="AE626" s="421"/>
      <c r="AF626" s="419"/>
      <c r="AG626" s="419"/>
      <c r="AH626" s="421"/>
      <c r="AI626" s="421"/>
      <c r="AJ626" s="419"/>
      <c r="AK626" s="419"/>
      <c r="AL626" s="421"/>
      <c r="AM626" s="421"/>
      <c r="AN626" s="419"/>
      <c r="AO626" s="419"/>
      <c r="AP626" s="421"/>
      <c r="AQ626" s="421"/>
      <c r="AR626" s="424">
        <f t="shared" si="241"/>
        <v>0</v>
      </c>
      <c r="AS626" s="422">
        <f t="shared" si="242"/>
        <v>0</v>
      </c>
      <c r="AT626" s="425">
        <f t="shared" si="243"/>
        <v>0</v>
      </c>
      <c r="AU626" s="423">
        <f t="shared" si="244"/>
        <v>0</v>
      </c>
      <c r="AV626" s="419"/>
      <c r="AW626" s="421"/>
      <c r="AX626" s="419"/>
      <c r="AY626" s="419"/>
      <c r="AZ626" s="421"/>
      <c r="BA626" s="421"/>
      <c r="BB626" s="419"/>
      <c r="BC626" s="419"/>
      <c r="BD626" s="421"/>
      <c r="BE626" s="421"/>
      <c r="BF626" s="419"/>
      <c r="BG626" s="419"/>
      <c r="BH626" s="421"/>
      <c r="BI626" s="421"/>
      <c r="BJ626" s="419"/>
      <c r="BK626" s="419"/>
      <c r="BL626" s="421"/>
      <c r="BM626" s="421"/>
      <c r="BN626" s="419"/>
      <c r="BO626" s="419"/>
      <c r="BP626" s="421"/>
      <c r="BQ626" s="421"/>
      <c r="BR626" s="419"/>
      <c r="BS626" s="419"/>
      <c r="BT626" s="421"/>
      <c r="BU626" s="421"/>
      <c r="BV626" s="419"/>
      <c r="BW626" s="419"/>
      <c r="BX626" s="421"/>
      <c r="BY626" s="421"/>
      <c r="BZ626" s="419"/>
      <c r="CA626" s="419"/>
      <c r="CB626" s="421"/>
      <c r="CC626" s="421"/>
      <c r="CD626" s="419"/>
      <c r="CE626" s="419"/>
      <c r="CF626" s="421"/>
      <c r="CG626" s="421"/>
      <c r="CH626" s="419"/>
      <c r="CI626" s="419"/>
      <c r="CJ626" s="421"/>
      <c r="CK626" s="421"/>
      <c r="CL626" s="419"/>
      <c r="CM626" s="421"/>
      <c r="CN626" s="424">
        <f t="shared" si="245"/>
        <v>0</v>
      </c>
      <c r="CO626" s="424">
        <f t="shared" si="246"/>
        <v>0</v>
      </c>
      <c r="CP626" s="425">
        <f t="shared" si="247"/>
        <v>0</v>
      </c>
      <c r="CQ626" s="425">
        <f t="shared" si="248"/>
        <v>0</v>
      </c>
      <c r="CR626" s="419"/>
      <c r="CS626" s="419"/>
      <c r="CT626" s="421"/>
      <c r="CU626" s="421"/>
      <c r="CV626" s="419"/>
      <c r="CW626" s="419"/>
      <c r="CX626" s="421"/>
      <c r="CY626" s="421"/>
      <c r="CZ626" s="419"/>
      <c r="DA626" s="419"/>
      <c r="DB626" s="421"/>
      <c r="DC626" s="421"/>
      <c r="DD626" s="419"/>
      <c r="DE626" s="419"/>
      <c r="DF626" s="421"/>
      <c r="DG626" s="421"/>
      <c r="DH626" s="419"/>
      <c r="DI626" s="419"/>
      <c r="DJ626" s="421"/>
      <c r="DK626" s="421"/>
      <c r="DL626" s="419"/>
      <c r="DM626" s="419"/>
      <c r="DN626" s="421"/>
      <c r="DO626" s="421"/>
      <c r="DP626" s="419"/>
      <c r="DQ626" s="419"/>
      <c r="DR626" s="421"/>
      <c r="DS626" s="421"/>
      <c r="DT626" s="419"/>
      <c r="DU626" s="419"/>
      <c r="DV626" s="421"/>
      <c r="DW626" s="421"/>
      <c r="DX626" s="419"/>
      <c r="DY626" s="419"/>
      <c r="DZ626" s="421"/>
      <c r="EA626" s="421"/>
      <c r="EB626" s="419"/>
      <c r="EC626" s="419"/>
      <c r="ED626" s="421"/>
      <c r="EE626" s="421"/>
      <c r="EF626" s="419"/>
      <c r="EG626" s="421"/>
      <c r="EH626" s="424">
        <f t="shared" si="249"/>
        <v>0</v>
      </c>
      <c r="EI626" s="424">
        <f t="shared" si="250"/>
        <v>0</v>
      </c>
      <c r="EJ626" s="422">
        <f t="shared" si="251"/>
        <v>0</v>
      </c>
      <c r="EK626" s="425">
        <f t="shared" si="252"/>
        <v>0</v>
      </c>
      <c r="EL626" s="425">
        <f t="shared" si="253"/>
        <v>0</v>
      </c>
      <c r="EM626" s="423">
        <f t="shared" si="254"/>
        <v>0</v>
      </c>
      <c r="EN626" s="424">
        <f t="shared" si="255"/>
        <v>0</v>
      </c>
      <c r="EO626" s="425">
        <f t="shared" si="256"/>
        <v>0</v>
      </c>
      <c r="EP626" s="419"/>
      <c r="EQ626" s="421"/>
      <c r="ER626" s="419"/>
      <c r="ES626" s="421"/>
      <c r="ET626" s="419"/>
      <c r="EU626" s="421"/>
      <c r="EV626" s="419"/>
      <c r="EW626" s="421"/>
      <c r="EX626" s="419"/>
      <c r="EY626" s="421"/>
      <c r="EZ626" s="419"/>
      <c r="FA626" s="421"/>
      <c r="FB626" s="419"/>
      <c r="FC626" s="421"/>
      <c r="FD626" s="419"/>
      <c r="FE626" s="421"/>
      <c r="FF626" s="419"/>
      <c r="FG626" s="421"/>
      <c r="FH626" s="419"/>
      <c r="FI626" s="421"/>
      <c r="FJ626" s="424">
        <f t="shared" si="257"/>
        <v>0</v>
      </c>
      <c r="FK626" s="425">
        <f t="shared" si="258"/>
        <v>0</v>
      </c>
      <c r="FL626" s="419"/>
      <c r="FM626" s="421"/>
      <c r="FN626" s="424">
        <f t="shared" si="259"/>
        <v>31</v>
      </c>
      <c r="FO626" s="425">
        <f t="shared" si="260"/>
        <v>29</v>
      </c>
    </row>
    <row r="627" spans="1:171" ht="12.5">
      <c r="A627" s="305" t="s">
        <v>168</v>
      </c>
      <c r="B627" s="479" t="s">
        <v>1150</v>
      </c>
      <c r="C627" s="479"/>
      <c r="D627" s="480">
        <v>237491</v>
      </c>
      <c r="E627" s="34">
        <v>14</v>
      </c>
      <c r="F627" s="419">
        <v>36</v>
      </c>
      <c r="G627" s="420">
        <v>26</v>
      </c>
      <c r="H627" s="419"/>
      <c r="I627" s="421"/>
      <c r="J627" s="419"/>
      <c r="K627" s="421"/>
      <c r="L627" s="422">
        <f t="shared" si="239"/>
        <v>0</v>
      </c>
      <c r="M627" s="423">
        <f t="shared" si="240"/>
        <v>0</v>
      </c>
      <c r="N627" s="419"/>
      <c r="O627" s="309">
        <f>0</f>
        <v>0</v>
      </c>
      <c r="P627" s="309">
        <f>0</f>
        <v>0</v>
      </c>
      <c r="Q627" s="309">
        <f>0</f>
        <v>0</v>
      </c>
      <c r="R627" s="424">
        <f t="shared" si="237"/>
        <v>0</v>
      </c>
      <c r="S627" s="421"/>
      <c r="T627" s="301">
        <f>0</f>
        <v>0</v>
      </c>
      <c r="U627" s="301">
        <f>0</f>
        <v>0</v>
      </c>
      <c r="V627" s="301">
        <f>0</f>
        <v>0</v>
      </c>
      <c r="W627" s="425">
        <f t="shared" si="238"/>
        <v>0</v>
      </c>
      <c r="X627" s="419"/>
      <c r="Y627" s="419"/>
      <c r="Z627" s="421"/>
      <c r="AA627" s="421"/>
      <c r="AB627" s="419"/>
      <c r="AC627" s="419"/>
      <c r="AD627" s="421"/>
      <c r="AE627" s="421"/>
      <c r="AF627" s="419"/>
      <c r="AG627" s="419"/>
      <c r="AH627" s="421"/>
      <c r="AI627" s="421"/>
      <c r="AJ627" s="419"/>
      <c r="AK627" s="419"/>
      <c r="AL627" s="421"/>
      <c r="AM627" s="421"/>
      <c r="AN627" s="419"/>
      <c r="AO627" s="419"/>
      <c r="AP627" s="421"/>
      <c r="AQ627" s="421"/>
      <c r="AR627" s="424">
        <f t="shared" si="241"/>
        <v>0</v>
      </c>
      <c r="AS627" s="422">
        <f t="shared" si="242"/>
        <v>0</v>
      </c>
      <c r="AT627" s="425">
        <f t="shared" si="243"/>
        <v>0</v>
      </c>
      <c r="AU627" s="423">
        <f t="shared" si="244"/>
        <v>0</v>
      </c>
      <c r="AV627" s="419"/>
      <c r="AW627" s="421"/>
      <c r="AX627" s="419"/>
      <c r="AY627" s="419"/>
      <c r="AZ627" s="421"/>
      <c r="BA627" s="421"/>
      <c r="BB627" s="419"/>
      <c r="BC627" s="419"/>
      <c r="BD627" s="421"/>
      <c r="BE627" s="421"/>
      <c r="BF627" s="419"/>
      <c r="BG627" s="419"/>
      <c r="BH627" s="421"/>
      <c r="BI627" s="421"/>
      <c r="BJ627" s="419"/>
      <c r="BK627" s="419"/>
      <c r="BL627" s="421"/>
      <c r="BM627" s="421"/>
      <c r="BN627" s="419"/>
      <c r="BO627" s="419"/>
      <c r="BP627" s="421"/>
      <c r="BQ627" s="421"/>
      <c r="BR627" s="419"/>
      <c r="BS627" s="419"/>
      <c r="BT627" s="421"/>
      <c r="BU627" s="421"/>
      <c r="BV627" s="419"/>
      <c r="BW627" s="419"/>
      <c r="BX627" s="421"/>
      <c r="BY627" s="421"/>
      <c r="BZ627" s="419"/>
      <c r="CA627" s="419"/>
      <c r="CB627" s="421"/>
      <c r="CC627" s="421"/>
      <c r="CD627" s="419"/>
      <c r="CE627" s="419"/>
      <c r="CF627" s="421"/>
      <c r="CG627" s="421"/>
      <c r="CH627" s="419"/>
      <c r="CI627" s="419"/>
      <c r="CJ627" s="421"/>
      <c r="CK627" s="421"/>
      <c r="CL627" s="419"/>
      <c r="CM627" s="421"/>
      <c r="CN627" s="424">
        <f t="shared" si="245"/>
        <v>0</v>
      </c>
      <c r="CO627" s="424">
        <f t="shared" si="246"/>
        <v>0</v>
      </c>
      <c r="CP627" s="425">
        <f t="shared" si="247"/>
        <v>0</v>
      </c>
      <c r="CQ627" s="425">
        <f t="shared" si="248"/>
        <v>0</v>
      </c>
      <c r="CR627" s="419"/>
      <c r="CS627" s="419"/>
      <c r="CT627" s="421"/>
      <c r="CU627" s="421"/>
      <c r="CV627" s="419"/>
      <c r="CW627" s="419"/>
      <c r="CX627" s="421"/>
      <c r="CY627" s="421"/>
      <c r="CZ627" s="419"/>
      <c r="DA627" s="419"/>
      <c r="DB627" s="421"/>
      <c r="DC627" s="421"/>
      <c r="DD627" s="419"/>
      <c r="DE627" s="419"/>
      <c r="DF627" s="421"/>
      <c r="DG627" s="421"/>
      <c r="DH627" s="419"/>
      <c r="DI627" s="419"/>
      <c r="DJ627" s="421"/>
      <c r="DK627" s="421"/>
      <c r="DL627" s="419"/>
      <c r="DM627" s="419"/>
      <c r="DN627" s="421"/>
      <c r="DO627" s="421"/>
      <c r="DP627" s="419"/>
      <c r="DQ627" s="419"/>
      <c r="DR627" s="421"/>
      <c r="DS627" s="421"/>
      <c r="DT627" s="419"/>
      <c r="DU627" s="419"/>
      <c r="DV627" s="421"/>
      <c r="DW627" s="421"/>
      <c r="DX627" s="419"/>
      <c r="DY627" s="419"/>
      <c r="DZ627" s="421"/>
      <c r="EA627" s="421"/>
      <c r="EB627" s="419"/>
      <c r="EC627" s="419"/>
      <c r="ED627" s="421"/>
      <c r="EE627" s="421"/>
      <c r="EF627" s="419"/>
      <c r="EG627" s="421"/>
      <c r="EH627" s="424">
        <f t="shared" si="249"/>
        <v>0</v>
      </c>
      <c r="EI627" s="424">
        <f t="shared" si="250"/>
        <v>0</v>
      </c>
      <c r="EJ627" s="422">
        <f t="shared" si="251"/>
        <v>0</v>
      </c>
      <c r="EK627" s="425">
        <f t="shared" si="252"/>
        <v>0</v>
      </c>
      <c r="EL627" s="425">
        <f t="shared" si="253"/>
        <v>0</v>
      </c>
      <c r="EM627" s="423">
        <f t="shared" si="254"/>
        <v>0</v>
      </c>
      <c r="EN627" s="424">
        <f t="shared" si="255"/>
        <v>0</v>
      </c>
      <c r="EO627" s="425">
        <f t="shared" si="256"/>
        <v>0</v>
      </c>
      <c r="EP627" s="419"/>
      <c r="EQ627" s="421"/>
      <c r="ER627" s="419"/>
      <c r="ES627" s="421"/>
      <c r="ET627" s="419"/>
      <c r="EU627" s="421"/>
      <c r="EV627" s="419"/>
      <c r="EW627" s="421"/>
      <c r="EX627" s="419"/>
      <c r="EY627" s="421"/>
      <c r="EZ627" s="419"/>
      <c r="FA627" s="421"/>
      <c r="FB627" s="419"/>
      <c r="FC627" s="421"/>
      <c r="FD627" s="419"/>
      <c r="FE627" s="421"/>
      <c r="FF627" s="419"/>
      <c r="FG627" s="421"/>
      <c r="FH627" s="419"/>
      <c r="FI627" s="421"/>
      <c r="FJ627" s="424">
        <f t="shared" si="257"/>
        <v>0</v>
      </c>
      <c r="FK627" s="425">
        <f t="shared" si="258"/>
        <v>0</v>
      </c>
      <c r="FL627" s="419"/>
      <c r="FM627" s="421"/>
      <c r="FN627" s="424">
        <f t="shared" si="259"/>
        <v>36</v>
      </c>
      <c r="FO627" s="425">
        <f t="shared" si="260"/>
        <v>26</v>
      </c>
    </row>
    <row r="628" spans="1:171" ht="12.5">
      <c r="A628" s="460" t="s">
        <v>168</v>
      </c>
      <c r="B628" s="479" t="s">
        <v>1151</v>
      </c>
      <c r="C628" s="479"/>
      <c r="D628" s="480">
        <v>364575</v>
      </c>
      <c r="E628" s="34">
        <v>14</v>
      </c>
      <c r="F628" s="419">
        <v>37</v>
      </c>
      <c r="G628" s="434">
        <v>16</v>
      </c>
      <c r="H628" s="419"/>
      <c r="I628" s="421"/>
      <c r="J628" s="419"/>
      <c r="K628" s="421"/>
      <c r="L628" s="422">
        <f t="shared" si="239"/>
        <v>0</v>
      </c>
      <c r="M628" s="423">
        <f t="shared" si="240"/>
        <v>0</v>
      </c>
      <c r="N628" s="419"/>
      <c r="O628" s="309">
        <f>0</f>
        <v>0</v>
      </c>
      <c r="P628" s="309">
        <f>0</f>
        <v>0</v>
      </c>
      <c r="Q628" s="309">
        <f>0</f>
        <v>0</v>
      </c>
      <c r="R628" s="424">
        <f t="shared" si="237"/>
        <v>0</v>
      </c>
      <c r="S628" s="421"/>
      <c r="T628" s="301">
        <f>0</f>
        <v>0</v>
      </c>
      <c r="U628" s="301">
        <f>0</f>
        <v>0</v>
      </c>
      <c r="V628" s="301">
        <f>0</f>
        <v>0</v>
      </c>
      <c r="W628" s="425">
        <f t="shared" si="238"/>
        <v>0</v>
      </c>
      <c r="X628" s="419"/>
      <c r="Y628" s="419"/>
      <c r="Z628" s="421"/>
      <c r="AA628" s="421"/>
      <c r="AB628" s="419"/>
      <c r="AC628" s="419"/>
      <c r="AD628" s="421"/>
      <c r="AE628" s="421"/>
      <c r="AF628" s="419"/>
      <c r="AG628" s="419"/>
      <c r="AH628" s="421"/>
      <c r="AI628" s="421"/>
      <c r="AJ628" s="419"/>
      <c r="AK628" s="419"/>
      <c r="AL628" s="421"/>
      <c r="AM628" s="421"/>
      <c r="AN628" s="419"/>
      <c r="AO628" s="419"/>
      <c r="AP628" s="421"/>
      <c r="AQ628" s="421"/>
      <c r="AR628" s="424">
        <f t="shared" si="241"/>
        <v>0</v>
      </c>
      <c r="AS628" s="422">
        <f t="shared" si="242"/>
        <v>0</v>
      </c>
      <c r="AT628" s="425">
        <f t="shared" si="243"/>
        <v>0</v>
      </c>
      <c r="AU628" s="423">
        <f t="shared" si="244"/>
        <v>0</v>
      </c>
      <c r="AV628" s="419"/>
      <c r="AW628" s="421"/>
      <c r="AX628" s="419"/>
      <c r="AY628" s="419"/>
      <c r="AZ628" s="421"/>
      <c r="BA628" s="421"/>
      <c r="BB628" s="419"/>
      <c r="BC628" s="419"/>
      <c r="BD628" s="421"/>
      <c r="BE628" s="421"/>
      <c r="BF628" s="419"/>
      <c r="BG628" s="419"/>
      <c r="BH628" s="421"/>
      <c r="BI628" s="421"/>
      <c r="BJ628" s="419"/>
      <c r="BK628" s="419"/>
      <c r="BL628" s="421"/>
      <c r="BM628" s="421"/>
      <c r="BN628" s="419"/>
      <c r="BO628" s="419"/>
      <c r="BP628" s="421"/>
      <c r="BQ628" s="421"/>
      <c r="BR628" s="419"/>
      <c r="BS628" s="419"/>
      <c r="BT628" s="421"/>
      <c r="BU628" s="421"/>
      <c r="BV628" s="419"/>
      <c r="BW628" s="419"/>
      <c r="BX628" s="421"/>
      <c r="BY628" s="421"/>
      <c r="BZ628" s="419"/>
      <c r="CA628" s="419"/>
      <c r="CB628" s="421"/>
      <c r="CC628" s="421"/>
      <c r="CD628" s="419"/>
      <c r="CE628" s="419"/>
      <c r="CF628" s="421"/>
      <c r="CG628" s="421"/>
      <c r="CH628" s="419"/>
      <c r="CI628" s="419"/>
      <c r="CJ628" s="421"/>
      <c r="CK628" s="421"/>
      <c r="CL628" s="419"/>
      <c r="CM628" s="421"/>
      <c r="CN628" s="424">
        <f t="shared" si="245"/>
        <v>0</v>
      </c>
      <c r="CO628" s="424">
        <f t="shared" si="246"/>
        <v>0</v>
      </c>
      <c r="CP628" s="425">
        <f t="shared" si="247"/>
        <v>0</v>
      </c>
      <c r="CQ628" s="425">
        <f t="shared" si="248"/>
        <v>0</v>
      </c>
      <c r="CR628" s="419"/>
      <c r="CS628" s="419"/>
      <c r="CT628" s="421"/>
      <c r="CU628" s="421"/>
      <c r="CV628" s="419"/>
      <c r="CW628" s="419"/>
      <c r="CX628" s="421"/>
      <c r="CY628" s="421"/>
      <c r="CZ628" s="419"/>
      <c r="DA628" s="419"/>
      <c r="DB628" s="421"/>
      <c r="DC628" s="421"/>
      <c r="DD628" s="419"/>
      <c r="DE628" s="419"/>
      <c r="DF628" s="421"/>
      <c r="DG628" s="421"/>
      <c r="DH628" s="419"/>
      <c r="DI628" s="419"/>
      <c r="DJ628" s="421"/>
      <c r="DK628" s="421"/>
      <c r="DL628" s="419"/>
      <c r="DM628" s="419"/>
      <c r="DN628" s="421"/>
      <c r="DO628" s="421"/>
      <c r="DP628" s="419"/>
      <c r="DQ628" s="419"/>
      <c r="DR628" s="421"/>
      <c r="DS628" s="421"/>
      <c r="DT628" s="419"/>
      <c r="DU628" s="419"/>
      <c r="DV628" s="421"/>
      <c r="DW628" s="421"/>
      <c r="DX628" s="419"/>
      <c r="DY628" s="419"/>
      <c r="DZ628" s="421"/>
      <c r="EA628" s="421"/>
      <c r="EB628" s="419"/>
      <c r="EC628" s="419"/>
      <c r="ED628" s="421"/>
      <c r="EE628" s="421"/>
      <c r="EF628" s="419"/>
      <c r="EG628" s="421"/>
      <c r="EH628" s="424">
        <f t="shared" si="249"/>
        <v>0</v>
      </c>
      <c r="EI628" s="424">
        <f t="shared" si="250"/>
        <v>0</v>
      </c>
      <c r="EJ628" s="422">
        <f t="shared" si="251"/>
        <v>0</v>
      </c>
      <c r="EK628" s="425">
        <f t="shared" si="252"/>
        <v>0</v>
      </c>
      <c r="EL628" s="425">
        <f t="shared" si="253"/>
        <v>0</v>
      </c>
      <c r="EM628" s="423">
        <f t="shared" si="254"/>
        <v>0</v>
      </c>
      <c r="EN628" s="424">
        <f t="shared" si="255"/>
        <v>0</v>
      </c>
      <c r="EO628" s="425">
        <f t="shared" si="256"/>
        <v>0</v>
      </c>
      <c r="EP628" s="419"/>
      <c r="EQ628" s="421"/>
      <c r="ER628" s="419"/>
      <c r="ES628" s="421"/>
      <c r="ET628" s="419"/>
      <c r="EU628" s="421"/>
      <c r="EV628" s="419"/>
      <c r="EW628" s="421"/>
      <c r="EX628" s="419"/>
      <c r="EY628" s="421"/>
      <c r="EZ628" s="419"/>
      <c r="FA628" s="421"/>
      <c r="FB628" s="419"/>
      <c r="FC628" s="421"/>
      <c r="FD628" s="419"/>
      <c r="FE628" s="421"/>
      <c r="FF628" s="419"/>
      <c r="FG628" s="421"/>
      <c r="FH628" s="419"/>
      <c r="FI628" s="421"/>
      <c r="FJ628" s="424">
        <f t="shared" si="257"/>
        <v>0</v>
      </c>
      <c r="FK628" s="425">
        <f t="shared" si="258"/>
        <v>0</v>
      </c>
      <c r="FL628" s="419"/>
      <c r="FM628" s="421"/>
      <c r="FN628" s="424">
        <f t="shared" si="259"/>
        <v>37</v>
      </c>
      <c r="FO628" s="425">
        <f t="shared" si="260"/>
        <v>16</v>
      </c>
    </row>
    <row r="629" spans="1:171" ht="12.5">
      <c r="A629" s="305" t="s">
        <v>168</v>
      </c>
      <c r="B629" s="479" t="s">
        <v>1152</v>
      </c>
      <c r="C629" s="479"/>
      <c r="D629" s="480">
        <v>441894</v>
      </c>
      <c r="E629" s="34">
        <v>14</v>
      </c>
      <c r="F629" s="419">
        <v>38</v>
      </c>
      <c r="G629" s="434">
        <v>5</v>
      </c>
      <c r="H629" s="419"/>
      <c r="I629" s="421"/>
      <c r="J629" s="419"/>
      <c r="K629" s="421"/>
      <c r="L629" s="422">
        <f t="shared" si="239"/>
        <v>0</v>
      </c>
      <c r="M629" s="423">
        <f t="shared" si="240"/>
        <v>0</v>
      </c>
      <c r="N629" s="419"/>
      <c r="O629" s="309">
        <f>0</f>
        <v>0</v>
      </c>
      <c r="P629" s="309">
        <f>0</f>
        <v>0</v>
      </c>
      <c r="Q629" s="309">
        <f>0</f>
        <v>0</v>
      </c>
      <c r="R629" s="424">
        <f t="shared" si="237"/>
        <v>0</v>
      </c>
      <c r="S629" s="421"/>
      <c r="T629" s="301">
        <f>0</f>
        <v>0</v>
      </c>
      <c r="U629" s="301">
        <f>0</f>
        <v>0</v>
      </c>
      <c r="V629" s="301">
        <f>0</f>
        <v>0</v>
      </c>
      <c r="W629" s="425">
        <f t="shared" si="238"/>
        <v>0</v>
      </c>
      <c r="X629" s="419"/>
      <c r="Y629" s="419"/>
      <c r="Z629" s="421"/>
      <c r="AA629" s="421"/>
      <c r="AB629" s="419"/>
      <c r="AC629" s="419"/>
      <c r="AD629" s="421"/>
      <c r="AE629" s="421"/>
      <c r="AF629" s="419"/>
      <c r="AG629" s="419"/>
      <c r="AH629" s="421"/>
      <c r="AI629" s="421"/>
      <c r="AJ629" s="419"/>
      <c r="AK629" s="419"/>
      <c r="AL629" s="421"/>
      <c r="AM629" s="421"/>
      <c r="AN629" s="419"/>
      <c r="AO629" s="419"/>
      <c r="AP629" s="421"/>
      <c r="AQ629" s="421"/>
      <c r="AR629" s="424">
        <f t="shared" si="241"/>
        <v>0</v>
      </c>
      <c r="AS629" s="422">
        <f t="shared" si="242"/>
        <v>0</v>
      </c>
      <c r="AT629" s="425">
        <f t="shared" si="243"/>
        <v>0</v>
      </c>
      <c r="AU629" s="423">
        <f t="shared" si="244"/>
        <v>0</v>
      </c>
      <c r="AV629" s="419"/>
      <c r="AW629" s="421"/>
      <c r="AX629" s="419"/>
      <c r="AY629" s="419"/>
      <c r="AZ629" s="421"/>
      <c r="BA629" s="421"/>
      <c r="BB629" s="419"/>
      <c r="BC629" s="419"/>
      <c r="BD629" s="421"/>
      <c r="BE629" s="421"/>
      <c r="BF629" s="419"/>
      <c r="BG629" s="419"/>
      <c r="BH629" s="421"/>
      <c r="BI629" s="421"/>
      <c r="BJ629" s="419"/>
      <c r="BK629" s="419"/>
      <c r="BL629" s="421"/>
      <c r="BM629" s="421"/>
      <c r="BN629" s="419"/>
      <c r="BO629" s="419"/>
      <c r="BP629" s="421"/>
      <c r="BQ629" s="421"/>
      <c r="BR629" s="419"/>
      <c r="BS629" s="419"/>
      <c r="BT629" s="421"/>
      <c r="BU629" s="421"/>
      <c r="BV629" s="419"/>
      <c r="BW629" s="419"/>
      <c r="BX629" s="421"/>
      <c r="BY629" s="421"/>
      <c r="BZ629" s="419"/>
      <c r="CA629" s="419"/>
      <c r="CB629" s="421"/>
      <c r="CC629" s="421"/>
      <c r="CD629" s="419"/>
      <c r="CE629" s="419"/>
      <c r="CF629" s="421"/>
      <c r="CG629" s="421"/>
      <c r="CH629" s="419"/>
      <c r="CI629" s="419"/>
      <c r="CJ629" s="421"/>
      <c r="CK629" s="421"/>
      <c r="CL629" s="419"/>
      <c r="CM629" s="421"/>
      <c r="CN629" s="424">
        <f t="shared" si="245"/>
        <v>0</v>
      </c>
      <c r="CO629" s="424">
        <f t="shared" si="246"/>
        <v>0</v>
      </c>
      <c r="CP629" s="425">
        <f t="shared" si="247"/>
        <v>0</v>
      </c>
      <c r="CQ629" s="425">
        <f t="shared" si="248"/>
        <v>0</v>
      </c>
      <c r="CR629" s="419"/>
      <c r="CS629" s="419"/>
      <c r="CT629" s="421"/>
      <c r="CU629" s="421"/>
      <c r="CV629" s="419"/>
      <c r="CW629" s="419"/>
      <c r="CX629" s="421"/>
      <c r="CY629" s="421"/>
      <c r="CZ629" s="419"/>
      <c r="DA629" s="419"/>
      <c r="DB629" s="421"/>
      <c r="DC629" s="421"/>
      <c r="DD629" s="419"/>
      <c r="DE629" s="419"/>
      <c r="DF629" s="421"/>
      <c r="DG629" s="421"/>
      <c r="DH629" s="419"/>
      <c r="DI629" s="419"/>
      <c r="DJ629" s="421"/>
      <c r="DK629" s="421"/>
      <c r="DL629" s="419"/>
      <c r="DM629" s="419"/>
      <c r="DN629" s="421"/>
      <c r="DO629" s="421"/>
      <c r="DP629" s="419"/>
      <c r="DQ629" s="419"/>
      <c r="DR629" s="421"/>
      <c r="DS629" s="421"/>
      <c r="DT629" s="419"/>
      <c r="DU629" s="419"/>
      <c r="DV629" s="421"/>
      <c r="DW629" s="421"/>
      <c r="DX629" s="419"/>
      <c r="DY629" s="419"/>
      <c r="DZ629" s="421"/>
      <c r="EA629" s="421"/>
      <c r="EB629" s="419"/>
      <c r="EC629" s="419"/>
      <c r="ED629" s="421"/>
      <c r="EE629" s="421"/>
      <c r="EF629" s="419"/>
      <c r="EG629" s="421"/>
      <c r="EH629" s="424">
        <f t="shared" si="249"/>
        <v>0</v>
      </c>
      <c r="EI629" s="424">
        <f t="shared" si="250"/>
        <v>0</v>
      </c>
      <c r="EJ629" s="422">
        <f t="shared" si="251"/>
        <v>0</v>
      </c>
      <c r="EK629" s="425">
        <f t="shared" si="252"/>
        <v>0</v>
      </c>
      <c r="EL629" s="425">
        <f t="shared" si="253"/>
        <v>0</v>
      </c>
      <c r="EM629" s="423">
        <f t="shared" si="254"/>
        <v>0</v>
      </c>
      <c r="EN629" s="424">
        <f t="shared" si="255"/>
        <v>0</v>
      </c>
      <c r="EO629" s="425">
        <f t="shared" si="256"/>
        <v>0</v>
      </c>
      <c r="EP629" s="419"/>
      <c r="EQ629" s="421"/>
      <c r="ER629" s="419"/>
      <c r="ES629" s="421"/>
      <c r="ET629" s="419"/>
      <c r="EU629" s="421"/>
      <c r="EV629" s="419"/>
      <c r="EW629" s="421"/>
      <c r="EX629" s="419"/>
      <c r="EY629" s="421"/>
      <c r="EZ629" s="419"/>
      <c r="FA629" s="421"/>
      <c r="FB629" s="419"/>
      <c r="FC629" s="421"/>
      <c r="FD629" s="419"/>
      <c r="FE629" s="421"/>
      <c r="FF629" s="419"/>
      <c r="FG629" s="421"/>
      <c r="FH629" s="419"/>
      <c r="FI629" s="421"/>
      <c r="FJ629" s="424">
        <f t="shared" si="257"/>
        <v>0</v>
      </c>
      <c r="FK629" s="425">
        <f t="shared" si="258"/>
        <v>0</v>
      </c>
      <c r="FL629" s="419"/>
      <c r="FM629" s="421"/>
      <c r="FN629" s="424">
        <f t="shared" si="259"/>
        <v>38</v>
      </c>
      <c r="FO629" s="425">
        <f t="shared" si="260"/>
        <v>5</v>
      </c>
    </row>
    <row r="630" spans="1:171" ht="12.5">
      <c r="A630" s="460" t="s">
        <v>168</v>
      </c>
      <c r="B630" s="479" t="s">
        <v>1153</v>
      </c>
      <c r="C630" s="479"/>
      <c r="D630" s="480">
        <v>419031</v>
      </c>
      <c r="E630" s="34">
        <v>14</v>
      </c>
      <c r="F630" s="419">
        <v>36</v>
      </c>
      <c r="G630" s="420">
        <v>25</v>
      </c>
      <c r="H630" s="419"/>
      <c r="I630" s="421"/>
      <c r="J630" s="419"/>
      <c r="K630" s="421"/>
      <c r="L630" s="422">
        <f t="shared" si="239"/>
        <v>0</v>
      </c>
      <c r="M630" s="423">
        <f t="shared" si="240"/>
        <v>0</v>
      </c>
      <c r="N630" s="419"/>
      <c r="O630" s="309">
        <f>0</f>
        <v>0</v>
      </c>
      <c r="P630" s="309">
        <f>0</f>
        <v>0</v>
      </c>
      <c r="Q630" s="309">
        <f>0</f>
        <v>0</v>
      </c>
      <c r="R630" s="424">
        <f t="shared" si="237"/>
        <v>0</v>
      </c>
      <c r="S630" s="421"/>
      <c r="T630" s="301">
        <f>0</f>
        <v>0</v>
      </c>
      <c r="U630" s="301">
        <f>0</f>
        <v>0</v>
      </c>
      <c r="V630" s="301">
        <f>0</f>
        <v>0</v>
      </c>
      <c r="W630" s="425">
        <f t="shared" si="238"/>
        <v>0</v>
      </c>
      <c r="X630" s="419"/>
      <c r="Y630" s="419"/>
      <c r="Z630" s="421"/>
      <c r="AA630" s="421"/>
      <c r="AB630" s="419"/>
      <c r="AC630" s="419"/>
      <c r="AD630" s="421"/>
      <c r="AE630" s="421"/>
      <c r="AF630" s="419"/>
      <c r="AG630" s="419"/>
      <c r="AH630" s="421"/>
      <c r="AI630" s="421"/>
      <c r="AJ630" s="419"/>
      <c r="AK630" s="419"/>
      <c r="AL630" s="421"/>
      <c r="AM630" s="421"/>
      <c r="AN630" s="419"/>
      <c r="AO630" s="419"/>
      <c r="AP630" s="421"/>
      <c r="AQ630" s="421"/>
      <c r="AR630" s="424">
        <f t="shared" si="241"/>
        <v>0</v>
      </c>
      <c r="AS630" s="422">
        <f t="shared" si="242"/>
        <v>0</v>
      </c>
      <c r="AT630" s="425">
        <f t="shared" si="243"/>
        <v>0</v>
      </c>
      <c r="AU630" s="423">
        <f t="shared" si="244"/>
        <v>0</v>
      </c>
      <c r="AV630" s="419"/>
      <c r="AW630" s="421"/>
      <c r="AX630" s="419"/>
      <c r="AY630" s="419"/>
      <c r="AZ630" s="421"/>
      <c r="BA630" s="421"/>
      <c r="BB630" s="419"/>
      <c r="BC630" s="419"/>
      <c r="BD630" s="421"/>
      <c r="BE630" s="421"/>
      <c r="BF630" s="419"/>
      <c r="BG630" s="419"/>
      <c r="BH630" s="421"/>
      <c r="BI630" s="421"/>
      <c r="BJ630" s="419"/>
      <c r="BK630" s="419"/>
      <c r="BL630" s="421"/>
      <c r="BM630" s="421"/>
      <c r="BN630" s="419"/>
      <c r="BO630" s="419"/>
      <c r="BP630" s="421"/>
      <c r="BQ630" s="421"/>
      <c r="BR630" s="419"/>
      <c r="BS630" s="419"/>
      <c r="BT630" s="421"/>
      <c r="BU630" s="421"/>
      <c r="BV630" s="419"/>
      <c r="BW630" s="419"/>
      <c r="BX630" s="421"/>
      <c r="BY630" s="421"/>
      <c r="BZ630" s="419"/>
      <c r="CA630" s="419"/>
      <c r="CB630" s="421"/>
      <c r="CC630" s="421"/>
      <c r="CD630" s="419"/>
      <c r="CE630" s="419"/>
      <c r="CF630" s="421"/>
      <c r="CG630" s="421"/>
      <c r="CH630" s="419"/>
      <c r="CI630" s="419"/>
      <c r="CJ630" s="421"/>
      <c r="CK630" s="421"/>
      <c r="CL630" s="419"/>
      <c r="CM630" s="421"/>
      <c r="CN630" s="424">
        <f t="shared" si="245"/>
        <v>0</v>
      </c>
      <c r="CO630" s="424">
        <f t="shared" si="246"/>
        <v>0</v>
      </c>
      <c r="CP630" s="425">
        <f t="shared" si="247"/>
        <v>0</v>
      </c>
      <c r="CQ630" s="425">
        <f t="shared" si="248"/>
        <v>0</v>
      </c>
      <c r="CR630" s="419"/>
      <c r="CS630" s="419"/>
      <c r="CT630" s="421"/>
      <c r="CU630" s="421"/>
      <c r="CV630" s="419"/>
      <c r="CW630" s="419"/>
      <c r="CX630" s="421"/>
      <c r="CY630" s="421"/>
      <c r="CZ630" s="419"/>
      <c r="DA630" s="419"/>
      <c r="DB630" s="421"/>
      <c r="DC630" s="421"/>
      <c r="DD630" s="419"/>
      <c r="DE630" s="419"/>
      <c r="DF630" s="421"/>
      <c r="DG630" s="421"/>
      <c r="DH630" s="419"/>
      <c r="DI630" s="419"/>
      <c r="DJ630" s="421"/>
      <c r="DK630" s="421"/>
      <c r="DL630" s="419"/>
      <c r="DM630" s="419"/>
      <c r="DN630" s="421"/>
      <c r="DO630" s="421"/>
      <c r="DP630" s="419"/>
      <c r="DQ630" s="419"/>
      <c r="DR630" s="421"/>
      <c r="DS630" s="421"/>
      <c r="DT630" s="419"/>
      <c r="DU630" s="419"/>
      <c r="DV630" s="421"/>
      <c r="DW630" s="421"/>
      <c r="DX630" s="419"/>
      <c r="DY630" s="419"/>
      <c r="DZ630" s="421"/>
      <c r="EA630" s="421"/>
      <c r="EB630" s="419"/>
      <c r="EC630" s="419"/>
      <c r="ED630" s="421"/>
      <c r="EE630" s="421"/>
      <c r="EF630" s="419"/>
      <c r="EG630" s="421"/>
      <c r="EH630" s="424">
        <f t="shared" si="249"/>
        <v>0</v>
      </c>
      <c r="EI630" s="424">
        <f t="shared" si="250"/>
        <v>0</v>
      </c>
      <c r="EJ630" s="422">
        <f t="shared" si="251"/>
        <v>0</v>
      </c>
      <c r="EK630" s="425">
        <f t="shared" si="252"/>
        <v>0</v>
      </c>
      <c r="EL630" s="425">
        <f t="shared" si="253"/>
        <v>0</v>
      </c>
      <c r="EM630" s="423">
        <f t="shared" si="254"/>
        <v>0</v>
      </c>
      <c r="EN630" s="424">
        <f t="shared" si="255"/>
        <v>0</v>
      </c>
      <c r="EO630" s="425">
        <f t="shared" si="256"/>
        <v>0</v>
      </c>
      <c r="EP630" s="419"/>
      <c r="EQ630" s="421"/>
      <c r="ER630" s="419"/>
      <c r="ES630" s="421"/>
      <c r="ET630" s="419"/>
      <c r="EU630" s="421"/>
      <c r="EV630" s="419"/>
      <c r="EW630" s="421"/>
      <c r="EX630" s="419"/>
      <c r="EY630" s="421"/>
      <c r="EZ630" s="419"/>
      <c r="FA630" s="421"/>
      <c r="FB630" s="419"/>
      <c r="FC630" s="421"/>
      <c r="FD630" s="419"/>
      <c r="FE630" s="421"/>
      <c r="FF630" s="419"/>
      <c r="FG630" s="421"/>
      <c r="FH630" s="419"/>
      <c r="FI630" s="421"/>
      <c r="FJ630" s="424">
        <f t="shared" si="257"/>
        <v>0</v>
      </c>
      <c r="FK630" s="425">
        <f t="shared" si="258"/>
        <v>0</v>
      </c>
      <c r="FL630" s="419"/>
      <c r="FM630" s="421"/>
      <c r="FN630" s="424">
        <f t="shared" si="259"/>
        <v>36</v>
      </c>
      <c r="FO630" s="425">
        <f t="shared" si="260"/>
        <v>25</v>
      </c>
    </row>
    <row r="631" spans="1:171">
      <c r="A631" s="460" t="s">
        <v>168</v>
      </c>
      <c r="B631" s="479" t="s">
        <v>1154</v>
      </c>
      <c r="C631" s="479"/>
      <c r="D631" s="481" t="s">
        <v>1058</v>
      </c>
      <c r="E631" s="34">
        <v>14</v>
      </c>
      <c r="F631" s="419">
        <v>70</v>
      </c>
      <c r="G631" s="434">
        <v>16</v>
      </c>
      <c r="H631" s="419"/>
      <c r="I631" s="421"/>
      <c r="J631" s="419"/>
      <c r="K631" s="421"/>
      <c r="L631" s="422">
        <f t="shared" si="239"/>
        <v>0</v>
      </c>
      <c r="M631" s="423">
        <f t="shared" si="240"/>
        <v>0</v>
      </c>
      <c r="N631" s="419"/>
      <c r="O631" s="309">
        <f>0</f>
        <v>0</v>
      </c>
      <c r="P631" s="309">
        <f>0</f>
        <v>0</v>
      </c>
      <c r="Q631" s="309">
        <f>0</f>
        <v>0</v>
      </c>
      <c r="R631" s="424">
        <f t="shared" si="237"/>
        <v>0</v>
      </c>
      <c r="S631" s="421"/>
      <c r="T631" s="301">
        <f>0</f>
        <v>0</v>
      </c>
      <c r="U631" s="301">
        <f>0</f>
        <v>0</v>
      </c>
      <c r="V631" s="301">
        <f>0</f>
        <v>0</v>
      </c>
      <c r="W631" s="425">
        <f t="shared" si="238"/>
        <v>0</v>
      </c>
      <c r="X631" s="419"/>
      <c r="Y631" s="419"/>
      <c r="Z631" s="421"/>
      <c r="AA631" s="421"/>
      <c r="AB631" s="419"/>
      <c r="AC631" s="419"/>
      <c r="AD631" s="421"/>
      <c r="AE631" s="421"/>
      <c r="AF631" s="419"/>
      <c r="AG631" s="419"/>
      <c r="AH631" s="421"/>
      <c r="AI631" s="421"/>
      <c r="AJ631" s="419"/>
      <c r="AK631" s="419"/>
      <c r="AL631" s="421"/>
      <c r="AM631" s="421"/>
      <c r="AN631" s="419"/>
      <c r="AO631" s="419"/>
      <c r="AP631" s="421"/>
      <c r="AQ631" s="421"/>
      <c r="AR631" s="424">
        <f t="shared" si="241"/>
        <v>0</v>
      </c>
      <c r="AS631" s="422">
        <f t="shared" si="242"/>
        <v>0</v>
      </c>
      <c r="AT631" s="425">
        <f t="shared" si="243"/>
        <v>0</v>
      </c>
      <c r="AU631" s="423">
        <f t="shared" si="244"/>
        <v>0</v>
      </c>
      <c r="AV631" s="419"/>
      <c r="AW631" s="421"/>
      <c r="AX631" s="419"/>
      <c r="AY631" s="419"/>
      <c r="AZ631" s="421"/>
      <c r="BA631" s="421"/>
      <c r="BB631" s="419"/>
      <c r="BC631" s="419"/>
      <c r="BD631" s="421"/>
      <c r="BE631" s="421"/>
      <c r="BF631" s="419"/>
      <c r="BG631" s="419"/>
      <c r="BH631" s="421"/>
      <c r="BI631" s="421"/>
      <c r="BJ631" s="419"/>
      <c r="BK631" s="419"/>
      <c r="BL631" s="421"/>
      <c r="BM631" s="421"/>
      <c r="BN631" s="419"/>
      <c r="BO631" s="419"/>
      <c r="BP631" s="421"/>
      <c r="BQ631" s="421"/>
      <c r="BR631" s="419"/>
      <c r="BS631" s="419"/>
      <c r="BT631" s="421"/>
      <c r="BU631" s="421"/>
      <c r="BV631" s="419"/>
      <c r="BW631" s="419"/>
      <c r="BX631" s="421"/>
      <c r="BY631" s="421"/>
      <c r="BZ631" s="419"/>
      <c r="CA631" s="419"/>
      <c r="CB631" s="421"/>
      <c r="CC631" s="421"/>
      <c r="CD631" s="419"/>
      <c r="CE631" s="419"/>
      <c r="CF631" s="421"/>
      <c r="CG631" s="421"/>
      <c r="CH631" s="419"/>
      <c r="CI631" s="419"/>
      <c r="CJ631" s="421"/>
      <c r="CK631" s="421"/>
      <c r="CL631" s="419"/>
      <c r="CM631" s="421"/>
      <c r="CN631" s="424">
        <f t="shared" si="245"/>
        <v>0</v>
      </c>
      <c r="CO631" s="424">
        <f t="shared" si="246"/>
        <v>0</v>
      </c>
      <c r="CP631" s="425">
        <f t="shared" si="247"/>
        <v>0</v>
      </c>
      <c r="CQ631" s="425">
        <f t="shared" si="248"/>
        <v>0</v>
      </c>
      <c r="CR631" s="419"/>
      <c r="CS631" s="419"/>
      <c r="CT631" s="421"/>
      <c r="CU631" s="421"/>
      <c r="CV631" s="419"/>
      <c r="CW631" s="419"/>
      <c r="CX631" s="421"/>
      <c r="CY631" s="421"/>
      <c r="CZ631" s="419"/>
      <c r="DA631" s="419"/>
      <c r="DB631" s="421"/>
      <c r="DC631" s="421"/>
      <c r="DD631" s="419"/>
      <c r="DE631" s="419"/>
      <c r="DF631" s="421"/>
      <c r="DG631" s="421"/>
      <c r="DH631" s="419"/>
      <c r="DI631" s="419"/>
      <c r="DJ631" s="421"/>
      <c r="DK631" s="421"/>
      <c r="DL631" s="419"/>
      <c r="DM631" s="419"/>
      <c r="DN631" s="421"/>
      <c r="DO631" s="421"/>
      <c r="DP631" s="419"/>
      <c r="DQ631" s="419"/>
      <c r="DR631" s="421"/>
      <c r="DS631" s="421"/>
      <c r="DT631" s="419"/>
      <c r="DU631" s="419"/>
      <c r="DV631" s="421"/>
      <c r="DW631" s="421"/>
      <c r="DX631" s="419"/>
      <c r="DY631" s="419"/>
      <c r="DZ631" s="421"/>
      <c r="EA631" s="421"/>
      <c r="EB631" s="419"/>
      <c r="EC631" s="419"/>
      <c r="ED631" s="421"/>
      <c r="EE631" s="421"/>
      <c r="EF631" s="419"/>
      <c r="EG631" s="421"/>
      <c r="EH631" s="424">
        <f t="shared" si="249"/>
        <v>0</v>
      </c>
      <c r="EI631" s="424">
        <f t="shared" si="250"/>
        <v>0</v>
      </c>
      <c r="EJ631" s="422">
        <f t="shared" si="251"/>
        <v>0</v>
      </c>
      <c r="EK631" s="425">
        <f t="shared" si="252"/>
        <v>0</v>
      </c>
      <c r="EL631" s="425">
        <f t="shared" si="253"/>
        <v>0</v>
      </c>
      <c r="EM631" s="423">
        <f t="shared" si="254"/>
        <v>0</v>
      </c>
      <c r="EN631" s="424">
        <f t="shared" si="255"/>
        <v>0</v>
      </c>
      <c r="EO631" s="425">
        <f t="shared" si="256"/>
        <v>0</v>
      </c>
      <c r="EP631" s="419"/>
      <c r="EQ631" s="421"/>
      <c r="ER631" s="419"/>
      <c r="ES631" s="421"/>
      <c r="ET631" s="419"/>
      <c r="EU631" s="421"/>
      <c r="EV631" s="419"/>
      <c r="EW631" s="421"/>
      <c r="EX631" s="419"/>
      <c r="EY631" s="421"/>
      <c r="EZ631" s="419"/>
      <c r="FA631" s="421"/>
      <c r="FB631" s="419"/>
      <c r="FC631" s="421"/>
      <c r="FD631" s="419"/>
      <c r="FE631" s="421"/>
      <c r="FF631" s="419"/>
      <c r="FG631" s="421"/>
      <c r="FH631" s="419"/>
      <c r="FI631" s="421"/>
      <c r="FJ631" s="424">
        <f t="shared" si="257"/>
        <v>0</v>
      </c>
      <c r="FK631" s="425">
        <f t="shared" si="258"/>
        <v>0</v>
      </c>
      <c r="FL631" s="419"/>
      <c r="FM631" s="421"/>
      <c r="FN631" s="424">
        <f t="shared" si="259"/>
        <v>70</v>
      </c>
      <c r="FO631" s="425">
        <f t="shared" si="260"/>
        <v>16</v>
      </c>
    </row>
    <row r="632" spans="1:171">
      <c r="A632" s="460" t="s">
        <v>168</v>
      </c>
      <c r="B632" s="479" t="s">
        <v>1155</v>
      </c>
      <c r="C632" s="479"/>
      <c r="D632" s="481" t="s">
        <v>1058</v>
      </c>
      <c r="E632" s="34">
        <v>15</v>
      </c>
      <c r="F632" s="419">
        <v>0</v>
      </c>
      <c r="G632" s="465">
        <v>16</v>
      </c>
      <c r="H632" s="419"/>
      <c r="I632" s="421"/>
      <c r="J632" s="419"/>
      <c r="K632" s="421"/>
      <c r="L632" s="422">
        <f t="shared" si="239"/>
        <v>0</v>
      </c>
      <c r="M632" s="423">
        <f t="shared" si="240"/>
        <v>0</v>
      </c>
      <c r="N632" s="419"/>
      <c r="O632" s="309">
        <f>0</f>
        <v>0</v>
      </c>
      <c r="P632" s="309">
        <f>0</f>
        <v>0</v>
      </c>
      <c r="Q632" s="309">
        <f>0</f>
        <v>0</v>
      </c>
      <c r="R632" s="424">
        <f t="shared" si="237"/>
        <v>0</v>
      </c>
      <c r="S632" s="421"/>
      <c r="T632" s="301">
        <f>0</f>
        <v>0</v>
      </c>
      <c r="U632" s="301">
        <f>0</f>
        <v>0</v>
      </c>
      <c r="V632" s="301">
        <f>0</f>
        <v>0</v>
      </c>
      <c r="W632" s="425">
        <f t="shared" si="238"/>
        <v>0</v>
      </c>
      <c r="X632" s="419"/>
      <c r="Y632" s="419"/>
      <c r="Z632" s="421"/>
      <c r="AA632" s="421"/>
      <c r="AB632" s="419"/>
      <c r="AC632" s="419"/>
      <c r="AD632" s="421"/>
      <c r="AE632" s="421"/>
      <c r="AF632" s="419"/>
      <c r="AG632" s="419"/>
      <c r="AH632" s="421"/>
      <c r="AI632" s="421"/>
      <c r="AJ632" s="419"/>
      <c r="AK632" s="419"/>
      <c r="AL632" s="421"/>
      <c r="AM632" s="421"/>
      <c r="AN632" s="419"/>
      <c r="AO632" s="419"/>
      <c r="AP632" s="421"/>
      <c r="AQ632" s="421"/>
      <c r="AR632" s="424">
        <f t="shared" si="241"/>
        <v>0</v>
      </c>
      <c r="AS632" s="422">
        <f t="shared" si="242"/>
        <v>0</v>
      </c>
      <c r="AT632" s="425">
        <f t="shared" si="243"/>
        <v>0</v>
      </c>
      <c r="AU632" s="423">
        <f t="shared" si="244"/>
        <v>0</v>
      </c>
      <c r="AV632" s="419"/>
      <c r="AW632" s="421"/>
      <c r="AX632" s="419"/>
      <c r="AY632" s="419"/>
      <c r="AZ632" s="421"/>
      <c r="BA632" s="421"/>
      <c r="BB632" s="419"/>
      <c r="BC632" s="419"/>
      <c r="BD632" s="421"/>
      <c r="BE632" s="421"/>
      <c r="BF632" s="419"/>
      <c r="BG632" s="419"/>
      <c r="BH632" s="421"/>
      <c r="BI632" s="421"/>
      <c r="BJ632" s="419"/>
      <c r="BK632" s="419"/>
      <c r="BL632" s="421"/>
      <c r="BM632" s="421"/>
      <c r="BN632" s="419"/>
      <c r="BO632" s="419"/>
      <c r="BP632" s="421"/>
      <c r="BQ632" s="421"/>
      <c r="BR632" s="419"/>
      <c r="BS632" s="419"/>
      <c r="BT632" s="421"/>
      <c r="BU632" s="421"/>
      <c r="BV632" s="419"/>
      <c r="BW632" s="419"/>
      <c r="BX632" s="421"/>
      <c r="BY632" s="421"/>
      <c r="BZ632" s="419"/>
      <c r="CA632" s="419"/>
      <c r="CB632" s="421"/>
      <c r="CC632" s="421"/>
      <c r="CD632" s="419"/>
      <c r="CE632" s="419"/>
      <c r="CF632" s="421"/>
      <c r="CG632" s="421"/>
      <c r="CH632" s="419"/>
      <c r="CI632" s="419"/>
      <c r="CJ632" s="421"/>
      <c r="CK632" s="421"/>
      <c r="CL632" s="419"/>
      <c r="CM632" s="421"/>
      <c r="CN632" s="424">
        <f t="shared" si="245"/>
        <v>0</v>
      </c>
      <c r="CO632" s="424">
        <f t="shared" si="246"/>
        <v>0</v>
      </c>
      <c r="CP632" s="425">
        <f t="shared" si="247"/>
        <v>0</v>
      </c>
      <c r="CQ632" s="425">
        <f t="shared" si="248"/>
        <v>0</v>
      </c>
      <c r="CR632" s="419"/>
      <c r="CS632" s="419"/>
      <c r="CT632" s="421"/>
      <c r="CU632" s="421"/>
      <c r="CV632" s="419"/>
      <c r="CW632" s="419"/>
      <c r="CX632" s="421"/>
      <c r="CY632" s="421"/>
      <c r="CZ632" s="419"/>
      <c r="DA632" s="419"/>
      <c r="DB632" s="421"/>
      <c r="DC632" s="421"/>
      <c r="DD632" s="419"/>
      <c r="DE632" s="419"/>
      <c r="DF632" s="421"/>
      <c r="DG632" s="421"/>
      <c r="DH632" s="419"/>
      <c r="DI632" s="419"/>
      <c r="DJ632" s="421"/>
      <c r="DK632" s="421"/>
      <c r="DL632" s="419"/>
      <c r="DM632" s="419"/>
      <c r="DN632" s="421"/>
      <c r="DO632" s="421"/>
      <c r="DP632" s="419"/>
      <c r="DQ632" s="419"/>
      <c r="DR632" s="421"/>
      <c r="DS632" s="421"/>
      <c r="DT632" s="419"/>
      <c r="DU632" s="419"/>
      <c r="DV632" s="421"/>
      <c r="DW632" s="421"/>
      <c r="DX632" s="419"/>
      <c r="DY632" s="419"/>
      <c r="DZ632" s="421"/>
      <c r="EA632" s="421"/>
      <c r="EB632" s="419"/>
      <c r="EC632" s="419"/>
      <c r="ED632" s="421"/>
      <c r="EE632" s="421"/>
      <c r="EF632" s="419"/>
      <c r="EG632" s="421"/>
      <c r="EH632" s="424">
        <f t="shared" si="249"/>
        <v>0</v>
      </c>
      <c r="EI632" s="424">
        <f t="shared" si="250"/>
        <v>0</v>
      </c>
      <c r="EJ632" s="422">
        <f t="shared" si="251"/>
        <v>0</v>
      </c>
      <c r="EK632" s="425">
        <f t="shared" si="252"/>
        <v>0</v>
      </c>
      <c r="EL632" s="425">
        <f t="shared" si="253"/>
        <v>0</v>
      </c>
      <c r="EM632" s="423">
        <f t="shared" si="254"/>
        <v>0</v>
      </c>
      <c r="EN632" s="424">
        <f t="shared" si="255"/>
        <v>0</v>
      </c>
      <c r="EO632" s="425">
        <f t="shared" si="256"/>
        <v>0</v>
      </c>
      <c r="EP632" s="419"/>
      <c r="EQ632" s="421"/>
      <c r="ER632" s="419"/>
      <c r="ES632" s="421"/>
      <c r="ET632" s="419"/>
      <c r="EU632" s="421"/>
      <c r="EV632" s="419"/>
      <c r="EW632" s="421"/>
      <c r="EX632" s="419"/>
      <c r="EY632" s="421"/>
      <c r="EZ632" s="419"/>
      <c r="FA632" s="421"/>
      <c r="FB632" s="419"/>
      <c r="FC632" s="421"/>
      <c r="FD632" s="419"/>
      <c r="FE632" s="421"/>
      <c r="FF632" s="419"/>
      <c r="FG632" s="421"/>
      <c r="FH632" s="419"/>
      <c r="FI632" s="421"/>
      <c r="FJ632" s="424">
        <f t="shared" si="257"/>
        <v>0</v>
      </c>
      <c r="FK632" s="425">
        <f t="shared" si="258"/>
        <v>0</v>
      </c>
      <c r="FL632" s="419"/>
      <c r="FM632" s="421"/>
      <c r="FN632" s="424">
        <f t="shared" si="259"/>
        <v>0</v>
      </c>
      <c r="FO632" s="425">
        <f t="shared" si="260"/>
        <v>16</v>
      </c>
    </row>
    <row r="633" spans="1:171" ht="12.5">
      <c r="A633" s="460" t="s">
        <v>168</v>
      </c>
      <c r="B633" s="479" t="s">
        <v>1156</v>
      </c>
      <c r="C633" s="479"/>
      <c r="D633" s="480">
        <v>486202</v>
      </c>
      <c r="E633" s="34">
        <v>15</v>
      </c>
      <c r="F633" s="419">
        <v>25</v>
      </c>
      <c r="G633" s="434">
        <v>0</v>
      </c>
      <c r="H633" s="419"/>
      <c r="I633" s="421"/>
      <c r="J633" s="419"/>
      <c r="K633" s="421"/>
      <c r="L633" s="422">
        <f t="shared" si="239"/>
        <v>0</v>
      </c>
      <c r="M633" s="423">
        <f t="shared" si="240"/>
        <v>0</v>
      </c>
      <c r="N633" s="419"/>
      <c r="O633" s="309">
        <f>0</f>
        <v>0</v>
      </c>
      <c r="P633" s="309">
        <f>0</f>
        <v>0</v>
      </c>
      <c r="Q633" s="309">
        <f>0</f>
        <v>0</v>
      </c>
      <c r="R633" s="424">
        <f t="shared" si="237"/>
        <v>0</v>
      </c>
      <c r="S633" s="421"/>
      <c r="T633" s="301">
        <f>0</f>
        <v>0</v>
      </c>
      <c r="U633" s="301">
        <f>0</f>
        <v>0</v>
      </c>
      <c r="V633" s="301">
        <f>0</f>
        <v>0</v>
      </c>
      <c r="W633" s="425">
        <f t="shared" si="238"/>
        <v>0</v>
      </c>
      <c r="X633" s="419"/>
      <c r="Y633" s="419"/>
      <c r="Z633" s="421"/>
      <c r="AA633" s="421"/>
      <c r="AB633" s="419"/>
      <c r="AC633" s="419"/>
      <c r="AD633" s="421"/>
      <c r="AE633" s="421"/>
      <c r="AF633" s="419"/>
      <c r="AG633" s="419"/>
      <c r="AH633" s="421"/>
      <c r="AI633" s="421"/>
      <c r="AJ633" s="419"/>
      <c r="AK633" s="419"/>
      <c r="AL633" s="421"/>
      <c r="AM633" s="421"/>
      <c r="AN633" s="419"/>
      <c r="AO633" s="419"/>
      <c r="AP633" s="421"/>
      <c r="AQ633" s="421"/>
      <c r="AR633" s="424">
        <f t="shared" si="241"/>
        <v>0</v>
      </c>
      <c r="AS633" s="422">
        <f t="shared" si="242"/>
        <v>0</v>
      </c>
      <c r="AT633" s="425">
        <f t="shared" si="243"/>
        <v>0</v>
      </c>
      <c r="AU633" s="423">
        <f t="shared" si="244"/>
        <v>0</v>
      </c>
      <c r="AV633" s="419"/>
      <c r="AW633" s="421"/>
      <c r="AX633" s="419"/>
      <c r="AY633" s="419"/>
      <c r="AZ633" s="421"/>
      <c r="BA633" s="421"/>
      <c r="BB633" s="419"/>
      <c r="BC633" s="419"/>
      <c r="BD633" s="421"/>
      <c r="BE633" s="421"/>
      <c r="BF633" s="419"/>
      <c r="BG633" s="419"/>
      <c r="BH633" s="421"/>
      <c r="BI633" s="421"/>
      <c r="BJ633" s="419"/>
      <c r="BK633" s="419"/>
      <c r="BL633" s="421"/>
      <c r="BM633" s="421"/>
      <c r="BN633" s="419"/>
      <c r="BO633" s="419"/>
      <c r="BP633" s="421"/>
      <c r="BQ633" s="421"/>
      <c r="BR633" s="419"/>
      <c r="BS633" s="419"/>
      <c r="BT633" s="421"/>
      <c r="BU633" s="421"/>
      <c r="BV633" s="419"/>
      <c r="BW633" s="419"/>
      <c r="BX633" s="421"/>
      <c r="BY633" s="421"/>
      <c r="BZ633" s="419"/>
      <c r="CA633" s="419"/>
      <c r="CB633" s="421"/>
      <c r="CC633" s="421"/>
      <c r="CD633" s="419"/>
      <c r="CE633" s="419"/>
      <c r="CF633" s="421"/>
      <c r="CG633" s="421"/>
      <c r="CH633" s="419"/>
      <c r="CI633" s="419"/>
      <c r="CJ633" s="421"/>
      <c r="CK633" s="421"/>
      <c r="CL633" s="419"/>
      <c r="CM633" s="421"/>
      <c r="CN633" s="424">
        <f t="shared" si="245"/>
        <v>0</v>
      </c>
      <c r="CO633" s="424">
        <f t="shared" si="246"/>
        <v>0</v>
      </c>
      <c r="CP633" s="425">
        <f t="shared" si="247"/>
        <v>0</v>
      </c>
      <c r="CQ633" s="425">
        <f t="shared" si="248"/>
        <v>0</v>
      </c>
      <c r="CR633" s="419"/>
      <c r="CS633" s="419"/>
      <c r="CT633" s="421"/>
      <c r="CU633" s="421"/>
      <c r="CV633" s="419"/>
      <c r="CW633" s="419"/>
      <c r="CX633" s="421"/>
      <c r="CY633" s="421"/>
      <c r="CZ633" s="419"/>
      <c r="DA633" s="419"/>
      <c r="DB633" s="421"/>
      <c r="DC633" s="421"/>
      <c r="DD633" s="419"/>
      <c r="DE633" s="419"/>
      <c r="DF633" s="421"/>
      <c r="DG633" s="421"/>
      <c r="DH633" s="419"/>
      <c r="DI633" s="419"/>
      <c r="DJ633" s="421"/>
      <c r="DK633" s="421"/>
      <c r="DL633" s="419"/>
      <c r="DM633" s="419"/>
      <c r="DN633" s="421"/>
      <c r="DO633" s="421"/>
      <c r="DP633" s="419"/>
      <c r="DQ633" s="419"/>
      <c r="DR633" s="421"/>
      <c r="DS633" s="421"/>
      <c r="DT633" s="419"/>
      <c r="DU633" s="419"/>
      <c r="DV633" s="421"/>
      <c r="DW633" s="421"/>
      <c r="DX633" s="419"/>
      <c r="DY633" s="419"/>
      <c r="DZ633" s="421"/>
      <c r="EA633" s="421"/>
      <c r="EB633" s="419"/>
      <c r="EC633" s="419"/>
      <c r="ED633" s="421"/>
      <c r="EE633" s="421"/>
      <c r="EF633" s="419"/>
      <c r="EG633" s="421"/>
      <c r="EH633" s="424">
        <f t="shared" si="249"/>
        <v>0</v>
      </c>
      <c r="EI633" s="424">
        <f t="shared" si="250"/>
        <v>0</v>
      </c>
      <c r="EJ633" s="422">
        <f t="shared" si="251"/>
        <v>0</v>
      </c>
      <c r="EK633" s="425">
        <f t="shared" si="252"/>
        <v>0</v>
      </c>
      <c r="EL633" s="425">
        <f t="shared" si="253"/>
        <v>0</v>
      </c>
      <c r="EM633" s="423">
        <f t="shared" si="254"/>
        <v>0</v>
      </c>
      <c r="EN633" s="424">
        <f t="shared" si="255"/>
        <v>0</v>
      </c>
      <c r="EO633" s="425">
        <f t="shared" si="256"/>
        <v>0</v>
      </c>
      <c r="EP633" s="419"/>
      <c r="EQ633" s="421"/>
      <c r="ER633" s="419"/>
      <c r="ES633" s="421"/>
      <c r="ET633" s="419"/>
      <c r="EU633" s="421"/>
      <c r="EV633" s="419"/>
      <c r="EW633" s="421"/>
      <c r="EX633" s="419"/>
      <c r="EY633" s="421"/>
      <c r="EZ633" s="419"/>
      <c r="FA633" s="421"/>
      <c r="FB633" s="419"/>
      <c r="FC633" s="421"/>
      <c r="FD633" s="419"/>
      <c r="FE633" s="421"/>
      <c r="FF633" s="419"/>
      <c r="FG633" s="421"/>
      <c r="FH633" s="419"/>
      <c r="FI633" s="421"/>
      <c r="FJ633" s="424">
        <f t="shared" si="257"/>
        <v>0</v>
      </c>
      <c r="FK633" s="425">
        <f t="shared" si="258"/>
        <v>0</v>
      </c>
      <c r="FL633" s="419"/>
      <c r="FM633" s="421"/>
      <c r="FN633" s="424">
        <f t="shared" si="259"/>
        <v>25</v>
      </c>
      <c r="FO633" s="425">
        <f t="shared" si="260"/>
        <v>0</v>
      </c>
    </row>
    <row r="634" spans="1:171" ht="12.5">
      <c r="A634" s="460" t="s">
        <v>168</v>
      </c>
      <c r="B634" s="479" t="s">
        <v>1157</v>
      </c>
      <c r="C634" s="479"/>
      <c r="D634" s="480">
        <v>486406</v>
      </c>
      <c r="E634" s="34">
        <v>15</v>
      </c>
      <c r="F634" s="419">
        <v>22</v>
      </c>
      <c r="G634" s="420">
        <v>15</v>
      </c>
      <c r="H634" s="419"/>
      <c r="I634" s="421"/>
      <c r="J634" s="419"/>
      <c r="K634" s="421"/>
      <c r="L634" s="422">
        <f t="shared" si="239"/>
        <v>0</v>
      </c>
      <c r="M634" s="423">
        <f t="shared" si="240"/>
        <v>0</v>
      </c>
      <c r="N634" s="419"/>
      <c r="O634" s="309">
        <f>0</f>
        <v>0</v>
      </c>
      <c r="P634" s="309">
        <f>0</f>
        <v>0</v>
      </c>
      <c r="Q634" s="309">
        <f>0</f>
        <v>0</v>
      </c>
      <c r="R634" s="424">
        <f t="shared" si="237"/>
        <v>0</v>
      </c>
      <c r="S634" s="421"/>
      <c r="T634" s="301">
        <f>0</f>
        <v>0</v>
      </c>
      <c r="U634" s="301">
        <f>0</f>
        <v>0</v>
      </c>
      <c r="V634" s="301">
        <f>0</f>
        <v>0</v>
      </c>
      <c r="W634" s="425">
        <f t="shared" si="238"/>
        <v>0</v>
      </c>
      <c r="X634" s="419"/>
      <c r="Y634" s="419"/>
      <c r="Z634" s="421"/>
      <c r="AA634" s="421"/>
      <c r="AB634" s="419"/>
      <c r="AC634" s="419"/>
      <c r="AD634" s="421"/>
      <c r="AE634" s="421"/>
      <c r="AF634" s="419"/>
      <c r="AG634" s="419"/>
      <c r="AH634" s="421"/>
      <c r="AI634" s="421"/>
      <c r="AJ634" s="419"/>
      <c r="AK634" s="419"/>
      <c r="AL634" s="421"/>
      <c r="AM634" s="421"/>
      <c r="AN634" s="419"/>
      <c r="AO634" s="419"/>
      <c r="AP634" s="421"/>
      <c r="AQ634" s="421"/>
      <c r="AR634" s="424">
        <f t="shared" si="241"/>
        <v>0</v>
      </c>
      <c r="AS634" s="422">
        <f t="shared" si="242"/>
        <v>0</v>
      </c>
      <c r="AT634" s="425">
        <f t="shared" si="243"/>
        <v>0</v>
      </c>
      <c r="AU634" s="423">
        <f t="shared" si="244"/>
        <v>0</v>
      </c>
      <c r="AV634" s="419"/>
      <c r="AW634" s="421"/>
      <c r="AX634" s="419"/>
      <c r="AY634" s="419"/>
      <c r="AZ634" s="421"/>
      <c r="BA634" s="421"/>
      <c r="BB634" s="419"/>
      <c r="BC634" s="419"/>
      <c r="BD634" s="421"/>
      <c r="BE634" s="421"/>
      <c r="BF634" s="419"/>
      <c r="BG634" s="419"/>
      <c r="BH634" s="421"/>
      <c r="BI634" s="421"/>
      <c r="BJ634" s="419"/>
      <c r="BK634" s="419"/>
      <c r="BL634" s="421"/>
      <c r="BM634" s="421"/>
      <c r="BN634" s="419"/>
      <c r="BO634" s="419"/>
      <c r="BP634" s="421"/>
      <c r="BQ634" s="421"/>
      <c r="BR634" s="419"/>
      <c r="BS634" s="419"/>
      <c r="BT634" s="421"/>
      <c r="BU634" s="421"/>
      <c r="BV634" s="419"/>
      <c r="BW634" s="419"/>
      <c r="BX634" s="421"/>
      <c r="BY634" s="421"/>
      <c r="BZ634" s="419"/>
      <c r="CA634" s="419"/>
      <c r="CB634" s="421"/>
      <c r="CC634" s="421"/>
      <c r="CD634" s="419"/>
      <c r="CE634" s="419"/>
      <c r="CF634" s="421"/>
      <c r="CG634" s="421"/>
      <c r="CH634" s="419"/>
      <c r="CI634" s="419"/>
      <c r="CJ634" s="421"/>
      <c r="CK634" s="421"/>
      <c r="CL634" s="419"/>
      <c r="CM634" s="421"/>
      <c r="CN634" s="424">
        <f t="shared" si="245"/>
        <v>0</v>
      </c>
      <c r="CO634" s="424">
        <f t="shared" si="246"/>
        <v>0</v>
      </c>
      <c r="CP634" s="425">
        <f t="shared" si="247"/>
        <v>0</v>
      </c>
      <c r="CQ634" s="425">
        <f t="shared" si="248"/>
        <v>0</v>
      </c>
      <c r="CR634" s="419"/>
      <c r="CS634" s="419"/>
      <c r="CT634" s="421"/>
      <c r="CU634" s="421"/>
      <c r="CV634" s="419"/>
      <c r="CW634" s="419"/>
      <c r="CX634" s="421"/>
      <c r="CY634" s="421"/>
      <c r="CZ634" s="419"/>
      <c r="DA634" s="419"/>
      <c r="DB634" s="421"/>
      <c r="DC634" s="421"/>
      <c r="DD634" s="419"/>
      <c r="DE634" s="419"/>
      <c r="DF634" s="421"/>
      <c r="DG634" s="421"/>
      <c r="DH634" s="419"/>
      <c r="DI634" s="419"/>
      <c r="DJ634" s="421"/>
      <c r="DK634" s="421"/>
      <c r="DL634" s="419"/>
      <c r="DM634" s="419"/>
      <c r="DN634" s="421"/>
      <c r="DO634" s="421"/>
      <c r="DP634" s="419"/>
      <c r="DQ634" s="419"/>
      <c r="DR634" s="421"/>
      <c r="DS634" s="421"/>
      <c r="DT634" s="419"/>
      <c r="DU634" s="419"/>
      <c r="DV634" s="421"/>
      <c r="DW634" s="421"/>
      <c r="DX634" s="419"/>
      <c r="DY634" s="419"/>
      <c r="DZ634" s="421"/>
      <c r="EA634" s="421"/>
      <c r="EB634" s="419"/>
      <c r="EC634" s="419"/>
      <c r="ED634" s="421"/>
      <c r="EE634" s="421"/>
      <c r="EF634" s="419"/>
      <c r="EG634" s="421"/>
      <c r="EH634" s="424">
        <f t="shared" si="249"/>
        <v>0</v>
      </c>
      <c r="EI634" s="424">
        <f t="shared" si="250"/>
        <v>0</v>
      </c>
      <c r="EJ634" s="422">
        <f t="shared" si="251"/>
        <v>0</v>
      </c>
      <c r="EK634" s="425">
        <f t="shared" si="252"/>
        <v>0</v>
      </c>
      <c r="EL634" s="425">
        <f t="shared" si="253"/>
        <v>0</v>
      </c>
      <c r="EM634" s="423">
        <f t="shared" si="254"/>
        <v>0</v>
      </c>
      <c r="EN634" s="424">
        <f t="shared" si="255"/>
        <v>0</v>
      </c>
      <c r="EO634" s="425">
        <f t="shared" si="256"/>
        <v>0</v>
      </c>
      <c r="EP634" s="419"/>
      <c r="EQ634" s="421"/>
      <c r="ER634" s="419"/>
      <c r="ES634" s="421"/>
      <c r="ET634" s="419"/>
      <c r="EU634" s="421"/>
      <c r="EV634" s="419"/>
      <c r="EW634" s="421"/>
      <c r="EX634" s="419"/>
      <c r="EY634" s="421"/>
      <c r="EZ634" s="419"/>
      <c r="FA634" s="421"/>
      <c r="FB634" s="419"/>
      <c r="FC634" s="421"/>
      <c r="FD634" s="419"/>
      <c r="FE634" s="421"/>
      <c r="FF634" s="419"/>
      <c r="FG634" s="421"/>
      <c r="FH634" s="419"/>
      <c r="FI634" s="421"/>
      <c r="FJ634" s="424">
        <f t="shared" si="257"/>
        <v>0</v>
      </c>
      <c r="FK634" s="425">
        <f t="shared" si="258"/>
        <v>0</v>
      </c>
      <c r="FL634" s="419"/>
      <c r="FM634" s="421"/>
      <c r="FN634" s="424">
        <f t="shared" si="259"/>
        <v>22</v>
      </c>
      <c r="FO634" s="425">
        <f t="shared" si="260"/>
        <v>15</v>
      </c>
    </row>
    <row r="635" spans="1:171">
      <c r="A635" s="460" t="s">
        <v>168</v>
      </c>
      <c r="B635" s="479" t="s">
        <v>1158</v>
      </c>
      <c r="C635" s="479"/>
      <c r="D635" s="481" t="s">
        <v>1058</v>
      </c>
      <c r="E635" s="34">
        <v>15</v>
      </c>
      <c r="F635" s="419">
        <v>12</v>
      </c>
      <c r="G635" s="420">
        <v>9</v>
      </c>
      <c r="H635" s="419"/>
      <c r="I635" s="421"/>
      <c r="J635" s="419"/>
      <c r="K635" s="421"/>
      <c r="L635" s="422">
        <f t="shared" si="239"/>
        <v>0</v>
      </c>
      <c r="M635" s="423">
        <f t="shared" si="240"/>
        <v>0</v>
      </c>
      <c r="N635" s="419"/>
      <c r="O635" s="309">
        <f>0</f>
        <v>0</v>
      </c>
      <c r="P635" s="309">
        <f>0</f>
        <v>0</v>
      </c>
      <c r="Q635" s="309">
        <f>0</f>
        <v>0</v>
      </c>
      <c r="R635" s="424">
        <f t="shared" si="237"/>
        <v>0</v>
      </c>
      <c r="S635" s="421"/>
      <c r="T635" s="301">
        <f>0</f>
        <v>0</v>
      </c>
      <c r="U635" s="301">
        <f>0</f>
        <v>0</v>
      </c>
      <c r="V635" s="301">
        <f>0</f>
        <v>0</v>
      </c>
      <c r="W635" s="425">
        <f t="shared" si="238"/>
        <v>0</v>
      </c>
      <c r="X635" s="419"/>
      <c r="Y635" s="419"/>
      <c r="Z635" s="421"/>
      <c r="AA635" s="421"/>
      <c r="AB635" s="419"/>
      <c r="AC635" s="419"/>
      <c r="AD635" s="421"/>
      <c r="AE635" s="421"/>
      <c r="AF635" s="419"/>
      <c r="AG635" s="419"/>
      <c r="AH635" s="421"/>
      <c r="AI635" s="421"/>
      <c r="AJ635" s="419"/>
      <c r="AK635" s="419"/>
      <c r="AL635" s="421"/>
      <c r="AM635" s="421"/>
      <c r="AN635" s="419"/>
      <c r="AO635" s="419"/>
      <c r="AP635" s="421"/>
      <c r="AQ635" s="421"/>
      <c r="AR635" s="424">
        <f t="shared" si="241"/>
        <v>0</v>
      </c>
      <c r="AS635" s="422">
        <f t="shared" si="242"/>
        <v>0</v>
      </c>
      <c r="AT635" s="425">
        <f t="shared" si="243"/>
        <v>0</v>
      </c>
      <c r="AU635" s="423">
        <f t="shared" si="244"/>
        <v>0</v>
      </c>
      <c r="AV635" s="419"/>
      <c r="AW635" s="421"/>
      <c r="AX635" s="419"/>
      <c r="AY635" s="419"/>
      <c r="AZ635" s="421"/>
      <c r="BA635" s="421"/>
      <c r="BB635" s="419"/>
      <c r="BC635" s="419"/>
      <c r="BD635" s="421"/>
      <c r="BE635" s="421"/>
      <c r="BF635" s="419"/>
      <c r="BG635" s="419"/>
      <c r="BH635" s="421"/>
      <c r="BI635" s="421"/>
      <c r="BJ635" s="419"/>
      <c r="BK635" s="419"/>
      <c r="BL635" s="421"/>
      <c r="BM635" s="421"/>
      <c r="BN635" s="419"/>
      <c r="BO635" s="419"/>
      <c r="BP635" s="421"/>
      <c r="BQ635" s="421"/>
      <c r="BR635" s="419"/>
      <c r="BS635" s="419"/>
      <c r="BT635" s="421"/>
      <c r="BU635" s="421"/>
      <c r="BV635" s="419"/>
      <c r="BW635" s="419"/>
      <c r="BX635" s="421"/>
      <c r="BY635" s="421"/>
      <c r="BZ635" s="419"/>
      <c r="CA635" s="419"/>
      <c r="CB635" s="421"/>
      <c r="CC635" s="421"/>
      <c r="CD635" s="419"/>
      <c r="CE635" s="419"/>
      <c r="CF635" s="421"/>
      <c r="CG635" s="421"/>
      <c r="CH635" s="419"/>
      <c r="CI635" s="419"/>
      <c r="CJ635" s="421"/>
      <c r="CK635" s="421"/>
      <c r="CL635" s="419"/>
      <c r="CM635" s="421"/>
      <c r="CN635" s="424">
        <f t="shared" si="245"/>
        <v>0</v>
      </c>
      <c r="CO635" s="424">
        <f t="shared" si="246"/>
        <v>0</v>
      </c>
      <c r="CP635" s="425">
        <f t="shared" si="247"/>
        <v>0</v>
      </c>
      <c r="CQ635" s="425">
        <f t="shared" si="248"/>
        <v>0</v>
      </c>
      <c r="CR635" s="419"/>
      <c r="CS635" s="419"/>
      <c r="CT635" s="421"/>
      <c r="CU635" s="421"/>
      <c r="CV635" s="419"/>
      <c r="CW635" s="419"/>
      <c r="CX635" s="421"/>
      <c r="CY635" s="421"/>
      <c r="CZ635" s="419"/>
      <c r="DA635" s="419"/>
      <c r="DB635" s="421"/>
      <c r="DC635" s="421"/>
      <c r="DD635" s="419"/>
      <c r="DE635" s="419"/>
      <c r="DF635" s="421"/>
      <c r="DG635" s="421"/>
      <c r="DH635" s="419"/>
      <c r="DI635" s="419"/>
      <c r="DJ635" s="421"/>
      <c r="DK635" s="421"/>
      <c r="DL635" s="419"/>
      <c r="DM635" s="419"/>
      <c r="DN635" s="421"/>
      <c r="DO635" s="421"/>
      <c r="DP635" s="419"/>
      <c r="DQ635" s="419"/>
      <c r="DR635" s="421"/>
      <c r="DS635" s="421"/>
      <c r="DT635" s="419"/>
      <c r="DU635" s="419"/>
      <c r="DV635" s="421"/>
      <c r="DW635" s="421"/>
      <c r="DX635" s="419"/>
      <c r="DY635" s="419"/>
      <c r="DZ635" s="421"/>
      <c r="EA635" s="421"/>
      <c r="EB635" s="419"/>
      <c r="EC635" s="419"/>
      <c r="ED635" s="421"/>
      <c r="EE635" s="421"/>
      <c r="EF635" s="419"/>
      <c r="EG635" s="421"/>
      <c r="EH635" s="424">
        <f t="shared" si="249"/>
        <v>0</v>
      </c>
      <c r="EI635" s="424">
        <f t="shared" si="250"/>
        <v>0</v>
      </c>
      <c r="EJ635" s="422">
        <f t="shared" si="251"/>
        <v>0</v>
      </c>
      <c r="EK635" s="425">
        <f t="shared" si="252"/>
        <v>0</v>
      </c>
      <c r="EL635" s="425">
        <f t="shared" si="253"/>
        <v>0</v>
      </c>
      <c r="EM635" s="423">
        <f t="shared" si="254"/>
        <v>0</v>
      </c>
      <c r="EN635" s="424">
        <f t="shared" si="255"/>
        <v>0</v>
      </c>
      <c r="EO635" s="425">
        <f t="shared" si="256"/>
        <v>0</v>
      </c>
      <c r="EP635" s="419"/>
      <c r="EQ635" s="421"/>
      <c r="ER635" s="419"/>
      <c r="ES635" s="421"/>
      <c r="ET635" s="419"/>
      <c r="EU635" s="421"/>
      <c r="EV635" s="419"/>
      <c r="EW635" s="421"/>
      <c r="EX635" s="419"/>
      <c r="EY635" s="421"/>
      <c r="EZ635" s="419"/>
      <c r="FA635" s="421"/>
      <c r="FB635" s="419"/>
      <c r="FC635" s="421"/>
      <c r="FD635" s="419"/>
      <c r="FE635" s="421"/>
      <c r="FF635" s="419"/>
      <c r="FG635" s="421"/>
      <c r="FH635" s="419"/>
      <c r="FI635" s="421"/>
      <c r="FJ635" s="424">
        <f t="shared" si="257"/>
        <v>0</v>
      </c>
      <c r="FK635" s="425">
        <f t="shared" si="258"/>
        <v>0</v>
      </c>
      <c r="FL635" s="419"/>
      <c r="FM635" s="421"/>
      <c r="FN635" s="424">
        <f t="shared" si="259"/>
        <v>12</v>
      </c>
      <c r="FO635" s="425">
        <f t="shared" si="260"/>
        <v>9</v>
      </c>
    </row>
    <row r="636" spans="1:171" ht="12.5">
      <c r="A636" s="305" t="s">
        <v>168</v>
      </c>
      <c r="B636" s="479" t="s">
        <v>1159</v>
      </c>
      <c r="C636" s="479"/>
      <c r="D636" s="480">
        <v>238096</v>
      </c>
      <c r="E636" s="34">
        <v>15</v>
      </c>
      <c r="F636" s="419">
        <v>18</v>
      </c>
      <c r="G636" s="421">
        <v>16</v>
      </c>
      <c r="H636" s="419"/>
      <c r="I636" s="421"/>
      <c r="J636" s="419"/>
      <c r="K636" s="421"/>
      <c r="L636" s="422">
        <f t="shared" si="239"/>
        <v>0</v>
      </c>
      <c r="M636" s="423">
        <f t="shared" si="240"/>
        <v>0</v>
      </c>
      <c r="N636" s="419"/>
      <c r="O636" s="309">
        <f>0</f>
        <v>0</v>
      </c>
      <c r="P636" s="309">
        <f>0</f>
        <v>0</v>
      </c>
      <c r="Q636" s="309">
        <f>0</f>
        <v>0</v>
      </c>
      <c r="R636" s="424">
        <f t="shared" si="237"/>
        <v>0</v>
      </c>
      <c r="S636" s="421"/>
      <c r="T636" s="301">
        <f>0</f>
        <v>0</v>
      </c>
      <c r="U636" s="301">
        <f>0</f>
        <v>0</v>
      </c>
      <c r="V636" s="301">
        <f>0</f>
        <v>0</v>
      </c>
      <c r="W636" s="425">
        <f t="shared" si="238"/>
        <v>0</v>
      </c>
      <c r="X636" s="419"/>
      <c r="Y636" s="419"/>
      <c r="Z636" s="421"/>
      <c r="AA636" s="421"/>
      <c r="AB636" s="419"/>
      <c r="AC636" s="419"/>
      <c r="AD636" s="421"/>
      <c r="AE636" s="421"/>
      <c r="AF636" s="419"/>
      <c r="AG636" s="419"/>
      <c r="AH636" s="421"/>
      <c r="AI636" s="421"/>
      <c r="AJ636" s="419"/>
      <c r="AK636" s="419"/>
      <c r="AL636" s="421"/>
      <c r="AM636" s="421"/>
      <c r="AN636" s="419"/>
      <c r="AO636" s="419"/>
      <c r="AP636" s="421"/>
      <c r="AQ636" s="421"/>
      <c r="AR636" s="424">
        <f t="shared" si="241"/>
        <v>0</v>
      </c>
      <c r="AS636" s="422">
        <f t="shared" si="242"/>
        <v>0</v>
      </c>
      <c r="AT636" s="425">
        <f t="shared" si="243"/>
        <v>0</v>
      </c>
      <c r="AU636" s="423">
        <f t="shared" si="244"/>
        <v>0</v>
      </c>
      <c r="AV636" s="419"/>
      <c r="AW636" s="421"/>
      <c r="AX636" s="419"/>
      <c r="AY636" s="419"/>
      <c r="AZ636" s="421"/>
      <c r="BA636" s="421"/>
      <c r="BB636" s="419"/>
      <c r="BC636" s="419"/>
      <c r="BD636" s="421"/>
      <c r="BE636" s="421"/>
      <c r="BF636" s="419"/>
      <c r="BG636" s="419"/>
      <c r="BH636" s="421"/>
      <c r="BI636" s="421"/>
      <c r="BJ636" s="419"/>
      <c r="BK636" s="419"/>
      <c r="BL636" s="421"/>
      <c r="BM636" s="421"/>
      <c r="BN636" s="419"/>
      <c r="BO636" s="419"/>
      <c r="BP636" s="421"/>
      <c r="BQ636" s="421"/>
      <c r="BR636" s="419"/>
      <c r="BS636" s="419"/>
      <c r="BT636" s="421"/>
      <c r="BU636" s="421"/>
      <c r="BV636" s="419"/>
      <c r="BW636" s="419"/>
      <c r="BX636" s="421"/>
      <c r="BY636" s="421"/>
      <c r="BZ636" s="419"/>
      <c r="CA636" s="419"/>
      <c r="CB636" s="421"/>
      <c r="CC636" s="421"/>
      <c r="CD636" s="419"/>
      <c r="CE636" s="419"/>
      <c r="CF636" s="421"/>
      <c r="CG636" s="421"/>
      <c r="CH636" s="419"/>
      <c r="CI636" s="419"/>
      <c r="CJ636" s="421"/>
      <c r="CK636" s="421"/>
      <c r="CL636" s="419"/>
      <c r="CM636" s="421"/>
      <c r="CN636" s="424">
        <f t="shared" si="245"/>
        <v>0</v>
      </c>
      <c r="CO636" s="424">
        <f t="shared" si="246"/>
        <v>0</v>
      </c>
      <c r="CP636" s="425">
        <f t="shared" si="247"/>
        <v>0</v>
      </c>
      <c r="CQ636" s="425">
        <f t="shared" si="248"/>
        <v>0</v>
      </c>
      <c r="CR636" s="419"/>
      <c r="CS636" s="419"/>
      <c r="CT636" s="421"/>
      <c r="CU636" s="421"/>
      <c r="CV636" s="419"/>
      <c r="CW636" s="419"/>
      <c r="CX636" s="421"/>
      <c r="CY636" s="421"/>
      <c r="CZ636" s="419"/>
      <c r="DA636" s="419"/>
      <c r="DB636" s="421"/>
      <c r="DC636" s="421"/>
      <c r="DD636" s="419"/>
      <c r="DE636" s="419"/>
      <c r="DF636" s="421"/>
      <c r="DG636" s="421"/>
      <c r="DH636" s="419"/>
      <c r="DI636" s="419"/>
      <c r="DJ636" s="421"/>
      <c r="DK636" s="421"/>
      <c r="DL636" s="419"/>
      <c r="DM636" s="419"/>
      <c r="DN636" s="421"/>
      <c r="DO636" s="421"/>
      <c r="DP636" s="419"/>
      <c r="DQ636" s="419"/>
      <c r="DR636" s="421"/>
      <c r="DS636" s="421"/>
      <c r="DT636" s="419"/>
      <c r="DU636" s="419"/>
      <c r="DV636" s="421"/>
      <c r="DW636" s="421"/>
      <c r="DX636" s="419"/>
      <c r="DY636" s="419"/>
      <c r="DZ636" s="421"/>
      <c r="EA636" s="421"/>
      <c r="EB636" s="419"/>
      <c r="EC636" s="419"/>
      <c r="ED636" s="421"/>
      <c r="EE636" s="421"/>
      <c r="EF636" s="419"/>
      <c r="EG636" s="421"/>
      <c r="EH636" s="424">
        <f t="shared" si="249"/>
        <v>0</v>
      </c>
      <c r="EI636" s="424">
        <f t="shared" si="250"/>
        <v>0</v>
      </c>
      <c r="EJ636" s="422">
        <f t="shared" si="251"/>
        <v>0</v>
      </c>
      <c r="EK636" s="425">
        <f t="shared" si="252"/>
        <v>0</v>
      </c>
      <c r="EL636" s="425">
        <f t="shared" si="253"/>
        <v>0</v>
      </c>
      <c r="EM636" s="423">
        <f t="shared" si="254"/>
        <v>0</v>
      </c>
      <c r="EN636" s="424">
        <f t="shared" si="255"/>
        <v>0</v>
      </c>
      <c r="EO636" s="425">
        <f t="shared" si="256"/>
        <v>0</v>
      </c>
      <c r="EP636" s="419"/>
      <c r="EQ636" s="421"/>
      <c r="ER636" s="419"/>
      <c r="ES636" s="421"/>
      <c r="ET636" s="419"/>
      <c r="EU636" s="421"/>
      <c r="EV636" s="419"/>
      <c r="EW636" s="421"/>
      <c r="EX636" s="419"/>
      <c r="EY636" s="421"/>
      <c r="EZ636" s="419"/>
      <c r="FA636" s="421"/>
      <c r="FB636" s="419"/>
      <c r="FC636" s="421"/>
      <c r="FD636" s="419"/>
      <c r="FE636" s="421"/>
      <c r="FF636" s="419"/>
      <c r="FG636" s="421"/>
      <c r="FH636" s="419"/>
      <c r="FI636" s="421"/>
      <c r="FJ636" s="424">
        <f t="shared" si="257"/>
        <v>0</v>
      </c>
      <c r="FK636" s="425">
        <f t="shared" si="258"/>
        <v>0</v>
      </c>
      <c r="FL636" s="419"/>
      <c r="FM636" s="421"/>
      <c r="FN636" s="424">
        <f t="shared" si="259"/>
        <v>18</v>
      </c>
      <c r="FO636" s="425">
        <f t="shared" si="260"/>
        <v>16</v>
      </c>
    </row>
  </sheetData>
  <sheetProtection insertRows="0" deleteRows="0"/>
  <mergeCells count="48">
    <mergeCell ref="FL6:FM7"/>
    <mergeCell ref="FB7:FC7"/>
    <mergeCell ref="FD7:FE7"/>
    <mergeCell ref="FF7:FG7"/>
    <mergeCell ref="EP7:EQ7"/>
    <mergeCell ref="ER7:ES7"/>
    <mergeCell ref="ET7:EU7"/>
    <mergeCell ref="EV7:EW7"/>
    <mergeCell ref="EX7:EY7"/>
    <mergeCell ref="EZ7:FA7"/>
    <mergeCell ref="EF7:EG7"/>
    <mergeCell ref="FB6:FC6"/>
    <mergeCell ref="FD6:FE6"/>
    <mergeCell ref="FF6:FG6"/>
    <mergeCell ref="FH6:FI7"/>
    <mergeCell ref="EP6:EQ6"/>
    <mergeCell ref="ER6:ES6"/>
    <mergeCell ref="ET6:EU6"/>
    <mergeCell ref="EV6:EW6"/>
    <mergeCell ref="EX6:EY6"/>
    <mergeCell ref="EZ6:FA6"/>
    <mergeCell ref="EF2:EG6"/>
    <mergeCell ref="EP2:FG2"/>
    <mergeCell ref="FL2:FM5"/>
    <mergeCell ref="A4:E4"/>
    <mergeCell ref="A5:E5"/>
    <mergeCell ref="X5:AQ5"/>
    <mergeCell ref="EX5:EY5"/>
    <mergeCell ref="FB5:FC5"/>
    <mergeCell ref="FD5:FE5"/>
    <mergeCell ref="FF5:FG5"/>
    <mergeCell ref="S2:W2"/>
    <mergeCell ref="X2:AQ2"/>
    <mergeCell ref="AV2:AW6"/>
    <mergeCell ref="AX2:CK2"/>
    <mergeCell ref="CL2:CM5"/>
    <mergeCell ref="CR2:EE2"/>
    <mergeCell ref="CL6:CM7"/>
    <mergeCell ref="A2:E2"/>
    <mergeCell ref="AV7:AW7"/>
    <mergeCell ref="F2:G6"/>
    <mergeCell ref="H2:I6"/>
    <mergeCell ref="J2:K6"/>
    <mergeCell ref="L2:M7"/>
    <mergeCell ref="N2:R2"/>
    <mergeCell ref="F7:G7"/>
    <mergeCell ref="H7:I7"/>
    <mergeCell ref="J7:K7"/>
  </mergeCells>
  <phoneticPr fontId="49" type="noConversion"/>
  <pageMargins left="0.25" right="0.25" top="0.25" bottom="0.25" header="0.5" footer="0.5"/>
  <pageSetup paperSize="5" scale="10" fitToWidth="0" orientation="landscape" r:id="rId1"/>
  <headerFooter alignWithMargins="0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5B3994-00A8-4D73-8020-D35CC74AA4E2}">
  <dimension ref="A1:E627"/>
  <sheetViews>
    <sheetView topLeftCell="A611" workbookViewId="0">
      <selection sqref="A1:E627"/>
    </sheetView>
  </sheetViews>
  <sheetFormatPr defaultRowHeight="15.5"/>
  <sheetData>
    <row r="1" spans="1:5">
      <c r="A1" s="98" t="s">
        <v>100</v>
      </c>
      <c r="B1" s="99" t="s">
        <v>501</v>
      </c>
      <c r="C1" s="100"/>
      <c r="D1" s="101">
        <v>100858</v>
      </c>
      <c r="E1" s="101">
        <v>1</v>
      </c>
    </row>
    <row r="2" spans="1:5">
      <c r="A2" s="98" t="s">
        <v>100</v>
      </c>
      <c r="B2" s="99" t="s">
        <v>502</v>
      </c>
      <c r="C2" s="100"/>
      <c r="D2" s="101">
        <v>100751</v>
      </c>
      <c r="E2" s="101">
        <v>1</v>
      </c>
    </row>
    <row r="3" spans="1:5">
      <c r="A3" s="98" t="s">
        <v>100</v>
      </c>
      <c r="B3" s="99" t="s">
        <v>503</v>
      </c>
      <c r="C3" s="103"/>
      <c r="D3" s="101">
        <v>100663</v>
      </c>
      <c r="E3" s="101">
        <v>1</v>
      </c>
    </row>
    <row r="4" spans="1:5">
      <c r="A4" s="98" t="s">
        <v>100</v>
      </c>
      <c r="B4" s="99" t="s">
        <v>504</v>
      </c>
      <c r="C4" s="102" t="s">
        <v>505</v>
      </c>
      <c r="D4" s="101">
        <v>100706</v>
      </c>
      <c r="E4" s="101">
        <v>2</v>
      </c>
    </row>
    <row r="5" spans="1:5">
      <c r="A5" s="98" t="s">
        <v>100</v>
      </c>
      <c r="B5" s="99" t="s">
        <v>506</v>
      </c>
      <c r="C5" s="10"/>
      <c r="D5" s="101">
        <v>102094</v>
      </c>
      <c r="E5" s="101">
        <v>2</v>
      </c>
    </row>
    <row r="6" spans="1:5">
      <c r="A6" s="98" t="s">
        <v>100</v>
      </c>
      <c r="B6" s="99" t="s">
        <v>507</v>
      </c>
      <c r="C6" s="100"/>
      <c r="D6" s="101">
        <v>100654</v>
      </c>
      <c r="E6" s="101">
        <v>3</v>
      </c>
    </row>
    <row r="7" spans="1:5">
      <c r="A7" s="98" t="s">
        <v>100</v>
      </c>
      <c r="B7" s="99" t="s">
        <v>508</v>
      </c>
      <c r="C7" s="100"/>
      <c r="D7" s="101">
        <v>101480</v>
      </c>
      <c r="E7" s="101">
        <v>3</v>
      </c>
    </row>
    <row r="8" spans="1:5">
      <c r="A8" s="98" t="s">
        <v>100</v>
      </c>
      <c r="B8" s="99" t="s">
        <v>509</v>
      </c>
      <c r="C8" s="100"/>
      <c r="D8" s="101">
        <v>102368</v>
      </c>
      <c r="E8" s="101">
        <v>3</v>
      </c>
    </row>
    <row r="9" spans="1:5">
      <c r="A9" s="98" t="s">
        <v>100</v>
      </c>
      <c r="B9" s="99" t="s">
        <v>510</v>
      </c>
      <c r="C9" s="103"/>
      <c r="D9" s="101">
        <v>101879</v>
      </c>
      <c r="E9" s="101">
        <v>3</v>
      </c>
    </row>
    <row r="10" spans="1:5">
      <c r="A10" s="98" t="s">
        <v>100</v>
      </c>
      <c r="B10" s="99" t="s">
        <v>511</v>
      </c>
      <c r="C10" s="100"/>
      <c r="D10" s="101">
        <v>100724</v>
      </c>
      <c r="E10" s="101">
        <v>4</v>
      </c>
    </row>
    <row r="11" spans="1:5">
      <c r="A11" s="98" t="s">
        <v>100</v>
      </c>
      <c r="B11" s="99" t="s">
        <v>512</v>
      </c>
      <c r="C11" s="482" t="s">
        <v>1193</v>
      </c>
      <c r="D11" s="101">
        <v>100830</v>
      </c>
      <c r="E11" s="483">
        <v>3</v>
      </c>
    </row>
    <row r="12" spans="1:5">
      <c r="A12" s="98" t="s">
        <v>100</v>
      </c>
      <c r="B12" s="99" t="s">
        <v>513</v>
      </c>
      <c r="C12" s="100"/>
      <c r="D12" s="101">
        <v>101709</v>
      </c>
      <c r="E12" s="101">
        <v>5</v>
      </c>
    </row>
    <row r="13" spans="1:5">
      <c r="A13" s="98" t="s">
        <v>100</v>
      </c>
      <c r="B13" s="99" t="s">
        <v>514</v>
      </c>
      <c r="C13" s="482" t="s">
        <v>1194</v>
      </c>
      <c r="D13" s="101">
        <v>101587</v>
      </c>
      <c r="E13" s="483">
        <v>4</v>
      </c>
    </row>
    <row r="14" spans="1:5">
      <c r="A14" s="98" t="s">
        <v>100</v>
      </c>
      <c r="B14" s="99" t="s">
        <v>515</v>
      </c>
      <c r="C14" s="102" t="s">
        <v>1204</v>
      </c>
      <c r="D14" s="426">
        <v>100812</v>
      </c>
      <c r="E14" s="101">
        <v>6</v>
      </c>
    </row>
    <row r="15" spans="1:5">
      <c r="A15" s="98" t="s">
        <v>100</v>
      </c>
      <c r="B15" s="30" t="s">
        <v>517</v>
      </c>
      <c r="C15" s="100"/>
      <c r="D15" s="101">
        <v>101505</v>
      </c>
      <c r="E15" s="101">
        <v>8</v>
      </c>
    </row>
    <row r="16" spans="1:5">
      <c r="A16" s="98" t="s">
        <v>100</v>
      </c>
      <c r="B16" s="30" t="s">
        <v>518</v>
      </c>
      <c r="C16" s="100"/>
      <c r="D16" s="101">
        <v>101514</v>
      </c>
      <c r="E16" s="101">
        <v>8</v>
      </c>
    </row>
    <row r="17" spans="1:5">
      <c r="A17" s="98" t="s">
        <v>100</v>
      </c>
      <c r="B17" s="99" t="s">
        <v>519</v>
      </c>
      <c r="C17" s="102" t="s">
        <v>1205</v>
      </c>
      <c r="D17" s="101">
        <v>102429</v>
      </c>
      <c r="E17" s="101">
        <v>9</v>
      </c>
    </row>
    <row r="18" spans="1:5">
      <c r="A18" s="98" t="s">
        <v>100</v>
      </c>
      <c r="B18" s="104" t="s">
        <v>520</v>
      </c>
      <c r="C18" s="105"/>
      <c r="D18" s="101">
        <v>102030</v>
      </c>
      <c r="E18" s="101">
        <v>9</v>
      </c>
    </row>
    <row r="19" spans="1:5">
      <c r="A19" s="98" t="s">
        <v>100</v>
      </c>
      <c r="B19" s="104" t="s">
        <v>521</v>
      </c>
      <c r="C19" s="482" t="s">
        <v>1207</v>
      </c>
      <c r="D19" s="101">
        <v>101161</v>
      </c>
      <c r="E19" s="499">
        <v>8</v>
      </c>
    </row>
    <row r="20" spans="1:5">
      <c r="A20" s="98" t="s">
        <v>100</v>
      </c>
      <c r="B20" s="99" t="s">
        <v>522</v>
      </c>
      <c r="C20" s="105"/>
      <c r="D20" s="101">
        <v>101240</v>
      </c>
      <c r="E20" s="101">
        <v>9</v>
      </c>
    </row>
    <row r="21" spans="1:5">
      <c r="A21" s="98" t="s">
        <v>100</v>
      </c>
      <c r="B21" s="30" t="s">
        <v>523</v>
      </c>
      <c r="C21" s="100"/>
      <c r="D21" s="101">
        <v>101286</v>
      </c>
      <c r="E21" s="101">
        <v>9</v>
      </c>
    </row>
    <row r="22" spans="1:5">
      <c r="A22" s="98" t="s">
        <v>100</v>
      </c>
      <c r="B22" s="30" t="s">
        <v>524</v>
      </c>
      <c r="C22" s="103"/>
      <c r="D22" s="101">
        <v>101295</v>
      </c>
      <c r="E22" s="101">
        <v>9</v>
      </c>
    </row>
    <row r="23" spans="1:5">
      <c r="A23" s="98" t="s">
        <v>100</v>
      </c>
      <c r="B23" s="99" t="s">
        <v>525</v>
      </c>
      <c r="C23" s="100"/>
      <c r="D23" s="101">
        <v>101569</v>
      </c>
      <c r="E23" s="101">
        <v>9</v>
      </c>
    </row>
    <row r="24" spans="1:5">
      <c r="A24" s="98" t="s">
        <v>100</v>
      </c>
      <c r="B24" s="99" t="s">
        <v>526</v>
      </c>
      <c r="C24" s="100"/>
      <c r="D24" s="101">
        <v>101736</v>
      </c>
      <c r="E24" s="101">
        <v>9</v>
      </c>
    </row>
    <row r="25" spans="1:5">
      <c r="A25" s="98" t="s">
        <v>100</v>
      </c>
      <c r="B25" s="99" t="s">
        <v>527</v>
      </c>
      <c r="C25" s="100"/>
      <c r="D25" s="101">
        <v>102067</v>
      </c>
      <c r="E25" s="101">
        <v>9</v>
      </c>
    </row>
    <row r="26" spans="1:5">
      <c r="A26" s="98" t="s">
        <v>100</v>
      </c>
      <c r="B26" s="99" t="s">
        <v>528</v>
      </c>
      <c r="C26" s="100"/>
      <c r="D26" s="101">
        <v>251260</v>
      </c>
      <c r="E26" s="101">
        <v>9</v>
      </c>
    </row>
    <row r="27" spans="1:5">
      <c r="A27" s="98" t="s">
        <v>100</v>
      </c>
      <c r="B27" s="99" t="s">
        <v>529</v>
      </c>
      <c r="C27" s="105"/>
      <c r="D27" s="101">
        <v>100760</v>
      </c>
      <c r="E27" s="101">
        <v>10</v>
      </c>
    </row>
    <row r="28" spans="1:5">
      <c r="A28" s="98" t="s">
        <v>100</v>
      </c>
      <c r="B28" s="30" t="s">
        <v>530</v>
      </c>
      <c r="C28" s="100"/>
      <c r="D28" s="101">
        <v>101028</v>
      </c>
      <c r="E28" s="101">
        <v>10</v>
      </c>
    </row>
    <row r="29" spans="1:5">
      <c r="A29" s="98" t="s">
        <v>100</v>
      </c>
      <c r="B29" s="257" t="s">
        <v>531</v>
      </c>
      <c r="C29" s="103"/>
      <c r="D29" s="101">
        <v>101143</v>
      </c>
      <c r="E29" s="101">
        <v>10</v>
      </c>
    </row>
    <row r="30" spans="1:5">
      <c r="A30" s="98" t="s">
        <v>100</v>
      </c>
      <c r="B30" s="99" t="s">
        <v>532</v>
      </c>
      <c r="C30" s="100"/>
      <c r="D30" s="101">
        <v>101301</v>
      </c>
      <c r="E30" s="101">
        <v>10</v>
      </c>
    </row>
    <row r="31" spans="1:5">
      <c r="A31" s="98" t="s">
        <v>100</v>
      </c>
      <c r="B31" s="99" t="s">
        <v>533</v>
      </c>
      <c r="C31" s="100"/>
      <c r="D31" s="101">
        <v>101602</v>
      </c>
      <c r="E31" s="101">
        <v>10</v>
      </c>
    </row>
    <row r="32" spans="1:5">
      <c r="A32" s="98" t="s">
        <v>100</v>
      </c>
      <c r="B32" s="258" t="s">
        <v>534</v>
      </c>
      <c r="C32" s="303" t="s">
        <v>535</v>
      </c>
      <c r="D32" s="101">
        <v>101897</v>
      </c>
      <c r="E32" s="101">
        <v>10</v>
      </c>
    </row>
    <row r="33" spans="1:5">
      <c r="A33" s="98" t="s">
        <v>100</v>
      </c>
      <c r="B33" s="99" t="s">
        <v>536</v>
      </c>
      <c r="C33" s="303" t="s">
        <v>535</v>
      </c>
      <c r="D33" s="101">
        <v>102076</v>
      </c>
      <c r="E33" s="101">
        <v>10</v>
      </c>
    </row>
    <row r="34" spans="1:5">
      <c r="A34" s="98" t="s">
        <v>100</v>
      </c>
      <c r="B34" s="30" t="s">
        <v>537</v>
      </c>
      <c r="C34" s="105"/>
      <c r="D34" s="101">
        <v>102313</v>
      </c>
      <c r="E34" s="101">
        <v>12</v>
      </c>
    </row>
    <row r="35" spans="1:5">
      <c r="A35" s="98" t="s">
        <v>100</v>
      </c>
      <c r="B35" s="30" t="s">
        <v>538</v>
      </c>
      <c r="C35" s="100"/>
      <c r="D35" s="101">
        <v>101462</v>
      </c>
      <c r="E35" s="101">
        <v>13</v>
      </c>
    </row>
    <row r="36" spans="1:5">
      <c r="A36" s="98" t="s">
        <v>100</v>
      </c>
      <c r="B36" s="99" t="s">
        <v>539</v>
      </c>
      <c r="C36" s="100"/>
      <c r="D36" s="101">
        <v>101471</v>
      </c>
      <c r="E36" s="101">
        <v>13</v>
      </c>
    </row>
    <row r="37" spans="1:5">
      <c r="A37" s="98" t="s">
        <v>100</v>
      </c>
      <c r="B37" s="99" t="s">
        <v>540</v>
      </c>
      <c r="C37" s="100"/>
      <c r="D37" s="101">
        <v>101994</v>
      </c>
      <c r="E37" s="101">
        <v>13</v>
      </c>
    </row>
    <row r="38" spans="1:5">
      <c r="A38" s="98" t="s">
        <v>100</v>
      </c>
      <c r="B38" s="99" t="s">
        <v>541</v>
      </c>
      <c r="C38" s="100"/>
      <c r="D38" s="101">
        <v>101648</v>
      </c>
      <c r="E38" s="101">
        <v>15</v>
      </c>
    </row>
    <row r="39" spans="1:5">
      <c r="A39" s="427" t="s">
        <v>154</v>
      </c>
      <c r="B39" s="57" t="s">
        <v>544</v>
      </c>
      <c r="C39" s="56"/>
      <c r="D39" s="55">
        <v>106458</v>
      </c>
      <c r="E39" s="55">
        <v>3</v>
      </c>
    </row>
    <row r="40" spans="1:5">
      <c r="A40" s="427" t="s">
        <v>154</v>
      </c>
      <c r="B40" s="57" t="s">
        <v>545</v>
      </c>
      <c r="C40" s="54"/>
      <c r="D40" s="55">
        <v>106467</v>
      </c>
      <c r="E40" s="55">
        <v>3</v>
      </c>
    </row>
    <row r="41" spans="1:5">
      <c r="A41" s="427" t="s">
        <v>154</v>
      </c>
      <c r="B41" s="57" t="s">
        <v>547</v>
      </c>
      <c r="C41" s="56"/>
      <c r="D41" s="55">
        <v>107071</v>
      </c>
      <c r="E41" s="55">
        <v>4</v>
      </c>
    </row>
    <row r="42" spans="1:5">
      <c r="A42" s="427" t="s">
        <v>154</v>
      </c>
      <c r="B42" s="57" t="s">
        <v>548</v>
      </c>
      <c r="C42" s="54"/>
      <c r="D42" s="55">
        <v>107983</v>
      </c>
      <c r="E42" s="55">
        <v>4</v>
      </c>
    </row>
    <row r="43" spans="1:5">
      <c r="A43" s="427" t="s">
        <v>154</v>
      </c>
      <c r="B43" s="57" t="s">
        <v>542</v>
      </c>
      <c r="C43" s="56"/>
      <c r="D43" s="55">
        <v>106397</v>
      </c>
      <c r="E43" s="55">
        <v>1</v>
      </c>
    </row>
    <row r="44" spans="1:5">
      <c r="A44" s="427" t="s">
        <v>154</v>
      </c>
      <c r="B44" s="57" t="s">
        <v>550</v>
      </c>
      <c r="C44" s="56"/>
      <c r="D44" s="55">
        <v>108092</v>
      </c>
      <c r="E44" s="55">
        <v>6</v>
      </c>
    </row>
    <row r="45" spans="1:5">
      <c r="A45" s="427" t="s">
        <v>154</v>
      </c>
      <c r="B45" s="57" t="s">
        <v>543</v>
      </c>
      <c r="C45" s="56"/>
      <c r="D45" s="55">
        <v>106245</v>
      </c>
      <c r="E45" s="55">
        <v>2</v>
      </c>
    </row>
    <row r="46" spans="1:5">
      <c r="A46" s="427" t="s">
        <v>154</v>
      </c>
      <c r="B46" s="57" t="s">
        <v>549</v>
      </c>
      <c r="C46" s="56"/>
      <c r="D46" s="55">
        <v>106485</v>
      </c>
      <c r="E46" s="55">
        <v>4</v>
      </c>
    </row>
    <row r="47" spans="1:5">
      <c r="A47" s="427" t="s">
        <v>154</v>
      </c>
      <c r="B47" s="57" t="s">
        <v>575</v>
      </c>
      <c r="C47" s="56"/>
      <c r="D47" s="55">
        <v>106263</v>
      </c>
      <c r="E47" s="55">
        <v>15</v>
      </c>
    </row>
    <row r="48" spans="1:5">
      <c r="A48" s="427" t="s">
        <v>154</v>
      </c>
      <c r="B48" s="57" t="s">
        <v>551</v>
      </c>
      <c r="C48" s="56" t="s">
        <v>1206</v>
      </c>
      <c r="D48" s="55">
        <v>106412</v>
      </c>
      <c r="E48" s="55">
        <v>6</v>
      </c>
    </row>
    <row r="49" spans="1:5">
      <c r="A49" s="427" t="s">
        <v>154</v>
      </c>
      <c r="B49" s="57" t="s">
        <v>546</v>
      </c>
      <c r="C49" s="56"/>
      <c r="D49" s="55">
        <v>106704</v>
      </c>
      <c r="E49" s="55">
        <v>3</v>
      </c>
    </row>
    <row r="50" spans="1:5">
      <c r="A50" s="427" t="s">
        <v>154</v>
      </c>
      <c r="B50" s="57" t="s">
        <v>555</v>
      </c>
      <c r="C50" s="56"/>
      <c r="D50" s="55">
        <v>107327</v>
      </c>
      <c r="E50" s="116">
        <v>10</v>
      </c>
    </row>
    <row r="51" spans="1:5">
      <c r="A51" s="427" t="s">
        <v>154</v>
      </c>
      <c r="B51" s="57" t="s">
        <v>553</v>
      </c>
      <c r="C51" s="56"/>
      <c r="D51" s="55">
        <v>106449</v>
      </c>
      <c r="E51" s="116">
        <v>9</v>
      </c>
    </row>
    <row r="52" spans="1:5">
      <c r="A52" s="427" t="s">
        <v>154</v>
      </c>
      <c r="B52" s="57" t="s">
        <v>557</v>
      </c>
      <c r="C52" s="56"/>
      <c r="D52" s="55">
        <v>420538</v>
      </c>
      <c r="E52" s="116">
        <v>10</v>
      </c>
    </row>
    <row r="53" spans="1:5">
      <c r="A53" s="427" t="s">
        <v>154</v>
      </c>
      <c r="B53" s="52" t="s">
        <v>556</v>
      </c>
      <c r="C53" s="56"/>
      <c r="D53" s="55">
        <v>107318</v>
      </c>
      <c r="E53" s="116">
        <v>10</v>
      </c>
    </row>
    <row r="54" spans="1:5">
      <c r="A54" s="427" t="s">
        <v>154</v>
      </c>
      <c r="B54" s="57" t="s">
        <v>560</v>
      </c>
      <c r="C54" s="56"/>
      <c r="D54" s="55">
        <v>440402</v>
      </c>
      <c r="E54" s="116">
        <v>10</v>
      </c>
    </row>
    <row r="55" spans="1:5">
      <c r="A55" s="427" t="s">
        <v>154</v>
      </c>
      <c r="B55" s="57" t="s">
        <v>558</v>
      </c>
      <c r="C55" s="56" t="s">
        <v>559</v>
      </c>
      <c r="D55" s="55">
        <v>107521</v>
      </c>
      <c r="E55" s="55">
        <v>10</v>
      </c>
    </row>
    <row r="56" spans="1:5">
      <c r="A56" s="427" t="s">
        <v>154</v>
      </c>
      <c r="B56" s="57" t="s">
        <v>561</v>
      </c>
      <c r="C56" s="56"/>
      <c r="D56" s="55">
        <v>106625</v>
      </c>
      <c r="E56" s="116">
        <v>10</v>
      </c>
    </row>
    <row r="57" spans="1:5">
      <c r="A57" s="427" t="s">
        <v>154</v>
      </c>
      <c r="B57" s="57" t="s">
        <v>562</v>
      </c>
      <c r="C57" s="56"/>
      <c r="D57" s="55">
        <v>106795</v>
      </c>
      <c r="E57" s="116">
        <v>10</v>
      </c>
    </row>
    <row r="58" spans="1:5">
      <c r="A58" s="427" t="s">
        <v>154</v>
      </c>
      <c r="B58" s="57" t="s">
        <v>563</v>
      </c>
      <c r="C58" s="56"/>
      <c r="D58" s="55">
        <v>106883</v>
      </c>
      <c r="E58" s="116">
        <v>10</v>
      </c>
    </row>
    <row r="59" spans="1:5">
      <c r="A59" s="427" t="s">
        <v>154</v>
      </c>
      <c r="B59" s="57" t="s">
        <v>565</v>
      </c>
      <c r="C59" s="56"/>
      <c r="D59" s="55">
        <v>107460</v>
      </c>
      <c r="E59" s="116">
        <v>10</v>
      </c>
    </row>
    <row r="60" spans="1:5">
      <c r="A60" s="51" t="s">
        <v>154</v>
      </c>
      <c r="B60" s="53" t="s">
        <v>564</v>
      </c>
      <c r="C60" s="115"/>
      <c r="D60" s="55">
        <v>106980</v>
      </c>
      <c r="E60" s="116">
        <v>10</v>
      </c>
    </row>
    <row r="61" spans="1:5">
      <c r="A61" s="427" t="s">
        <v>154</v>
      </c>
      <c r="B61" s="57" t="s">
        <v>552</v>
      </c>
      <c r="C61" s="56" t="s">
        <v>1208</v>
      </c>
      <c r="D61" s="55">
        <v>367459</v>
      </c>
      <c r="E61" s="116">
        <v>8</v>
      </c>
    </row>
    <row r="62" spans="1:5">
      <c r="A62" s="427" t="s">
        <v>154</v>
      </c>
      <c r="B62" s="57" t="s">
        <v>566</v>
      </c>
      <c r="C62" s="56"/>
      <c r="D62" s="55">
        <v>107549</v>
      </c>
      <c r="E62" s="116">
        <v>10</v>
      </c>
    </row>
    <row r="63" spans="1:5">
      <c r="A63" s="427" t="s">
        <v>154</v>
      </c>
      <c r="B63" s="57" t="s">
        <v>567</v>
      </c>
      <c r="C63" s="56"/>
      <c r="D63" s="55">
        <v>107619</v>
      </c>
      <c r="E63" s="116">
        <v>10</v>
      </c>
    </row>
    <row r="64" spans="1:5">
      <c r="A64" s="427" t="s">
        <v>154</v>
      </c>
      <c r="B64" s="57" t="s">
        <v>568</v>
      </c>
      <c r="C64" s="56"/>
      <c r="D64" s="55">
        <v>107974</v>
      </c>
      <c r="E64" s="116">
        <v>10</v>
      </c>
    </row>
    <row r="65" spans="1:5">
      <c r="A65" s="51" t="s">
        <v>154</v>
      </c>
      <c r="B65" s="57" t="s">
        <v>570</v>
      </c>
      <c r="C65" s="56"/>
      <c r="D65" s="55">
        <v>107992</v>
      </c>
      <c r="E65" s="116">
        <v>10</v>
      </c>
    </row>
    <row r="66" spans="1:5">
      <c r="A66" s="427" t="s">
        <v>154</v>
      </c>
      <c r="B66" s="57" t="s">
        <v>569</v>
      </c>
      <c r="C66" s="56"/>
      <c r="D66" s="55">
        <v>107637</v>
      </c>
      <c r="E66" s="116">
        <v>10</v>
      </c>
    </row>
    <row r="67" spans="1:5">
      <c r="A67" s="51" t="s">
        <v>154</v>
      </c>
      <c r="B67" s="57" t="s">
        <v>571</v>
      </c>
      <c r="C67" s="56"/>
      <c r="D67" s="55">
        <v>106999</v>
      </c>
      <c r="E67" s="116">
        <v>10</v>
      </c>
    </row>
    <row r="68" spans="1:5">
      <c r="A68" s="427" t="s">
        <v>154</v>
      </c>
      <c r="B68" s="57" t="s">
        <v>572</v>
      </c>
      <c r="C68" s="56"/>
      <c r="D68" s="55">
        <v>107725</v>
      </c>
      <c r="E68" s="55">
        <v>10</v>
      </c>
    </row>
    <row r="69" spans="1:5">
      <c r="A69" s="51" t="s">
        <v>154</v>
      </c>
      <c r="B69" s="57" t="s">
        <v>573</v>
      </c>
      <c r="C69" s="56"/>
      <c r="D69" s="55">
        <v>107585</v>
      </c>
      <c r="E69" s="116">
        <v>10</v>
      </c>
    </row>
    <row r="70" spans="1:5">
      <c r="A70" s="427" t="s">
        <v>154</v>
      </c>
      <c r="B70" s="57" t="s">
        <v>574</v>
      </c>
      <c r="C70" s="56"/>
      <c r="D70" s="55">
        <v>107743</v>
      </c>
      <c r="E70" s="116">
        <v>10</v>
      </c>
    </row>
    <row r="71" spans="1:5">
      <c r="A71" s="51" t="s">
        <v>154</v>
      </c>
      <c r="B71" s="57" t="s">
        <v>554</v>
      </c>
      <c r="C71" s="54"/>
      <c r="D71" s="55">
        <v>107664</v>
      </c>
      <c r="E71" s="116">
        <v>9</v>
      </c>
    </row>
    <row r="72" spans="1:5">
      <c r="A72" s="428" t="s">
        <v>155</v>
      </c>
      <c r="B72" s="50" t="s">
        <v>576</v>
      </c>
      <c r="C72" s="49"/>
      <c r="D72" s="48">
        <v>130943</v>
      </c>
      <c r="E72" s="48">
        <v>1</v>
      </c>
    </row>
    <row r="73" spans="1:5">
      <c r="A73" s="428" t="s">
        <v>155</v>
      </c>
      <c r="B73" s="50" t="s">
        <v>577</v>
      </c>
      <c r="C73" s="47"/>
      <c r="D73" s="48">
        <v>130934</v>
      </c>
      <c r="E73" s="48">
        <v>3</v>
      </c>
    </row>
    <row r="74" spans="1:5">
      <c r="A74" s="428" t="s">
        <v>155</v>
      </c>
      <c r="B74" s="429" t="s">
        <v>578</v>
      </c>
      <c r="C74" s="430" t="s">
        <v>1209</v>
      </c>
      <c r="D74" s="48">
        <v>130907</v>
      </c>
      <c r="E74" s="48">
        <v>9</v>
      </c>
    </row>
    <row r="75" spans="1:5">
      <c r="A75" s="457" t="s">
        <v>156</v>
      </c>
      <c r="B75" s="46"/>
      <c r="C75" s="45"/>
      <c r="D75" s="44"/>
      <c r="E75" s="44"/>
    </row>
    <row r="76" spans="1:5">
      <c r="A76" s="43" t="s">
        <v>156</v>
      </c>
      <c r="B76" s="42" t="s">
        <v>584</v>
      </c>
      <c r="C76" s="38"/>
      <c r="D76" s="40">
        <v>132693</v>
      </c>
      <c r="E76" s="118">
        <v>7</v>
      </c>
    </row>
    <row r="77" spans="1:5">
      <c r="A77" s="43" t="s">
        <v>156</v>
      </c>
      <c r="B77" s="42" t="s">
        <v>580</v>
      </c>
      <c r="C77" s="39"/>
      <c r="D77" s="40">
        <v>132709</v>
      </c>
      <c r="E77" s="118">
        <v>7</v>
      </c>
    </row>
    <row r="78" spans="1:5">
      <c r="A78" s="43" t="s">
        <v>156</v>
      </c>
      <c r="B78" s="42" t="s">
        <v>582</v>
      </c>
      <c r="C78" s="38"/>
      <c r="D78" s="40">
        <v>132851</v>
      </c>
      <c r="E78" s="118">
        <v>7</v>
      </c>
    </row>
    <row r="79" spans="1:5">
      <c r="A79" s="43" t="s">
        <v>156</v>
      </c>
      <c r="B79" s="42" t="s">
        <v>581</v>
      </c>
      <c r="C79" s="41"/>
      <c r="D79" s="40">
        <v>133021</v>
      </c>
      <c r="E79" s="118">
        <v>7</v>
      </c>
    </row>
    <row r="80" spans="1:5">
      <c r="A80" s="43" t="s">
        <v>156</v>
      </c>
      <c r="B80" s="42" t="s">
        <v>583</v>
      </c>
      <c r="C80" s="41"/>
      <c r="D80" s="40">
        <v>133386</v>
      </c>
      <c r="E80" s="118">
        <v>7</v>
      </c>
    </row>
    <row r="81" spans="1:5">
      <c r="A81" s="43" t="s">
        <v>156</v>
      </c>
      <c r="B81" s="42" t="s">
        <v>586</v>
      </c>
      <c r="C81" s="41"/>
      <c r="D81" s="40">
        <v>133508</v>
      </c>
      <c r="E81" s="118">
        <v>7</v>
      </c>
    </row>
    <row r="82" spans="1:5">
      <c r="A82" s="43" t="s">
        <v>156</v>
      </c>
      <c r="B82" s="42" t="s">
        <v>587</v>
      </c>
      <c r="C82" s="37"/>
      <c r="D82" s="40">
        <v>133702</v>
      </c>
      <c r="E82" s="118">
        <v>7</v>
      </c>
    </row>
    <row r="83" spans="1:5">
      <c r="A83" s="43" t="s">
        <v>156</v>
      </c>
      <c r="B83" s="42" t="s">
        <v>607</v>
      </c>
      <c r="C83" s="41" t="s">
        <v>608</v>
      </c>
      <c r="D83" s="40">
        <v>133960</v>
      </c>
      <c r="E83" s="118">
        <v>10</v>
      </c>
    </row>
    <row r="84" spans="1:5">
      <c r="A84" s="43" t="s">
        <v>156</v>
      </c>
      <c r="B84" s="42" t="s">
        <v>588</v>
      </c>
      <c r="C84" s="39"/>
      <c r="D84" s="40">
        <v>134343</v>
      </c>
      <c r="E84" s="118">
        <v>7</v>
      </c>
    </row>
    <row r="85" spans="1:5">
      <c r="A85" s="43" t="s">
        <v>156</v>
      </c>
      <c r="B85" s="42" t="s">
        <v>604</v>
      </c>
      <c r="C85" s="41"/>
      <c r="D85" s="40">
        <v>134495</v>
      </c>
      <c r="E85" s="118">
        <v>8</v>
      </c>
    </row>
    <row r="86" spans="1:5">
      <c r="A86" s="43" t="s">
        <v>156</v>
      </c>
      <c r="B86" s="42" t="s">
        <v>589</v>
      </c>
      <c r="C86" s="37"/>
      <c r="D86" s="40">
        <v>134608</v>
      </c>
      <c r="E86" s="118">
        <v>7</v>
      </c>
    </row>
    <row r="87" spans="1:5">
      <c r="A87" s="43" t="s">
        <v>156</v>
      </c>
      <c r="B87" s="42" t="s">
        <v>585</v>
      </c>
      <c r="C87" s="38"/>
      <c r="D87" s="40">
        <v>135160</v>
      </c>
      <c r="E87" s="118">
        <v>7</v>
      </c>
    </row>
    <row r="88" spans="1:5">
      <c r="A88" s="43" t="s">
        <v>156</v>
      </c>
      <c r="B88" s="42" t="s">
        <v>590</v>
      </c>
      <c r="C88" s="38"/>
      <c r="D88" s="40">
        <v>135188</v>
      </c>
      <c r="E88" s="118">
        <v>7</v>
      </c>
    </row>
    <row r="89" spans="1:5">
      <c r="A89" s="43" t="s">
        <v>156</v>
      </c>
      <c r="B89" s="42" t="s">
        <v>602</v>
      </c>
      <c r="C89" s="39"/>
      <c r="D89" s="40">
        <v>135391</v>
      </c>
      <c r="E89" s="118">
        <v>7</v>
      </c>
    </row>
    <row r="90" spans="1:5">
      <c r="A90" s="43" t="s">
        <v>156</v>
      </c>
      <c r="B90" s="42" t="s">
        <v>591</v>
      </c>
      <c r="C90" s="41"/>
      <c r="D90" s="40">
        <v>135717</v>
      </c>
      <c r="E90" s="118">
        <v>7</v>
      </c>
    </row>
    <row r="91" spans="1:5">
      <c r="A91" s="43" t="s">
        <v>156</v>
      </c>
      <c r="B91" s="42" t="s">
        <v>606</v>
      </c>
      <c r="C91" s="41" t="s">
        <v>579</v>
      </c>
      <c r="D91" s="40">
        <v>136145</v>
      </c>
      <c r="E91" s="118">
        <v>10</v>
      </c>
    </row>
    <row r="92" spans="1:5">
      <c r="A92" s="43" t="s">
        <v>156</v>
      </c>
      <c r="B92" s="42" t="s">
        <v>592</v>
      </c>
      <c r="C92" s="41"/>
      <c r="D92" s="40">
        <v>136233</v>
      </c>
      <c r="E92" s="118">
        <v>7</v>
      </c>
    </row>
    <row r="93" spans="1:5">
      <c r="A93" s="43" t="s">
        <v>156</v>
      </c>
      <c r="B93" s="42" t="s">
        <v>593</v>
      </c>
      <c r="C93" s="39"/>
      <c r="D93" s="40">
        <v>136358</v>
      </c>
      <c r="E93" s="118">
        <v>7</v>
      </c>
    </row>
    <row r="94" spans="1:5">
      <c r="A94" s="43" t="s">
        <v>156</v>
      </c>
      <c r="B94" s="42" t="s">
        <v>594</v>
      </c>
      <c r="C94" s="38"/>
      <c r="D94" s="40">
        <v>136400</v>
      </c>
      <c r="E94" s="117">
        <v>7</v>
      </c>
    </row>
    <row r="95" spans="1:5">
      <c r="A95" s="43" t="s">
        <v>156</v>
      </c>
      <c r="B95" s="42" t="s">
        <v>595</v>
      </c>
      <c r="C95" s="39"/>
      <c r="D95" s="40">
        <v>136473</v>
      </c>
      <c r="E95" s="118">
        <v>7</v>
      </c>
    </row>
    <row r="96" spans="1:5">
      <c r="A96" s="43" t="s">
        <v>156</v>
      </c>
      <c r="B96" s="42" t="s">
        <v>596</v>
      </c>
      <c r="C96" s="39"/>
      <c r="D96" s="40">
        <v>136516</v>
      </c>
      <c r="E96" s="118">
        <v>7</v>
      </c>
    </row>
    <row r="97" spans="1:5">
      <c r="A97" s="43" t="s">
        <v>156</v>
      </c>
      <c r="B97" s="42" t="s">
        <v>600</v>
      </c>
      <c r="C97" s="39"/>
      <c r="D97" s="40">
        <v>137281</v>
      </c>
      <c r="E97" s="118">
        <v>7</v>
      </c>
    </row>
    <row r="98" spans="1:5">
      <c r="A98" s="43" t="s">
        <v>156</v>
      </c>
      <c r="B98" s="42" t="s">
        <v>601</v>
      </c>
      <c r="C98" s="41"/>
      <c r="D98" s="40">
        <v>137078</v>
      </c>
      <c r="E98" s="118">
        <v>7</v>
      </c>
    </row>
    <row r="99" spans="1:5">
      <c r="A99" s="43" t="s">
        <v>156</v>
      </c>
      <c r="B99" s="42" t="s">
        <v>597</v>
      </c>
      <c r="C99" s="39"/>
      <c r="D99" s="40">
        <v>137096</v>
      </c>
      <c r="E99" s="118">
        <v>7</v>
      </c>
    </row>
    <row r="100" spans="1:5">
      <c r="A100" s="43" t="s">
        <v>156</v>
      </c>
      <c r="B100" s="42" t="s">
        <v>598</v>
      </c>
      <c r="C100" s="39"/>
      <c r="D100" s="40">
        <v>137209</v>
      </c>
      <c r="E100" s="118">
        <v>7</v>
      </c>
    </row>
    <row r="101" spans="1:5">
      <c r="A101" s="43" t="s">
        <v>156</v>
      </c>
      <c r="B101" s="42" t="s">
        <v>599</v>
      </c>
      <c r="C101" s="38"/>
      <c r="D101" s="40">
        <v>137315</v>
      </c>
      <c r="E101" s="118">
        <v>7</v>
      </c>
    </row>
    <row r="102" spans="1:5">
      <c r="A102" s="43" t="s">
        <v>156</v>
      </c>
      <c r="B102" s="42" t="s">
        <v>605</v>
      </c>
      <c r="C102" s="41" t="s">
        <v>579</v>
      </c>
      <c r="D102" s="40">
        <v>137759</v>
      </c>
      <c r="E102" s="118">
        <v>8</v>
      </c>
    </row>
    <row r="103" spans="1:5">
      <c r="A103" s="43" t="s">
        <v>156</v>
      </c>
      <c r="B103" s="42" t="s">
        <v>603</v>
      </c>
      <c r="C103" s="38"/>
      <c r="D103" s="40">
        <v>138187</v>
      </c>
      <c r="E103" s="118">
        <v>7</v>
      </c>
    </row>
    <row r="104" spans="1:5">
      <c r="A104" s="305" t="s">
        <v>157</v>
      </c>
      <c r="B104" s="36" t="s">
        <v>609</v>
      </c>
      <c r="C104" s="35"/>
      <c r="D104" s="446">
        <v>139940</v>
      </c>
      <c r="E104" s="34">
        <v>1</v>
      </c>
    </row>
    <row r="105" spans="1:5">
      <c r="A105" s="305" t="s">
        <v>157</v>
      </c>
      <c r="B105" s="36" t="s">
        <v>623</v>
      </c>
      <c r="C105" s="35"/>
      <c r="D105" s="446">
        <v>139959</v>
      </c>
      <c r="E105" s="34">
        <v>1</v>
      </c>
    </row>
    <row r="106" spans="1:5">
      <c r="A106" s="305" t="s">
        <v>157</v>
      </c>
      <c r="B106" s="36" t="s">
        <v>628</v>
      </c>
      <c r="C106" s="35"/>
      <c r="D106" s="446">
        <v>139755</v>
      </c>
      <c r="E106" s="34">
        <v>2</v>
      </c>
    </row>
    <row r="107" spans="1:5">
      <c r="A107" s="305" t="s">
        <v>157</v>
      </c>
      <c r="B107" s="36" t="s">
        <v>632</v>
      </c>
      <c r="C107" s="259" t="s">
        <v>633</v>
      </c>
      <c r="D107" s="446">
        <v>139931</v>
      </c>
      <c r="E107" s="34">
        <v>3</v>
      </c>
    </row>
    <row r="108" spans="1:5">
      <c r="A108" s="305" t="s">
        <v>157</v>
      </c>
      <c r="B108" s="36" t="s">
        <v>635</v>
      </c>
      <c r="C108" s="259" t="s">
        <v>633</v>
      </c>
      <c r="D108" s="446">
        <v>486840</v>
      </c>
      <c r="E108" s="34">
        <v>3</v>
      </c>
    </row>
    <row r="109" spans="1:5">
      <c r="A109" s="305" t="s">
        <v>157</v>
      </c>
      <c r="B109" s="36" t="s">
        <v>637</v>
      </c>
      <c r="C109" s="35"/>
      <c r="D109" s="446">
        <v>141334</v>
      </c>
      <c r="E109" s="34">
        <v>3</v>
      </c>
    </row>
    <row r="110" spans="1:5">
      <c r="A110" s="306" t="s">
        <v>157</v>
      </c>
      <c r="B110" s="36" t="s">
        <v>638</v>
      </c>
      <c r="C110" s="35"/>
      <c r="D110" s="446">
        <v>141264</v>
      </c>
      <c r="E110" s="34">
        <v>3</v>
      </c>
    </row>
    <row r="111" spans="1:5">
      <c r="A111" s="305" t="s">
        <v>157</v>
      </c>
      <c r="B111" s="36" t="s">
        <v>640</v>
      </c>
      <c r="C111" s="35"/>
      <c r="D111" s="446">
        <v>138716</v>
      </c>
      <c r="E111" s="34">
        <v>4</v>
      </c>
    </row>
    <row r="112" spans="1:5">
      <c r="A112" s="306" t="s">
        <v>157</v>
      </c>
      <c r="B112" s="32" t="s">
        <v>642</v>
      </c>
      <c r="C112" s="259"/>
      <c r="D112" s="446">
        <v>482149</v>
      </c>
      <c r="E112" s="34">
        <v>4</v>
      </c>
    </row>
    <row r="113" spans="1:5">
      <c r="A113" s="305" t="s">
        <v>157</v>
      </c>
      <c r="B113" s="36" t="s">
        <v>643</v>
      </c>
      <c r="C113" s="33"/>
      <c r="D113" s="446">
        <v>139311</v>
      </c>
      <c r="E113" s="34">
        <v>4</v>
      </c>
    </row>
    <row r="114" spans="1:5">
      <c r="A114" s="305" t="s">
        <v>157</v>
      </c>
      <c r="B114" s="36" t="s">
        <v>645</v>
      </c>
      <c r="C114" s="259" t="s">
        <v>505</v>
      </c>
      <c r="D114" s="446">
        <v>139366</v>
      </c>
      <c r="E114" s="34">
        <v>4</v>
      </c>
    </row>
    <row r="115" spans="1:5">
      <c r="A115" s="305" t="s">
        <v>157</v>
      </c>
      <c r="B115" s="36" t="s">
        <v>646</v>
      </c>
      <c r="C115" s="484" t="s">
        <v>1195</v>
      </c>
      <c r="D115" s="446">
        <v>139719</v>
      </c>
      <c r="E115" s="485">
        <v>5</v>
      </c>
    </row>
    <row r="116" spans="1:5">
      <c r="A116" s="305" t="s">
        <v>157</v>
      </c>
      <c r="B116" s="36" t="s">
        <v>647</v>
      </c>
      <c r="C116" s="35"/>
      <c r="D116" s="446">
        <v>139861</v>
      </c>
      <c r="E116" s="34">
        <v>4</v>
      </c>
    </row>
    <row r="117" spans="1:5">
      <c r="A117" s="305" t="s">
        <v>157</v>
      </c>
      <c r="B117" s="36" t="s">
        <v>648</v>
      </c>
      <c r="C117" s="259" t="s">
        <v>516</v>
      </c>
      <c r="D117" s="446">
        <v>139764</v>
      </c>
      <c r="E117" s="34">
        <v>4</v>
      </c>
    </row>
    <row r="118" spans="1:5">
      <c r="A118" s="305" t="s">
        <v>157</v>
      </c>
      <c r="B118" s="36" t="s">
        <v>649</v>
      </c>
      <c r="C118" s="35"/>
      <c r="D118" s="34">
        <v>482680</v>
      </c>
      <c r="E118" s="34">
        <v>4</v>
      </c>
    </row>
    <row r="119" spans="1:5">
      <c r="A119" s="305" t="s">
        <v>157</v>
      </c>
      <c r="B119" s="36" t="s">
        <v>650</v>
      </c>
      <c r="C119" s="259" t="s">
        <v>1206</v>
      </c>
      <c r="D119" s="446">
        <v>140960</v>
      </c>
      <c r="E119" s="34">
        <v>5</v>
      </c>
    </row>
    <row r="120" spans="1:5">
      <c r="A120" s="305" t="s">
        <v>157</v>
      </c>
      <c r="B120" s="36" t="s">
        <v>655</v>
      </c>
      <c r="C120" s="35"/>
      <c r="D120" s="446">
        <v>138558</v>
      </c>
      <c r="E120" s="119">
        <v>6</v>
      </c>
    </row>
    <row r="121" spans="1:5">
      <c r="A121" s="305" t="s">
        <v>157</v>
      </c>
      <c r="B121" s="36" t="s">
        <v>651</v>
      </c>
      <c r="C121" s="33"/>
      <c r="D121" s="446">
        <v>139250</v>
      </c>
      <c r="E121" s="119">
        <v>6</v>
      </c>
    </row>
    <row r="122" spans="1:5">
      <c r="A122" s="305" t="s">
        <v>157</v>
      </c>
      <c r="B122" s="36" t="s">
        <v>652</v>
      </c>
      <c r="C122" s="33"/>
      <c r="D122" s="446">
        <v>139463</v>
      </c>
      <c r="E122" s="34">
        <v>6</v>
      </c>
    </row>
    <row r="123" spans="1:5">
      <c r="A123" s="305" t="s">
        <v>157</v>
      </c>
      <c r="B123" s="36" t="s">
        <v>653</v>
      </c>
      <c r="C123" s="33"/>
      <c r="D123" s="446">
        <v>447689</v>
      </c>
      <c r="E123" s="34">
        <v>6</v>
      </c>
    </row>
    <row r="124" spans="1:5">
      <c r="A124" s="305" t="s">
        <v>157</v>
      </c>
      <c r="B124" s="36" t="s">
        <v>659</v>
      </c>
      <c r="C124" s="35"/>
      <c r="D124" s="446">
        <v>139968</v>
      </c>
      <c r="E124" s="119">
        <v>6</v>
      </c>
    </row>
    <row r="125" spans="1:5">
      <c r="A125" s="305" t="s">
        <v>157</v>
      </c>
      <c r="B125" s="36" t="s">
        <v>654</v>
      </c>
      <c r="C125" s="484" t="s">
        <v>1196</v>
      </c>
      <c r="D125" s="34">
        <v>482158</v>
      </c>
      <c r="E125" s="485">
        <v>5</v>
      </c>
    </row>
    <row r="126" spans="1:5">
      <c r="A126" s="305" t="s">
        <v>157</v>
      </c>
      <c r="B126" s="36" t="s">
        <v>656</v>
      </c>
      <c r="C126" s="33"/>
      <c r="D126" s="446">
        <v>138901</v>
      </c>
      <c r="E126" s="119">
        <v>7</v>
      </c>
    </row>
    <row r="127" spans="1:5">
      <c r="A127" s="305" t="s">
        <v>157</v>
      </c>
      <c r="B127" s="36" t="s">
        <v>657</v>
      </c>
      <c r="C127" s="33"/>
      <c r="D127" s="446">
        <v>139621</v>
      </c>
      <c r="E127" s="119">
        <v>7</v>
      </c>
    </row>
    <row r="128" spans="1:5">
      <c r="A128" s="305" t="s">
        <v>157</v>
      </c>
      <c r="B128" s="36" t="s">
        <v>658</v>
      </c>
      <c r="C128" s="33"/>
      <c r="D128" s="446">
        <v>139700</v>
      </c>
      <c r="E128" s="119">
        <v>7</v>
      </c>
    </row>
    <row r="129" spans="1:5">
      <c r="A129" s="305" t="s">
        <v>157</v>
      </c>
      <c r="B129" s="36" t="s">
        <v>660</v>
      </c>
      <c r="C129" s="33"/>
      <c r="D129" s="34">
        <v>482699</v>
      </c>
      <c r="E129" s="119">
        <v>7</v>
      </c>
    </row>
    <row r="130" spans="1:5">
      <c r="A130" s="418" t="s">
        <v>157</v>
      </c>
      <c r="B130" s="30" t="s">
        <v>661</v>
      </c>
      <c r="C130" s="102"/>
      <c r="D130" s="101">
        <v>138682</v>
      </c>
      <c r="E130" s="101">
        <v>12</v>
      </c>
    </row>
    <row r="131" spans="1:5">
      <c r="A131" s="418" t="s">
        <v>157</v>
      </c>
      <c r="B131" s="99" t="s">
        <v>662</v>
      </c>
      <c r="C131" s="100"/>
      <c r="D131" s="101">
        <v>246813</v>
      </c>
      <c r="E131" s="101">
        <v>12</v>
      </c>
    </row>
    <row r="132" spans="1:5">
      <c r="A132" s="418" t="s">
        <v>157</v>
      </c>
      <c r="B132" s="99" t="s">
        <v>663</v>
      </c>
      <c r="C132" s="100"/>
      <c r="D132" s="101">
        <v>138840</v>
      </c>
      <c r="E132" s="101">
        <v>12</v>
      </c>
    </row>
    <row r="133" spans="1:5">
      <c r="A133" s="418" t="s">
        <v>157</v>
      </c>
      <c r="B133" s="99" t="s">
        <v>664</v>
      </c>
      <c r="C133" s="99"/>
      <c r="D133" s="101">
        <v>138956</v>
      </c>
      <c r="E133" s="101">
        <v>12</v>
      </c>
    </row>
    <row r="134" spans="1:5">
      <c r="A134" s="418" t="s">
        <v>157</v>
      </c>
      <c r="B134" s="99" t="s">
        <v>665</v>
      </c>
      <c r="C134" s="99"/>
      <c r="D134" s="101">
        <v>483045</v>
      </c>
      <c r="E134" s="101">
        <v>12</v>
      </c>
    </row>
    <row r="135" spans="1:5">
      <c r="A135" s="418" t="s">
        <v>157</v>
      </c>
      <c r="B135" s="99" t="s">
        <v>666</v>
      </c>
      <c r="C135" s="99"/>
      <c r="D135" s="101">
        <v>140331</v>
      </c>
      <c r="E135" s="101">
        <v>12</v>
      </c>
    </row>
    <row r="136" spans="1:5">
      <c r="A136" s="418" t="s">
        <v>157</v>
      </c>
      <c r="B136" s="29" t="s">
        <v>667</v>
      </c>
      <c r="C136" s="99"/>
      <c r="D136" s="28">
        <v>485458</v>
      </c>
      <c r="E136" s="101">
        <v>12</v>
      </c>
    </row>
    <row r="137" spans="1:5">
      <c r="A137" s="418" t="s">
        <v>157</v>
      </c>
      <c r="B137" s="99" t="s">
        <v>668</v>
      </c>
      <c r="C137" s="99"/>
      <c r="D137" s="101">
        <v>139357</v>
      </c>
      <c r="E137" s="101">
        <v>12</v>
      </c>
    </row>
    <row r="138" spans="1:5">
      <c r="A138" s="418" t="s">
        <v>157</v>
      </c>
      <c r="B138" s="99" t="s">
        <v>669</v>
      </c>
      <c r="C138" s="99"/>
      <c r="D138" s="101">
        <v>139384</v>
      </c>
      <c r="E138" s="101">
        <v>12</v>
      </c>
    </row>
    <row r="139" spans="1:5">
      <c r="A139" s="418" t="s">
        <v>157</v>
      </c>
      <c r="B139" s="99" t="s">
        <v>670</v>
      </c>
      <c r="C139" s="99"/>
      <c r="D139" s="101">
        <v>244446</v>
      </c>
      <c r="E139" s="101">
        <v>12</v>
      </c>
    </row>
    <row r="140" spans="1:5">
      <c r="A140" s="418" t="s">
        <v>157</v>
      </c>
      <c r="B140" s="99" t="s">
        <v>671</v>
      </c>
      <c r="C140" s="99"/>
      <c r="D140" s="101">
        <v>140012</v>
      </c>
      <c r="E140" s="101">
        <v>12</v>
      </c>
    </row>
    <row r="141" spans="1:5">
      <c r="A141" s="418" t="s">
        <v>157</v>
      </c>
      <c r="B141" s="99" t="s">
        <v>672</v>
      </c>
      <c r="C141" s="99"/>
      <c r="D141" s="101">
        <v>140243</v>
      </c>
      <c r="E141" s="101">
        <v>12</v>
      </c>
    </row>
    <row r="142" spans="1:5">
      <c r="A142" s="418" t="s">
        <v>157</v>
      </c>
      <c r="B142" s="99" t="s">
        <v>673</v>
      </c>
      <c r="C142" s="99"/>
      <c r="D142" s="101">
        <v>140678</v>
      </c>
      <c r="E142" s="101">
        <v>12</v>
      </c>
    </row>
    <row r="143" spans="1:5">
      <c r="A143" s="418" t="s">
        <v>157</v>
      </c>
      <c r="B143" s="99" t="s">
        <v>674</v>
      </c>
      <c r="C143" s="100"/>
      <c r="D143" s="101">
        <v>420431</v>
      </c>
      <c r="E143" s="101">
        <v>12</v>
      </c>
    </row>
    <row r="144" spans="1:5">
      <c r="A144" s="418" t="s">
        <v>157</v>
      </c>
      <c r="B144" s="99" t="s">
        <v>675</v>
      </c>
      <c r="C144" s="99"/>
      <c r="D144" s="101">
        <v>366465</v>
      </c>
      <c r="E144" s="101">
        <v>12</v>
      </c>
    </row>
    <row r="145" spans="1:5">
      <c r="A145" s="418" t="s">
        <v>157</v>
      </c>
      <c r="B145" s="99" t="s">
        <v>676</v>
      </c>
      <c r="C145" s="99"/>
      <c r="D145" s="101">
        <v>140942</v>
      </c>
      <c r="E145" s="101">
        <v>12</v>
      </c>
    </row>
    <row r="146" spans="1:5">
      <c r="A146" s="418" t="s">
        <v>157</v>
      </c>
      <c r="B146" s="99" t="s">
        <v>677</v>
      </c>
      <c r="C146" s="99"/>
      <c r="D146" s="101">
        <v>141006</v>
      </c>
      <c r="E146" s="101">
        <v>12</v>
      </c>
    </row>
    <row r="147" spans="1:5">
      <c r="A147" s="418" t="s">
        <v>157</v>
      </c>
      <c r="B147" s="99" t="s">
        <v>678</v>
      </c>
      <c r="C147" s="99"/>
      <c r="D147" s="101">
        <v>368911</v>
      </c>
      <c r="E147" s="101">
        <v>12</v>
      </c>
    </row>
    <row r="148" spans="1:5">
      <c r="A148" s="418" t="s">
        <v>157</v>
      </c>
      <c r="B148" s="99" t="s">
        <v>679</v>
      </c>
      <c r="C148" s="99"/>
      <c r="D148" s="101">
        <v>139986</v>
      </c>
      <c r="E148" s="101">
        <v>12</v>
      </c>
    </row>
    <row r="149" spans="1:5">
      <c r="A149" s="418" t="s">
        <v>157</v>
      </c>
      <c r="B149" s="29" t="s">
        <v>680</v>
      </c>
      <c r="C149" s="99"/>
      <c r="D149" s="28">
        <v>487162</v>
      </c>
      <c r="E149" s="101">
        <v>12</v>
      </c>
    </row>
    <row r="150" spans="1:5">
      <c r="A150" s="418" t="s">
        <v>157</v>
      </c>
      <c r="B150" s="99" t="s">
        <v>681</v>
      </c>
      <c r="C150" s="99"/>
      <c r="D150" s="101">
        <v>139278</v>
      </c>
      <c r="E150" s="101">
        <v>12</v>
      </c>
    </row>
    <row r="151" spans="1:5">
      <c r="A151" s="418" t="s">
        <v>157</v>
      </c>
      <c r="B151" s="99" t="s">
        <v>682</v>
      </c>
      <c r="C151" s="99"/>
      <c r="D151" s="101">
        <v>141255</v>
      </c>
      <c r="E151" s="101">
        <v>12</v>
      </c>
    </row>
    <row r="152" spans="1:5">
      <c r="A152" s="427" t="s">
        <v>158</v>
      </c>
      <c r="B152" s="57" t="s">
        <v>683</v>
      </c>
      <c r="C152" s="56"/>
      <c r="D152" s="55">
        <v>157085</v>
      </c>
      <c r="E152" s="55">
        <v>1</v>
      </c>
    </row>
    <row r="153" spans="1:5">
      <c r="A153" s="427" t="s">
        <v>158</v>
      </c>
      <c r="B153" s="57" t="s">
        <v>684</v>
      </c>
      <c r="C153" s="56"/>
      <c r="D153" s="55">
        <v>157289</v>
      </c>
      <c r="E153" s="55">
        <v>1</v>
      </c>
    </row>
    <row r="154" spans="1:5">
      <c r="A154" s="427" t="s">
        <v>158</v>
      </c>
      <c r="B154" s="57" t="s">
        <v>685</v>
      </c>
      <c r="C154" s="56"/>
      <c r="D154" s="55">
        <v>156620</v>
      </c>
      <c r="E154" s="55">
        <v>3</v>
      </c>
    </row>
    <row r="155" spans="1:5">
      <c r="A155" s="427" t="s">
        <v>158</v>
      </c>
      <c r="B155" s="57" t="s">
        <v>686</v>
      </c>
      <c r="C155" s="56"/>
      <c r="D155" s="55">
        <v>157386</v>
      </c>
      <c r="E155" s="55">
        <v>3</v>
      </c>
    </row>
    <row r="156" spans="1:5">
      <c r="A156" s="427" t="s">
        <v>158</v>
      </c>
      <c r="B156" s="57" t="s">
        <v>687</v>
      </c>
      <c r="C156" s="56"/>
      <c r="D156" s="55">
        <v>157401</v>
      </c>
      <c r="E156" s="55">
        <v>3</v>
      </c>
    </row>
    <row r="157" spans="1:5">
      <c r="A157" s="453" t="s">
        <v>158</v>
      </c>
      <c r="B157" s="57" t="s">
        <v>688</v>
      </c>
      <c r="C157" s="54"/>
      <c r="D157" s="55">
        <v>157447</v>
      </c>
      <c r="E157" s="55">
        <v>3</v>
      </c>
    </row>
    <row r="158" spans="1:5">
      <c r="A158" s="427" t="s">
        <v>158</v>
      </c>
      <c r="B158" s="57" t="s">
        <v>689</v>
      </c>
      <c r="C158" s="56"/>
      <c r="D158" s="55">
        <v>157951</v>
      </c>
      <c r="E158" s="55">
        <v>3</v>
      </c>
    </row>
    <row r="159" spans="1:5">
      <c r="A159" s="427" t="s">
        <v>158</v>
      </c>
      <c r="B159" s="57" t="s">
        <v>690</v>
      </c>
      <c r="C159" s="56" t="s">
        <v>1210</v>
      </c>
      <c r="D159" s="55">
        <v>157058</v>
      </c>
      <c r="E159" s="116">
        <v>4</v>
      </c>
    </row>
    <row r="160" spans="1:5">
      <c r="A160" s="427" t="s">
        <v>158</v>
      </c>
      <c r="B160" s="57" t="s">
        <v>691</v>
      </c>
      <c r="C160" s="56" t="s">
        <v>1160</v>
      </c>
      <c r="D160" s="454">
        <v>156392</v>
      </c>
      <c r="E160" s="116">
        <v>8</v>
      </c>
    </row>
    <row r="161" spans="1:5">
      <c r="A161" s="427" t="s">
        <v>158</v>
      </c>
      <c r="B161" s="57" t="s">
        <v>692</v>
      </c>
      <c r="C161" s="56"/>
      <c r="D161" s="55">
        <v>156921</v>
      </c>
      <c r="E161" s="116">
        <v>8</v>
      </c>
    </row>
    <row r="162" spans="1:5">
      <c r="A162" s="427" t="s">
        <v>158</v>
      </c>
      <c r="B162" s="57" t="s">
        <v>694</v>
      </c>
      <c r="C162" s="56" t="s">
        <v>1211</v>
      </c>
      <c r="D162" s="55">
        <v>157553</v>
      </c>
      <c r="E162" s="116">
        <v>9</v>
      </c>
    </row>
    <row r="163" spans="1:5">
      <c r="A163" s="427" t="s">
        <v>158</v>
      </c>
      <c r="B163" s="57" t="s">
        <v>695</v>
      </c>
      <c r="C163" s="56"/>
      <c r="D163" s="55">
        <v>156648</v>
      </c>
      <c r="E163" s="116">
        <v>9</v>
      </c>
    </row>
    <row r="164" spans="1:5">
      <c r="A164" s="427" t="s">
        <v>158</v>
      </c>
      <c r="B164" s="57" t="s">
        <v>696</v>
      </c>
      <c r="C164" s="56"/>
      <c r="D164" s="55">
        <v>157331</v>
      </c>
      <c r="E164" s="116">
        <v>9</v>
      </c>
    </row>
    <row r="165" spans="1:5">
      <c r="A165" s="427" t="s">
        <v>158</v>
      </c>
      <c r="B165" s="57" t="s">
        <v>697</v>
      </c>
      <c r="C165" s="56"/>
      <c r="D165" s="55">
        <v>247940</v>
      </c>
      <c r="E165" s="116">
        <v>9</v>
      </c>
    </row>
    <row r="166" spans="1:5">
      <c r="A166" s="427" t="s">
        <v>158</v>
      </c>
      <c r="B166" s="57" t="s">
        <v>698</v>
      </c>
      <c r="C166" s="56"/>
      <c r="D166" s="55">
        <v>157711</v>
      </c>
      <c r="E166" s="116">
        <v>9</v>
      </c>
    </row>
    <row r="167" spans="1:5">
      <c r="A167" s="427" t="s">
        <v>158</v>
      </c>
      <c r="B167" s="57" t="s">
        <v>699</v>
      </c>
      <c r="C167" s="56"/>
      <c r="D167" s="55">
        <v>157483</v>
      </c>
      <c r="E167" s="116">
        <v>9</v>
      </c>
    </row>
    <row r="168" spans="1:5">
      <c r="A168" s="427" t="s">
        <v>158</v>
      </c>
      <c r="B168" s="57" t="s">
        <v>693</v>
      </c>
      <c r="C168" s="56"/>
      <c r="D168" s="55">
        <v>156231</v>
      </c>
      <c r="E168" s="116">
        <v>10</v>
      </c>
    </row>
    <row r="169" spans="1:5">
      <c r="A169" s="427" t="s">
        <v>158</v>
      </c>
      <c r="B169" s="57" t="s">
        <v>700</v>
      </c>
      <c r="C169" s="54"/>
      <c r="D169" s="55">
        <v>156790</v>
      </c>
      <c r="E169" s="116">
        <v>10</v>
      </c>
    </row>
    <row r="170" spans="1:5">
      <c r="A170" s="427" t="s">
        <v>158</v>
      </c>
      <c r="B170" s="57" t="s">
        <v>701</v>
      </c>
      <c r="C170" s="56"/>
      <c r="D170" s="55">
        <v>156851</v>
      </c>
      <c r="E170" s="116">
        <v>10</v>
      </c>
    </row>
    <row r="171" spans="1:5">
      <c r="A171" s="427" t="s">
        <v>158</v>
      </c>
      <c r="B171" s="57" t="s">
        <v>702</v>
      </c>
      <c r="C171" s="54"/>
      <c r="D171" s="55">
        <v>156860</v>
      </c>
      <c r="E171" s="116">
        <v>10</v>
      </c>
    </row>
    <row r="172" spans="1:5">
      <c r="A172" s="427" t="s">
        <v>158</v>
      </c>
      <c r="B172" s="57" t="s">
        <v>703</v>
      </c>
      <c r="C172" s="54"/>
      <c r="D172" s="55">
        <v>157304</v>
      </c>
      <c r="E172" s="116">
        <v>10</v>
      </c>
    </row>
    <row r="173" spans="1:5">
      <c r="A173" s="427" t="s">
        <v>158</v>
      </c>
      <c r="B173" s="57" t="s">
        <v>704</v>
      </c>
      <c r="C173" s="54"/>
      <c r="D173" s="55">
        <v>157739</v>
      </c>
      <c r="E173" s="116">
        <v>10</v>
      </c>
    </row>
    <row r="174" spans="1:5">
      <c r="A174" s="427" t="s">
        <v>158</v>
      </c>
      <c r="B174" s="57" t="s">
        <v>705</v>
      </c>
      <c r="C174" s="56"/>
      <c r="D174" s="55">
        <v>157438</v>
      </c>
      <c r="E174" s="116">
        <v>12</v>
      </c>
    </row>
    <row r="175" spans="1:5">
      <c r="A175" s="427" t="s">
        <v>158</v>
      </c>
      <c r="B175" s="57" t="s">
        <v>706</v>
      </c>
      <c r="C175" s="56"/>
      <c r="D175" s="55">
        <v>156338</v>
      </c>
      <c r="E175" s="116">
        <v>12</v>
      </c>
    </row>
    <row r="176" spans="1:5">
      <c r="A176" s="456" t="s">
        <v>159</v>
      </c>
      <c r="B176" s="27" t="s">
        <v>707</v>
      </c>
      <c r="C176" s="26"/>
      <c r="D176" s="25">
        <v>159391</v>
      </c>
      <c r="E176" s="25">
        <v>1</v>
      </c>
    </row>
    <row r="177" spans="1:5">
      <c r="A177" s="456" t="s">
        <v>159</v>
      </c>
      <c r="B177" s="27" t="s">
        <v>708</v>
      </c>
      <c r="C177" s="26"/>
      <c r="D177" s="25">
        <v>159647</v>
      </c>
      <c r="E177" s="25">
        <v>2</v>
      </c>
    </row>
    <row r="178" spans="1:5">
      <c r="A178" s="456" t="s">
        <v>159</v>
      </c>
      <c r="B178" s="27" t="s">
        <v>709</v>
      </c>
      <c r="C178" s="26"/>
      <c r="D178" s="25">
        <v>160658</v>
      </c>
      <c r="E178" s="25">
        <v>2</v>
      </c>
    </row>
    <row r="179" spans="1:5">
      <c r="A179" s="456" t="s">
        <v>159</v>
      </c>
      <c r="B179" s="27" t="s">
        <v>710</v>
      </c>
      <c r="C179" s="26"/>
      <c r="D179" s="25">
        <v>159939</v>
      </c>
      <c r="E179" s="25">
        <v>2</v>
      </c>
    </row>
    <row r="180" spans="1:5">
      <c r="A180" s="456" t="s">
        <v>159</v>
      </c>
      <c r="B180" s="27" t="s">
        <v>711</v>
      </c>
      <c r="C180" s="23"/>
      <c r="D180" s="25">
        <v>159717</v>
      </c>
      <c r="E180" s="25">
        <v>3</v>
      </c>
    </row>
    <row r="181" spans="1:5">
      <c r="A181" s="456" t="s">
        <v>159</v>
      </c>
      <c r="B181" s="27" t="s">
        <v>712</v>
      </c>
      <c r="C181" s="26"/>
      <c r="D181" s="25">
        <v>160612</v>
      </c>
      <c r="E181" s="25">
        <v>3</v>
      </c>
    </row>
    <row r="182" spans="1:5">
      <c r="A182" s="456" t="s">
        <v>159</v>
      </c>
      <c r="B182" s="27" t="s">
        <v>713</v>
      </c>
      <c r="C182" s="26"/>
      <c r="D182" s="25">
        <v>160621</v>
      </c>
      <c r="E182" s="25">
        <v>3</v>
      </c>
    </row>
    <row r="183" spans="1:5">
      <c r="A183" s="456" t="s">
        <v>159</v>
      </c>
      <c r="B183" s="27" t="s">
        <v>714</v>
      </c>
      <c r="C183" s="26"/>
      <c r="D183" s="25">
        <v>159993</v>
      </c>
      <c r="E183" s="25">
        <v>3</v>
      </c>
    </row>
    <row r="184" spans="1:5">
      <c r="A184" s="456" t="s">
        <v>159</v>
      </c>
      <c r="B184" s="27" t="s">
        <v>715</v>
      </c>
      <c r="C184" s="26"/>
      <c r="D184" s="25">
        <v>159009</v>
      </c>
      <c r="E184" s="25">
        <v>4</v>
      </c>
    </row>
    <row r="185" spans="1:5">
      <c r="A185" s="456" t="s">
        <v>159</v>
      </c>
      <c r="B185" s="27" t="s">
        <v>716</v>
      </c>
      <c r="C185" s="26"/>
      <c r="D185" s="25">
        <v>159416</v>
      </c>
      <c r="E185" s="25">
        <v>4</v>
      </c>
    </row>
    <row r="186" spans="1:5">
      <c r="A186" s="456" t="s">
        <v>159</v>
      </c>
      <c r="B186" s="27" t="s">
        <v>717</v>
      </c>
      <c r="C186" s="26"/>
      <c r="D186" s="25">
        <v>159966</v>
      </c>
      <c r="E186" s="25">
        <v>4</v>
      </c>
    </row>
    <row r="187" spans="1:5">
      <c r="A187" s="456" t="s">
        <v>159</v>
      </c>
      <c r="B187" s="27" t="s">
        <v>718</v>
      </c>
      <c r="C187" s="26"/>
      <c r="D187" s="25">
        <v>160038</v>
      </c>
      <c r="E187" s="25">
        <v>4</v>
      </c>
    </row>
    <row r="188" spans="1:5">
      <c r="A188" s="24" t="s">
        <v>159</v>
      </c>
      <c r="B188" s="27" t="s">
        <v>719</v>
      </c>
      <c r="C188" s="23"/>
      <c r="D188" s="25">
        <v>160630</v>
      </c>
      <c r="E188" s="25">
        <v>5</v>
      </c>
    </row>
    <row r="189" spans="1:5">
      <c r="A189" s="456" t="s">
        <v>159</v>
      </c>
      <c r="B189" s="27" t="s">
        <v>720</v>
      </c>
      <c r="C189" s="23"/>
      <c r="D189" s="25">
        <v>159382</v>
      </c>
      <c r="E189" s="20">
        <v>6</v>
      </c>
    </row>
    <row r="190" spans="1:5">
      <c r="A190" s="456" t="s">
        <v>159</v>
      </c>
      <c r="B190" s="22" t="s">
        <v>721</v>
      </c>
      <c r="C190" s="21"/>
      <c r="D190" s="25">
        <v>437103</v>
      </c>
      <c r="E190" s="20">
        <v>8</v>
      </c>
    </row>
    <row r="191" spans="1:5">
      <c r="A191" s="456" t="s">
        <v>159</v>
      </c>
      <c r="B191" s="22" t="s">
        <v>723</v>
      </c>
      <c r="C191" s="21"/>
      <c r="D191" s="25">
        <v>158662</v>
      </c>
      <c r="E191" s="20">
        <v>8</v>
      </c>
    </row>
    <row r="192" spans="1:5">
      <c r="A192" s="456" t="s">
        <v>159</v>
      </c>
      <c r="B192" s="27" t="s">
        <v>722</v>
      </c>
      <c r="C192" s="26"/>
      <c r="D192" s="25">
        <v>158431</v>
      </c>
      <c r="E192" s="20">
        <v>9</v>
      </c>
    </row>
    <row r="193" spans="1:5">
      <c r="A193" s="456" t="s">
        <v>159</v>
      </c>
      <c r="B193" s="27" t="s">
        <v>724</v>
      </c>
      <c r="C193" s="23"/>
      <c r="D193" s="25">
        <v>483212</v>
      </c>
      <c r="E193" s="20">
        <v>9</v>
      </c>
    </row>
    <row r="194" spans="1:5">
      <c r="A194" s="456" t="s">
        <v>159</v>
      </c>
      <c r="B194" s="27" t="s">
        <v>725</v>
      </c>
      <c r="C194" s="21"/>
      <c r="D194" s="25">
        <v>434061</v>
      </c>
      <c r="E194" s="20">
        <v>9</v>
      </c>
    </row>
    <row r="195" spans="1:5">
      <c r="A195" s="456" t="s">
        <v>159</v>
      </c>
      <c r="B195" s="27" t="s">
        <v>726</v>
      </c>
      <c r="C195" s="23"/>
      <c r="D195" s="25">
        <v>160649</v>
      </c>
      <c r="E195" s="20">
        <v>9</v>
      </c>
    </row>
    <row r="196" spans="1:5">
      <c r="A196" s="456" t="s">
        <v>159</v>
      </c>
      <c r="B196" s="27" t="s">
        <v>727</v>
      </c>
      <c r="C196" s="23" t="s">
        <v>1197</v>
      </c>
      <c r="D196" s="25">
        <v>159407</v>
      </c>
      <c r="E196" s="486">
        <v>9</v>
      </c>
    </row>
    <row r="197" spans="1:5">
      <c r="A197" s="456" t="s">
        <v>159</v>
      </c>
      <c r="B197" s="27" t="s">
        <v>728</v>
      </c>
      <c r="C197" s="26"/>
      <c r="D197" s="25">
        <v>158884</v>
      </c>
      <c r="E197" s="20">
        <v>10</v>
      </c>
    </row>
    <row r="198" spans="1:5">
      <c r="A198" s="24" t="s">
        <v>159</v>
      </c>
      <c r="B198" s="22" t="s">
        <v>729</v>
      </c>
      <c r="C198" s="26" t="s">
        <v>535</v>
      </c>
      <c r="D198" s="25">
        <v>436304</v>
      </c>
      <c r="E198" s="20">
        <v>10</v>
      </c>
    </row>
    <row r="199" spans="1:5">
      <c r="A199" s="24" t="s">
        <v>159</v>
      </c>
      <c r="B199" s="19" t="s">
        <v>730</v>
      </c>
      <c r="C199" s="18"/>
      <c r="D199" s="25">
        <v>158088</v>
      </c>
      <c r="E199" s="20">
        <v>12</v>
      </c>
    </row>
    <row r="200" spans="1:5">
      <c r="A200" s="24" t="s">
        <v>159</v>
      </c>
      <c r="B200" s="27" t="s">
        <v>731</v>
      </c>
      <c r="C200" s="23"/>
      <c r="D200" s="25">
        <v>160481</v>
      </c>
      <c r="E200" s="20">
        <v>12</v>
      </c>
    </row>
    <row r="201" spans="1:5">
      <c r="A201" s="24" t="s">
        <v>159</v>
      </c>
      <c r="B201" s="19" t="s">
        <v>732</v>
      </c>
      <c r="C201" s="18"/>
      <c r="D201" s="25">
        <v>160667</v>
      </c>
      <c r="E201" s="20">
        <v>12</v>
      </c>
    </row>
    <row r="202" spans="1:5">
      <c r="A202" s="24" t="s">
        <v>159</v>
      </c>
      <c r="B202" s="27" t="s">
        <v>734</v>
      </c>
      <c r="C202" s="26"/>
      <c r="D202" s="25">
        <v>160579</v>
      </c>
      <c r="E202" s="20">
        <v>12</v>
      </c>
    </row>
    <row r="203" spans="1:5">
      <c r="A203" s="24" t="s">
        <v>159</v>
      </c>
      <c r="B203" s="19" t="s">
        <v>733</v>
      </c>
      <c r="C203" s="26"/>
      <c r="D203" s="25">
        <v>160010</v>
      </c>
      <c r="E203" s="20">
        <v>13</v>
      </c>
    </row>
    <row r="204" spans="1:5">
      <c r="A204" s="24" t="s">
        <v>159</v>
      </c>
      <c r="B204" s="27" t="s">
        <v>735</v>
      </c>
      <c r="C204" s="26"/>
      <c r="D204" s="25">
        <v>159373</v>
      </c>
      <c r="E204" s="20">
        <v>15</v>
      </c>
    </row>
    <row r="205" spans="1:5">
      <c r="A205" s="24" t="s">
        <v>159</v>
      </c>
      <c r="B205" s="27" t="s">
        <v>736</v>
      </c>
      <c r="C205" s="26"/>
      <c r="D205" s="25">
        <v>435000</v>
      </c>
      <c r="E205" s="20">
        <v>15</v>
      </c>
    </row>
    <row r="206" spans="1:5">
      <c r="A206" s="24" t="s">
        <v>159</v>
      </c>
      <c r="B206" s="307" t="s">
        <v>737</v>
      </c>
      <c r="C206" s="26"/>
      <c r="D206" s="308">
        <v>440916</v>
      </c>
      <c r="E206" s="20">
        <v>15</v>
      </c>
    </row>
    <row r="207" spans="1:5">
      <c r="A207" s="428" t="s">
        <v>160</v>
      </c>
      <c r="B207" s="50"/>
      <c r="C207" s="49"/>
      <c r="D207" s="48"/>
      <c r="E207" s="48"/>
    </row>
    <row r="208" spans="1:5">
      <c r="A208" s="17" t="s">
        <v>161</v>
      </c>
      <c r="B208" s="46" t="s">
        <v>738</v>
      </c>
      <c r="C208" s="16"/>
      <c r="D208" s="44">
        <v>176080</v>
      </c>
      <c r="E208" s="44">
        <v>1</v>
      </c>
    </row>
    <row r="209" spans="1:5">
      <c r="A209" s="17" t="s">
        <v>161</v>
      </c>
      <c r="B209" s="46" t="s">
        <v>739</v>
      </c>
      <c r="C209" s="4"/>
      <c r="D209" s="44">
        <v>176017</v>
      </c>
      <c r="E209" s="44">
        <v>1</v>
      </c>
    </row>
    <row r="210" spans="1:5">
      <c r="A210" s="17" t="s">
        <v>161</v>
      </c>
      <c r="B210" s="46" t="s">
        <v>740</v>
      </c>
      <c r="C210" s="16"/>
      <c r="D210" s="44">
        <v>176372</v>
      </c>
      <c r="E210" s="44">
        <v>1</v>
      </c>
    </row>
    <row r="211" spans="1:5">
      <c r="A211" s="17" t="s">
        <v>161</v>
      </c>
      <c r="B211" s="46" t="s">
        <v>741</v>
      </c>
      <c r="C211" s="16"/>
      <c r="D211" s="44">
        <v>175856</v>
      </c>
      <c r="E211" s="44">
        <v>2</v>
      </c>
    </row>
    <row r="212" spans="1:5">
      <c r="A212" s="457" t="s">
        <v>161</v>
      </c>
      <c r="B212" s="46" t="s">
        <v>742</v>
      </c>
      <c r="C212" s="16"/>
      <c r="D212" s="44">
        <v>175342</v>
      </c>
      <c r="E212" s="44">
        <v>4</v>
      </c>
    </row>
    <row r="213" spans="1:5">
      <c r="A213" s="17" t="s">
        <v>161</v>
      </c>
      <c r="B213" s="46" t="s">
        <v>743</v>
      </c>
      <c r="C213" s="16"/>
      <c r="D213" s="44">
        <v>175616</v>
      </c>
      <c r="E213" s="44">
        <v>4</v>
      </c>
    </row>
    <row r="214" spans="1:5">
      <c r="A214" s="17" t="s">
        <v>161</v>
      </c>
      <c r="B214" s="46" t="s">
        <v>745</v>
      </c>
      <c r="C214" s="16"/>
      <c r="D214" s="44">
        <v>176035</v>
      </c>
      <c r="E214" s="44">
        <v>4</v>
      </c>
    </row>
    <row r="215" spans="1:5">
      <c r="A215" s="17" t="s">
        <v>161</v>
      </c>
      <c r="B215" s="46" t="s">
        <v>744</v>
      </c>
      <c r="C215" s="16"/>
      <c r="D215" s="44">
        <v>176044</v>
      </c>
      <c r="E215" s="44">
        <v>4</v>
      </c>
    </row>
    <row r="216" spans="1:5">
      <c r="A216" s="487" t="s">
        <v>161</v>
      </c>
      <c r="B216" s="42"/>
      <c r="C216" s="41"/>
      <c r="D216" s="40"/>
      <c r="E216" s="118"/>
    </row>
    <row r="217" spans="1:5">
      <c r="A217" s="458" t="s">
        <v>162</v>
      </c>
      <c r="B217" s="14" t="s">
        <v>746</v>
      </c>
      <c r="C217" s="13"/>
      <c r="D217" s="12">
        <v>199193</v>
      </c>
      <c r="E217" s="12">
        <v>1</v>
      </c>
    </row>
    <row r="218" spans="1:5">
      <c r="A218" s="458" t="s">
        <v>162</v>
      </c>
      <c r="B218" s="14" t="s">
        <v>747</v>
      </c>
      <c r="C218" s="13"/>
      <c r="D218" s="12">
        <v>199120</v>
      </c>
      <c r="E218" s="12">
        <v>1</v>
      </c>
    </row>
    <row r="219" spans="1:5">
      <c r="A219" s="458" t="s">
        <v>162</v>
      </c>
      <c r="B219" s="14" t="s">
        <v>748</v>
      </c>
      <c r="C219" s="11"/>
      <c r="D219" s="12">
        <v>199139</v>
      </c>
      <c r="E219" s="12">
        <v>1</v>
      </c>
    </row>
    <row r="220" spans="1:5">
      <c r="A220" s="458" t="s">
        <v>162</v>
      </c>
      <c r="B220" s="14" t="s">
        <v>749</v>
      </c>
      <c r="C220" s="13"/>
      <c r="D220" s="12">
        <v>199148</v>
      </c>
      <c r="E220" s="12">
        <v>1</v>
      </c>
    </row>
    <row r="221" spans="1:5">
      <c r="A221" s="458" t="s">
        <v>162</v>
      </c>
      <c r="B221" s="14" t="s">
        <v>750</v>
      </c>
      <c r="C221" s="11"/>
      <c r="D221" s="12">
        <v>198464</v>
      </c>
      <c r="E221" s="12">
        <v>2</v>
      </c>
    </row>
    <row r="222" spans="1:5">
      <c r="A222" s="458" t="s">
        <v>162</v>
      </c>
      <c r="B222" s="14" t="s">
        <v>751</v>
      </c>
      <c r="C222" s="13"/>
      <c r="D222" s="12">
        <v>197869</v>
      </c>
      <c r="E222" s="12">
        <v>3</v>
      </c>
    </row>
    <row r="223" spans="1:5">
      <c r="A223" s="458" t="s">
        <v>162</v>
      </c>
      <c r="B223" s="14" t="s">
        <v>752</v>
      </c>
      <c r="C223" s="13" t="s">
        <v>1212</v>
      </c>
      <c r="D223" s="12">
        <v>199102</v>
      </c>
      <c r="E223" s="12">
        <v>3</v>
      </c>
    </row>
    <row r="224" spans="1:5">
      <c r="A224" s="458" t="s">
        <v>162</v>
      </c>
      <c r="B224" s="14" t="s">
        <v>753</v>
      </c>
      <c r="C224" s="13"/>
      <c r="D224" s="12">
        <v>199157</v>
      </c>
      <c r="E224" s="12">
        <v>3</v>
      </c>
    </row>
    <row r="225" spans="1:5">
      <c r="A225" s="458" t="s">
        <v>162</v>
      </c>
      <c r="B225" s="14" t="s">
        <v>754</v>
      </c>
      <c r="C225" s="13"/>
      <c r="D225" s="12">
        <v>199218</v>
      </c>
      <c r="E225" s="12">
        <v>3</v>
      </c>
    </row>
    <row r="226" spans="1:5">
      <c r="A226" s="458" t="s">
        <v>162</v>
      </c>
      <c r="B226" s="14" t="s">
        <v>755</v>
      </c>
      <c r="C226" s="13"/>
      <c r="D226" s="12">
        <v>200004</v>
      </c>
      <c r="E226" s="12">
        <v>3</v>
      </c>
    </row>
    <row r="227" spans="1:5">
      <c r="A227" s="458" t="s">
        <v>162</v>
      </c>
      <c r="B227" s="14" t="s">
        <v>756</v>
      </c>
      <c r="C227" s="13"/>
      <c r="D227" s="12">
        <v>198543</v>
      </c>
      <c r="E227" s="12">
        <v>4</v>
      </c>
    </row>
    <row r="228" spans="1:5">
      <c r="A228" s="458" t="s">
        <v>162</v>
      </c>
      <c r="B228" s="14" t="s">
        <v>757</v>
      </c>
      <c r="C228" s="13"/>
      <c r="D228" s="12">
        <v>199281</v>
      </c>
      <c r="E228" s="12">
        <v>5</v>
      </c>
    </row>
    <row r="229" spans="1:5">
      <c r="A229" s="458" t="s">
        <v>162</v>
      </c>
      <c r="B229" s="14" t="s">
        <v>758</v>
      </c>
      <c r="C229" s="13"/>
      <c r="D229" s="12">
        <v>199999</v>
      </c>
      <c r="E229" s="12">
        <v>5</v>
      </c>
    </row>
    <row r="230" spans="1:5">
      <c r="A230" s="458" t="s">
        <v>162</v>
      </c>
      <c r="B230" s="14" t="s">
        <v>759</v>
      </c>
      <c r="C230" s="13"/>
      <c r="D230" s="12">
        <v>198507</v>
      </c>
      <c r="E230" s="12">
        <v>6</v>
      </c>
    </row>
    <row r="231" spans="1:5">
      <c r="A231" s="458" t="s">
        <v>162</v>
      </c>
      <c r="B231" s="14" t="s">
        <v>760</v>
      </c>
      <c r="C231" s="13"/>
      <c r="D231" s="12">
        <v>199111</v>
      </c>
      <c r="E231" s="12">
        <v>6</v>
      </c>
    </row>
    <row r="232" spans="1:5">
      <c r="A232" s="458" t="s">
        <v>162</v>
      </c>
      <c r="B232" s="14" t="s">
        <v>761</v>
      </c>
      <c r="C232" s="13"/>
      <c r="D232" s="12">
        <v>199184</v>
      </c>
      <c r="E232" s="12">
        <v>15</v>
      </c>
    </row>
    <row r="233" spans="1:5">
      <c r="A233" s="460" t="s">
        <v>162</v>
      </c>
      <c r="B233" s="36" t="s">
        <v>762</v>
      </c>
      <c r="C233" s="121"/>
      <c r="D233" s="34">
        <v>197887</v>
      </c>
      <c r="E233" s="124">
        <v>8</v>
      </c>
    </row>
    <row r="234" spans="1:5">
      <c r="A234" s="460" t="s">
        <v>162</v>
      </c>
      <c r="B234" s="36" t="s">
        <v>763</v>
      </c>
      <c r="C234" s="121"/>
      <c r="D234" s="34">
        <v>198154</v>
      </c>
      <c r="E234" s="124">
        <v>8</v>
      </c>
    </row>
    <row r="235" spans="1:5">
      <c r="A235" s="460" t="s">
        <v>162</v>
      </c>
      <c r="B235" s="36" t="s">
        <v>764</v>
      </c>
      <c r="C235" s="121"/>
      <c r="D235" s="34">
        <v>198260</v>
      </c>
      <c r="E235" s="124">
        <v>8</v>
      </c>
    </row>
    <row r="236" spans="1:5">
      <c r="A236" s="460" t="s">
        <v>162</v>
      </c>
      <c r="B236" s="36" t="s">
        <v>765</v>
      </c>
      <c r="C236" s="121"/>
      <c r="D236" s="34">
        <v>198534</v>
      </c>
      <c r="E236" s="124">
        <v>8</v>
      </c>
    </row>
    <row r="237" spans="1:5">
      <c r="A237" s="460" t="s">
        <v>162</v>
      </c>
      <c r="B237" s="36" t="s">
        <v>766</v>
      </c>
      <c r="C237" s="121"/>
      <c r="D237" s="34">
        <v>198552</v>
      </c>
      <c r="E237" s="124">
        <v>8</v>
      </c>
    </row>
    <row r="238" spans="1:5">
      <c r="A238" s="460" t="s">
        <v>162</v>
      </c>
      <c r="B238" s="36" t="s">
        <v>767</v>
      </c>
      <c r="C238" s="121"/>
      <c r="D238" s="34">
        <v>198622</v>
      </c>
      <c r="E238" s="124">
        <v>8</v>
      </c>
    </row>
    <row r="239" spans="1:5">
      <c r="A239" s="460" t="s">
        <v>162</v>
      </c>
      <c r="B239" s="36" t="s">
        <v>768</v>
      </c>
      <c r="C239" s="121"/>
      <c r="D239" s="34">
        <v>199333</v>
      </c>
      <c r="E239" s="124">
        <v>8</v>
      </c>
    </row>
    <row r="240" spans="1:5">
      <c r="A240" s="460" t="s">
        <v>162</v>
      </c>
      <c r="B240" s="36" t="s">
        <v>769</v>
      </c>
      <c r="C240" s="121"/>
      <c r="D240" s="34">
        <v>199494</v>
      </c>
      <c r="E240" s="124">
        <v>8</v>
      </c>
    </row>
    <row r="241" spans="1:5">
      <c r="A241" s="460" t="s">
        <v>162</v>
      </c>
      <c r="B241" s="36" t="s">
        <v>770</v>
      </c>
      <c r="C241" s="121"/>
      <c r="D241" s="34">
        <v>199856</v>
      </c>
      <c r="E241" s="124">
        <v>8</v>
      </c>
    </row>
    <row r="242" spans="1:5">
      <c r="A242" s="460" t="s">
        <v>162</v>
      </c>
      <c r="B242" s="36" t="s">
        <v>771</v>
      </c>
      <c r="C242" s="121"/>
      <c r="D242" s="34">
        <v>199786</v>
      </c>
      <c r="E242" s="124">
        <v>9</v>
      </c>
    </row>
    <row r="243" spans="1:5">
      <c r="A243" s="460" t="s">
        <v>162</v>
      </c>
      <c r="B243" s="36" t="s">
        <v>772</v>
      </c>
      <c r="C243" s="121"/>
      <c r="D243" s="34">
        <v>198118</v>
      </c>
      <c r="E243" s="124">
        <v>9</v>
      </c>
    </row>
    <row r="244" spans="1:5">
      <c r="A244" s="460" t="s">
        <v>162</v>
      </c>
      <c r="B244" s="36" t="s">
        <v>773</v>
      </c>
      <c r="C244" s="121"/>
      <c r="D244" s="34">
        <v>198233</v>
      </c>
      <c r="E244" s="124">
        <v>9</v>
      </c>
    </row>
    <row r="245" spans="1:5">
      <c r="A245" s="460" t="s">
        <v>162</v>
      </c>
      <c r="B245" s="36" t="s">
        <v>774</v>
      </c>
      <c r="C245" s="121"/>
      <c r="D245" s="34">
        <v>198251</v>
      </c>
      <c r="E245" s="124">
        <v>9</v>
      </c>
    </row>
    <row r="246" spans="1:5">
      <c r="A246" s="460" t="s">
        <v>162</v>
      </c>
      <c r="B246" s="36" t="s">
        <v>775</v>
      </c>
      <c r="C246" s="121"/>
      <c r="D246" s="34">
        <v>198321</v>
      </c>
      <c r="E246" s="124">
        <v>9</v>
      </c>
    </row>
    <row r="247" spans="1:5">
      <c r="A247" s="460" t="s">
        <v>162</v>
      </c>
      <c r="B247" s="31" t="s">
        <v>776</v>
      </c>
      <c r="C247" s="122"/>
      <c r="D247" s="34">
        <v>198330</v>
      </c>
      <c r="E247" s="124">
        <v>9</v>
      </c>
    </row>
    <row r="248" spans="1:5">
      <c r="A248" s="460" t="s">
        <v>162</v>
      </c>
      <c r="B248" s="36" t="s">
        <v>777</v>
      </c>
      <c r="C248" s="121"/>
      <c r="D248" s="34">
        <v>198367</v>
      </c>
      <c r="E248" s="124">
        <v>9</v>
      </c>
    </row>
    <row r="249" spans="1:5">
      <c r="A249" s="460" t="s">
        <v>162</v>
      </c>
      <c r="B249" s="36" t="s">
        <v>1174</v>
      </c>
      <c r="C249" s="121"/>
      <c r="D249" s="34">
        <v>198376</v>
      </c>
      <c r="E249" s="124">
        <v>9</v>
      </c>
    </row>
    <row r="250" spans="1:5">
      <c r="A250" s="460" t="s">
        <v>162</v>
      </c>
      <c r="B250" s="36" t="s">
        <v>778</v>
      </c>
      <c r="C250" s="121"/>
      <c r="D250" s="34">
        <v>198455</v>
      </c>
      <c r="E250" s="124">
        <v>9</v>
      </c>
    </row>
    <row r="251" spans="1:5">
      <c r="A251" s="460" t="s">
        <v>162</v>
      </c>
      <c r="B251" s="36" t="s">
        <v>779</v>
      </c>
      <c r="C251" s="121"/>
      <c r="D251" s="34">
        <v>198570</v>
      </c>
      <c r="E251" s="124">
        <v>9</v>
      </c>
    </row>
    <row r="252" spans="1:5">
      <c r="A252" s="460" t="s">
        <v>162</v>
      </c>
      <c r="B252" s="36" t="s">
        <v>780</v>
      </c>
      <c r="C252" s="121"/>
      <c r="D252" s="34">
        <v>198774</v>
      </c>
      <c r="E252" s="124">
        <v>9</v>
      </c>
    </row>
    <row r="253" spans="1:5">
      <c r="A253" s="460" t="s">
        <v>162</v>
      </c>
      <c r="B253" s="36" t="s">
        <v>781</v>
      </c>
      <c r="C253" s="121"/>
      <c r="D253" s="34">
        <v>198817</v>
      </c>
      <c r="E253" s="124">
        <v>9</v>
      </c>
    </row>
    <row r="254" spans="1:5">
      <c r="A254" s="460" t="s">
        <v>162</v>
      </c>
      <c r="B254" s="36" t="s">
        <v>782</v>
      </c>
      <c r="C254" s="121"/>
      <c r="D254" s="34">
        <v>198987</v>
      </c>
      <c r="E254" s="124">
        <v>9</v>
      </c>
    </row>
    <row r="255" spans="1:5">
      <c r="A255" s="460" t="s">
        <v>162</v>
      </c>
      <c r="B255" s="36" t="s">
        <v>783</v>
      </c>
      <c r="C255" s="121"/>
      <c r="D255" s="34">
        <v>199087</v>
      </c>
      <c r="E255" s="124">
        <v>9</v>
      </c>
    </row>
    <row r="256" spans="1:5">
      <c r="A256" s="460" t="s">
        <v>162</v>
      </c>
      <c r="B256" s="36" t="s">
        <v>784</v>
      </c>
      <c r="C256" s="121"/>
      <c r="D256" s="34">
        <v>199421</v>
      </c>
      <c r="E256" s="124">
        <v>9</v>
      </c>
    </row>
    <row r="257" spans="1:5">
      <c r="A257" s="460" t="s">
        <v>162</v>
      </c>
      <c r="B257" s="36" t="s">
        <v>785</v>
      </c>
      <c r="C257" s="123"/>
      <c r="D257" s="34">
        <v>199449</v>
      </c>
      <c r="E257" s="124">
        <v>9</v>
      </c>
    </row>
    <row r="258" spans="1:5">
      <c r="A258" s="460" t="s">
        <v>162</v>
      </c>
      <c r="B258" s="36" t="s">
        <v>786</v>
      </c>
      <c r="C258" s="121"/>
      <c r="D258" s="34">
        <v>199634</v>
      </c>
      <c r="E258" s="124">
        <v>9</v>
      </c>
    </row>
    <row r="259" spans="1:5">
      <c r="A259" s="460" t="s">
        <v>162</v>
      </c>
      <c r="B259" s="36" t="s">
        <v>787</v>
      </c>
      <c r="C259" s="123"/>
      <c r="D259" s="34">
        <v>197850</v>
      </c>
      <c r="E259" s="124">
        <v>9</v>
      </c>
    </row>
    <row r="260" spans="1:5">
      <c r="A260" s="460" t="s">
        <v>162</v>
      </c>
      <c r="B260" s="36" t="s">
        <v>788</v>
      </c>
      <c r="C260" s="121"/>
      <c r="D260" s="34">
        <v>199740</v>
      </c>
      <c r="E260" s="124">
        <v>9</v>
      </c>
    </row>
    <row r="261" spans="1:5">
      <c r="A261" s="460" t="s">
        <v>162</v>
      </c>
      <c r="B261" s="36" t="s">
        <v>789</v>
      </c>
      <c r="C261" s="121"/>
      <c r="D261" s="34">
        <v>199768</v>
      </c>
      <c r="E261" s="124">
        <v>9</v>
      </c>
    </row>
    <row r="262" spans="1:5">
      <c r="A262" s="460" t="s">
        <v>162</v>
      </c>
      <c r="B262" s="36" t="s">
        <v>790</v>
      </c>
      <c r="C262" s="121"/>
      <c r="D262" s="34">
        <v>199838</v>
      </c>
      <c r="E262" s="124">
        <v>9</v>
      </c>
    </row>
    <row r="263" spans="1:5">
      <c r="A263" s="460" t="s">
        <v>162</v>
      </c>
      <c r="B263" s="36" t="s">
        <v>791</v>
      </c>
      <c r="C263" s="121"/>
      <c r="D263" s="34">
        <v>199892</v>
      </c>
      <c r="E263" s="124">
        <v>9</v>
      </c>
    </row>
    <row r="264" spans="1:5">
      <c r="A264" s="460" t="s">
        <v>162</v>
      </c>
      <c r="B264" s="36" t="s">
        <v>792</v>
      </c>
      <c r="C264" s="121"/>
      <c r="D264" s="34">
        <v>199926</v>
      </c>
      <c r="E264" s="124">
        <v>9</v>
      </c>
    </row>
    <row r="265" spans="1:5">
      <c r="A265" s="460" t="s">
        <v>162</v>
      </c>
      <c r="B265" s="36" t="s">
        <v>793</v>
      </c>
      <c r="C265" s="121"/>
      <c r="D265" s="34">
        <v>197966</v>
      </c>
      <c r="E265" s="124">
        <v>10</v>
      </c>
    </row>
    <row r="266" spans="1:5">
      <c r="A266" s="460" t="s">
        <v>162</v>
      </c>
      <c r="B266" s="36" t="s">
        <v>794</v>
      </c>
      <c r="C266" s="121"/>
      <c r="D266" s="34">
        <v>198011</v>
      </c>
      <c r="E266" s="124">
        <v>10</v>
      </c>
    </row>
    <row r="267" spans="1:5">
      <c r="A267" s="460" t="s">
        <v>162</v>
      </c>
      <c r="B267" s="36" t="s">
        <v>795</v>
      </c>
      <c r="C267" s="121"/>
      <c r="D267" s="34">
        <v>198039</v>
      </c>
      <c r="E267" s="124">
        <v>10</v>
      </c>
    </row>
    <row r="268" spans="1:5">
      <c r="A268" s="460" t="s">
        <v>162</v>
      </c>
      <c r="B268" s="36" t="s">
        <v>796</v>
      </c>
      <c r="C268" s="121"/>
      <c r="D268" s="34">
        <v>198084</v>
      </c>
      <c r="E268" s="124">
        <v>10</v>
      </c>
    </row>
    <row r="269" spans="1:5">
      <c r="A269" s="460" t="s">
        <v>162</v>
      </c>
      <c r="B269" s="36" t="s">
        <v>797</v>
      </c>
      <c r="C269" s="121"/>
      <c r="D269" s="34">
        <v>198206</v>
      </c>
      <c r="E269" s="124">
        <v>10</v>
      </c>
    </row>
    <row r="270" spans="1:5">
      <c r="A270" s="460" t="s">
        <v>162</v>
      </c>
      <c r="B270" s="36" t="s">
        <v>1175</v>
      </c>
      <c r="C270" s="121" t="s">
        <v>798</v>
      </c>
      <c r="D270" s="34">
        <v>197814</v>
      </c>
      <c r="E270" s="124">
        <v>10</v>
      </c>
    </row>
    <row r="271" spans="1:5">
      <c r="A271" s="460" t="s">
        <v>162</v>
      </c>
      <c r="B271" s="36" t="s">
        <v>799</v>
      </c>
      <c r="C271" s="123"/>
      <c r="D271" s="34">
        <v>198491</v>
      </c>
      <c r="E271" s="124">
        <v>10</v>
      </c>
    </row>
    <row r="272" spans="1:5">
      <c r="A272" s="460" t="s">
        <v>162</v>
      </c>
      <c r="B272" s="36" t="s">
        <v>800</v>
      </c>
      <c r="C272" s="121"/>
      <c r="D272" s="34">
        <v>198640</v>
      </c>
      <c r="E272" s="124">
        <v>10</v>
      </c>
    </row>
    <row r="273" spans="1:5">
      <c r="A273" s="460" t="s">
        <v>162</v>
      </c>
      <c r="B273" s="36" t="s">
        <v>801</v>
      </c>
      <c r="C273" s="123"/>
      <c r="D273" s="34">
        <v>198668</v>
      </c>
      <c r="E273" s="124">
        <v>10</v>
      </c>
    </row>
    <row r="274" spans="1:5">
      <c r="A274" s="460" t="s">
        <v>162</v>
      </c>
      <c r="B274" s="36" t="s">
        <v>802</v>
      </c>
      <c r="C274" s="123"/>
      <c r="D274" s="34">
        <v>198710</v>
      </c>
      <c r="E274" s="124">
        <v>10</v>
      </c>
    </row>
    <row r="275" spans="1:5">
      <c r="A275" s="460" t="s">
        <v>162</v>
      </c>
      <c r="B275" s="36" t="s">
        <v>803</v>
      </c>
      <c r="C275" s="121"/>
      <c r="D275" s="34">
        <v>198729</v>
      </c>
      <c r="E275" s="124">
        <v>10</v>
      </c>
    </row>
    <row r="276" spans="1:5">
      <c r="A276" s="460" t="s">
        <v>162</v>
      </c>
      <c r="B276" s="36" t="s">
        <v>804</v>
      </c>
      <c r="C276" s="121"/>
      <c r="D276" s="34">
        <v>198905</v>
      </c>
      <c r="E276" s="124">
        <v>10</v>
      </c>
    </row>
    <row r="277" spans="1:5">
      <c r="A277" s="460" t="s">
        <v>162</v>
      </c>
      <c r="B277" s="36" t="s">
        <v>805</v>
      </c>
      <c r="C277" s="121"/>
      <c r="D277" s="34">
        <v>198914</v>
      </c>
      <c r="E277" s="124">
        <v>10</v>
      </c>
    </row>
    <row r="278" spans="1:5">
      <c r="A278" s="460" t="s">
        <v>162</v>
      </c>
      <c r="B278" s="36" t="s">
        <v>806</v>
      </c>
      <c r="C278" s="121"/>
      <c r="D278" s="34">
        <v>198923</v>
      </c>
      <c r="E278" s="124">
        <v>10</v>
      </c>
    </row>
    <row r="279" spans="1:5">
      <c r="A279" s="460" t="s">
        <v>162</v>
      </c>
      <c r="B279" s="36" t="s">
        <v>807</v>
      </c>
      <c r="C279" s="121"/>
      <c r="D279" s="34">
        <v>199023</v>
      </c>
      <c r="E279" s="124">
        <v>10</v>
      </c>
    </row>
    <row r="280" spans="1:5">
      <c r="A280" s="460" t="s">
        <v>162</v>
      </c>
      <c r="B280" s="36" t="s">
        <v>808</v>
      </c>
      <c r="C280" s="121"/>
      <c r="D280" s="34">
        <v>199263</v>
      </c>
      <c r="E280" s="124">
        <v>10</v>
      </c>
    </row>
    <row r="281" spans="1:5">
      <c r="A281" s="460" t="s">
        <v>162</v>
      </c>
      <c r="B281" s="36" t="s">
        <v>809</v>
      </c>
      <c r="C281" s="121"/>
      <c r="D281" s="34">
        <v>199324</v>
      </c>
      <c r="E281" s="124">
        <v>10</v>
      </c>
    </row>
    <row r="282" spans="1:5">
      <c r="A282" s="460" t="s">
        <v>162</v>
      </c>
      <c r="B282" s="36" t="s">
        <v>810</v>
      </c>
      <c r="C282" s="121"/>
      <c r="D282" s="34">
        <v>199467</v>
      </c>
      <c r="E282" s="124">
        <v>10</v>
      </c>
    </row>
    <row r="283" spans="1:5">
      <c r="A283" s="460" t="s">
        <v>162</v>
      </c>
      <c r="B283" s="36" t="s">
        <v>811</v>
      </c>
      <c r="C283" s="121" t="s">
        <v>1208</v>
      </c>
      <c r="D283" s="34">
        <v>199476</v>
      </c>
      <c r="E283" s="124">
        <v>10</v>
      </c>
    </row>
    <row r="284" spans="1:5">
      <c r="A284" s="460" t="s">
        <v>162</v>
      </c>
      <c r="B284" s="36" t="s">
        <v>812</v>
      </c>
      <c r="C284" s="121"/>
      <c r="D284" s="34">
        <v>199485</v>
      </c>
      <c r="E284" s="124">
        <v>10</v>
      </c>
    </row>
    <row r="285" spans="1:5">
      <c r="A285" s="460" t="s">
        <v>162</v>
      </c>
      <c r="B285" s="36" t="s">
        <v>813</v>
      </c>
      <c r="C285" s="121"/>
      <c r="D285" s="34">
        <v>199625</v>
      </c>
      <c r="E285" s="124">
        <v>10</v>
      </c>
    </row>
    <row r="286" spans="1:5">
      <c r="A286" s="460" t="s">
        <v>162</v>
      </c>
      <c r="B286" s="36" t="s">
        <v>814</v>
      </c>
      <c r="C286" s="121"/>
      <c r="D286" s="34">
        <v>199722</v>
      </c>
      <c r="E286" s="124">
        <v>10</v>
      </c>
    </row>
    <row r="287" spans="1:5">
      <c r="A287" s="460" t="s">
        <v>162</v>
      </c>
      <c r="B287" s="36" t="s">
        <v>815</v>
      </c>
      <c r="C287" s="121"/>
      <c r="D287" s="34">
        <v>199731</v>
      </c>
      <c r="E287" s="124">
        <v>10</v>
      </c>
    </row>
    <row r="288" spans="1:5">
      <c r="A288" s="460" t="s">
        <v>162</v>
      </c>
      <c r="B288" s="36" t="s">
        <v>816</v>
      </c>
      <c r="C288" s="121"/>
      <c r="D288" s="34">
        <v>199795</v>
      </c>
      <c r="E288" s="124">
        <v>10</v>
      </c>
    </row>
    <row r="289" spans="1:5">
      <c r="A289" s="460" t="s">
        <v>162</v>
      </c>
      <c r="B289" s="36" t="s">
        <v>817</v>
      </c>
      <c r="C289" s="123"/>
      <c r="D289" s="34">
        <v>199908</v>
      </c>
      <c r="E289" s="124">
        <v>10</v>
      </c>
    </row>
    <row r="290" spans="1:5">
      <c r="A290" s="460" t="s">
        <v>162</v>
      </c>
      <c r="B290" s="36" t="s">
        <v>818</v>
      </c>
      <c r="C290" s="121"/>
      <c r="D290" s="34">
        <v>199953</v>
      </c>
      <c r="E290" s="124">
        <v>10</v>
      </c>
    </row>
    <row r="291" spans="1:5" ht="16" thickBot="1">
      <c r="A291" s="418" t="s">
        <v>163</v>
      </c>
      <c r="B291" s="99"/>
      <c r="C291" s="100"/>
      <c r="D291" s="101"/>
      <c r="E291" s="101"/>
    </row>
    <row r="292" spans="1:5">
      <c r="A292" s="312" t="s">
        <v>163</v>
      </c>
      <c r="B292" s="313" t="s">
        <v>819</v>
      </c>
      <c r="C292" s="314"/>
      <c r="D292" s="315">
        <v>365374</v>
      </c>
      <c r="E292" s="315">
        <v>12</v>
      </c>
    </row>
    <row r="293" spans="1:5">
      <c r="A293" s="427" t="s">
        <v>163</v>
      </c>
      <c r="B293" s="57" t="s">
        <v>820</v>
      </c>
      <c r="C293" s="56"/>
      <c r="D293" s="55">
        <v>245999</v>
      </c>
      <c r="E293" s="55">
        <v>12</v>
      </c>
    </row>
    <row r="294" spans="1:5">
      <c r="A294" s="427" t="s">
        <v>163</v>
      </c>
      <c r="B294" s="57" t="s">
        <v>821</v>
      </c>
      <c r="C294" s="56" t="s">
        <v>822</v>
      </c>
      <c r="D294" s="55">
        <v>261375</v>
      </c>
      <c r="E294" s="55">
        <v>12</v>
      </c>
    </row>
    <row r="295" spans="1:5">
      <c r="A295" s="427" t="s">
        <v>163</v>
      </c>
      <c r="B295" s="57" t="s">
        <v>823</v>
      </c>
      <c r="C295" s="56"/>
      <c r="D295" s="55">
        <v>365213</v>
      </c>
      <c r="E295" s="55">
        <v>13</v>
      </c>
    </row>
    <row r="296" spans="1:5">
      <c r="A296" s="427" t="s">
        <v>163</v>
      </c>
      <c r="B296" s="57" t="s">
        <v>824</v>
      </c>
      <c r="C296" s="56"/>
      <c r="D296" s="55">
        <v>364946</v>
      </c>
      <c r="E296" s="55">
        <v>13</v>
      </c>
    </row>
    <row r="297" spans="1:5">
      <c r="A297" s="427" t="s">
        <v>163</v>
      </c>
      <c r="B297" s="57" t="s">
        <v>825</v>
      </c>
      <c r="C297" s="56"/>
      <c r="D297" s="55">
        <v>246017</v>
      </c>
      <c r="E297" s="55">
        <v>13</v>
      </c>
    </row>
    <row r="298" spans="1:5">
      <c r="A298" s="427" t="s">
        <v>163</v>
      </c>
      <c r="B298" s="57" t="s">
        <v>826</v>
      </c>
      <c r="C298" s="56"/>
      <c r="D298" s="55">
        <v>375656</v>
      </c>
      <c r="E298" s="55">
        <v>13</v>
      </c>
    </row>
    <row r="299" spans="1:5">
      <c r="A299" s="427" t="s">
        <v>163</v>
      </c>
      <c r="B299" s="57" t="s">
        <v>827</v>
      </c>
      <c r="C299" s="56"/>
      <c r="D299" s="55">
        <v>418348</v>
      </c>
      <c r="E299" s="55">
        <v>13</v>
      </c>
    </row>
    <row r="300" spans="1:5">
      <c r="A300" s="427" t="s">
        <v>163</v>
      </c>
      <c r="B300" s="57" t="s">
        <v>828</v>
      </c>
      <c r="C300" s="56" t="s">
        <v>1213</v>
      </c>
      <c r="D300" s="55">
        <v>375683</v>
      </c>
      <c r="E300" s="55">
        <v>13</v>
      </c>
    </row>
    <row r="301" spans="1:5">
      <c r="A301" s="427" t="s">
        <v>163</v>
      </c>
      <c r="B301" s="57" t="s">
        <v>829</v>
      </c>
      <c r="C301" s="56"/>
      <c r="D301" s="55">
        <v>364548</v>
      </c>
      <c r="E301" s="55">
        <v>13</v>
      </c>
    </row>
    <row r="302" spans="1:5">
      <c r="A302" s="427" t="s">
        <v>163</v>
      </c>
      <c r="B302" s="57" t="s">
        <v>830</v>
      </c>
      <c r="C302" s="54"/>
      <c r="D302" s="55">
        <v>428019</v>
      </c>
      <c r="E302" s="55">
        <v>13</v>
      </c>
    </row>
    <row r="303" spans="1:5">
      <c r="A303" s="427" t="s">
        <v>163</v>
      </c>
      <c r="B303" s="57" t="s">
        <v>831</v>
      </c>
      <c r="C303" s="56"/>
      <c r="D303" s="55">
        <v>208053</v>
      </c>
      <c r="E303" s="55">
        <v>13</v>
      </c>
    </row>
    <row r="304" spans="1:5">
      <c r="A304" s="427" t="s">
        <v>163</v>
      </c>
      <c r="B304" s="57" t="s">
        <v>832</v>
      </c>
      <c r="C304" s="56"/>
      <c r="D304" s="55">
        <v>418296</v>
      </c>
      <c r="E304" s="55">
        <v>13</v>
      </c>
    </row>
    <row r="305" spans="1:5">
      <c r="A305" s="427" t="s">
        <v>163</v>
      </c>
      <c r="B305" s="57" t="s">
        <v>833</v>
      </c>
      <c r="C305" s="56"/>
      <c r="D305" s="55">
        <v>421540</v>
      </c>
      <c r="E305" s="55">
        <v>13</v>
      </c>
    </row>
    <row r="306" spans="1:5">
      <c r="A306" s="427" t="s">
        <v>163</v>
      </c>
      <c r="B306" s="57" t="s">
        <v>834</v>
      </c>
      <c r="C306" s="56"/>
      <c r="D306" s="55">
        <v>421559</v>
      </c>
      <c r="E306" s="55">
        <v>13</v>
      </c>
    </row>
    <row r="307" spans="1:5">
      <c r="A307" s="427" t="s">
        <v>163</v>
      </c>
      <c r="B307" s="57" t="s">
        <v>835</v>
      </c>
      <c r="C307" s="56"/>
      <c r="D307" s="55">
        <v>208026</v>
      </c>
      <c r="E307" s="55">
        <v>13</v>
      </c>
    </row>
    <row r="308" spans="1:5">
      <c r="A308" s="427" t="s">
        <v>163</v>
      </c>
      <c r="B308" s="57" t="s">
        <v>836</v>
      </c>
      <c r="C308" s="56"/>
      <c r="D308" s="55">
        <v>375692</v>
      </c>
      <c r="E308" s="55">
        <v>13</v>
      </c>
    </row>
    <row r="309" spans="1:5">
      <c r="A309" s="427" t="s">
        <v>163</v>
      </c>
      <c r="B309" s="57" t="s">
        <v>837</v>
      </c>
      <c r="C309" s="56"/>
      <c r="D309" s="55">
        <v>375708</v>
      </c>
      <c r="E309" s="55">
        <v>13</v>
      </c>
    </row>
    <row r="310" spans="1:5">
      <c r="A310" s="427" t="s">
        <v>163</v>
      </c>
      <c r="B310" s="57" t="s">
        <v>838</v>
      </c>
      <c r="C310" s="56"/>
      <c r="D310" s="55">
        <v>375717</v>
      </c>
      <c r="E310" s="55">
        <v>13</v>
      </c>
    </row>
    <row r="311" spans="1:5">
      <c r="A311" s="427" t="s">
        <v>163</v>
      </c>
      <c r="B311" s="57" t="s">
        <v>839</v>
      </c>
      <c r="C311" s="56"/>
      <c r="D311" s="55">
        <v>375735</v>
      </c>
      <c r="E311" s="55">
        <v>13</v>
      </c>
    </row>
    <row r="312" spans="1:5">
      <c r="A312" s="427" t="s">
        <v>163</v>
      </c>
      <c r="B312" s="57" t="s">
        <v>840</v>
      </c>
      <c r="C312" s="56"/>
      <c r="D312" s="55">
        <v>375726</v>
      </c>
      <c r="E312" s="55">
        <v>13</v>
      </c>
    </row>
    <row r="313" spans="1:5">
      <c r="A313" s="427" t="s">
        <v>163</v>
      </c>
      <c r="B313" s="57" t="s">
        <v>841</v>
      </c>
      <c r="C313" s="56"/>
      <c r="D313" s="55">
        <v>375744</v>
      </c>
      <c r="E313" s="55">
        <v>13</v>
      </c>
    </row>
    <row r="314" spans="1:5">
      <c r="A314" s="427" t="s">
        <v>163</v>
      </c>
      <c r="B314" s="57" t="s">
        <v>842</v>
      </c>
      <c r="C314" s="56"/>
      <c r="D314" s="55">
        <v>375753</v>
      </c>
      <c r="E314" s="55">
        <v>13</v>
      </c>
    </row>
    <row r="315" spans="1:5">
      <c r="A315" s="427" t="s">
        <v>163</v>
      </c>
      <c r="B315" s="57" t="s">
        <v>843</v>
      </c>
      <c r="C315" s="56"/>
      <c r="D315" s="55">
        <v>405748</v>
      </c>
      <c r="E315" s="55">
        <v>13</v>
      </c>
    </row>
    <row r="316" spans="1:5">
      <c r="A316" s="427" t="s">
        <v>163</v>
      </c>
      <c r="B316" s="57" t="s">
        <v>844</v>
      </c>
      <c r="C316" s="56"/>
      <c r="D316" s="55">
        <v>375762</v>
      </c>
      <c r="E316" s="55">
        <v>13</v>
      </c>
    </row>
    <row r="317" spans="1:5">
      <c r="A317" s="427" t="s">
        <v>163</v>
      </c>
      <c r="B317" s="57" t="s">
        <v>845</v>
      </c>
      <c r="C317" s="56"/>
      <c r="D317" s="55">
        <v>365480</v>
      </c>
      <c r="E317" s="55">
        <v>13</v>
      </c>
    </row>
    <row r="318" spans="1:5">
      <c r="A318" s="427" t="s">
        <v>163</v>
      </c>
      <c r="B318" s="57" t="s">
        <v>846</v>
      </c>
      <c r="C318" s="56"/>
      <c r="D318" s="55">
        <v>363165</v>
      </c>
      <c r="E318" s="55">
        <v>13</v>
      </c>
    </row>
    <row r="319" spans="1:5">
      <c r="A319" s="427" t="s">
        <v>163</v>
      </c>
      <c r="B319" s="57" t="s">
        <v>847</v>
      </c>
      <c r="C319" s="56" t="s">
        <v>1213</v>
      </c>
      <c r="D319" s="55">
        <v>418320</v>
      </c>
      <c r="E319" s="55">
        <v>13</v>
      </c>
    </row>
    <row r="320" spans="1:5">
      <c r="A320" s="427" t="s">
        <v>163</v>
      </c>
      <c r="B320" s="57" t="s">
        <v>848</v>
      </c>
      <c r="C320" s="56"/>
      <c r="D320" s="55">
        <v>431017</v>
      </c>
      <c r="E320" s="55">
        <v>13</v>
      </c>
    </row>
    <row r="321" spans="1:5">
      <c r="A321" s="427" t="s">
        <v>163</v>
      </c>
      <c r="B321" s="9" t="s">
        <v>849</v>
      </c>
      <c r="C321" s="56" t="s">
        <v>1214</v>
      </c>
      <c r="D321" s="55">
        <v>248606</v>
      </c>
      <c r="E321" s="55">
        <v>13</v>
      </c>
    </row>
    <row r="322" spans="1:5">
      <c r="A322" s="427" t="s">
        <v>163</v>
      </c>
      <c r="B322" s="57" t="s">
        <v>850</v>
      </c>
      <c r="C322" s="56"/>
      <c r="D322" s="55">
        <v>420459</v>
      </c>
      <c r="E322" s="55">
        <v>13</v>
      </c>
    </row>
    <row r="323" spans="1:5">
      <c r="A323" s="427" t="s">
        <v>163</v>
      </c>
      <c r="B323" s="57" t="s">
        <v>851</v>
      </c>
      <c r="C323" s="56"/>
      <c r="D323" s="8">
        <v>456560</v>
      </c>
      <c r="E323" s="55">
        <v>13</v>
      </c>
    </row>
    <row r="324" spans="1:5">
      <c r="A324" s="427" t="s">
        <v>163</v>
      </c>
      <c r="B324" s="57" t="s">
        <v>852</v>
      </c>
      <c r="C324" s="56"/>
      <c r="D324" s="55">
        <v>432074</v>
      </c>
      <c r="E324" s="55">
        <v>13</v>
      </c>
    </row>
    <row r="325" spans="1:5">
      <c r="A325" s="427" t="s">
        <v>163</v>
      </c>
      <c r="B325" s="57" t="s">
        <v>853</v>
      </c>
      <c r="C325" s="56"/>
      <c r="D325" s="55">
        <v>418339</v>
      </c>
      <c r="E325" s="55">
        <v>13</v>
      </c>
    </row>
    <row r="326" spans="1:5">
      <c r="A326" s="427" t="s">
        <v>163</v>
      </c>
      <c r="B326" s="57" t="s">
        <v>854</v>
      </c>
      <c r="C326" s="56"/>
      <c r="D326" s="55">
        <v>366623</v>
      </c>
      <c r="E326" s="55">
        <v>13</v>
      </c>
    </row>
    <row r="327" spans="1:5">
      <c r="A327" s="427" t="s">
        <v>163</v>
      </c>
      <c r="B327" s="57" t="s">
        <v>855</v>
      </c>
      <c r="C327" s="56"/>
      <c r="D327" s="55">
        <v>407601</v>
      </c>
      <c r="E327" s="55">
        <v>13</v>
      </c>
    </row>
    <row r="328" spans="1:5">
      <c r="A328" s="427" t="s">
        <v>163</v>
      </c>
      <c r="B328" s="57" t="s">
        <v>856</v>
      </c>
      <c r="C328" s="56"/>
      <c r="D328" s="55">
        <v>364627</v>
      </c>
      <c r="E328" s="55">
        <v>13</v>
      </c>
    </row>
    <row r="329" spans="1:5">
      <c r="A329" s="427" t="s">
        <v>163</v>
      </c>
      <c r="B329" s="57" t="s">
        <v>857</v>
      </c>
      <c r="C329" s="56"/>
      <c r="D329" s="55">
        <v>206905</v>
      </c>
      <c r="E329" s="55">
        <v>13</v>
      </c>
    </row>
    <row r="330" spans="1:5">
      <c r="A330" s="427" t="s">
        <v>163</v>
      </c>
      <c r="B330" s="57" t="s">
        <v>858</v>
      </c>
      <c r="C330" s="56"/>
      <c r="D330" s="55">
        <v>250993</v>
      </c>
      <c r="E330" s="55">
        <v>13</v>
      </c>
    </row>
    <row r="331" spans="1:5">
      <c r="A331" s="427" t="s">
        <v>163</v>
      </c>
      <c r="B331" s="57" t="s">
        <v>859</v>
      </c>
      <c r="C331" s="56"/>
      <c r="D331" s="55">
        <v>365198</v>
      </c>
      <c r="E331" s="55">
        <v>13</v>
      </c>
    </row>
    <row r="332" spans="1:5">
      <c r="A332" s="427" t="s">
        <v>163</v>
      </c>
      <c r="B332" s="57" t="s">
        <v>860</v>
      </c>
      <c r="C332" s="56"/>
      <c r="D332" s="55">
        <v>368364</v>
      </c>
      <c r="E332" s="55">
        <v>13</v>
      </c>
    </row>
    <row r="333" spans="1:5">
      <c r="A333" s="427" t="s">
        <v>163</v>
      </c>
      <c r="B333" s="57" t="s">
        <v>861</v>
      </c>
      <c r="C333" s="56"/>
      <c r="D333" s="55">
        <v>418287</v>
      </c>
      <c r="E333" s="55">
        <v>13</v>
      </c>
    </row>
    <row r="334" spans="1:5">
      <c r="A334" s="427" t="s">
        <v>163</v>
      </c>
      <c r="B334" s="57" t="s">
        <v>862</v>
      </c>
      <c r="C334" s="56"/>
      <c r="D334" s="55">
        <v>207607</v>
      </c>
      <c r="E334" s="55">
        <v>13</v>
      </c>
    </row>
    <row r="335" spans="1:5">
      <c r="A335" s="427" t="s">
        <v>163</v>
      </c>
      <c r="B335" s="57" t="s">
        <v>863</v>
      </c>
      <c r="C335" s="57"/>
      <c r="D335" s="55">
        <v>261393</v>
      </c>
      <c r="E335" s="55">
        <v>13</v>
      </c>
    </row>
    <row r="336" spans="1:5">
      <c r="A336" s="427" t="s">
        <v>163</v>
      </c>
      <c r="B336" s="52" t="s">
        <v>864</v>
      </c>
      <c r="C336" s="57"/>
      <c r="D336" s="8">
        <v>482264</v>
      </c>
      <c r="E336" s="55">
        <v>13</v>
      </c>
    </row>
    <row r="337" spans="1:5">
      <c r="A337" s="427" t="s">
        <v>163</v>
      </c>
      <c r="B337" s="57" t="s">
        <v>865</v>
      </c>
      <c r="C337" s="56"/>
      <c r="D337" s="55">
        <v>261384</v>
      </c>
      <c r="E337" s="55">
        <v>13</v>
      </c>
    </row>
    <row r="338" spans="1:5">
      <c r="A338" s="427" t="s">
        <v>163</v>
      </c>
      <c r="B338" s="52" t="s">
        <v>866</v>
      </c>
      <c r="C338" s="56"/>
      <c r="D338" s="8">
        <v>482273</v>
      </c>
      <c r="E338" s="55">
        <v>13</v>
      </c>
    </row>
    <row r="339" spans="1:5">
      <c r="A339" s="51" t="s">
        <v>163</v>
      </c>
      <c r="B339" s="57" t="s">
        <v>867</v>
      </c>
      <c r="C339" s="56"/>
      <c r="D339" s="55">
        <v>418357</v>
      </c>
      <c r="E339" s="55">
        <v>13</v>
      </c>
    </row>
    <row r="340" spans="1:5">
      <c r="A340" s="51" t="s">
        <v>163</v>
      </c>
      <c r="B340" s="57" t="s">
        <v>868</v>
      </c>
      <c r="C340" s="56"/>
      <c r="D340" s="55">
        <v>418302</v>
      </c>
      <c r="E340" s="55">
        <v>13</v>
      </c>
    </row>
    <row r="341" spans="1:5">
      <c r="A341" s="456" t="s">
        <v>164</v>
      </c>
      <c r="B341" s="27" t="s">
        <v>869</v>
      </c>
      <c r="C341" s="26"/>
      <c r="D341" s="25">
        <v>217882</v>
      </c>
      <c r="E341" s="25">
        <v>1</v>
      </c>
    </row>
    <row r="342" spans="1:5">
      <c r="A342" s="456" t="s">
        <v>164</v>
      </c>
      <c r="B342" s="27" t="s">
        <v>870</v>
      </c>
      <c r="C342" s="26"/>
      <c r="D342" s="25">
        <v>218663</v>
      </c>
      <c r="E342" s="25">
        <v>1</v>
      </c>
    </row>
    <row r="343" spans="1:5">
      <c r="A343" s="456" t="s">
        <v>164</v>
      </c>
      <c r="B343" s="27" t="s">
        <v>871</v>
      </c>
      <c r="C343" s="26"/>
      <c r="D343" s="25">
        <v>217819</v>
      </c>
      <c r="E343" s="25">
        <v>3</v>
      </c>
    </row>
    <row r="344" spans="1:5">
      <c r="A344" s="456" t="s">
        <v>164</v>
      </c>
      <c r="B344" s="27" t="s">
        <v>872</v>
      </c>
      <c r="C344" s="23"/>
      <c r="D344" s="25">
        <v>217864</v>
      </c>
      <c r="E344" s="25">
        <v>3</v>
      </c>
    </row>
    <row r="345" spans="1:5">
      <c r="A345" s="456" t="s">
        <v>164</v>
      </c>
      <c r="B345" s="27" t="s">
        <v>873</v>
      </c>
      <c r="C345" s="26"/>
      <c r="D345" s="25">
        <v>218964</v>
      </c>
      <c r="E345" s="25">
        <v>3</v>
      </c>
    </row>
    <row r="346" spans="1:5">
      <c r="A346" s="456" t="s">
        <v>164</v>
      </c>
      <c r="B346" s="27" t="s">
        <v>874</v>
      </c>
      <c r="C346" s="260"/>
      <c r="D346" s="25">
        <v>218724</v>
      </c>
      <c r="E346" s="25">
        <v>4</v>
      </c>
    </row>
    <row r="347" spans="1:5">
      <c r="A347" s="456" t="s">
        <v>164</v>
      </c>
      <c r="B347" s="27" t="s">
        <v>875</v>
      </c>
      <c r="C347" s="7"/>
      <c r="D347" s="25">
        <v>218061</v>
      </c>
      <c r="E347" s="25">
        <v>5</v>
      </c>
    </row>
    <row r="348" spans="1:5">
      <c r="A348" s="456" t="s">
        <v>164</v>
      </c>
      <c r="B348" s="27" t="s">
        <v>876</v>
      </c>
      <c r="C348" s="7"/>
      <c r="D348" s="25">
        <v>218733</v>
      </c>
      <c r="E348" s="25">
        <v>5</v>
      </c>
    </row>
    <row r="349" spans="1:5">
      <c r="A349" s="456" t="s">
        <v>164</v>
      </c>
      <c r="B349" s="27" t="s">
        <v>877</v>
      </c>
      <c r="C349" s="7" t="s">
        <v>516</v>
      </c>
      <c r="D349" s="25">
        <v>218229</v>
      </c>
      <c r="E349" s="25">
        <v>6</v>
      </c>
    </row>
    <row r="350" spans="1:5">
      <c r="A350" s="456" t="s">
        <v>164</v>
      </c>
      <c r="B350" s="27" t="s">
        <v>878</v>
      </c>
      <c r="C350" s="7" t="s">
        <v>1204</v>
      </c>
      <c r="D350" s="25">
        <v>218645</v>
      </c>
      <c r="E350" s="25">
        <v>6</v>
      </c>
    </row>
    <row r="351" spans="1:5">
      <c r="A351" s="456" t="s">
        <v>164</v>
      </c>
      <c r="B351" s="22" t="s">
        <v>879</v>
      </c>
      <c r="C351" s="7"/>
      <c r="D351" s="25">
        <v>218654</v>
      </c>
      <c r="E351" s="25">
        <v>6</v>
      </c>
    </row>
    <row r="352" spans="1:5">
      <c r="A352" s="456" t="s">
        <v>164</v>
      </c>
      <c r="B352" s="27" t="s">
        <v>880</v>
      </c>
      <c r="C352" s="7"/>
      <c r="D352" s="25">
        <v>218742</v>
      </c>
      <c r="E352" s="25">
        <v>6</v>
      </c>
    </row>
    <row r="353" spans="1:5">
      <c r="A353" s="456" t="s">
        <v>164</v>
      </c>
      <c r="B353" s="27" t="s">
        <v>881</v>
      </c>
      <c r="C353" s="7"/>
      <c r="D353" s="25">
        <v>218113</v>
      </c>
      <c r="E353" s="20">
        <v>8</v>
      </c>
    </row>
    <row r="354" spans="1:5">
      <c r="A354" s="456" t="s">
        <v>164</v>
      </c>
      <c r="B354" s="19" t="s">
        <v>882</v>
      </c>
      <c r="C354" s="7" t="s">
        <v>1208</v>
      </c>
      <c r="D354" s="25">
        <v>218140</v>
      </c>
      <c r="E354" s="20">
        <v>8</v>
      </c>
    </row>
    <row r="355" spans="1:5">
      <c r="A355" s="456" t="s">
        <v>164</v>
      </c>
      <c r="B355" s="27" t="s">
        <v>883</v>
      </c>
      <c r="C355" s="7"/>
      <c r="D355" s="25">
        <v>218353</v>
      </c>
      <c r="E355" s="20">
        <v>8</v>
      </c>
    </row>
    <row r="356" spans="1:5">
      <c r="A356" s="456" t="s">
        <v>164</v>
      </c>
      <c r="B356" s="27" t="s">
        <v>884</v>
      </c>
      <c r="C356" s="7"/>
      <c r="D356" s="25">
        <v>218894</v>
      </c>
      <c r="E356" s="20">
        <v>8</v>
      </c>
    </row>
    <row r="357" spans="1:5">
      <c r="A357" s="456" t="s">
        <v>164</v>
      </c>
      <c r="B357" s="27" t="s">
        <v>885</v>
      </c>
      <c r="C357" s="7"/>
      <c r="D357" s="25">
        <v>218858</v>
      </c>
      <c r="E357" s="20">
        <v>9</v>
      </c>
    </row>
    <row r="358" spans="1:5">
      <c r="A358" s="456" t="s">
        <v>164</v>
      </c>
      <c r="B358" s="19" t="s">
        <v>886</v>
      </c>
      <c r="C358" s="260"/>
      <c r="D358" s="25">
        <v>218025</v>
      </c>
      <c r="E358" s="20">
        <v>9</v>
      </c>
    </row>
    <row r="359" spans="1:5">
      <c r="A359" s="456" t="s">
        <v>164</v>
      </c>
      <c r="B359" s="19" t="s">
        <v>887</v>
      </c>
      <c r="C359" s="260"/>
      <c r="D359" s="25">
        <v>218520</v>
      </c>
      <c r="E359" s="20">
        <v>9</v>
      </c>
    </row>
    <row r="360" spans="1:5">
      <c r="A360" s="456" t="s">
        <v>164</v>
      </c>
      <c r="B360" s="19" t="s">
        <v>888</v>
      </c>
      <c r="C360" s="7"/>
      <c r="D360" s="25">
        <v>218830</v>
      </c>
      <c r="E360" s="20">
        <v>9</v>
      </c>
    </row>
    <row r="361" spans="1:5">
      <c r="A361" s="456" t="s">
        <v>164</v>
      </c>
      <c r="B361" s="27" t="s">
        <v>889</v>
      </c>
      <c r="C361" s="260"/>
      <c r="D361" s="25">
        <v>218885</v>
      </c>
      <c r="E361" s="20">
        <v>9</v>
      </c>
    </row>
    <row r="362" spans="1:5">
      <c r="A362" s="456" t="s">
        <v>164</v>
      </c>
      <c r="B362" s="19" t="s">
        <v>890</v>
      </c>
      <c r="C362" s="7"/>
      <c r="D362" s="25">
        <v>218991</v>
      </c>
      <c r="E362" s="20">
        <v>9</v>
      </c>
    </row>
    <row r="363" spans="1:5">
      <c r="A363" s="456" t="s">
        <v>164</v>
      </c>
      <c r="B363" s="27" t="s">
        <v>891</v>
      </c>
      <c r="C363" s="260"/>
      <c r="D363" s="25">
        <v>217615</v>
      </c>
      <c r="E363" s="20">
        <v>10</v>
      </c>
    </row>
    <row r="364" spans="1:5">
      <c r="A364" s="456" t="s">
        <v>164</v>
      </c>
      <c r="B364" s="27" t="s">
        <v>892</v>
      </c>
      <c r="C364" s="18"/>
      <c r="D364" s="25">
        <v>217989</v>
      </c>
      <c r="E364" s="20">
        <v>10</v>
      </c>
    </row>
    <row r="365" spans="1:5">
      <c r="A365" s="456" t="s">
        <v>164</v>
      </c>
      <c r="B365" s="27" t="s">
        <v>893</v>
      </c>
      <c r="C365" s="18"/>
      <c r="D365" s="25">
        <v>217837</v>
      </c>
      <c r="E365" s="20">
        <v>10</v>
      </c>
    </row>
    <row r="366" spans="1:5">
      <c r="A366" s="456" t="s">
        <v>164</v>
      </c>
      <c r="B366" s="27" t="s">
        <v>894</v>
      </c>
      <c r="C366" s="260"/>
      <c r="D366" s="25">
        <v>218487</v>
      </c>
      <c r="E366" s="20">
        <v>10</v>
      </c>
    </row>
    <row r="367" spans="1:5">
      <c r="A367" s="456" t="s">
        <v>164</v>
      </c>
      <c r="B367" s="27" t="s">
        <v>895</v>
      </c>
      <c r="C367" s="18"/>
      <c r="D367" s="25">
        <v>217712</v>
      </c>
      <c r="E367" s="20">
        <v>10</v>
      </c>
    </row>
    <row r="368" spans="1:5">
      <c r="A368" s="456" t="s">
        <v>164</v>
      </c>
      <c r="B368" s="27" t="s">
        <v>896</v>
      </c>
      <c r="C368" s="18"/>
      <c r="D368" s="25">
        <v>218672</v>
      </c>
      <c r="E368" s="20">
        <v>10</v>
      </c>
    </row>
    <row r="369" spans="1:5">
      <c r="A369" s="456" t="s">
        <v>164</v>
      </c>
      <c r="B369" s="27" t="s">
        <v>897</v>
      </c>
      <c r="C369" s="18"/>
      <c r="D369" s="25">
        <v>218681</v>
      </c>
      <c r="E369" s="20">
        <v>10</v>
      </c>
    </row>
    <row r="370" spans="1:5">
      <c r="A370" s="456" t="s">
        <v>164</v>
      </c>
      <c r="B370" s="27" t="s">
        <v>898</v>
      </c>
      <c r="C370" s="7"/>
      <c r="D370" s="25">
        <v>218690</v>
      </c>
      <c r="E370" s="20">
        <v>10</v>
      </c>
    </row>
    <row r="371" spans="1:5">
      <c r="A371" s="456" t="s">
        <v>164</v>
      </c>
      <c r="B371" s="27" t="s">
        <v>899</v>
      </c>
      <c r="C371" s="7"/>
      <c r="D371" s="25">
        <v>218706</v>
      </c>
      <c r="E371" s="20">
        <v>10</v>
      </c>
    </row>
    <row r="372" spans="1:5">
      <c r="A372" s="456" t="s">
        <v>164</v>
      </c>
      <c r="B372" s="307" t="s">
        <v>900</v>
      </c>
      <c r="C372" s="7"/>
      <c r="D372" s="25">
        <v>218955</v>
      </c>
      <c r="E372" s="20">
        <v>10</v>
      </c>
    </row>
    <row r="373" spans="1:5">
      <c r="A373" s="456" t="s">
        <v>164</v>
      </c>
      <c r="B373" s="27" t="s">
        <v>901</v>
      </c>
      <c r="C373" s="18"/>
      <c r="D373" s="25">
        <v>218335</v>
      </c>
      <c r="E373" s="20">
        <v>15</v>
      </c>
    </row>
    <row r="374" spans="1:5">
      <c r="A374" s="428" t="s">
        <v>165</v>
      </c>
      <c r="B374" s="50" t="s">
        <v>902</v>
      </c>
      <c r="C374" s="49"/>
      <c r="D374" s="48">
        <v>220862</v>
      </c>
      <c r="E374" s="48">
        <v>1</v>
      </c>
    </row>
    <row r="375" spans="1:5">
      <c r="A375" s="428" t="s">
        <v>165</v>
      </c>
      <c r="B375" s="50" t="s">
        <v>903</v>
      </c>
      <c r="C375" s="47"/>
      <c r="D375" s="48">
        <v>221759</v>
      </c>
      <c r="E375" s="48">
        <v>1</v>
      </c>
    </row>
    <row r="376" spans="1:5">
      <c r="A376" s="428" t="s">
        <v>165</v>
      </c>
      <c r="B376" s="429" t="s">
        <v>904</v>
      </c>
      <c r="C376" s="430"/>
      <c r="D376" s="48">
        <v>220075</v>
      </c>
      <c r="E376" s="48">
        <v>2</v>
      </c>
    </row>
    <row r="377" spans="1:5">
      <c r="A377" s="428" t="s">
        <v>165</v>
      </c>
      <c r="B377" s="429" t="s">
        <v>905</v>
      </c>
      <c r="C377" s="5"/>
      <c r="D377" s="48">
        <v>220978</v>
      </c>
      <c r="E377" s="48">
        <v>2</v>
      </c>
    </row>
    <row r="378" spans="1:5">
      <c r="A378" s="428" t="s">
        <v>165</v>
      </c>
      <c r="B378" s="50" t="s">
        <v>906</v>
      </c>
      <c r="C378" s="49"/>
      <c r="D378" s="48">
        <v>221838</v>
      </c>
      <c r="E378" s="48">
        <v>2</v>
      </c>
    </row>
    <row r="379" spans="1:5">
      <c r="A379" s="428" t="s">
        <v>165</v>
      </c>
      <c r="B379" s="50" t="s">
        <v>907</v>
      </c>
      <c r="C379" s="47"/>
      <c r="D379" s="48">
        <v>219602</v>
      </c>
      <c r="E379" s="48">
        <v>3</v>
      </c>
    </row>
    <row r="380" spans="1:5">
      <c r="A380" s="428" t="s">
        <v>165</v>
      </c>
      <c r="B380" s="50" t="s">
        <v>908</v>
      </c>
      <c r="C380" s="6"/>
      <c r="D380" s="48">
        <v>221847</v>
      </c>
      <c r="E380" s="48">
        <v>3</v>
      </c>
    </row>
    <row r="381" spans="1:5">
      <c r="A381" s="428" t="s">
        <v>165</v>
      </c>
      <c r="B381" s="50" t="s">
        <v>909</v>
      </c>
      <c r="C381" s="6"/>
      <c r="D381" s="48">
        <v>221740</v>
      </c>
      <c r="E381" s="120">
        <v>3</v>
      </c>
    </row>
    <row r="382" spans="1:5">
      <c r="A382" s="428" t="s">
        <v>165</v>
      </c>
      <c r="B382" s="429" t="s">
        <v>910</v>
      </c>
      <c r="C382" s="5" t="s">
        <v>1198</v>
      </c>
      <c r="D382" s="48">
        <v>221768</v>
      </c>
      <c r="E382" s="488">
        <v>4</v>
      </c>
    </row>
    <row r="383" spans="1:5">
      <c r="A383" s="428" t="s">
        <v>165</v>
      </c>
      <c r="B383" s="50" t="s">
        <v>912</v>
      </c>
      <c r="C383" s="6"/>
      <c r="D383" s="48">
        <v>219824</v>
      </c>
      <c r="E383" s="120">
        <v>8</v>
      </c>
    </row>
    <row r="384" spans="1:5">
      <c r="A384" s="428" t="s">
        <v>165</v>
      </c>
      <c r="B384" s="50" t="s">
        <v>913</v>
      </c>
      <c r="C384" s="6"/>
      <c r="D384" s="48">
        <v>221184</v>
      </c>
      <c r="E384" s="120">
        <v>8</v>
      </c>
    </row>
    <row r="385" spans="1:5">
      <c r="A385" s="428" t="s">
        <v>165</v>
      </c>
      <c r="B385" s="429" t="s">
        <v>914</v>
      </c>
      <c r="C385" s="6"/>
      <c r="D385" s="48">
        <v>221643</v>
      </c>
      <c r="E385" s="120">
        <v>8</v>
      </c>
    </row>
    <row r="386" spans="1:5">
      <c r="A386" s="428" t="s">
        <v>165</v>
      </c>
      <c r="B386" s="50" t="s">
        <v>915</v>
      </c>
      <c r="C386" s="6"/>
      <c r="D386" s="48">
        <v>221485</v>
      </c>
      <c r="E386" s="120">
        <v>8</v>
      </c>
    </row>
    <row r="387" spans="1:5">
      <c r="A387" s="428" t="s">
        <v>165</v>
      </c>
      <c r="B387" s="50" t="s">
        <v>916</v>
      </c>
      <c r="C387" s="6"/>
      <c r="D387" s="48">
        <v>222053</v>
      </c>
      <c r="E387" s="120">
        <v>8</v>
      </c>
    </row>
    <row r="388" spans="1:5">
      <c r="A388" s="428" t="s">
        <v>165</v>
      </c>
      <c r="B388" s="429" t="s">
        <v>917</v>
      </c>
      <c r="C388" s="6"/>
      <c r="D388" s="48">
        <v>219879</v>
      </c>
      <c r="E388" s="120">
        <v>9</v>
      </c>
    </row>
    <row r="389" spans="1:5">
      <c r="A389" s="428" t="s">
        <v>165</v>
      </c>
      <c r="B389" s="50" t="s">
        <v>918</v>
      </c>
      <c r="C389" s="6"/>
      <c r="D389" s="48">
        <v>219888</v>
      </c>
      <c r="E389" s="120">
        <v>9</v>
      </c>
    </row>
    <row r="390" spans="1:5">
      <c r="A390" s="428" t="s">
        <v>165</v>
      </c>
      <c r="B390" s="429" t="s">
        <v>919</v>
      </c>
      <c r="C390" s="6"/>
      <c r="D390" s="48">
        <v>220400</v>
      </c>
      <c r="E390" s="120">
        <v>9</v>
      </c>
    </row>
    <row r="391" spans="1:5">
      <c r="A391" s="428" t="s">
        <v>165</v>
      </c>
      <c r="B391" s="50" t="s">
        <v>920</v>
      </c>
      <c r="C391" s="6"/>
      <c r="D391" s="48">
        <v>221096</v>
      </c>
      <c r="E391" s="120">
        <v>9</v>
      </c>
    </row>
    <row r="392" spans="1:5">
      <c r="A392" s="428" t="s">
        <v>165</v>
      </c>
      <c r="B392" s="50" t="s">
        <v>921</v>
      </c>
      <c r="C392" s="6"/>
      <c r="D392" s="48">
        <v>221908</v>
      </c>
      <c r="E392" s="120">
        <v>9</v>
      </c>
    </row>
    <row r="393" spans="1:5">
      <c r="A393" s="428" t="s">
        <v>165</v>
      </c>
      <c r="B393" s="429" t="s">
        <v>922</v>
      </c>
      <c r="C393" s="6"/>
      <c r="D393" s="48">
        <v>221397</v>
      </c>
      <c r="E393" s="120">
        <v>9</v>
      </c>
    </row>
    <row r="394" spans="1:5">
      <c r="A394" s="428" t="s">
        <v>165</v>
      </c>
      <c r="B394" s="50" t="s">
        <v>923</v>
      </c>
      <c r="C394" s="6"/>
      <c r="D394" s="48">
        <v>222062</v>
      </c>
      <c r="E394" s="48">
        <v>9</v>
      </c>
    </row>
    <row r="395" spans="1:5">
      <c r="A395" s="428" t="s">
        <v>165</v>
      </c>
      <c r="B395" s="50" t="s">
        <v>924</v>
      </c>
      <c r="C395" s="5"/>
      <c r="D395" s="48">
        <v>220057</v>
      </c>
      <c r="E395" s="120">
        <v>10</v>
      </c>
    </row>
    <row r="396" spans="1:5">
      <c r="A396" s="428" t="s">
        <v>165</v>
      </c>
      <c r="B396" s="429" t="s">
        <v>927</v>
      </c>
      <c r="C396" s="430"/>
      <c r="D396" s="48">
        <v>219596</v>
      </c>
      <c r="E396" s="48">
        <v>13</v>
      </c>
    </row>
    <row r="397" spans="1:5">
      <c r="A397" s="428" t="s">
        <v>165</v>
      </c>
      <c r="B397" s="50" t="s">
        <v>925</v>
      </c>
      <c r="C397" s="489"/>
      <c r="D397" s="48" t="s">
        <v>926</v>
      </c>
      <c r="E397" s="48">
        <v>13</v>
      </c>
    </row>
    <row r="398" spans="1:5">
      <c r="A398" s="428" t="s">
        <v>165</v>
      </c>
      <c r="B398" s="50" t="s">
        <v>928</v>
      </c>
      <c r="C398" s="49"/>
      <c r="D398" s="48">
        <v>219921</v>
      </c>
      <c r="E398" s="48">
        <v>13</v>
      </c>
    </row>
    <row r="399" spans="1:5">
      <c r="A399" s="428" t="s">
        <v>165</v>
      </c>
      <c r="B399" s="50" t="s">
        <v>929</v>
      </c>
      <c r="C399" s="47"/>
      <c r="D399" s="48">
        <v>221591</v>
      </c>
      <c r="E399" s="48">
        <v>13</v>
      </c>
    </row>
    <row r="400" spans="1:5">
      <c r="A400" s="428" t="s">
        <v>165</v>
      </c>
      <c r="B400" s="429" t="s">
        <v>930</v>
      </c>
      <c r="C400" s="430"/>
      <c r="D400" s="48">
        <v>221430</v>
      </c>
      <c r="E400" s="48">
        <v>13</v>
      </c>
    </row>
    <row r="401" spans="1:5">
      <c r="A401" s="428" t="s">
        <v>165</v>
      </c>
      <c r="B401" s="50" t="s">
        <v>931</v>
      </c>
      <c r="C401" s="49"/>
      <c r="D401" s="48">
        <v>219994</v>
      </c>
      <c r="E401" s="48">
        <v>13</v>
      </c>
    </row>
    <row r="402" spans="1:5">
      <c r="A402" s="428" t="s">
        <v>165</v>
      </c>
      <c r="B402" s="50" t="s">
        <v>932</v>
      </c>
      <c r="C402" s="47"/>
      <c r="D402" s="48">
        <v>220127</v>
      </c>
      <c r="E402" s="48">
        <v>13</v>
      </c>
    </row>
    <row r="403" spans="1:5">
      <c r="A403" s="428" t="s">
        <v>165</v>
      </c>
      <c r="B403" s="429" t="s">
        <v>933</v>
      </c>
      <c r="C403" s="430"/>
      <c r="D403" s="48">
        <v>220251</v>
      </c>
      <c r="E403" s="48">
        <v>13</v>
      </c>
    </row>
    <row r="404" spans="1:5">
      <c r="A404" s="428" t="s">
        <v>165</v>
      </c>
      <c r="B404" s="50" t="s">
        <v>934</v>
      </c>
      <c r="C404" s="49"/>
      <c r="D404" s="48">
        <v>220279</v>
      </c>
      <c r="E404" s="48">
        <v>13</v>
      </c>
    </row>
    <row r="405" spans="1:5">
      <c r="A405" s="428" t="s">
        <v>165</v>
      </c>
      <c r="B405" s="50" t="s">
        <v>935</v>
      </c>
      <c r="C405" s="47"/>
      <c r="D405" s="48">
        <v>220321</v>
      </c>
      <c r="E405" s="48">
        <v>13</v>
      </c>
    </row>
    <row r="406" spans="1:5">
      <c r="A406" s="428" t="s">
        <v>165</v>
      </c>
      <c r="B406" s="429" t="s">
        <v>936</v>
      </c>
      <c r="C406" s="430"/>
      <c r="D406" s="48">
        <v>220394</v>
      </c>
      <c r="E406" s="48">
        <v>13</v>
      </c>
    </row>
    <row r="407" spans="1:5">
      <c r="A407" s="428" t="s">
        <v>165</v>
      </c>
      <c r="B407" s="50" t="s">
        <v>937</v>
      </c>
      <c r="C407" s="49"/>
      <c r="D407" s="48">
        <v>221616</v>
      </c>
      <c r="E407" s="48">
        <v>13</v>
      </c>
    </row>
    <row r="408" spans="1:5">
      <c r="A408" s="428" t="s">
        <v>165</v>
      </c>
      <c r="B408" s="50" t="s">
        <v>938</v>
      </c>
      <c r="C408" s="47"/>
      <c r="D408" s="48">
        <v>221625</v>
      </c>
      <c r="E408" s="48">
        <v>13</v>
      </c>
    </row>
    <row r="409" spans="1:5">
      <c r="A409" s="428" t="s">
        <v>165</v>
      </c>
      <c r="B409" s="429" t="s">
        <v>939</v>
      </c>
      <c r="C409" s="430"/>
      <c r="D409" s="48">
        <v>220640</v>
      </c>
      <c r="E409" s="48">
        <v>13</v>
      </c>
    </row>
    <row r="410" spans="1:5">
      <c r="A410" s="428" t="s">
        <v>165</v>
      </c>
      <c r="B410" s="50" t="s">
        <v>940</v>
      </c>
      <c r="C410" s="49"/>
      <c r="D410" s="48">
        <v>220756</v>
      </c>
      <c r="E410" s="48">
        <v>13</v>
      </c>
    </row>
    <row r="411" spans="1:5">
      <c r="A411" s="428" t="s">
        <v>165</v>
      </c>
      <c r="B411" s="50" t="s">
        <v>941</v>
      </c>
      <c r="C411" s="47"/>
      <c r="D411" s="48">
        <v>221607</v>
      </c>
      <c r="E411" s="48">
        <v>13</v>
      </c>
    </row>
    <row r="412" spans="1:5">
      <c r="A412" s="428" t="s">
        <v>165</v>
      </c>
      <c r="B412" s="429" t="s">
        <v>942</v>
      </c>
      <c r="C412" s="430" t="s">
        <v>1215</v>
      </c>
      <c r="D412" s="48">
        <v>220853</v>
      </c>
      <c r="E412" s="48">
        <v>13</v>
      </c>
    </row>
    <row r="413" spans="1:5">
      <c r="A413" s="428" t="s">
        <v>165</v>
      </c>
      <c r="B413" s="50" t="s">
        <v>943</v>
      </c>
      <c r="C413" s="49"/>
      <c r="D413" s="48">
        <v>221050</v>
      </c>
      <c r="E413" s="48">
        <v>13</v>
      </c>
    </row>
    <row r="414" spans="1:5">
      <c r="A414" s="428" t="s">
        <v>165</v>
      </c>
      <c r="B414" s="50" t="s">
        <v>944</v>
      </c>
      <c r="C414" s="47"/>
      <c r="D414" s="48">
        <v>221102</v>
      </c>
      <c r="E414" s="48">
        <v>13</v>
      </c>
    </row>
    <row r="415" spans="1:5">
      <c r="A415" s="428" t="s">
        <v>165</v>
      </c>
      <c r="B415" s="429" t="s">
        <v>945</v>
      </c>
      <c r="C415" s="430"/>
      <c r="D415" s="48">
        <v>248925</v>
      </c>
      <c r="E415" s="48">
        <v>13</v>
      </c>
    </row>
    <row r="416" spans="1:5">
      <c r="A416" s="428" t="s">
        <v>165</v>
      </c>
      <c r="B416" s="50" t="s">
        <v>946</v>
      </c>
      <c r="C416" s="49"/>
      <c r="D416" s="48">
        <v>221236</v>
      </c>
      <c r="E416" s="48">
        <v>13</v>
      </c>
    </row>
    <row r="417" spans="1:5">
      <c r="A417" s="428" t="s">
        <v>165</v>
      </c>
      <c r="B417" s="50" t="s">
        <v>947</v>
      </c>
      <c r="C417" s="47"/>
      <c r="D417" s="48">
        <v>221582</v>
      </c>
      <c r="E417" s="48">
        <v>13</v>
      </c>
    </row>
    <row r="418" spans="1:5">
      <c r="A418" s="428" t="s">
        <v>165</v>
      </c>
      <c r="B418" s="429" t="s">
        <v>948</v>
      </c>
      <c r="C418" s="430"/>
      <c r="D418" s="48">
        <v>221281</v>
      </c>
      <c r="E418" s="48">
        <v>13</v>
      </c>
    </row>
    <row r="419" spans="1:5">
      <c r="A419" s="428" t="s">
        <v>165</v>
      </c>
      <c r="B419" s="50" t="s">
        <v>949</v>
      </c>
      <c r="C419" s="49"/>
      <c r="D419" s="48">
        <v>221333</v>
      </c>
      <c r="E419" s="48">
        <v>13</v>
      </c>
    </row>
    <row r="420" spans="1:5">
      <c r="A420" s="428" t="s">
        <v>165</v>
      </c>
      <c r="B420" s="50" t="s">
        <v>950</v>
      </c>
      <c r="C420" s="47"/>
      <c r="D420" s="48">
        <v>221388</v>
      </c>
      <c r="E420" s="48">
        <v>13</v>
      </c>
    </row>
    <row r="421" spans="1:5">
      <c r="A421" s="428" t="s">
        <v>165</v>
      </c>
      <c r="B421" s="429" t="s">
        <v>951</v>
      </c>
      <c r="C421" s="430"/>
      <c r="D421" s="48">
        <v>221494</v>
      </c>
      <c r="E421" s="48">
        <v>13</v>
      </c>
    </row>
    <row r="422" spans="1:5">
      <c r="A422" s="428" t="s">
        <v>165</v>
      </c>
      <c r="B422" s="50" t="s">
        <v>952</v>
      </c>
      <c r="C422" s="49"/>
      <c r="D422" s="48">
        <v>221634</v>
      </c>
      <c r="E422" s="48">
        <v>13</v>
      </c>
    </row>
    <row r="423" spans="1:5">
      <c r="A423" s="428" t="s">
        <v>165</v>
      </c>
      <c r="B423" s="50" t="s">
        <v>953</v>
      </c>
      <c r="C423" s="47"/>
      <c r="D423" s="48">
        <v>221704</v>
      </c>
      <c r="E423" s="48">
        <v>15</v>
      </c>
    </row>
    <row r="424" spans="1:5">
      <c r="A424" s="457" t="s">
        <v>166</v>
      </c>
      <c r="B424" s="46" t="s">
        <v>954</v>
      </c>
      <c r="C424" s="16"/>
      <c r="D424" s="44">
        <v>228723</v>
      </c>
      <c r="E424" s="44">
        <v>1</v>
      </c>
    </row>
    <row r="425" spans="1:5">
      <c r="A425" s="457" t="s">
        <v>166</v>
      </c>
      <c r="B425" s="46" t="s">
        <v>955</v>
      </c>
      <c r="C425" s="16"/>
      <c r="D425" s="44">
        <v>229115</v>
      </c>
      <c r="E425" s="44">
        <v>1</v>
      </c>
    </row>
    <row r="426" spans="1:5">
      <c r="A426" s="457" t="s">
        <v>166</v>
      </c>
      <c r="B426" s="46" t="s">
        <v>956</v>
      </c>
      <c r="C426" s="16"/>
      <c r="D426" s="44">
        <v>225511</v>
      </c>
      <c r="E426" s="44">
        <v>1</v>
      </c>
    </row>
    <row r="427" spans="1:5">
      <c r="A427" s="457" t="s">
        <v>166</v>
      </c>
      <c r="B427" s="46" t="s">
        <v>957</v>
      </c>
      <c r="C427" s="16"/>
      <c r="D427" s="44">
        <v>227216</v>
      </c>
      <c r="E427" s="44">
        <v>1</v>
      </c>
    </row>
    <row r="428" spans="1:5">
      <c r="A428" s="457" t="s">
        <v>166</v>
      </c>
      <c r="B428" s="46" t="s">
        <v>958</v>
      </c>
      <c r="C428" s="16"/>
      <c r="D428" s="44">
        <v>228769</v>
      </c>
      <c r="E428" s="44">
        <v>1</v>
      </c>
    </row>
    <row r="429" spans="1:5">
      <c r="A429" s="457" t="s">
        <v>166</v>
      </c>
      <c r="B429" s="46" t="s">
        <v>959</v>
      </c>
      <c r="C429" s="16"/>
      <c r="D429" s="44">
        <v>228778</v>
      </c>
      <c r="E429" s="44">
        <v>1</v>
      </c>
    </row>
    <row r="430" spans="1:5">
      <c r="A430" s="457" t="s">
        <v>166</v>
      </c>
      <c r="B430" s="46" t="s">
        <v>960</v>
      </c>
      <c r="C430" s="16"/>
      <c r="D430" s="44">
        <v>228787</v>
      </c>
      <c r="E430" s="44">
        <v>1</v>
      </c>
    </row>
    <row r="431" spans="1:5">
      <c r="A431" s="457" t="s">
        <v>166</v>
      </c>
      <c r="B431" s="46" t="s">
        <v>961</v>
      </c>
      <c r="C431" s="4"/>
      <c r="D431" s="44">
        <v>229027</v>
      </c>
      <c r="E431" s="44">
        <v>1</v>
      </c>
    </row>
    <row r="432" spans="1:5">
      <c r="A432" s="457" t="s">
        <v>166</v>
      </c>
      <c r="B432" s="1" t="s">
        <v>962</v>
      </c>
      <c r="C432" s="4"/>
      <c r="D432" s="44">
        <v>228459</v>
      </c>
      <c r="E432" s="44">
        <v>2</v>
      </c>
    </row>
    <row r="433" spans="1:5">
      <c r="A433" s="457" t="s">
        <v>166</v>
      </c>
      <c r="B433" s="46" t="s">
        <v>963</v>
      </c>
      <c r="C433" s="15" t="s">
        <v>1216</v>
      </c>
      <c r="D433" s="44">
        <v>229179</v>
      </c>
      <c r="E433" s="44">
        <v>2</v>
      </c>
    </row>
    <row r="434" spans="1:5">
      <c r="A434" s="457" t="s">
        <v>166</v>
      </c>
      <c r="B434" s="46" t="s">
        <v>964</v>
      </c>
      <c r="C434" s="491" t="s">
        <v>1217</v>
      </c>
      <c r="D434" s="44">
        <v>228796</v>
      </c>
      <c r="E434" s="44">
        <v>2</v>
      </c>
    </row>
    <row r="435" spans="1:5">
      <c r="A435" s="457" t="s">
        <v>166</v>
      </c>
      <c r="B435" s="46" t="s">
        <v>965</v>
      </c>
      <c r="C435" s="15"/>
      <c r="D435" s="44">
        <v>222831</v>
      </c>
      <c r="E435" s="44">
        <v>3</v>
      </c>
    </row>
    <row r="436" spans="1:5">
      <c r="A436" s="457" t="s">
        <v>166</v>
      </c>
      <c r="B436" s="46" t="s">
        <v>966</v>
      </c>
      <c r="C436" s="15"/>
      <c r="D436" s="44">
        <v>226091</v>
      </c>
      <c r="E436" s="44">
        <v>3</v>
      </c>
    </row>
    <row r="437" spans="1:5">
      <c r="A437" s="457" t="s">
        <v>166</v>
      </c>
      <c r="B437" s="46" t="s">
        <v>967</v>
      </c>
      <c r="C437" s="15"/>
      <c r="D437" s="44">
        <v>226833</v>
      </c>
      <c r="E437" s="44">
        <v>3</v>
      </c>
    </row>
    <row r="438" spans="1:5">
      <c r="A438" s="457" t="s">
        <v>166</v>
      </c>
      <c r="B438" s="46" t="s">
        <v>968</v>
      </c>
      <c r="C438" s="15"/>
      <c r="D438" s="44">
        <v>227526</v>
      </c>
      <c r="E438" s="44">
        <v>3</v>
      </c>
    </row>
    <row r="439" spans="1:5">
      <c r="A439" s="457" t="s">
        <v>166</v>
      </c>
      <c r="B439" s="46" t="s">
        <v>969</v>
      </c>
      <c r="C439" s="15"/>
      <c r="D439" s="44">
        <v>227881</v>
      </c>
      <c r="E439" s="44">
        <v>3</v>
      </c>
    </row>
    <row r="440" spans="1:5">
      <c r="A440" s="457" t="s">
        <v>166</v>
      </c>
      <c r="B440" s="46" t="s">
        <v>970</v>
      </c>
      <c r="C440" s="15"/>
      <c r="D440" s="44">
        <v>228431</v>
      </c>
      <c r="E440" s="44">
        <v>3</v>
      </c>
    </row>
    <row r="441" spans="1:5">
      <c r="A441" s="457" t="s">
        <v>166</v>
      </c>
      <c r="B441" s="46" t="s">
        <v>971</v>
      </c>
      <c r="C441" s="15"/>
      <c r="D441" s="44">
        <v>228501</v>
      </c>
      <c r="E441" s="44">
        <v>3</v>
      </c>
    </row>
    <row r="442" spans="1:5">
      <c r="A442" s="457" t="s">
        <v>166</v>
      </c>
      <c r="B442" s="46" t="s">
        <v>972</v>
      </c>
      <c r="C442" s="15"/>
      <c r="D442" s="44">
        <v>228529</v>
      </c>
      <c r="E442" s="44">
        <v>3</v>
      </c>
    </row>
    <row r="443" spans="1:5">
      <c r="A443" s="457" t="s">
        <v>166</v>
      </c>
      <c r="B443" s="46" t="s">
        <v>973</v>
      </c>
      <c r="C443" s="15"/>
      <c r="D443" s="44">
        <v>226152</v>
      </c>
      <c r="E443" s="44">
        <v>3</v>
      </c>
    </row>
    <row r="444" spans="1:5">
      <c r="A444" s="457" t="s">
        <v>166</v>
      </c>
      <c r="B444" s="46" t="s">
        <v>974</v>
      </c>
      <c r="C444" s="15"/>
      <c r="D444" s="44">
        <v>224554</v>
      </c>
      <c r="E444" s="44">
        <v>3</v>
      </c>
    </row>
    <row r="445" spans="1:5">
      <c r="A445" s="457" t="s">
        <v>166</v>
      </c>
      <c r="B445" s="46" t="s">
        <v>975</v>
      </c>
      <c r="C445" s="15" t="s">
        <v>633</v>
      </c>
      <c r="D445" s="44">
        <v>224147</v>
      </c>
      <c r="E445" s="44">
        <v>3</v>
      </c>
    </row>
    <row r="446" spans="1:5">
      <c r="A446" s="457" t="s">
        <v>166</v>
      </c>
      <c r="B446" s="46" t="s">
        <v>976</v>
      </c>
      <c r="C446" s="15"/>
      <c r="D446" s="44">
        <v>228705</v>
      </c>
      <c r="E446" s="44">
        <v>3</v>
      </c>
    </row>
    <row r="447" spans="1:5">
      <c r="A447" s="457" t="s">
        <v>166</v>
      </c>
      <c r="B447" s="46" t="s">
        <v>977</v>
      </c>
      <c r="C447" s="15"/>
      <c r="D447" s="44">
        <v>229063</v>
      </c>
      <c r="E447" s="44">
        <v>3</v>
      </c>
    </row>
    <row r="448" spans="1:5">
      <c r="A448" s="457" t="s">
        <v>166</v>
      </c>
      <c r="B448" s="46" t="s">
        <v>978</v>
      </c>
      <c r="C448" s="15"/>
      <c r="D448" s="44">
        <v>225414</v>
      </c>
      <c r="E448" s="44">
        <v>3</v>
      </c>
    </row>
    <row r="449" spans="1:5">
      <c r="A449" s="457" t="s">
        <v>166</v>
      </c>
      <c r="B449" s="261" t="s">
        <v>979</v>
      </c>
      <c r="C449" s="15"/>
      <c r="D449" s="44">
        <v>228802</v>
      </c>
      <c r="E449" s="44">
        <v>3</v>
      </c>
    </row>
    <row r="450" spans="1:5">
      <c r="A450" s="457" t="s">
        <v>166</v>
      </c>
      <c r="B450" s="262" t="s">
        <v>980</v>
      </c>
      <c r="C450" s="15"/>
      <c r="D450" s="44">
        <v>229018</v>
      </c>
      <c r="E450" s="44">
        <v>3</v>
      </c>
    </row>
    <row r="451" spans="1:5">
      <c r="A451" s="457" t="s">
        <v>166</v>
      </c>
      <c r="B451" s="1" t="s">
        <v>981</v>
      </c>
      <c r="C451" s="15"/>
      <c r="D451" s="125">
        <v>227368</v>
      </c>
      <c r="E451" s="44">
        <v>3</v>
      </c>
    </row>
    <row r="452" spans="1:5">
      <c r="A452" s="457" t="s">
        <v>166</v>
      </c>
      <c r="B452" s="46" t="s">
        <v>982</v>
      </c>
      <c r="C452" s="15"/>
      <c r="D452" s="44">
        <v>229814</v>
      </c>
      <c r="E452" s="44">
        <v>3</v>
      </c>
    </row>
    <row r="453" spans="1:5">
      <c r="A453" s="457" t="s">
        <v>166</v>
      </c>
      <c r="B453" s="46" t="s">
        <v>983</v>
      </c>
      <c r="C453" s="15"/>
      <c r="D453" s="44">
        <v>224545</v>
      </c>
      <c r="E453" s="44">
        <v>4</v>
      </c>
    </row>
    <row r="454" spans="1:5">
      <c r="A454" s="457" t="s">
        <v>166</v>
      </c>
      <c r="B454" s="46" t="s">
        <v>984</v>
      </c>
      <c r="C454" s="490" t="s">
        <v>1199</v>
      </c>
      <c r="D454" s="44">
        <v>483036</v>
      </c>
      <c r="E454" s="467">
        <v>3</v>
      </c>
    </row>
    <row r="455" spans="1:5">
      <c r="A455" s="457" t="s">
        <v>166</v>
      </c>
      <c r="B455" s="46" t="s">
        <v>990</v>
      </c>
      <c r="C455" s="491"/>
      <c r="D455" s="44">
        <v>225432</v>
      </c>
      <c r="E455" s="44">
        <v>4</v>
      </c>
    </row>
    <row r="456" spans="1:5">
      <c r="A456" s="457" t="s">
        <v>166</v>
      </c>
      <c r="B456" s="46" t="s">
        <v>985</v>
      </c>
      <c r="C456" s="15"/>
      <c r="D456" s="44">
        <v>225502</v>
      </c>
      <c r="E456" s="44">
        <v>4</v>
      </c>
    </row>
    <row r="457" spans="1:5">
      <c r="A457" s="457" t="s">
        <v>166</v>
      </c>
      <c r="B457" s="46" t="s">
        <v>986</v>
      </c>
      <c r="C457" s="15"/>
      <c r="D457" s="44" t="s">
        <v>987</v>
      </c>
      <c r="E457" s="44">
        <v>5</v>
      </c>
    </row>
    <row r="458" spans="1:5">
      <c r="A458" s="457" t="s">
        <v>166</v>
      </c>
      <c r="B458" s="46" t="s">
        <v>988</v>
      </c>
      <c r="C458" s="4"/>
      <c r="D458" s="44">
        <v>228714</v>
      </c>
      <c r="E458" s="44">
        <v>5</v>
      </c>
    </row>
    <row r="459" spans="1:5">
      <c r="A459" s="457" t="s">
        <v>166</v>
      </c>
      <c r="B459" s="46" t="s">
        <v>989</v>
      </c>
      <c r="C459" s="490" t="s">
        <v>1200</v>
      </c>
      <c r="D459" s="44">
        <v>870501</v>
      </c>
      <c r="E459" s="467">
        <v>4</v>
      </c>
    </row>
    <row r="460" spans="1:5">
      <c r="A460" s="457" t="s">
        <v>166</v>
      </c>
      <c r="B460" s="46" t="s">
        <v>991</v>
      </c>
      <c r="C460" s="491" t="s">
        <v>1218</v>
      </c>
      <c r="D460" s="44">
        <v>223506</v>
      </c>
      <c r="E460" s="125">
        <v>7</v>
      </c>
    </row>
    <row r="461" spans="1:5">
      <c r="A461" s="457" t="s">
        <v>166</v>
      </c>
      <c r="B461" s="46" t="s">
        <v>992</v>
      </c>
      <c r="C461" s="491" t="s">
        <v>1218</v>
      </c>
      <c r="D461" s="44">
        <v>226806</v>
      </c>
      <c r="E461" s="125">
        <v>7</v>
      </c>
    </row>
    <row r="462" spans="1:5">
      <c r="A462" s="457" t="s">
        <v>166</v>
      </c>
      <c r="B462" s="46" t="s">
        <v>993</v>
      </c>
      <c r="C462" s="491" t="s">
        <v>1219</v>
      </c>
      <c r="D462" s="44">
        <v>409315</v>
      </c>
      <c r="E462" s="125">
        <v>7</v>
      </c>
    </row>
    <row r="463" spans="1:5">
      <c r="A463" s="457" t="s">
        <v>166</v>
      </c>
      <c r="B463" s="46" t="s">
        <v>994</v>
      </c>
      <c r="C463" s="15"/>
      <c r="D463" s="44">
        <v>222576</v>
      </c>
      <c r="E463" s="125">
        <v>8</v>
      </c>
    </row>
    <row r="464" spans="1:5">
      <c r="A464" s="457" t="s">
        <v>166</v>
      </c>
      <c r="B464" s="46" t="s">
        <v>995</v>
      </c>
      <c r="C464" s="15" t="s">
        <v>996</v>
      </c>
      <c r="D464" s="44">
        <v>222992</v>
      </c>
      <c r="E464" s="125">
        <v>8</v>
      </c>
    </row>
    <row r="465" spans="1:5">
      <c r="A465" s="457" t="s">
        <v>166</v>
      </c>
      <c r="B465" s="46" t="s">
        <v>997</v>
      </c>
      <c r="C465" s="15"/>
      <c r="D465" s="44">
        <v>223427</v>
      </c>
      <c r="E465" s="125">
        <v>8</v>
      </c>
    </row>
    <row r="466" spans="1:5">
      <c r="A466" s="17" t="s">
        <v>166</v>
      </c>
      <c r="B466" s="46" t="s">
        <v>998</v>
      </c>
      <c r="C466" s="491" t="s">
        <v>1218</v>
      </c>
      <c r="D466" s="44">
        <v>223524</v>
      </c>
      <c r="E466" s="125">
        <v>8</v>
      </c>
    </row>
    <row r="467" spans="1:5">
      <c r="A467" s="17" t="s">
        <v>166</v>
      </c>
      <c r="B467" s="46" t="s">
        <v>999</v>
      </c>
      <c r="C467" s="15"/>
      <c r="D467" s="44">
        <v>223816</v>
      </c>
      <c r="E467" s="125">
        <v>8</v>
      </c>
    </row>
    <row r="468" spans="1:5">
      <c r="A468" s="17" t="s">
        <v>166</v>
      </c>
      <c r="B468" s="46" t="s">
        <v>1000</v>
      </c>
      <c r="C468" s="15"/>
      <c r="D468" s="44">
        <v>247834</v>
      </c>
      <c r="E468" s="125">
        <v>8</v>
      </c>
    </row>
    <row r="469" spans="1:5">
      <c r="A469" s="17" t="s">
        <v>166</v>
      </c>
      <c r="B469" s="46" t="s">
        <v>1001</v>
      </c>
      <c r="C469" s="15"/>
      <c r="D469" s="44">
        <v>224350</v>
      </c>
      <c r="E469" s="125">
        <v>8</v>
      </c>
    </row>
    <row r="470" spans="1:5">
      <c r="A470" s="17" t="s">
        <v>166</v>
      </c>
      <c r="B470" s="46" t="s">
        <v>1002</v>
      </c>
      <c r="C470" s="15"/>
      <c r="D470" s="44">
        <v>224572</v>
      </c>
      <c r="E470" s="125">
        <v>8</v>
      </c>
    </row>
    <row r="471" spans="1:5">
      <c r="A471" s="17" t="s">
        <v>166</v>
      </c>
      <c r="B471" s="46" t="s">
        <v>1003</v>
      </c>
      <c r="C471" s="15"/>
      <c r="D471" s="44">
        <v>224615</v>
      </c>
      <c r="E471" s="125">
        <v>8</v>
      </c>
    </row>
    <row r="472" spans="1:5">
      <c r="A472" s="17" t="s">
        <v>166</v>
      </c>
      <c r="B472" s="46" t="s">
        <v>1004</v>
      </c>
      <c r="C472" s="15"/>
      <c r="D472" s="44">
        <v>224642</v>
      </c>
      <c r="E472" s="125">
        <v>8</v>
      </c>
    </row>
    <row r="473" spans="1:5">
      <c r="A473" s="17" t="s">
        <v>166</v>
      </c>
      <c r="B473" s="46" t="s">
        <v>1005</v>
      </c>
      <c r="C473" s="15"/>
      <c r="D473" s="44">
        <v>225423</v>
      </c>
      <c r="E473" s="125">
        <v>8</v>
      </c>
    </row>
    <row r="474" spans="1:5">
      <c r="A474" s="17" t="s">
        <v>166</v>
      </c>
      <c r="B474" s="46" t="s">
        <v>1006</v>
      </c>
      <c r="C474" s="15"/>
      <c r="D474" s="44">
        <v>226134</v>
      </c>
      <c r="E474" s="125">
        <v>8</v>
      </c>
    </row>
    <row r="475" spans="1:5">
      <c r="A475" s="17" t="s">
        <v>166</v>
      </c>
      <c r="B475" s="46" t="s">
        <v>1007</v>
      </c>
      <c r="C475" s="15"/>
      <c r="D475" s="44">
        <v>227182</v>
      </c>
      <c r="E475" s="125">
        <v>8</v>
      </c>
    </row>
    <row r="476" spans="1:5">
      <c r="A476" s="17" t="s">
        <v>166</v>
      </c>
      <c r="B476" s="46" t="s">
        <v>1008</v>
      </c>
      <c r="C476" s="15"/>
      <c r="D476" s="44">
        <v>226578</v>
      </c>
      <c r="E476" s="125">
        <v>8</v>
      </c>
    </row>
    <row r="477" spans="1:5">
      <c r="A477" s="17" t="s">
        <v>166</v>
      </c>
      <c r="B477" s="46" t="s">
        <v>1009</v>
      </c>
      <c r="C477" s="4"/>
      <c r="D477" s="44">
        <v>226930</v>
      </c>
      <c r="E477" s="125">
        <v>8</v>
      </c>
    </row>
    <row r="478" spans="1:5">
      <c r="A478" s="17" t="s">
        <v>166</v>
      </c>
      <c r="B478" s="46" t="s">
        <v>1010</v>
      </c>
      <c r="C478" s="15"/>
      <c r="D478" s="44">
        <v>227146</v>
      </c>
      <c r="E478" s="125">
        <v>8</v>
      </c>
    </row>
    <row r="479" spans="1:5">
      <c r="A479" s="17" t="s">
        <v>166</v>
      </c>
      <c r="B479" s="46" t="s">
        <v>1011</v>
      </c>
      <c r="C479" s="15"/>
      <c r="D479" s="44">
        <v>224110</v>
      </c>
      <c r="E479" s="125">
        <v>8</v>
      </c>
    </row>
    <row r="480" spans="1:5">
      <c r="A480" s="17" t="s">
        <v>166</v>
      </c>
      <c r="B480" s="46" t="s">
        <v>1012</v>
      </c>
      <c r="C480" s="15"/>
      <c r="D480" s="44">
        <v>227191</v>
      </c>
      <c r="E480" s="125">
        <v>8</v>
      </c>
    </row>
    <row r="481" spans="1:5">
      <c r="A481" s="17" t="s">
        <v>166</v>
      </c>
      <c r="B481" s="46" t="s">
        <v>1013</v>
      </c>
      <c r="C481" s="15"/>
      <c r="D481" s="44">
        <v>420398</v>
      </c>
      <c r="E481" s="125">
        <v>8</v>
      </c>
    </row>
    <row r="482" spans="1:5">
      <c r="A482" s="457" t="s">
        <v>166</v>
      </c>
      <c r="B482" s="46" t="s">
        <v>1014</v>
      </c>
      <c r="C482" s="15"/>
      <c r="D482" s="44">
        <v>246354</v>
      </c>
      <c r="E482" s="125">
        <v>8</v>
      </c>
    </row>
    <row r="483" spans="1:5">
      <c r="A483" s="457" t="s">
        <v>166</v>
      </c>
      <c r="B483" s="46" t="s">
        <v>1015</v>
      </c>
      <c r="C483" s="15"/>
      <c r="D483" s="44">
        <v>227766</v>
      </c>
      <c r="E483" s="125">
        <v>8</v>
      </c>
    </row>
    <row r="484" spans="1:5">
      <c r="A484" s="457" t="s">
        <v>166</v>
      </c>
      <c r="B484" s="46" t="s">
        <v>1016</v>
      </c>
      <c r="C484" s="15"/>
      <c r="D484" s="44">
        <v>227924</v>
      </c>
      <c r="E484" s="125">
        <v>8</v>
      </c>
    </row>
    <row r="485" spans="1:5">
      <c r="A485" s="457" t="s">
        <v>166</v>
      </c>
      <c r="B485" s="46" t="s">
        <v>1017</v>
      </c>
      <c r="C485" s="15"/>
      <c r="D485" s="44">
        <v>227979</v>
      </c>
      <c r="E485" s="125">
        <v>8</v>
      </c>
    </row>
    <row r="486" spans="1:5">
      <c r="A486" s="457" t="s">
        <v>166</v>
      </c>
      <c r="B486" s="46" t="s">
        <v>1018</v>
      </c>
      <c r="C486" s="15"/>
      <c r="D486" s="44">
        <v>228158</v>
      </c>
      <c r="E486" s="125">
        <v>8</v>
      </c>
    </row>
    <row r="487" spans="1:5">
      <c r="A487" s="457" t="s">
        <v>166</v>
      </c>
      <c r="B487" s="46" t="s">
        <v>1019</v>
      </c>
      <c r="C487" s="15"/>
      <c r="D487" s="44">
        <v>227854</v>
      </c>
      <c r="E487" s="125">
        <v>8</v>
      </c>
    </row>
    <row r="488" spans="1:5">
      <c r="A488" s="457" t="s">
        <v>166</v>
      </c>
      <c r="B488" s="46" t="s">
        <v>1020</v>
      </c>
      <c r="C488" s="15"/>
      <c r="D488" s="44">
        <v>228547</v>
      </c>
      <c r="E488" s="125">
        <v>8</v>
      </c>
    </row>
    <row r="489" spans="1:5">
      <c r="A489" s="457" t="s">
        <v>166</v>
      </c>
      <c r="B489" s="46" t="s">
        <v>1021</v>
      </c>
      <c r="C489" s="15"/>
      <c r="D489" s="44">
        <v>225308</v>
      </c>
      <c r="E489" s="125">
        <v>8</v>
      </c>
    </row>
    <row r="490" spans="1:5">
      <c r="A490" s="457" t="s">
        <v>166</v>
      </c>
      <c r="B490" s="46" t="s">
        <v>1022</v>
      </c>
      <c r="C490" s="15" t="s">
        <v>608</v>
      </c>
      <c r="D490" s="44">
        <v>229355</v>
      </c>
      <c r="E490" s="125">
        <v>8</v>
      </c>
    </row>
    <row r="491" spans="1:5">
      <c r="A491" s="457" t="s">
        <v>166</v>
      </c>
      <c r="B491" s="46" t="s">
        <v>1023</v>
      </c>
      <c r="C491" s="15"/>
      <c r="D491" s="44">
        <v>222567</v>
      </c>
      <c r="E491" s="125">
        <v>9</v>
      </c>
    </row>
    <row r="492" spans="1:5">
      <c r="A492" s="457" t="s">
        <v>166</v>
      </c>
      <c r="B492" s="46" t="s">
        <v>1024</v>
      </c>
      <c r="C492" s="15"/>
      <c r="D492" s="44">
        <v>222822</v>
      </c>
      <c r="E492" s="125">
        <v>9</v>
      </c>
    </row>
    <row r="493" spans="1:5">
      <c r="A493" s="457" t="s">
        <v>166</v>
      </c>
      <c r="B493" s="46" t="s">
        <v>1025</v>
      </c>
      <c r="C493" s="15"/>
      <c r="D493" s="44">
        <v>223773</v>
      </c>
      <c r="E493" s="125">
        <v>9</v>
      </c>
    </row>
    <row r="494" spans="1:5">
      <c r="A494" s="457" t="s">
        <v>166</v>
      </c>
      <c r="B494" s="466" t="s">
        <v>1026</v>
      </c>
      <c r="C494" s="15"/>
      <c r="D494" s="44">
        <v>223898</v>
      </c>
      <c r="E494" s="125">
        <v>9</v>
      </c>
    </row>
    <row r="495" spans="1:5">
      <c r="A495" s="457" t="s">
        <v>166</v>
      </c>
      <c r="B495" s="46" t="s">
        <v>1027</v>
      </c>
      <c r="C495" s="15"/>
      <c r="D495" s="44">
        <v>223320</v>
      </c>
      <c r="E495" s="125">
        <v>9</v>
      </c>
    </row>
    <row r="496" spans="1:5">
      <c r="A496" s="457" t="s">
        <v>166</v>
      </c>
      <c r="B496" s="46" t="s">
        <v>1028</v>
      </c>
      <c r="C496" s="15"/>
      <c r="D496" s="44">
        <v>226408</v>
      </c>
      <c r="E496" s="125">
        <v>9</v>
      </c>
    </row>
    <row r="497" spans="1:5">
      <c r="A497" s="457" t="s">
        <v>166</v>
      </c>
      <c r="B497" s="466" t="s">
        <v>1029</v>
      </c>
      <c r="C497" s="15"/>
      <c r="D497" s="44">
        <v>225070</v>
      </c>
      <c r="E497" s="125">
        <v>9</v>
      </c>
    </row>
    <row r="498" spans="1:5">
      <c r="A498" s="457" t="s">
        <v>166</v>
      </c>
      <c r="B498" s="46" t="s">
        <v>1030</v>
      </c>
      <c r="C498" s="15"/>
      <c r="D498" s="44">
        <v>225371</v>
      </c>
      <c r="E498" s="125">
        <v>9</v>
      </c>
    </row>
    <row r="499" spans="1:5">
      <c r="A499" s="457" t="s">
        <v>166</v>
      </c>
      <c r="B499" s="46" t="s">
        <v>1031</v>
      </c>
      <c r="C499" s="15"/>
      <c r="D499" s="44">
        <v>225520</v>
      </c>
      <c r="E499" s="125">
        <v>9</v>
      </c>
    </row>
    <row r="500" spans="1:5">
      <c r="A500" s="457" t="s">
        <v>166</v>
      </c>
      <c r="B500" s="46" t="s">
        <v>1032</v>
      </c>
      <c r="C500" s="15"/>
      <c r="D500" s="44">
        <v>226019</v>
      </c>
      <c r="E500" s="125">
        <v>9</v>
      </c>
    </row>
    <row r="501" spans="1:5">
      <c r="A501" s="457" t="s">
        <v>166</v>
      </c>
      <c r="B501" s="46" t="s">
        <v>1033</v>
      </c>
      <c r="C501" s="15"/>
      <c r="D501" s="44">
        <v>441760</v>
      </c>
      <c r="E501" s="125">
        <v>9</v>
      </c>
    </row>
    <row r="502" spans="1:5">
      <c r="A502" s="457" t="s">
        <v>166</v>
      </c>
      <c r="B502" s="46" t="s">
        <v>1034</v>
      </c>
      <c r="C502" s="15"/>
      <c r="D502" s="44">
        <v>226204</v>
      </c>
      <c r="E502" s="125">
        <v>9</v>
      </c>
    </row>
    <row r="503" spans="1:5">
      <c r="A503" s="457" t="s">
        <v>166</v>
      </c>
      <c r="B503" s="46" t="s">
        <v>1035</v>
      </c>
      <c r="C503" s="16" t="s">
        <v>1220</v>
      </c>
      <c r="D503" s="44">
        <v>227225</v>
      </c>
      <c r="E503" s="125">
        <v>9</v>
      </c>
    </row>
    <row r="504" spans="1:5">
      <c r="A504" s="457" t="s">
        <v>166</v>
      </c>
      <c r="B504" s="46" t="s">
        <v>1036</v>
      </c>
      <c r="C504" s="16"/>
      <c r="D504" s="44">
        <v>227304</v>
      </c>
      <c r="E504" s="125">
        <v>9</v>
      </c>
    </row>
    <row r="505" spans="1:5">
      <c r="A505" s="457" t="s">
        <v>166</v>
      </c>
      <c r="B505" s="46" t="s">
        <v>1037</v>
      </c>
      <c r="C505" s="16"/>
      <c r="D505" s="44">
        <v>227401</v>
      </c>
      <c r="E505" s="125">
        <v>9</v>
      </c>
    </row>
    <row r="506" spans="1:5">
      <c r="A506" s="457" t="s">
        <v>166</v>
      </c>
      <c r="B506" s="46" t="s">
        <v>1038</v>
      </c>
      <c r="C506" s="16"/>
      <c r="D506" s="44">
        <v>228316</v>
      </c>
      <c r="E506" s="125">
        <v>9</v>
      </c>
    </row>
    <row r="507" spans="1:5">
      <c r="A507" s="457" t="s">
        <v>166</v>
      </c>
      <c r="B507" s="46" t="s">
        <v>1039</v>
      </c>
      <c r="C507" s="16"/>
      <c r="D507" s="44">
        <v>228608</v>
      </c>
      <c r="E507" s="125">
        <v>9</v>
      </c>
    </row>
    <row r="508" spans="1:5">
      <c r="A508" s="457" t="s">
        <v>166</v>
      </c>
      <c r="B508" s="46" t="s">
        <v>1040</v>
      </c>
      <c r="C508" s="16"/>
      <c r="D508" s="44">
        <v>228699</v>
      </c>
      <c r="E508" s="125">
        <v>9</v>
      </c>
    </row>
    <row r="509" spans="1:5">
      <c r="A509" s="457" t="s">
        <v>166</v>
      </c>
      <c r="B509" s="46" t="s">
        <v>1041</v>
      </c>
      <c r="C509" s="16" t="s">
        <v>1176</v>
      </c>
      <c r="D509" s="454">
        <v>227377</v>
      </c>
      <c r="E509" s="125">
        <v>9</v>
      </c>
    </row>
    <row r="510" spans="1:5">
      <c r="A510" s="457" t="s">
        <v>166</v>
      </c>
      <c r="B510" s="46" t="s">
        <v>1042</v>
      </c>
      <c r="C510" s="45"/>
      <c r="D510" s="44">
        <v>229319</v>
      </c>
      <c r="E510" s="125">
        <v>9</v>
      </c>
    </row>
    <row r="511" spans="1:5">
      <c r="A511" s="457" t="s">
        <v>166</v>
      </c>
      <c r="B511" s="46" t="s">
        <v>1043</v>
      </c>
      <c r="C511" s="45"/>
      <c r="D511" s="44">
        <v>228680</v>
      </c>
      <c r="E511" s="125">
        <v>9</v>
      </c>
    </row>
    <row r="512" spans="1:5">
      <c r="A512" s="457" t="s">
        <v>166</v>
      </c>
      <c r="B512" s="46" t="s">
        <v>1044</v>
      </c>
      <c r="C512" s="16" t="s">
        <v>1220</v>
      </c>
      <c r="D512" s="44">
        <v>229504</v>
      </c>
      <c r="E512" s="125">
        <v>9</v>
      </c>
    </row>
    <row r="513" spans="1:5">
      <c r="A513" s="457" t="s">
        <v>166</v>
      </c>
      <c r="B513" s="46" t="s">
        <v>1045</v>
      </c>
      <c r="C513" s="16"/>
      <c r="D513" s="44">
        <v>229540</v>
      </c>
      <c r="E513" s="125">
        <v>9</v>
      </c>
    </row>
    <row r="514" spans="1:5">
      <c r="A514" s="457" t="s">
        <v>166</v>
      </c>
      <c r="B514" s="46" t="s">
        <v>1046</v>
      </c>
      <c r="C514" s="16"/>
      <c r="D514" s="44">
        <v>229799</v>
      </c>
      <c r="E514" s="125">
        <v>9</v>
      </c>
    </row>
    <row r="515" spans="1:5">
      <c r="A515" s="457" t="s">
        <v>166</v>
      </c>
      <c r="B515" s="46" t="s">
        <v>1047</v>
      </c>
      <c r="C515" s="16"/>
      <c r="D515" s="44">
        <v>229841</v>
      </c>
      <c r="E515" s="125">
        <v>9</v>
      </c>
    </row>
    <row r="516" spans="1:5">
      <c r="A516" s="457" t="s">
        <v>166</v>
      </c>
      <c r="B516" s="46" t="s">
        <v>1048</v>
      </c>
      <c r="C516" s="16"/>
      <c r="D516" s="44">
        <v>223922</v>
      </c>
      <c r="E516" s="125">
        <v>10</v>
      </c>
    </row>
    <row r="517" spans="1:5">
      <c r="A517" s="457" t="s">
        <v>166</v>
      </c>
      <c r="B517" s="46" t="s">
        <v>1049</v>
      </c>
      <c r="C517" s="16"/>
      <c r="D517" s="44">
        <v>224891</v>
      </c>
      <c r="E517" s="125">
        <v>10</v>
      </c>
    </row>
    <row r="518" spans="1:5">
      <c r="A518" s="457" t="s">
        <v>166</v>
      </c>
      <c r="B518" s="46" t="s">
        <v>1050</v>
      </c>
      <c r="C518" s="16"/>
      <c r="D518" s="44">
        <v>224961</v>
      </c>
      <c r="E518" s="125">
        <v>10</v>
      </c>
    </row>
    <row r="519" spans="1:5">
      <c r="A519" s="457" t="s">
        <v>166</v>
      </c>
      <c r="B519" s="46" t="s">
        <v>1051</v>
      </c>
      <c r="C519" s="16"/>
      <c r="D519" s="44">
        <v>226107</v>
      </c>
      <c r="E519" s="125">
        <v>10</v>
      </c>
    </row>
    <row r="520" spans="1:5">
      <c r="A520" s="457" t="s">
        <v>166</v>
      </c>
      <c r="B520" s="46" t="s">
        <v>1052</v>
      </c>
      <c r="C520" s="15" t="s">
        <v>798</v>
      </c>
      <c r="D520" s="44">
        <v>226116</v>
      </c>
      <c r="E520" s="125">
        <v>10</v>
      </c>
    </row>
    <row r="521" spans="1:5">
      <c r="A521" s="457" t="s">
        <v>166</v>
      </c>
      <c r="B521" s="46" t="s">
        <v>1053</v>
      </c>
      <c r="C521" s="490" t="s">
        <v>1201</v>
      </c>
      <c r="D521" s="44">
        <v>488730</v>
      </c>
      <c r="E521" s="492">
        <v>9</v>
      </c>
    </row>
    <row r="522" spans="1:5">
      <c r="A522" s="457" t="s">
        <v>166</v>
      </c>
      <c r="B522" s="46" t="s">
        <v>1054</v>
      </c>
      <c r="C522" s="16"/>
      <c r="D522" s="44">
        <v>227386</v>
      </c>
      <c r="E522" s="125">
        <v>10</v>
      </c>
    </row>
    <row r="523" spans="1:5">
      <c r="A523" s="457" t="s">
        <v>166</v>
      </c>
      <c r="B523" s="46" t="s">
        <v>1055</v>
      </c>
      <c r="C523" s="16"/>
      <c r="D523" s="44">
        <v>227687</v>
      </c>
      <c r="E523" s="125">
        <v>10</v>
      </c>
    </row>
    <row r="524" spans="1:5">
      <c r="A524" s="457" t="s">
        <v>166</v>
      </c>
      <c r="B524" s="46" t="s">
        <v>1056</v>
      </c>
      <c r="C524" s="16"/>
      <c r="D524" s="44">
        <v>382911</v>
      </c>
      <c r="E524" s="125">
        <v>10</v>
      </c>
    </row>
    <row r="525" spans="1:5">
      <c r="A525" s="457" t="s">
        <v>166</v>
      </c>
      <c r="B525" s="1" t="s">
        <v>1057</v>
      </c>
      <c r="C525" s="126"/>
      <c r="D525" s="3" t="s">
        <v>1058</v>
      </c>
      <c r="E525" s="125">
        <v>10</v>
      </c>
    </row>
    <row r="526" spans="1:5">
      <c r="A526" s="457" t="s">
        <v>166</v>
      </c>
      <c r="B526" s="46" t="s">
        <v>1059</v>
      </c>
      <c r="C526" s="16"/>
      <c r="D526" s="44">
        <v>408394</v>
      </c>
      <c r="E526" s="125">
        <v>10</v>
      </c>
    </row>
    <row r="527" spans="1:5">
      <c r="A527" s="457" t="s">
        <v>166</v>
      </c>
      <c r="B527" s="1" t="s">
        <v>1060</v>
      </c>
      <c r="C527" s="126"/>
      <c r="D527" s="3" t="s">
        <v>1058</v>
      </c>
      <c r="E527" s="125">
        <v>10</v>
      </c>
    </row>
    <row r="528" spans="1:5">
      <c r="A528" s="457" t="s">
        <v>166</v>
      </c>
      <c r="B528" s="46" t="s">
        <v>1061</v>
      </c>
      <c r="C528" s="16"/>
      <c r="D528" s="44">
        <v>229328</v>
      </c>
      <c r="E528" s="125">
        <v>10</v>
      </c>
    </row>
    <row r="529" spans="1:5">
      <c r="A529" s="457" t="s">
        <v>166</v>
      </c>
      <c r="B529" s="46" t="s">
        <v>1062</v>
      </c>
      <c r="C529" s="16"/>
      <c r="D529" s="44">
        <v>229832</v>
      </c>
      <c r="E529" s="125">
        <v>10</v>
      </c>
    </row>
    <row r="530" spans="1:5">
      <c r="A530" s="457" t="s">
        <v>166</v>
      </c>
      <c r="B530" s="46" t="s">
        <v>1063</v>
      </c>
      <c r="C530" s="16"/>
      <c r="D530" s="44">
        <v>223214</v>
      </c>
      <c r="E530" s="125">
        <v>15</v>
      </c>
    </row>
    <row r="531" spans="1:5">
      <c r="A531" s="457" t="s">
        <v>166</v>
      </c>
      <c r="B531" s="46" t="s">
        <v>1064</v>
      </c>
      <c r="C531" s="16"/>
      <c r="D531" s="44">
        <v>229337</v>
      </c>
      <c r="E531" s="125">
        <v>15</v>
      </c>
    </row>
    <row r="532" spans="1:5">
      <c r="A532" s="17" t="s">
        <v>166</v>
      </c>
      <c r="B532" s="46" t="s">
        <v>1065</v>
      </c>
      <c r="C532" s="44"/>
      <c r="D532" s="44">
        <v>492689</v>
      </c>
      <c r="E532" s="125">
        <v>15</v>
      </c>
    </row>
    <row r="533" spans="1:5">
      <c r="A533" s="17" t="s">
        <v>166</v>
      </c>
      <c r="B533" s="46" t="s">
        <v>1066</v>
      </c>
      <c r="C533" s="44"/>
      <c r="D533" s="44">
        <v>484905</v>
      </c>
      <c r="E533" s="125">
        <v>4</v>
      </c>
    </row>
    <row r="534" spans="1:5">
      <c r="A534" s="17" t="s">
        <v>166</v>
      </c>
      <c r="B534" s="46" t="s">
        <v>1067</v>
      </c>
      <c r="C534" s="16"/>
      <c r="D534" s="44">
        <v>228909</v>
      </c>
      <c r="E534" s="125">
        <v>15</v>
      </c>
    </row>
    <row r="535" spans="1:5">
      <c r="A535" s="17" t="s">
        <v>166</v>
      </c>
      <c r="B535" s="46" t="s">
        <v>1068</v>
      </c>
      <c r="C535" s="44"/>
      <c r="D535" s="44">
        <v>229300</v>
      </c>
      <c r="E535" s="125">
        <v>15</v>
      </c>
    </row>
    <row r="536" spans="1:5">
      <c r="A536" s="17" t="s">
        <v>166</v>
      </c>
      <c r="B536" s="46" t="s">
        <v>1069</v>
      </c>
      <c r="C536" s="44"/>
      <c r="D536" s="2">
        <v>228644</v>
      </c>
      <c r="E536" s="125">
        <v>15</v>
      </c>
    </row>
    <row r="537" spans="1:5">
      <c r="A537" s="17" t="s">
        <v>166</v>
      </c>
      <c r="B537" s="46" t="s">
        <v>1070</v>
      </c>
      <c r="C537" s="44"/>
      <c r="D537" s="44">
        <v>416801</v>
      </c>
      <c r="E537" s="125">
        <v>15</v>
      </c>
    </row>
    <row r="538" spans="1:5">
      <c r="A538" s="17" t="s">
        <v>166</v>
      </c>
      <c r="B538" s="46" t="s">
        <v>1071</v>
      </c>
      <c r="C538" s="44"/>
      <c r="D538" s="44">
        <v>228653</v>
      </c>
      <c r="E538" s="125">
        <v>15</v>
      </c>
    </row>
    <row r="539" spans="1:5">
      <c r="A539" s="17" t="s">
        <v>166</v>
      </c>
      <c r="B539" s="46" t="s">
        <v>1072</v>
      </c>
      <c r="C539" s="44"/>
      <c r="D539" s="44">
        <v>228635</v>
      </c>
      <c r="E539" s="125">
        <v>15</v>
      </c>
    </row>
    <row r="540" spans="1:5">
      <c r="A540" s="17" t="s">
        <v>166</v>
      </c>
      <c r="B540" s="1" t="s">
        <v>1073</v>
      </c>
      <c r="C540" s="44"/>
      <c r="D540" s="316">
        <v>485537</v>
      </c>
      <c r="E540" s="125">
        <v>15</v>
      </c>
    </row>
    <row r="541" spans="1:5">
      <c r="A541" s="17" t="s">
        <v>166</v>
      </c>
      <c r="B541" s="1" t="s">
        <v>1202</v>
      </c>
      <c r="C541" s="44" t="s">
        <v>1203</v>
      </c>
      <c r="D541" s="316">
        <v>224615</v>
      </c>
      <c r="E541" s="125">
        <v>10</v>
      </c>
    </row>
    <row r="542" spans="1:5">
      <c r="A542" s="43" t="s">
        <v>167</v>
      </c>
      <c r="B542" s="42" t="s">
        <v>1074</v>
      </c>
      <c r="C542" s="113" t="s">
        <v>1177</v>
      </c>
      <c r="D542" s="40">
        <v>232186</v>
      </c>
      <c r="E542" s="40">
        <v>1</v>
      </c>
    </row>
    <row r="543" spans="1:5">
      <c r="A543" s="43" t="s">
        <v>167</v>
      </c>
      <c r="B543" s="42" t="s">
        <v>1075</v>
      </c>
      <c r="C543" s="113" t="s">
        <v>1177</v>
      </c>
      <c r="D543" s="40">
        <v>232982</v>
      </c>
      <c r="E543" s="40">
        <v>1</v>
      </c>
    </row>
    <row r="544" spans="1:5">
      <c r="A544" s="43" t="s">
        <v>167</v>
      </c>
      <c r="B544" s="42" t="s">
        <v>1076</v>
      </c>
      <c r="C544" s="41" t="s">
        <v>1177</v>
      </c>
      <c r="D544" s="40">
        <v>234076</v>
      </c>
      <c r="E544" s="40">
        <v>1</v>
      </c>
    </row>
    <row r="545" spans="1:5">
      <c r="A545" s="43" t="s">
        <v>167</v>
      </c>
      <c r="B545" s="42" t="s">
        <v>1077</v>
      </c>
      <c r="C545" s="38" t="s">
        <v>1177</v>
      </c>
      <c r="D545" s="40">
        <v>234030</v>
      </c>
      <c r="E545" s="40">
        <v>1</v>
      </c>
    </row>
    <row r="546" spans="1:5">
      <c r="A546" s="43" t="s">
        <v>167</v>
      </c>
      <c r="B546" s="42" t="s">
        <v>1078</v>
      </c>
      <c r="C546" s="41" t="s">
        <v>1177</v>
      </c>
      <c r="D546" s="40">
        <v>233921</v>
      </c>
      <c r="E546" s="40">
        <v>1</v>
      </c>
    </row>
    <row r="547" spans="1:5">
      <c r="A547" s="43" t="s">
        <v>167</v>
      </c>
      <c r="B547" s="42" t="s">
        <v>1079</v>
      </c>
      <c r="C547" s="41" t="s">
        <v>1177</v>
      </c>
      <c r="D547" s="40">
        <v>231624</v>
      </c>
      <c r="E547" s="40">
        <v>2</v>
      </c>
    </row>
    <row r="548" spans="1:5">
      <c r="A548" s="43" t="s">
        <v>167</v>
      </c>
      <c r="B548" s="42" t="s">
        <v>1080</v>
      </c>
      <c r="C548" s="113" t="s">
        <v>1177</v>
      </c>
      <c r="D548" s="40">
        <v>232423</v>
      </c>
      <c r="E548" s="40">
        <v>3</v>
      </c>
    </row>
    <row r="549" spans="1:5">
      <c r="A549" s="43" t="s">
        <v>167</v>
      </c>
      <c r="B549" s="42" t="s">
        <v>1081</v>
      </c>
      <c r="C549" s="493" t="s">
        <v>1196</v>
      </c>
      <c r="D549" s="40">
        <v>232566</v>
      </c>
      <c r="E549" s="494">
        <v>5</v>
      </c>
    </row>
    <row r="550" spans="1:5">
      <c r="A550" s="43" t="s">
        <v>167</v>
      </c>
      <c r="B550" s="42" t="s">
        <v>1082</v>
      </c>
      <c r="C550" s="493" t="s">
        <v>1198</v>
      </c>
      <c r="D550" s="40">
        <v>232937</v>
      </c>
      <c r="E550" s="494">
        <v>4</v>
      </c>
    </row>
    <row r="551" spans="1:5">
      <c r="A551" s="43" t="s">
        <v>167</v>
      </c>
      <c r="B551" s="42" t="s">
        <v>1083</v>
      </c>
      <c r="C551" s="113" t="s">
        <v>1177</v>
      </c>
      <c r="D551" s="40">
        <v>233277</v>
      </c>
      <c r="E551" s="40">
        <v>3</v>
      </c>
    </row>
    <row r="552" spans="1:5">
      <c r="A552" s="43" t="s">
        <v>167</v>
      </c>
      <c r="B552" s="42" t="s">
        <v>1084</v>
      </c>
      <c r="C552" s="493" t="s">
        <v>1196</v>
      </c>
      <c r="D552" s="40">
        <v>232681</v>
      </c>
      <c r="E552" s="494">
        <v>4</v>
      </c>
    </row>
    <row r="553" spans="1:5">
      <c r="A553" s="43" t="s">
        <v>167</v>
      </c>
      <c r="B553" s="42" t="s">
        <v>1085</v>
      </c>
      <c r="C553" s="113" t="s">
        <v>1177</v>
      </c>
      <c r="D553" s="40">
        <v>234155</v>
      </c>
      <c r="E553" s="40">
        <v>3</v>
      </c>
    </row>
    <row r="554" spans="1:5">
      <c r="A554" s="43" t="s">
        <v>167</v>
      </c>
      <c r="B554" s="42" t="s">
        <v>1086</v>
      </c>
      <c r="C554" s="113" t="s">
        <v>1177</v>
      </c>
      <c r="D554" s="40">
        <v>231712</v>
      </c>
      <c r="E554" s="40">
        <v>5</v>
      </c>
    </row>
    <row r="555" spans="1:5">
      <c r="A555" s="43" t="s">
        <v>167</v>
      </c>
      <c r="B555" s="42" t="s">
        <v>1087</v>
      </c>
      <c r="C555" s="113" t="s">
        <v>1177</v>
      </c>
      <c r="D555" s="40">
        <v>233897</v>
      </c>
      <c r="E555" s="118">
        <v>6</v>
      </c>
    </row>
    <row r="556" spans="1:5">
      <c r="A556" s="43" t="s">
        <v>167</v>
      </c>
      <c r="B556" s="42" t="s">
        <v>1088</v>
      </c>
      <c r="C556" s="113" t="s">
        <v>1177</v>
      </c>
      <c r="D556" s="40">
        <v>232414</v>
      </c>
      <c r="E556" s="118">
        <v>8</v>
      </c>
    </row>
    <row r="557" spans="1:5">
      <c r="A557" s="43" t="s">
        <v>167</v>
      </c>
      <c r="B557" s="42" t="s">
        <v>1089</v>
      </c>
      <c r="C557" s="113" t="s">
        <v>1177</v>
      </c>
      <c r="D557" s="40">
        <v>232450</v>
      </c>
      <c r="E557" s="118">
        <v>8</v>
      </c>
    </row>
    <row r="558" spans="1:5">
      <c r="A558" s="43" t="s">
        <v>167</v>
      </c>
      <c r="B558" s="42" t="s">
        <v>1090</v>
      </c>
      <c r="C558" s="113" t="s">
        <v>1177</v>
      </c>
      <c r="D558" s="40">
        <v>232946</v>
      </c>
      <c r="E558" s="118">
        <v>8</v>
      </c>
    </row>
    <row r="559" spans="1:5">
      <c r="A559" s="43" t="s">
        <v>167</v>
      </c>
      <c r="B559" s="42" t="s">
        <v>1091</v>
      </c>
      <c r="C559" s="113" t="s">
        <v>1221</v>
      </c>
      <c r="D559" s="40">
        <v>233754</v>
      </c>
      <c r="E559" s="118">
        <v>8</v>
      </c>
    </row>
    <row r="560" spans="1:5">
      <c r="A560" s="43" t="s">
        <v>167</v>
      </c>
      <c r="B560" s="42" t="s">
        <v>1092</v>
      </c>
      <c r="C560" s="113" t="s">
        <v>1177</v>
      </c>
      <c r="D560" s="40">
        <v>233772</v>
      </c>
      <c r="E560" s="118">
        <v>8</v>
      </c>
    </row>
    <row r="561" spans="1:5">
      <c r="A561" s="43" t="s">
        <v>167</v>
      </c>
      <c r="B561" s="42" t="s">
        <v>1093</v>
      </c>
      <c r="C561" s="113" t="s">
        <v>1177</v>
      </c>
      <c r="D561" s="40">
        <v>231536</v>
      </c>
      <c r="E561" s="118">
        <v>9</v>
      </c>
    </row>
    <row r="562" spans="1:5">
      <c r="A562" s="43" t="s">
        <v>167</v>
      </c>
      <c r="B562" s="42" t="s">
        <v>1094</v>
      </c>
      <c r="C562" s="113" t="s">
        <v>1177</v>
      </c>
      <c r="D562" s="40">
        <v>231697</v>
      </c>
      <c r="E562" s="118">
        <v>9</v>
      </c>
    </row>
    <row r="563" spans="1:5">
      <c r="A563" s="43" t="s">
        <v>167</v>
      </c>
      <c r="B563" s="42" t="s">
        <v>1095</v>
      </c>
      <c r="C563" s="113" t="s">
        <v>1177</v>
      </c>
      <c r="D563" s="40">
        <v>232195</v>
      </c>
      <c r="E563" s="118">
        <v>9</v>
      </c>
    </row>
    <row r="564" spans="1:5">
      <c r="A564" s="43" t="s">
        <v>167</v>
      </c>
      <c r="B564" s="42" t="s">
        <v>1096</v>
      </c>
      <c r="C564" s="113" t="s">
        <v>1177</v>
      </c>
      <c r="D564" s="40">
        <v>232575</v>
      </c>
      <c r="E564" s="118">
        <v>9</v>
      </c>
    </row>
    <row r="565" spans="1:5">
      <c r="A565" s="43" t="s">
        <v>167</v>
      </c>
      <c r="B565" s="42" t="s">
        <v>1097</v>
      </c>
      <c r="C565" s="113" t="s">
        <v>1177</v>
      </c>
      <c r="D565" s="40">
        <v>232867</v>
      </c>
      <c r="E565" s="118">
        <v>9</v>
      </c>
    </row>
    <row r="566" spans="1:5">
      <c r="A566" s="43" t="s">
        <v>167</v>
      </c>
      <c r="B566" s="42" t="s">
        <v>1098</v>
      </c>
      <c r="C566" s="113" t="s">
        <v>1177</v>
      </c>
      <c r="D566" s="40">
        <v>233116</v>
      </c>
      <c r="E566" s="118">
        <v>9</v>
      </c>
    </row>
    <row r="567" spans="1:5">
      <c r="A567" s="43" t="s">
        <v>167</v>
      </c>
      <c r="B567" s="42" t="s">
        <v>1099</v>
      </c>
      <c r="C567" s="113" t="s">
        <v>1211</v>
      </c>
      <c r="D567" s="40">
        <v>233639</v>
      </c>
      <c r="E567" s="118">
        <v>9</v>
      </c>
    </row>
    <row r="568" spans="1:5">
      <c r="A568" s="43" t="s">
        <v>167</v>
      </c>
      <c r="B568" s="42" t="s">
        <v>1100</v>
      </c>
      <c r="C568" s="113" t="s">
        <v>1177</v>
      </c>
      <c r="D568" s="40">
        <v>233949</v>
      </c>
      <c r="E568" s="118">
        <v>9</v>
      </c>
    </row>
    <row r="569" spans="1:5">
      <c r="A569" s="43" t="s">
        <v>167</v>
      </c>
      <c r="B569" s="42" t="s">
        <v>1101</v>
      </c>
      <c r="C569" s="41" t="s">
        <v>1177</v>
      </c>
      <c r="D569" s="40">
        <v>231873</v>
      </c>
      <c r="E569" s="118">
        <v>10</v>
      </c>
    </row>
    <row r="570" spans="1:5">
      <c r="A570" s="43" t="s">
        <v>167</v>
      </c>
      <c r="B570" s="42" t="s">
        <v>1102</v>
      </c>
      <c r="C570" s="127" t="s">
        <v>1177</v>
      </c>
      <c r="D570" s="40">
        <v>231882</v>
      </c>
      <c r="E570" s="118">
        <v>10</v>
      </c>
    </row>
    <row r="571" spans="1:5">
      <c r="A571" s="43" t="s">
        <v>167</v>
      </c>
      <c r="B571" s="42" t="s">
        <v>1103</v>
      </c>
      <c r="C571" s="41" t="s">
        <v>1177</v>
      </c>
      <c r="D571" s="40">
        <v>232052</v>
      </c>
      <c r="E571" s="118">
        <v>10</v>
      </c>
    </row>
    <row r="572" spans="1:5">
      <c r="A572" s="43" t="s">
        <v>167</v>
      </c>
      <c r="B572" s="42" t="s">
        <v>1104</v>
      </c>
      <c r="C572" s="38" t="s">
        <v>1177</v>
      </c>
      <c r="D572" s="40">
        <v>232788</v>
      </c>
      <c r="E572" s="118">
        <v>10</v>
      </c>
    </row>
    <row r="573" spans="1:5">
      <c r="A573" s="43" t="s">
        <v>167</v>
      </c>
      <c r="B573" s="114" t="s">
        <v>1105</v>
      </c>
      <c r="C573" s="127" t="s">
        <v>1177</v>
      </c>
      <c r="D573" s="40">
        <v>233019</v>
      </c>
      <c r="E573" s="118">
        <v>10</v>
      </c>
    </row>
    <row r="574" spans="1:5">
      <c r="A574" s="43" t="s">
        <v>167</v>
      </c>
      <c r="B574" s="42" t="s">
        <v>1106</v>
      </c>
      <c r="C574" s="41" t="s">
        <v>1177</v>
      </c>
      <c r="D574" s="40">
        <v>233037</v>
      </c>
      <c r="E574" s="118">
        <v>10</v>
      </c>
    </row>
    <row r="575" spans="1:5">
      <c r="A575" s="43" t="s">
        <v>167</v>
      </c>
      <c r="B575" s="42" t="s">
        <v>1107</v>
      </c>
      <c r="C575" s="41" t="s">
        <v>1177</v>
      </c>
      <c r="D575" s="40">
        <v>233310</v>
      </c>
      <c r="E575" s="118">
        <v>10</v>
      </c>
    </row>
    <row r="576" spans="1:5">
      <c r="A576" s="43" t="s">
        <v>167</v>
      </c>
      <c r="B576" s="42" t="s">
        <v>1108</v>
      </c>
      <c r="C576" s="41" t="s">
        <v>1177</v>
      </c>
      <c r="D576" s="40">
        <v>233338</v>
      </c>
      <c r="E576" s="118">
        <v>10</v>
      </c>
    </row>
    <row r="577" spans="1:5">
      <c r="A577" s="43" t="s">
        <v>167</v>
      </c>
      <c r="B577" s="42" t="s">
        <v>1109</v>
      </c>
      <c r="C577" s="38" t="s">
        <v>1177</v>
      </c>
      <c r="D577" s="40">
        <v>233648</v>
      </c>
      <c r="E577" s="118">
        <v>10</v>
      </c>
    </row>
    <row r="578" spans="1:5">
      <c r="A578" s="43" t="s">
        <v>167</v>
      </c>
      <c r="B578" s="42" t="s">
        <v>1110</v>
      </c>
      <c r="C578" s="41" t="s">
        <v>1177</v>
      </c>
      <c r="D578" s="40">
        <v>233903</v>
      </c>
      <c r="E578" s="118">
        <v>10</v>
      </c>
    </row>
    <row r="579" spans="1:5">
      <c r="A579" s="43" t="s">
        <v>167</v>
      </c>
      <c r="B579" s="42" t="s">
        <v>1111</v>
      </c>
      <c r="C579" s="127" t="s">
        <v>1177</v>
      </c>
      <c r="D579" s="40">
        <v>234377</v>
      </c>
      <c r="E579" s="118">
        <v>10</v>
      </c>
    </row>
    <row r="580" spans="1:5">
      <c r="A580" s="43" t="s">
        <v>167</v>
      </c>
      <c r="B580" s="42" t="s">
        <v>1112</v>
      </c>
      <c r="C580" s="41" t="s">
        <v>1177</v>
      </c>
      <c r="D580" s="40">
        <v>234085</v>
      </c>
      <c r="E580" s="118">
        <v>15</v>
      </c>
    </row>
    <row r="581" spans="1:5">
      <c r="A581" s="468" t="s">
        <v>168</v>
      </c>
      <c r="B581" s="469" t="s">
        <v>1113</v>
      </c>
      <c r="C581" s="470" t="s">
        <v>1177</v>
      </c>
      <c r="D581" s="471">
        <v>238032</v>
      </c>
      <c r="E581" s="472">
        <v>1</v>
      </c>
    </row>
    <row r="582" spans="1:5">
      <c r="A582" s="468" t="s">
        <v>168</v>
      </c>
      <c r="B582" s="469" t="s">
        <v>1114</v>
      </c>
      <c r="C582" s="470" t="s">
        <v>1177</v>
      </c>
      <c r="D582" s="471">
        <v>237525</v>
      </c>
      <c r="E582" s="472">
        <v>3</v>
      </c>
    </row>
    <row r="583" spans="1:5">
      <c r="A583" s="468" t="s">
        <v>168</v>
      </c>
      <c r="B583" s="469" t="s">
        <v>1115</v>
      </c>
      <c r="C583" s="473" t="s">
        <v>1177</v>
      </c>
      <c r="D583" s="471">
        <v>237330</v>
      </c>
      <c r="E583" s="472">
        <v>5</v>
      </c>
    </row>
    <row r="584" spans="1:5">
      <c r="A584" s="468" t="s">
        <v>168</v>
      </c>
      <c r="B584" s="469" t="s">
        <v>1116</v>
      </c>
      <c r="C584" s="470" t="s">
        <v>1177</v>
      </c>
      <c r="D584" s="471">
        <v>237367</v>
      </c>
      <c r="E584" s="472">
        <v>5</v>
      </c>
    </row>
    <row r="585" spans="1:5">
      <c r="A585" s="468" t="s">
        <v>168</v>
      </c>
      <c r="B585" s="469" t="s">
        <v>1117</v>
      </c>
      <c r="C585" s="470" t="s">
        <v>1177</v>
      </c>
      <c r="D585" s="471">
        <v>237792</v>
      </c>
      <c r="E585" s="472">
        <v>5</v>
      </c>
    </row>
    <row r="586" spans="1:5">
      <c r="A586" s="468" t="s">
        <v>168</v>
      </c>
      <c r="B586" s="469" t="s">
        <v>1118</v>
      </c>
      <c r="C586" s="470" t="s">
        <v>1222</v>
      </c>
      <c r="D586" s="471">
        <v>237932</v>
      </c>
      <c r="E586" s="472">
        <v>5</v>
      </c>
    </row>
    <row r="587" spans="1:5">
      <c r="A587" s="468" t="s">
        <v>168</v>
      </c>
      <c r="B587" s="469" t="s">
        <v>1119</v>
      </c>
      <c r="C587" s="470"/>
      <c r="D587" s="471">
        <v>237215</v>
      </c>
      <c r="E587" s="472">
        <v>6</v>
      </c>
    </row>
    <row r="588" spans="1:5">
      <c r="A588" s="468" t="s">
        <v>168</v>
      </c>
      <c r="B588" s="469" t="s">
        <v>1120</v>
      </c>
      <c r="C588" s="474"/>
      <c r="D588" s="471">
        <v>237385</v>
      </c>
      <c r="E588" s="472">
        <v>6</v>
      </c>
    </row>
    <row r="589" spans="1:5">
      <c r="A589" s="468" t="s">
        <v>168</v>
      </c>
      <c r="B589" s="469" t="s">
        <v>1121</v>
      </c>
      <c r="C589" s="470" t="s">
        <v>1222</v>
      </c>
      <c r="D589" s="471">
        <v>237899</v>
      </c>
      <c r="E589" s="472">
        <v>6</v>
      </c>
    </row>
    <row r="590" spans="1:5">
      <c r="A590" s="468" t="s">
        <v>168</v>
      </c>
      <c r="B590" s="469" t="s">
        <v>1122</v>
      </c>
      <c r="C590" s="470"/>
      <c r="D590" s="471">
        <v>237950</v>
      </c>
      <c r="E590" s="472">
        <v>6</v>
      </c>
    </row>
    <row r="591" spans="1:5">
      <c r="A591" s="468" t="s">
        <v>168</v>
      </c>
      <c r="B591" s="469" t="s">
        <v>1123</v>
      </c>
      <c r="C591" s="470"/>
      <c r="D591" s="471">
        <v>237701</v>
      </c>
      <c r="E591" s="472">
        <v>7</v>
      </c>
    </row>
    <row r="592" spans="1:5">
      <c r="A592" s="468" t="s">
        <v>168</v>
      </c>
      <c r="B592" s="469" t="s">
        <v>1124</v>
      </c>
      <c r="C592" s="470" t="s">
        <v>1205</v>
      </c>
      <c r="D592" s="471">
        <v>237686</v>
      </c>
      <c r="E592" s="472">
        <v>7</v>
      </c>
    </row>
    <row r="593" spans="1:5">
      <c r="A593" s="468" t="s">
        <v>168</v>
      </c>
      <c r="B593" s="469" t="s">
        <v>1125</v>
      </c>
      <c r="C593" s="470"/>
      <c r="D593" s="471">
        <v>446774</v>
      </c>
      <c r="E593" s="472">
        <v>9</v>
      </c>
    </row>
    <row r="594" spans="1:5">
      <c r="A594" s="468" t="s">
        <v>168</v>
      </c>
      <c r="B594" s="476" t="s">
        <v>1126</v>
      </c>
      <c r="C594" s="470"/>
      <c r="D594" s="477">
        <v>484932</v>
      </c>
      <c r="E594" s="472">
        <v>10</v>
      </c>
    </row>
    <row r="595" spans="1:5">
      <c r="A595" s="468" t="s">
        <v>168</v>
      </c>
      <c r="B595" s="469" t="s">
        <v>1127</v>
      </c>
      <c r="C595" s="470"/>
      <c r="D595" s="471">
        <v>438708</v>
      </c>
      <c r="E595" s="472">
        <v>10</v>
      </c>
    </row>
    <row r="596" spans="1:5">
      <c r="A596" s="468" t="s">
        <v>168</v>
      </c>
      <c r="B596" s="469" t="s">
        <v>1128</v>
      </c>
      <c r="C596" s="470"/>
      <c r="D596" s="471">
        <v>444954</v>
      </c>
      <c r="E596" s="472">
        <v>10</v>
      </c>
    </row>
    <row r="597" spans="1:5">
      <c r="A597" s="478" t="s">
        <v>168</v>
      </c>
      <c r="B597" s="469" t="s">
        <v>1129</v>
      </c>
      <c r="C597" s="473"/>
      <c r="D597" s="471">
        <v>447582</v>
      </c>
      <c r="E597" s="472">
        <v>10</v>
      </c>
    </row>
    <row r="598" spans="1:5">
      <c r="A598" s="468" t="s">
        <v>168</v>
      </c>
      <c r="B598" s="469" t="s">
        <v>1130</v>
      </c>
      <c r="C598" s="473"/>
      <c r="D598" s="471">
        <v>443492</v>
      </c>
      <c r="E598" s="472">
        <v>10</v>
      </c>
    </row>
    <row r="599" spans="1:5">
      <c r="A599" s="468" t="s">
        <v>168</v>
      </c>
      <c r="B599" s="469" t="s">
        <v>1131</v>
      </c>
      <c r="C599" s="470"/>
      <c r="D599" s="471">
        <v>237817</v>
      </c>
      <c r="E599" s="472">
        <v>10</v>
      </c>
    </row>
    <row r="600" spans="1:5">
      <c r="A600" s="468" t="s">
        <v>168</v>
      </c>
      <c r="B600" s="469" t="s">
        <v>1132</v>
      </c>
      <c r="C600" s="475"/>
      <c r="D600" s="471">
        <v>238014</v>
      </c>
      <c r="E600" s="472">
        <v>10</v>
      </c>
    </row>
    <row r="601" spans="1:5">
      <c r="A601" s="468" t="s">
        <v>168</v>
      </c>
      <c r="B601" s="469" t="s">
        <v>1133</v>
      </c>
      <c r="C601" s="470"/>
      <c r="D601" s="471">
        <v>237880</v>
      </c>
      <c r="E601" s="472">
        <v>15</v>
      </c>
    </row>
    <row r="602" spans="1:5">
      <c r="A602" s="305" t="s">
        <v>168</v>
      </c>
      <c r="B602" s="479" t="s">
        <v>1134</v>
      </c>
      <c r="C602" s="479"/>
      <c r="D602" s="480">
        <v>237729</v>
      </c>
      <c r="E602" s="34">
        <v>14</v>
      </c>
    </row>
    <row r="603" spans="1:5">
      <c r="A603" s="305" t="s">
        <v>168</v>
      </c>
      <c r="B603" s="479" t="s">
        <v>1135</v>
      </c>
      <c r="C603" s="479"/>
      <c r="D603" s="480">
        <v>237172</v>
      </c>
      <c r="E603" s="34">
        <v>14</v>
      </c>
    </row>
    <row r="604" spans="1:5">
      <c r="A604" s="460" t="s">
        <v>168</v>
      </c>
      <c r="B604" s="479" t="s">
        <v>1136</v>
      </c>
      <c r="C604" s="479"/>
      <c r="D604" s="480">
        <v>237224</v>
      </c>
      <c r="E604" s="34">
        <v>14</v>
      </c>
    </row>
    <row r="605" spans="1:5">
      <c r="A605" s="460" t="s">
        <v>168</v>
      </c>
      <c r="B605" s="479" t="s">
        <v>1137</v>
      </c>
      <c r="C605" s="479"/>
      <c r="D605" s="480">
        <v>237242</v>
      </c>
      <c r="E605" s="34">
        <v>14</v>
      </c>
    </row>
    <row r="606" spans="1:5">
      <c r="A606" s="305" t="s">
        <v>168</v>
      </c>
      <c r="B606" s="479" t="s">
        <v>1138</v>
      </c>
      <c r="C606" s="479"/>
      <c r="D606" s="480">
        <v>430795</v>
      </c>
      <c r="E606" s="34">
        <v>14</v>
      </c>
    </row>
    <row r="607" spans="1:5">
      <c r="A607" s="305" t="s">
        <v>168</v>
      </c>
      <c r="B607" s="479" t="s">
        <v>1139</v>
      </c>
      <c r="C607" s="479"/>
      <c r="D607" s="480">
        <v>413176</v>
      </c>
      <c r="E607" s="34">
        <v>14</v>
      </c>
    </row>
    <row r="608" spans="1:5">
      <c r="A608" s="460" t="s">
        <v>168</v>
      </c>
      <c r="B608" s="479" t="s">
        <v>1140</v>
      </c>
      <c r="C608" s="479"/>
      <c r="D608" s="480">
        <v>237844</v>
      </c>
      <c r="E608" s="34">
        <v>14</v>
      </c>
    </row>
    <row r="609" spans="1:5">
      <c r="A609" s="460" t="s">
        <v>168</v>
      </c>
      <c r="B609" s="479" t="s">
        <v>1141</v>
      </c>
      <c r="C609" s="479"/>
      <c r="D609" s="480">
        <v>431169</v>
      </c>
      <c r="E609" s="34">
        <v>14</v>
      </c>
    </row>
    <row r="610" spans="1:5">
      <c r="A610" s="305" t="s">
        <v>168</v>
      </c>
      <c r="B610" s="479" t="s">
        <v>1142</v>
      </c>
      <c r="C610" s="479"/>
      <c r="D610" s="480">
        <v>237473</v>
      </c>
      <c r="E610" s="34">
        <v>14</v>
      </c>
    </row>
    <row r="611" spans="1:5">
      <c r="A611" s="460" t="s">
        <v>168</v>
      </c>
      <c r="B611" s="479" t="s">
        <v>1143</v>
      </c>
      <c r="C611" s="479"/>
      <c r="D611" s="480">
        <v>446349</v>
      </c>
      <c r="E611" s="34">
        <v>14</v>
      </c>
    </row>
    <row r="612" spans="1:5">
      <c r="A612" s="460" t="s">
        <v>168</v>
      </c>
      <c r="B612" s="479" t="s">
        <v>1144</v>
      </c>
      <c r="C612" s="479"/>
      <c r="D612" s="480">
        <v>237516</v>
      </c>
      <c r="E612" s="34">
        <v>14</v>
      </c>
    </row>
    <row r="613" spans="1:5">
      <c r="A613" s="460" t="s">
        <v>168</v>
      </c>
      <c r="B613" s="479" t="s">
        <v>1145</v>
      </c>
      <c r="C613" s="479"/>
      <c r="D613" s="480">
        <v>237534</v>
      </c>
      <c r="E613" s="34">
        <v>14</v>
      </c>
    </row>
    <row r="614" spans="1:5">
      <c r="A614" s="305" t="s">
        <v>168</v>
      </c>
      <c r="B614" s="479" t="s">
        <v>1146</v>
      </c>
      <c r="C614" s="479"/>
      <c r="D614" s="480">
        <v>237543</v>
      </c>
      <c r="E614" s="34">
        <v>14</v>
      </c>
    </row>
    <row r="615" spans="1:5">
      <c r="A615" s="460" t="s">
        <v>168</v>
      </c>
      <c r="B615" s="479" t="s">
        <v>1147</v>
      </c>
      <c r="C615" s="479"/>
      <c r="D615" s="480">
        <v>368647</v>
      </c>
      <c r="E615" s="34">
        <v>14</v>
      </c>
    </row>
    <row r="616" spans="1:5">
      <c r="A616" s="460" t="s">
        <v>168</v>
      </c>
      <c r="B616" s="479" t="s">
        <v>1148</v>
      </c>
      <c r="C616" s="479"/>
      <c r="D616" s="480">
        <v>237561</v>
      </c>
      <c r="E616" s="34">
        <v>14</v>
      </c>
    </row>
    <row r="617" spans="1:5">
      <c r="A617" s="460" t="s">
        <v>168</v>
      </c>
      <c r="B617" s="479" t="s">
        <v>1149</v>
      </c>
      <c r="C617" s="479"/>
      <c r="D617" s="480">
        <v>419420</v>
      </c>
      <c r="E617" s="34">
        <v>14</v>
      </c>
    </row>
    <row r="618" spans="1:5">
      <c r="A618" s="305" t="s">
        <v>168</v>
      </c>
      <c r="B618" s="479" t="s">
        <v>1150</v>
      </c>
      <c r="C618" s="479"/>
      <c r="D618" s="480">
        <v>237491</v>
      </c>
      <c r="E618" s="34">
        <v>14</v>
      </c>
    </row>
    <row r="619" spans="1:5">
      <c r="A619" s="460" t="s">
        <v>168</v>
      </c>
      <c r="B619" s="479" t="s">
        <v>1151</v>
      </c>
      <c r="C619" s="479"/>
      <c r="D619" s="480">
        <v>364575</v>
      </c>
      <c r="E619" s="34">
        <v>14</v>
      </c>
    </row>
    <row r="620" spans="1:5">
      <c r="A620" s="305" t="s">
        <v>168</v>
      </c>
      <c r="B620" s="479" t="s">
        <v>1152</v>
      </c>
      <c r="C620" s="479"/>
      <c r="D620" s="480">
        <v>441894</v>
      </c>
      <c r="E620" s="34">
        <v>14</v>
      </c>
    </row>
    <row r="621" spans="1:5">
      <c r="A621" s="460" t="s">
        <v>168</v>
      </c>
      <c r="B621" s="479" t="s">
        <v>1153</v>
      </c>
      <c r="C621" s="479"/>
      <c r="D621" s="480">
        <v>419031</v>
      </c>
      <c r="E621" s="34">
        <v>14</v>
      </c>
    </row>
    <row r="622" spans="1:5">
      <c r="A622" s="460" t="s">
        <v>168</v>
      </c>
      <c r="B622" s="479" t="s">
        <v>1154</v>
      </c>
      <c r="C622" s="479"/>
      <c r="D622" s="481" t="s">
        <v>1058</v>
      </c>
      <c r="E622" s="34">
        <v>14</v>
      </c>
    </row>
    <row r="623" spans="1:5">
      <c r="A623" s="460" t="s">
        <v>168</v>
      </c>
      <c r="B623" s="479" t="s">
        <v>1155</v>
      </c>
      <c r="C623" s="479"/>
      <c r="D623" s="481" t="s">
        <v>1058</v>
      </c>
      <c r="E623" s="34">
        <v>15</v>
      </c>
    </row>
    <row r="624" spans="1:5">
      <c r="A624" s="460" t="s">
        <v>168</v>
      </c>
      <c r="B624" s="479" t="s">
        <v>1156</v>
      </c>
      <c r="C624" s="479"/>
      <c r="D624" s="480">
        <v>486202</v>
      </c>
      <c r="E624" s="34">
        <v>15</v>
      </c>
    </row>
    <row r="625" spans="1:5">
      <c r="A625" s="460" t="s">
        <v>168</v>
      </c>
      <c r="B625" s="479" t="s">
        <v>1157</v>
      </c>
      <c r="C625" s="479"/>
      <c r="D625" s="480">
        <v>486406</v>
      </c>
      <c r="E625" s="34">
        <v>15</v>
      </c>
    </row>
    <row r="626" spans="1:5">
      <c r="A626" s="460" t="s">
        <v>168</v>
      </c>
      <c r="B626" s="479" t="s">
        <v>1158</v>
      </c>
      <c r="C626" s="479"/>
      <c r="D626" s="481" t="s">
        <v>1058</v>
      </c>
      <c r="E626" s="34">
        <v>15</v>
      </c>
    </row>
    <row r="627" spans="1:5">
      <c r="A627" s="305" t="s">
        <v>168</v>
      </c>
      <c r="B627" s="479" t="s">
        <v>1159</v>
      </c>
      <c r="C627" s="479"/>
      <c r="D627" s="480">
        <v>238096</v>
      </c>
      <c r="E627" s="34">
        <v>15</v>
      </c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B6136-6EC7-4A8F-ABC9-042483349115}">
  <sheetPr codeName="Sheet5">
    <tabColor rgb="FF00B050"/>
  </sheetPr>
  <dimension ref="A3:V17011"/>
  <sheetViews>
    <sheetView topLeftCell="A8" workbookViewId="0">
      <selection activeCell="E18" sqref="E18"/>
    </sheetView>
  </sheetViews>
  <sheetFormatPr defaultColWidth="6" defaultRowHeight="12.5"/>
  <cols>
    <col min="1" max="1" width="6" style="161"/>
    <col min="2" max="2" width="17.3828125" style="65" bestFit="1" customWidth="1"/>
    <col min="3" max="3" width="11.69140625" style="65" bestFit="1" customWidth="1"/>
    <col min="4" max="4" width="11.69140625" style="130" bestFit="1" customWidth="1"/>
    <col min="5" max="8" width="11.69140625" style="65" bestFit="1" customWidth="1"/>
    <col min="9" max="9" width="12.07421875" style="65" bestFit="1" customWidth="1"/>
    <col min="10" max="13" width="9" style="65" bestFit="1" customWidth="1"/>
    <col min="14" max="14" width="11.84375" style="65" bestFit="1" customWidth="1"/>
    <col min="15" max="17" width="9.15234375" style="65" bestFit="1" customWidth="1"/>
    <col min="18" max="18" width="12.07421875" style="65" bestFit="1" customWidth="1"/>
    <col min="19" max="19" width="10.69140625" style="65" bestFit="1" customWidth="1"/>
    <col min="20" max="20" width="7.07421875" style="65" bestFit="1" customWidth="1"/>
    <col min="21" max="21" width="9.921875" style="65" bestFit="1" customWidth="1"/>
    <col min="22" max="22" width="9.4609375" style="65" bestFit="1" customWidth="1"/>
    <col min="23" max="16384" width="6" style="65"/>
  </cols>
  <sheetData>
    <row r="3" spans="1:22">
      <c r="B3" s="161"/>
      <c r="C3" s="500" t="s">
        <v>85</v>
      </c>
      <c r="D3" s="500" t="s">
        <v>86</v>
      </c>
    </row>
    <row r="4" spans="1:22">
      <c r="B4" s="161"/>
      <c r="C4" s="65" t="s">
        <v>87</v>
      </c>
      <c r="D4" s="65"/>
      <c r="I4" s="65" t="s">
        <v>88</v>
      </c>
      <c r="J4" s="65" t="s">
        <v>89</v>
      </c>
      <c r="N4" s="65" t="s">
        <v>90</v>
      </c>
      <c r="O4" s="65" t="s">
        <v>91</v>
      </c>
      <c r="R4" s="65" t="s">
        <v>92</v>
      </c>
      <c r="S4" s="65" t="s">
        <v>93</v>
      </c>
      <c r="T4" s="65" t="s">
        <v>95</v>
      </c>
      <c r="U4" s="65" t="s">
        <v>96</v>
      </c>
      <c r="V4" s="65" t="s">
        <v>97</v>
      </c>
    </row>
    <row r="5" spans="1:22">
      <c r="A5" s="501" t="s">
        <v>98</v>
      </c>
      <c r="B5" s="500" t="s">
        <v>99</v>
      </c>
      <c r="C5" s="65">
        <v>1</v>
      </c>
      <c r="D5" s="65">
        <v>2</v>
      </c>
      <c r="E5" s="65">
        <v>3</v>
      </c>
      <c r="F5" s="65">
        <v>4</v>
      </c>
      <c r="G5" s="65">
        <v>5</v>
      </c>
      <c r="H5" s="65">
        <v>6</v>
      </c>
      <c r="J5" s="65">
        <v>7</v>
      </c>
      <c r="K5" s="65">
        <v>8</v>
      </c>
      <c r="L5" s="65">
        <v>9</v>
      </c>
      <c r="M5" s="65">
        <v>10</v>
      </c>
      <c r="O5" s="65">
        <v>12</v>
      </c>
      <c r="P5" s="65">
        <v>13</v>
      </c>
      <c r="Q5" s="65">
        <v>14</v>
      </c>
      <c r="T5" s="65" t="s">
        <v>95</v>
      </c>
    </row>
    <row r="6" spans="1:22">
      <c r="A6" s="502" t="s">
        <v>100</v>
      </c>
      <c r="B6" s="65" t="s">
        <v>246</v>
      </c>
      <c r="C6" s="141">
        <v>22091</v>
      </c>
      <c r="D6" s="141">
        <v>5545</v>
      </c>
      <c r="E6" s="141">
        <v>8723</v>
      </c>
      <c r="F6" s="141">
        <v>2027</v>
      </c>
      <c r="G6" s="141">
        <v>584</v>
      </c>
      <c r="H6" s="141">
        <v>741</v>
      </c>
      <c r="I6" s="141">
        <v>39711</v>
      </c>
      <c r="J6" s="141"/>
      <c r="K6" s="141">
        <v>4764</v>
      </c>
      <c r="L6" s="141">
        <v>11544</v>
      </c>
      <c r="M6" s="141">
        <v>4482</v>
      </c>
      <c r="N6" s="141">
        <v>20790</v>
      </c>
      <c r="O6" s="141">
        <v>389</v>
      </c>
      <c r="P6" s="141">
        <v>1083</v>
      </c>
      <c r="Q6" s="141"/>
      <c r="R6" s="141">
        <v>1472</v>
      </c>
      <c r="S6" s="141">
        <v>124</v>
      </c>
      <c r="T6" s="141"/>
      <c r="U6" s="141"/>
      <c r="V6" s="141">
        <v>62097</v>
      </c>
    </row>
    <row r="7" spans="1:22" ht="13" thickBot="1">
      <c r="A7" s="503"/>
      <c r="B7" s="65" t="s">
        <v>247</v>
      </c>
      <c r="C7" s="141">
        <v>23242</v>
      </c>
      <c r="D7" s="141">
        <v>5984</v>
      </c>
      <c r="E7" s="141">
        <v>9035</v>
      </c>
      <c r="F7" s="141">
        <v>2105</v>
      </c>
      <c r="G7" s="141">
        <v>579</v>
      </c>
      <c r="H7" s="141">
        <v>762</v>
      </c>
      <c r="I7" s="141">
        <v>41707</v>
      </c>
      <c r="J7" s="141"/>
      <c r="K7" s="141">
        <v>5027</v>
      </c>
      <c r="L7" s="141">
        <v>10771</v>
      </c>
      <c r="M7" s="141">
        <v>4333</v>
      </c>
      <c r="N7" s="141">
        <v>20131</v>
      </c>
      <c r="O7" s="141">
        <v>373</v>
      </c>
      <c r="P7" s="141">
        <v>969</v>
      </c>
      <c r="Q7" s="141"/>
      <c r="R7" s="141">
        <v>1342</v>
      </c>
      <c r="S7" s="141">
        <v>92</v>
      </c>
      <c r="T7" s="141"/>
      <c r="U7" s="141"/>
      <c r="V7" s="141">
        <v>63272</v>
      </c>
    </row>
    <row r="8" spans="1:22" s="149" customFormat="1" ht="13.5" thickBot="1">
      <c r="A8" s="539"/>
      <c r="B8" s="181" t="s">
        <v>248</v>
      </c>
      <c r="C8" s="146">
        <v>5.2102666244171834E-2</v>
      </c>
      <c r="D8" s="146">
        <v>7.9170423805229942E-2</v>
      </c>
      <c r="E8" s="146">
        <v>3.5767511177347243E-2</v>
      </c>
      <c r="F8" s="146">
        <v>3.8480513073507645E-2</v>
      </c>
      <c r="G8" s="146">
        <v>-8.5616438356164379E-3</v>
      </c>
      <c r="H8" s="146">
        <v>2.8340080971659919E-2</v>
      </c>
      <c r="I8" s="146">
        <v>5.0263151267910658E-2</v>
      </c>
      <c r="J8" s="146">
        <v>0</v>
      </c>
      <c r="K8" s="146">
        <v>5.5205709487825355E-2</v>
      </c>
      <c r="L8" s="524">
        <v>-6.6961191961191963E-2</v>
      </c>
      <c r="M8" s="146">
        <v>-3.3244087460954933E-2</v>
      </c>
      <c r="N8" s="146">
        <v>-3.1697931697931697E-2</v>
      </c>
      <c r="O8" s="524">
        <v>-4.1131105398457581E-2</v>
      </c>
      <c r="P8" s="182">
        <v>-0.10526315789473684</v>
      </c>
      <c r="Q8" s="146">
        <v>0</v>
      </c>
      <c r="R8" s="146">
        <v>-8.8315217391304351E-2</v>
      </c>
      <c r="S8" s="524">
        <v>-0.25806451612903225</v>
      </c>
      <c r="T8" s="146">
        <v>0</v>
      </c>
      <c r="U8" s="146">
        <v>0</v>
      </c>
      <c r="V8" s="146">
        <v>1.892200911477205E-2</v>
      </c>
    </row>
    <row r="9" spans="1:22">
      <c r="A9" s="161" t="s">
        <v>154</v>
      </c>
      <c r="B9" s="65" t="s">
        <v>246</v>
      </c>
      <c r="C9" s="601">
        <v>6540</v>
      </c>
      <c r="D9" s="601">
        <v>2568</v>
      </c>
      <c r="E9" s="601">
        <v>11485</v>
      </c>
      <c r="F9" s="601">
        <v>3295</v>
      </c>
      <c r="G9" s="601"/>
      <c r="H9" s="601">
        <v>2072</v>
      </c>
      <c r="I9" s="601">
        <v>25960</v>
      </c>
      <c r="J9" s="601"/>
      <c r="K9" s="601">
        <v>1600</v>
      </c>
      <c r="L9" s="601">
        <v>3184</v>
      </c>
      <c r="M9" s="601">
        <v>12559</v>
      </c>
      <c r="N9" s="601">
        <v>17343</v>
      </c>
      <c r="O9" s="601"/>
      <c r="P9" s="601"/>
      <c r="Q9" s="601"/>
      <c r="R9" s="601"/>
      <c r="S9" s="601">
        <v>891</v>
      </c>
      <c r="T9" s="601"/>
      <c r="U9" s="601"/>
      <c r="V9" s="601">
        <v>44194</v>
      </c>
    </row>
    <row r="10" spans="1:22" ht="13" thickBot="1">
      <c r="B10" s="65" t="s">
        <v>247</v>
      </c>
      <c r="C10" s="601">
        <v>6894</v>
      </c>
      <c r="D10" s="601">
        <v>2397</v>
      </c>
      <c r="E10" s="601">
        <v>11087</v>
      </c>
      <c r="F10" s="601">
        <v>3390</v>
      </c>
      <c r="G10" s="601"/>
      <c r="H10" s="601">
        <v>1954</v>
      </c>
      <c r="I10" s="601">
        <v>25722</v>
      </c>
      <c r="J10" s="601"/>
      <c r="K10" s="601">
        <v>1749</v>
      </c>
      <c r="L10" s="601">
        <v>3002</v>
      </c>
      <c r="M10" s="601">
        <v>11169</v>
      </c>
      <c r="N10" s="601">
        <v>15920</v>
      </c>
      <c r="O10" s="601"/>
      <c r="P10" s="601"/>
      <c r="Q10" s="601"/>
      <c r="R10" s="601"/>
      <c r="S10" s="601">
        <v>875</v>
      </c>
      <c r="T10" s="601"/>
      <c r="U10" s="601"/>
      <c r="V10" s="601">
        <v>42517</v>
      </c>
    </row>
    <row r="11" spans="1:22" s="149" customFormat="1" ht="13.5" thickBot="1">
      <c r="A11" s="161"/>
      <c r="B11" s="65" t="s">
        <v>248</v>
      </c>
      <c r="C11" s="601">
        <v>5.412844036697248E-2</v>
      </c>
      <c r="D11" s="601">
        <v>-6.6588785046728965E-2</v>
      </c>
      <c r="E11" s="601">
        <v>-3.4653896386591207E-2</v>
      </c>
      <c r="F11" s="601">
        <v>2.8831562974203338E-2</v>
      </c>
      <c r="G11" s="687">
        <v>0</v>
      </c>
      <c r="H11" s="601">
        <v>-5.6949806949806947E-2</v>
      </c>
      <c r="I11" s="601">
        <v>-9.1679506933744215E-3</v>
      </c>
      <c r="J11" s="601">
        <v>0</v>
      </c>
      <c r="K11" s="694">
        <v>9.3124999999999999E-2</v>
      </c>
      <c r="L11" s="601">
        <v>-5.71608040201005E-2</v>
      </c>
      <c r="M11" s="601">
        <v>-0.11067760171988215</v>
      </c>
      <c r="N11" s="601">
        <v>-8.2050394972034826E-2</v>
      </c>
      <c r="O11" s="601">
        <v>0</v>
      </c>
      <c r="P11" s="601">
        <v>0</v>
      </c>
      <c r="Q11" s="601">
        <v>0</v>
      </c>
      <c r="R11" s="601">
        <v>0</v>
      </c>
      <c r="S11" s="601">
        <v>-1.7957351290684626E-2</v>
      </c>
      <c r="T11" s="601">
        <v>0</v>
      </c>
      <c r="U11" s="601">
        <v>0</v>
      </c>
      <c r="V11" s="601">
        <v>-3.7946327555776801E-2</v>
      </c>
    </row>
    <row r="12" spans="1:22">
      <c r="A12" s="161" t="s">
        <v>155</v>
      </c>
      <c r="B12" s="65" t="s">
        <v>246</v>
      </c>
      <c r="C12" s="601">
        <v>5937</v>
      </c>
      <c r="D12" s="601"/>
      <c r="E12" s="601">
        <v>761</v>
      </c>
      <c r="F12" s="601"/>
      <c r="G12" s="601"/>
      <c r="H12" s="601"/>
      <c r="I12" s="601">
        <v>6698</v>
      </c>
      <c r="J12" s="601"/>
      <c r="K12" s="601"/>
      <c r="L12" s="601">
        <v>1904</v>
      </c>
      <c r="M12" s="601"/>
      <c r="N12" s="601">
        <v>1904</v>
      </c>
      <c r="O12" s="601"/>
      <c r="P12" s="601"/>
      <c r="Q12" s="601"/>
      <c r="R12" s="601"/>
      <c r="S12" s="601"/>
      <c r="T12" s="601"/>
      <c r="U12" s="601"/>
      <c r="V12" s="601">
        <v>8602</v>
      </c>
    </row>
    <row r="13" spans="1:22" ht="13" thickBot="1">
      <c r="B13" s="65" t="s">
        <v>247</v>
      </c>
      <c r="C13" s="601">
        <v>5794</v>
      </c>
      <c r="D13" s="601"/>
      <c r="E13" s="601">
        <v>778</v>
      </c>
      <c r="F13" s="601"/>
      <c r="G13" s="601"/>
      <c r="H13" s="601"/>
      <c r="I13" s="601">
        <v>6572</v>
      </c>
      <c r="J13" s="601"/>
      <c r="K13" s="601"/>
      <c r="L13" s="601">
        <v>1820</v>
      </c>
      <c r="M13" s="601"/>
      <c r="N13" s="601">
        <v>1820</v>
      </c>
      <c r="O13" s="601"/>
      <c r="P13" s="601"/>
      <c r="Q13" s="601"/>
      <c r="R13" s="601"/>
      <c r="S13" s="601"/>
      <c r="T13" s="601"/>
      <c r="U13" s="601"/>
      <c r="V13" s="601">
        <v>8392</v>
      </c>
    </row>
    <row r="14" spans="1:22" s="149" customFormat="1" ht="13.5" thickBot="1">
      <c r="A14" s="161"/>
      <c r="B14" s="65" t="s">
        <v>248</v>
      </c>
      <c r="C14" s="601">
        <v>-2.4086238841165571E-2</v>
      </c>
      <c r="D14" s="601">
        <v>0</v>
      </c>
      <c r="E14" s="601">
        <v>2.2339027595269383E-2</v>
      </c>
      <c r="F14" s="601">
        <v>0</v>
      </c>
      <c r="G14" s="601">
        <v>0</v>
      </c>
      <c r="H14" s="601">
        <v>0</v>
      </c>
      <c r="I14" s="601">
        <v>-1.8811585547924753E-2</v>
      </c>
      <c r="J14" s="601">
        <v>0</v>
      </c>
      <c r="K14" s="687">
        <v>0</v>
      </c>
      <c r="L14" s="601">
        <v>-4.4117647058823532E-2</v>
      </c>
      <c r="M14" s="601">
        <v>0</v>
      </c>
      <c r="N14" s="601">
        <v>-4.4117647058823532E-2</v>
      </c>
      <c r="O14" s="601">
        <v>0</v>
      </c>
      <c r="P14" s="601">
        <v>0</v>
      </c>
      <c r="Q14" s="601">
        <v>0</v>
      </c>
      <c r="R14" s="601">
        <v>0</v>
      </c>
      <c r="S14" s="601">
        <v>0</v>
      </c>
      <c r="T14" s="601">
        <v>0</v>
      </c>
      <c r="U14" s="601">
        <v>0</v>
      </c>
      <c r="V14" s="601">
        <v>-2.4412927226226459E-2</v>
      </c>
    </row>
    <row r="15" spans="1:22">
      <c r="A15" s="161" t="s">
        <v>156</v>
      </c>
      <c r="B15" s="65" t="s">
        <v>246</v>
      </c>
      <c r="C15" s="601"/>
      <c r="D15" s="601"/>
      <c r="E15" s="601"/>
      <c r="F15" s="601"/>
      <c r="G15" s="601"/>
      <c r="H15" s="601"/>
      <c r="I15" s="601"/>
      <c r="J15" s="601">
        <v>113468</v>
      </c>
      <c r="K15" s="601">
        <v>8863</v>
      </c>
      <c r="L15" s="601"/>
      <c r="M15" s="601">
        <v>769</v>
      </c>
      <c r="N15" s="601">
        <v>123100</v>
      </c>
      <c r="O15" s="601"/>
      <c r="P15" s="601"/>
      <c r="Q15" s="601"/>
      <c r="R15" s="601"/>
      <c r="S15" s="601"/>
      <c r="T15" s="601">
        <v>0</v>
      </c>
      <c r="U15" s="601">
        <v>0</v>
      </c>
      <c r="V15" s="601">
        <v>123100</v>
      </c>
    </row>
    <row r="16" spans="1:22">
      <c r="B16" s="65" t="s">
        <v>247</v>
      </c>
      <c r="C16" s="601"/>
      <c r="D16" s="601"/>
      <c r="E16" s="601"/>
      <c r="F16" s="601"/>
      <c r="G16" s="601"/>
      <c r="H16" s="601"/>
      <c r="I16" s="601"/>
      <c r="J16" s="601">
        <v>101905</v>
      </c>
      <c r="K16" s="601">
        <v>9456</v>
      </c>
      <c r="L16" s="601"/>
      <c r="M16" s="601">
        <v>709</v>
      </c>
      <c r="N16" s="601">
        <v>112070</v>
      </c>
      <c r="O16" s="601"/>
      <c r="P16" s="601"/>
      <c r="Q16" s="601"/>
      <c r="R16" s="601"/>
      <c r="S16" s="601"/>
      <c r="T16" s="601">
        <v>0</v>
      </c>
      <c r="U16" s="601">
        <v>0</v>
      </c>
      <c r="V16" s="601">
        <v>112070</v>
      </c>
    </row>
    <row r="17" spans="1:22" s="149" customFormat="1" ht="13">
      <c r="A17" s="161"/>
      <c r="B17" s="65" t="s">
        <v>248</v>
      </c>
      <c r="C17" s="601">
        <v>0</v>
      </c>
      <c r="D17" s="601">
        <v>0</v>
      </c>
      <c r="E17" s="601">
        <v>0</v>
      </c>
      <c r="F17" s="601">
        <v>0</v>
      </c>
      <c r="G17" s="601">
        <v>0</v>
      </c>
      <c r="H17" s="601">
        <v>0</v>
      </c>
      <c r="I17" s="601">
        <v>0</v>
      </c>
      <c r="J17" s="601">
        <v>-0.10190538301547573</v>
      </c>
      <c r="K17" s="601">
        <v>6.6907367708450863E-2</v>
      </c>
      <c r="L17" s="601">
        <v>0</v>
      </c>
      <c r="M17" s="601">
        <v>-7.8023407022106639E-2</v>
      </c>
      <c r="N17" s="601">
        <v>-8.960194963444354E-2</v>
      </c>
      <c r="O17" s="601">
        <v>0</v>
      </c>
      <c r="P17" s="601">
        <v>0</v>
      </c>
      <c r="Q17" s="601">
        <v>0</v>
      </c>
      <c r="R17" s="601">
        <v>0</v>
      </c>
      <c r="S17" s="601">
        <v>0</v>
      </c>
      <c r="T17" s="601">
        <v>0</v>
      </c>
      <c r="U17" s="601">
        <v>0</v>
      </c>
      <c r="V17" s="601">
        <v>-8.960194963444354E-2</v>
      </c>
    </row>
    <row r="18" spans="1:22">
      <c r="A18" s="161" t="s">
        <v>157</v>
      </c>
      <c r="B18" s="65" t="s">
        <v>246</v>
      </c>
      <c r="C18" s="601">
        <v>22165</v>
      </c>
      <c r="D18" s="601">
        <v>7472</v>
      </c>
      <c r="E18" s="601">
        <v>17869</v>
      </c>
      <c r="F18" s="601">
        <v>12165</v>
      </c>
      <c r="G18" s="601">
        <v>2487</v>
      </c>
      <c r="H18" s="601">
        <v>3902</v>
      </c>
      <c r="I18" s="601">
        <v>66060</v>
      </c>
      <c r="J18" s="601">
        <v>1794</v>
      </c>
      <c r="K18" s="601"/>
      <c r="L18" s="601"/>
      <c r="M18" s="601"/>
      <c r="N18" s="601">
        <v>1794</v>
      </c>
      <c r="O18" s="601">
        <v>49828</v>
      </c>
      <c r="P18" s="601"/>
      <c r="Q18" s="601"/>
      <c r="R18" s="601">
        <v>49828</v>
      </c>
      <c r="S18" s="601"/>
      <c r="T18" s="601"/>
      <c r="U18" s="601"/>
      <c r="V18" s="601">
        <v>117682</v>
      </c>
    </row>
    <row r="19" spans="1:22">
      <c r="B19" s="65" t="s">
        <v>247</v>
      </c>
      <c r="C19" s="601">
        <v>23288</v>
      </c>
      <c r="D19" s="601">
        <v>8533</v>
      </c>
      <c r="E19" s="601">
        <v>18620</v>
      </c>
      <c r="F19" s="601">
        <v>12330</v>
      </c>
      <c r="G19" s="601">
        <v>2476</v>
      </c>
      <c r="H19" s="601">
        <v>3773</v>
      </c>
      <c r="I19" s="601">
        <v>69020</v>
      </c>
      <c r="J19" s="601">
        <v>1859</v>
      </c>
      <c r="K19" s="601"/>
      <c r="L19" s="601"/>
      <c r="M19" s="601"/>
      <c r="N19" s="601">
        <v>1859</v>
      </c>
      <c r="O19" s="601">
        <v>49938</v>
      </c>
      <c r="P19" s="601"/>
      <c r="Q19" s="601"/>
      <c r="R19" s="601">
        <v>49938</v>
      </c>
      <c r="S19" s="601"/>
      <c r="T19" s="601"/>
      <c r="U19" s="601"/>
      <c r="V19" s="601">
        <v>120817</v>
      </c>
    </row>
    <row r="20" spans="1:22" s="149" customFormat="1" ht="13">
      <c r="A20" s="161"/>
      <c r="B20" s="65" t="s">
        <v>248</v>
      </c>
      <c r="C20" s="601">
        <v>5.0665463568689374E-2</v>
      </c>
      <c r="D20" s="601">
        <v>0.1419967880085653</v>
      </c>
      <c r="E20" s="601">
        <v>4.2028093346018244E-2</v>
      </c>
      <c r="F20" s="601">
        <v>1.3563501849568433E-2</v>
      </c>
      <c r="G20" s="601">
        <v>-4.4229995979091271E-3</v>
      </c>
      <c r="H20" s="601">
        <v>-3.3059969246540234E-2</v>
      </c>
      <c r="I20" s="601">
        <v>4.4807750529821375E-2</v>
      </c>
      <c r="J20" s="601">
        <v>3.6231884057971016E-2</v>
      </c>
      <c r="K20" s="601">
        <v>0</v>
      </c>
      <c r="L20" s="601">
        <v>0</v>
      </c>
      <c r="M20" s="601">
        <v>0</v>
      </c>
      <c r="N20" s="601">
        <v>3.6231884057971016E-2</v>
      </c>
      <c r="O20" s="694">
        <v>2.2075941237858234E-3</v>
      </c>
      <c r="P20" s="601">
        <v>0</v>
      </c>
      <c r="Q20" s="601">
        <v>0</v>
      </c>
      <c r="R20" s="601">
        <v>2.2075941237858234E-3</v>
      </c>
      <c r="S20" s="601">
        <v>0</v>
      </c>
      <c r="T20" s="601">
        <v>0</v>
      </c>
      <c r="U20" s="601">
        <v>0</v>
      </c>
      <c r="V20" s="601">
        <v>2.6639588042351423E-2</v>
      </c>
    </row>
    <row r="21" spans="1:22">
      <c r="A21" s="161" t="s">
        <v>158</v>
      </c>
      <c r="B21" s="65" t="s">
        <v>246</v>
      </c>
      <c r="C21" s="601">
        <v>12916</v>
      </c>
      <c r="D21" s="601"/>
      <c r="E21" s="601">
        <v>15179</v>
      </c>
      <c r="F21" s="601">
        <v>300</v>
      </c>
      <c r="G21" s="601"/>
      <c r="H21" s="601"/>
      <c r="I21" s="601">
        <v>28395</v>
      </c>
      <c r="J21" s="601"/>
      <c r="K21" s="601">
        <v>8583</v>
      </c>
      <c r="L21" s="601">
        <v>14721</v>
      </c>
      <c r="M21" s="601">
        <v>7907</v>
      </c>
      <c r="N21" s="601">
        <v>31211</v>
      </c>
      <c r="O21" s="601">
        <v>5917</v>
      </c>
      <c r="P21" s="601"/>
      <c r="Q21" s="601"/>
      <c r="R21" s="601">
        <v>5917</v>
      </c>
      <c r="S21" s="601"/>
      <c r="T21" s="601"/>
      <c r="U21" s="601"/>
      <c r="V21" s="601">
        <v>65523</v>
      </c>
    </row>
    <row r="22" spans="1:22" ht="13" thickBot="1">
      <c r="B22" s="65" t="s">
        <v>247</v>
      </c>
      <c r="C22" s="601">
        <v>13227</v>
      </c>
      <c r="D22" s="601"/>
      <c r="E22" s="601">
        <v>15254</v>
      </c>
      <c r="F22" s="601">
        <v>205</v>
      </c>
      <c r="G22" s="601"/>
      <c r="H22" s="601"/>
      <c r="I22" s="601">
        <v>28686</v>
      </c>
      <c r="J22" s="601"/>
      <c r="K22" s="601">
        <v>9215</v>
      </c>
      <c r="L22" s="601">
        <v>15279</v>
      </c>
      <c r="M22" s="601">
        <v>8853</v>
      </c>
      <c r="N22" s="601">
        <v>33347</v>
      </c>
      <c r="O22" s="601">
        <v>5944</v>
      </c>
      <c r="P22" s="601"/>
      <c r="Q22" s="601"/>
      <c r="R22" s="601">
        <v>5944</v>
      </c>
      <c r="S22" s="601"/>
      <c r="T22" s="601"/>
      <c r="U22" s="601"/>
      <c r="V22" s="601">
        <v>67977</v>
      </c>
    </row>
    <row r="23" spans="1:22" s="149" customFormat="1" ht="13.5" thickBot="1">
      <c r="A23" s="161"/>
      <c r="B23" s="65" t="s">
        <v>248</v>
      </c>
      <c r="C23" s="601">
        <v>2.4078662124496747E-2</v>
      </c>
      <c r="D23" s="601">
        <v>0</v>
      </c>
      <c r="E23" s="601">
        <v>4.9410369589564527E-3</v>
      </c>
      <c r="F23" s="601">
        <v>-0.31666666666666665</v>
      </c>
      <c r="G23" s="601">
        <v>0</v>
      </c>
      <c r="H23" s="601">
        <v>0</v>
      </c>
      <c r="I23" s="601">
        <v>1.0248283148441627E-2</v>
      </c>
      <c r="J23" s="601">
        <v>0</v>
      </c>
      <c r="K23" s="601">
        <v>7.3633927531166266E-2</v>
      </c>
      <c r="L23" s="601">
        <v>3.7905033625433057E-2</v>
      </c>
      <c r="M23" s="601">
        <v>0.11964082458581005</v>
      </c>
      <c r="N23" s="601">
        <v>6.8437409887539644E-2</v>
      </c>
      <c r="O23" s="687">
        <v>4.5631232043265172E-3</v>
      </c>
      <c r="P23" s="601">
        <v>0</v>
      </c>
      <c r="Q23" s="601">
        <v>0</v>
      </c>
      <c r="R23" s="601">
        <v>4.5631232043265172E-3</v>
      </c>
      <c r="S23" s="601">
        <v>0</v>
      </c>
      <c r="T23" s="601">
        <v>0</v>
      </c>
      <c r="U23" s="601">
        <v>0</v>
      </c>
      <c r="V23" s="601">
        <v>3.7452497596263908E-2</v>
      </c>
    </row>
    <row r="24" spans="1:22">
      <c r="A24" s="161" t="s">
        <v>159</v>
      </c>
      <c r="B24" s="65" t="s">
        <v>246</v>
      </c>
      <c r="C24" s="601">
        <v>7186</v>
      </c>
      <c r="D24" s="601">
        <v>7264</v>
      </c>
      <c r="E24" s="601">
        <v>6144</v>
      </c>
      <c r="F24" s="601">
        <v>6317</v>
      </c>
      <c r="G24" s="601">
        <v>470</v>
      </c>
      <c r="H24" s="601">
        <v>540</v>
      </c>
      <c r="I24" s="601">
        <v>27921</v>
      </c>
      <c r="J24" s="601"/>
      <c r="K24" s="601">
        <v>5061</v>
      </c>
      <c r="L24" s="601">
        <v>4773</v>
      </c>
      <c r="M24" s="601">
        <v>1791</v>
      </c>
      <c r="N24" s="601">
        <v>11625</v>
      </c>
      <c r="O24" s="601">
        <v>4715</v>
      </c>
      <c r="P24" s="601">
        <v>593</v>
      </c>
      <c r="Q24" s="601"/>
      <c r="R24" s="601">
        <v>5308</v>
      </c>
      <c r="S24" s="601">
        <v>1261</v>
      </c>
      <c r="T24" s="601"/>
      <c r="U24" s="601"/>
      <c r="V24" s="601">
        <v>46115</v>
      </c>
    </row>
    <row r="25" spans="1:22" ht="13" thickBot="1">
      <c r="B25" s="65" t="s">
        <v>247</v>
      </c>
      <c r="C25" s="601">
        <v>7080</v>
      </c>
      <c r="D25" s="601">
        <v>7313</v>
      </c>
      <c r="E25" s="601">
        <v>6334</v>
      </c>
      <c r="F25" s="601">
        <v>6795</v>
      </c>
      <c r="G25" s="601">
        <v>423</v>
      </c>
      <c r="H25" s="601">
        <v>592</v>
      </c>
      <c r="I25" s="601">
        <v>28537</v>
      </c>
      <c r="J25" s="601"/>
      <c r="K25" s="601">
        <v>5270</v>
      </c>
      <c r="L25" s="601">
        <v>5885</v>
      </c>
      <c r="M25" s="601">
        <v>1854</v>
      </c>
      <c r="N25" s="601">
        <v>13009</v>
      </c>
      <c r="O25" s="601">
        <v>6410</v>
      </c>
      <c r="P25" s="601">
        <v>869</v>
      </c>
      <c r="Q25" s="601"/>
      <c r="R25" s="601">
        <v>7279</v>
      </c>
      <c r="S25" s="601">
        <v>1278</v>
      </c>
      <c r="T25" s="601"/>
      <c r="U25" s="601"/>
      <c r="V25" s="601">
        <v>50103</v>
      </c>
    </row>
    <row r="26" spans="1:22" s="149" customFormat="1" ht="13.5" thickBot="1">
      <c r="A26" s="161"/>
      <c r="B26" s="65" t="s">
        <v>248</v>
      </c>
      <c r="C26" s="601">
        <v>-1.4750904536598943E-2</v>
      </c>
      <c r="D26" s="601">
        <v>6.745594713656388E-3</v>
      </c>
      <c r="E26" s="601">
        <v>3.0924479166666668E-2</v>
      </c>
      <c r="F26" s="601">
        <v>7.5668830140889667E-2</v>
      </c>
      <c r="G26" s="601">
        <v>-0.1</v>
      </c>
      <c r="H26" s="601">
        <v>9.6296296296296297E-2</v>
      </c>
      <c r="I26" s="601">
        <v>2.2062247054188605E-2</v>
      </c>
      <c r="J26" s="601">
        <v>0</v>
      </c>
      <c r="K26" s="694">
        <v>4.1296186524402291E-2</v>
      </c>
      <c r="L26" s="687">
        <v>0.23297716320972134</v>
      </c>
      <c r="M26" s="687">
        <v>3.5175879396984924E-2</v>
      </c>
      <c r="N26" s="601">
        <v>0.11905376344086022</v>
      </c>
      <c r="O26" s="687">
        <v>0.35949098621421</v>
      </c>
      <c r="P26" s="601">
        <v>0.4654300168634064</v>
      </c>
      <c r="Q26" s="601">
        <v>0</v>
      </c>
      <c r="R26" s="601">
        <v>0.37132629992464206</v>
      </c>
      <c r="S26" s="601">
        <v>1.3481363996827915E-2</v>
      </c>
      <c r="T26" s="601">
        <v>0</v>
      </c>
      <c r="U26" s="601">
        <v>0</v>
      </c>
      <c r="V26" s="601">
        <v>8.6479453540062881E-2</v>
      </c>
    </row>
    <row r="27" spans="1:22">
      <c r="A27" s="161" t="s">
        <v>160</v>
      </c>
      <c r="B27" s="65" t="s">
        <v>246</v>
      </c>
      <c r="C27" s="601"/>
      <c r="D27" s="601"/>
      <c r="E27" s="601"/>
      <c r="F27" s="601"/>
      <c r="G27" s="601"/>
      <c r="H27" s="601"/>
      <c r="I27" s="601"/>
      <c r="J27" s="601"/>
      <c r="K27" s="601"/>
      <c r="L27" s="601"/>
      <c r="M27" s="601"/>
      <c r="N27" s="601"/>
      <c r="O27" s="601"/>
      <c r="P27" s="601"/>
      <c r="Q27" s="601"/>
      <c r="R27" s="601"/>
      <c r="S27" s="601"/>
      <c r="T27" s="601">
        <v>0</v>
      </c>
      <c r="U27" s="601">
        <v>0</v>
      </c>
      <c r="V27" s="601">
        <v>0</v>
      </c>
    </row>
    <row r="28" spans="1:22">
      <c r="B28" s="65" t="s">
        <v>247</v>
      </c>
      <c r="C28" s="601"/>
      <c r="D28" s="601"/>
      <c r="E28" s="601"/>
      <c r="F28" s="601"/>
      <c r="G28" s="601"/>
      <c r="H28" s="601"/>
      <c r="I28" s="601"/>
      <c r="J28" s="601"/>
      <c r="K28" s="601"/>
      <c r="L28" s="601"/>
      <c r="M28" s="601"/>
      <c r="N28" s="601"/>
      <c r="O28" s="601"/>
      <c r="P28" s="601"/>
      <c r="Q28" s="601"/>
      <c r="R28" s="601"/>
      <c r="S28" s="601"/>
      <c r="T28" s="601">
        <v>0</v>
      </c>
      <c r="U28" s="601">
        <v>0</v>
      </c>
      <c r="V28" s="601">
        <v>0</v>
      </c>
    </row>
    <row r="29" spans="1:22" s="149" customFormat="1" ht="13">
      <c r="A29" s="161"/>
      <c r="B29" s="65" t="s">
        <v>248</v>
      </c>
      <c r="C29" s="601">
        <v>0</v>
      </c>
      <c r="D29" s="601">
        <v>0</v>
      </c>
      <c r="E29" s="601">
        <v>0</v>
      </c>
      <c r="F29" s="601">
        <v>0</v>
      </c>
      <c r="G29" s="601">
        <v>0</v>
      </c>
      <c r="H29" s="601">
        <v>0</v>
      </c>
      <c r="I29" s="601">
        <v>0</v>
      </c>
      <c r="J29" s="601">
        <v>0</v>
      </c>
      <c r="K29" s="601">
        <v>0</v>
      </c>
      <c r="L29" s="601">
        <v>0</v>
      </c>
      <c r="M29" s="601">
        <v>0</v>
      </c>
      <c r="N29" s="601">
        <v>0</v>
      </c>
      <c r="O29" s="601">
        <v>0</v>
      </c>
      <c r="P29" s="601">
        <v>0</v>
      </c>
      <c r="Q29" s="601">
        <v>0</v>
      </c>
      <c r="R29" s="601">
        <v>0</v>
      </c>
      <c r="S29" s="601">
        <v>0</v>
      </c>
      <c r="T29" s="601">
        <v>0</v>
      </c>
      <c r="U29" s="601">
        <v>0</v>
      </c>
      <c r="V29" s="601">
        <v>0</v>
      </c>
    </row>
    <row r="30" spans="1:22">
      <c r="A30" s="161" t="s">
        <v>161</v>
      </c>
      <c r="B30" s="65" t="s">
        <v>246</v>
      </c>
      <c r="C30" s="601">
        <v>14476</v>
      </c>
      <c r="D30" s="601">
        <v>1708</v>
      </c>
      <c r="E30" s="601"/>
      <c r="F30" s="601">
        <v>2842</v>
      </c>
      <c r="G30" s="601"/>
      <c r="H30" s="601"/>
      <c r="I30" s="601">
        <v>19026</v>
      </c>
      <c r="J30" s="601"/>
      <c r="K30" s="601"/>
      <c r="L30" s="601"/>
      <c r="M30" s="601"/>
      <c r="N30" s="601"/>
      <c r="O30" s="601"/>
      <c r="P30" s="601"/>
      <c r="Q30" s="601"/>
      <c r="R30" s="601"/>
      <c r="S30" s="601"/>
      <c r="T30" s="601">
        <v>0</v>
      </c>
      <c r="U30" s="601">
        <v>0</v>
      </c>
      <c r="V30" s="601">
        <v>19026</v>
      </c>
    </row>
    <row r="31" spans="1:22" ht="13" thickBot="1">
      <c r="B31" s="65" t="s">
        <v>247</v>
      </c>
      <c r="C31" s="601">
        <v>14641</v>
      </c>
      <c r="D31" s="601">
        <v>1597</v>
      </c>
      <c r="E31" s="601"/>
      <c r="F31" s="601">
        <v>2807</v>
      </c>
      <c r="G31" s="601"/>
      <c r="H31" s="601"/>
      <c r="I31" s="601">
        <v>19045</v>
      </c>
      <c r="J31" s="601"/>
      <c r="K31" s="601"/>
      <c r="L31" s="601"/>
      <c r="M31" s="601"/>
      <c r="N31" s="601"/>
      <c r="O31" s="601"/>
      <c r="P31" s="601"/>
      <c r="Q31" s="601"/>
      <c r="R31" s="601"/>
      <c r="S31" s="601"/>
      <c r="T31" s="601">
        <v>0</v>
      </c>
      <c r="U31" s="601">
        <v>0</v>
      </c>
      <c r="V31" s="601">
        <v>19045</v>
      </c>
    </row>
    <row r="32" spans="1:22" s="149" customFormat="1" ht="13.5" thickBot="1">
      <c r="A32" s="161"/>
      <c r="B32" s="65" t="s">
        <v>248</v>
      </c>
      <c r="C32" s="601">
        <v>1.1398176291793313E-2</v>
      </c>
      <c r="D32" s="601">
        <v>-6.4988290398126466E-2</v>
      </c>
      <c r="E32" s="601">
        <v>0</v>
      </c>
      <c r="F32" s="601">
        <v>-1.2315270935960592E-2</v>
      </c>
      <c r="G32" s="687">
        <v>0</v>
      </c>
      <c r="H32" s="601">
        <v>0</v>
      </c>
      <c r="I32" s="601">
        <v>9.9863344896457479E-4</v>
      </c>
      <c r="J32" s="601">
        <v>0</v>
      </c>
      <c r="K32" s="601">
        <v>0</v>
      </c>
      <c r="L32" s="601">
        <v>0</v>
      </c>
      <c r="M32" s="694">
        <v>0</v>
      </c>
      <c r="N32" s="601">
        <v>0</v>
      </c>
      <c r="O32" s="601">
        <v>0</v>
      </c>
      <c r="P32" s="601">
        <v>0</v>
      </c>
      <c r="Q32" s="601">
        <v>0</v>
      </c>
      <c r="R32" s="601">
        <v>0</v>
      </c>
      <c r="S32" s="694">
        <v>0</v>
      </c>
      <c r="T32" s="601">
        <v>0</v>
      </c>
      <c r="U32" s="601">
        <v>0</v>
      </c>
      <c r="V32" s="601">
        <v>9.9863344896457479E-4</v>
      </c>
    </row>
    <row r="33" spans="1:22">
      <c r="A33" s="161" t="s">
        <v>162</v>
      </c>
      <c r="B33" s="606" t="s">
        <v>246</v>
      </c>
      <c r="C33" s="683">
        <v>30110</v>
      </c>
      <c r="D33" s="683">
        <v>6837</v>
      </c>
      <c r="E33" s="683">
        <v>16060</v>
      </c>
      <c r="F33" s="683">
        <v>1207</v>
      </c>
      <c r="G33" s="683">
        <v>2403</v>
      </c>
      <c r="H33" s="683">
        <v>1075</v>
      </c>
      <c r="I33" s="683">
        <v>57692</v>
      </c>
      <c r="J33" s="683"/>
      <c r="K33" s="683">
        <v>28189</v>
      </c>
      <c r="L33" s="683">
        <v>25051</v>
      </c>
      <c r="M33" s="683">
        <v>12389</v>
      </c>
      <c r="N33" s="683">
        <v>65629</v>
      </c>
      <c r="O33" s="683"/>
      <c r="P33" s="683"/>
      <c r="Q33" s="683"/>
      <c r="R33" s="683"/>
      <c r="S33" s="683">
        <v>247</v>
      </c>
      <c r="T33" s="683"/>
      <c r="U33" s="683"/>
      <c r="V33" s="683">
        <v>123568</v>
      </c>
    </row>
    <row r="34" spans="1:22" ht="13" thickBot="1">
      <c r="B34" s="131" t="s">
        <v>247</v>
      </c>
      <c r="C34" s="683">
        <v>31095</v>
      </c>
      <c r="D34" s="683">
        <v>7393</v>
      </c>
      <c r="E34" s="683">
        <v>17001</v>
      </c>
      <c r="F34" s="683">
        <v>1269</v>
      </c>
      <c r="G34" s="683">
        <v>2627</v>
      </c>
      <c r="H34" s="683">
        <v>1026</v>
      </c>
      <c r="I34" s="683">
        <v>60411</v>
      </c>
      <c r="J34" s="683"/>
      <c r="K34" s="683">
        <v>28126</v>
      </c>
      <c r="L34" s="683">
        <v>25423</v>
      </c>
      <c r="M34" s="683">
        <v>11792</v>
      </c>
      <c r="N34" s="683">
        <v>65341</v>
      </c>
      <c r="O34" s="683"/>
      <c r="P34" s="683"/>
      <c r="Q34" s="683"/>
      <c r="R34" s="683"/>
      <c r="S34" s="683">
        <v>281</v>
      </c>
      <c r="T34" s="683"/>
      <c r="U34" s="683"/>
      <c r="V34" s="683">
        <v>126033</v>
      </c>
    </row>
    <row r="35" spans="1:22" s="149" customFormat="1" ht="13.5" thickBot="1">
      <c r="A35" s="161"/>
      <c r="B35" s="523" t="s">
        <v>248</v>
      </c>
      <c r="C35" s="683">
        <v>3.2713384257721689E-2</v>
      </c>
      <c r="D35" s="683">
        <v>8.132221734678953E-2</v>
      </c>
      <c r="E35" s="683">
        <v>5.8592777085927771E-2</v>
      </c>
      <c r="F35" s="683">
        <v>5.136702568351284E-2</v>
      </c>
      <c r="G35" s="683">
        <v>9.321681231793591E-2</v>
      </c>
      <c r="H35" s="683">
        <v>-4.5581395348837206E-2</v>
      </c>
      <c r="I35" s="683">
        <v>4.7129584691118352E-2</v>
      </c>
      <c r="J35" s="683">
        <v>0</v>
      </c>
      <c r="K35" s="684">
        <v>-2.2349143282840824E-3</v>
      </c>
      <c r="L35" s="683">
        <v>1.4849706598538981E-2</v>
      </c>
      <c r="M35" s="683">
        <v>-4.8187908628622163E-2</v>
      </c>
      <c r="N35" s="683">
        <v>-4.3883039509972728E-3</v>
      </c>
      <c r="O35" s="683">
        <v>0</v>
      </c>
      <c r="P35" s="683">
        <v>0</v>
      </c>
      <c r="Q35" s="683">
        <v>0</v>
      </c>
      <c r="R35" s="683">
        <v>0</v>
      </c>
      <c r="S35" s="683">
        <v>0.13765182186234817</v>
      </c>
      <c r="T35" s="683">
        <v>0</v>
      </c>
      <c r="U35" s="683">
        <v>0</v>
      </c>
      <c r="V35" s="683">
        <v>1.9948530363848246E-2</v>
      </c>
    </row>
    <row r="36" spans="1:22">
      <c r="A36" s="161" t="s">
        <v>163</v>
      </c>
      <c r="B36" s="65" t="s">
        <v>246</v>
      </c>
      <c r="C36" s="601"/>
      <c r="D36" s="601"/>
      <c r="E36" s="601"/>
      <c r="F36" s="601"/>
      <c r="G36" s="601"/>
      <c r="H36" s="601"/>
      <c r="I36" s="601"/>
      <c r="J36" s="601"/>
      <c r="K36" s="601"/>
      <c r="L36" s="601"/>
      <c r="M36" s="601"/>
      <c r="N36" s="601"/>
      <c r="O36" s="601">
        <v>2639</v>
      </c>
      <c r="P36" s="601">
        <v>10776</v>
      </c>
      <c r="Q36" s="601"/>
      <c r="R36" s="601">
        <v>13415</v>
      </c>
      <c r="S36" s="601"/>
      <c r="T36" s="601">
        <v>0</v>
      </c>
      <c r="U36" s="601">
        <v>0</v>
      </c>
      <c r="V36" s="601">
        <v>13415</v>
      </c>
    </row>
    <row r="37" spans="1:22" ht="13" thickBot="1">
      <c r="B37" s="65" t="s">
        <v>247</v>
      </c>
      <c r="C37" s="601"/>
      <c r="D37" s="601"/>
      <c r="E37" s="601"/>
      <c r="F37" s="601"/>
      <c r="G37" s="601"/>
      <c r="H37" s="601"/>
      <c r="I37" s="601"/>
      <c r="J37" s="601"/>
      <c r="K37" s="601"/>
      <c r="L37" s="601"/>
      <c r="M37" s="601"/>
      <c r="N37" s="601"/>
      <c r="O37" s="601">
        <v>2138</v>
      </c>
      <c r="P37" s="601">
        <v>10637</v>
      </c>
      <c r="Q37" s="601"/>
      <c r="R37" s="601">
        <v>12775</v>
      </c>
      <c r="S37" s="601"/>
      <c r="T37" s="601">
        <v>0</v>
      </c>
      <c r="U37" s="601">
        <v>0</v>
      </c>
      <c r="V37" s="601">
        <v>12775</v>
      </c>
    </row>
    <row r="38" spans="1:22" s="149" customFormat="1" ht="13.5" thickBot="1">
      <c r="A38" s="161"/>
      <c r="B38" s="65" t="s">
        <v>248</v>
      </c>
      <c r="C38" s="601">
        <v>0</v>
      </c>
      <c r="D38" s="601">
        <v>0</v>
      </c>
      <c r="E38" s="601">
        <v>0</v>
      </c>
      <c r="F38" s="601">
        <v>0</v>
      </c>
      <c r="G38" s="601">
        <v>0</v>
      </c>
      <c r="H38" s="601">
        <v>0</v>
      </c>
      <c r="I38" s="601">
        <v>0</v>
      </c>
      <c r="J38" s="687">
        <v>0</v>
      </c>
      <c r="K38" s="687">
        <v>0</v>
      </c>
      <c r="L38" s="601">
        <v>0</v>
      </c>
      <c r="M38" s="601">
        <v>0</v>
      </c>
      <c r="N38" s="601">
        <v>0</v>
      </c>
      <c r="O38" s="601">
        <v>-0.1898446381205002</v>
      </c>
      <c r="P38" s="601">
        <v>-1.2899034892353377E-2</v>
      </c>
      <c r="Q38" s="601">
        <v>0</v>
      </c>
      <c r="R38" s="601">
        <v>-4.7707789787551247E-2</v>
      </c>
      <c r="S38" s="601">
        <v>0</v>
      </c>
      <c r="T38" s="601">
        <v>0</v>
      </c>
      <c r="U38" s="601">
        <v>0</v>
      </c>
      <c r="V38" s="601">
        <v>-4.7707789787551247E-2</v>
      </c>
    </row>
    <row r="39" spans="1:22">
      <c r="A39" s="161" t="s">
        <v>164</v>
      </c>
      <c r="B39" s="65" t="s">
        <v>246</v>
      </c>
      <c r="C39" s="601">
        <v>15737</v>
      </c>
      <c r="D39" s="601"/>
      <c r="E39" s="601">
        <v>4847</v>
      </c>
      <c r="F39" s="601">
        <v>2211</v>
      </c>
      <c r="G39" s="601">
        <v>1148</v>
      </c>
      <c r="H39" s="601">
        <v>2781</v>
      </c>
      <c r="I39" s="601">
        <v>26724</v>
      </c>
      <c r="J39" s="601"/>
      <c r="K39" s="601">
        <v>7902</v>
      </c>
      <c r="L39" s="601">
        <v>6703</v>
      </c>
      <c r="M39" s="601">
        <v>2413</v>
      </c>
      <c r="N39" s="601">
        <v>17018</v>
      </c>
      <c r="O39" s="601"/>
      <c r="P39" s="601"/>
      <c r="Q39" s="601"/>
      <c r="R39" s="601"/>
      <c r="S39" s="601">
        <v>1007</v>
      </c>
      <c r="T39" s="601"/>
      <c r="U39" s="601"/>
      <c r="V39" s="601">
        <v>44749</v>
      </c>
    </row>
    <row r="40" spans="1:22">
      <c r="B40" s="65" t="s">
        <v>247</v>
      </c>
      <c r="C40" s="601">
        <v>16153</v>
      </c>
      <c r="D40" s="601"/>
      <c r="E40" s="601">
        <v>4801</v>
      </c>
      <c r="F40" s="601">
        <v>2277</v>
      </c>
      <c r="G40" s="601">
        <v>1105</v>
      </c>
      <c r="H40" s="601">
        <v>2869</v>
      </c>
      <c r="I40" s="601">
        <v>27205</v>
      </c>
      <c r="J40" s="601"/>
      <c r="K40" s="601">
        <v>7907</v>
      </c>
      <c r="L40" s="601">
        <v>7339</v>
      </c>
      <c r="M40" s="601">
        <v>2333</v>
      </c>
      <c r="N40" s="601">
        <v>17579</v>
      </c>
      <c r="O40" s="601"/>
      <c r="P40" s="601"/>
      <c r="Q40" s="601"/>
      <c r="R40" s="601"/>
      <c r="S40" s="601">
        <v>976</v>
      </c>
      <c r="T40" s="601"/>
      <c r="U40" s="601"/>
      <c r="V40" s="601">
        <v>45760</v>
      </c>
    </row>
    <row r="41" spans="1:22" s="149" customFormat="1" ht="13">
      <c r="A41" s="161"/>
      <c r="B41" s="65" t="s">
        <v>248</v>
      </c>
      <c r="C41" s="601">
        <v>2.6434517379424288E-2</v>
      </c>
      <c r="D41" s="601">
        <v>0</v>
      </c>
      <c r="E41" s="601">
        <v>-9.4904064369713218E-3</v>
      </c>
      <c r="F41" s="601">
        <v>2.9850746268656716E-2</v>
      </c>
      <c r="G41" s="601">
        <v>-3.7456445993031356E-2</v>
      </c>
      <c r="H41" s="601">
        <v>3.1643293779216111E-2</v>
      </c>
      <c r="I41" s="601">
        <v>1.7998802574464901E-2</v>
      </c>
      <c r="J41" s="601">
        <v>0</v>
      </c>
      <c r="K41" s="601">
        <v>6.3275120222728426E-4</v>
      </c>
      <c r="L41" s="601">
        <v>9.488288825898851E-2</v>
      </c>
      <c r="M41" s="601">
        <v>-3.3153750518027353E-2</v>
      </c>
      <c r="N41" s="601">
        <v>3.2965095780937828E-2</v>
      </c>
      <c r="O41" s="601">
        <v>0</v>
      </c>
      <c r="P41" s="601">
        <v>0</v>
      </c>
      <c r="Q41" s="601">
        <v>0</v>
      </c>
      <c r="R41" s="601">
        <v>0</v>
      </c>
      <c r="S41" s="601">
        <v>-3.0784508440913606E-2</v>
      </c>
      <c r="T41" s="601">
        <v>0</v>
      </c>
      <c r="U41" s="601">
        <v>0</v>
      </c>
      <c r="V41" s="601">
        <v>2.2592683635388501E-2</v>
      </c>
    </row>
    <row r="42" spans="1:22">
      <c r="A42" s="161" t="s">
        <v>165</v>
      </c>
      <c r="B42" s="65" t="s">
        <v>246</v>
      </c>
      <c r="C42" s="601">
        <v>11169</v>
      </c>
      <c r="D42" s="601">
        <v>9840</v>
      </c>
      <c r="E42" s="601">
        <v>7270</v>
      </c>
      <c r="F42" s="601">
        <v>1275</v>
      </c>
      <c r="G42" s="601"/>
      <c r="H42" s="601"/>
      <c r="I42" s="601">
        <v>29554</v>
      </c>
      <c r="J42" s="601"/>
      <c r="K42" s="601">
        <v>5538</v>
      </c>
      <c r="L42" s="601">
        <v>5615</v>
      </c>
      <c r="M42" s="601">
        <v>360</v>
      </c>
      <c r="N42" s="601">
        <v>11513</v>
      </c>
      <c r="O42" s="601"/>
      <c r="P42" s="601">
        <v>7258</v>
      </c>
      <c r="Q42" s="601"/>
      <c r="R42" s="601">
        <v>7258</v>
      </c>
      <c r="S42" s="601">
        <v>1047</v>
      </c>
      <c r="T42" s="601"/>
      <c r="U42" s="601"/>
      <c r="V42" s="601">
        <v>49372</v>
      </c>
    </row>
    <row r="43" spans="1:22">
      <c r="B43" s="65" t="s">
        <v>247</v>
      </c>
      <c r="C43" s="601">
        <v>11618</v>
      </c>
      <c r="D43" s="601">
        <v>9880</v>
      </c>
      <c r="E43" s="601">
        <v>8148</v>
      </c>
      <c r="F43" s="601">
        <v>1212</v>
      </c>
      <c r="G43" s="601"/>
      <c r="H43" s="601"/>
      <c r="I43" s="601">
        <v>30858</v>
      </c>
      <c r="J43" s="601"/>
      <c r="K43" s="601">
        <v>5922</v>
      </c>
      <c r="L43" s="601">
        <v>6010</v>
      </c>
      <c r="M43" s="601">
        <v>365</v>
      </c>
      <c r="N43" s="601">
        <v>12297</v>
      </c>
      <c r="O43" s="601"/>
      <c r="P43" s="601">
        <v>5851</v>
      </c>
      <c r="Q43" s="601"/>
      <c r="R43" s="601">
        <v>5851</v>
      </c>
      <c r="S43" s="601">
        <v>987</v>
      </c>
      <c r="T43" s="601"/>
      <c r="U43" s="601"/>
      <c r="V43" s="601">
        <v>49993</v>
      </c>
    </row>
    <row r="44" spans="1:22" s="149" customFormat="1" ht="13">
      <c r="A44" s="161"/>
      <c r="B44" s="65" t="s">
        <v>248</v>
      </c>
      <c r="C44" s="601">
        <v>4.0200555107887906E-2</v>
      </c>
      <c r="D44" s="601">
        <v>4.0650406504065045E-3</v>
      </c>
      <c r="E44" s="601">
        <v>0.12077028885832188</v>
      </c>
      <c r="F44" s="601">
        <v>-4.9411764705882349E-2</v>
      </c>
      <c r="G44" s="601">
        <v>0</v>
      </c>
      <c r="H44" s="601">
        <v>0</v>
      </c>
      <c r="I44" s="601">
        <v>4.4122622995195239E-2</v>
      </c>
      <c r="J44" s="601">
        <v>0</v>
      </c>
      <c r="K44" s="601">
        <v>6.9339111592632716E-2</v>
      </c>
      <c r="L44" s="601">
        <v>7.0347284060552087E-2</v>
      </c>
      <c r="M44" s="601">
        <v>1.3888888888888888E-2</v>
      </c>
      <c r="N44" s="601">
        <v>6.8096933900807788E-2</v>
      </c>
      <c r="O44" s="694">
        <v>0</v>
      </c>
      <c r="P44" s="601">
        <v>-0.19385505648939103</v>
      </c>
      <c r="Q44" s="601">
        <v>0</v>
      </c>
      <c r="R44" s="601">
        <v>-0.19385505648939103</v>
      </c>
      <c r="S44" s="601">
        <v>-5.730659025787966E-2</v>
      </c>
      <c r="T44" s="601">
        <v>0</v>
      </c>
      <c r="U44" s="601">
        <v>0</v>
      </c>
      <c r="V44" s="601">
        <v>1.2577979421534474E-2</v>
      </c>
    </row>
    <row r="45" spans="1:22">
      <c r="A45" s="161" t="s">
        <v>166</v>
      </c>
      <c r="B45" s="65" t="s">
        <v>246</v>
      </c>
      <c r="C45" s="601">
        <v>87840</v>
      </c>
      <c r="D45" s="601">
        <v>17656</v>
      </c>
      <c r="E45" s="601">
        <v>46967</v>
      </c>
      <c r="F45" s="601">
        <v>7614</v>
      </c>
      <c r="G45" s="601">
        <v>667</v>
      </c>
      <c r="H45" s="601"/>
      <c r="I45" s="601">
        <v>160744</v>
      </c>
      <c r="J45" s="601">
        <v>8200</v>
      </c>
      <c r="K45" s="601">
        <v>90780</v>
      </c>
      <c r="L45" s="601">
        <v>27295</v>
      </c>
      <c r="M45" s="601">
        <v>4548</v>
      </c>
      <c r="N45" s="601">
        <v>130823</v>
      </c>
      <c r="O45" s="601"/>
      <c r="P45" s="601"/>
      <c r="Q45" s="601"/>
      <c r="R45" s="601"/>
      <c r="S45" s="601">
        <v>9419</v>
      </c>
      <c r="T45" s="601"/>
      <c r="U45" s="601"/>
      <c r="V45" s="601">
        <v>300986</v>
      </c>
    </row>
    <row r="46" spans="1:22" ht="13" thickBot="1">
      <c r="B46" s="65" t="s">
        <v>247</v>
      </c>
      <c r="C46" s="601">
        <v>26277</v>
      </c>
      <c r="D46" s="601">
        <v>4300</v>
      </c>
      <c r="E46" s="601">
        <v>14250</v>
      </c>
      <c r="F46" s="601">
        <v>1560</v>
      </c>
      <c r="G46" s="601">
        <v>75</v>
      </c>
      <c r="H46" s="693"/>
      <c r="I46" s="601">
        <v>46462</v>
      </c>
      <c r="J46" s="601">
        <v>7741</v>
      </c>
      <c r="K46" s="601">
        <v>90018</v>
      </c>
      <c r="L46" s="601">
        <v>25850</v>
      </c>
      <c r="M46" s="601">
        <v>4412</v>
      </c>
      <c r="N46" s="601">
        <v>128021</v>
      </c>
      <c r="O46" s="601"/>
      <c r="P46" s="601"/>
      <c r="Q46" s="601"/>
      <c r="R46" s="601"/>
      <c r="S46" s="601">
        <v>6171</v>
      </c>
      <c r="T46" s="601"/>
      <c r="U46" s="601"/>
      <c r="V46" s="601">
        <v>180654</v>
      </c>
    </row>
    <row r="47" spans="1:22" s="149" customFormat="1" ht="13.5" thickBot="1">
      <c r="A47" s="161"/>
      <c r="B47" s="65" t="s">
        <v>248</v>
      </c>
      <c r="C47" s="601">
        <v>-0.70085382513661199</v>
      </c>
      <c r="D47" s="601">
        <v>-0.75645672859084734</v>
      </c>
      <c r="E47" s="601">
        <v>-0.69659548193412391</v>
      </c>
      <c r="F47" s="601">
        <v>-0.79511426319936962</v>
      </c>
      <c r="G47" s="665">
        <v>-0.88755622188905547</v>
      </c>
      <c r="H47" s="695">
        <v>0</v>
      </c>
      <c r="I47" s="601">
        <v>-0.71095655203304631</v>
      </c>
      <c r="J47" s="601">
        <v>-5.5975609756097562E-2</v>
      </c>
      <c r="K47" s="601">
        <v>-8.3939193654990092E-3</v>
      </c>
      <c r="L47" s="601">
        <v>-5.2940098919215972E-2</v>
      </c>
      <c r="M47" s="601">
        <v>-2.9903254177660508E-2</v>
      </c>
      <c r="N47" s="601">
        <v>-2.1418252142207411E-2</v>
      </c>
      <c r="O47" s="601">
        <v>0</v>
      </c>
      <c r="P47" s="601">
        <v>0</v>
      </c>
      <c r="Q47" s="601">
        <v>0</v>
      </c>
      <c r="R47" s="601">
        <v>0</v>
      </c>
      <c r="S47" s="601">
        <v>-0.34483490816434864</v>
      </c>
      <c r="T47" s="601">
        <v>0</v>
      </c>
      <c r="U47" s="601">
        <v>0</v>
      </c>
      <c r="V47" s="601">
        <v>-0.39979268138717416</v>
      </c>
    </row>
    <row r="48" spans="1:22">
      <c r="A48" s="161" t="s">
        <v>167</v>
      </c>
      <c r="B48" s="65" t="s">
        <v>246</v>
      </c>
      <c r="C48" s="601">
        <v>39541</v>
      </c>
      <c r="D48" s="601">
        <v>2720</v>
      </c>
      <c r="E48" s="601">
        <v>8348</v>
      </c>
      <c r="F48" s="601">
        <v>800</v>
      </c>
      <c r="G48" s="601">
        <v>3470</v>
      </c>
      <c r="H48" s="601">
        <v>261</v>
      </c>
      <c r="I48" s="601">
        <v>55140</v>
      </c>
      <c r="J48" s="601"/>
      <c r="K48" s="601">
        <v>16757</v>
      </c>
      <c r="L48" s="601">
        <v>10196</v>
      </c>
      <c r="M48" s="601">
        <v>5844</v>
      </c>
      <c r="N48" s="601">
        <v>32797</v>
      </c>
      <c r="O48" s="601"/>
      <c r="P48" s="601"/>
      <c r="Q48" s="601"/>
      <c r="R48" s="601"/>
      <c r="S48" s="601">
        <v>351</v>
      </c>
      <c r="T48" s="601"/>
      <c r="U48" s="601"/>
      <c r="V48" s="601">
        <v>88288</v>
      </c>
    </row>
    <row r="49" spans="1:22">
      <c r="B49" s="65" t="s">
        <v>247</v>
      </c>
      <c r="C49" s="601">
        <v>38593</v>
      </c>
      <c r="D49" s="601">
        <v>2469</v>
      </c>
      <c r="E49" s="601">
        <v>8791</v>
      </c>
      <c r="F49" s="601">
        <v>867</v>
      </c>
      <c r="G49" s="601">
        <v>3385</v>
      </c>
      <c r="H49" s="601">
        <v>232</v>
      </c>
      <c r="I49" s="601">
        <v>54337</v>
      </c>
      <c r="J49" s="601"/>
      <c r="K49" s="601">
        <v>15874</v>
      </c>
      <c r="L49" s="601">
        <v>9481</v>
      </c>
      <c r="M49" s="601">
        <v>5944</v>
      </c>
      <c r="N49" s="601">
        <v>31299</v>
      </c>
      <c r="O49" s="601"/>
      <c r="P49" s="601"/>
      <c r="Q49" s="601"/>
      <c r="R49" s="601"/>
      <c r="S49" s="601">
        <v>372</v>
      </c>
      <c r="T49" s="601"/>
      <c r="U49" s="601"/>
      <c r="V49" s="601">
        <v>86008</v>
      </c>
    </row>
    <row r="50" spans="1:22" s="149" customFormat="1" ht="13">
      <c r="A50" s="161"/>
      <c r="B50" s="65" t="s">
        <v>248</v>
      </c>
      <c r="C50" s="601">
        <v>-2.3975114438178093E-2</v>
      </c>
      <c r="D50" s="601">
        <v>-9.2279411764705888E-2</v>
      </c>
      <c r="E50" s="601">
        <v>5.3066602779108768E-2</v>
      </c>
      <c r="F50" s="601">
        <v>8.3750000000000005E-2</v>
      </c>
      <c r="G50" s="601">
        <v>-2.4495677233429394E-2</v>
      </c>
      <c r="H50" s="601">
        <v>-0.1111111111111111</v>
      </c>
      <c r="I50" s="601">
        <v>-1.4562930721799056E-2</v>
      </c>
      <c r="J50" s="601">
        <v>0</v>
      </c>
      <c r="K50" s="601">
        <v>-5.2694396371665571E-2</v>
      </c>
      <c r="L50" s="601">
        <v>-7.0125539427226366E-2</v>
      </c>
      <c r="M50" s="601">
        <v>1.7111567419575632E-2</v>
      </c>
      <c r="N50" s="601">
        <v>-4.5674909290483887E-2</v>
      </c>
      <c r="O50" s="601">
        <v>0</v>
      </c>
      <c r="P50" s="601">
        <v>0</v>
      </c>
      <c r="Q50" s="601">
        <v>0</v>
      </c>
      <c r="R50" s="601">
        <v>0</v>
      </c>
      <c r="S50" s="601">
        <v>5.9829059829059832E-2</v>
      </c>
      <c r="T50" s="601">
        <v>0</v>
      </c>
      <c r="U50" s="601">
        <v>0</v>
      </c>
      <c r="V50" s="601">
        <v>-2.5824574121058354E-2</v>
      </c>
    </row>
    <row r="51" spans="1:22">
      <c r="A51" s="161" t="s">
        <v>168</v>
      </c>
      <c r="B51" s="65" t="s">
        <v>246</v>
      </c>
      <c r="C51" s="601">
        <v>6609</v>
      </c>
      <c r="D51" s="601"/>
      <c r="E51" s="601">
        <v>2890</v>
      </c>
      <c r="F51" s="601"/>
      <c r="G51" s="601">
        <v>2586</v>
      </c>
      <c r="H51" s="601">
        <v>1172</v>
      </c>
      <c r="I51" s="601">
        <v>13257</v>
      </c>
      <c r="J51" s="601">
        <v>923</v>
      </c>
      <c r="K51" s="601"/>
      <c r="L51" s="601">
        <v>1103</v>
      </c>
      <c r="M51" s="601">
        <v>2959</v>
      </c>
      <c r="N51" s="601">
        <v>4985</v>
      </c>
      <c r="O51" s="601"/>
      <c r="P51" s="601"/>
      <c r="Q51" s="601">
        <v>1222</v>
      </c>
      <c r="R51" s="601">
        <v>1222</v>
      </c>
      <c r="S51" s="601">
        <v>286</v>
      </c>
      <c r="T51" s="601"/>
      <c r="U51" s="601"/>
      <c r="V51" s="601">
        <v>19750</v>
      </c>
    </row>
    <row r="52" spans="1:22" ht="13" thickBot="1">
      <c r="B52" s="65" t="s">
        <v>247</v>
      </c>
      <c r="C52" s="601">
        <v>6577</v>
      </c>
      <c r="D52" s="601"/>
      <c r="E52" s="601">
        <v>2795</v>
      </c>
      <c r="F52" s="601"/>
      <c r="G52" s="601">
        <v>2606</v>
      </c>
      <c r="H52" s="601">
        <v>1232</v>
      </c>
      <c r="I52" s="601">
        <v>13210</v>
      </c>
      <c r="J52" s="601">
        <v>905</v>
      </c>
      <c r="K52" s="601"/>
      <c r="L52" s="601">
        <v>690</v>
      </c>
      <c r="M52" s="601">
        <v>2917</v>
      </c>
      <c r="N52" s="601">
        <v>4512</v>
      </c>
      <c r="O52" s="601"/>
      <c r="P52" s="601"/>
      <c r="Q52" s="601">
        <v>961</v>
      </c>
      <c r="R52" s="601">
        <v>961</v>
      </c>
      <c r="S52" s="601">
        <v>250</v>
      </c>
      <c r="T52" s="601"/>
      <c r="U52" s="601"/>
      <c r="V52" s="601">
        <v>18933</v>
      </c>
    </row>
    <row r="53" spans="1:22" s="149" customFormat="1" ht="13.5" thickBot="1">
      <c r="A53" s="161"/>
      <c r="B53" s="65" t="s">
        <v>248</v>
      </c>
      <c r="C53" s="601">
        <v>-4.8418822817370257E-3</v>
      </c>
      <c r="D53" s="601">
        <v>0</v>
      </c>
      <c r="E53" s="601">
        <v>-3.2871972318339097E-2</v>
      </c>
      <c r="F53" s="601">
        <v>0</v>
      </c>
      <c r="G53" s="601">
        <v>7.7339520494972931E-3</v>
      </c>
      <c r="H53" s="601">
        <v>5.1194539249146756E-2</v>
      </c>
      <c r="I53" s="601">
        <v>-3.5452968243192278E-3</v>
      </c>
      <c r="J53" s="601">
        <v>-1.9501625135427952E-2</v>
      </c>
      <c r="K53" s="601">
        <v>0</v>
      </c>
      <c r="L53" s="601">
        <v>-0.3744333635539438</v>
      </c>
      <c r="M53" s="687">
        <v>-1.4193984454207503E-2</v>
      </c>
      <c r="N53" s="601">
        <v>-9.4884653961885654E-2</v>
      </c>
      <c r="O53" s="601">
        <v>0</v>
      </c>
      <c r="P53" s="601">
        <v>0</v>
      </c>
      <c r="Q53" s="601">
        <v>-0.21358428805237317</v>
      </c>
      <c r="R53" s="601">
        <v>-0.21358428805237317</v>
      </c>
      <c r="S53" s="687">
        <v>-0.12587412587412589</v>
      </c>
      <c r="T53" s="601">
        <v>0</v>
      </c>
      <c r="U53" s="601">
        <v>0</v>
      </c>
      <c r="V53" s="601">
        <v>-4.1367088607594936E-2</v>
      </c>
    </row>
    <row r="54" spans="1:22" ht="13">
      <c r="A54" s="183" t="s">
        <v>249</v>
      </c>
      <c r="B54" s="161"/>
      <c r="C54" s="172">
        <v>282317</v>
      </c>
      <c r="D54" s="172">
        <v>61610</v>
      </c>
      <c r="E54" s="172">
        <v>146543</v>
      </c>
      <c r="F54" s="172">
        <v>40053</v>
      </c>
      <c r="G54" s="172">
        <v>13815</v>
      </c>
      <c r="H54" s="172">
        <v>12544</v>
      </c>
      <c r="I54" s="172">
        <v>556882</v>
      </c>
      <c r="J54" s="172">
        <v>124385</v>
      </c>
      <c r="K54" s="172">
        <v>178037</v>
      </c>
      <c r="L54" s="172">
        <v>112089</v>
      </c>
      <c r="M54" s="172">
        <v>56021</v>
      </c>
      <c r="N54" s="172">
        <v>470532</v>
      </c>
      <c r="O54" s="172">
        <v>63488</v>
      </c>
      <c r="P54" s="172">
        <v>19710</v>
      </c>
      <c r="Q54" s="172">
        <v>1222</v>
      </c>
      <c r="R54" s="172">
        <v>84420</v>
      </c>
      <c r="S54" s="172">
        <v>14633</v>
      </c>
      <c r="T54" s="172">
        <v>0</v>
      </c>
      <c r="U54" s="172">
        <v>0</v>
      </c>
      <c r="V54" s="172">
        <v>1126467</v>
      </c>
    </row>
    <row r="55" spans="1:22" ht="13">
      <c r="A55" s="183" t="s">
        <v>250</v>
      </c>
      <c r="B55" s="161"/>
      <c r="C55" s="172">
        <v>224479</v>
      </c>
      <c r="D55" s="172">
        <v>49866</v>
      </c>
      <c r="E55" s="172">
        <v>116894</v>
      </c>
      <c r="F55" s="172">
        <v>34817</v>
      </c>
      <c r="G55" s="172">
        <v>13276</v>
      </c>
      <c r="H55" s="172">
        <v>12440</v>
      </c>
      <c r="I55" s="172">
        <v>451772</v>
      </c>
      <c r="J55" s="172">
        <v>112410</v>
      </c>
      <c r="K55" s="172">
        <v>178564</v>
      </c>
      <c r="L55" s="172">
        <v>111550</v>
      </c>
      <c r="M55" s="172">
        <v>54681</v>
      </c>
      <c r="N55" s="172">
        <v>457205</v>
      </c>
      <c r="O55" s="172">
        <v>64803</v>
      </c>
      <c r="P55" s="172">
        <v>18326</v>
      </c>
      <c r="Q55" s="172">
        <v>961</v>
      </c>
      <c r="R55" s="172">
        <v>84090</v>
      </c>
      <c r="S55" s="172">
        <v>11282</v>
      </c>
      <c r="T55" s="172">
        <v>0</v>
      </c>
      <c r="U55" s="172">
        <v>0</v>
      </c>
      <c r="V55" s="172">
        <v>1004349</v>
      </c>
    </row>
    <row r="56" spans="1:22" s="149" customFormat="1" ht="13">
      <c r="A56" s="183" t="s">
        <v>251</v>
      </c>
      <c r="B56" s="161"/>
      <c r="C56" s="184">
        <v>-0.20486899478246084</v>
      </c>
      <c r="D56" s="184">
        <v>-0.19061840610290537</v>
      </c>
      <c r="E56" s="184">
        <v>-0.20232286769071195</v>
      </c>
      <c r="F56" s="184">
        <v>-0.13072678700721543</v>
      </c>
      <c r="G56" s="184">
        <v>-3.9015562794064422E-2</v>
      </c>
      <c r="H56" s="184">
        <v>-8.2908163265306128E-3</v>
      </c>
      <c r="I56" s="184">
        <v>-0.18874734683469749</v>
      </c>
      <c r="J56" s="184">
        <v>-9.6273666438879288E-2</v>
      </c>
      <c r="K56" s="184">
        <v>2.9600588641686839E-3</v>
      </c>
      <c r="L56" s="184">
        <v>-4.8086788177252003E-3</v>
      </c>
      <c r="M56" s="184">
        <v>-2.3919601577979687E-2</v>
      </c>
      <c r="N56" s="184">
        <v>-2.8323259629525727E-2</v>
      </c>
      <c r="O56" s="184">
        <v>2.0712575604838711E-2</v>
      </c>
      <c r="P56" s="184">
        <v>-7.0218163368848299E-2</v>
      </c>
      <c r="Q56" s="184">
        <v>-0.21358428805237317</v>
      </c>
      <c r="R56" s="184">
        <v>-3.9090262970859985E-3</v>
      </c>
      <c r="S56" s="184">
        <v>-0.2290029385635208</v>
      </c>
      <c r="T56" s="184">
        <v>0</v>
      </c>
      <c r="U56" s="184">
        <v>0</v>
      </c>
      <c r="V56" s="184">
        <v>-0.10840796934131226</v>
      </c>
    </row>
    <row r="57" spans="1:22" ht="15.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</row>
    <row r="58" spans="1:22" ht="15.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</row>
    <row r="59" spans="1:22" s="149" customFormat="1" ht="15.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</row>
    <row r="60" spans="1:22">
      <c r="A60" s="65"/>
      <c r="D60" s="65"/>
    </row>
    <row r="61" spans="1:22">
      <c r="A61" s="65"/>
      <c r="D61" s="65"/>
    </row>
    <row r="62" spans="1:22" s="149" customFormat="1" ht="13">
      <c r="A62" s="65"/>
      <c r="B62" s="65"/>
      <c r="C62" s="65"/>
      <c r="D62" s="65"/>
      <c r="E62" s="65"/>
      <c r="F62" s="65"/>
      <c r="G62" s="65"/>
      <c r="H62" s="65"/>
      <c r="I62" s="65"/>
      <c r="J62" s="65"/>
      <c r="K62" s="65"/>
      <c r="L62" s="65"/>
      <c r="M62" s="65"/>
      <c r="N62" s="65"/>
      <c r="O62" s="65"/>
      <c r="P62" s="65"/>
      <c r="Q62" s="65"/>
      <c r="R62" s="65"/>
      <c r="S62" s="65"/>
      <c r="T62" s="65"/>
      <c r="U62" s="65"/>
    </row>
    <row r="63" spans="1:22">
      <c r="A63" s="65"/>
      <c r="D63" s="65"/>
    </row>
    <row r="64" spans="1:22">
      <c r="A64" s="65"/>
      <c r="D64" s="65"/>
    </row>
    <row r="65" spans="1:21" s="149" customFormat="1" ht="13">
      <c r="A65" s="65"/>
      <c r="B65" s="65"/>
      <c r="C65" s="65"/>
      <c r="D65" s="65"/>
      <c r="E65" s="65"/>
      <c r="F65" s="65"/>
      <c r="G65" s="65"/>
      <c r="H65" s="65"/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</row>
    <row r="66" spans="1:21">
      <c r="A66" s="65"/>
      <c r="D66" s="65"/>
    </row>
    <row r="67" spans="1:21">
      <c r="A67" s="65"/>
      <c r="D67" s="65"/>
    </row>
    <row r="68" spans="1:21" s="149" customFormat="1" ht="13">
      <c r="A68" s="65"/>
      <c r="B68" s="65"/>
      <c r="C68" s="65"/>
      <c r="D68" s="65"/>
      <c r="E68" s="65"/>
      <c r="F68" s="65"/>
      <c r="G68" s="65"/>
      <c r="H68" s="65"/>
      <c r="I68" s="65"/>
      <c r="J68" s="65"/>
      <c r="K68" s="65"/>
      <c r="L68" s="65"/>
      <c r="M68" s="65"/>
      <c r="N68" s="65"/>
      <c r="O68" s="65"/>
      <c r="P68" s="65"/>
      <c r="Q68" s="65"/>
      <c r="R68" s="65"/>
      <c r="S68" s="65"/>
      <c r="T68" s="65"/>
      <c r="U68" s="65"/>
    </row>
    <row r="69" spans="1:21">
      <c r="A69" s="65"/>
      <c r="D69" s="65"/>
    </row>
    <row r="70" spans="1:21">
      <c r="A70" s="65"/>
      <c r="D70" s="65"/>
    </row>
    <row r="71" spans="1:21" s="149" customFormat="1" ht="13">
      <c r="A71" s="65"/>
      <c r="B71" s="65"/>
      <c r="C71" s="65"/>
      <c r="D71" s="65"/>
      <c r="E71" s="65"/>
      <c r="F71" s="65"/>
      <c r="G71" s="65"/>
      <c r="H71" s="65"/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</row>
    <row r="72" spans="1:21">
      <c r="A72" s="65"/>
      <c r="D72" s="65"/>
    </row>
    <row r="73" spans="1:21">
      <c r="A73" s="65"/>
      <c r="D73" s="65"/>
    </row>
    <row r="74" spans="1:21" s="149" customFormat="1" ht="13">
      <c r="A74" s="65"/>
      <c r="B74" s="65"/>
      <c r="C74" s="65"/>
      <c r="D74" s="65"/>
      <c r="E74" s="65"/>
      <c r="F74" s="65"/>
      <c r="G74" s="65"/>
      <c r="H74" s="65"/>
      <c r="I74" s="65"/>
      <c r="J74" s="65"/>
      <c r="K74" s="65"/>
      <c r="L74" s="65"/>
      <c r="M74" s="65"/>
      <c r="N74" s="65"/>
      <c r="O74" s="65"/>
      <c r="P74" s="65"/>
      <c r="Q74" s="65"/>
      <c r="R74" s="65"/>
      <c r="S74" s="65"/>
      <c r="T74" s="65"/>
      <c r="U74" s="65"/>
    </row>
    <row r="75" spans="1:21">
      <c r="A75" s="65"/>
      <c r="D75" s="65"/>
    </row>
    <row r="76" spans="1:21">
      <c r="A76" s="65"/>
      <c r="D76" s="65"/>
    </row>
    <row r="77" spans="1:21" s="149" customFormat="1" ht="13">
      <c r="A77" s="65"/>
      <c r="B77" s="65"/>
      <c r="C77" s="65"/>
      <c r="D77" s="65"/>
      <c r="E77" s="65"/>
      <c r="F77" s="65"/>
      <c r="G77" s="65"/>
      <c r="H77" s="65"/>
      <c r="I77" s="65"/>
      <c r="J77" s="65"/>
      <c r="K77" s="65"/>
      <c r="L77" s="65"/>
      <c r="M77" s="65"/>
      <c r="N77" s="65"/>
      <c r="O77" s="65"/>
      <c r="P77" s="65"/>
      <c r="Q77" s="65"/>
      <c r="R77" s="65"/>
      <c r="S77" s="65"/>
      <c r="T77" s="65"/>
      <c r="U77" s="65"/>
    </row>
    <row r="78" spans="1:21">
      <c r="A78" s="65"/>
      <c r="D78" s="65"/>
    </row>
    <row r="79" spans="1:21">
      <c r="A79" s="65"/>
      <c r="D79" s="65"/>
    </row>
    <row r="80" spans="1:21" s="149" customFormat="1" ht="13">
      <c r="A80" s="65"/>
      <c r="B80" s="65"/>
      <c r="C80" s="65"/>
      <c r="D80" s="65"/>
      <c r="E80" s="65"/>
      <c r="F80" s="65"/>
      <c r="G80" s="65"/>
      <c r="H80" s="65"/>
      <c r="I80" s="65"/>
      <c r="J80" s="65"/>
      <c r="K80" s="65"/>
      <c r="L80" s="65"/>
      <c r="M80" s="65"/>
      <c r="N80" s="65"/>
      <c r="O80" s="65"/>
      <c r="P80" s="65"/>
      <c r="Q80" s="65"/>
      <c r="R80" s="65"/>
      <c r="S80" s="65"/>
      <c r="T80" s="65"/>
      <c r="U80" s="65"/>
    </row>
    <row r="81" spans="1:21">
      <c r="A81" s="65"/>
      <c r="D81" s="65"/>
    </row>
    <row r="82" spans="1:21">
      <c r="A82" s="65"/>
      <c r="D82" s="65"/>
    </row>
    <row r="83" spans="1:21" s="149" customFormat="1" ht="13">
      <c r="A83" s="65"/>
      <c r="B83" s="65"/>
      <c r="C83" s="65"/>
      <c r="D83" s="65"/>
      <c r="E83" s="65"/>
      <c r="F83" s="65"/>
      <c r="G83" s="65"/>
      <c r="H83" s="65"/>
      <c r="I83" s="65"/>
      <c r="J83" s="65"/>
      <c r="K83" s="65"/>
      <c r="L83" s="65"/>
      <c r="M83" s="65"/>
      <c r="N83" s="65"/>
      <c r="O83" s="65"/>
      <c r="P83" s="65"/>
      <c r="Q83" s="65"/>
      <c r="R83" s="65"/>
      <c r="S83" s="65"/>
      <c r="T83" s="65"/>
      <c r="U83" s="65"/>
    </row>
    <row r="84" spans="1:21">
      <c r="A84" s="65"/>
      <c r="D84" s="65"/>
    </row>
    <row r="85" spans="1:21">
      <c r="A85" s="65"/>
      <c r="D85" s="65"/>
    </row>
    <row r="86" spans="1:21" s="149" customFormat="1" ht="13">
      <c r="A86" s="65"/>
      <c r="B86" s="65"/>
      <c r="C86" s="65"/>
      <c r="D86" s="65"/>
      <c r="E86" s="65"/>
      <c r="F86" s="65"/>
      <c r="G86" s="65"/>
      <c r="H86" s="65"/>
      <c r="I86" s="65"/>
      <c r="J86" s="65"/>
      <c r="K86" s="65"/>
      <c r="L86" s="65"/>
      <c r="M86" s="65"/>
      <c r="N86" s="65"/>
      <c r="O86" s="65"/>
      <c r="P86" s="65"/>
      <c r="Q86" s="65"/>
      <c r="R86" s="65"/>
      <c r="S86" s="65"/>
      <c r="T86" s="65"/>
      <c r="U86" s="65"/>
    </row>
    <row r="87" spans="1:21">
      <c r="A87" s="65"/>
      <c r="D87" s="65"/>
    </row>
    <row r="88" spans="1:21">
      <c r="A88" s="65"/>
      <c r="D88" s="65"/>
    </row>
    <row r="89" spans="1:21" s="149" customFormat="1" ht="13">
      <c r="A89" s="65"/>
      <c r="B89" s="65"/>
      <c r="C89" s="65"/>
      <c r="D89" s="65"/>
      <c r="E89" s="65"/>
      <c r="F89" s="65"/>
      <c r="G89" s="65"/>
      <c r="H89" s="65"/>
      <c r="I89" s="65"/>
      <c r="J89" s="65"/>
      <c r="K89" s="65"/>
      <c r="L89" s="65"/>
      <c r="M89" s="65"/>
      <c r="N89" s="65"/>
      <c r="O89" s="65"/>
      <c r="P89" s="65"/>
      <c r="Q89" s="65"/>
      <c r="R89" s="65"/>
      <c r="S89" s="65"/>
      <c r="T89" s="65"/>
      <c r="U89" s="65"/>
    </row>
    <row r="90" spans="1:21">
      <c r="A90" s="65"/>
      <c r="D90" s="65"/>
    </row>
    <row r="91" spans="1:21">
      <c r="A91" s="65"/>
      <c r="D91" s="65"/>
    </row>
    <row r="92" spans="1:21" s="149" customFormat="1" ht="13">
      <c r="A92" s="65"/>
      <c r="B92" s="65"/>
      <c r="C92" s="65"/>
      <c r="D92" s="65"/>
      <c r="E92" s="65"/>
      <c r="F92" s="65"/>
      <c r="G92" s="65"/>
      <c r="H92" s="65"/>
      <c r="I92" s="65"/>
      <c r="J92" s="65"/>
      <c r="K92" s="65"/>
      <c r="L92" s="65"/>
      <c r="M92" s="65"/>
      <c r="N92" s="65"/>
      <c r="O92" s="65"/>
      <c r="P92" s="65"/>
      <c r="Q92" s="65"/>
      <c r="R92" s="65"/>
      <c r="S92" s="65"/>
      <c r="T92" s="65"/>
      <c r="U92" s="65"/>
    </row>
    <row r="93" spans="1:21">
      <c r="A93" s="65"/>
      <c r="D93" s="65"/>
    </row>
    <row r="94" spans="1:21">
      <c r="A94" s="65"/>
      <c r="D94" s="65"/>
    </row>
    <row r="95" spans="1:21" s="149" customFormat="1" ht="13">
      <c r="A95" s="65"/>
      <c r="B95" s="65"/>
      <c r="C95" s="65"/>
      <c r="D95" s="65"/>
      <c r="E95" s="65"/>
      <c r="F95" s="65"/>
      <c r="G95" s="65"/>
      <c r="H95" s="65"/>
      <c r="I95" s="65"/>
      <c r="J95" s="65"/>
      <c r="K95" s="65"/>
      <c r="L95" s="65"/>
      <c r="M95" s="65"/>
      <c r="N95" s="65"/>
      <c r="O95" s="65"/>
      <c r="P95" s="65"/>
      <c r="Q95" s="65"/>
      <c r="R95" s="65"/>
      <c r="S95" s="65"/>
      <c r="T95" s="65"/>
      <c r="U95" s="65"/>
    </row>
    <row r="96" spans="1:21">
      <c r="A96" s="65"/>
      <c r="D96" s="65"/>
    </row>
    <row r="97" spans="1:21">
      <c r="A97" s="65"/>
      <c r="D97" s="65"/>
    </row>
    <row r="98" spans="1:21" s="149" customFormat="1" ht="13">
      <c r="A98" s="65"/>
      <c r="B98" s="65"/>
      <c r="C98" s="65"/>
      <c r="D98" s="65"/>
      <c r="E98" s="65"/>
      <c r="F98" s="65"/>
      <c r="G98" s="65"/>
      <c r="H98" s="65"/>
      <c r="I98" s="65"/>
      <c r="J98" s="65"/>
      <c r="K98" s="65"/>
      <c r="L98" s="65"/>
      <c r="M98" s="65"/>
      <c r="N98" s="65"/>
      <c r="O98" s="65"/>
      <c r="P98" s="65"/>
      <c r="Q98" s="65"/>
      <c r="R98" s="65"/>
      <c r="S98" s="65"/>
      <c r="T98" s="65"/>
      <c r="U98" s="65"/>
    </row>
    <row r="99" spans="1:21">
      <c r="A99" s="65"/>
      <c r="D99" s="65"/>
    </row>
    <row r="100" spans="1:21">
      <c r="A100" s="65"/>
      <c r="D100" s="65"/>
    </row>
    <row r="101" spans="1:21" s="149" customFormat="1" ht="13">
      <c r="A101" s="65"/>
      <c r="B101" s="65"/>
      <c r="C101" s="65"/>
      <c r="D101" s="65"/>
      <c r="E101" s="65"/>
      <c r="F101" s="65"/>
      <c r="G101" s="65"/>
      <c r="H101" s="65"/>
      <c r="I101" s="65"/>
      <c r="J101" s="65"/>
      <c r="K101" s="65"/>
      <c r="L101" s="65"/>
      <c r="M101" s="65"/>
      <c r="N101" s="65"/>
      <c r="O101" s="65"/>
      <c r="P101" s="65"/>
      <c r="Q101" s="65"/>
      <c r="R101" s="65"/>
      <c r="S101" s="65"/>
      <c r="T101" s="65"/>
      <c r="U101" s="65"/>
    </row>
    <row r="102" spans="1:21">
      <c r="A102" s="65"/>
      <c r="D102" s="65"/>
    </row>
    <row r="103" spans="1:21">
      <c r="A103" s="65"/>
      <c r="D103" s="65"/>
    </row>
    <row r="104" spans="1:21" s="149" customFormat="1" ht="13">
      <c r="A104" s="65"/>
      <c r="B104" s="65"/>
      <c r="C104" s="65"/>
      <c r="D104" s="65"/>
      <c r="E104" s="65"/>
      <c r="F104" s="65"/>
      <c r="G104" s="65"/>
      <c r="H104" s="65"/>
      <c r="I104" s="65"/>
      <c r="J104" s="65"/>
      <c r="K104" s="65"/>
      <c r="L104" s="65"/>
      <c r="M104" s="65"/>
      <c r="N104" s="65"/>
      <c r="O104" s="65"/>
      <c r="P104" s="65"/>
      <c r="Q104" s="65"/>
      <c r="R104" s="65"/>
      <c r="S104" s="65"/>
      <c r="T104" s="65"/>
      <c r="U104" s="65"/>
    </row>
    <row r="105" spans="1:21">
      <c r="A105" s="65"/>
      <c r="D105" s="65"/>
    </row>
    <row r="106" spans="1:21">
      <c r="A106" s="65"/>
      <c r="D106" s="65"/>
    </row>
    <row r="107" spans="1:21" s="149" customFormat="1" ht="13">
      <c r="A107" s="65"/>
      <c r="B107" s="65"/>
      <c r="C107" s="65"/>
      <c r="D107" s="65"/>
      <c r="E107" s="65"/>
      <c r="F107" s="65"/>
      <c r="G107" s="65"/>
      <c r="H107" s="65"/>
      <c r="I107" s="65"/>
      <c r="J107" s="65"/>
      <c r="K107" s="65"/>
      <c r="L107" s="65"/>
      <c r="M107" s="65"/>
      <c r="N107" s="65"/>
      <c r="O107" s="65"/>
      <c r="P107" s="65"/>
      <c r="Q107" s="65"/>
      <c r="R107" s="65"/>
      <c r="S107" s="65"/>
      <c r="T107" s="65"/>
      <c r="U107" s="65"/>
    </row>
    <row r="108" spans="1:21">
      <c r="A108" s="65"/>
      <c r="D108" s="65"/>
    </row>
    <row r="109" spans="1:21">
      <c r="A109" s="65"/>
      <c r="D109" s="65"/>
    </row>
    <row r="110" spans="1:21" s="149" customFormat="1" ht="13">
      <c r="A110" s="65"/>
      <c r="B110" s="65"/>
      <c r="C110" s="65"/>
      <c r="D110" s="65"/>
      <c r="E110" s="65"/>
      <c r="F110" s="65"/>
      <c r="G110" s="65"/>
      <c r="H110" s="65"/>
      <c r="I110" s="65"/>
      <c r="J110" s="65"/>
      <c r="K110" s="65"/>
      <c r="L110" s="65"/>
      <c r="M110" s="65"/>
      <c r="N110" s="65"/>
      <c r="O110" s="65"/>
      <c r="P110" s="65"/>
      <c r="Q110" s="65"/>
      <c r="R110" s="65"/>
      <c r="S110" s="65"/>
      <c r="T110" s="65"/>
      <c r="U110" s="65"/>
    </row>
    <row r="111" spans="1:21">
      <c r="A111" s="65"/>
      <c r="D111" s="65"/>
    </row>
    <row r="112" spans="1:21">
      <c r="A112" s="65"/>
      <c r="D112" s="65"/>
    </row>
    <row r="113" spans="1:21" s="149" customFormat="1" ht="13">
      <c r="A113" s="65"/>
      <c r="B113" s="65"/>
      <c r="C113" s="65"/>
      <c r="D113" s="65"/>
      <c r="E113" s="65"/>
      <c r="F113" s="65"/>
      <c r="G113" s="65"/>
      <c r="H113" s="65"/>
      <c r="I113" s="65"/>
      <c r="J113" s="65"/>
      <c r="K113" s="65"/>
      <c r="L113" s="65"/>
      <c r="M113" s="65"/>
      <c r="N113" s="65"/>
      <c r="O113" s="65"/>
      <c r="P113" s="65"/>
      <c r="Q113" s="65"/>
      <c r="R113" s="65"/>
      <c r="S113" s="65"/>
      <c r="T113" s="65"/>
      <c r="U113" s="65"/>
    </row>
    <row r="114" spans="1:21">
      <c r="A114" s="65"/>
      <c r="D114" s="65"/>
    </row>
    <row r="115" spans="1:21">
      <c r="A115" s="65"/>
      <c r="D115" s="65"/>
    </row>
    <row r="116" spans="1:21" s="149" customFormat="1" ht="13">
      <c r="A116" s="65"/>
      <c r="B116" s="65"/>
      <c r="C116" s="65"/>
      <c r="D116" s="65"/>
      <c r="E116" s="65"/>
      <c r="F116" s="65"/>
      <c r="G116" s="65"/>
      <c r="H116" s="65"/>
      <c r="I116" s="65"/>
      <c r="J116" s="65"/>
      <c r="K116" s="65"/>
      <c r="L116" s="65"/>
      <c r="M116" s="65"/>
      <c r="N116" s="65"/>
      <c r="O116" s="65"/>
      <c r="P116" s="65"/>
      <c r="Q116" s="65"/>
      <c r="R116" s="65"/>
      <c r="S116" s="65"/>
      <c r="T116" s="65"/>
      <c r="U116" s="65"/>
    </row>
    <row r="117" spans="1:21">
      <c r="A117" s="65"/>
      <c r="D117" s="65"/>
    </row>
    <row r="118" spans="1:21">
      <c r="A118" s="65"/>
      <c r="D118" s="65"/>
    </row>
    <row r="119" spans="1:21" s="149" customFormat="1" ht="13">
      <c r="A119" s="65"/>
      <c r="B119" s="65"/>
      <c r="C119" s="65"/>
      <c r="D119" s="65"/>
      <c r="E119" s="65"/>
      <c r="F119" s="65"/>
      <c r="G119" s="65"/>
      <c r="H119" s="65"/>
      <c r="I119" s="65"/>
      <c r="J119" s="65"/>
      <c r="K119" s="65"/>
      <c r="L119" s="65"/>
      <c r="M119" s="65"/>
      <c r="N119" s="65"/>
      <c r="O119" s="65"/>
      <c r="P119" s="65"/>
      <c r="Q119" s="65"/>
      <c r="R119" s="65"/>
      <c r="S119" s="65"/>
      <c r="T119" s="65"/>
      <c r="U119" s="65"/>
    </row>
    <row r="120" spans="1:21">
      <c r="A120" s="65"/>
      <c r="D120" s="65"/>
    </row>
    <row r="121" spans="1:21">
      <c r="A121" s="65"/>
      <c r="D121" s="65"/>
    </row>
    <row r="122" spans="1:21" s="149" customFormat="1" ht="13">
      <c r="A122" s="65"/>
      <c r="B122" s="65"/>
      <c r="C122" s="65"/>
      <c r="D122" s="65"/>
      <c r="E122" s="65"/>
      <c r="F122" s="65"/>
      <c r="G122" s="65"/>
      <c r="H122" s="65"/>
      <c r="I122" s="65"/>
      <c r="J122" s="65"/>
      <c r="K122" s="65"/>
      <c r="L122" s="65"/>
      <c r="M122" s="65"/>
      <c r="N122" s="65"/>
      <c r="O122" s="65"/>
      <c r="P122" s="65"/>
      <c r="Q122" s="65"/>
      <c r="R122" s="65"/>
      <c r="S122" s="65"/>
      <c r="T122" s="65"/>
      <c r="U122" s="65"/>
    </row>
    <row r="123" spans="1:21">
      <c r="A123" s="65"/>
      <c r="D123" s="65"/>
    </row>
    <row r="124" spans="1:21">
      <c r="A124" s="65"/>
      <c r="D124" s="65"/>
    </row>
    <row r="125" spans="1:21" s="149" customFormat="1" ht="13">
      <c r="A125" s="65"/>
      <c r="B125" s="65"/>
      <c r="C125" s="65"/>
      <c r="D125" s="65"/>
      <c r="E125" s="65"/>
      <c r="F125" s="65"/>
      <c r="G125" s="65"/>
      <c r="H125" s="65"/>
      <c r="I125" s="65"/>
      <c r="J125" s="65"/>
      <c r="K125" s="65"/>
      <c r="L125" s="65"/>
      <c r="M125" s="65"/>
      <c r="N125" s="65"/>
      <c r="O125" s="65"/>
      <c r="P125" s="65"/>
      <c r="Q125" s="65"/>
      <c r="R125" s="65"/>
      <c r="S125" s="65"/>
      <c r="T125" s="65"/>
      <c r="U125" s="65"/>
    </row>
    <row r="126" spans="1:21">
      <c r="A126" s="65"/>
      <c r="D126" s="65"/>
    </row>
    <row r="127" spans="1:21">
      <c r="A127" s="65"/>
      <c r="D127" s="65"/>
    </row>
    <row r="128" spans="1:21" s="149" customFormat="1" ht="13">
      <c r="A128" s="65"/>
      <c r="B128" s="65"/>
      <c r="C128" s="65"/>
      <c r="D128" s="65"/>
      <c r="E128" s="65"/>
      <c r="F128" s="65"/>
      <c r="G128" s="65"/>
      <c r="H128" s="65"/>
      <c r="I128" s="65"/>
      <c r="J128" s="65"/>
      <c r="K128" s="65"/>
      <c r="L128" s="65"/>
      <c r="M128" s="65"/>
      <c r="N128" s="65"/>
      <c r="O128" s="65"/>
      <c r="P128" s="65"/>
      <c r="Q128" s="65"/>
      <c r="R128" s="65"/>
      <c r="S128" s="65"/>
      <c r="T128" s="65"/>
      <c r="U128" s="65"/>
    </row>
    <row r="129" spans="1:21">
      <c r="A129" s="65"/>
      <c r="D129" s="65"/>
    </row>
    <row r="130" spans="1:21">
      <c r="A130" s="65"/>
      <c r="D130" s="65"/>
    </row>
    <row r="131" spans="1:21" s="149" customFormat="1" ht="13">
      <c r="A131" s="65"/>
      <c r="B131" s="65"/>
      <c r="C131" s="65"/>
      <c r="D131" s="65"/>
      <c r="E131" s="65"/>
      <c r="F131" s="65"/>
      <c r="G131" s="65"/>
      <c r="H131" s="65"/>
      <c r="I131" s="65"/>
      <c r="J131" s="65"/>
      <c r="K131" s="65"/>
      <c r="L131" s="65"/>
      <c r="M131" s="65"/>
      <c r="N131" s="65"/>
      <c r="O131" s="65"/>
      <c r="P131" s="65"/>
      <c r="Q131" s="65"/>
      <c r="R131" s="65"/>
      <c r="S131" s="65"/>
      <c r="T131" s="65"/>
      <c r="U131" s="65"/>
    </row>
    <row r="132" spans="1:21">
      <c r="A132" s="65"/>
      <c r="D132" s="65"/>
    </row>
    <row r="133" spans="1:21">
      <c r="A133" s="65"/>
      <c r="D133" s="65"/>
    </row>
    <row r="134" spans="1:21" s="149" customFormat="1" ht="13">
      <c r="A134" s="65"/>
      <c r="B134" s="65"/>
      <c r="C134" s="65"/>
      <c r="D134" s="65"/>
      <c r="E134" s="65"/>
      <c r="F134" s="65"/>
      <c r="G134" s="65"/>
      <c r="H134" s="65"/>
      <c r="I134" s="65"/>
      <c r="J134" s="65"/>
      <c r="K134" s="65"/>
      <c r="L134" s="65"/>
      <c r="M134" s="65"/>
      <c r="N134" s="65"/>
      <c r="O134" s="65"/>
      <c r="P134" s="65"/>
      <c r="Q134" s="65"/>
      <c r="R134" s="65"/>
      <c r="S134" s="65"/>
      <c r="T134" s="65"/>
      <c r="U134" s="65"/>
    </row>
    <row r="135" spans="1:21">
      <c r="A135" s="65"/>
      <c r="D135" s="65"/>
    </row>
    <row r="136" spans="1:21">
      <c r="A136" s="65"/>
      <c r="D136" s="65"/>
    </row>
    <row r="137" spans="1:21" s="149" customFormat="1" ht="13">
      <c r="A137" s="65"/>
      <c r="B137" s="65"/>
      <c r="C137" s="65"/>
      <c r="D137" s="65"/>
      <c r="E137" s="65"/>
      <c r="F137" s="65"/>
      <c r="G137" s="65"/>
      <c r="H137" s="65"/>
      <c r="I137" s="65"/>
      <c r="J137" s="65"/>
      <c r="K137" s="65"/>
      <c r="L137" s="65"/>
      <c r="M137" s="65"/>
      <c r="N137" s="65"/>
      <c r="O137" s="65"/>
      <c r="P137" s="65"/>
      <c r="Q137" s="65"/>
      <c r="R137" s="65"/>
      <c r="S137" s="65"/>
      <c r="T137" s="65"/>
      <c r="U137" s="65"/>
    </row>
    <row r="138" spans="1:21">
      <c r="A138" s="65"/>
      <c r="D138" s="65"/>
    </row>
    <row r="139" spans="1:21">
      <c r="A139" s="65"/>
      <c r="D139" s="65"/>
    </row>
    <row r="140" spans="1:21" s="149" customFormat="1" ht="13">
      <c r="A140" s="65"/>
      <c r="B140" s="65"/>
      <c r="C140" s="65"/>
      <c r="D140" s="65"/>
      <c r="E140" s="65"/>
      <c r="F140" s="65"/>
      <c r="G140" s="65"/>
      <c r="H140" s="65"/>
      <c r="I140" s="65"/>
      <c r="J140" s="65"/>
      <c r="K140" s="65"/>
      <c r="L140" s="65"/>
      <c r="M140" s="65"/>
      <c r="N140" s="65"/>
      <c r="O140" s="65"/>
      <c r="P140" s="65"/>
      <c r="Q140" s="65"/>
      <c r="R140" s="65"/>
      <c r="S140" s="65"/>
      <c r="T140" s="65"/>
      <c r="U140" s="65"/>
    </row>
    <row r="141" spans="1:21">
      <c r="A141" s="65"/>
      <c r="D141" s="65"/>
    </row>
    <row r="142" spans="1:21">
      <c r="A142" s="65"/>
      <c r="D142" s="65"/>
    </row>
    <row r="143" spans="1:21" s="149" customFormat="1" ht="13">
      <c r="A143" s="65"/>
      <c r="B143" s="65"/>
      <c r="C143" s="65"/>
      <c r="D143" s="65"/>
      <c r="E143" s="65"/>
      <c r="F143" s="65"/>
      <c r="G143" s="65"/>
      <c r="H143" s="65"/>
      <c r="I143" s="65"/>
      <c r="J143" s="65"/>
      <c r="K143" s="65"/>
      <c r="L143" s="65"/>
      <c r="M143" s="65"/>
      <c r="N143" s="65"/>
      <c r="O143" s="65"/>
      <c r="P143" s="65"/>
      <c r="Q143" s="65"/>
      <c r="R143" s="65"/>
      <c r="S143" s="65"/>
      <c r="T143" s="65"/>
      <c r="U143" s="65"/>
    </row>
    <row r="144" spans="1:21">
      <c r="A144" s="65"/>
      <c r="D144" s="65"/>
    </row>
    <row r="145" spans="1:21">
      <c r="A145" s="65"/>
      <c r="D145" s="65"/>
    </row>
    <row r="146" spans="1:21" s="149" customFormat="1" ht="13">
      <c r="A146" s="65"/>
      <c r="B146" s="65"/>
      <c r="C146" s="65"/>
      <c r="D146" s="65"/>
      <c r="E146" s="65"/>
      <c r="F146" s="65"/>
      <c r="G146" s="65"/>
      <c r="H146" s="65"/>
      <c r="I146" s="65"/>
      <c r="J146" s="65"/>
      <c r="K146" s="65"/>
      <c r="L146" s="65"/>
      <c r="M146" s="65"/>
      <c r="N146" s="65"/>
      <c r="O146" s="65"/>
      <c r="P146" s="65"/>
      <c r="Q146" s="65"/>
      <c r="R146" s="65"/>
      <c r="S146" s="65"/>
      <c r="T146" s="65"/>
      <c r="U146" s="65"/>
    </row>
    <row r="147" spans="1:21">
      <c r="A147" s="65"/>
      <c r="D147" s="65"/>
    </row>
    <row r="148" spans="1:21">
      <c r="A148" s="65"/>
      <c r="D148" s="65"/>
    </row>
    <row r="149" spans="1:21" s="149" customFormat="1" ht="13">
      <c r="A149" s="65"/>
      <c r="B149" s="65"/>
      <c r="C149" s="65"/>
      <c r="D149" s="65"/>
      <c r="E149" s="65"/>
      <c r="F149" s="65"/>
      <c r="G149" s="65"/>
      <c r="H149" s="65"/>
      <c r="I149" s="65"/>
      <c r="J149" s="65"/>
      <c r="K149" s="65"/>
      <c r="L149" s="65"/>
      <c r="M149" s="65"/>
      <c r="N149" s="65"/>
      <c r="O149" s="65"/>
      <c r="P149" s="65"/>
      <c r="Q149" s="65"/>
      <c r="R149" s="65"/>
      <c r="S149" s="65"/>
      <c r="T149" s="65"/>
      <c r="U149" s="65"/>
    </row>
    <row r="150" spans="1:21">
      <c r="A150" s="65"/>
      <c r="D150" s="65"/>
    </row>
    <row r="151" spans="1:21">
      <c r="A151" s="65"/>
      <c r="D151" s="65"/>
    </row>
    <row r="152" spans="1:21" s="149" customFormat="1" ht="13">
      <c r="A152" s="65"/>
      <c r="B152" s="65"/>
      <c r="C152" s="65"/>
      <c r="D152" s="65"/>
      <c r="E152" s="65"/>
      <c r="F152" s="65"/>
      <c r="G152" s="65"/>
      <c r="H152" s="65"/>
      <c r="I152" s="65"/>
      <c r="J152" s="65"/>
      <c r="K152" s="65"/>
      <c r="L152" s="65"/>
      <c r="M152" s="65"/>
      <c r="N152" s="65"/>
      <c r="O152" s="65"/>
      <c r="P152" s="65"/>
      <c r="Q152" s="65"/>
      <c r="R152" s="65"/>
      <c r="S152" s="65"/>
      <c r="T152" s="65"/>
      <c r="U152" s="65"/>
    </row>
    <row r="153" spans="1:21">
      <c r="A153" s="65"/>
      <c r="D153" s="65"/>
    </row>
    <row r="154" spans="1:21">
      <c r="A154" s="65"/>
      <c r="D154" s="65"/>
    </row>
    <row r="155" spans="1:21" s="149" customFormat="1" ht="13">
      <c r="A155" s="65"/>
      <c r="B155" s="65"/>
      <c r="C155" s="65"/>
      <c r="D155" s="65"/>
      <c r="E155" s="65"/>
      <c r="F155" s="65"/>
      <c r="G155" s="65"/>
      <c r="H155" s="65"/>
      <c r="I155" s="65"/>
      <c r="J155" s="65"/>
      <c r="K155" s="65"/>
      <c r="L155" s="65"/>
      <c r="M155" s="65"/>
      <c r="N155" s="65"/>
      <c r="O155" s="65"/>
      <c r="P155" s="65"/>
      <c r="Q155" s="65"/>
      <c r="R155" s="65"/>
      <c r="S155" s="65"/>
      <c r="T155" s="65"/>
      <c r="U155" s="65"/>
    </row>
    <row r="156" spans="1:21">
      <c r="A156" s="65"/>
      <c r="D156" s="65"/>
    </row>
    <row r="157" spans="1:21">
      <c r="A157" s="65"/>
      <c r="D157" s="65"/>
    </row>
    <row r="158" spans="1:21" s="149" customFormat="1" ht="13">
      <c r="A158" s="65"/>
      <c r="B158" s="65"/>
      <c r="C158" s="65"/>
      <c r="D158" s="65"/>
      <c r="E158" s="65"/>
      <c r="F158" s="65"/>
      <c r="G158" s="65"/>
      <c r="H158" s="65"/>
      <c r="I158" s="65"/>
      <c r="J158" s="65"/>
      <c r="K158" s="65"/>
      <c r="L158" s="65"/>
      <c r="M158" s="65"/>
      <c r="N158" s="65"/>
      <c r="O158" s="65"/>
      <c r="P158" s="65"/>
      <c r="Q158" s="65"/>
      <c r="R158" s="65"/>
      <c r="S158" s="65"/>
      <c r="T158" s="65"/>
      <c r="U158" s="65"/>
    </row>
    <row r="159" spans="1:21">
      <c r="A159" s="65"/>
      <c r="D159" s="65"/>
    </row>
    <row r="160" spans="1:21">
      <c r="A160" s="65"/>
      <c r="D160" s="65"/>
    </row>
    <row r="161" spans="1:21" s="149" customFormat="1" ht="13">
      <c r="A161" s="65"/>
      <c r="B161" s="65"/>
      <c r="C161" s="65"/>
      <c r="D161" s="65"/>
      <c r="E161" s="65"/>
      <c r="F161" s="65"/>
      <c r="G161" s="65"/>
      <c r="H161" s="65"/>
      <c r="I161" s="65"/>
      <c r="J161" s="65"/>
      <c r="K161" s="65"/>
      <c r="L161" s="65"/>
      <c r="M161" s="65"/>
      <c r="N161" s="65"/>
      <c r="O161" s="65"/>
      <c r="P161" s="65"/>
      <c r="Q161" s="65"/>
      <c r="R161" s="65"/>
      <c r="S161" s="65"/>
      <c r="T161" s="65"/>
      <c r="U161" s="65"/>
    </row>
    <row r="162" spans="1:21">
      <c r="A162" s="65"/>
      <c r="D162" s="65"/>
    </row>
    <row r="163" spans="1:21">
      <c r="A163" s="65"/>
      <c r="D163" s="65"/>
    </row>
    <row r="164" spans="1:21" s="149" customFormat="1" ht="13">
      <c r="A164" s="65"/>
      <c r="B164" s="65"/>
      <c r="C164" s="65"/>
      <c r="D164" s="65"/>
      <c r="E164" s="65"/>
      <c r="F164" s="65"/>
      <c r="G164" s="65"/>
      <c r="H164" s="65"/>
      <c r="I164" s="65"/>
      <c r="J164" s="65"/>
      <c r="K164" s="65"/>
      <c r="L164" s="65"/>
      <c r="M164" s="65"/>
      <c r="N164" s="65"/>
      <c r="O164" s="65"/>
      <c r="P164" s="65"/>
      <c r="Q164" s="65"/>
      <c r="R164" s="65"/>
      <c r="S164" s="65"/>
      <c r="T164" s="65"/>
      <c r="U164" s="65"/>
    </row>
    <row r="165" spans="1:21">
      <c r="A165" s="65"/>
      <c r="D165" s="65"/>
    </row>
    <row r="166" spans="1:21">
      <c r="A166" s="65"/>
      <c r="D166" s="65"/>
    </row>
    <row r="167" spans="1:21" s="149" customFormat="1" ht="13">
      <c r="A167" s="65"/>
      <c r="B167" s="65"/>
      <c r="C167" s="65"/>
      <c r="D167" s="65"/>
      <c r="E167" s="65"/>
      <c r="F167" s="65"/>
      <c r="G167" s="65"/>
      <c r="H167" s="65"/>
      <c r="I167" s="65"/>
      <c r="J167" s="65"/>
      <c r="K167" s="65"/>
      <c r="L167" s="65"/>
      <c r="M167" s="65"/>
      <c r="N167" s="65"/>
      <c r="O167" s="65"/>
      <c r="P167" s="65"/>
      <c r="Q167" s="65"/>
      <c r="R167" s="65"/>
      <c r="S167" s="65"/>
      <c r="T167" s="65"/>
      <c r="U167" s="65"/>
    </row>
    <row r="168" spans="1:21">
      <c r="A168" s="65"/>
      <c r="D168" s="65"/>
    </row>
    <row r="169" spans="1:21">
      <c r="A169" s="65"/>
      <c r="D169" s="65"/>
    </row>
    <row r="170" spans="1:21" s="149" customFormat="1" ht="13">
      <c r="A170" s="65"/>
      <c r="B170" s="65"/>
      <c r="C170" s="65"/>
      <c r="D170" s="65"/>
      <c r="E170" s="65"/>
      <c r="F170" s="65"/>
      <c r="G170" s="65"/>
      <c r="H170" s="65"/>
      <c r="I170" s="65"/>
      <c r="J170" s="65"/>
      <c r="K170" s="65"/>
      <c r="L170" s="65"/>
      <c r="M170" s="65"/>
      <c r="N170" s="65"/>
      <c r="O170" s="65"/>
      <c r="P170" s="65"/>
      <c r="Q170" s="65"/>
      <c r="R170" s="65"/>
      <c r="S170" s="65"/>
      <c r="T170" s="65"/>
      <c r="U170" s="65"/>
    </row>
    <row r="171" spans="1:21">
      <c r="A171" s="65"/>
      <c r="D171" s="65"/>
    </row>
    <row r="172" spans="1:21">
      <c r="A172" s="65"/>
      <c r="D172" s="65"/>
    </row>
    <row r="173" spans="1:21" s="149" customFormat="1" ht="13">
      <c r="A173" s="65"/>
      <c r="B173" s="65"/>
      <c r="C173" s="65"/>
      <c r="D173" s="65"/>
      <c r="E173" s="65"/>
      <c r="F173" s="65"/>
      <c r="G173" s="65"/>
      <c r="H173" s="65"/>
      <c r="I173" s="65"/>
      <c r="J173" s="65"/>
      <c r="K173" s="65"/>
      <c r="L173" s="65"/>
      <c r="M173" s="65"/>
      <c r="N173" s="65"/>
      <c r="O173" s="65"/>
      <c r="P173" s="65"/>
      <c r="Q173" s="65"/>
      <c r="R173" s="65"/>
      <c r="S173" s="65"/>
      <c r="T173" s="65"/>
      <c r="U173" s="65"/>
    </row>
    <row r="174" spans="1:21">
      <c r="A174" s="65"/>
      <c r="D174" s="65"/>
    </row>
    <row r="175" spans="1:21">
      <c r="A175" s="65"/>
      <c r="D175" s="65"/>
    </row>
    <row r="176" spans="1:21" s="149" customFormat="1" ht="13">
      <c r="A176" s="65"/>
      <c r="B176" s="65"/>
      <c r="C176" s="65"/>
      <c r="D176" s="65"/>
      <c r="E176" s="65"/>
      <c r="F176" s="65"/>
      <c r="G176" s="65"/>
      <c r="H176" s="65"/>
      <c r="I176" s="65"/>
      <c r="J176" s="65"/>
      <c r="K176" s="65"/>
      <c r="L176" s="65"/>
      <c r="M176" s="65"/>
      <c r="N176" s="65"/>
      <c r="O176" s="65"/>
      <c r="P176" s="65"/>
      <c r="Q176" s="65"/>
      <c r="R176" s="65"/>
      <c r="S176" s="65"/>
      <c r="T176" s="65"/>
      <c r="U176" s="65"/>
    </row>
    <row r="177" spans="1:21">
      <c r="A177" s="65"/>
      <c r="D177" s="65"/>
    </row>
    <row r="178" spans="1:21">
      <c r="A178" s="65"/>
      <c r="D178" s="65"/>
    </row>
    <row r="179" spans="1:21" s="149" customFormat="1" ht="13">
      <c r="A179" s="65"/>
      <c r="B179" s="65"/>
      <c r="C179" s="65"/>
      <c r="D179" s="65"/>
      <c r="E179" s="65"/>
      <c r="F179" s="65"/>
      <c r="G179" s="65"/>
      <c r="H179" s="65"/>
      <c r="I179" s="65"/>
      <c r="J179" s="65"/>
      <c r="K179" s="65"/>
      <c r="L179" s="65"/>
      <c r="M179" s="65"/>
      <c r="N179" s="65"/>
      <c r="O179" s="65"/>
      <c r="P179" s="65"/>
      <c r="Q179" s="65"/>
      <c r="R179" s="65"/>
      <c r="S179" s="65"/>
      <c r="T179" s="65"/>
      <c r="U179" s="65"/>
    </row>
    <row r="180" spans="1:21">
      <c r="A180" s="65"/>
      <c r="D180" s="65"/>
    </row>
    <row r="181" spans="1:21">
      <c r="A181" s="65"/>
      <c r="D181" s="65"/>
    </row>
    <row r="182" spans="1:21" s="149" customFormat="1" ht="13">
      <c r="A182" s="65"/>
      <c r="B182" s="65"/>
      <c r="C182" s="65"/>
      <c r="D182" s="65"/>
      <c r="E182" s="65"/>
      <c r="F182" s="65"/>
      <c r="G182" s="65"/>
      <c r="H182" s="65"/>
      <c r="I182" s="65"/>
      <c r="J182" s="65"/>
      <c r="K182" s="65"/>
      <c r="L182" s="65"/>
      <c r="M182" s="65"/>
      <c r="N182" s="65"/>
      <c r="O182" s="65"/>
      <c r="P182" s="65"/>
      <c r="Q182" s="65"/>
      <c r="R182" s="65"/>
      <c r="S182" s="65"/>
      <c r="T182" s="65"/>
      <c r="U182" s="65"/>
    </row>
    <row r="183" spans="1:21">
      <c r="A183" s="65"/>
      <c r="D183" s="65"/>
    </row>
    <row r="184" spans="1:21">
      <c r="A184" s="65"/>
      <c r="D184" s="65"/>
    </row>
    <row r="185" spans="1:21" s="149" customFormat="1" ht="13">
      <c r="A185" s="65"/>
      <c r="B185" s="65"/>
      <c r="C185" s="65"/>
      <c r="D185" s="65"/>
      <c r="E185" s="65"/>
      <c r="F185" s="65"/>
      <c r="G185" s="65"/>
      <c r="H185" s="65"/>
      <c r="I185" s="65"/>
      <c r="J185" s="65"/>
      <c r="K185" s="65"/>
      <c r="L185" s="65"/>
      <c r="M185" s="65"/>
      <c r="N185" s="65"/>
      <c r="O185" s="65"/>
      <c r="P185" s="65"/>
      <c r="Q185" s="65"/>
      <c r="R185" s="65"/>
      <c r="S185" s="65"/>
      <c r="T185" s="65"/>
      <c r="U185" s="65"/>
    </row>
    <row r="186" spans="1:21">
      <c r="A186" s="65"/>
      <c r="D186" s="65"/>
    </row>
    <row r="187" spans="1:21">
      <c r="A187" s="65"/>
      <c r="D187" s="65"/>
    </row>
    <row r="188" spans="1:21" s="149" customFormat="1" ht="13">
      <c r="A188" s="65"/>
      <c r="B188" s="65"/>
      <c r="C188" s="65"/>
      <c r="D188" s="65"/>
      <c r="E188" s="65"/>
      <c r="F188" s="65"/>
      <c r="G188" s="65"/>
      <c r="H188" s="65"/>
      <c r="I188" s="65"/>
      <c r="J188" s="65"/>
      <c r="K188" s="65"/>
      <c r="L188" s="65"/>
      <c r="M188" s="65"/>
      <c r="N188" s="65"/>
      <c r="O188" s="65"/>
      <c r="P188" s="65"/>
      <c r="Q188" s="65"/>
      <c r="R188" s="65"/>
      <c r="S188" s="65"/>
      <c r="T188" s="65"/>
      <c r="U188" s="65"/>
    </row>
    <row r="189" spans="1:21">
      <c r="A189" s="65"/>
      <c r="D189" s="65"/>
    </row>
    <row r="190" spans="1:21">
      <c r="A190" s="65"/>
      <c r="D190" s="65"/>
    </row>
    <row r="191" spans="1:21" s="149" customFormat="1" ht="13">
      <c r="A191" s="65"/>
      <c r="B191" s="65"/>
      <c r="C191" s="65"/>
      <c r="D191" s="65"/>
      <c r="E191" s="65"/>
      <c r="F191" s="65"/>
      <c r="G191" s="65"/>
      <c r="H191" s="65"/>
      <c r="I191" s="65"/>
      <c r="J191" s="65"/>
      <c r="K191" s="65"/>
      <c r="L191" s="65"/>
      <c r="M191" s="65"/>
      <c r="N191" s="65"/>
      <c r="O191" s="65"/>
      <c r="P191" s="65"/>
      <c r="Q191" s="65"/>
      <c r="R191" s="65"/>
      <c r="S191" s="65"/>
      <c r="T191" s="65"/>
      <c r="U191" s="65"/>
    </row>
    <row r="192" spans="1:21">
      <c r="A192" s="65"/>
      <c r="D192" s="65"/>
    </row>
    <row r="193" spans="1:21">
      <c r="A193" s="65"/>
      <c r="D193" s="65"/>
    </row>
    <row r="194" spans="1:21" s="149" customFormat="1" ht="13">
      <c r="A194" s="65"/>
      <c r="B194" s="65"/>
      <c r="C194" s="65"/>
      <c r="D194" s="65"/>
      <c r="E194" s="65"/>
      <c r="F194" s="65"/>
      <c r="G194" s="65"/>
      <c r="H194" s="65"/>
      <c r="I194" s="65"/>
      <c r="J194" s="65"/>
      <c r="K194" s="65"/>
      <c r="L194" s="65"/>
      <c r="M194" s="65"/>
      <c r="N194" s="65"/>
      <c r="O194" s="65"/>
      <c r="P194" s="65"/>
      <c r="Q194" s="65"/>
      <c r="R194" s="65"/>
      <c r="S194" s="65"/>
      <c r="T194" s="65"/>
      <c r="U194" s="65"/>
    </row>
    <row r="195" spans="1:21">
      <c r="A195" s="65"/>
      <c r="D195" s="65"/>
    </row>
    <row r="196" spans="1:21">
      <c r="A196" s="65"/>
      <c r="D196" s="65"/>
    </row>
    <row r="197" spans="1:21" s="149" customFormat="1" ht="13">
      <c r="A197" s="65"/>
      <c r="B197" s="65"/>
      <c r="C197" s="65"/>
      <c r="D197" s="65"/>
      <c r="E197" s="65"/>
      <c r="F197" s="65"/>
      <c r="G197" s="65"/>
      <c r="H197" s="65"/>
      <c r="I197" s="65"/>
      <c r="J197" s="65"/>
      <c r="K197" s="65"/>
      <c r="L197" s="65"/>
      <c r="M197" s="65"/>
      <c r="N197" s="65"/>
      <c r="O197" s="65"/>
      <c r="P197" s="65"/>
      <c r="Q197" s="65"/>
      <c r="R197" s="65"/>
      <c r="S197" s="65"/>
      <c r="T197" s="65"/>
      <c r="U197" s="65"/>
    </row>
    <row r="198" spans="1:21">
      <c r="A198" s="65"/>
      <c r="D198" s="65"/>
    </row>
    <row r="199" spans="1:21">
      <c r="A199" s="65"/>
      <c r="D199" s="65"/>
    </row>
    <row r="200" spans="1:21" s="149" customFormat="1" ht="13">
      <c r="A200" s="65"/>
      <c r="B200" s="65"/>
      <c r="C200" s="65"/>
      <c r="D200" s="65"/>
      <c r="E200" s="65"/>
      <c r="F200" s="65"/>
      <c r="G200" s="65"/>
      <c r="H200" s="65"/>
      <c r="I200" s="65"/>
      <c r="J200" s="65"/>
      <c r="K200" s="65"/>
      <c r="L200" s="65"/>
      <c r="M200" s="65"/>
      <c r="N200" s="65"/>
      <c r="O200" s="65"/>
      <c r="P200" s="65"/>
      <c r="Q200" s="65"/>
      <c r="R200" s="65"/>
      <c r="S200" s="65"/>
      <c r="T200" s="65"/>
      <c r="U200" s="65"/>
    </row>
    <row r="201" spans="1:21">
      <c r="A201" s="65"/>
      <c r="D201" s="65"/>
    </row>
    <row r="202" spans="1:21">
      <c r="A202" s="65"/>
      <c r="D202" s="65"/>
    </row>
    <row r="203" spans="1:21" s="149" customFormat="1" ht="13">
      <c r="A203" s="65"/>
      <c r="B203" s="65"/>
      <c r="C203" s="65"/>
      <c r="D203" s="65"/>
      <c r="E203" s="65"/>
      <c r="F203" s="65"/>
      <c r="G203" s="65"/>
      <c r="H203" s="65"/>
      <c r="I203" s="65"/>
      <c r="J203" s="65"/>
      <c r="K203" s="65"/>
      <c r="L203" s="65"/>
      <c r="M203" s="65"/>
      <c r="N203" s="65"/>
      <c r="O203" s="65"/>
      <c r="P203" s="65"/>
      <c r="Q203" s="65"/>
      <c r="R203" s="65"/>
      <c r="S203" s="65"/>
      <c r="T203" s="65"/>
      <c r="U203" s="65"/>
    </row>
    <row r="204" spans="1:21">
      <c r="A204" s="65"/>
      <c r="D204" s="65"/>
    </row>
    <row r="205" spans="1:21">
      <c r="A205" s="65"/>
      <c r="D205" s="65"/>
    </row>
    <row r="206" spans="1:21" s="149" customFormat="1" ht="13">
      <c r="A206" s="65"/>
      <c r="B206" s="65"/>
      <c r="C206" s="65"/>
      <c r="D206" s="65"/>
      <c r="E206" s="65"/>
      <c r="F206" s="65"/>
      <c r="G206" s="65"/>
      <c r="H206" s="65"/>
      <c r="I206" s="65"/>
      <c r="J206" s="65"/>
      <c r="K206" s="65"/>
      <c r="L206" s="65"/>
      <c r="M206" s="65"/>
      <c r="N206" s="65"/>
      <c r="O206" s="65"/>
      <c r="P206" s="65"/>
      <c r="Q206" s="65"/>
      <c r="R206" s="65"/>
      <c r="S206" s="65"/>
      <c r="T206" s="65"/>
      <c r="U206" s="65"/>
    </row>
    <row r="207" spans="1:21">
      <c r="A207" s="65"/>
      <c r="D207" s="65"/>
    </row>
    <row r="208" spans="1:21">
      <c r="A208" s="65"/>
      <c r="D208" s="65"/>
    </row>
    <row r="209" spans="1:21" s="149" customFormat="1" ht="13">
      <c r="A209" s="65"/>
      <c r="B209" s="65"/>
      <c r="C209" s="65"/>
      <c r="D209" s="65"/>
      <c r="E209" s="65"/>
      <c r="F209" s="65"/>
      <c r="G209" s="65"/>
      <c r="H209" s="65"/>
      <c r="I209" s="65"/>
      <c r="J209" s="65"/>
      <c r="K209" s="65"/>
      <c r="L209" s="65"/>
      <c r="M209" s="65"/>
      <c r="N209" s="65"/>
      <c r="O209" s="65"/>
      <c r="P209" s="65"/>
      <c r="Q209" s="65"/>
      <c r="R209" s="65"/>
      <c r="S209" s="65"/>
      <c r="T209" s="65"/>
      <c r="U209" s="65"/>
    </row>
    <row r="210" spans="1:21">
      <c r="A210" s="65"/>
      <c r="D210" s="65"/>
    </row>
    <row r="211" spans="1:21">
      <c r="A211" s="65"/>
      <c r="D211" s="65"/>
    </row>
    <row r="212" spans="1:21" s="149" customFormat="1" ht="13">
      <c r="A212" s="65"/>
      <c r="B212" s="65"/>
      <c r="C212" s="65"/>
      <c r="D212" s="65"/>
      <c r="E212" s="65"/>
      <c r="F212" s="65"/>
      <c r="G212" s="65"/>
      <c r="H212" s="65"/>
      <c r="I212" s="65"/>
      <c r="J212" s="65"/>
      <c r="K212" s="65"/>
      <c r="L212" s="65"/>
      <c r="M212" s="65"/>
      <c r="N212" s="65"/>
      <c r="O212" s="65"/>
      <c r="P212" s="65"/>
      <c r="Q212" s="65"/>
      <c r="R212" s="65"/>
      <c r="S212" s="65"/>
      <c r="T212" s="65"/>
      <c r="U212" s="65"/>
    </row>
    <row r="213" spans="1:21">
      <c r="A213" s="65"/>
      <c r="D213" s="65"/>
    </row>
    <row r="214" spans="1:21">
      <c r="A214" s="65"/>
      <c r="D214" s="65"/>
    </row>
    <row r="215" spans="1:21" s="149" customFormat="1" ht="13">
      <c r="A215" s="65"/>
      <c r="B215" s="65"/>
      <c r="C215" s="65"/>
      <c r="D215" s="65"/>
      <c r="E215" s="65"/>
      <c r="F215" s="65"/>
      <c r="G215" s="65"/>
      <c r="H215" s="65"/>
      <c r="I215" s="65"/>
      <c r="J215" s="65"/>
      <c r="K215" s="65"/>
      <c r="L215" s="65"/>
      <c r="M215" s="65"/>
      <c r="N215" s="65"/>
      <c r="O215" s="65"/>
      <c r="P215" s="65"/>
      <c r="Q215" s="65"/>
      <c r="R215" s="65"/>
      <c r="S215" s="65"/>
      <c r="T215" s="65"/>
      <c r="U215" s="65"/>
    </row>
    <row r="216" spans="1:21">
      <c r="A216" s="65"/>
      <c r="D216" s="65"/>
    </row>
    <row r="217" spans="1:21">
      <c r="A217" s="65"/>
      <c r="D217" s="65"/>
    </row>
    <row r="218" spans="1:21" s="149" customFormat="1" ht="13">
      <c r="A218" s="65"/>
      <c r="B218" s="65"/>
      <c r="C218" s="65"/>
      <c r="D218" s="65"/>
      <c r="E218" s="65"/>
      <c r="F218" s="65"/>
      <c r="G218" s="65"/>
      <c r="H218" s="65"/>
      <c r="I218" s="65"/>
      <c r="J218" s="65"/>
      <c r="K218" s="65"/>
      <c r="L218" s="65"/>
      <c r="M218" s="65"/>
      <c r="N218" s="65"/>
      <c r="O218" s="65"/>
      <c r="P218" s="65"/>
      <c r="Q218" s="65"/>
      <c r="R218" s="65"/>
      <c r="S218" s="65"/>
      <c r="T218" s="65"/>
      <c r="U218" s="65"/>
    </row>
    <row r="219" spans="1:21">
      <c r="A219" s="65"/>
      <c r="D219" s="65"/>
    </row>
    <row r="220" spans="1:21">
      <c r="A220" s="65"/>
      <c r="D220" s="65"/>
    </row>
    <row r="221" spans="1:21" s="149" customFormat="1" ht="13">
      <c r="A221" s="65"/>
      <c r="B221" s="65"/>
      <c r="C221" s="65"/>
      <c r="D221" s="65"/>
      <c r="E221" s="65"/>
      <c r="F221" s="65"/>
      <c r="G221" s="65"/>
      <c r="H221" s="65"/>
      <c r="I221" s="65"/>
      <c r="J221" s="65"/>
      <c r="K221" s="65"/>
      <c r="L221" s="65"/>
      <c r="M221" s="65"/>
      <c r="N221" s="65"/>
      <c r="O221" s="65"/>
      <c r="P221" s="65"/>
      <c r="Q221" s="65"/>
      <c r="R221" s="65"/>
      <c r="S221" s="65"/>
      <c r="T221" s="65"/>
      <c r="U221" s="65"/>
    </row>
    <row r="222" spans="1:21">
      <c r="A222" s="65"/>
      <c r="D222" s="65"/>
    </row>
    <row r="223" spans="1:21">
      <c r="A223" s="65"/>
      <c r="D223" s="65"/>
    </row>
    <row r="224" spans="1:21" s="149" customFormat="1" ht="13">
      <c r="A224" s="65"/>
      <c r="B224" s="65"/>
      <c r="C224" s="65"/>
      <c r="D224" s="65"/>
      <c r="E224" s="65"/>
      <c r="F224" s="65"/>
      <c r="G224" s="65"/>
      <c r="H224" s="65"/>
      <c r="I224" s="65"/>
      <c r="J224" s="65"/>
      <c r="K224" s="65"/>
      <c r="L224" s="65"/>
      <c r="M224" s="65"/>
      <c r="N224" s="65"/>
      <c r="O224" s="65"/>
      <c r="P224" s="65"/>
      <c r="Q224" s="65"/>
      <c r="R224" s="65"/>
      <c r="S224" s="65"/>
      <c r="T224" s="65"/>
      <c r="U224" s="65"/>
    </row>
    <row r="225" spans="1:21">
      <c r="A225" s="65"/>
      <c r="D225" s="65"/>
    </row>
    <row r="226" spans="1:21">
      <c r="A226" s="65"/>
      <c r="D226" s="65"/>
    </row>
    <row r="227" spans="1:21" s="149" customFormat="1" ht="13">
      <c r="A227" s="65"/>
      <c r="B227" s="65"/>
      <c r="C227" s="65"/>
      <c r="D227" s="65"/>
      <c r="E227" s="65"/>
      <c r="F227" s="65"/>
      <c r="G227" s="65"/>
      <c r="H227" s="65"/>
      <c r="I227" s="65"/>
      <c r="J227" s="65"/>
      <c r="K227" s="65"/>
      <c r="L227" s="65"/>
      <c r="M227" s="65"/>
      <c r="N227" s="65"/>
      <c r="O227" s="65"/>
      <c r="P227" s="65"/>
      <c r="Q227" s="65"/>
      <c r="R227" s="65"/>
      <c r="S227" s="65"/>
      <c r="T227" s="65"/>
      <c r="U227" s="65"/>
    </row>
    <row r="228" spans="1:21">
      <c r="A228" s="65"/>
      <c r="D228" s="65"/>
    </row>
    <row r="229" spans="1:21">
      <c r="A229" s="65"/>
      <c r="D229" s="65"/>
    </row>
    <row r="230" spans="1:21" s="149" customFormat="1" ht="13">
      <c r="A230" s="65"/>
      <c r="B230" s="65"/>
      <c r="C230" s="65"/>
      <c r="D230" s="65"/>
      <c r="E230" s="65"/>
      <c r="F230" s="65"/>
      <c r="G230" s="65"/>
      <c r="H230" s="65"/>
      <c r="I230" s="65"/>
      <c r="J230" s="65"/>
      <c r="K230" s="65"/>
      <c r="L230" s="65"/>
      <c r="M230" s="65"/>
      <c r="N230" s="65"/>
      <c r="O230" s="65"/>
      <c r="P230" s="65"/>
      <c r="Q230" s="65"/>
      <c r="R230" s="65"/>
      <c r="S230" s="65"/>
      <c r="T230" s="65"/>
      <c r="U230" s="65"/>
    </row>
    <row r="231" spans="1:21">
      <c r="A231" s="65"/>
      <c r="D231" s="65"/>
    </row>
    <row r="232" spans="1:21">
      <c r="A232" s="65"/>
      <c r="D232" s="65"/>
    </row>
    <row r="233" spans="1:21" s="149" customFormat="1" ht="13">
      <c r="A233" s="65"/>
      <c r="B233" s="65"/>
      <c r="C233" s="65"/>
      <c r="D233" s="65"/>
      <c r="E233" s="65"/>
      <c r="F233" s="65"/>
      <c r="G233" s="65"/>
      <c r="H233" s="65"/>
      <c r="I233" s="65"/>
      <c r="J233" s="65"/>
      <c r="K233" s="65"/>
      <c r="L233" s="65"/>
      <c r="M233" s="65"/>
      <c r="N233" s="65"/>
      <c r="O233" s="65"/>
      <c r="P233" s="65"/>
      <c r="Q233" s="65"/>
      <c r="R233" s="65"/>
      <c r="S233" s="65"/>
      <c r="T233" s="65"/>
      <c r="U233" s="65"/>
    </row>
    <row r="234" spans="1:21">
      <c r="A234" s="65"/>
      <c r="D234" s="65"/>
    </row>
    <row r="235" spans="1:21">
      <c r="A235" s="65"/>
      <c r="D235" s="65"/>
    </row>
    <row r="236" spans="1:21" s="149" customFormat="1" ht="13">
      <c r="A236" s="65"/>
      <c r="B236" s="65"/>
      <c r="C236" s="65"/>
      <c r="D236" s="65"/>
      <c r="E236" s="65"/>
      <c r="F236" s="65"/>
      <c r="G236" s="65"/>
      <c r="H236" s="65"/>
      <c r="I236" s="65"/>
      <c r="J236" s="65"/>
      <c r="K236" s="65"/>
      <c r="L236" s="65"/>
      <c r="M236" s="65"/>
      <c r="N236" s="65"/>
      <c r="O236" s="65"/>
      <c r="P236" s="65"/>
      <c r="Q236" s="65"/>
      <c r="R236" s="65"/>
      <c r="S236" s="65"/>
      <c r="T236" s="65"/>
      <c r="U236" s="65"/>
    </row>
    <row r="237" spans="1:21">
      <c r="A237" s="65"/>
      <c r="D237" s="65"/>
    </row>
    <row r="238" spans="1:21">
      <c r="A238" s="65"/>
      <c r="D238" s="65"/>
    </row>
    <row r="239" spans="1:21" s="149" customFormat="1" ht="13">
      <c r="A239" s="65"/>
      <c r="B239" s="65"/>
      <c r="C239" s="65"/>
      <c r="D239" s="65"/>
      <c r="E239" s="65"/>
      <c r="F239" s="65"/>
      <c r="G239" s="65"/>
      <c r="H239" s="65"/>
      <c r="I239" s="65"/>
      <c r="J239" s="65"/>
      <c r="K239" s="65"/>
      <c r="L239" s="65"/>
      <c r="M239" s="65"/>
      <c r="N239" s="65"/>
      <c r="O239" s="65"/>
      <c r="P239" s="65"/>
      <c r="Q239" s="65"/>
      <c r="R239" s="65"/>
      <c r="S239" s="65"/>
      <c r="T239" s="65"/>
      <c r="U239" s="65"/>
    </row>
    <row r="240" spans="1:21">
      <c r="A240" s="65"/>
      <c r="D240" s="65"/>
    </row>
    <row r="241" spans="1:21">
      <c r="A241" s="65"/>
      <c r="D241" s="65"/>
    </row>
    <row r="242" spans="1:21" s="149" customFormat="1" ht="13">
      <c r="A242" s="65"/>
      <c r="B242" s="65"/>
      <c r="C242" s="65"/>
      <c r="D242" s="65"/>
      <c r="E242" s="65"/>
      <c r="F242" s="65"/>
      <c r="G242" s="65"/>
      <c r="H242" s="65"/>
      <c r="I242" s="65"/>
      <c r="J242" s="65"/>
      <c r="K242" s="65"/>
      <c r="L242" s="65"/>
      <c r="M242" s="65"/>
      <c r="N242" s="65"/>
      <c r="O242" s="65"/>
      <c r="P242" s="65"/>
      <c r="Q242" s="65"/>
      <c r="R242" s="65"/>
      <c r="S242" s="65"/>
      <c r="T242" s="65"/>
      <c r="U242" s="65"/>
    </row>
    <row r="243" spans="1:21">
      <c r="A243" s="65"/>
      <c r="D243" s="65"/>
    </row>
    <row r="244" spans="1:21">
      <c r="A244" s="65"/>
      <c r="D244" s="65"/>
    </row>
    <row r="245" spans="1:21" s="149" customFormat="1" ht="13">
      <c r="A245" s="65"/>
      <c r="B245" s="65"/>
      <c r="C245" s="65"/>
      <c r="D245" s="65"/>
      <c r="E245" s="65"/>
      <c r="F245" s="65"/>
      <c r="G245" s="65"/>
      <c r="H245" s="65"/>
      <c r="I245" s="65"/>
      <c r="J245" s="65"/>
      <c r="K245" s="65"/>
      <c r="L245" s="65"/>
      <c r="M245" s="65"/>
      <c r="N245" s="65"/>
      <c r="O245" s="65"/>
      <c r="P245" s="65"/>
      <c r="Q245" s="65"/>
      <c r="R245" s="65"/>
      <c r="S245" s="65"/>
      <c r="T245" s="65"/>
      <c r="U245" s="65"/>
    </row>
    <row r="246" spans="1:21">
      <c r="A246" s="65"/>
      <c r="D246" s="65"/>
    </row>
    <row r="247" spans="1:21">
      <c r="A247" s="65"/>
      <c r="D247" s="65"/>
    </row>
    <row r="248" spans="1:21" s="149" customFormat="1" ht="13">
      <c r="A248" s="65"/>
      <c r="B248" s="65"/>
      <c r="C248" s="65"/>
      <c r="D248" s="65"/>
      <c r="E248" s="65"/>
      <c r="F248" s="65"/>
      <c r="G248" s="65"/>
      <c r="H248" s="65"/>
      <c r="I248" s="65"/>
      <c r="J248" s="65"/>
      <c r="K248" s="65"/>
      <c r="L248" s="65"/>
      <c r="M248" s="65"/>
      <c r="N248" s="65"/>
      <c r="O248" s="65"/>
      <c r="P248" s="65"/>
      <c r="Q248" s="65"/>
      <c r="R248" s="65"/>
      <c r="S248" s="65"/>
      <c r="T248" s="65"/>
      <c r="U248" s="65"/>
    </row>
    <row r="249" spans="1:21">
      <c r="A249" s="65"/>
      <c r="D249" s="65"/>
    </row>
    <row r="250" spans="1:21">
      <c r="A250" s="65"/>
      <c r="D250" s="65"/>
    </row>
    <row r="251" spans="1:21" s="149" customFormat="1" ht="13">
      <c r="A251" s="65"/>
      <c r="B251" s="65"/>
      <c r="C251" s="65"/>
      <c r="D251" s="65"/>
      <c r="E251" s="65"/>
      <c r="F251" s="65"/>
      <c r="G251" s="65"/>
      <c r="H251" s="65"/>
      <c r="I251" s="65"/>
      <c r="J251" s="65"/>
      <c r="K251" s="65"/>
      <c r="L251" s="65"/>
      <c r="M251" s="65"/>
      <c r="N251" s="65"/>
      <c r="O251" s="65"/>
      <c r="P251" s="65"/>
      <c r="Q251" s="65"/>
      <c r="R251" s="65"/>
      <c r="S251" s="65"/>
      <c r="T251" s="65"/>
      <c r="U251" s="65"/>
    </row>
    <row r="252" spans="1:21">
      <c r="A252" s="65"/>
      <c r="D252" s="65"/>
    </row>
    <row r="253" spans="1:21">
      <c r="A253" s="65"/>
      <c r="D253" s="65"/>
    </row>
    <row r="254" spans="1:21" s="149" customFormat="1" ht="13">
      <c r="A254" s="65"/>
      <c r="B254" s="65"/>
      <c r="C254" s="65"/>
      <c r="D254" s="65"/>
      <c r="E254" s="65"/>
      <c r="F254" s="65"/>
      <c r="G254" s="65"/>
      <c r="H254" s="65"/>
      <c r="I254" s="65"/>
      <c r="J254" s="65"/>
      <c r="K254" s="65"/>
      <c r="L254" s="65"/>
      <c r="M254" s="65"/>
      <c r="N254" s="65"/>
      <c r="O254" s="65"/>
      <c r="P254" s="65"/>
      <c r="Q254" s="65"/>
      <c r="R254" s="65"/>
      <c r="S254" s="65"/>
      <c r="T254" s="65"/>
      <c r="U254" s="65"/>
    </row>
    <row r="255" spans="1:21">
      <c r="A255" s="65"/>
      <c r="D255" s="65"/>
    </row>
    <row r="256" spans="1:21">
      <c r="A256" s="65"/>
      <c r="D256" s="65"/>
    </row>
    <row r="257" spans="1:21" s="149" customFormat="1" ht="13">
      <c r="A257" s="65"/>
      <c r="B257" s="65"/>
      <c r="C257" s="65"/>
      <c r="D257" s="65"/>
      <c r="E257" s="65"/>
      <c r="F257" s="65"/>
      <c r="G257" s="65"/>
      <c r="H257" s="65"/>
      <c r="I257" s="65"/>
      <c r="J257" s="65"/>
      <c r="K257" s="65"/>
      <c r="L257" s="65"/>
      <c r="M257" s="65"/>
      <c r="N257" s="65"/>
      <c r="O257" s="65"/>
      <c r="P257" s="65"/>
      <c r="Q257" s="65"/>
      <c r="R257" s="65"/>
      <c r="S257" s="65"/>
      <c r="T257" s="65"/>
      <c r="U257" s="65"/>
    </row>
    <row r="258" spans="1:21">
      <c r="A258" s="65"/>
      <c r="D258" s="65"/>
    </row>
    <row r="259" spans="1:21">
      <c r="A259" s="65"/>
      <c r="D259" s="65"/>
    </row>
    <row r="260" spans="1:21" s="149" customFormat="1" ht="13">
      <c r="A260" s="65"/>
      <c r="B260" s="65"/>
      <c r="C260" s="65"/>
      <c r="D260" s="65"/>
      <c r="E260" s="65"/>
      <c r="F260" s="65"/>
      <c r="G260" s="65"/>
      <c r="H260" s="65"/>
      <c r="I260" s="65"/>
      <c r="J260" s="65"/>
      <c r="K260" s="65"/>
      <c r="L260" s="65"/>
      <c r="M260" s="65"/>
      <c r="N260" s="65"/>
      <c r="O260" s="65"/>
      <c r="P260" s="65"/>
      <c r="Q260" s="65"/>
      <c r="R260" s="65"/>
      <c r="S260" s="65"/>
      <c r="T260" s="65"/>
      <c r="U260" s="65"/>
    </row>
    <row r="261" spans="1:21">
      <c r="A261" s="65"/>
      <c r="D261" s="65"/>
    </row>
    <row r="262" spans="1:21">
      <c r="A262" s="65"/>
      <c r="D262" s="65"/>
    </row>
    <row r="263" spans="1:21" s="149" customFormat="1" ht="13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</row>
    <row r="264" spans="1:21">
      <c r="A264" s="65"/>
      <c r="D264" s="65"/>
    </row>
    <row r="265" spans="1:21">
      <c r="A265" s="65"/>
      <c r="D265" s="65"/>
    </row>
    <row r="266" spans="1:21" s="149" customFormat="1" ht="13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</row>
    <row r="267" spans="1:21">
      <c r="A267" s="65"/>
      <c r="D267" s="65"/>
    </row>
    <row r="268" spans="1:21">
      <c r="A268" s="65"/>
      <c r="D268" s="65"/>
    </row>
    <row r="269" spans="1:21" s="149" customFormat="1" ht="13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</row>
    <row r="270" spans="1:21">
      <c r="A270" s="65"/>
      <c r="D270" s="65"/>
    </row>
    <row r="271" spans="1:21">
      <c r="A271" s="65"/>
      <c r="D271" s="65"/>
    </row>
    <row r="272" spans="1:21" s="149" customFormat="1" ht="13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</row>
    <row r="273" spans="1:21">
      <c r="A273" s="65"/>
      <c r="D273" s="65"/>
    </row>
    <row r="274" spans="1:21">
      <c r="A274" s="65"/>
      <c r="D274" s="65"/>
    </row>
    <row r="275" spans="1:21" s="149" customFormat="1" ht="13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</row>
    <row r="276" spans="1:21">
      <c r="A276" s="65"/>
      <c r="D276" s="65"/>
    </row>
    <row r="277" spans="1:21">
      <c r="A277" s="65"/>
      <c r="D277" s="65"/>
    </row>
    <row r="278" spans="1:21" s="149" customFormat="1" ht="13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</row>
    <row r="279" spans="1:21">
      <c r="A279" s="65"/>
      <c r="D279" s="65"/>
    </row>
    <row r="280" spans="1:21">
      <c r="A280" s="65"/>
      <c r="D280" s="65"/>
    </row>
    <row r="281" spans="1:21" s="149" customFormat="1" ht="13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</row>
    <row r="282" spans="1:21">
      <c r="A282" s="65"/>
      <c r="D282" s="65"/>
    </row>
    <row r="283" spans="1:21">
      <c r="A283" s="65"/>
      <c r="D283" s="65"/>
    </row>
    <row r="284" spans="1:21" s="149" customFormat="1" ht="13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</row>
    <row r="285" spans="1:21">
      <c r="A285" s="65"/>
      <c r="D285" s="65"/>
    </row>
    <row r="286" spans="1:21">
      <c r="A286" s="65"/>
      <c r="D286" s="65"/>
    </row>
    <row r="287" spans="1:21" s="149" customFormat="1" ht="13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</row>
    <row r="288" spans="1:21">
      <c r="A288" s="65"/>
      <c r="D288" s="65"/>
    </row>
    <row r="289" spans="1:21">
      <c r="A289" s="65"/>
      <c r="D289" s="65"/>
    </row>
    <row r="290" spans="1:21" s="149" customFormat="1" ht="13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</row>
    <row r="291" spans="1:21">
      <c r="A291" s="65"/>
      <c r="D291" s="65"/>
    </row>
    <row r="292" spans="1:21">
      <c r="A292" s="65"/>
      <c r="D292" s="65"/>
    </row>
    <row r="293" spans="1:21" s="149" customFormat="1" ht="13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</row>
    <row r="294" spans="1:21">
      <c r="A294" s="65"/>
      <c r="D294" s="65"/>
    </row>
    <row r="295" spans="1:21">
      <c r="A295" s="65"/>
      <c r="D295" s="65"/>
    </row>
    <row r="296" spans="1:21" s="149" customFormat="1" ht="13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</row>
    <row r="297" spans="1:21">
      <c r="A297" s="65"/>
      <c r="D297" s="65"/>
    </row>
    <row r="298" spans="1:21">
      <c r="A298" s="65"/>
      <c r="D298" s="65"/>
    </row>
    <row r="299" spans="1:21" s="149" customFormat="1" ht="13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</row>
    <row r="300" spans="1:21">
      <c r="A300" s="65"/>
      <c r="D300" s="65"/>
    </row>
    <row r="301" spans="1:21">
      <c r="A301" s="65"/>
      <c r="D301" s="65"/>
    </row>
    <row r="302" spans="1:21" s="149" customFormat="1" ht="13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</row>
    <row r="303" spans="1:21">
      <c r="A303" s="65"/>
      <c r="D303" s="65"/>
    </row>
    <row r="304" spans="1:21">
      <c r="A304" s="65"/>
      <c r="D304" s="65"/>
    </row>
    <row r="305" spans="1:21" s="149" customFormat="1" ht="13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</row>
    <row r="306" spans="1:21">
      <c r="A306" s="65"/>
      <c r="D306" s="65"/>
    </row>
    <row r="307" spans="1:21">
      <c r="A307" s="65"/>
      <c r="D307" s="65"/>
    </row>
    <row r="308" spans="1:21" s="149" customFormat="1" ht="13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</row>
    <row r="309" spans="1:21">
      <c r="A309" s="65"/>
      <c r="D309" s="65"/>
    </row>
    <row r="310" spans="1:21">
      <c r="A310" s="65"/>
      <c r="D310" s="65"/>
    </row>
    <row r="311" spans="1:21" s="149" customFormat="1" ht="13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</row>
    <row r="312" spans="1:21">
      <c r="A312" s="65"/>
      <c r="D312" s="65"/>
    </row>
    <row r="313" spans="1:21">
      <c r="A313" s="65"/>
      <c r="D313" s="65"/>
    </row>
    <row r="314" spans="1:21" s="149" customFormat="1" ht="13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</row>
    <row r="315" spans="1:21">
      <c r="A315" s="65"/>
      <c r="D315" s="65"/>
    </row>
    <row r="316" spans="1:21">
      <c r="A316" s="65"/>
      <c r="D316" s="65"/>
    </row>
    <row r="317" spans="1:21" s="149" customFormat="1" ht="13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</row>
    <row r="318" spans="1:21">
      <c r="A318" s="65"/>
      <c r="D318" s="65"/>
    </row>
    <row r="319" spans="1:21">
      <c r="A319" s="65"/>
      <c r="D319" s="65"/>
    </row>
    <row r="320" spans="1:21" s="149" customFormat="1" ht="13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</row>
    <row r="321" spans="1:21">
      <c r="A321" s="65"/>
      <c r="D321" s="65"/>
    </row>
    <row r="322" spans="1:21">
      <c r="A322" s="65"/>
      <c r="D322" s="65"/>
    </row>
    <row r="323" spans="1:21" s="149" customFormat="1" ht="13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</row>
    <row r="324" spans="1:21">
      <c r="A324" s="65"/>
      <c r="D324" s="65"/>
    </row>
    <row r="325" spans="1:21">
      <c r="A325" s="65"/>
      <c r="D325" s="65"/>
    </row>
    <row r="326" spans="1:21" s="149" customFormat="1" ht="13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</row>
    <row r="327" spans="1:21">
      <c r="A327" s="65"/>
      <c r="D327" s="65"/>
    </row>
    <row r="328" spans="1:21">
      <c r="A328" s="65"/>
      <c r="D328" s="65"/>
    </row>
    <row r="329" spans="1:21" s="149" customFormat="1" ht="13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</row>
    <row r="330" spans="1:21">
      <c r="A330" s="65"/>
      <c r="D330" s="65"/>
    </row>
    <row r="331" spans="1:21">
      <c r="A331" s="65"/>
      <c r="D331" s="65"/>
    </row>
    <row r="332" spans="1:21" s="149" customFormat="1" ht="13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</row>
    <row r="333" spans="1:21">
      <c r="A333" s="65"/>
      <c r="D333" s="65"/>
    </row>
    <row r="334" spans="1:21">
      <c r="A334" s="65"/>
      <c r="D334" s="65"/>
    </row>
    <row r="335" spans="1:21" s="149" customFormat="1" ht="13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</row>
    <row r="336" spans="1:21">
      <c r="A336" s="65"/>
      <c r="D336" s="65"/>
    </row>
    <row r="337" spans="1:21">
      <c r="A337" s="65"/>
      <c r="D337" s="65"/>
    </row>
    <row r="338" spans="1:21" s="149" customFormat="1" ht="13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</row>
    <row r="339" spans="1:21">
      <c r="A339" s="65"/>
      <c r="D339" s="65"/>
    </row>
    <row r="340" spans="1:21">
      <c r="A340" s="65"/>
      <c r="D340" s="65"/>
    </row>
    <row r="341" spans="1:21" s="149" customFormat="1" ht="13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</row>
    <row r="342" spans="1:21">
      <c r="A342" s="65"/>
      <c r="D342" s="65"/>
    </row>
    <row r="343" spans="1:21">
      <c r="A343" s="65"/>
      <c r="D343" s="65"/>
    </row>
    <row r="344" spans="1:21" s="149" customFormat="1" ht="13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</row>
    <row r="345" spans="1:21">
      <c r="A345" s="65"/>
      <c r="D345" s="65"/>
    </row>
    <row r="346" spans="1:21">
      <c r="A346" s="65"/>
      <c r="D346" s="65"/>
    </row>
    <row r="347" spans="1:21" s="149" customFormat="1" ht="13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</row>
    <row r="348" spans="1:21">
      <c r="A348" s="65"/>
      <c r="D348" s="65"/>
    </row>
    <row r="349" spans="1:21">
      <c r="A349" s="65"/>
      <c r="D349" s="65"/>
    </row>
    <row r="350" spans="1:21" s="149" customFormat="1" ht="13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</row>
    <row r="351" spans="1:21">
      <c r="A351" s="65"/>
      <c r="D351" s="65"/>
    </row>
    <row r="352" spans="1:21">
      <c r="A352" s="65"/>
      <c r="D352" s="65"/>
    </row>
    <row r="353" spans="1:21" s="149" customFormat="1" ht="13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</row>
    <row r="354" spans="1:21">
      <c r="A354" s="65"/>
      <c r="D354" s="65"/>
    </row>
    <row r="355" spans="1:21">
      <c r="A355" s="65"/>
      <c r="D355" s="65"/>
    </row>
    <row r="356" spans="1:21" s="149" customFormat="1" ht="13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</row>
    <row r="357" spans="1:21">
      <c r="A357" s="65"/>
      <c r="D357" s="65"/>
    </row>
    <row r="358" spans="1:21">
      <c r="A358" s="65"/>
      <c r="D358" s="65"/>
    </row>
    <row r="359" spans="1:21" s="149" customFormat="1" ht="13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</row>
    <row r="360" spans="1:21">
      <c r="A360" s="65"/>
      <c r="D360" s="65"/>
    </row>
    <row r="361" spans="1:21">
      <c r="A361" s="65"/>
      <c r="D361" s="65"/>
    </row>
    <row r="362" spans="1:21" s="149" customFormat="1" ht="13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</row>
    <row r="363" spans="1:21">
      <c r="A363" s="65"/>
      <c r="D363" s="65"/>
    </row>
    <row r="364" spans="1:21">
      <c r="A364" s="65"/>
      <c r="D364" s="65"/>
    </row>
    <row r="365" spans="1:21" s="149" customFormat="1" ht="13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</row>
    <row r="366" spans="1:21">
      <c r="A366" s="65"/>
      <c r="D366" s="65"/>
    </row>
    <row r="367" spans="1:21">
      <c r="A367" s="65"/>
      <c r="D367" s="65"/>
    </row>
    <row r="368" spans="1:21" s="149" customFormat="1" ht="13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</row>
    <row r="369" spans="1:21">
      <c r="A369" s="65"/>
      <c r="D369" s="65"/>
    </row>
    <row r="370" spans="1:21">
      <c r="A370" s="65"/>
      <c r="D370" s="65"/>
    </row>
    <row r="371" spans="1:21" s="149" customFormat="1" ht="13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</row>
    <row r="372" spans="1:21">
      <c r="A372" s="65"/>
      <c r="D372" s="65"/>
    </row>
    <row r="373" spans="1:21">
      <c r="A373" s="65"/>
      <c r="D373" s="65"/>
    </row>
    <row r="374" spans="1:21" s="149" customFormat="1" ht="13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</row>
    <row r="375" spans="1:21">
      <c r="A375" s="65"/>
      <c r="D375" s="65"/>
    </row>
    <row r="376" spans="1:21">
      <c r="A376" s="65"/>
      <c r="D376" s="65"/>
    </row>
    <row r="377" spans="1:21" s="149" customFormat="1" ht="13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</row>
    <row r="378" spans="1:21">
      <c r="A378" s="65"/>
      <c r="D378" s="65"/>
    </row>
    <row r="379" spans="1:21">
      <c r="A379" s="65"/>
      <c r="D379" s="65"/>
    </row>
    <row r="380" spans="1:21" s="149" customFormat="1" ht="13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</row>
    <row r="381" spans="1:21">
      <c r="A381" s="65"/>
      <c r="D381" s="65"/>
    </row>
    <row r="382" spans="1:21">
      <c r="A382" s="65"/>
      <c r="D382" s="65"/>
    </row>
    <row r="383" spans="1:21" s="149" customFormat="1" ht="13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</row>
    <row r="384" spans="1:21">
      <c r="A384" s="65"/>
      <c r="D384" s="65"/>
    </row>
    <row r="385" spans="1:21">
      <c r="A385" s="65"/>
      <c r="D385" s="65"/>
    </row>
    <row r="386" spans="1:21" s="149" customFormat="1" ht="13">
      <c r="A386" s="65"/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</row>
    <row r="387" spans="1:21">
      <c r="A387" s="65"/>
      <c r="D387" s="65"/>
    </row>
    <row r="388" spans="1:21">
      <c r="A388" s="65"/>
      <c r="D388" s="65"/>
    </row>
    <row r="389" spans="1:21" s="149" customFormat="1" ht="13">
      <c r="A389" s="65"/>
      <c r="B389" s="65"/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</row>
    <row r="390" spans="1:21">
      <c r="A390" s="65"/>
      <c r="D390" s="65"/>
    </row>
    <row r="391" spans="1:21">
      <c r="A391" s="65"/>
      <c r="D391" s="65"/>
    </row>
    <row r="392" spans="1:21" s="149" customFormat="1" ht="13">
      <c r="A392" s="65"/>
      <c r="B392" s="65"/>
      <c r="C392" s="65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</row>
    <row r="393" spans="1:21">
      <c r="A393" s="65"/>
      <c r="D393" s="65"/>
    </row>
    <row r="394" spans="1:21">
      <c r="A394" s="65"/>
      <c r="D394" s="65"/>
    </row>
    <row r="395" spans="1:21" s="149" customFormat="1" ht="13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</row>
    <row r="396" spans="1:21">
      <c r="A396" s="65"/>
      <c r="D396" s="65"/>
    </row>
    <row r="397" spans="1:21">
      <c r="A397" s="65"/>
      <c r="D397" s="65"/>
    </row>
    <row r="398" spans="1:21" s="149" customFormat="1" ht="13">
      <c r="A398" s="65"/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</row>
    <row r="399" spans="1:21">
      <c r="A399" s="65"/>
      <c r="D399" s="65"/>
    </row>
    <row r="400" spans="1:21">
      <c r="A400" s="65"/>
      <c r="D400" s="65"/>
    </row>
    <row r="401" spans="1:21" s="149" customFormat="1" ht="13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</row>
    <row r="402" spans="1:21">
      <c r="A402" s="65"/>
      <c r="D402" s="65"/>
    </row>
    <row r="403" spans="1:21">
      <c r="A403" s="65"/>
      <c r="D403" s="65"/>
    </row>
    <row r="404" spans="1:21" s="149" customFormat="1" ht="13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</row>
    <row r="405" spans="1:21">
      <c r="A405" s="65"/>
      <c r="D405" s="65"/>
    </row>
    <row r="406" spans="1:21">
      <c r="A406" s="65"/>
      <c r="D406" s="65"/>
    </row>
    <row r="407" spans="1:21" s="149" customFormat="1" ht="13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</row>
    <row r="408" spans="1:21">
      <c r="A408" s="65"/>
      <c r="D408" s="65"/>
    </row>
    <row r="409" spans="1:21">
      <c r="A409" s="65"/>
      <c r="D409" s="65"/>
    </row>
    <row r="410" spans="1:21" s="149" customFormat="1" ht="13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</row>
    <row r="411" spans="1:21">
      <c r="A411" s="65"/>
      <c r="D411" s="65"/>
    </row>
    <row r="412" spans="1:21">
      <c r="A412" s="65"/>
      <c r="D412" s="65"/>
    </row>
    <row r="413" spans="1:21" s="149" customFormat="1" ht="13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</row>
    <row r="414" spans="1:21">
      <c r="A414" s="65"/>
      <c r="D414" s="65"/>
    </row>
    <row r="415" spans="1:21">
      <c r="A415" s="65"/>
      <c r="D415" s="65"/>
    </row>
    <row r="416" spans="1:21" s="149" customFormat="1" ht="13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</row>
    <row r="417" spans="1:21">
      <c r="A417" s="65"/>
      <c r="D417" s="65"/>
    </row>
    <row r="418" spans="1:21">
      <c r="A418" s="65"/>
      <c r="D418" s="65"/>
    </row>
    <row r="419" spans="1:21" s="149" customFormat="1" ht="13">
      <c r="A419" s="65"/>
      <c r="B419" s="65"/>
      <c r="C419" s="65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</row>
    <row r="420" spans="1:21">
      <c r="A420" s="65"/>
      <c r="D420" s="65"/>
    </row>
    <row r="421" spans="1:21">
      <c r="A421" s="65"/>
      <c r="D421" s="65"/>
    </row>
    <row r="422" spans="1:21" s="149" customFormat="1" ht="13">
      <c r="A422" s="65"/>
      <c r="B422" s="65"/>
      <c r="C422" s="65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</row>
    <row r="423" spans="1:21">
      <c r="A423" s="65"/>
      <c r="D423" s="65"/>
    </row>
    <row r="424" spans="1:21">
      <c r="A424" s="65"/>
      <c r="D424" s="65"/>
    </row>
    <row r="425" spans="1:21" s="149" customFormat="1" ht="13">
      <c r="A425" s="65"/>
      <c r="B425" s="65"/>
      <c r="C425" s="65"/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</row>
    <row r="426" spans="1:21">
      <c r="A426" s="65"/>
      <c r="D426" s="65"/>
    </row>
    <row r="427" spans="1:21">
      <c r="A427" s="65"/>
      <c r="D427" s="65"/>
    </row>
    <row r="428" spans="1:21" s="149" customFormat="1" ht="13">
      <c r="A428" s="65"/>
      <c r="B428" s="65"/>
      <c r="C428" s="65"/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</row>
    <row r="429" spans="1:21">
      <c r="A429" s="65"/>
      <c r="D429" s="65"/>
    </row>
    <row r="430" spans="1:21">
      <c r="A430" s="65"/>
      <c r="D430" s="65"/>
    </row>
    <row r="431" spans="1:21" s="149" customFormat="1" ht="13">
      <c r="A431" s="65"/>
      <c r="B431" s="65"/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</row>
    <row r="432" spans="1:21">
      <c r="A432" s="65"/>
      <c r="D432" s="65"/>
    </row>
    <row r="433" spans="1:21">
      <c r="A433" s="65"/>
      <c r="D433" s="65"/>
    </row>
    <row r="434" spans="1:21" s="149" customFormat="1" ht="13">
      <c r="A434" s="65"/>
      <c r="B434" s="65"/>
      <c r="C434" s="65"/>
      <c r="D434" s="65"/>
      <c r="E434" s="65"/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</row>
    <row r="435" spans="1:21">
      <c r="A435" s="65"/>
      <c r="D435" s="65"/>
    </row>
    <row r="436" spans="1:21">
      <c r="A436" s="65"/>
      <c r="D436" s="65"/>
    </row>
    <row r="437" spans="1:21" s="149" customFormat="1" ht="13">
      <c r="A437" s="65"/>
      <c r="B437" s="65"/>
      <c r="C437" s="65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</row>
    <row r="438" spans="1:21">
      <c r="A438" s="65"/>
      <c r="D438" s="65"/>
    </row>
    <row r="439" spans="1:21">
      <c r="A439" s="65"/>
      <c r="D439" s="65"/>
    </row>
    <row r="440" spans="1:21" s="149" customFormat="1" ht="13">
      <c r="A440" s="65"/>
      <c r="B440" s="65"/>
      <c r="C440" s="65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</row>
    <row r="441" spans="1:21">
      <c r="A441" s="65"/>
      <c r="D441" s="65"/>
    </row>
    <row r="442" spans="1:21">
      <c r="A442" s="65"/>
      <c r="D442" s="65"/>
    </row>
    <row r="443" spans="1:21" s="149" customFormat="1" ht="13">
      <c r="A443" s="65"/>
      <c r="B443" s="65"/>
      <c r="C443" s="65"/>
      <c r="D443" s="65"/>
      <c r="E443" s="65"/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</row>
    <row r="444" spans="1:21">
      <c r="A444" s="65"/>
      <c r="D444" s="65"/>
    </row>
    <row r="445" spans="1:21">
      <c r="A445" s="65"/>
      <c r="D445" s="65"/>
    </row>
    <row r="446" spans="1:21" s="149" customFormat="1" ht="13">
      <c r="A446" s="65"/>
      <c r="B446" s="65"/>
      <c r="C446" s="65"/>
      <c r="D446" s="65"/>
      <c r="E446" s="65"/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</row>
    <row r="447" spans="1:21">
      <c r="A447" s="65"/>
      <c r="D447" s="65"/>
    </row>
    <row r="448" spans="1:21">
      <c r="A448" s="65"/>
      <c r="D448" s="65"/>
    </row>
    <row r="449" spans="1:21" s="149" customFormat="1" ht="13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</row>
    <row r="450" spans="1:21">
      <c r="A450" s="65"/>
      <c r="D450" s="65"/>
    </row>
    <row r="451" spans="1:21">
      <c r="A451" s="65"/>
      <c r="D451" s="65"/>
    </row>
    <row r="452" spans="1:21" s="149" customFormat="1" ht="13">
      <c r="A452" s="65"/>
      <c r="B452" s="65"/>
      <c r="C452" s="65"/>
      <c r="D452" s="65"/>
      <c r="E452" s="65"/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</row>
    <row r="453" spans="1:21">
      <c r="A453" s="65"/>
      <c r="D453" s="65"/>
    </row>
    <row r="454" spans="1:21">
      <c r="A454" s="65"/>
      <c r="D454" s="65"/>
    </row>
    <row r="455" spans="1:21" s="149" customFormat="1" ht="13">
      <c r="A455" s="65"/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</row>
    <row r="456" spans="1:21">
      <c r="A456" s="65"/>
      <c r="D456" s="65"/>
    </row>
    <row r="457" spans="1:21">
      <c r="A457" s="65"/>
      <c r="D457" s="65"/>
    </row>
    <row r="458" spans="1:21" s="149" customFormat="1" ht="13">
      <c r="A458" s="65"/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</row>
    <row r="459" spans="1:21">
      <c r="A459" s="65"/>
      <c r="D459" s="65"/>
    </row>
    <row r="460" spans="1:21">
      <c r="A460" s="65"/>
      <c r="D460" s="65"/>
    </row>
    <row r="461" spans="1:21" s="149" customFormat="1" ht="13">
      <c r="A461" s="65"/>
      <c r="B461" s="65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</row>
    <row r="462" spans="1:21">
      <c r="A462" s="65"/>
      <c r="D462" s="65"/>
    </row>
    <row r="463" spans="1:21">
      <c r="A463" s="65"/>
      <c r="D463" s="65"/>
    </row>
    <row r="464" spans="1:21" s="149" customFormat="1" ht="13">
      <c r="A464" s="65"/>
      <c r="B464" s="65"/>
      <c r="C464" s="65"/>
      <c r="D464" s="65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</row>
    <row r="465" spans="1:21">
      <c r="A465" s="65"/>
      <c r="D465" s="65"/>
    </row>
    <row r="466" spans="1:21">
      <c r="A466" s="65"/>
      <c r="D466" s="65"/>
    </row>
    <row r="467" spans="1:21" s="149" customFormat="1" ht="13">
      <c r="A467" s="65"/>
      <c r="B467" s="65"/>
      <c r="C467" s="65"/>
      <c r="D467" s="65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</row>
    <row r="468" spans="1:21">
      <c r="A468" s="65"/>
      <c r="D468" s="65"/>
    </row>
    <row r="469" spans="1:21">
      <c r="A469" s="65"/>
      <c r="D469" s="65"/>
    </row>
    <row r="470" spans="1:21" s="149" customFormat="1" ht="13">
      <c r="A470" s="65"/>
      <c r="B470" s="65"/>
      <c r="C470" s="65"/>
      <c r="D470" s="65"/>
      <c r="E470" s="65"/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</row>
    <row r="471" spans="1:21">
      <c r="A471" s="65"/>
      <c r="D471" s="65"/>
    </row>
    <row r="472" spans="1:21">
      <c r="A472" s="65"/>
      <c r="D472" s="65"/>
    </row>
    <row r="473" spans="1:21" s="149" customFormat="1" ht="13">
      <c r="A473" s="65"/>
      <c r="B473" s="65"/>
      <c r="C473" s="65"/>
      <c r="D473" s="65"/>
      <c r="E473" s="65"/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</row>
    <row r="474" spans="1:21">
      <c r="A474" s="65"/>
      <c r="D474" s="65"/>
    </row>
    <row r="475" spans="1:21">
      <c r="A475" s="65"/>
      <c r="D475" s="65"/>
    </row>
    <row r="476" spans="1:21" s="149" customFormat="1" ht="13">
      <c r="A476" s="65"/>
      <c r="B476" s="65"/>
      <c r="C476" s="65"/>
      <c r="D476" s="65"/>
      <c r="E476" s="65"/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</row>
    <row r="477" spans="1:21">
      <c r="A477" s="65"/>
      <c r="D477" s="65"/>
    </row>
    <row r="478" spans="1:21">
      <c r="A478" s="65"/>
      <c r="D478" s="65"/>
    </row>
    <row r="479" spans="1:21" s="149" customFormat="1" ht="13">
      <c r="A479" s="65"/>
      <c r="B479" s="65"/>
      <c r="C479" s="65"/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</row>
    <row r="480" spans="1:21">
      <c r="A480" s="65"/>
      <c r="D480" s="65"/>
    </row>
    <row r="481" spans="1:21">
      <c r="A481" s="65"/>
      <c r="D481" s="65"/>
    </row>
    <row r="482" spans="1:21" s="149" customFormat="1" ht="13">
      <c r="A482" s="65"/>
      <c r="B482" s="65"/>
      <c r="C482" s="65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</row>
    <row r="483" spans="1:21">
      <c r="A483" s="65"/>
      <c r="D483" s="65"/>
    </row>
    <row r="484" spans="1:21">
      <c r="A484" s="65"/>
      <c r="D484" s="65"/>
    </row>
    <row r="485" spans="1:21" s="149" customFormat="1" ht="13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</row>
    <row r="486" spans="1:21">
      <c r="A486" s="65"/>
      <c r="D486" s="65"/>
    </row>
    <row r="487" spans="1:21">
      <c r="A487" s="65"/>
      <c r="D487" s="65"/>
    </row>
    <row r="488" spans="1:21" s="149" customFormat="1" ht="13">
      <c r="A488" s="65"/>
      <c r="B488" s="65"/>
      <c r="C488" s="65"/>
      <c r="D488" s="65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</row>
    <row r="489" spans="1:21">
      <c r="A489" s="65"/>
      <c r="D489" s="65"/>
    </row>
    <row r="490" spans="1:21">
      <c r="A490" s="65"/>
      <c r="D490" s="65"/>
    </row>
    <row r="491" spans="1:21" s="149" customFormat="1" ht="13">
      <c r="A491" s="65"/>
      <c r="B491" s="65"/>
      <c r="C491" s="65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</row>
    <row r="492" spans="1:21">
      <c r="A492" s="65"/>
      <c r="D492" s="65"/>
    </row>
    <row r="493" spans="1:21">
      <c r="A493" s="65"/>
      <c r="D493" s="65"/>
    </row>
    <row r="494" spans="1:21" s="149" customFormat="1" ht="13">
      <c r="A494" s="65"/>
      <c r="B494" s="65"/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</row>
    <row r="495" spans="1:21">
      <c r="A495" s="65"/>
      <c r="D495" s="65"/>
    </row>
    <row r="496" spans="1:21">
      <c r="A496" s="65"/>
      <c r="D496" s="65"/>
    </row>
    <row r="497" spans="1:21" s="149" customFormat="1" ht="13">
      <c r="A497" s="65"/>
      <c r="B497" s="65"/>
      <c r="C497" s="65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</row>
    <row r="498" spans="1:21">
      <c r="A498" s="65"/>
      <c r="D498" s="65"/>
    </row>
    <row r="499" spans="1:21">
      <c r="A499" s="65"/>
      <c r="D499" s="65"/>
    </row>
    <row r="500" spans="1:21" s="149" customFormat="1" ht="13">
      <c r="A500" s="65"/>
      <c r="B500" s="65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</row>
    <row r="501" spans="1:21">
      <c r="A501" s="65"/>
      <c r="D501" s="65"/>
    </row>
    <row r="502" spans="1:21">
      <c r="A502" s="65"/>
      <c r="D502" s="65"/>
    </row>
    <row r="503" spans="1:21" s="149" customFormat="1" ht="13">
      <c r="A503" s="65"/>
      <c r="B503" s="65"/>
      <c r="C503" s="65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</row>
    <row r="504" spans="1:21">
      <c r="A504" s="65"/>
      <c r="D504" s="65"/>
    </row>
    <row r="505" spans="1:21">
      <c r="A505" s="65"/>
      <c r="D505" s="65"/>
    </row>
    <row r="506" spans="1:21" s="149" customFormat="1" ht="13">
      <c r="A506" s="65"/>
      <c r="B506" s="65"/>
      <c r="C506" s="65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</row>
    <row r="507" spans="1:21">
      <c r="A507" s="65"/>
      <c r="D507" s="65"/>
    </row>
    <row r="508" spans="1:21">
      <c r="A508" s="65"/>
      <c r="D508" s="65"/>
    </row>
    <row r="509" spans="1:21" s="149" customFormat="1" ht="13">
      <c r="A509" s="65"/>
      <c r="B509" s="65"/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</row>
    <row r="510" spans="1:21">
      <c r="A510" s="65"/>
      <c r="D510" s="65"/>
    </row>
    <row r="511" spans="1:21">
      <c r="A511" s="65"/>
      <c r="D511" s="65"/>
    </row>
    <row r="512" spans="1:21" s="149" customFormat="1" ht="13">
      <c r="A512" s="65"/>
      <c r="B512" s="65"/>
      <c r="C512" s="65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</row>
    <row r="513" spans="1:21">
      <c r="A513" s="65"/>
      <c r="D513" s="65"/>
    </row>
    <row r="514" spans="1:21">
      <c r="A514" s="65"/>
      <c r="D514" s="65"/>
    </row>
    <row r="515" spans="1:21" s="149" customFormat="1" ht="13">
      <c r="A515" s="65"/>
      <c r="B515" s="65"/>
      <c r="C515" s="65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</row>
    <row r="516" spans="1:21">
      <c r="A516" s="65"/>
      <c r="D516" s="65"/>
    </row>
    <row r="517" spans="1:21">
      <c r="A517" s="65"/>
      <c r="D517" s="65"/>
    </row>
    <row r="518" spans="1:21" s="149" customFormat="1" ht="13">
      <c r="A518" s="65"/>
      <c r="B518" s="65"/>
      <c r="C518" s="65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</row>
    <row r="519" spans="1:21">
      <c r="A519" s="65"/>
      <c r="D519" s="65"/>
    </row>
    <row r="520" spans="1:21">
      <c r="A520" s="65"/>
      <c r="D520" s="65"/>
    </row>
    <row r="521" spans="1:21" s="149" customFormat="1" ht="13">
      <c r="A521" s="65"/>
      <c r="B521" s="65"/>
      <c r="C521" s="65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</row>
    <row r="522" spans="1:21">
      <c r="A522" s="65"/>
      <c r="D522" s="65"/>
    </row>
    <row r="523" spans="1:21">
      <c r="A523" s="65"/>
      <c r="D523" s="65"/>
    </row>
    <row r="524" spans="1:21" s="149" customFormat="1" ht="13">
      <c r="A524" s="65"/>
      <c r="B524" s="65"/>
      <c r="C524" s="65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</row>
    <row r="525" spans="1:21">
      <c r="A525" s="65"/>
      <c r="D525" s="65"/>
    </row>
    <row r="526" spans="1:21">
      <c r="A526" s="65"/>
      <c r="D526" s="65"/>
    </row>
    <row r="527" spans="1:21" s="149" customFormat="1" ht="13">
      <c r="A527" s="65"/>
      <c r="B527" s="65"/>
      <c r="C527" s="65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</row>
    <row r="528" spans="1:21">
      <c r="A528" s="65"/>
      <c r="D528" s="65"/>
    </row>
    <row r="529" spans="1:21">
      <c r="A529" s="65"/>
      <c r="D529" s="65"/>
    </row>
    <row r="530" spans="1:21" s="149" customFormat="1" ht="13">
      <c r="A530" s="65"/>
      <c r="B530" s="65"/>
      <c r="C530" s="65"/>
      <c r="D530" s="65"/>
      <c r="E530" s="65"/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</row>
    <row r="531" spans="1:21">
      <c r="A531" s="65"/>
      <c r="D531" s="65"/>
    </row>
    <row r="532" spans="1:21">
      <c r="A532" s="65"/>
      <c r="D532" s="65"/>
    </row>
    <row r="533" spans="1:21" s="149" customFormat="1" ht="13">
      <c r="A533" s="65"/>
      <c r="B533" s="65"/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</row>
    <row r="534" spans="1:21">
      <c r="A534" s="65"/>
      <c r="D534" s="65"/>
    </row>
    <row r="535" spans="1:21">
      <c r="A535" s="65"/>
      <c r="D535" s="65"/>
    </row>
    <row r="536" spans="1:21" s="149" customFormat="1" ht="13">
      <c r="A536" s="65"/>
      <c r="B536" s="65"/>
      <c r="C536" s="65"/>
      <c r="D536" s="65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</row>
    <row r="537" spans="1:21">
      <c r="A537" s="65"/>
      <c r="D537" s="65"/>
    </row>
    <row r="538" spans="1:21">
      <c r="A538" s="65"/>
      <c r="D538" s="65"/>
    </row>
    <row r="539" spans="1:21" s="149" customFormat="1" ht="13">
      <c r="A539" s="65"/>
      <c r="B539" s="65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</row>
    <row r="540" spans="1:21">
      <c r="A540" s="65"/>
      <c r="D540" s="65"/>
    </row>
    <row r="541" spans="1:21">
      <c r="A541" s="65"/>
      <c r="D541" s="65"/>
    </row>
    <row r="542" spans="1:21" s="149" customFormat="1" ht="13">
      <c r="A542" s="65"/>
      <c r="B542" s="65"/>
      <c r="C542" s="65"/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</row>
    <row r="543" spans="1:21">
      <c r="A543" s="65"/>
      <c r="D543" s="65"/>
    </row>
    <row r="544" spans="1:21">
      <c r="A544" s="65"/>
      <c r="D544" s="65"/>
    </row>
    <row r="545" spans="1:21" s="149" customFormat="1" ht="13">
      <c r="A545" s="65"/>
      <c r="B545" s="65"/>
      <c r="C545" s="65"/>
      <c r="D545" s="65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</row>
    <row r="546" spans="1:21">
      <c r="A546" s="65"/>
      <c r="D546" s="65"/>
    </row>
    <row r="547" spans="1:21">
      <c r="A547" s="65"/>
      <c r="D547" s="65"/>
    </row>
    <row r="548" spans="1:21" s="149" customFormat="1" ht="13">
      <c r="A548" s="65"/>
      <c r="B548" s="65"/>
      <c r="C548" s="65"/>
      <c r="D548" s="65"/>
      <c r="E548" s="65"/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</row>
    <row r="549" spans="1:21">
      <c r="A549" s="65"/>
      <c r="D549" s="65"/>
    </row>
    <row r="550" spans="1:21">
      <c r="A550" s="65"/>
      <c r="D550" s="65"/>
    </row>
    <row r="551" spans="1:21" s="149" customFormat="1" ht="13">
      <c r="A551" s="65"/>
      <c r="B551" s="65"/>
      <c r="C551" s="65"/>
      <c r="D551" s="65"/>
      <c r="E551" s="65"/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</row>
    <row r="552" spans="1:21">
      <c r="A552" s="65"/>
      <c r="D552" s="65"/>
    </row>
    <row r="553" spans="1:21">
      <c r="A553" s="65"/>
      <c r="D553" s="65"/>
    </row>
    <row r="554" spans="1:21" s="149" customFormat="1" ht="13">
      <c r="A554" s="65"/>
      <c r="B554" s="65"/>
      <c r="C554" s="65"/>
      <c r="D554" s="65"/>
      <c r="E554" s="65"/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</row>
    <row r="555" spans="1:21">
      <c r="A555" s="65"/>
      <c r="D555" s="65"/>
    </row>
    <row r="556" spans="1:21">
      <c r="A556" s="65"/>
      <c r="D556" s="65"/>
    </row>
    <row r="557" spans="1:21" s="149" customFormat="1" ht="13">
      <c r="A557" s="65"/>
      <c r="B557" s="65"/>
      <c r="C557" s="65"/>
      <c r="D557" s="65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</row>
    <row r="558" spans="1:21">
      <c r="A558" s="65"/>
      <c r="D558" s="65"/>
    </row>
    <row r="559" spans="1:21">
      <c r="A559" s="65"/>
      <c r="D559" s="65"/>
    </row>
    <row r="560" spans="1:21" s="149" customFormat="1" ht="13">
      <c r="A560" s="65"/>
      <c r="B560" s="65"/>
      <c r="C560" s="65"/>
      <c r="D560" s="65"/>
      <c r="E560" s="65"/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</row>
    <row r="561" spans="1:21">
      <c r="A561" s="65"/>
      <c r="D561" s="65"/>
    </row>
    <row r="562" spans="1:21">
      <c r="A562" s="65"/>
      <c r="D562" s="65"/>
    </row>
    <row r="563" spans="1:21" s="149" customFormat="1" ht="13">
      <c r="A563" s="65"/>
      <c r="B563" s="65"/>
      <c r="C563" s="65"/>
      <c r="D563" s="65"/>
      <c r="E563" s="65"/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</row>
    <row r="564" spans="1:21">
      <c r="A564" s="65"/>
      <c r="D564" s="65"/>
    </row>
    <row r="565" spans="1:21">
      <c r="A565" s="65"/>
      <c r="D565" s="65"/>
    </row>
    <row r="566" spans="1:21" s="149" customFormat="1" ht="13">
      <c r="A566" s="65"/>
      <c r="B566" s="65"/>
      <c r="C566" s="65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</row>
    <row r="567" spans="1:21">
      <c r="A567" s="65"/>
      <c r="D567" s="65"/>
    </row>
    <row r="568" spans="1:21">
      <c r="A568" s="65"/>
      <c r="D568" s="65"/>
    </row>
    <row r="569" spans="1:21" s="149" customFormat="1" ht="13">
      <c r="A569" s="65"/>
      <c r="B569" s="65"/>
      <c r="C569" s="65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</row>
    <row r="570" spans="1:21">
      <c r="A570" s="65"/>
      <c r="D570" s="65"/>
    </row>
    <row r="571" spans="1:21">
      <c r="A571" s="65"/>
      <c r="D571" s="65"/>
    </row>
    <row r="572" spans="1:21" s="149" customFormat="1" ht="13">
      <c r="A572" s="65"/>
      <c r="B572" s="65"/>
      <c r="C572" s="65"/>
      <c r="D572" s="65"/>
      <c r="E572" s="65"/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</row>
    <row r="573" spans="1:21">
      <c r="A573" s="65"/>
      <c r="D573" s="65"/>
    </row>
    <row r="574" spans="1:21">
      <c r="A574" s="65"/>
      <c r="D574" s="65"/>
    </row>
    <row r="575" spans="1:21" s="149" customFormat="1" ht="13">
      <c r="A575" s="65"/>
      <c r="B575" s="65"/>
      <c r="C575" s="65"/>
      <c r="D575" s="65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</row>
    <row r="576" spans="1:21">
      <c r="A576" s="65"/>
      <c r="D576" s="65"/>
    </row>
    <row r="577" spans="1:21">
      <c r="A577" s="65"/>
      <c r="D577" s="65"/>
    </row>
    <row r="578" spans="1:21" s="149" customFormat="1" ht="13">
      <c r="A578" s="65"/>
      <c r="B578" s="65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</row>
    <row r="579" spans="1:21">
      <c r="A579" s="65"/>
      <c r="D579" s="65"/>
    </row>
    <row r="580" spans="1:21">
      <c r="A580" s="65"/>
      <c r="D580" s="65"/>
    </row>
    <row r="581" spans="1:21" s="149" customFormat="1" ht="13">
      <c r="A581" s="65"/>
      <c r="B581" s="65"/>
      <c r="C581" s="65"/>
      <c r="D581" s="65"/>
      <c r="E581" s="65"/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</row>
    <row r="582" spans="1:21">
      <c r="A582" s="65"/>
      <c r="D582" s="65"/>
    </row>
    <row r="583" spans="1:21">
      <c r="A583" s="65"/>
      <c r="D583" s="65"/>
    </row>
    <row r="584" spans="1:21" s="149" customFormat="1" ht="13">
      <c r="A584" s="65"/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</row>
    <row r="585" spans="1:21">
      <c r="A585" s="65"/>
      <c r="D585" s="65"/>
    </row>
    <row r="586" spans="1:21">
      <c r="A586" s="65"/>
      <c r="D586" s="65"/>
    </row>
    <row r="587" spans="1:21" s="149" customFormat="1" ht="13">
      <c r="A587" s="65"/>
      <c r="B587" s="65"/>
      <c r="C587" s="65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</row>
    <row r="588" spans="1:21">
      <c r="A588" s="65"/>
      <c r="D588" s="65"/>
    </row>
    <row r="589" spans="1:21">
      <c r="A589" s="65"/>
      <c r="D589" s="65"/>
    </row>
    <row r="590" spans="1:21" s="149" customFormat="1" ht="13">
      <c r="A590" s="65"/>
      <c r="B590" s="65"/>
      <c r="C590" s="65"/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</row>
    <row r="591" spans="1:21">
      <c r="A591" s="65"/>
      <c r="D591" s="65"/>
    </row>
    <row r="592" spans="1:21">
      <c r="A592" s="65"/>
      <c r="D592" s="65"/>
    </row>
    <row r="593" spans="1:21" s="149" customFormat="1" ht="13">
      <c r="A593" s="65"/>
      <c r="B593" s="65"/>
      <c r="C593" s="65"/>
      <c r="D593" s="65"/>
      <c r="E593" s="65"/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</row>
    <row r="594" spans="1:21">
      <c r="A594" s="65"/>
      <c r="D594" s="65"/>
    </row>
    <row r="595" spans="1:21">
      <c r="A595" s="65"/>
      <c r="D595" s="65"/>
    </row>
    <row r="596" spans="1:21" s="149" customFormat="1" ht="13">
      <c r="A596" s="65"/>
      <c r="B596" s="65"/>
      <c r="C596" s="65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</row>
    <row r="597" spans="1:21">
      <c r="A597" s="65"/>
      <c r="D597" s="65"/>
    </row>
    <row r="598" spans="1:21">
      <c r="A598" s="65"/>
      <c r="D598" s="65"/>
    </row>
    <row r="599" spans="1:21" s="149" customFormat="1" ht="13">
      <c r="A599" s="65"/>
      <c r="B599" s="65"/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</row>
    <row r="600" spans="1:21">
      <c r="A600" s="65"/>
      <c r="D600" s="65"/>
    </row>
    <row r="601" spans="1:21">
      <c r="A601" s="65"/>
      <c r="D601" s="65"/>
    </row>
    <row r="602" spans="1:21" s="149" customFormat="1" ht="13">
      <c r="A602" s="65"/>
      <c r="B602" s="65"/>
      <c r="C602" s="65"/>
      <c r="D602" s="65"/>
      <c r="E602" s="65"/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</row>
    <row r="603" spans="1:21">
      <c r="A603" s="65"/>
      <c r="D603" s="65"/>
    </row>
    <row r="604" spans="1:21">
      <c r="A604" s="65"/>
      <c r="D604" s="65"/>
    </row>
    <row r="605" spans="1:21" s="149" customFormat="1" ht="13">
      <c r="A605" s="65"/>
      <c r="B605" s="65"/>
      <c r="C605" s="65"/>
      <c r="D605" s="65"/>
      <c r="E605" s="65"/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</row>
    <row r="606" spans="1:21">
      <c r="A606" s="65"/>
      <c r="D606" s="65"/>
    </row>
    <row r="607" spans="1:21">
      <c r="A607" s="65"/>
      <c r="D607" s="65"/>
    </row>
    <row r="608" spans="1:21" s="149" customFormat="1" ht="13">
      <c r="A608" s="65"/>
      <c r="B608" s="65"/>
      <c r="C608" s="65"/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</row>
    <row r="609" spans="1:21">
      <c r="A609" s="65"/>
      <c r="D609" s="65"/>
    </row>
    <row r="610" spans="1:21">
      <c r="A610" s="65"/>
      <c r="D610" s="65"/>
    </row>
    <row r="611" spans="1:21" s="149" customFormat="1" ht="13">
      <c r="A611" s="65"/>
      <c r="B611" s="65"/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</row>
    <row r="612" spans="1:21">
      <c r="A612" s="65"/>
      <c r="D612" s="65"/>
    </row>
    <row r="613" spans="1:21">
      <c r="A613" s="65"/>
      <c r="D613" s="65"/>
    </row>
    <row r="614" spans="1:21" s="149" customFormat="1" ht="13">
      <c r="A614" s="65"/>
      <c r="B614" s="65"/>
      <c r="C614" s="65"/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</row>
    <row r="615" spans="1:21">
      <c r="A615" s="65"/>
      <c r="D615" s="65"/>
    </row>
    <row r="616" spans="1:21">
      <c r="A616" s="65"/>
      <c r="D616" s="65"/>
    </row>
    <row r="617" spans="1:21" s="149" customFormat="1" ht="13">
      <c r="A617" s="65"/>
      <c r="B617" s="65"/>
      <c r="C617" s="65"/>
      <c r="D617" s="65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</row>
    <row r="618" spans="1:21">
      <c r="A618" s="65"/>
      <c r="D618" s="65"/>
    </row>
    <row r="619" spans="1:21">
      <c r="A619" s="65"/>
      <c r="D619" s="65"/>
    </row>
    <row r="620" spans="1:21" s="149" customFormat="1" ht="13">
      <c r="A620" s="65"/>
      <c r="B620" s="65"/>
      <c r="C620" s="65"/>
      <c r="D620" s="65"/>
      <c r="E620" s="65"/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</row>
    <row r="621" spans="1:21">
      <c r="A621" s="65"/>
      <c r="D621" s="65"/>
    </row>
    <row r="622" spans="1:21">
      <c r="A622" s="65"/>
      <c r="D622" s="65"/>
    </row>
    <row r="623" spans="1:21" s="149" customFormat="1" ht="13">
      <c r="A623" s="65"/>
      <c r="B623" s="65"/>
      <c r="C623" s="65"/>
      <c r="D623" s="65"/>
      <c r="E623" s="65"/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</row>
    <row r="624" spans="1:21">
      <c r="A624" s="65"/>
      <c r="D624" s="65"/>
    </row>
    <row r="625" spans="1:21">
      <c r="A625" s="65"/>
      <c r="D625" s="65"/>
    </row>
    <row r="626" spans="1:21" s="149" customFormat="1" ht="13">
      <c r="A626" s="65"/>
      <c r="B626" s="65"/>
      <c r="C626" s="65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</row>
    <row r="627" spans="1:21">
      <c r="A627" s="65"/>
      <c r="D627" s="65"/>
    </row>
    <row r="628" spans="1:21">
      <c r="A628" s="65"/>
      <c r="D628" s="65"/>
    </row>
    <row r="629" spans="1:21" s="149" customFormat="1" ht="13">
      <c r="A629" s="65"/>
      <c r="B629" s="65"/>
      <c r="C629" s="65"/>
      <c r="D629" s="65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</row>
    <row r="630" spans="1:21">
      <c r="A630" s="65"/>
      <c r="D630" s="65"/>
    </row>
    <row r="631" spans="1:21">
      <c r="A631" s="65"/>
      <c r="D631" s="65"/>
    </row>
    <row r="632" spans="1:21" s="149" customFormat="1" ht="13">
      <c r="A632" s="65"/>
      <c r="B632" s="65"/>
      <c r="C632" s="65"/>
      <c r="D632" s="65"/>
      <c r="E632" s="65"/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</row>
    <row r="633" spans="1:21">
      <c r="A633" s="65"/>
      <c r="D633" s="65"/>
    </row>
    <row r="634" spans="1:21">
      <c r="A634" s="65"/>
      <c r="D634" s="65"/>
    </row>
    <row r="635" spans="1:21" s="149" customFormat="1" ht="13">
      <c r="A635" s="65"/>
      <c r="B635" s="65"/>
      <c r="C635" s="65"/>
      <c r="D635" s="65"/>
      <c r="E635" s="65"/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</row>
    <row r="636" spans="1:21">
      <c r="A636" s="65"/>
      <c r="D636" s="65"/>
    </row>
    <row r="637" spans="1:21">
      <c r="A637" s="65"/>
      <c r="D637" s="65"/>
    </row>
    <row r="638" spans="1:21" s="149" customFormat="1" ht="13">
      <c r="A638" s="65"/>
      <c r="B638" s="65"/>
      <c r="C638" s="65"/>
      <c r="D638" s="65"/>
      <c r="E638" s="65"/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</row>
    <row r="639" spans="1:21">
      <c r="A639" s="65"/>
      <c r="D639" s="65"/>
    </row>
    <row r="640" spans="1:21">
      <c r="A640" s="65"/>
      <c r="D640" s="65"/>
    </row>
    <row r="641" spans="1:21" s="149" customFormat="1" ht="13">
      <c r="A641" s="65"/>
      <c r="B641" s="65"/>
      <c r="C641" s="65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</row>
    <row r="642" spans="1:21">
      <c r="A642" s="65"/>
      <c r="D642" s="65"/>
    </row>
    <row r="643" spans="1:21">
      <c r="A643" s="65"/>
      <c r="D643" s="65"/>
    </row>
    <row r="644" spans="1:21" s="149" customFormat="1" ht="13">
      <c r="A644" s="65"/>
      <c r="B644" s="65"/>
      <c r="C644" s="65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</row>
    <row r="645" spans="1:21">
      <c r="A645" s="65"/>
      <c r="D645" s="65"/>
    </row>
    <row r="646" spans="1:21">
      <c r="A646" s="65"/>
      <c r="D646" s="65"/>
    </row>
    <row r="647" spans="1:21" s="149" customFormat="1" ht="13">
      <c r="A647" s="65"/>
      <c r="B647" s="65"/>
      <c r="C647" s="65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</row>
    <row r="648" spans="1:21">
      <c r="A648" s="65"/>
      <c r="D648" s="65"/>
    </row>
    <row r="649" spans="1:21">
      <c r="A649" s="65"/>
      <c r="D649" s="65"/>
    </row>
    <row r="650" spans="1:21" s="149" customFormat="1" ht="13">
      <c r="A650" s="65"/>
      <c r="B650" s="65"/>
      <c r="C650" s="65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</row>
    <row r="651" spans="1:21">
      <c r="A651" s="65"/>
      <c r="D651" s="65"/>
    </row>
    <row r="652" spans="1:21">
      <c r="A652" s="65"/>
      <c r="D652" s="65"/>
    </row>
    <row r="653" spans="1:21" s="149" customFormat="1" ht="13">
      <c r="A653" s="65"/>
      <c r="B653" s="65"/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</row>
    <row r="654" spans="1:21">
      <c r="A654" s="65"/>
      <c r="D654" s="65"/>
    </row>
    <row r="655" spans="1:21">
      <c r="A655" s="65"/>
      <c r="D655" s="65"/>
    </row>
    <row r="656" spans="1:21" s="149" customFormat="1" ht="13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</row>
    <row r="657" spans="1:21">
      <c r="A657" s="65"/>
      <c r="D657" s="65"/>
    </row>
    <row r="658" spans="1:21">
      <c r="A658" s="65"/>
      <c r="D658" s="65"/>
    </row>
    <row r="659" spans="1:21" s="149" customFormat="1" ht="13">
      <c r="A659" s="65"/>
      <c r="B659" s="65"/>
      <c r="C659" s="65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</row>
    <row r="660" spans="1:21">
      <c r="A660" s="65"/>
      <c r="D660" s="65"/>
    </row>
    <row r="661" spans="1:21">
      <c r="A661" s="65"/>
      <c r="D661" s="65"/>
    </row>
    <row r="662" spans="1:21" s="149" customFormat="1" ht="13">
      <c r="A662" s="65"/>
      <c r="B662" s="65"/>
      <c r="C662" s="65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</row>
    <row r="663" spans="1:21">
      <c r="A663" s="65"/>
      <c r="D663" s="65"/>
    </row>
    <row r="664" spans="1:21">
      <c r="A664" s="65"/>
      <c r="D664" s="65"/>
    </row>
    <row r="665" spans="1:21" s="149" customFormat="1" ht="13">
      <c r="A665" s="65"/>
      <c r="B665" s="65"/>
      <c r="C665" s="65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</row>
    <row r="666" spans="1:21">
      <c r="A666" s="65"/>
      <c r="D666" s="65"/>
    </row>
    <row r="667" spans="1:21">
      <c r="A667" s="65"/>
      <c r="D667" s="65"/>
    </row>
    <row r="668" spans="1:21" s="149" customFormat="1" ht="13">
      <c r="A668" s="65"/>
      <c r="B668" s="65"/>
      <c r="C668" s="65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</row>
    <row r="669" spans="1:21">
      <c r="A669" s="65"/>
      <c r="D669" s="65"/>
    </row>
    <row r="670" spans="1:21">
      <c r="A670" s="65"/>
      <c r="D670" s="65"/>
    </row>
    <row r="671" spans="1:21" s="149" customFormat="1" ht="13">
      <c r="A671" s="65"/>
      <c r="B671" s="65"/>
      <c r="C671" s="65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</row>
    <row r="672" spans="1:21">
      <c r="A672" s="65"/>
      <c r="D672" s="65"/>
    </row>
    <row r="673" spans="1:21">
      <c r="A673" s="65"/>
      <c r="D673" s="65"/>
    </row>
    <row r="674" spans="1:21" s="149" customFormat="1" ht="13">
      <c r="A674" s="65"/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</row>
    <row r="675" spans="1:21">
      <c r="A675" s="65"/>
      <c r="D675" s="65"/>
    </row>
    <row r="676" spans="1:21">
      <c r="A676" s="65"/>
      <c r="D676" s="65"/>
    </row>
    <row r="677" spans="1:21" s="149" customFormat="1" ht="13">
      <c r="A677" s="65"/>
      <c r="B677" s="65"/>
      <c r="C677" s="65"/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</row>
    <row r="678" spans="1:21">
      <c r="A678" s="65"/>
      <c r="D678" s="65"/>
    </row>
    <row r="679" spans="1:21">
      <c r="A679" s="65"/>
      <c r="D679" s="65"/>
    </row>
    <row r="680" spans="1:21" s="149" customFormat="1" ht="13">
      <c r="A680" s="65"/>
      <c r="B680" s="65"/>
      <c r="C680" s="65"/>
      <c r="D680" s="65"/>
      <c r="E680" s="65"/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</row>
    <row r="681" spans="1:21">
      <c r="A681" s="65"/>
      <c r="D681" s="65"/>
    </row>
    <row r="682" spans="1:21">
      <c r="A682" s="65"/>
      <c r="D682" s="65"/>
    </row>
    <row r="683" spans="1:21" s="149" customFormat="1" ht="13">
      <c r="A683" s="65"/>
      <c r="B683" s="65"/>
      <c r="C683" s="65"/>
      <c r="D683" s="65"/>
      <c r="E683" s="65"/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</row>
    <row r="684" spans="1:21">
      <c r="A684" s="65"/>
      <c r="D684" s="65"/>
    </row>
    <row r="685" spans="1:21">
      <c r="A685" s="65"/>
      <c r="D685" s="65"/>
    </row>
    <row r="686" spans="1:21" s="149" customFormat="1" ht="13">
      <c r="A686" s="65"/>
      <c r="B686" s="65"/>
      <c r="C686" s="65"/>
      <c r="D686" s="65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</row>
    <row r="687" spans="1:21">
      <c r="A687" s="65"/>
      <c r="D687" s="65"/>
    </row>
    <row r="688" spans="1:21">
      <c r="A688" s="65"/>
      <c r="D688" s="65"/>
    </row>
    <row r="689" spans="1:21" s="149" customFormat="1" ht="13">
      <c r="A689" s="65"/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</row>
    <row r="690" spans="1:21">
      <c r="A690" s="65"/>
      <c r="D690" s="65"/>
    </row>
    <row r="691" spans="1:21">
      <c r="A691" s="65"/>
      <c r="D691" s="65"/>
    </row>
    <row r="692" spans="1:21" s="149" customFormat="1" ht="13">
      <c r="A692" s="65"/>
      <c r="B692" s="65"/>
      <c r="C692" s="65"/>
      <c r="D692" s="65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</row>
    <row r="693" spans="1:21">
      <c r="A693" s="65"/>
      <c r="D693" s="65"/>
    </row>
    <row r="694" spans="1:21">
      <c r="A694" s="65"/>
      <c r="D694" s="65"/>
    </row>
    <row r="695" spans="1:21" s="149" customFormat="1" ht="13">
      <c r="A695" s="65"/>
      <c r="B695" s="65"/>
      <c r="C695" s="65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</row>
    <row r="696" spans="1:21">
      <c r="A696" s="65"/>
      <c r="D696" s="65"/>
    </row>
    <row r="697" spans="1:21">
      <c r="A697" s="65"/>
      <c r="D697" s="65"/>
    </row>
    <row r="698" spans="1:21" s="149" customFormat="1" ht="13">
      <c r="A698" s="65"/>
      <c r="B698" s="65"/>
      <c r="C698" s="65"/>
      <c r="D698" s="65"/>
      <c r="E698" s="65"/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</row>
    <row r="699" spans="1:21">
      <c r="A699" s="65"/>
      <c r="D699" s="65"/>
    </row>
    <row r="700" spans="1:21">
      <c r="A700" s="65"/>
      <c r="D700" s="65"/>
    </row>
    <row r="701" spans="1:21" s="149" customFormat="1" ht="13">
      <c r="A701" s="65"/>
      <c r="B701" s="65"/>
      <c r="C701" s="65"/>
      <c r="D701" s="65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</row>
    <row r="702" spans="1:21">
      <c r="A702" s="65"/>
      <c r="D702" s="65"/>
    </row>
    <row r="703" spans="1:21">
      <c r="A703" s="65"/>
      <c r="D703" s="65"/>
    </row>
    <row r="704" spans="1:21" s="149" customFormat="1" ht="13">
      <c r="A704" s="65"/>
      <c r="B704" s="65"/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</row>
    <row r="705" spans="1:21">
      <c r="A705" s="65"/>
      <c r="D705" s="65"/>
    </row>
    <row r="706" spans="1:21">
      <c r="A706" s="65"/>
      <c r="D706" s="65"/>
    </row>
    <row r="707" spans="1:21" s="149" customFormat="1" ht="13">
      <c r="A707" s="65"/>
      <c r="B707" s="65"/>
      <c r="C707" s="65"/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</row>
    <row r="708" spans="1:21">
      <c r="A708" s="65"/>
      <c r="D708" s="65"/>
    </row>
    <row r="709" spans="1:21">
      <c r="A709" s="65"/>
      <c r="D709" s="65"/>
    </row>
    <row r="710" spans="1:21" s="149" customFormat="1" ht="13">
      <c r="A710" s="65"/>
      <c r="B710" s="65"/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</row>
    <row r="711" spans="1:21">
      <c r="A711" s="65"/>
      <c r="D711" s="65"/>
    </row>
    <row r="712" spans="1:21">
      <c r="A712" s="65"/>
      <c r="D712" s="65"/>
    </row>
    <row r="713" spans="1:21" s="149" customFormat="1" ht="13">
      <c r="A713" s="65"/>
      <c r="B713" s="65"/>
      <c r="C713" s="65"/>
      <c r="D713" s="65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</row>
    <row r="714" spans="1:21">
      <c r="A714" s="65"/>
      <c r="D714" s="65"/>
    </row>
    <row r="715" spans="1:21">
      <c r="A715" s="65"/>
      <c r="D715" s="65"/>
    </row>
    <row r="716" spans="1:21" s="149" customFormat="1" ht="13">
      <c r="A716" s="65"/>
      <c r="B716" s="65"/>
      <c r="C716" s="65"/>
      <c r="D716" s="65"/>
      <c r="E716" s="65"/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</row>
    <row r="717" spans="1:21">
      <c r="A717" s="65"/>
      <c r="D717" s="65"/>
    </row>
    <row r="718" spans="1:21">
      <c r="A718" s="65"/>
      <c r="D718" s="65"/>
    </row>
    <row r="719" spans="1:21" s="149" customFormat="1" ht="13">
      <c r="A719" s="65"/>
      <c r="B719" s="65"/>
      <c r="C719" s="65"/>
      <c r="D719" s="65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</row>
    <row r="720" spans="1:21">
      <c r="A720" s="65"/>
      <c r="D720" s="65"/>
    </row>
    <row r="721" spans="1:21">
      <c r="A721" s="65"/>
      <c r="D721" s="65"/>
    </row>
    <row r="722" spans="1:21" s="149" customFormat="1" ht="13">
      <c r="A722" s="65"/>
      <c r="B722" s="65"/>
      <c r="C722" s="65"/>
      <c r="D722" s="65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</row>
    <row r="723" spans="1:21">
      <c r="A723" s="65"/>
      <c r="D723" s="65"/>
    </row>
    <row r="724" spans="1:21">
      <c r="A724" s="65"/>
      <c r="D724" s="65"/>
    </row>
    <row r="725" spans="1:21" s="149" customFormat="1" ht="13">
      <c r="A725" s="65"/>
      <c r="B725" s="65"/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</row>
    <row r="726" spans="1:21">
      <c r="A726" s="65"/>
      <c r="D726" s="65"/>
    </row>
    <row r="727" spans="1:21">
      <c r="A727" s="65"/>
      <c r="D727" s="65"/>
    </row>
    <row r="728" spans="1:21" s="149" customFormat="1" ht="13">
      <c r="A728" s="65"/>
      <c r="B728" s="65"/>
      <c r="C728" s="65"/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</row>
    <row r="729" spans="1:21">
      <c r="A729" s="65"/>
      <c r="D729" s="65"/>
    </row>
    <row r="730" spans="1:21">
      <c r="A730" s="65"/>
      <c r="D730" s="65"/>
    </row>
    <row r="731" spans="1:21" s="149" customFormat="1" ht="13">
      <c r="A731" s="65"/>
      <c r="B731" s="65"/>
      <c r="C731" s="65"/>
      <c r="D731" s="65"/>
      <c r="E731" s="65"/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</row>
    <row r="732" spans="1:21">
      <c r="A732" s="65"/>
      <c r="D732" s="65"/>
    </row>
    <row r="733" spans="1:21">
      <c r="A733" s="65"/>
      <c r="D733" s="65"/>
    </row>
    <row r="734" spans="1:21" s="149" customFormat="1" ht="13">
      <c r="A734" s="65"/>
      <c r="B734" s="65"/>
      <c r="C734" s="65"/>
      <c r="D734" s="65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</row>
    <row r="735" spans="1:21">
      <c r="A735" s="65"/>
      <c r="D735" s="65"/>
    </row>
    <row r="736" spans="1:21">
      <c r="A736" s="65"/>
      <c r="D736" s="65"/>
    </row>
    <row r="737" spans="1:21" s="149" customFormat="1" ht="13">
      <c r="A737" s="65"/>
      <c r="B737" s="65"/>
      <c r="C737" s="65"/>
      <c r="D737" s="65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</row>
    <row r="738" spans="1:21">
      <c r="A738" s="65"/>
      <c r="D738" s="65"/>
    </row>
    <row r="739" spans="1:21">
      <c r="A739" s="65"/>
      <c r="D739" s="65"/>
    </row>
    <row r="740" spans="1:21" s="149" customFormat="1" ht="13">
      <c r="A740" s="65"/>
      <c r="B740" s="65"/>
      <c r="C740" s="65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</row>
    <row r="741" spans="1:21">
      <c r="A741" s="65"/>
      <c r="D741" s="65"/>
    </row>
    <row r="742" spans="1:21">
      <c r="A742" s="65"/>
      <c r="D742" s="65"/>
    </row>
    <row r="743" spans="1:21" s="149" customFormat="1" ht="13">
      <c r="A743" s="65"/>
      <c r="B743" s="65"/>
      <c r="C743" s="65"/>
      <c r="D743" s="65"/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</row>
    <row r="744" spans="1:21">
      <c r="A744" s="65"/>
      <c r="D744" s="65"/>
    </row>
    <row r="745" spans="1:21">
      <c r="A745" s="65"/>
      <c r="D745" s="65"/>
    </row>
    <row r="746" spans="1:21" s="149" customFormat="1" ht="13">
      <c r="A746" s="65"/>
      <c r="B746" s="65"/>
      <c r="C746" s="65"/>
      <c r="D746" s="65"/>
      <c r="E746" s="65"/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</row>
    <row r="747" spans="1:21">
      <c r="A747" s="65"/>
      <c r="D747" s="65"/>
    </row>
    <row r="748" spans="1:21">
      <c r="A748" s="65"/>
      <c r="D748" s="65"/>
    </row>
    <row r="749" spans="1:21" s="149" customFormat="1" ht="13">
      <c r="A749" s="65"/>
      <c r="B749" s="65"/>
      <c r="C749" s="65"/>
      <c r="D749" s="65"/>
      <c r="E749" s="65"/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</row>
    <row r="750" spans="1:21">
      <c r="A750" s="65"/>
      <c r="D750" s="65"/>
    </row>
    <row r="751" spans="1:21">
      <c r="A751" s="65"/>
      <c r="D751" s="65"/>
    </row>
    <row r="752" spans="1:21" s="149" customFormat="1" ht="13">
      <c r="A752" s="65"/>
      <c r="B752" s="65"/>
      <c r="C752" s="65"/>
      <c r="D752" s="65"/>
      <c r="E752" s="65"/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</row>
    <row r="753" spans="1:21">
      <c r="A753" s="65"/>
      <c r="D753" s="65"/>
    </row>
    <row r="754" spans="1:21">
      <c r="A754" s="65"/>
      <c r="D754" s="65"/>
    </row>
    <row r="755" spans="1:21" s="149" customFormat="1" ht="13">
      <c r="A755" s="65"/>
      <c r="B755" s="65"/>
      <c r="C755" s="65"/>
      <c r="D755" s="65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</row>
    <row r="756" spans="1:21">
      <c r="A756" s="65"/>
      <c r="D756" s="65"/>
    </row>
    <row r="757" spans="1:21">
      <c r="A757" s="65"/>
      <c r="D757" s="65"/>
    </row>
    <row r="758" spans="1:21" s="149" customFormat="1" ht="13">
      <c r="A758" s="65"/>
      <c r="B758" s="65"/>
      <c r="C758" s="65"/>
      <c r="D758" s="65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</row>
    <row r="759" spans="1:21">
      <c r="A759" s="65"/>
      <c r="D759" s="65"/>
    </row>
    <row r="760" spans="1:21">
      <c r="A760" s="65"/>
      <c r="D760" s="65"/>
    </row>
    <row r="761" spans="1:21" s="149" customFormat="1" ht="13">
      <c r="A761" s="65"/>
      <c r="B761" s="65"/>
      <c r="C761" s="65"/>
      <c r="D761" s="65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</row>
    <row r="762" spans="1:21">
      <c r="A762" s="65"/>
      <c r="D762" s="65"/>
    </row>
    <row r="763" spans="1:21">
      <c r="A763" s="65"/>
      <c r="D763" s="65"/>
    </row>
    <row r="764" spans="1:21" s="149" customFormat="1" ht="13">
      <c r="A764" s="65"/>
      <c r="B764" s="65"/>
      <c r="C764" s="65"/>
      <c r="D764" s="65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</row>
    <row r="765" spans="1:21">
      <c r="A765" s="65"/>
      <c r="D765" s="65"/>
    </row>
    <row r="766" spans="1:21">
      <c r="A766" s="65"/>
      <c r="D766" s="65"/>
    </row>
    <row r="767" spans="1:21" s="149" customFormat="1" ht="13">
      <c r="A767" s="65"/>
      <c r="B767" s="65"/>
      <c r="C767" s="65"/>
      <c r="D767" s="65"/>
      <c r="E767" s="65"/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</row>
    <row r="768" spans="1:21">
      <c r="A768" s="65"/>
      <c r="D768" s="65"/>
    </row>
    <row r="769" spans="1:21">
      <c r="A769" s="65"/>
      <c r="D769" s="65"/>
    </row>
    <row r="770" spans="1:21" s="149" customFormat="1" ht="13">
      <c r="A770" s="65"/>
      <c r="B770" s="65"/>
      <c r="C770" s="65"/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</row>
    <row r="771" spans="1:21">
      <c r="A771" s="65"/>
      <c r="D771" s="65"/>
    </row>
    <row r="772" spans="1:21">
      <c r="A772" s="65"/>
      <c r="D772" s="65"/>
    </row>
    <row r="773" spans="1:21" s="149" customFormat="1" ht="13">
      <c r="A773" s="65"/>
      <c r="B773" s="65"/>
      <c r="C773" s="65"/>
      <c r="D773" s="65"/>
      <c r="E773" s="65"/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</row>
    <row r="774" spans="1:21">
      <c r="A774" s="65"/>
      <c r="D774" s="65"/>
    </row>
    <row r="775" spans="1:21">
      <c r="A775" s="65"/>
      <c r="D775" s="65"/>
    </row>
    <row r="776" spans="1:21" s="149" customFormat="1" ht="13">
      <c r="A776" s="65"/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</row>
    <row r="777" spans="1:21">
      <c r="A777" s="65"/>
      <c r="D777" s="65"/>
    </row>
    <row r="778" spans="1:21">
      <c r="A778" s="65"/>
      <c r="D778" s="65"/>
    </row>
    <row r="779" spans="1:21" s="149" customFormat="1" ht="13">
      <c r="A779" s="65"/>
      <c r="B779" s="65"/>
      <c r="C779" s="65"/>
      <c r="D779" s="65"/>
      <c r="E779" s="65"/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</row>
    <row r="780" spans="1:21">
      <c r="A780" s="65"/>
      <c r="D780" s="65"/>
    </row>
    <row r="781" spans="1:21">
      <c r="A781" s="65"/>
      <c r="D781" s="65"/>
    </row>
    <row r="782" spans="1:21" s="149" customFormat="1" ht="13">
      <c r="A782" s="65"/>
      <c r="B782" s="65"/>
      <c r="C782" s="65"/>
      <c r="D782" s="65"/>
      <c r="E782" s="65"/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</row>
    <row r="783" spans="1:21">
      <c r="A783" s="65"/>
      <c r="D783" s="65"/>
    </row>
    <row r="784" spans="1:21">
      <c r="A784" s="65"/>
      <c r="D784" s="65"/>
    </row>
    <row r="785" spans="1:21" s="149" customFormat="1" ht="13">
      <c r="A785" s="65"/>
      <c r="B785" s="65"/>
      <c r="C785" s="65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</row>
    <row r="786" spans="1:21">
      <c r="A786" s="65"/>
      <c r="D786" s="65"/>
    </row>
    <row r="787" spans="1:21">
      <c r="A787" s="65"/>
      <c r="D787" s="65"/>
    </row>
    <row r="788" spans="1:21" s="149" customFormat="1" ht="13">
      <c r="A788" s="65"/>
      <c r="B788" s="65"/>
      <c r="C788" s="65"/>
      <c r="D788" s="65"/>
      <c r="E788" s="65"/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</row>
    <row r="789" spans="1:21">
      <c r="A789" s="65"/>
      <c r="D789" s="65"/>
    </row>
    <row r="790" spans="1:21">
      <c r="A790" s="65"/>
      <c r="D790" s="65"/>
    </row>
    <row r="791" spans="1:21" s="149" customFormat="1" ht="13">
      <c r="A791" s="65"/>
      <c r="B791" s="65"/>
      <c r="C791" s="65"/>
      <c r="D791" s="65"/>
      <c r="E791" s="65"/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</row>
    <row r="792" spans="1:21">
      <c r="A792" s="65"/>
      <c r="D792" s="65"/>
    </row>
    <row r="793" spans="1:21">
      <c r="A793" s="65"/>
      <c r="D793" s="65"/>
    </row>
    <row r="794" spans="1:21" s="149" customFormat="1" ht="13">
      <c r="A794" s="65"/>
      <c r="B794" s="65"/>
      <c r="C794" s="65"/>
      <c r="D794" s="65"/>
      <c r="E794" s="65"/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</row>
    <row r="795" spans="1:21">
      <c r="A795" s="65"/>
      <c r="D795" s="65"/>
    </row>
    <row r="796" spans="1:21">
      <c r="A796" s="65"/>
      <c r="D796" s="65"/>
    </row>
    <row r="797" spans="1:21" s="149" customFormat="1" ht="13">
      <c r="A797" s="65"/>
      <c r="B797" s="65"/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</row>
    <row r="798" spans="1:21">
      <c r="A798" s="65"/>
      <c r="D798" s="65"/>
    </row>
    <row r="799" spans="1:21">
      <c r="A799" s="65"/>
      <c r="D799" s="65"/>
    </row>
    <row r="800" spans="1:21" s="149" customFormat="1" ht="13">
      <c r="A800" s="65"/>
      <c r="B800" s="65"/>
      <c r="C800" s="65"/>
      <c r="D800" s="65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</row>
    <row r="801" spans="1:21">
      <c r="A801" s="65"/>
      <c r="D801" s="65"/>
    </row>
    <row r="802" spans="1:21">
      <c r="A802" s="65"/>
      <c r="D802" s="65"/>
    </row>
    <row r="803" spans="1:21" s="149" customFormat="1" ht="13">
      <c r="A803" s="65"/>
      <c r="B803" s="65"/>
      <c r="C803" s="65"/>
      <c r="D803" s="65"/>
      <c r="E803" s="65"/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</row>
    <row r="804" spans="1:21">
      <c r="A804" s="65"/>
      <c r="D804" s="65"/>
    </row>
    <row r="805" spans="1:21">
      <c r="A805" s="65"/>
      <c r="D805" s="65"/>
    </row>
    <row r="806" spans="1:21" s="149" customFormat="1" ht="13">
      <c r="A806" s="65"/>
      <c r="B806" s="65"/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</row>
    <row r="807" spans="1:21">
      <c r="A807" s="65"/>
      <c r="D807" s="65"/>
    </row>
    <row r="808" spans="1:21">
      <c r="A808" s="65"/>
      <c r="D808" s="65"/>
    </row>
    <row r="809" spans="1:21" s="149" customFormat="1" ht="13">
      <c r="A809" s="65"/>
      <c r="B809" s="65"/>
      <c r="C809" s="65"/>
      <c r="D809" s="65"/>
      <c r="E809" s="65"/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</row>
    <row r="810" spans="1:21">
      <c r="A810" s="65"/>
      <c r="D810" s="65"/>
    </row>
    <row r="811" spans="1:21">
      <c r="A811" s="65"/>
      <c r="D811" s="65"/>
    </row>
    <row r="812" spans="1:21" s="149" customFormat="1" ht="13">
      <c r="A812" s="65"/>
      <c r="B812" s="65"/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</row>
    <row r="813" spans="1:21">
      <c r="A813" s="65"/>
      <c r="D813" s="65"/>
    </row>
    <row r="814" spans="1:21">
      <c r="A814" s="65"/>
      <c r="D814" s="65"/>
    </row>
    <row r="815" spans="1:21" s="149" customFormat="1" ht="13">
      <c r="A815" s="65"/>
      <c r="B815" s="65"/>
      <c r="C815" s="65"/>
      <c r="D815" s="65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</row>
    <row r="816" spans="1:21">
      <c r="A816" s="65"/>
      <c r="D816" s="65"/>
    </row>
    <row r="817" spans="1:21">
      <c r="A817" s="65"/>
      <c r="D817" s="65"/>
    </row>
    <row r="818" spans="1:21" s="149" customFormat="1" ht="13">
      <c r="A818" s="65"/>
      <c r="B818" s="65"/>
      <c r="C818" s="65"/>
      <c r="D818" s="65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</row>
    <row r="819" spans="1:21">
      <c r="A819" s="65"/>
      <c r="D819" s="65"/>
    </row>
    <row r="820" spans="1:21">
      <c r="A820" s="65"/>
      <c r="D820" s="65"/>
    </row>
    <row r="821" spans="1:21" s="149" customFormat="1" ht="13">
      <c r="A821" s="65"/>
      <c r="B821" s="65"/>
      <c r="C821" s="65"/>
      <c r="D821" s="65"/>
      <c r="E821" s="65"/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</row>
    <row r="822" spans="1:21">
      <c r="A822" s="65"/>
      <c r="D822" s="65"/>
    </row>
    <row r="823" spans="1:21">
      <c r="A823" s="65"/>
      <c r="D823" s="65"/>
    </row>
    <row r="824" spans="1:21" s="149" customFormat="1" ht="13">
      <c r="A824" s="65"/>
      <c r="B824" s="65"/>
      <c r="C824" s="65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</row>
    <row r="825" spans="1:21">
      <c r="A825" s="65"/>
      <c r="D825" s="65"/>
    </row>
    <row r="826" spans="1:21">
      <c r="A826" s="65"/>
      <c r="D826" s="65"/>
    </row>
    <row r="827" spans="1:21" s="149" customFormat="1" ht="13">
      <c r="A827" s="65"/>
      <c r="B827" s="65"/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</row>
    <row r="828" spans="1:21">
      <c r="A828" s="65"/>
      <c r="D828" s="65"/>
    </row>
    <row r="829" spans="1:21">
      <c r="A829" s="65"/>
      <c r="D829" s="65"/>
    </row>
    <row r="830" spans="1:21" s="149" customFormat="1" ht="13">
      <c r="A830" s="65"/>
      <c r="B830" s="65"/>
      <c r="C830" s="65"/>
      <c r="D830" s="65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</row>
    <row r="831" spans="1:21">
      <c r="A831" s="65"/>
      <c r="D831" s="65"/>
    </row>
    <row r="832" spans="1:21">
      <c r="A832" s="65"/>
      <c r="D832" s="65"/>
    </row>
    <row r="833" spans="1:21" s="149" customFormat="1" ht="13">
      <c r="A833" s="65"/>
      <c r="B833" s="65"/>
      <c r="C833" s="65"/>
      <c r="D833" s="65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</row>
    <row r="834" spans="1:21">
      <c r="A834" s="65"/>
      <c r="D834" s="65"/>
    </row>
    <row r="835" spans="1:21">
      <c r="A835" s="65"/>
      <c r="D835" s="65"/>
    </row>
    <row r="836" spans="1:21" s="149" customFormat="1" ht="13">
      <c r="A836" s="65"/>
      <c r="B836" s="65"/>
      <c r="C836" s="65"/>
      <c r="D836" s="65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</row>
    <row r="837" spans="1:21">
      <c r="A837" s="65"/>
      <c r="D837" s="65"/>
    </row>
    <row r="838" spans="1:21">
      <c r="A838" s="65"/>
      <c r="D838" s="65"/>
    </row>
    <row r="839" spans="1:21" s="149" customFormat="1" ht="13">
      <c r="A839" s="65"/>
      <c r="B839" s="65"/>
      <c r="C839" s="65"/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</row>
    <row r="840" spans="1:21">
      <c r="A840" s="65"/>
      <c r="D840" s="65"/>
    </row>
    <row r="841" spans="1:21">
      <c r="A841" s="65"/>
      <c r="D841" s="65"/>
    </row>
    <row r="842" spans="1:21" s="149" customFormat="1" ht="13">
      <c r="A842" s="65"/>
      <c r="B842" s="65"/>
      <c r="C842" s="65"/>
      <c r="D842" s="65"/>
      <c r="E842" s="65"/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</row>
    <row r="843" spans="1:21">
      <c r="A843" s="65"/>
      <c r="D843" s="65"/>
    </row>
    <row r="844" spans="1:21">
      <c r="A844" s="65"/>
      <c r="D844" s="65"/>
    </row>
    <row r="845" spans="1:21" s="149" customFormat="1" ht="13">
      <c r="A845" s="65"/>
      <c r="B845" s="65"/>
      <c r="C845" s="65"/>
      <c r="D845" s="65"/>
      <c r="E845" s="65"/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</row>
    <row r="846" spans="1:21">
      <c r="A846" s="65"/>
      <c r="D846" s="65"/>
    </row>
    <row r="847" spans="1:21">
      <c r="A847" s="65"/>
      <c r="D847" s="65"/>
    </row>
    <row r="848" spans="1:21" s="149" customFormat="1" ht="13">
      <c r="A848" s="65"/>
      <c r="B848" s="65"/>
      <c r="C848" s="65"/>
      <c r="D848" s="65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</row>
    <row r="849" spans="1:21">
      <c r="A849" s="65"/>
      <c r="D849" s="65"/>
    </row>
    <row r="850" spans="1:21">
      <c r="A850" s="65"/>
      <c r="D850" s="65"/>
    </row>
    <row r="851" spans="1:21" s="149" customFormat="1" ht="13">
      <c r="A851" s="65"/>
      <c r="B851" s="65"/>
      <c r="C851" s="65"/>
      <c r="D851" s="65"/>
      <c r="E851" s="65"/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</row>
    <row r="852" spans="1:21">
      <c r="A852" s="65"/>
      <c r="D852" s="65"/>
    </row>
    <row r="853" spans="1:21">
      <c r="A853" s="65"/>
      <c r="D853" s="65"/>
    </row>
    <row r="854" spans="1:21" s="149" customFormat="1" ht="13">
      <c r="A854" s="65"/>
      <c r="B854" s="65"/>
      <c r="C854" s="65"/>
      <c r="D854" s="65"/>
      <c r="E854" s="65"/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</row>
    <row r="855" spans="1:21">
      <c r="A855" s="65"/>
      <c r="D855" s="65"/>
    </row>
    <row r="856" spans="1:21">
      <c r="A856" s="65"/>
      <c r="D856" s="65"/>
    </row>
    <row r="857" spans="1:21" s="149" customFormat="1" ht="13">
      <c r="A857" s="65"/>
      <c r="B857" s="65"/>
      <c r="C857" s="65"/>
      <c r="D857" s="65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</row>
    <row r="858" spans="1:21">
      <c r="A858" s="65"/>
      <c r="D858" s="65"/>
    </row>
    <row r="859" spans="1:21">
      <c r="A859" s="65"/>
      <c r="D859" s="65"/>
    </row>
    <row r="860" spans="1:21" s="149" customFormat="1" ht="13">
      <c r="A860" s="65"/>
      <c r="B860" s="65"/>
      <c r="C860" s="65"/>
      <c r="D860" s="65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</row>
    <row r="861" spans="1:21">
      <c r="A861" s="65"/>
      <c r="D861" s="65"/>
    </row>
    <row r="862" spans="1:21">
      <c r="A862" s="65"/>
      <c r="D862" s="65"/>
    </row>
    <row r="863" spans="1:21" s="149" customFormat="1" ht="13">
      <c r="A863" s="65"/>
      <c r="B863" s="65"/>
      <c r="C863" s="65"/>
      <c r="D863" s="65"/>
      <c r="E863" s="65"/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</row>
    <row r="864" spans="1:21">
      <c r="A864" s="65"/>
      <c r="D864" s="65"/>
    </row>
    <row r="865" spans="1:21">
      <c r="A865" s="65"/>
      <c r="D865" s="65"/>
    </row>
    <row r="866" spans="1:21" s="149" customFormat="1" ht="13">
      <c r="A866" s="65"/>
      <c r="B866" s="65"/>
      <c r="C866" s="65"/>
      <c r="D866" s="65"/>
      <c r="E866" s="65"/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</row>
    <row r="867" spans="1:21">
      <c r="A867" s="65"/>
      <c r="D867" s="65"/>
    </row>
    <row r="868" spans="1:21">
      <c r="A868" s="65"/>
      <c r="D868" s="65"/>
    </row>
    <row r="869" spans="1:21" s="149" customFormat="1" ht="13">
      <c r="A869" s="65"/>
      <c r="B869" s="65"/>
      <c r="C869" s="65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</row>
    <row r="870" spans="1:21">
      <c r="A870" s="65"/>
      <c r="D870" s="65"/>
    </row>
    <row r="871" spans="1:21">
      <c r="A871" s="65"/>
      <c r="D871" s="65"/>
    </row>
    <row r="872" spans="1:21" s="149" customFormat="1" ht="13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</row>
    <row r="873" spans="1:21">
      <c r="A873" s="65"/>
      <c r="D873" s="65"/>
    </row>
    <row r="874" spans="1:21">
      <c r="A874" s="65"/>
      <c r="D874" s="65"/>
    </row>
    <row r="875" spans="1:21">
      <c r="A875" s="65"/>
      <c r="D875" s="65"/>
    </row>
    <row r="876" spans="1:21">
      <c r="A876" s="65"/>
      <c r="D876" s="65"/>
    </row>
    <row r="877" spans="1:21">
      <c r="A877" s="65"/>
      <c r="D877" s="65"/>
    </row>
    <row r="878" spans="1:21">
      <c r="A878" s="65"/>
      <c r="D878" s="65"/>
    </row>
    <row r="879" spans="1:21">
      <c r="A879" s="65"/>
      <c r="D879" s="65"/>
    </row>
    <row r="880" spans="1:21">
      <c r="A880" s="65"/>
      <c r="D880" s="65"/>
    </row>
    <row r="881" s="65" customFormat="1"/>
    <row r="882" s="65" customFormat="1"/>
    <row r="883" s="65" customFormat="1"/>
    <row r="884" s="65" customFormat="1"/>
    <row r="885" s="65" customFormat="1"/>
    <row r="886" s="65" customFormat="1"/>
    <row r="887" s="65" customFormat="1"/>
    <row r="888" s="65" customFormat="1"/>
    <row r="889" s="65" customFormat="1"/>
    <row r="890" s="65" customFormat="1"/>
    <row r="891" s="65" customFormat="1"/>
    <row r="892" s="65" customFormat="1"/>
    <row r="893" s="65" customFormat="1"/>
    <row r="894" s="65" customFormat="1"/>
    <row r="895" s="65" customFormat="1"/>
    <row r="896" s="65" customFormat="1"/>
    <row r="897" s="65" customFormat="1"/>
    <row r="898" s="65" customFormat="1"/>
    <row r="899" s="65" customFormat="1"/>
    <row r="900" s="65" customFormat="1"/>
    <row r="901" s="65" customFormat="1"/>
    <row r="902" s="65" customFormat="1"/>
    <row r="903" s="65" customFormat="1"/>
    <row r="904" s="65" customFormat="1"/>
    <row r="905" s="65" customFormat="1"/>
    <row r="906" s="65" customFormat="1"/>
    <row r="907" s="65" customFormat="1"/>
    <row r="908" s="65" customFormat="1"/>
    <row r="909" s="65" customFormat="1"/>
    <row r="910" s="65" customFormat="1"/>
    <row r="911" s="65" customFormat="1"/>
    <row r="912" s="65" customFormat="1"/>
    <row r="913" s="65" customFormat="1"/>
    <row r="914" s="65" customFormat="1"/>
    <row r="915" s="65" customFormat="1"/>
    <row r="916" s="65" customFormat="1"/>
    <row r="917" s="65" customFormat="1"/>
    <row r="918" s="65" customFormat="1"/>
    <row r="919" s="65" customFormat="1"/>
    <row r="920" s="65" customFormat="1"/>
    <row r="921" s="65" customFormat="1"/>
    <row r="922" s="65" customFormat="1"/>
    <row r="923" s="65" customFormat="1"/>
    <row r="924" s="65" customFormat="1"/>
    <row r="925" s="65" customFormat="1"/>
    <row r="926" s="65" customFormat="1"/>
    <row r="927" s="65" customFormat="1"/>
    <row r="928" s="65" customFormat="1"/>
    <row r="929" s="65" customFormat="1"/>
    <row r="930" s="65" customFormat="1"/>
    <row r="931" s="65" customFormat="1"/>
    <row r="932" s="65" customFormat="1"/>
    <row r="933" s="65" customFormat="1"/>
    <row r="934" s="65" customFormat="1"/>
    <row r="935" s="65" customFormat="1"/>
    <row r="936" s="65" customFormat="1"/>
    <row r="937" s="65" customFormat="1"/>
    <row r="938" s="65" customFormat="1"/>
    <row r="939" s="65" customFormat="1"/>
    <row r="940" s="65" customFormat="1"/>
    <row r="941" s="65" customFormat="1"/>
    <row r="942" s="65" customFormat="1"/>
    <row r="943" s="65" customFormat="1"/>
    <row r="944" s="65" customFormat="1"/>
    <row r="945" s="65" customFormat="1"/>
    <row r="946" s="65" customFormat="1"/>
    <row r="947" s="65" customFormat="1"/>
    <row r="948" s="65" customFormat="1"/>
    <row r="949" s="65" customFormat="1"/>
    <row r="950" s="65" customFormat="1"/>
    <row r="951" s="65" customFormat="1"/>
    <row r="952" s="65" customFormat="1"/>
    <row r="953" s="65" customFormat="1"/>
    <row r="954" s="65" customFormat="1"/>
    <row r="955" s="65" customFormat="1"/>
    <row r="956" s="65" customFormat="1"/>
    <row r="957" s="65" customFormat="1"/>
    <row r="958" s="65" customFormat="1"/>
    <row r="959" s="65" customFormat="1"/>
    <row r="960" s="65" customFormat="1"/>
    <row r="961" s="65" customFormat="1"/>
    <row r="962" s="65" customFormat="1"/>
    <row r="963" s="65" customFormat="1"/>
    <row r="964" s="65" customFormat="1"/>
    <row r="965" s="65" customFormat="1"/>
    <row r="966" s="65" customFormat="1"/>
    <row r="967" s="65" customFormat="1"/>
    <row r="968" s="65" customFormat="1"/>
    <row r="969" s="65" customFormat="1"/>
    <row r="970" s="65" customFormat="1"/>
    <row r="971" s="65" customFormat="1"/>
    <row r="972" s="65" customFormat="1"/>
    <row r="973" s="65" customFormat="1"/>
    <row r="974" s="65" customFormat="1"/>
    <row r="975" s="65" customFormat="1"/>
    <row r="976" s="65" customFormat="1"/>
    <row r="977" s="65" customFormat="1"/>
    <row r="978" s="65" customFormat="1"/>
    <row r="979" s="65" customFormat="1"/>
    <row r="980" s="65" customFormat="1"/>
    <row r="981" s="65" customFormat="1"/>
    <row r="982" s="65" customFormat="1"/>
    <row r="983" s="65" customFormat="1"/>
    <row r="984" s="65" customFormat="1"/>
    <row r="985" s="65" customFormat="1"/>
    <row r="986" s="65" customFormat="1"/>
    <row r="987" s="65" customFormat="1"/>
    <row r="988" s="65" customFormat="1"/>
    <row r="989" s="65" customFormat="1"/>
    <row r="990" s="65" customFormat="1"/>
    <row r="991" s="65" customFormat="1"/>
    <row r="992" s="65" customFormat="1"/>
    <row r="993" s="65" customFormat="1"/>
    <row r="994" s="65" customFormat="1"/>
    <row r="995" s="65" customFormat="1"/>
    <row r="996" s="65" customFormat="1"/>
    <row r="997" s="65" customFormat="1"/>
    <row r="998" s="65" customFormat="1"/>
    <row r="999" s="65" customFormat="1"/>
    <row r="1000" s="65" customFormat="1"/>
    <row r="1001" s="65" customFormat="1"/>
    <row r="1002" s="65" customFormat="1"/>
    <row r="1003" s="65" customFormat="1"/>
    <row r="1004" s="65" customFormat="1"/>
    <row r="1005" s="65" customFormat="1"/>
    <row r="1006" s="65" customFormat="1"/>
    <row r="1007" s="65" customFormat="1"/>
    <row r="1008" s="65" customFormat="1"/>
    <row r="1009" s="65" customFormat="1"/>
    <row r="1010" s="65" customFormat="1"/>
    <row r="1011" s="65" customFormat="1"/>
    <row r="1012" s="65" customFormat="1"/>
    <row r="1013" s="65" customFormat="1"/>
    <row r="1014" s="65" customFormat="1"/>
    <row r="1015" s="65" customFormat="1"/>
    <row r="1016" s="65" customFormat="1"/>
    <row r="1017" s="65" customFormat="1"/>
    <row r="1018" s="65" customFormat="1"/>
    <row r="1019" s="65" customFormat="1"/>
    <row r="1020" s="65" customFormat="1"/>
    <row r="1021" s="65" customFormat="1"/>
    <row r="1022" s="65" customFormat="1"/>
    <row r="1023" s="65" customFormat="1"/>
    <row r="1024" s="65" customFormat="1"/>
    <row r="1025" s="65" customFormat="1"/>
    <row r="1026" s="65" customFormat="1"/>
    <row r="1027" s="65" customFormat="1"/>
    <row r="1028" s="65" customFormat="1"/>
    <row r="1029" s="65" customFormat="1"/>
    <row r="1030" s="65" customFormat="1"/>
    <row r="1031" s="65" customFormat="1"/>
    <row r="1032" s="65" customFormat="1"/>
    <row r="1033" s="65" customFormat="1"/>
    <row r="1034" s="65" customFormat="1"/>
    <row r="1035" s="65" customFormat="1"/>
    <row r="1036" s="65" customFormat="1"/>
    <row r="1037" s="65" customFormat="1"/>
    <row r="1038" s="65" customFormat="1"/>
    <row r="1039" s="65" customFormat="1"/>
    <row r="1040" s="65" customFormat="1"/>
    <row r="1041" s="65" customFormat="1"/>
    <row r="1042" s="65" customFormat="1"/>
    <row r="1043" s="65" customFormat="1"/>
    <row r="1044" s="65" customFormat="1"/>
    <row r="1045" s="65" customFormat="1"/>
    <row r="1046" s="65" customFormat="1"/>
    <row r="1047" s="65" customFormat="1"/>
    <row r="1048" s="65" customFormat="1"/>
    <row r="1049" s="65" customFormat="1"/>
    <row r="1050" s="65" customFormat="1"/>
    <row r="1051" s="65" customFormat="1"/>
    <row r="1052" s="65" customFormat="1"/>
    <row r="1053" s="65" customFormat="1"/>
    <row r="1054" s="65" customFormat="1"/>
    <row r="1055" s="65" customFormat="1"/>
    <row r="1056" s="65" customFormat="1"/>
    <row r="1057" s="65" customFormat="1"/>
    <row r="1058" s="65" customFormat="1"/>
    <row r="1059" s="65" customFormat="1"/>
    <row r="1060" s="65" customFormat="1"/>
    <row r="1061" s="65" customFormat="1"/>
    <row r="1062" s="65" customFormat="1"/>
    <row r="1063" s="65" customFormat="1"/>
    <row r="1064" s="65" customFormat="1"/>
    <row r="1065" s="65" customFormat="1"/>
    <row r="1066" s="65" customFormat="1"/>
    <row r="1067" s="65" customFormat="1"/>
    <row r="1068" s="65" customFormat="1"/>
    <row r="1069" s="65" customFormat="1"/>
    <row r="1070" s="65" customFormat="1"/>
    <row r="1071" s="65" customFormat="1"/>
    <row r="1072" s="65" customFormat="1"/>
    <row r="1073" s="65" customFormat="1"/>
    <row r="1074" s="65" customFormat="1"/>
    <row r="1075" s="65" customFormat="1"/>
    <row r="1076" s="65" customFormat="1"/>
    <row r="1077" s="65" customFormat="1"/>
    <row r="1078" s="65" customFormat="1"/>
    <row r="1079" s="65" customFormat="1"/>
    <row r="1080" s="65" customFormat="1"/>
    <row r="1081" s="65" customFormat="1"/>
    <row r="1082" s="65" customFormat="1"/>
    <row r="1083" s="65" customFormat="1"/>
    <row r="1084" s="65" customFormat="1"/>
    <row r="1085" s="65" customFormat="1"/>
    <row r="1086" s="65" customFormat="1"/>
    <row r="1087" s="65" customFormat="1"/>
    <row r="1088" s="65" customFormat="1"/>
    <row r="1089" s="65" customFormat="1"/>
    <row r="1090" s="65" customFormat="1"/>
    <row r="1091" s="65" customFormat="1"/>
    <row r="1092" s="65" customFormat="1"/>
    <row r="1093" s="65" customFormat="1"/>
    <row r="1094" s="65" customFormat="1"/>
    <row r="1095" s="65" customFormat="1"/>
    <row r="1096" s="65" customFormat="1"/>
    <row r="1097" s="65" customFormat="1"/>
    <row r="1098" s="65" customFormat="1"/>
    <row r="1099" s="65" customFormat="1"/>
    <row r="1100" s="65" customFormat="1"/>
    <row r="1101" s="65" customFormat="1"/>
    <row r="1102" s="65" customFormat="1"/>
    <row r="1103" s="65" customFormat="1"/>
    <row r="1104" s="65" customFormat="1"/>
    <row r="1105" s="65" customFormat="1"/>
    <row r="1106" s="65" customFormat="1"/>
    <row r="1107" s="65" customFormat="1"/>
    <row r="1108" s="65" customFormat="1"/>
    <row r="1109" s="65" customFormat="1"/>
    <row r="1110" s="65" customFormat="1"/>
    <row r="1111" s="65" customFormat="1"/>
    <row r="1112" s="65" customFormat="1"/>
    <row r="1113" s="65" customFormat="1"/>
    <row r="1114" s="65" customFormat="1"/>
    <row r="1115" s="65" customFormat="1"/>
    <row r="1116" s="65" customFormat="1"/>
    <row r="1117" s="65" customFormat="1"/>
    <row r="1118" s="65" customFormat="1"/>
    <row r="1119" s="65" customFormat="1"/>
    <row r="1120" s="65" customFormat="1"/>
    <row r="1121" s="65" customFormat="1"/>
    <row r="1122" s="65" customFormat="1"/>
    <row r="1123" s="65" customFormat="1"/>
    <row r="1124" s="65" customFormat="1"/>
    <row r="1125" s="65" customFormat="1"/>
    <row r="1126" s="65" customFormat="1"/>
    <row r="1127" s="65" customFormat="1"/>
    <row r="1128" s="65" customFormat="1"/>
    <row r="1129" s="65" customFormat="1"/>
    <row r="1130" s="65" customFormat="1"/>
    <row r="1131" s="65" customFormat="1"/>
    <row r="1132" s="65" customFormat="1"/>
    <row r="1133" s="65" customFormat="1"/>
    <row r="1134" s="65" customFormat="1"/>
    <row r="1135" s="65" customFormat="1"/>
    <row r="1136" s="65" customFormat="1"/>
    <row r="1137" s="65" customFormat="1"/>
    <row r="1138" s="65" customFormat="1"/>
    <row r="1139" s="65" customFormat="1"/>
    <row r="1140" s="65" customFormat="1"/>
    <row r="1141" s="65" customFormat="1"/>
    <row r="1142" s="65" customFormat="1"/>
    <row r="1143" s="65" customFormat="1"/>
    <row r="1144" s="65" customFormat="1"/>
    <row r="1145" s="65" customFormat="1"/>
    <row r="1146" s="65" customFormat="1"/>
    <row r="1147" s="65" customFormat="1"/>
    <row r="1148" s="65" customFormat="1"/>
    <row r="1149" s="65" customFormat="1"/>
    <row r="1150" s="65" customFormat="1"/>
    <row r="1151" s="65" customFormat="1"/>
    <row r="1152" s="65" customFormat="1"/>
    <row r="1153" s="65" customFormat="1"/>
    <row r="1154" s="65" customFormat="1"/>
    <row r="1155" s="65" customFormat="1"/>
    <row r="1156" s="65" customFormat="1"/>
    <row r="1157" s="65" customFormat="1"/>
    <row r="1158" s="65" customFormat="1"/>
    <row r="1159" s="65" customFormat="1"/>
    <row r="1160" s="65" customFormat="1"/>
    <row r="1161" s="65" customFormat="1"/>
    <row r="1162" s="65" customFormat="1"/>
    <row r="1163" s="65" customFormat="1"/>
    <row r="1164" s="65" customFormat="1"/>
    <row r="1165" s="65" customFormat="1"/>
    <row r="1166" s="65" customFormat="1"/>
    <row r="1167" s="65" customFormat="1"/>
    <row r="1168" s="65" customFormat="1"/>
    <row r="1169" s="65" customFormat="1"/>
    <row r="1170" s="65" customFormat="1"/>
    <row r="1171" s="65" customFormat="1"/>
    <row r="1172" s="65" customFormat="1"/>
    <row r="1173" s="65" customFormat="1"/>
    <row r="1174" s="65" customFormat="1"/>
    <row r="1175" s="65" customFormat="1"/>
    <row r="1176" s="65" customFormat="1"/>
    <row r="1177" s="65" customFormat="1"/>
    <row r="1178" s="65" customFormat="1"/>
    <row r="1179" s="65" customFormat="1"/>
    <row r="1180" s="65" customFormat="1"/>
    <row r="1181" s="65" customFormat="1"/>
    <row r="1182" s="65" customFormat="1"/>
    <row r="1183" s="65" customFormat="1"/>
    <row r="1184" s="65" customFormat="1"/>
    <row r="1185" s="65" customFormat="1"/>
    <row r="1186" s="65" customFormat="1"/>
    <row r="1187" s="65" customFormat="1"/>
    <row r="1188" s="65" customFormat="1"/>
    <row r="1189" s="65" customFormat="1"/>
    <row r="1190" s="65" customFormat="1"/>
    <row r="1191" s="65" customFormat="1"/>
    <row r="1192" s="65" customFormat="1"/>
    <row r="1193" s="65" customFormat="1"/>
    <row r="1194" s="65" customFormat="1"/>
    <row r="1195" s="65" customFormat="1"/>
    <row r="1196" s="65" customFormat="1"/>
    <row r="1197" s="65" customFormat="1"/>
    <row r="1198" s="65" customFormat="1"/>
    <row r="1199" s="65" customFormat="1"/>
    <row r="1200" s="65" customFormat="1"/>
    <row r="1201" s="65" customFormat="1"/>
    <row r="1202" s="65" customFormat="1"/>
    <row r="1203" s="65" customFormat="1"/>
    <row r="1204" s="65" customFormat="1"/>
    <row r="1205" s="65" customFormat="1"/>
    <row r="1206" s="65" customFormat="1"/>
    <row r="1207" s="65" customFormat="1"/>
    <row r="1208" s="65" customFormat="1"/>
    <row r="1209" s="65" customFormat="1"/>
    <row r="1210" s="65" customFormat="1"/>
    <row r="1211" s="65" customFormat="1"/>
    <row r="1212" s="65" customFormat="1"/>
    <row r="1213" s="65" customFormat="1"/>
    <row r="1214" s="65" customFormat="1"/>
    <row r="1215" s="65" customFormat="1"/>
    <row r="1216" s="65" customFormat="1"/>
    <row r="1217" s="65" customFormat="1"/>
    <row r="1218" s="65" customFormat="1"/>
    <row r="1219" s="65" customFormat="1"/>
    <row r="1220" s="65" customFormat="1"/>
    <row r="1221" s="65" customFormat="1"/>
    <row r="1222" s="65" customFormat="1"/>
    <row r="1223" s="65" customFormat="1"/>
    <row r="1224" s="65" customFormat="1"/>
    <row r="1225" s="65" customFormat="1"/>
    <row r="1226" s="65" customFormat="1"/>
    <row r="1227" s="65" customFormat="1"/>
    <row r="1228" s="65" customFormat="1"/>
    <row r="1229" s="65" customFormat="1"/>
    <row r="1230" s="65" customFormat="1"/>
    <row r="1231" s="65" customFormat="1"/>
    <row r="1232" s="65" customFormat="1"/>
    <row r="1233" s="65" customFormat="1"/>
    <row r="1234" s="65" customFormat="1"/>
    <row r="1235" s="65" customFormat="1"/>
    <row r="1236" s="65" customFormat="1"/>
    <row r="1237" s="65" customFormat="1"/>
    <row r="1238" s="65" customFormat="1"/>
    <row r="1239" s="65" customFormat="1"/>
    <row r="1240" s="65" customFormat="1"/>
    <row r="1241" s="65" customFormat="1"/>
    <row r="1242" s="65" customFormat="1"/>
    <row r="1243" s="65" customFormat="1"/>
    <row r="1244" s="65" customFormat="1"/>
    <row r="1245" s="65" customFormat="1"/>
    <row r="1246" s="65" customFormat="1"/>
    <row r="1247" s="65" customFormat="1"/>
    <row r="1248" s="65" customFormat="1"/>
    <row r="1249" s="65" customFormat="1"/>
    <row r="1250" s="65" customFormat="1"/>
    <row r="1251" s="65" customFormat="1"/>
    <row r="1252" s="65" customFormat="1"/>
    <row r="1253" s="65" customFormat="1"/>
    <row r="1254" s="65" customFormat="1"/>
    <row r="1255" s="65" customFormat="1"/>
    <row r="1256" s="65" customFormat="1"/>
    <row r="1257" s="65" customFormat="1"/>
    <row r="1258" s="65" customFormat="1"/>
    <row r="1259" s="65" customFormat="1"/>
    <row r="1260" s="65" customFormat="1"/>
    <row r="1261" s="65" customFormat="1"/>
    <row r="1262" s="65" customFormat="1"/>
    <row r="1263" s="65" customFormat="1"/>
    <row r="1264" s="65" customFormat="1"/>
    <row r="1265" s="65" customFormat="1"/>
    <row r="1266" s="65" customFormat="1"/>
    <row r="1267" s="65" customFormat="1"/>
    <row r="1268" s="65" customFormat="1"/>
    <row r="1269" s="65" customFormat="1"/>
    <row r="1270" s="65" customFormat="1"/>
    <row r="1271" s="65" customFormat="1"/>
    <row r="1272" s="65" customFormat="1"/>
    <row r="1273" s="65" customFormat="1"/>
    <row r="1274" s="65" customFormat="1"/>
    <row r="1275" s="65" customFormat="1"/>
    <row r="1276" s="65" customFormat="1"/>
    <row r="1277" s="65" customFormat="1"/>
    <row r="1278" s="65" customFormat="1"/>
    <row r="1279" s="65" customFormat="1"/>
    <row r="1280" s="65" customFormat="1"/>
    <row r="1281" s="65" customFormat="1"/>
    <row r="1282" s="65" customFormat="1"/>
    <row r="1283" s="65" customFormat="1"/>
    <row r="1284" s="65" customFormat="1"/>
    <row r="1285" s="65" customFormat="1"/>
    <row r="1286" s="65" customFormat="1"/>
    <row r="1287" s="65" customFormat="1"/>
    <row r="1288" s="65" customFormat="1"/>
    <row r="1289" s="65" customFormat="1"/>
    <row r="1290" s="65" customFormat="1"/>
    <row r="1291" s="65" customFormat="1"/>
    <row r="1292" s="65" customFormat="1"/>
    <row r="1293" s="65" customFormat="1"/>
    <row r="1294" s="65" customFormat="1"/>
    <row r="1295" s="65" customFormat="1"/>
    <row r="1296" s="65" customFormat="1"/>
    <row r="1297" s="65" customFormat="1"/>
    <row r="1298" s="65" customFormat="1"/>
    <row r="1299" s="65" customFormat="1"/>
    <row r="1300" s="65" customFormat="1"/>
    <row r="1301" s="65" customFormat="1"/>
    <row r="1302" s="65" customFormat="1"/>
    <row r="1303" s="65" customFormat="1"/>
    <row r="1304" s="65" customFormat="1"/>
    <row r="1305" s="65" customFormat="1"/>
    <row r="1306" s="65" customFormat="1"/>
    <row r="1307" s="65" customFormat="1"/>
    <row r="1308" s="65" customFormat="1"/>
    <row r="1309" s="65" customFormat="1"/>
    <row r="1310" s="65" customFormat="1"/>
    <row r="1311" s="65" customFormat="1"/>
    <row r="1312" s="65" customFormat="1"/>
    <row r="1313" s="65" customFormat="1"/>
    <row r="1314" s="65" customFormat="1"/>
    <row r="1315" s="65" customFormat="1"/>
    <row r="1316" s="65" customFormat="1"/>
    <row r="1317" s="65" customFormat="1"/>
    <row r="1318" s="65" customFormat="1"/>
    <row r="1319" s="65" customFormat="1"/>
    <row r="1320" s="65" customFormat="1"/>
    <row r="1321" s="65" customFormat="1"/>
    <row r="1322" s="65" customFormat="1"/>
    <row r="1323" s="65" customFormat="1"/>
    <row r="1324" s="65" customFormat="1"/>
    <row r="1325" s="65" customFormat="1"/>
    <row r="1326" s="65" customFormat="1"/>
    <row r="1327" s="65" customFormat="1"/>
    <row r="1328" s="65" customFormat="1"/>
    <row r="1329" s="65" customFormat="1"/>
    <row r="1330" s="65" customFormat="1"/>
    <row r="1331" s="65" customFormat="1"/>
    <row r="1332" s="65" customFormat="1"/>
    <row r="1333" s="65" customFormat="1"/>
    <row r="1334" s="65" customFormat="1"/>
    <row r="1335" s="65" customFormat="1"/>
    <row r="1336" s="65" customFormat="1"/>
    <row r="1337" s="65" customFormat="1"/>
    <row r="1338" s="65" customFormat="1"/>
    <row r="1339" s="65" customFormat="1"/>
    <row r="1340" s="65" customFormat="1"/>
    <row r="1341" s="65" customFormat="1"/>
    <row r="1342" s="65" customFormat="1"/>
    <row r="1343" s="65" customFormat="1"/>
    <row r="1344" s="65" customFormat="1"/>
    <row r="1345" s="65" customFormat="1"/>
    <row r="1346" s="65" customFormat="1"/>
    <row r="1347" s="65" customFormat="1"/>
    <row r="1348" s="65" customFormat="1"/>
    <row r="1349" s="65" customFormat="1"/>
    <row r="1350" s="65" customFormat="1"/>
    <row r="1351" s="65" customFormat="1"/>
    <row r="1352" s="65" customFormat="1"/>
    <row r="1353" s="65" customFormat="1"/>
    <row r="1354" s="65" customFormat="1"/>
    <row r="1355" s="65" customFormat="1"/>
    <row r="1356" s="65" customFormat="1"/>
    <row r="1357" s="65" customFormat="1"/>
    <row r="1358" s="65" customFormat="1"/>
    <row r="1359" s="65" customFormat="1"/>
    <row r="1360" s="65" customFormat="1"/>
    <row r="1361" s="65" customFormat="1"/>
    <row r="1362" s="65" customFormat="1"/>
    <row r="1363" s="65" customFormat="1"/>
    <row r="1364" s="65" customFormat="1"/>
    <row r="1365" s="65" customFormat="1"/>
    <row r="1366" s="65" customFormat="1"/>
    <row r="1367" s="65" customFormat="1"/>
    <row r="1368" s="65" customFormat="1"/>
    <row r="1369" s="65" customFormat="1"/>
    <row r="1370" s="65" customFormat="1"/>
    <row r="1371" s="65" customFormat="1"/>
    <row r="1372" s="65" customFormat="1"/>
    <row r="1373" s="65" customFormat="1"/>
    <row r="1374" s="65" customFormat="1"/>
    <row r="1375" s="65" customFormat="1"/>
    <row r="1376" s="65" customFormat="1"/>
    <row r="1377" s="65" customFormat="1"/>
    <row r="1378" s="65" customFormat="1"/>
    <row r="1379" s="65" customFormat="1"/>
    <row r="1380" s="65" customFormat="1"/>
    <row r="1381" s="65" customFormat="1"/>
    <row r="1382" s="65" customFormat="1"/>
    <row r="1383" s="65" customFormat="1"/>
    <row r="1384" s="65" customFormat="1"/>
    <row r="1385" s="65" customFormat="1"/>
    <row r="1386" s="65" customFormat="1"/>
    <row r="1387" s="65" customFormat="1"/>
    <row r="1388" s="65" customFormat="1"/>
    <row r="1389" s="65" customFormat="1"/>
    <row r="1390" s="65" customFormat="1"/>
    <row r="1391" s="65" customFormat="1"/>
    <row r="1392" s="65" customFormat="1"/>
    <row r="1393" s="65" customFormat="1"/>
    <row r="1394" s="65" customFormat="1"/>
    <row r="1395" s="65" customFormat="1"/>
    <row r="1396" s="65" customFormat="1"/>
    <row r="1397" s="65" customFormat="1"/>
    <row r="1398" s="65" customFormat="1"/>
    <row r="1399" s="65" customFormat="1"/>
    <row r="1400" s="65" customFormat="1"/>
    <row r="1401" s="65" customFormat="1"/>
    <row r="1402" s="65" customFormat="1"/>
    <row r="1403" s="65" customFormat="1"/>
    <row r="1404" s="65" customFormat="1"/>
    <row r="1405" s="65" customFormat="1"/>
    <row r="1406" s="65" customFormat="1"/>
    <row r="1407" s="65" customFormat="1"/>
    <row r="1408" s="65" customFormat="1"/>
    <row r="1409" s="65" customFormat="1"/>
    <row r="1410" s="65" customFormat="1"/>
    <row r="1411" s="65" customFormat="1"/>
    <row r="1412" s="65" customFormat="1"/>
    <row r="1413" s="65" customFormat="1"/>
    <row r="1414" s="65" customFormat="1"/>
    <row r="1415" s="65" customFormat="1"/>
    <row r="1416" s="65" customFormat="1"/>
    <row r="1417" s="65" customFormat="1"/>
    <row r="1418" s="65" customFormat="1"/>
    <row r="1419" s="65" customFormat="1"/>
    <row r="1420" s="65" customFormat="1"/>
    <row r="1421" s="65" customFormat="1"/>
    <row r="1422" s="65" customFormat="1"/>
    <row r="1423" s="65" customFormat="1"/>
    <row r="1424" s="65" customFormat="1"/>
    <row r="1425" s="65" customFormat="1"/>
    <row r="1426" s="65" customFormat="1"/>
    <row r="1427" s="65" customFormat="1"/>
    <row r="1428" s="65" customFormat="1"/>
    <row r="1429" s="65" customFormat="1"/>
    <row r="1430" s="65" customFormat="1"/>
    <row r="1431" s="65" customFormat="1"/>
    <row r="1432" s="65" customFormat="1"/>
    <row r="1433" s="65" customFormat="1"/>
    <row r="1434" s="65" customFormat="1"/>
    <row r="1435" s="65" customFormat="1"/>
    <row r="1436" s="65" customFormat="1"/>
    <row r="1437" s="65" customFormat="1"/>
    <row r="1438" s="65" customFormat="1"/>
    <row r="1439" s="65" customFormat="1"/>
    <row r="1440" s="65" customFormat="1"/>
    <row r="1441" s="65" customFormat="1"/>
    <row r="1442" s="65" customFormat="1"/>
    <row r="1443" s="65" customFormat="1"/>
    <row r="1444" s="65" customFormat="1"/>
    <row r="1445" s="65" customFormat="1"/>
    <row r="1446" s="65" customFormat="1"/>
    <row r="1447" s="65" customFormat="1"/>
    <row r="1448" s="65" customFormat="1"/>
    <row r="1449" s="65" customFormat="1"/>
    <row r="1450" s="65" customFormat="1"/>
    <row r="1451" s="65" customFormat="1"/>
    <row r="1452" s="65" customFormat="1"/>
    <row r="1453" s="65" customFormat="1"/>
    <row r="1454" s="65" customFormat="1"/>
    <row r="1455" s="65" customFormat="1"/>
    <row r="1456" s="65" customFormat="1"/>
    <row r="1457" s="65" customFormat="1"/>
    <row r="1458" s="65" customFormat="1"/>
    <row r="1459" s="65" customFormat="1"/>
    <row r="1460" s="65" customFormat="1"/>
    <row r="1461" s="65" customFormat="1"/>
    <row r="1462" s="65" customFormat="1"/>
    <row r="1463" s="65" customFormat="1"/>
    <row r="1464" s="65" customFormat="1"/>
    <row r="1465" s="65" customFormat="1"/>
    <row r="1466" s="65" customFormat="1"/>
    <row r="1467" s="65" customFormat="1"/>
    <row r="1468" s="65" customFormat="1"/>
    <row r="1469" s="65" customFormat="1"/>
    <row r="1470" s="65" customFormat="1"/>
    <row r="1471" s="65" customFormat="1"/>
    <row r="1472" s="65" customFormat="1"/>
    <row r="1473" s="65" customFormat="1"/>
    <row r="1474" s="65" customFormat="1"/>
    <row r="1475" s="65" customFormat="1"/>
    <row r="1476" s="65" customFormat="1"/>
    <row r="1477" s="65" customFormat="1"/>
    <row r="1478" s="65" customFormat="1"/>
    <row r="1479" s="65" customFormat="1"/>
    <row r="1480" s="65" customFormat="1"/>
    <row r="1481" s="65" customFormat="1"/>
    <row r="1482" s="65" customFormat="1"/>
    <row r="1483" s="65" customFormat="1"/>
    <row r="1484" s="65" customFormat="1"/>
    <row r="1485" s="65" customFormat="1"/>
    <row r="1486" s="65" customFormat="1"/>
    <row r="1487" s="65" customFormat="1"/>
    <row r="1488" s="65" customFormat="1"/>
    <row r="1489" s="65" customFormat="1"/>
    <row r="1490" s="65" customFormat="1"/>
    <row r="1491" s="65" customFormat="1"/>
    <row r="1492" s="65" customFormat="1"/>
    <row r="1493" s="65" customFormat="1"/>
    <row r="1494" s="65" customFormat="1"/>
    <row r="1495" s="65" customFormat="1"/>
    <row r="1496" s="65" customFormat="1"/>
    <row r="1497" s="65" customFormat="1"/>
    <row r="1498" s="65" customFormat="1"/>
    <row r="1499" s="65" customFormat="1"/>
    <row r="1500" s="65" customFormat="1"/>
    <row r="1501" s="65" customFormat="1"/>
    <row r="1502" s="65" customFormat="1"/>
    <row r="1503" s="65" customFormat="1"/>
    <row r="1504" s="65" customFormat="1"/>
    <row r="1505" s="65" customFormat="1"/>
    <row r="1506" s="65" customFormat="1"/>
    <row r="1507" s="65" customFormat="1"/>
    <row r="1508" s="65" customFormat="1"/>
    <row r="1509" s="65" customFormat="1"/>
    <row r="1510" s="65" customFormat="1"/>
    <row r="1511" s="65" customFormat="1"/>
    <row r="1512" s="65" customFormat="1"/>
    <row r="1513" s="65" customFormat="1"/>
    <row r="1514" s="65" customFormat="1"/>
    <row r="1515" s="65" customFormat="1"/>
    <row r="1516" s="65" customFormat="1"/>
    <row r="1517" s="65" customFormat="1"/>
    <row r="1518" s="65" customFormat="1"/>
    <row r="1519" s="65" customFormat="1"/>
    <row r="1520" s="65" customFormat="1"/>
    <row r="1521" s="65" customFormat="1"/>
    <row r="1522" s="65" customFormat="1"/>
    <row r="1523" s="65" customFormat="1"/>
    <row r="1524" s="65" customFormat="1"/>
    <row r="1525" s="65" customFormat="1"/>
    <row r="1526" s="65" customFormat="1"/>
    <row r="1527" s="65" customFormat="1"/>
    <row r="1528" s="65" customFormat="1"/>
    <row r="1529" s="65" customFormat="1"/>
    <row r="1530" s="65" customFormat="1"/>
    <row r="1531" s="65" customFormat="1"/>
    <row r="1532" s="65" customFormat="1"/>
    <row r="1533" s="65" customFormat="1"/>
    <row r="1534" s="65" customFormat="1"/>
    <row r="1535" s="65" customFormat="1"/>
    <row r="1536" s="65" customFormat="1"/>
    <row r="1537" s="65" customFormat="1"/>
    <row r="1538" s="65" customFormat="1"/>
    <row r="1539" s="65" customFormat="1"/>
    <row r="1540" s="65" customFormat="1"/>
    <row r="1541" s="65" customFormat="1"/>
    <row r="1542" s="65" customFormat="1"/>
    <row r="1543" s="65" customFormat="1"/>
    <row r="1544" s="65" customFormat="1"/>
    <row r="1545" s="65" customFormat="1"/>
    <row r="1546" s="65" customFormat="1"/>
    <row r="1547" s="65" customFormat="1"/>
    <row r="1548" s="65" customFormat="1"/>
    <row r="1549" s="65" customFormat="1"/>
    <row r="1550" s="65" customFormat="1"/>
    <row r="1551" s="65" customFormat="1"/>
    <row r="1552" s="65" customFormat="1"/>
    <row r="1553" s="65" customFormat="1"/>
    <row r="1554" s="65" customFormat="1"/>
    <row r="1555" s="65" customFormat="1"/>
    <row r="1556" s="65" customFormat="1"/>
    <row r="1557" s="65" customFormat="1"/>
    <row r="1558" s="65" customFormat="1"/>
    <row r="1559" s="65" customFormat="1"/>
    <row r="1560" s="65" customFormat="1"/>
    <row r="1561" s="65" customFormat="1"/>
    <row r="1562" s="65" customFormat="1"/>
    <row r="1563" s="65" customFormat="1"/>
    <row r="1564" s="65" customFormat="1"/>
    <row r="1565" s="65" customFormat="1"/>
    <row r="1566" s="65" customFormat="1"/>
    <row r="1567" s="65" customFormat="1"/>
    <row r="1568" s="65" customFormat="1"/>
    <row r="1569" s="65" customFormat="1"/>
    <row r="1570" s="65" customFormat="1"/>
    <row r="1571" s="65" customFormat="1"/>
    <row r="1572" s="65" customFormat="1"/>
    <row r="1573" s="65" customFormat="1"/>
    <row r="1574" s="65" customFormat="1"/>
    <row r="1575" s="65" customFormat="1"/>
    <row r="1576" s="65" customFormat="1"/>
    <row r="1577" s="65" customFormat="1"/>
    <row r="1578" s="65" customFormat="1"/>
    <row r="1579" s="65" customFormat="1"/>
    <row r="1580" s="65" customFormat="1"/>
    <row r="1581" s="65" customFormat="1"/>
    <row r="1582" s="65" customFormat="1"/>
    <row r="1583" s="65" customFormat="1"/>
    <row r="1584" s="65" customFormat="1"/>
    <row r="1585" s="65" customFormat="1"/>
    <row r="1586" s="65" customFormat="1"/>
    <row r="1587" s="65" customFormat="1"/>
    <row r="1588" s="65" customFormat="1"/>
    <row r="1589" s="65" customFormat="1"/>
    <row r="1590" s="65" customFormat="1"/>
    <row r="1591" s="65" customFormat="1"/>
    <row r="1592" s="65" customFormat="1"/>
    <row r="1593" s="65" customFormat="1"/>
    <row r="1594" s="65" customFormat="1"/>
    <row r="1595" s="65" customFormat="1"/>
    <row r="1596" s="65" customFormat="1"/>
    <row r="1597" s="65" customFormat="1"/>
    <row r="1598" s="65" customFormat="1"/>
    <row r="1599" s="65" customFormat="1"/>
    <row r="1600" s="65" customFormat="1"/>
    <row r="1601" s="65" customFormat="1"/>
    <row r="1602" s="65" customFormat="1"/>
    <row r="1603" s="65" customFormat="1"/>
    <row r="1604" s="65" customFormat="1"/>
    <row r="1605" s="65" customFormat="1"/>
    <row r="1606" s="65" customFormat="1"/>
    <row r="1607" s="65" customFormat="1"/>
    <row r="1608" s="65" customFormat="1"/>
    <row r="1609" s="65" customFormat="1"/>
    <row r="1610" s="65" customFormat="1"/>
    <row r="1611" s="65" customFormat="1"/>
    <row r="1612" s="65" customFormat="1"/>
    <row r="1613" s="65" customFormat="1"/>
    <row r="1614" s="65" customFormat="1"/>
    <row r="1615" s="65" customFormat="1"/>
    <row r="1616" s="65" customFormat="1"/>
    <row r="1617" s="65" customFormat="1"/>
    <row r="1618" s="65" customFormat="1"/>
    <row r="1619" s="65" customFormat="1"/>
    <row r="1620" s="65" customFormat="1"/>
    <row r="1621" s="65" customFormat="1"/>
    <row r="1622" s="65" customFormat="1"/>
    <row r="1623" s="65" customFormat="1"/>
    <row r="1624" s="65" customFormat="1"/>
    <row r="1625" s="65" customFormat="1"/>
    <row r="1626" s="65" customFormat="1"/>
    <row r="1627" s="65" customFormat="1"/>
    <row r="1628" s="65" customFormat="1"/>
    <row r="1629" s="65" customFormat="1"/>
    <row r="1630" s="65" customFormat="1"/>
    <row r="1631" s="65" customFormat="1"/>
    <row r="1632" s="65" customFormat="1"/>
    <row r="1633" s="65" customFormat="1"/>
    <row r="1634" s="65" customFormat="1"/>
    <row r="1635" s="65" customFormat="1"/>
    <row r="1636" s="65" customFormat="1"/>
    <row r="1637" s="65" customFormat="1"/>
    <row r="1638" s="65" customFormat="1"/>
    <row r="1639" s="65" customFormat="1"/>
    <row r="1640" s="65" customFormat="1"/>
    <row r="1641" s="65" customFormat="1"/>
    <row r="1642" s="65" customFormat="1"/>
    <row r="1643" s="65" customFormat="1"/>
    <row r="1644" s="65" customFormat="1"/>
    <row r="1645" s="65" customFormat="1"/>
    <row r="1646" s="65" customFormat="1"/>
    <row r="1647" s="65" customFormat="1"/>
    <row r="1648" s="65" customFormat="1"/>
    <row r="1649" s="65" customFormat="1"/>
    <row r="1650" s="65" customFormat="1"/>
    <row r="1651" s="65" customFormat="1"/>
    <row r="1652" s="65" customFormat="1"/>
    <row r="1653" s="65" customFormat="1"/>
    <row r="1654" s="65" customFormat="1"/>
    <row r="1655" s="65" customFormat="1"/>
    <row r="1656" s="65" customFormat="1"/>
    <row r="1657" s="65" customFormat="1"/>
    <row r="1658" s="65" customFormat="1"/>
    <row r="1659" s="65" customFormat="1"/>
    <row r="1660" s="65" customFormat="1"/>
    <row r="1661" s="65" customFormat="1"/>
    <row r="1662" s="65" customFormat="1"/>
    <row r="1663" s="65" customFormat="1"/>
    <row r="1664" s="65" customFormat="1"/>
    <row r="1665" s="65" customFormat="1"/>
    <row r="1666" s="65" customFormat="1"/>
    <row r="1667" s="65" customFormat="1"/>
    <row r="1668" s="65" customFormat="1"/>
    <row r="1669" s="65" customFormat="1"/>
    <row r="1670" s="65" customFormat="1"/>
    <row r="1671" s="65" customFormat="1"/>
    <row r="1672" s="65" customFormat="1"/>
    <row r="1673" s="65" customFormat="1"/>
    <row r="1674" s="65" customFormat="1"/>
    <row r="1675" s="65" customFormat="1"/>
    <row r="1676" s="65" customFormat="1"/>
    <row r="1677" s="65" customFormat="1"/>
    <row r="1678" s="65" customFormat="1"/>
    <row r="1679" s="65" customFormat="1"/>
    <row r="1680" s="65" customFormat="1"/>
    <row r="1681" s="65" customFormat="1"/>
    <row r="1682" s="65" customFormat="1"/>
    <row r="1683" s="65" customFormat="1"/>
    <row r="1684" s="65" customFormat="1"/>
    <row r="1685" s="65" customFormat="1"/>
    <row r="1686" s="65" customFormat="1"/>
    <row r="1687" s="65" customFormat="1"/>
    <row r="1688" s="65" customFormat="1"/>
    <row r="1689" s="65" customFormat="1"/>
    <row r="1690" s="65" customFormat="1"/>
    <row r="1691" s="65" customFormat="1"/>
    <row r="1692" s="65" customFormat="1"/>
    <row r="1693" s="65" customFormat="1"/>
    <row r="1694" s="65" customFormat="1"/>
    <row r="1695" s="65" customFormat="1"/>
    <row r="1696" s="65" customFormat="1"/>
    <row r="1697" s="65" customFormat="1"/>
    <row r="1698" s="65" customFormat="1"/>
    <row r="1699" s="65" customFormat="1"/>
    <row r="1700" s="65" customFormat="1"/>
    <row r="1701" s="65" customFormat="1"/>
    <row r="1702" s="65" customFormat="1"/>
    <row r="1703" s="65" customFormat="1"/>
    <row r="1704" s="65" customFormat="1"/>
    <row r="1705" s="65" customFormat="1"/>
    <row r="1706" s="65" customFormat="1"/>
    <row r="1707" s="65" customFormat="1"/>
    <row r="1708" s="65" customFormat="1"/>
    <row r="1709" s="65" customFormat="1"/>
    <row r="1710" s="65" customFormat="1"/>
    <row r="1711" s="65" customFormat="1"/>
    <row r="1712" s="65" customFormat="1"/>
    <row r="1713" s="65" customFormat="1"/>
    <row r="1714" s="65" customFormat="1"/>
    <row r="1715" s="65" customFormat="1"/>
    <row r="1716" s="65" customFormat="1"/>
    <row r="1717" s="65" customFormat="1"/>
    <row r="1718" s="65" customFormat="1"/>
    <row r="1719" s="65" customFormat="1"/>
    <row r="1720" s="65" customFormat="1"/>
    <row r="1721" s="65" customFormat="1"/>
    <row r="1722" s="65" customFormat="1"/>
    <row r="1723" s="65" customFormat="1"/>
    <row r="1724" s="65" customFormat="1"/>
    <row r="1725" s="65" customFormat="1"/>
    <row r="1726" s="65" customFormat="1"/>
    <row r="1727" s="65" customFormat="1"/>
    <row r="1728" s="65" customFormat="1"/>
    <row r="1729" s="65" customFormat="1"/>
    <row r="1730" s="65" customFormat="1"/>
    <row r="1731" s="65" customFormat="1"/>
    <row r="1732" s="65" customFormat="1"/>
    <row r="1733" s="65" customFormat="1"/>
    <row r="1734" s="65" customFormat="1"/>
    <row r="1735" s="65" customFormat="1"/>
    <row r="1736" s="65" customFormat="1"/>
    <row r="1737" s="65" customFormat="1"/>
    <row r="1738" s="65" customFormat="1"/>
    <row r="1739" s="65" customFormat="1"/>
    <row r="1740" s="65" customFormat="1"/>
    <row r="1741" s="65" customFormat="1"/>
    <row r="1742" s="65" customFormat="1"/>
    <row r="1743" s="65" customFormat="1"/>
    <row r="1744" s="65" customFormat="1"/>
    <row r="1745" s="65" customFormat="1"/>
    <row r="1746" s="65" customFormat="1"/>
    <row r="1747" s="65" customFormat="1"/>
    <row r="1748" s="65" customFormat="1"/>
    <row r="1749" s="65" customFormat="1"/>
    <row r="1750" s="65" customFormat="1"/>
    <row r="1751" s="65" customFormat="1"/>
    <row r="1752" s="65" customFormat="1"/>
    <row r="1753" s="65" customFormat="1"/>
    <row r="1754" s="65" customFormat="1"/>
    <row r="1755" s="65" customFormat="1"/>
    <row r="1756" s="65" customFormat="1"/>
    <row r="1757" s="65" customFormat="1"/>
    <row r="1758" s="65" customFormat="1"/>
    <row r="1759" s="65" customFormat="1"/>
    <row r="1760" s="65" customFormat="1"/>
    <row r="1761" s="65" customFormat="1"/>
    <row r="1762" s="65" customFormat="1"/>
    <row r="1763" s="65" customFormat="1"/>
    <row r="1764" s="65" customFormat="1"/>
    <row r="1765" s="65" customFormat="1"/>
    <row r="1766" s="65" customFormat="1"/>
    <row r="1767" s="65" customFormat="1"/>
    <row r="1768" s="65" customFormat="1"/>
    <row r="1769" s="65" customFormat="1"/>
    <row r="1770" s="65" customFormat="1"/>
    <row r="1771" s="65" customFormat="1"/>
    <row r="1772" s="65" customFormat="1"/>
    <row r="1773" s="65" customFormat="1"/>
    <row r="1774" s="65" customFormat="1"/>
    <row r="1775" s="65" customFormat="1"/>
    <row r="1776" s="65" customFormat="1"/>
    <row r="1777" s="65" customFormat="1"/>
    <row r="1778" s="65" customFormat="1"/>
    <row r="1779" s="65" customFormat="1"/>
    <row r="1780" s="65" customFormat="1"/>
    <row r="1781" s="65" customFormat="1"/>
    <row r="1782" s="65" customFormat="1"/>
    <row r="1783" s="65" customFormat="1"/>
    <row r="1784" s="65" customFormat="1"/>
    <row r="1785" s="65" customFormat="1"/>
    <row r="1786" s="65" customFormat="1"/>
    <row r="1787" s="65" customFormat="1"/>
    <row r="1788" s="65" customFormat="1"/>
    <row r="1789" s="65" customFormat="1"/>
    <row r="1790" s="65" customFormat="1"/>
    <row r="1791" s="65" customFormat="1"/>
    <row r="1792" s="65" customFormat="1"/>
    <row r="1793" s="65" customFormat="1"/>
    <row r="1794" s="65" customFormat="1"/>
    <row r="1795" s="65" customFormat="1"/>
    <row r="1796" s="65" customFormat="1"/>
    <row r="1797" s="65" customFormat="1"/>
    <row r="1798" s="65" customFormat="1"/>
    <row r="1799" s="65" customFormat="1"/>
    <row r="1800" s="65" customFormat="1"/>
    <row r="1801" s="65" customFormat="1"/>
    <row r="1802" s="65" customFormat="1"/>
    <row r="1803" s="65" customFormat="1"/>
    <row r="1804" s="65" customFormat="1"/>
    <row r="1805" s="65" customFormat="1"/>
    <row r="1806" s="65" customFormat="1"/>
    <row r="1807" s="65" customFormat="1"/>
    <row r="1808" s="65" customFormat="1"/>
    <row r="1809" s="65" customFormat="1"/>
    <row r="1810" s="65" customFormat="1"/>
    <row r="1811" s="65" customFormat="1"/>
    <row r="1812" s="65" customFormat="1"/>
    <row r="1813" s="65" customFormat="1"/>
    <row r="1814" s="65" customFormat="1"/>
    <row r="1815" s="65" customFormat="1"/>
    <row r="1816" s="65" customFormat="1"/>
    <row r="1817" s="65" customFormat="1"/>
    <row r="1818" s="65" customFormat="1"/>
    <row r="1819" s="65" customFormat="1"/>
    <row r="1820" s="65" customFormat="1"/>
    <row r="1821" s="65" customFormat="1"/>
    <row r="1822" s="65" customFormat="1"/>
    <row r="1823" s="65" customFormat="1"/>
    <row r="1824" s="65" customFormat="1"/>
    <row r="1825" s="65" customFormat="1"/>
    <row r="1826" s="65" customFormat="1"/>
    <row r="1827" s="65" customFormat="1"/>
    <row r="1828" s="65" customFormat="1"/>
    <row r="1829" s="65" customFormat="1"/>
    <row r="1830" s="65" customFormat="1"/>
    <row r="1831" s="65" customFormat="1"/>
    <row r="1832" s="65" customFormat="1"/>
    <row r="1833" s="65" customFormat="1"/>
    <row r="1834" s="65" customFormat="1"/>
    <row r="1835" s="65" customFormat="1"/>
    <row r="1836" s="65" customFormat="1"/>
    <row r="1837" s="65" customFormat="1"/>
    <row r="1838" s="65" customFormat="1"/>
    <row r="1839" s="65" customFormat="1"/>
    <row r="1840" s="65" customFormat="1"/>
    <row r="1841" s="65" customFormat="1"/>
    <row r="1842" s="65" customFormat="1"/>
    <row r="1843" s="65" customFormat="1"/>
    <row r="1844" s="65" customFormat="1"/>
    <row r="1845" s="65" customFormat="1"/>
    <row r="1846" s="65" customFormat="1"/>
    <row r="1847" s="65" customFormat="1"/>
    <row r="1848" s="65" customFormat="1"/>
    <row r="1849" s="65" customFormat="1"/>
    <row r="1850" s="65" customFormat="1"/>
    <row r="1851" s="65" customFormat="1"/>
    <row r="1852" s="65" customFormat="1"/>
    <row r="1853" s="65" customFormat="1"/>
    <row r="1854" s="65" customFormat="1"/>
    <row r="1855" s="65" customFormat="1"/>
    <row r="1856" s="65" customFormat="1"/>
    <row r="1857" s="65" customFormat="1"/>
    <row r="1858" s="65" customFormat="1"/>
    <row r="1859" s="65" customFormat="1"/>
    <row r="1860" s="65" customFormat="1"/>
    <row r="1861" s="65" customFormat="1"/>
    <row r="1862" s="65" customFormat="1"/>
    <row r="1863" s="65" customFormat="1"/>
    <row r="1864" s="65" customFormat="1"/>
    <row r="1865" s="65" customFormat="1"/>
    <row r="1866" s="65" customFormat="1"/>
    <row r="1867" s="65" customFormat="1"/>
    <row r="1868" s="65" customFormat="1"/>
    <row r="1869" s="65" customFormat="1"/>
    <row r="1870" s="65" customFormat="1"/>
    <row r="1871" s="65" customFormat="1"/>
    <row r="1872" s="65" customFormat="1"/>
    <row r="1873" s="65" customFormat="1"/>
    <row r="1874" s="65" customFormat="1"/>
    <row r="1875" s="65" customFormat="1"/>
    <row r="1876" s="65" customFormat="1"/>
    <row r="1877" s="65" customFormat="1"/>
    <row r="1878" s="65" customFormat="1"/>
    <row r="1879" s="65" customFormat="1"/>
    <row r="1880" s="65" customFormat="1"/>
    <row r="1881" s="65" customFormat="1"/>
    <row r="1882" s="65" customFormat="1"/>
    <row r="1883" s="65" customFormat="1"/>
    <row r="1884" s="65" customFormat="1"/>
    <row r="1885" s="65" customFormat="1"/>
    <row r="1886" s="65" customFormat="1"/>
    <row r="1887" s="65" customFormat="1"/>
    <row r="1888" s="65" customFormat="1"/>
    <row r="1889" s="65" customFormat="1"/>
    <row r="1890" s="65" customFormat="1"/>
    <row r="1891" s="65" customFormat="1"/>
    <row r="1892" s="65" customFormat="1"/>
    <row r="1893" s="65" customFormat="1"/>
    <row r="1894" s="65" customFormat="1"/>
    <row r="1895" s="65" customFormat="1"/>
    <row r="1896" s="65" customFormat="1"/>
    <row r="1897" s="65" customFormat="1"/>
    <row r="1898" s="65" customFormat="1"/>
    <row r="1899" s="65" customFormat="1"/>
    <row r="1900" s="65" customFormat="1"/>
    <row r="1901" s="65" customFormat="1"/>
    <row r="1902" s="65" customFormat="1"/>
    <row r="1903" s="65" customFormat="1"/>
    <row r="1904" s="65" customFormat="1"/>
    <row r="1905" s="65" customFormat="1"/>
    <row r="1906" s="65" customFormat="1"/>
    <row r="1907" s="65" customFormat="1"/>
    <row r="1908" s="65" customFormat="1"/>
    <row r="1909" s="65" customFormat="1"/>
    <row r="1910" s="65" customFormat="1"/>
    <row r="1911" s="65" customFormat="1"/>
    <row r="1912" s="65" customFormat="1"/>
    <row r="1913" s="65" customFormat="1"/>
    <row r="1914" s="65" customFormat="1"/>
    <row r="1915" s="65" customFormat="1"/>
    <row r="1916" s="65" customFormat="1"/>
    <row r="1917" s="65" customFormat="1"/>
    <row r="1918" s="65" customFormat="1"/>
    <row r="1919" s="65" customFormat="1"/>
    <row r="1920" s="65" customFormat="1"/>
    <row r="1921" s="65" customFormat="1"/>
    <row r="1922" s="65" customFormat="1"/>
    <row r="1923" s="65" customFormat="1"/>
    <row r="1924" s="65" customFormat="1"/>
    <row r="1925" s="65" customFormat="1"/>
    <row r="1926" s="65" customFormat="1"/>
    <row r="1927" s="65" customFormat="1"/>
    <row r="1928" s="65" customFormat="1"/>
    <row r="1929" s="65" customFormat="1"/>
    <row r="1930" s="65" customFormat="1"/>
    <row r="1931" s="65" customFormat="1"/>
    <row r="1932" s="65" customFormat="1"/>
    <row r="1933" s="65" customFormat="1"/>
    <row r="1934" s="65" customFormat="1"/>
    <row r="1935" s="65" customFormat="1"/>
    <row r="1936" s="65" customFormat="1"/>
    <row r="1937" s="65" customFormat="1"/>
    <row r="1938" s="65" customFormat="1"/>
    <row r="1939" s="65" customFormat="1"/>
    <row r="1940" s="65" customFormat="1"/>
    <row r="1941" s="65" customFormat="1"/>
    <row r="1942" s="65" customFormat="1"/>
    <row r="1943" s="65" customFormat="1"/>
    <row r="1944" s="65" customFormat="1"/>
    <row r="1945" s="65" customFormat="1"/>
    <row r="1946" s="65" customFormat="1"/>
    <row r="1947" s="65" customFormat="1"/>
    <row r="1948" s="65" customFormat="1"/>
    <row r="1949" s="65" customFormat="1"/>
    <row r="1950" s="65" customFormat="1"/>
    <row r="1951" s="65" customFormat="1"/>
    <row r="1952" s="65" customFormat="1"/>
    <row r="1953" s="65" customFormat="1"/>
    <row r="1954" s="65" customFormat="1"/>
    <row r="1955" s="65" customFormat="1"/>
    <row r="1956" s="65" customFormat="1"/>
    <row r="1957" s="65" customFormat="1"/>
    <row r="1958" s="65" customFormat="1"/>
    <row r="1959" s="65" customFormat="1"/>
    <row r="1960" s="65" customFormat="1"/>
    <row r="1961" s="65" customFormat="1"/>
    <row r="1962" s="65" customFormat="1"/>
    <row r="1963" s="65" customFormat="1"/>
    <row r="1964" s="65" customFormat="1"/>
    <row r="1965" s="65" customFormat="1"/>
    <row r="1966" s="65" customFormat="1"/>
    <row r="1967" s="65" customFormat="1"/>
    <row r="1968" s="65" customFormat="1"/>
    <row r="1969" s="65" customFormat="1"/>
    <row r="1970" s="65" customFormat="1"/>
    <row r="1971" s="65" customFormat="1"/>
    <row r="1972" s="65" customFormat="1"/>
    <row r="1973" s="65" customFormat="1"/>
    <row r="1974" s="65" customFormat="1"/>
    <row r="1975" s="65" customFormat="1"/>
    <row r="1976" s="65" customFormat="1"/>
    <row r="1977" s="65" customFormat="1"/>
    <row r="1978" s="65" customFormat="1"/>
    <row r="1979" s="65" customFormat="1"/>
    <row r="1980" s="65" customFormat="1"/>
    <row r="1981" s="65" customFormat="1"/>
    <row r="1982" s="65" customFormat="1"/>
    <row r="1983" s="65" customFormat="1"/>
    <row r="1984" s="65" customFormat="1"/>
    <row r="1985" s="65" customFormat="1"/>
    <row r="1986" s="65" customFormat="1"/>
    <row r="1987" s="65" customFormat="1"/>
    <row r="1988" s="65" customFormat="1"/>
    <row r="1989" s="65" customFormat="1"/>
    <row r="1990" s="65" customFormat="1"/>
    <row r="1991" s="65" customFormat="1"/>
    <row r="1992" s="65" customFormat="1"/>
    <row r="1993" s="65" customFormat="1"/>
    <row r="1994" s="65" customFormat="1"/>
    <row r="1995" s="65" customFormat="1"/>
    <row r="1996" s="65" customFormat="1"/>
    <row r="1997" s="65" customFormat="1"/>
    <row r="1998" s="65" customFormat="1"/>
    <row r="1999" s="65" customFormat="1"/>
    <row r="2000" s="65" customFormat="1"/>
    <row r="2001" s="65" customFormat="1"/>
    <row r="2002" s="65" customFormat="1"/>
    <row r="2003" s="65" customFormat="1"/>
    <row r="2004" s="65" customFormat="1"/>
    <row r="2005" s="65" customFormat="1"/>
    <row r="2006" s="65" customFormat="1"/>
    <row r="2007" s="65" customFormat="1"/>
    <row r="2008" s="65" customFormat="1"/>
    <row r="2009" s="65" customFormat="1"/>
    <row r="2010" s="65" customFormat="1"/>
    <row r="2011" s="65" customFormat="1"/>
    <row r="2012" s="65" customFormat="1"/>
    <row r="2013" s="65" customFormat="1"/>
    <row r="2014" s="65" customFormat="1"/>
    <row r="2015" s="65" customFormat="1"/>
    <row r="2016" s="65" customFormat="1"/>
    <row r="2017" s="65" customFormat="1"/>
    <row r="2018" s="65" customFormat="1"/>
    <row r="2019" s="65" customFormat="1"/>
    <row r="2020" s="65" customFormat="1"/>
    <row r="2021" s="65" customFormat="1"/>
    <row r="2022" s="65" customFormat="1"/>
    <row r="2023" s="65" customFormat="1"/>
    <row r="2024" s="65" customFormat="1"/>
    <row r="2025" s="65" customFormat="1"/>
    <row r="2026" s="65" customFormat="1"/>
    <row r="2027" s="65" customFormat="1"/>
    <row r="2028" s="65" customFormat="1"/>
    <row r="2029" s="65" customFormat="1"/>
    <row r="2030" s="65" customFormat="1"/>
    <row r="2031" s="65" customFormat="1"/>
    <row r="2032" s="65" customFormat="1"/>
    <row r="2033" s="65" customFormat="1"/>
    <row r="2034" s="65" customFormat="1"/>
    <row r="2035" s="65" customFormat="1"/>
    <row r="2036" s="65" customFormat="1"/>
    <row r="2037" s="65" customFormat="1"/>
    <row r="2038" s="65" customFormat="1"/>
    <row r="2039" s="65" customFormat="1"/>
    <row r="2040" s="65" customFormat="1"/>
    <row r="2041" s="65" customFormat="1"/>
    <row r="2042" s="65" customFormat="1"/>
    <row r="2043" s="65" customFormat="1"/>
    <row r="2044" s="65" customFormat="1"/>
    <row r="2045" s="65" customFormat="1"/>
    <row r="2046" s="65" customFormat="1"/>
    <row r="2047" s="65" customFormat="1"/>
    <row r="2048" s="65" customFormat="1"/>
    <row r="2049" s="65" customFormat="1"/>
    <row r="2050" s="65" customFormat="1"/>
    <row r="2051" s="65" customFormat="1"/>
    <row r="2052" s="65" customFormat="1"/>
    <row r="2053" s="65" customFormat="1"/>
    <row r="2054" s="65" customFormat="1"/>
    <row r="2055" s="65" customFormat="1"/>
    <row r="2056" s="65" customFormat="1"/>
    <row r="2057" s="65" customFormat="1"/>
    <row r="2058" s="65" customFormat="1"/>
    <row r="2059" s="65" customFormat="1"/>
    <row r="2060" s="65" customFormat="1"/>
    <row r="2061" s="65" customFormat="1"/>
    <row r="2062" s="65" customFormat="1"/>
    <row r="2063" s="65" customFormat="1"/>
    <row r="2064" s="65" customFormat="1"/>
    <row r="2065" s="65" customFormat="1"/>
    <row r="2066" s="65" customFormat="1"/>
    <row r="2067" s="65" customFormat="1"/>
    <row r="2068" s="65" customFormat="1"/>
    <row r="2069" s="65" customFormat="1"/>
    <row r="2070" s="65" customFormat="1"/>
    <row r="2071" s="65" customFormat="1"/>
    <row r="2072" s="65" customFormat="1"/>
    <row r="2073" s="65" customFormat="1"/>
    <row r="2074" s="65" customFormat="1"/>
    <row r="2075" s="65" customFormat="1"/>
    <row r="2076" s="65" customFormat="1"/>
    <row r="2077" s="65" customFormat="1"/>
    <row r="2078" s="65" customFormat="1"/>
    <row r="2079" s="65" customFormat="1"/>
    <row r="2080" s="65" customFormat="1"/>
    <row r="2081" s="65" customFormat="1"/>
    <row r="2082" s="65" customFormat="1"/>
    <row r="2083" s="65" customFormat="1"/>
    <row r="2084" s="65" customFormat="1"/>
    <row r="2085" s="65" customFormat="1"/>
    <row r="2086" s="65" customFormat="1"/>
    <row r="2087" s="65" customFormat="1"/>
    <row r="2088" s="65" customFormat="1"/>
    <row r="2089" s="65" customFormat="1"/>
    <row r="2090" s="65" customFormat="1"/>
    <row r="2091" s="65" customFormat="1"/>
    <row r="2092" s="65" customFormat="1"/>
    <row r="2093" s="65" customFormat="1"/>
    <row r="2094" s="65" customFormat="1"/>
    <row r="2095" s="65" customFormat="1"/>
    <row r="2096" s="65" customFormat="1"/>
    <row r="2097" s="65" customFormat="1"/>
    <row r="2098" s="65" customFormat="1"/>
    <row r="2099" s="65" customFormat="1"/>
    <row r="2100" s="65" customFormat="1"/>
    <row r="2101" s="65" customFormat="1"/>
    <row r="2102" s="65" customFormat="1"/>
    <row r="2103" s="65" customFormat="1"/>
    <row r="2104" s="65" customFormat="1"/>
    <row r="2105" s="65" customFormat="1"/>
    <row r="2106" s="65" customFormat="1"/>
    <row r="2107" s="65" customFormat="1"/>
    <row r="2108" s="65" customFormat="1"/>
    <row r="2109" s="65" customFormat="1"/>
    <row r="2110" s="65" customFormat="1"/>
    <row r="2111" s="65" customFormat="1"/>
    <row r="2112" s="65" customFormat="1"/>
    <row r="2113" s="65" customFormat="1"/>
    <row r="2114" s="65" customFormat="1"/>
    <row r="2115" s="65" customFormat="1"/>
    <row r="2116" s="65" customFormat="1"/>
    <row r="2117" s="65" customFormat="1"/>
    <row r="2118" s="65" customFormat="1"/>
    <row r="2119" s="65" customFormat="1"/>
    <row r="2120" s="65" customFormat="1"/>
    <row r="2121" s="65" customFormat="1"/>
    <row r="2122" s="65" customFormat="1"/>
    <row r="2123" s="65" customFormat="1"/>
    <row r="2124" s="65" customFormat="1"/>
    <row r="2125" s="65" customFormat="1"/>
    <row r="2126" s="65" customFormat="1"/>
    <row r="2127" s="65" customFormat="1"/>
    <row r="2128" s="65" customFormat="1"/>
    <row r="2129" s="65" customFormat="1"/>
    <row r="2130" s="65" customFormat="1"/>
    <row r="2131" s="65" customFormat="1"/>
    <row r="2132" s="65" customFormat="1"/>
    <row r="2133" s="65" customFormat="1"/>
    <row r="2134" s="65" customFormat="1"/>
    <row r="2135" s="65" customFormat="1"/>
    <row r="2136" s="65" customFormat="1"/>
    <row r="2137" s="65" customFormat="1"/>
    <row r="2138" s="65" customFormat="1"/>
    <row r="2139" s="65" customFormat="1"/>
    <row r="2140" s="65" customFormat="1"/>
    <row r="2141" s="65" customFormat="1"/>
    <row r="2142" s="65" customFormat="1"/>
    <row r="2143" s="65" customFormat="1"/>
    <row r="2144" s="65" customFormat="1"/>
    <row r="2145" s="65" customFormat="1"/>
    <row r="2146" s="65" customFormat="1"/>
    <row r="2147" s="65" customFormat="1"/>
    <row r="2148" s="65" customFormat="1"/>
    <row r="2149" s="65" customFormat="1"/>
    <row r="2150" s="65" customFormat="1"/>
    <row r="2151" s="65" customFormat="1"/>
    <row r="2152" s="65" customFormat="1"/>
    <row r="2153" s="65" customFormat="1"/>
    <row r="2154" s="65" customFormat="1"/>
    <row r="2155" s="65" customFormat="1"/>
    <row r="2156" s="65" customFormat="1"/>
    <row r="2157" s="65" customFormat="1"/>
    <row r="2158" s="65" customFormat="1"/>
    <row r="2159" s="65" customFormat="1"/>
    <row r="2160" s="65" customFormat="1"/>
    <row r="2161" s="65" customFormat="1"/>
    <row r="2162" s="65" customFormat="1"/>
    <row r="2163" s="65" customFormat="1"/>
    <row r="2164" s="65" customFormat="1"/>
    <row r="2165" s="65" customFormat="1"/>
    <row r="2166" s="65" customFormat="1"/>
    <row r="2167" s="65" customFormat="1"/>
    <row r="2168" s="65" customFormat="1"/>
    <row r="2169" s="65" customFormat="1"/>
    <row r="2170" s="65" customFormat="1"/>
    <row r="2171" s="65" customFormat="1"/>
    <row r="2172" s="65" customFormat="1"/>
    <row r="2173" s="65" customFormat="1"/>
    <row r="2174" s="65" customFormat="1"/>
    <row r="2175" s="65" customFormat="1"/>
    <row r="2176" s="65" customFormat="1"/>
    <row r="2177" s="65" customFormat="1"/>
    <row r="2178" s="65" customFormat="1"/>
    <row r="2179" s="65" customFormat="1"/>
    <row r="2180" s="65" customFormat="1"/>
    <row r="2181" s="65" customFormat="1"/>
    <row r="2182" s="65" customFormat="1"/>
    <row r="2183" s="65" customFormat="1"/>
    <row r="2184" s="65" customFormat="1"/>
    <row r="2185" s="65" customFormat="1"/>
    <row r="2186" s="65" customFormat="1"/>
    <row r="2187" s="65" customFormat="1"/>
    <row r="2188" s="65" customFormat="1"/>
    <row r="2189" s="65" customFormat="1"/>
    <row r="2190" s="65" customFormat="1"/>
    <row r="2191" s="65" customFormat="1"/>
    <row r="2192" s="65" customFormat="1"/>
    <row r="2193" s="65" customFormat="1"/>
    <row r="2194" s="65" customFormat="1"/>
    <row r="2195" s="65" customFormat="1"/>
    <row r="2196" s="65" customFormat="1"/>
    <row r="2197" s="65" customFormat="1"/>
    <row r="2198" s="65" customFormat="1"/>
    <row r="2199" s="65" customFormat="1"/>
    <row r="2200" s="65" customFormat="1"/>
    <row r="2201" s="65" customFormat="1"/>
    <row r="2202" s="65" customFormat="1"/>
    <row r="2203" s="65" customFormat="1"/>
    <row r="2204" s="65" customFormat="1"/>
    <row r="2205" s="65" customFormat="1"/>
    <row r="2206" s="65" customFormat="1"/>
    <row r="2207" s="65" customFormat="1"/>
    <row r="2208" s="65" customFormat="1"/>
    <row r="2209" s="65" customFormat="1"/>
    <row r="2210" s="65" customFormat="1"/>
    <row r="2211" s="65" customFormat="1"/>
    <row r="2212" s="65" customFormat="1"/>
    <row r="2213" s="65" customFormat="1"/>
    <row r="2214" s="65" customFormat="1"/>
    <row r="2215" s="65" customFormat="1"/>
    <row r="2216" s="65" customFormat="1"/>
    <row r="2217" s="65" customFormat="1"/>
    <row r="2218" s="65" customFormat="1"/>
    <row r="2219" s="65" customFormat="1"/>
    <row r="2220" s="65" customFormat="1"/>
    <row r="2221" s="65" customFormat="1"/>
    <row r="2222" s="65" customFormat="1"/>
    <row r="2223" s="65" customFormat="1"/>
    <row r="2224" s="65" customFormat="1"/>
    <row r="2225" s="65" customFormat="1"/>
    <row r="2226" s="65" customFormat="1"/>
    <row r="2227" s="65" customFormat="1"/>
    <row r="2228" s="65" customFormat="1"/>
    <row r="2229" s="65" customFormat="1"/>
    <row r="2230" s="65" customFormat="1"/>
    <row r="2231" s="65" customFormat="1"/>
    <row r="2232" s="65" customFormat="1"/>
    <row r="2233" s="65" customFormat="1"/>
    <row r="2234" s="65" customFormat="1"/>
    <row r="2235" s="65" customFormat="1"/>
    <row r="2236" s="65" customFormat="1"/>
    <row r="2237" s="65" customFormat="1"/>
    <row r="2238" s="65" customFormat="1"/>
    <row r="2239" s="65" customFormat="1"/>
    <row r="2240" s="65" customFormat="1"/>
    <row r="2241" s="65" customFormat="1"/>
    <row r="2242" s="65" customFormat="1"/>
    <row r="2243" s="65" customFormat="1"/>
    <row r="2244" s="65" customFormat="1"/>
    <row r="2245" s="65" customFormat="1"/>
    <row r="2246" s="65" customFormat="1"/>
    <row r="2247" s="65" customFormat="1"/>
    <row r="2248" s="65" customFormat="1"/>
    <row r="2249" s="65" customFormat="1"/>
    <row r="2250" s="65" customFormat="1"/>
    <row r="2251" s="65" customFormat="1"/>
    <row r="2252" s="65" customFormat="1"/>
    <row r="2253" s="65" customFormat="1"/>
    <row r="2254" s="65" customFormat="1"/>
    <row r="2255" s="65" customFormat="1"/>
    <row r="2256" s="65" customFormat="1"/>
    <row r="2257" s="65" customFormat="1"/>
    <row r="2258" s="65" customFormat="1"/>
    <row r="2259" s="65" customFormat="1"/>
    <row r="2260" s="65" customFormat="1"/>
    <row r="2261" s="65" customFormat="1"/>
    <row r="2262" s="65" customFormat="1"/>
    <row r="2263" s="65" customFormat="1"/>
    <row r="2264" s="65" customFormat="1"/>
    <row r="2265" s="65" customFormat="1"/>
    <row r="2266" s="65" customFormat="1"/>
    <row r="2267" s="65" customFormat="1"/>
    <row r="2268" s="65" customFormat="1"/>
    <row r="2269" s="65" customFormat="1"/>
    <row r="2270" s="65" customFormat="1"/>
    <row r="2271" s="65" customFormat="1"/>
    <row r="2272" s="65" customFormat="1"/>
    <row r="2273" s="65" customFormat="1"/>
    <row r="2274" s="65" customFormat="1"/>
    <row r="2275" s="65" customFormat="1"/>
    <row r="2276" s="65" customFormat="1"/>
    <row r="2277" s="65" customFormat="1"/>
    <row r="2278" s="65" customFormat="1"/>
    <row r="2279" s="65" customFormat="1"/>
    <row r="2280" s="65" customFormat="1"/>
    <row r="2281" s="65" customFormat="1"/>
    <row r="2282" s="65" customFormat="1"/>
    <row r="2283" s="65" customFormat="1"/>
    <row r="2284" s="65" customFormat="1"/>
    <row r="2285" s="65" customFormat="1"/>
    <row r="2286" s="65" customFormat="1"/>
    <row r="2287" s="65" customFormat="1"/>
    <row r="2288" s="65" customFormat="1"/>
    <row r="2289" s="65" customFormat="1"/>
    <row r="2290" s="65" customFormat="1"/>
    <row r="2291" s="65" customFormat="1"/>
    <row r="2292" s="65" customFormat="1"/>
    <row r="2293" s="65" customFormat="1"/>
    <row r="2294" s="65" customFormat="1"/>
    <row r="2295" s="65" customFormat="1"/>
    <row r="2296" s="65" customFormat="1"/>
    <row r="2297" s="65" customFormat="1"/>
    <row r="2298" s="65" customFormat="1"/>
    <row r="2299" s="65" customFormat="1"/>
    <row r="2300" s="65" customFormat="1"/>
    <row r="2301" s="65" customFormat="1"/>
    <row r="2302" s="65" customFormat="1"/>
    <row r="2303" s="65" customFormat="1"/>
    <row r="2304" s="65" customFormat="1"/>
    <row r="2305" s="65" customFormat="1"/>
    <row r="2306" s="65" customFormat="1"/>
    <row r="2307" s="65" customFormat="1"/>
    <row r="2308" s="65" customFormat="1"/>
    <row r="2309" s="65" customFormat="1"/>
    <row r="2310" s="65" customFormat="1"/>
    <row r="2311" s="65" customFormat="1"/>
    <row r="2312" s="65" customFormat="1"/>
    <row r="2313" s="65" customFormat="1"/>
    <row r="2314" s="65" customFormat="1"/>
    <row r="2315" s="65" customFormat="1"/>
    <row r="2316" s="65" customFormat="1"/>
    <row r="2317" s="65" customFormat="1"/>
    <row r="2318" s="65" customFormat="1"/>
    <row r="2319" s="65" customFormat="1"/>
    <row r="2320" s="65" customFormat="1"/>
    <row r="2321" s="65" customFormat="1"/>
    <row r="2322" s="65" customFormat="1"/>
    <row r="2323" s="65" customFormat="1"/>
    <row r="2324" s="65" customFormat="1"/>
    <row r="2325" s="65" customFormat="1"/>
    <row r="2326" s="65" customFormat="1"/>
    <row r="2327" s="65" customFormat="1"/>
    <row r="2328" s="65" customFormat="1"/>
    <row r="2329" s="65" customFormat="1"/>
    <row r="2330" s="65" customFormat="1"/>
    <row r="2331" s="65" customFormat="1"/>
    <row r="2332" s="65" customFormat="1"/>
    <row r="2333" s="65" customFormat="1"/>
    <row r="2334" s="65" customFormat="1"/>
    <row r="2335" s="65" customFormat="1"/>
    <row r="2336" s="65" customFormat="1"/>
    <row r="2337" s="65" customFormat="1"/>
    <row r="2338" s="65" customFormat="1"/>
    <row r="2339" s="65" customFormat="1"/>
    <row r="2340" s="65" customFormat="1"/>
    <row r="2341" s="65" customFormat="1"/>
    <row r="2342" s="65" customFormat="1"/>
    <row r="2343" s="65" customFormat="1"/>
    <row r="2344" s="65" customFormat="1"/>
    <row r="2345" s="65" customFormat="1"/>
    <row r="2346" s="65" customFormat="1"/>
    <row r="2347" s="65" customFormat="1"/>
    <row r="2348" s="65" customFormat="1"/>
    <row r="2349" s="65" customFormat="1"/>
    <row r="2350" s="65" customFormat="1"/>
    <row r="2351" s="65" customFormat="1"/>
    <row r="2352" s="65" customFormat="1"/>
    <row r="2353" s="65" customFormat="1"/>
    <row r="2354" s="65" customFormat="1"/>
    <row r="2355" s="65" customFormat="1"/>
    <row r="2356" s="65" customFormat="1"/>
    <row r="2357" s="65" customFormat="1"/>
    <row r="2358" s="65" customFormat="1"/>
    <row r="2359" s="65" customFormat="1"/>
    <row r="2360" s="65" customFormat="1"/>
    <row r="2361" s="65" customFormat="1"/>
    <row r="2362" s="65" customFormat="1"/>
    <row r="2363" s="65" customFormat="1"/>
    <row r="2364" s="65" customFormat="1"/>
    <row r="2365" s="65" customFormat="1"/>
    <row r="2366" s="65" customFormat="1"/>
    <row r="2367" s="65" customFormat="1"/>
    <row r="2368" s="65" customFormat="1"/>
    <row r="2369" s="65" customFormat="1"/>
    <row r="2370" s="65" customFormat="1"/>
    <row r="2371" s="65" customFormat="1"/>
    <row r="2372" s="65" customFormat="1"/>
    <row r="2373" s="65" customFormat="1"/>
    <row r="2374" s="65" customFormat="1"/>
    <row r="2375" s="65" customFormat="1"/>
    <row r="2376" s="65" customFormat="1"/>
    <row r="2377" s="65" customFormat="1"/>
    <row r="2378" s="65" customFormat="1"/>
    <row r="2379" s="65" customFormat="1"/>
    <row r="2380" s="65" customFormat="1"/>
    <row r="2381" s="65" customFormat="1"/>
    <row r="2382" s="65" customFormat="1"/>
    <row r="2383" s="65" customFormat="1"/>
    <row r="2384" s="65" customFormat="1"/>
    <row r="2385" s="65" customFormat="1"/>
    <row r="2386" s="65" customFormat="1"/>
    <row r="2387" s="65" customFormat="1"/>
    <row r="2388" s="65" customFormat="1"/>
    <row r="2389" s="65" customFormat="1"/>
    <row r="2390" s="65" customFormat="1"/>
    <row r="2391" s="65" customFormat="1"/>
    <row r="2392" s="65" customFormat="1"/>
    <row r="2393" s="65" customFormat="1"/>
    <row r="2394" s="65" customFormat="1"/>
    <row r="2395" s="65" customFormat="1"/>
    <row r="2396" s="65" customFormat="1"/>
    <row r="2397" s="65" customFormat="1"/>
    <row r="2398" s="65" customFormat="1"/>
    <row r="2399" s="65" customFormat="1"/>
    <row r="2400" s="65" customFormat="1"/>
    <row r="2401" s="65" customFormat="1"/>
    <row r="2402" s="65" customFormat="1"/>
    <row r="2403" s="65" customFormat="1"/>
    <row r="2404" s="65" customFormat="1"/>
    <row r="2405" s="65" customFormat="1"/>
    <row r="2406" s="65" customFormat="1"/>
    <row r="2407" s="65" customFormat="1"/>
    <row r="2408" s="65" customFormat="1"/>
    <row r="2409" s="65" customFormat="1"/>
    <row r="2410" s="65" customFormat="1"/>
    <row r="2411" s="65" customFormat="1"/>
    <row r="2412" s="65" customFormat="1"/>
    <row r="2413" s="65" customFormat="1"/>
    <row r="2414" s="65" customFormat="1"/>
    <row r="2415" s="65" customFormat="1"/>
    <row r="2416" s="65" customFormat="1"/>
    <row r="2417" s="65" customFormat="1"/>
    <row r="2418" s="65" customFormat="1"/>
    <row r="2419" s="65" customFormat="1"/>
    <row r="2420" s="65" customFormat="1"/>
    <row r="2421" s="65" customFormat="1"/>
    <row r="2422" s="65" customFormat="1"/>
    <row r="2423" s="65" customFormat="1"/>
    <row r="2424" s="65" customFormat="1"/>
    <row r="2425" s="65" customFormat="1"/>
    <row r="2426" s="65" customFormat="1"/>
    <row r="2427" s="65" customFormat="1"/>
    <row r="2428" s="65" customFormat="1"/>
    <row r="2429" s="65" customFormat="1"/>
    <row r="2430" s="65" customFormat="1"/>
    <row r="2431" s="65" customFormat="1"/>
    <row r="2432" s="65" customFormat="1"/>
    <row r="2433" s="65" customFormat="1"/>
    <row r="2434" s="65" customFormat="1"/>
    <row r="2435" s="65" customFormat="1"/>
    <row r="2436" s="65" customFormat="1"/>
    <row r="2437" s="65" customFormat="1"/>
    <row r="2438" s="65" customFormat="1"/>
    <row r="2439" s="65" customFormat="1"/>
    <row r="2440" s="65" customFormat="1"/>
    <row r="2441" s="65" customFormat="1"/>
    <row r="2442" s="65" customFormat="1"/>
    <row r="2443" s="65" customFormat="1"/>
    <row r="2444" s="65" customFormat="1"/>
    <row r="2445" s="65" customFormat="1"/>
    <row r="2446" s="65" customFormat="1"/>
    <row r="2447" s="65" customFormat="1"/>
    <row r="2448" s="65" customFormat="1"/>
    <row r="2449" s="65" customFormat="1"/>
    <row r="2450" s="65" customFormat="1"/>
    <row r="2451" s="65" customFormat="1"/>
    <row r="2452" s="65" customFormat="1"/>
    <row r="2453" s="65" customFormat="1"/>
    <row r="2454" s="65" customFormat="1"/>
    <row r="2455" s="65" customFormat="1"/>
    <row r="2456" s="65" customFormat="1"/>
    <row r="2457" s="65" customFormat="1"/>
    <row r="2458" s="65" customFormat="1"/>
    <row r="2459" s="65" customFormat="1"/>
    <row r="2460" s="65" customFormat="1"/>
    <row r="2461" s="65" customFormat="1"/>
    <row r="2462" s="65" customFormat="1"/>
    <row r="2463" s="65" customFormat="1"/>
    <row r="2464" s="65" customFormat="1"/>
    <row r="2465" s="65" customFormat="1"/>
    <row r="2466" s="65" customFormat="1"/>
    <row r="2467" s="65" customFormat="1"/>
    <row r="2468" s="65" customFormat="1"/>
    <row r="2469" s="65" customFormat="1"/>
    <row r="2470" s="65" customFormat="1"/>
    <row r="2471" s="65" customFormat="1"/>
    <row r="2472" s="65" customFormat="1"/>
    <row r="2473" s="65" customFormat="1"/>
    <row r="2474" s="65" customFormat="1"/>
    <row r="2475" s="65" customFormat="1"/>
    <row r="2476" s="65" customFormat="1"/>
    <row r="2477" s="65" customFormat="1"/>
    <row r="2478" s="65" customFormat="1"/>
    <row r="2479" s="65" customFormat="1"/>
    <row r="2480" s="65" customFormat="1"/>
    <row r="2481" s="65" customFormat="1"/>
    <row r="2482" s="65" customFormat="1"/>
    <row r="2483" s="65" customFormat="1"/>
    <row r="2484" s="65" customFormat="1"/>
    <row r="2485" s="65" customFormat="1"/>
    <row r="2486" s="65" customFormat="1"/>
    <row r="2487" s="65" customFormat="1"/>
    <row r="2488" s="65" customFormat="1"/>
    <row r="2489" s="65" customFormat="1"/>
    <row r="2490" s="65" customFormat="1"/>
    <row r="2491" s="65" customFormat="1"/>
    <row r="2492" s="65" customFormat="1"/>
    <row r="2493" s="65" customFormat="1"/>
    <row r="2494" s="65" customFormat="1"/>
    <row r="2495" s="65" customFormat="1"/>
    <row r="2496" s="65" customFormat="1"/>
    <row r="2497" s="65" customFormat="1"/>
    <row r="2498" s="65" customFormat="1"/>
    <row r="2499" s="65" customFormat="1"/>
    <row r="2500" s="65" customFormat="1"/>
    <row r="2501" s="65" customFormat="1"/>
    <row r="2502" s="65" customFormat="1"/>
    <row r="2503" s="65" customFormat="1"/>
    <row r="2504" s="65" customFormat="1"/>
    <row r="2505" s="65" customFormat="1"/>
    <row r="2506" s="65" customFormat="1"/>
    <row r="2507" s="65" customFormat="1"/>
    <row r="2508" s="65" customFormat="1"/>
    <row r="2509" s="65" customFormat="1"/>
    <row r="2510" s="65" customFormat="1"/>
    <row r="2511" s="65" customFormat="1"/>
    <row r="2512" s="65" customFormat="1"/>
    <row r="2513" s="65" customFormat="1"/>
    <row r="2514" s="65" customFormat="1"/>
    <row r="2515" s="65" customFormat="1"/>
    <row r="2516" s="65" customFormat="1"/>
    <row r="2517" s="65" customFormat="1"/>
    <row r="2518" s="65" customFormat="1"/>
    <row r="2519" s="65" customFormat="1"/>
    <row r="2520" s="65" customFormat="1"/>
    <row r="2521" s="65" customFormat="1"/>
    <row r="2522" s="65" customFormat="1"/>
    <row r="2523" s="65" customFormat="1"/>
    <row r="2524" s="65" customFormat="1"/>
    <row r="2525" s="65" customFormat="1"/>
    <row r="2526" s="65" customFormat="1"/>
    <row r="2527" s="65" customFormat="1"/>
    <row r="2528" s="65" customFormat="1"/>
    <row r="2529" s="65" customFormat="1"/>
    <row r="2530" s="65" customFormat="1"/>
    <row r="2531" s="65" customFormat="1"/>
    <row r="2532" s="65" customFormat="1"/>
    <row r="2533" s="65" customFormat="1"/>
    <row r="2534" s="65" customFormat="1"/>
    <row r="2535" s="65" customFormat="1"/>
    <row r="2536" s="65" customFormat="1"/>
    <row r="2537" s="65" customFormat="1"/>
    <row r="2538" s="65" customFormat="1"/>
    <row r="2539" s="65" customFormat="1"/>
    <row r="2540" s="65" customFormat="1"/>
    <row r="2541" s="65" customFormat="1"/>
    <row r="2542" s="65" customFormat="1"/>
    <row r="2543" s="65" customFormat="1"/>
    <row r="2544" s="65" customFormat="1"/>
    <row r="2545" s="65" customFormat="1"/>
    <row r="2546" s="65" customFormat="1"/>
    <row r="2547" s="65" customFormat="1"/>
    <row r="2548" s="65" customFormat="1"/>
    <row r="2549" s="65" customFormat="1"/>
    <row r="2550" s="65" customFormat="1"/>
    <row r="2551" s="65" customFormat="1"/>
    <row r="2552" s="65" customFormat="1"/>
    <row r="2553" s="65" customFormat="1"/>
    <row r="2554" s="65" customFormat="1"/>
    <row r="2555" s="65" customFormat="1"/>
    <row r="2556" s="65" customFormat="1"/>
    <row r="2557" s="65" customFormat="1"/>
    <row r="2558" s="65" customFormat="1"/>
    <row r="2559" s="65" customFormat="1"/>
    <row r="2560" s="65" customFormat="1"/>
    <row r="2561" s="65" customFormat="1"/>
    <row r="2562" s="65" customFormat="1"/>
    <row r="2563" s="65" customFormat="1"/>
    <row r="2564" s="65" customFormat="1"/>
    <row r="2565" s="65" customFormat="1"/>
    <row r="2566" s="65" customFormat="1"/>
    <row r="2567" s="65" customFormat="1"/>
    <row r="2568" s="65" customFormat="1"/>
    <row r="2569" s="65" customFormat="1"/>
    <row r="2570" s="65" customFormat="1"/>
    <row r="2571" s="65" customFormat="1"/>
    <row r="2572" s="65" customFormat="1"/>
    <row r="2573" s="65" customFormat="1"/>
    <row r="2574" s="65" customFormat="1"/>
    <row r="2575" s="65" customFormat="1"/>
    <row r="2576" s="65" customFormat="1"/>
    <row r="2577" s="65" customFormat="1"/>
    <row r="2578" s="65" customFormat="1"/>
    <row r="2579" s="65" customFormat="1"/>
    <row r="2580" s="65" customFormat="1"/>
    <row r="2581" s="65" customFormat="1"/>
    <row r="2582" s="65" customFormat="1"/>
    <row r="2583" s="65" customFormat="1"/>
    <row r="2584" s="65" customFormat="1"/>
    <row r="2585" s="65" customFormat="1"/>
    <row r="2586" s="65" customFormat="1"/>
    <row r="2587" s="65" customFormat="1"/>
    <row r="2588" s="65" customFormat="1"/>
    <row r="2589" s="65" customFormat="1"/>
    <row r="2590" s="65" customFormat="1"/>
    <row r="2591" s="65" customFormat="1"/>
    <row r="2592" s="65" customFormat="1"/>
    <row r="2593" s="65" customFormat="1"/>
    <row r="2594" s="65" customFormat="1"/>
    <row r="2595" s="65" customFormat="1"/>
    <row r="2596" s="65" customFormat="1"/>
    <row r="2597" s="65" customFormat="1"/>
    <row r="2598" s="65" customFormat="1"/>
    <row r="2599" s="65" customFormat="1"/>
    <row r="2600" s="65" customFormat="1"/>
    <row r="2601" s="65" customFormat="1"/>
    <row r="2602" s="65" customFormat="1"/>
    <row r="2603" s="65" customFormat="1"/>
    <row r="2604" s="65" customFormat="1"/>
    <row r="2605" s="65" customFormat="1"/>
    <row r="2606" s="65" customFormat="1"/>
    <row r="2607" s="65" customFormat="1"/>
    <row r="2608" s="65" customFormat="1"/>
    <row r="2609" s="65" customFormat="1"/>
    <row r="2610" s="65" customFormat="1"/>
    <row r="2611" s="65" customFormat="1"/>
    <row r="2612" s="65" customFormat="1"/>
    <row r="2613" s="65" customFormat="1"/>
    <row r="2614" s="65" customFormat="1"/>
    <row r="2615" s="65" customFormat="1"/>
    <row r="2616" s="65" customFormat="1"/>
    <row r="2617" s="65" customFormat="1"/>
    <row r="2618" s="65" customFormat="1"/>
    <row r="2619" s="65" customFormat="1"/>
    <row r="2620" s="65" customFormat="1"/>
    <row r="2621" s="65" customFormat="1"/>
    <row r="2622" s="65" customFormat="1"/>
    <row r="2623" s="65" customFormat="1"/>
    <row r="2624" s="65" customFormat="1"/>
    <row r="2625" s="65" customFormat="1"/>
    <row r="2626" s="65" customFormat="1"/>
    <row r="2627" s="65" customFormat="1"/>
    <row r="2628" s="65" customFormat="1"/>
    <row r="2629" s="65" customFormat="1"/>
    <row r="2630" s="65" customFormat="1"/>
    <row r="2631" s="65" customFormat="1"/>
    <row r="2632" s="65" customFormat="1"/>
    <row r="2633" s="65" customFormat="1"/>
    <row r="2634" s="65" customFormat="1"/>
    <row r="2635" s="65" customFormat="1"/>
    <row r="2636" s="65" customFormat="1"/>
    <row r="2637" s="65" customFormat="1"/>
    <row r="2638" s="65" customFormat="1"/>
    <row r="2639" s="65" customFormat="1"/>
    <row r="2640" s="65" customFormat="1"/>
    <row r="2641" s="65" customFormat="1"/>
    <row r="2642" s="65" customFormat="1"/>
    <row r="2643" s="65" customFormat="1"/>
    <row r="2644" s="65" customFormat="1"/>
    <row r="2645" s="65" customFormat="1"/>
    <row r="2646" s="65" customFormat="1"/>
    <row r="2647" s="65" customFormat="1"/>
    <row r="2648" s="65" customFormat="1"/>
    <row r="2649" s="65" customFormat="1"/>
    <row r="2650" s="65" customFormat="1"/>
    <row r="2651" s="65" customFormat="1"/>
    <row r="2652" s="65" customFormat="1"/>
    <row r="2653" s="65" customFormat="1"/>
    <row r="2654" s="65" customFormat="1"/>
    <row r="2655" s="65" customFormat="1"/>
    <row r="2656" s="65" customFormat="1"/>
    <row r="2657" s="65" customFormat="1"/>
    <row r="2658" s="65" customFormat="1"/>
    <row r="2659" s="65" customFormat="1"/>
    <row r="2660" s="65" customFormat="1"/>
    <row r="2661" s="65" customFormat="1"/>
    <row r="2662" s="65" customFormat="1"/>
    <row r="2663" s="65" customFormat="1"/>
    <row r="2664" s="65" customFormat="1"/>
    <row r="2665" s="65" customFormat="1"/>
    <row r="2666" s="65" customFormat="1"/>
    <row r="2667" s="65" customFormat="1"/>
    <row r="2668" s="65" customFormat="1"/>
    <row r="2669" s="65" customFormat="1"/>
    <row r="2670" s="65" customFormat="1"/>
    <row r="2671" s="65" customFormat="1"/>
    <row r="2672" s="65" customFormat="1"/>
    <row r="2673" s="65" customFormat="1"/>
    <row r="2674" s="65" customFormat="1"/>
    <row r="2675" s="65" customFormat="1"/>
    <row r="2676" s="65" customFormat="1"/>
    <row r="2677" s="65" customFormat="1"/>
    <row r="2678" s="65" customFormat="1"/>
    <row r="2679" s="65" customFormat="1"/>
    <row r="2680" s="65" customFormat="1"/>
    <row r="2681" s="65" customFormat="1"/>
    <row r="2682" s="65" customFormat="1"/>
    <row r="2683" s="65" customFormat="1"/>
    <row r="2684" s="65" customFormat="1"/>
    <row r="2685" s="65" customFormat="1"/>
    <row r="2686" s="65" customFormat="1"/>
    <row r="2687" s="65" customFormat="1"/>
    <row r="2688" s="65" customFormat="1"/>
    <row r="2689" s="65" customFormat="1"/>
    <row r="2690" s="65" customFormat="1"/>
    <row r="2691" s="65" customFormat="1"/>
    <row r="2692" s="65" customFormat="1"/>
    <row r="2693" s="65" customFormat="1"/>
    <row r="2694" s="65" customFormat="1"/>
    <row r="2695" s="65" customFormat="1"/>
    <row r="2696" s="65" customFormat="1"/>
    <row r="2697" s="65" customFormat="1"/>
    <row r="2698" s="65" customFormat="1"/>
    <row r="2699" s="65" customFormat="1"/>
    <row r="2700" s="65" customFormat="1"/>
    <row r="2701" s="65" customFormat="1"/>
    <row r="2702" s="65" customFormat="1"/>
    <row r="2703" s="65" customFormat="1"/>
    <row r="2704" s="65" customFormat="1"/>
    <row r="2705" s="65" customFormat="1"/>
    <row r="2706" s="65" customFormat="1"/>
    <row r="2707" s="65" customFormat="1"/>
    <row r="2708" s="65" customFormat="1"/>
    <row r="2709" s="65" customFormat="1"/>
    <row r="2710" s="65" customFormat="1"/>
    <row r="2711" s="65" customFormat="1"/>
    <row r="2712" s="65" customFormat="1"/>
    <row r="2713" s="65" customFormat="1"/>
    <row r="2714" s="65" customFormat="1"/>
    <row r="2715" s="65" customFormat="1"/>
    <row r="2716" s="65" customFormat="1"/>
    <row r="2717" s="65" customFormat="1"/>
    <row r="2718" s="65" customFormat="1"/>
    <row r="2719" s="65" customFormat="1"/>
    <row r="2720" s="65" customFormat="1"/>
    <row r="2721" s="65" customFormat="1"/>
    <row r="2722" s="65" customFormat="1"/>
    <row r="2723" s="65" customFormat="1"/>
    <row r="2724" s="65" customFormat="1"/>
    <row r="2725" s="65" customFormat="1"/>
    <row r="2726" s="65" customFormat="1"/>
    <row r="2727" s="65" customFormat="1"/>
    <row r="2728" s="65" customFormat="1"/>
    <row r="2729" s="65" customFormat="1"/>
    <row r="2730" s="65" customFormat="1"/>
    <row r="2731" s="65" customFormat="1"/>
    <row r="2732" s="65" customFormat="1"/>
    <row r="2733" s="65" customFormat="1"/>
    <row r="2734" s="65" customFormat="1"/>
    <row r="2735" s="65" customFormat="1"/>
    <row r="2736" s="65" customFormat="1"/>
    <row r="2737" s="65" customFormat="1"/>
    <row r="2738" s="65" customFormat="1"/>
    <row r="2739" s="65" customFormat="1"/>
    <row r="2740" s="65" customFormat="1"/>
    <row r="2741" s="65" customFormat="1"/>
    <row r="2742" s="65" customFormat="1"/>
    <row r="2743" s="65" customFormat="1"/>
    <row r="2744" s="65" customFormat="1"/>
    <row r="2745" s="65" customFormat="1"/>
    <row r="2746" s="65" customFormat="1"/>
    <row r="2747" s="65" customFormat="1"/>
    <row r="2748" s="65" customFormat="1"/>
    <row r="2749" s="65" customFormat="1"/>
    <row r="2750" s="65" customFormat="1"/>
    <row r="2751" s="65" customFormat="1"/>
    <row r="2752" s="65" customFormat="1"/>
    <row r="2753" s="65" customFormat="1"/>
    <row r="2754" s="65" customFormat="1"/>
    <row r="2755" s="65" customFormat="1"/>
    <row r="2756" s="65" customFormat="1"/>
    <row r="2757" s="65" customFormat="1"/>
    <row r="2758" s="65" customFormat="1"/>
    <row r="2759" s="65" customFormat="1"/>
    <row r="2760" s="65" customFormat="1"/>
    <row r="2761" s="65" customFormat="1"/>
    <row r="2762" s="65" customFormat="1"/>
    <row r="2763" s="65" customFormat="1"/>
    <row r="2764" s="65" customFormat="1"/>
    <row r="2765" s="65" customFormat="1"/>
    <row r="2766" s="65" customFormat="1"/>
    <row r="2767" s="65" customFormat="1"/>
    <row r="2768" s="65" customFormat="1"/>
    <row r="2769" s="65" customFormat="1"/>
    <row r="2770" s="65" customFormat="1"/>
    <row r="2771" s="65" customFormat="1"/>
    <row r="2772" s="65" customFormat="1"/>
    <row r="2773" s="65" customFormat="1"/>
    <row r="2774" s="65" customFormat="1"/>
    <row r="2775" s="65" customFormat="1"/>
    <row r="2776" s="65" customFormat="1"/>
    <row r="2777" s="65" customFormat="1"/>
    <row r="2778" s="65" customFormat="1"/>
    <row r="2779" s="65" customFormat="1"/>
    <row r="2780" s="65" customFormat="1"/>
    <row r="2781" s="65" customFormat="1"/>
    <row r="2782" s="65" customFormat="1"/>
    <row r="2783" s="65" customFormat="1"/>
    <row r="2784" s="65" customFormat="1"/>
    <row r="2785" s="65" customFormat="1"/>
    <row r="2786" s="65" customFormat="1"/>
    <row r="2787" s="65" customFormat="1"/>
    <row r="2788" s="65" customFormat="1"/>
    <row r="2789" s="65" customFormat="1"/>
    <row r="2790" s="65" customFormat="1"/>
    <row r="2791" s="65" customFormat="1"/>
    <row r="2792" s="65" customFormat="1"/>
    <row r="2793" s="65" customFormat="1"/>
    <row r="2794" s="65" customFormat="1"/>
    <row r="2795" s="65" customFormat="1"/>
    <row r="2796" s="65" customFormat="1"/>
    <row r="2797" s="65" customFormat="1"/>
    <row r="2798" s="65" customFormat="1"/>
    <row r="2799" s="65" customFormat="1"/>
    <row r="2800" s="65" customFormat="1"/>
    <row r="2801" s="65" customFormat="1"/>
    <row r="2802" s="65" customFormat="1"/>
    <row r="2803" s="65" customFormat="1"/>
    <row r="2804" s="65" customFormat="1"/>
    <row r="2805" s="65" customFormat="1"/>
    <row r="2806" s="65" customFormat="1"/>
    <row r="2807" s="65" customFormat="1"/>
    <row r="2808" s="65" customFormat="1"/>
    <row r="2809" s="65" customFormat="1"/>
    <row r="2810" s="65" customFormat="1"/>
    <row r="2811" s="65" customFormat="1"/>
    <row r="2812" s="65" customFormat="1"/>
    <row r="2813" s="65" customFormat="1"/>
    <row r="2814" s="65" customFormat="1"/>
    <row r="2815" s="65" customFormat="1"/>
    <row r="2816" s="65" customFormat="1"/>
    <row r="2817" s="65" customFormat="1"/>
    <row r="2818" s="65" customFormat="1"/>
    <row r="2819" s="65" customFormat="1"/>
    <row r="2820" s="65" customFormat="1"/>
    <row r="2821" s="65" customFormat="1"/>
    <row r="2822" s="65" customFormat="1"/>
    <row r="2823" s="65" customFormat="1"/>
    <row r="2824" s="65" customFormat="1"/>
    <row r="2825" s="65" customFormat="1"/>
    <row r="2826" s="65" customFormat="1"/>
    <row r="2827" s="65" customFormat="1"/>
    <row r="2828" s="65" customFormat="1"/>
    <row r="2829" s="65" customFormat="1"/>
    <row r="2830" s="65" customFormat="1"/>
    <row r="2831" s="65" customFormat="1"/>
    <row r="2832" s="65" customFormat="1"/>
    <row r="2833" s="65" customFormat="1"/>
    <row r="2834" s="65" customFormat="1"/>
    <row r="2835" s="65" customFormat="1"/>
    <row r="2836" s="65" customFormat="1"/>
    <row r="2837" s="65" customFormat="1"/>
    <row r="2838" s="65" customFormat="1"/>
    <row r="2839" s="65" customFormat="1"/>
    <row r="2840" s="65" customFormat="1"/>
    <row r="2841" s="65" customFormat="1"/>
    <row r="2842" s="65" customFormat="1"/>
    <row r="2843" s="65" customFormat="1"/>
    <row r="2844" s="65" customFormat="1"/>
    <row r="2845" s="65" customFormat="1"/>
    <row r="2846" s="65" customFormat="1"/>
    <row r="2847" s="65" customFormat="1"/>
    <row r="2848" s="65" customFormat="1"/>
    <row r="2849" s="65" customFormat="1"/>
    <row r="2850" s="65" customFormat="1"/>
    <row r="2851" s="65" customFormat="1"/>
    <row r="2852" s="65" customFormat="1"/>
    <row r="2853" s="65" customFormat="1"/>
    <row r="2854" s="65" customFormat="1"/>
    <row r="2855" s="65" customFormat="1"/>
    <row r="2856" s="65" customFormat="1"/>
    <row r="2857" s="65" customFormat="1"/>
    <row r="2858" s="65" customFormat="1"/>
    <row r="2859" s="65" customFormat="1"/>
    <row r="2860" s="65" customFormat="1"/>
    <row r="2861" s="65" customFormat="1"/>
    <row r="2862" s="65" customFormat="1"/>
    <row r="2863" s="65" customFormat="1"/>
    <row r="2864" s="65" customFormat="1"/>
    <row r="2865" s="65" customFormat="1"/>
    <row r="2866" s="65" customFormat="1"/>
    <row r="2867" s="65" customFormat="1"/>
    <row r="2868" s="65" customFormat="1"/>
    <row r="2869" s="65" customFormat="1"/>
    <row r="2870" s="65" customFormat="1"/>
    <row r="2871" s="65" customFormat="1"/>
    <row r="2872" s="65" customFormat="1"/>
    <row r="2873" s="65" customFormat="1"/>
    <row r="2874" s="65" customFormat="1"/>
    <row r="2875" s="65" customFormat="1"/>
    <row r="2876" s="65" customFormat="1"/>
    <row r="2877" s="65" customFormat="1"/>
    <row r="2878" s="65" customFormat="1"/>
    <row r="2879" s="65" customFormat="1"/>
    <row r="2880" s="65" customFormat="1"/>
    <row r="2881" s="65" customFormat="1"/>
    <row r="2882" s="65" customFormat="1"/>
    <row r="2883" s="65" customFormat="1"/>
    <row r="2884" s="65" customFormat="1"/>
    <row r="2885" s="65" customFormat="1"/>
    <row r="2886" s="65" customFormat="1"/>
    <row r="2887" s="65" customFormat="1"/>
    <row r="2888" s="65" customFormat="1"/>
    <row r="2889" s="65" customFormat="1"/>
    <row r="2890" s="65" customFormat="1"/>
    <row r="2891" s="65" customFormat="1"/>
    <row r="2892" s="65" customFormat="1"/>
    <row r="2893" s="65" customFormat="1"/>
    <row r="2894" s="65" customFormat="1"/>
    <row r="2895" s="65" customFormat="1"/>
    <row r="2896" s="65" customFormat="1"/>
    <row r="2897" s="65" customFormat="1"/>
    <row r="2898" s="65" customFormat="1"/>
    <row r="2899" s="65" customFormat="1"/>
    <row r="2900" s="65" customFormat="1"/>
    <row r="2901" s="65" customFormat="1"/>
    <row r="2902" s="65" customFormat="1"/>
    <row r="2903" s="65" customFormat="1"/>
    <row r="2904" s="65" customFormat="1"/>
    <row r="2905" s="65" customFormat="1"/>
    <row r="2906" s="65" customFormat="1"/>
    <row r="2907" s="65" customFormat="1"/>
    <row r="2908" s="65" customFormat="1"/>
    <row r="2909" s="65" customFormat="1"/>
    <row r="2910" s="65" customFormat="1"/>
    <row r="2911" s="65" customFormat="1"/>
    <row r="2912" s="65" customFormat="1"/>
    <row r="2913" s="65" customFormat="1"/>
    <row r="2914" s="65" customFormat="1"/>
    <row r="2915" s="65" customFormat="1"/>
    <row r="2916" s="65" customFormat="1"/>
    <row r="2917" s="65" customFormat="1"/>
    <row r="2918" s="65" customFormat="1"/>
    <row r="2919" s="65" customFormat="1"/>
    <row r="2920" s="65" customFormat="1"/>
    <row r="2921" s="65" customFormat="1"/>
    <row r="2922" s="65" customFormat="1"/>
    <row r="2923" s="65" customFormat="1"/>
    <row r="2924" s="65" customFormat="1"/>
    <row r="2925" s="65" customFormat="1"/>
    <row r="2926" s="65" customFormat="1"/>
    <row r="2927" s="65" customFormat="1"/>
    <row r="2928" s="65" customFormat="1"/>
    <row r="2929" s="65" customFormat="1"/>
    <row r="2930" s="65" customFormat="1"/>
    <row r="2931" s="65" customFormat="1"/>
    <row r="2932" s="65" customFormat="1"/>
    <row r="2933" s="65" customFormat="1"/>
    <row r="2934" s="65" customFormat="1"/>
    <row r="2935" s="65" customFormat="1"/>
    <row r="2936" s="65" customFormat="1"/>
    <row r="2937" s="65" customFormat="1"/>
    <row r="2938" s="65" customFormat="1"/>
    <row r="2939" s="65" customFormat="1"/>
    <row r="2940" s="65" customFormat="1"/>
    <row r="2941" s="65" customFormat="1"/>
    <row r="2942" s="65" customFormat="1"/>
    <row r="2943" s="65" customFormat="1"/>
    <row r="2944" s="65" customFormat="1"/>
    <row r="2945" s="65" customFormat="1"/>
    <row r="2946" s="65" customFormat="1"/>
    <row r="2947" s="65" customFormat="1"/>
    <row r="2948" s="65" customFormat="1"/>
    <row r="2949" s="65" customFormat="1"/>
    <row r="2950" s="65" customFormat="1"/>
    <row r="2951" s="65" customFormat="1"/>
    <row r="2952" s="65" customFormat="1"/>
    <row r="2953" s="65" customFormat="1"/>
    <row r="2954" s="65" customFormat="1"/>
    <row r="2955" s="65" customFormat="1"/>
    <row r="2956" s="65" customFormat="1"/>
    <row r="2957" s="65" customFormat="1"/>
    <row r="2958" s="65" customFormat="1"/>
    <row r="2959" s="65" customFormat="1"/>
    <row r="2960" s="65" customFormat="1"/>
    <row r="2961" s="65" customFormat="1"/>
    <row r="2962" s="65" customFormat="1"/>
    <row r="2963" s="65" customFormat="1"/>
    <row r="2964" s="65" customFormat="1"/>
    <row r="2965" s="65" customFormat="1"/>
    <row r="2966" s="65" customFormat="1"/>
    <row r="2967" s="65" customFormat="1"/>
    <row r="2968" s="65" customFormat="1"/>
    <row r="2969" s="65" customFormat="1"/>
    <row r="2970" s="65" customFormat="1"/>
    <row r="2971" s="65" customFormat="1"/>
    <row r="2972" s="65" customFormat="1"/>
    <row r="2973" s="65" customFormat="1"/>
    <row r="2974" s="65" customFormat="1"/>
    <row r="2975" s="65" customFormat="1"/>
    <row r="2976" s="65" customFormat="1"/>
    <row r="2977" s="65" customFormat="1"/>
    <row r="2978" s="65" customFormat="1"/>
    <row r="2979" s="65" customFormat="1"/>
    <row r="2980" s="65" customFormat="1"/>
    <row r="2981" s="65" customFormat="1"/>
    <row r="2982" s="65" customFormat="1"/>
    <row r="2983" s="65" customFormat="1"/>
    <row r="2984" s="65" customFormat="1"/>
    <row r="2985" s="65" customFormat="1"/>
    <row r="2986" s="65" customFormat="1"/>
    <row r="2987" s="65" customFormat="1"/>
    <row r="2988" s="65" customFormat="1"/>
    <row r="2989" s="65" customFormat="1"/>
    <row r="2990" s="65" customFormat="1"/>
    <row r="2991" s="65" customFormat="1"/>
    <row r="2992" s="65" customFormat="1"/>
    <row r="2993" s="65" customFormat="1"/>
    <row r="2994" s="65" customFormat="1"/>
    <row r="2995" s="65" customFormat="1"/>
    <row r="2996" s="65" customFormat="1"/>
    <row r="2997" s="65" customFormat="1"/>
    <row r="2998" s="65" customFormat="1"/>
    <row r="2999" s="65" customFormat="1"/>
    <row r="3000" s="65" customFormat="1"/>
    <row r="3001" s="65" customFormat="1"/>
    <row r="3002" s="65" customFormat="1"/>
    <row r="3003" s="65" customFormat="1"/>
    <row r="3004" s="65" customFormat="1"/>
    <row r="3005" s="65" customFormat="1"/>
    <row r="3006" s="65" customFormat="1"/>
    <row r="3007" s="65" customFormat="1"/>
    <row r="3008" s="65" customFormat="1"/>
    <row r="3009" s="65" customFormat="1"/>
    <row r="3010" s="65" customFormat="1"/>
    <row r="3011" s="65" customFormat="1"/>
    <row r="3012" s="65" customFormat="1"/>
    <row r="3013" s="65" customFormat="1"/>
    <row r="3014" s="65" customFormat="1"/>
    <row r="3015" s="65" customFormat="1"/>
    <row r="3016" s="65" customFormat="1"/>
    <row r="3017" s="65" customFormat="1"/>
    <row r="3018" s="65" customFormat="1"/>
    <row r="3019" s="65" customFormat="1"/>
    <row r="3020" s="65" customFormat="1"/>
    <row r="3021" s="65" customFormat="1"/>
    <row r="3022" s="65" customFormat="1"/>
    <row r="3023" s="65" customFormat="1"/>
    <row r="3024" s="65" customFormat="1"/>
    <row r="3025" s="65" customFormat="1"/>
    <row r="3026" s="65" customFormat="1"/>
    <row r="3027" s="65" customFormat="1"/>
    <row r="3028" s="65" customFormat="1"/>
    <row r="3029" s="65" customFormat="1"/>
    <row r="3030" s="65" customFormat="1"/>
    <row r="3031" s="65" customFormat="1"/>
    <row r="3032" s="65" customFormat="1"/>
    <row r="3033" s="65" customFormat="1"/>
    <row r="3034" s="65" customFormat="1"/>
    <row r="3035" s="65" customFormat="1"/>
    <row r="3036" s="65" customFormat="1"/>
    <row r="3037" s="65" customFormat="1"/>
    <row r="3038" s="65" customFormat="1"/>
    <row r="3039" s="65" customFormat="1"/>
    <row r="3040" s="65" customFormat="1"/>
    <row r="3041" s="65" customFormat="1"/>
    <row r="3042" s="65" customFormat="1"/>
    <row r="3043" s="65" customFormat="1"/>
    <row r="3044" s="65" customFormat="1"/>
    <row r="3045" s="65" customFormat="1"/>
    <row r="3046" s="65" customFormat="1"/>
    <row r="3047" s="65" customFormat="1"/>
    <row r="3048" s="65" customFormat="1"/>
    <row r="3049" s="65" customFormat="1"/>
    <row r="3050" s="65" customFormat="1"/>
    <row r="3051" s="65" customFormat="1"/>
    <row r="3052" s="65" customFormat="1"/>
    <row r="3053" s="65" customFormat="1"/>
    <row r="3054" s="65" customFormat="1"/>
    <row r="3055" s="65" customFormat="1"/>
    <row r="3056" s="65" customFormat="1"/>
    <row r="3057" s="65" customFormat="1"/>
    <row r="3058" s="65" customFormat="1"/>
    <row r="3059" s="65" customFormat="1"/>
    <row r="3060" s="65" customFormat="1"/>
    <row r="3061" s="65" customFormat="1"/>
    <row r="3062" s="65" customFormat="1"/>
    <row r="3063" s="65" customFormat="1"/>
    <row r="3064" s="65" customFormat="1"/>
    <row r="3065" s="65" customFormat="1"/>
    <row r="3066" s="65" customFormat="1"/>
    <row r="3067" s="65" customFormat="1"/>
    <row r="3068" s="65" customFormat="1"/>
    <row r="3069" s="65" customFormat="1"/>
    <row r="3070" s="65" customFormat="1"/>
    <row r="3071" s="65" customFormat="1"/>
    <row r="3072" s="65" customFormat="1"/>
    <row r="3073" s="65" customFormat="1"/>
    <row r="3074" s="65" customFormat="1"/>
    <row r="3075" s="65" customFormat="1"/>
    <row r="3076" s="65" customFormat="1"/>
    <row r="3077" s="65" customFormat="1"/>
    <row r="3078" s="65" customFormat="1"/>
    <row r="3079" s="65" customFormat="1"/>
    <row r="3080" s="65" customFormat="1"/>
    <row r="3081" s="65" customFormat="1"/>
    <row r="3082" s="65" customFormat="1"/>
    <row r="3083" s="65" customFormat="1"/>
    <row r="3084" s="65" customFormat="1"/>
    <row r="3085" s="65" customFormat="1"/>
    <row r="3086" s="65" customFormat="1"/>
    <row r="3087" s="65" customFormat="1"/>
    <row r="3088" s="65" customFormat="1"/>
    <row r="3089" s="65" customFormat="1"/>
    <row r="3090" s="65" customFormat="1"/>
    <row r="3091" s="65" customFormat="1"/>
    <row r="3092" s="65" customFormat="1"/>
    <row r="3093" s="65" customFormat="1"/>
    <row r="3094" s="65" customFormat="1"/>
    <row r="3095" s="65" customFormat="1"/>
    <row r="3096" s="65" customFormat="1"/>
    <row r="3097" s="65" customFormat="1"/>
    <row r="3098" s="65" customFormat="1"/>
    <row r="3099" s="65" customFormat="1"/>
    <row r="3100" s="65" customFormat="1"/>
    <row r="3101" s="65" customFormat="1"/>
    <row r="3102" s="65" customFormat="1"/>
    <row r="3103" s="65" customFormat="1"/>
    <row r="3104" s="65" customFormat="1"/>
    <row r="3105" s="65" customFormat="1"/>
    <row r="3106" s="65" customFormat="1"/>
    <row r="3107" s="65" customFormat="1"/>
    <row r="3108" s="65" customFormat="1"/>
    <row r="3109" s="65" customFormat="1"/>
    <row r="3110" s="65" customFormat="1"/>
    <row r="3111" s="65" customFormat="1"/>
    <row r="3112" s="65" customFormat="1"/>
    <row r="3113" s="65" customFormat="1"/>
    <row r="3114" s="65" customFormat="1"/>
    <row r="3115" s="65" customFormat="1"/>
    <row r="3116" s="65" customFormat="1"/>
    <row r="3117" s="65" customFormat="1"/>
    <row r="3118" s="65" customFormat="1"/>
    <row r="3119" s="65" customFormat="1"/>
    <row r="3120" s="65" customFormat="1"/>
    <row r="3121" s="65" customFormat="1"/>
    <row r="3122" s="65" customFormat="1"/>
    <row r="3123" s="65" customFormat="1"/>
    <row r="3124" s="65" customFormat="1"/>
    <row r="3125" s="65" customFormat="1"/>
    <row r="3126" s="65" customFormat="1"/>
    <row r="3127" s="65" customFormat="1"/>
    <row r="3128" s="65" customFormat="1"/>
    <row r="3129" s="65" customFormat="1"/>
    <row r="3130" s="65" customFormat="1"/>
    <row r="3131" s="65" customFormat="1"/>
    <row r="3132" s="65" customFormat="1"/>
    <row r="3133" s="65" customFormat="1"/>
    <row r="3134" s="65" customFormat="1"/>
    <row r="3135" s="65" customFormat="1"/>
    <row r="3136" s="65" customFormat="1"/>
    <row r="3137" s="65" customFormat="1"/>
    <row r="3138" s="65" customFormat="1"/>
    <row r="3139" s="65" customFormat="1"/>
    <row r="3140" s="65" customFormat="1"/>
    <row r="3141" s="65" customFormat="1"/>
    <row r="3142" s="65" customFormat="1"/>
    <row r="3143" s="65" customFormat="1"/>
    <row r="3144" s="65" customFormat="1"/>
    <row r="3145" s="65" customFormat="1"/>
    <row r="3146" s="65" customFormat="1"/>
    <row r="3147" s="65" customFormat="1"/>
    <row r="3148" s="65" customFormat="1"/>
    <row r="3149" s="65" customFormat="1"/>
    <row r="3150" s="65" customFormat="1"/>
    <row r="3151" s="65" customFormat="1"/>
    <row r="3152" s="65" customFormat="1"/>
    <row r="3153" s="65" customFormat="1"/>
    <row r="3154" s="65" customFormat="1"/>
    <row r="3155" s="65" customFormat="1"/>
    <row r="3156" s="65" customFormat="1"/>
    <row r="3157" s="65" customFormat="1"/>
    <row r="3158" s="65" customFormat="1"/>
    <row r="3159" s="65" customFormat="1"/>
    <row r="3160" s="65" customFormat="1"/>
    <row r="3161" s="65" customFormat="1"/>
    <row r="3162" s="65" customFormat="1"/>
    <row r="3163" s="65" customFormat="1"/>
    <row r="3164" s="65" customFormat="1"/>
    <row r="3165" s="65" customFormat="1"/>
    <row r="3166" s="65" customFormat="1"/>
    <row r="3167" s="65" customFormat="1"/>
    <row r="3168" s="65" customFormat="1"/>
    <row r="3169" s="65" customFormat="1"/>
    <row r="3170" s="65" customFormat="1"/>
    <row r="3171" s="65" customFormat="1"/>
    <row r="3172" s="65" customFormat="1"/>
    <row r="3173" s="65" customFormat="1"/>
    <row r="3174" s="65" customFormat="1"/>
    <row r="3175" s="65" customFormat="1"/>
    <row r="3176" s="65" customFormat="1"/>
    <row r="3177" s="65" customFormat="1"/>
    <row r="3178" s="65" customFormat="1"/>
    <row r="3179" s="65" customFormat="1"/>
    <row r="3180" s="65" customFormat="1"/>
    <row r="3181" s="65" customFormat="1"/>
    <row r="3182" s="65" customFormat="1"/>
    <row r="3183" s="65" customFormat="1"/>
    <row r="3184" s="65" customFormat="1"/>
    <row r="3185" s="65" customFormat="1"/>
    <row r="3186" s="65" customFormat="1"/>
    <row r="3187" s="65" customFormat="1"/>
    <row r="3188" s="65" customFormat="1"/>
    <row r="3189" s="65" customFormat="1"/>
    <row r="3190" s="65" customFormat="1"/>
    <row r="3191" s="65" customFormat="1"/>
    <row r="3192" s="65" customFormat="1"/>
    <row r="3193" s="65" customFormat="1"/>
    <row r="3194" s="65" customFormat="1"/>
    <row r="3195" s="65" customFormat="1"/>
    <row r="3196" s="65" customFormat="1"/>
    <row r="3197" s="65" customFormat="1"/>
    <row r="3198" s="65" customFormat="1"/>
    <row r="3199" s="65" customFormat="1"/>
    <row r="3200" s="65" customFormat="1"/>
    <row r="3201" s="65" customFormat="1"/>
    <row r="3202" s="65" customFormat="1"/>
    <row r="3203" s="65" customFormat="1"/>
    <row r="3204" s="65" customFormat="1"/>
    <row r="3205" s="65" customFormat="1"/>
    <row r="3206" s="65" customFormat="1"/>
    <row r="3207" s="65" customFormat="1"/>
    <row r="3208" s="65" customFormat="1"/>
    <row r="3209" s="65" customFormat="1"/>
    <row r="3210" s="65" customFormat="1"/>
    <row r="3211" s="65" customFormat="1"/>
    <row r="3212" s="65" customFormat="1"/>
    <row r="3213" s="65" customFormat="1"/>
    <row r="3214" s="65" customFormat="1"/>
    <row r="3215" s="65" customFormat="1"/>
    <row r="3216" s="65" customFormat="1"/>
    <row r="3217" s="65" customFormat="1"/>
    <row r="3218" s="65" customFormat="1"/>
    <row r="3219" s="65" customFormat="1"/>
    <row r="3220" s="65" customFormat="1"/>
    <row r="3221" s="65" customFormat="1"/>
    <row r="3222" s="65" customFormat="1"/>
    <row r="3223" s="65" customFormat="1"/>
    <row r="3224" s="65" customFormat="1"/>
    <row r="3225" s="65" customFormat="1"/>
    <row r="3226" s="65" customFormat="1"/>
    <row r="3227" s="65" customFormat="1"/>
    <row r="3228" s="65" customFormat="1"/>
    <row r="3229" s="65" customFormat="1"/>
    <row r="3230" s="65" customFormat="1"/>
    <row r="3231" s="65" customFormat="1"/>
    <row r="3232" s="65" customFormat="1"/>
    <row r="3233" s="65" customFormat="1"/>
    <row r="3234" s="65" customFormat="1"/>
    <row r="3235" s="65" customFormat="1"/>
    <row r="3236" s="65" customFormat="1"/>
    <row r="3237" s="65" customFormat="1"/>
    <row r="3238" s="65" customFormat="1"/>
    <row r="3239" s="65" customFormat="1"/>
    <row r="3240" s="65" customFormat="1"/>
    <row r="3241" s="65" customFormat="1"/>
    <row r="3242" s="65" customFormat="1"/>
    <row r="3243" s="65" customFormat="1"/>
    <row r="3244" s="65" customFormat="1"/>
    <row r="3245" s="65" customFormat="1"/>
    <row r="3246" s="65" customFormat="1"/>
    <row r="3247" s="65" customFormat="1"/>
    <row r="3248" s="65" customFormat="1"/>
    <row r="3249" s="65" customFormat="1"/>
    <row r="3250" s="65" customFormat="1"/>
    <row r="3251" s="65" customFormat="1"/>
    <row r="3252" s="65" customFormat="1"/>
    <row r="3253" s="65" customFormat="1"/>
    <row r="3254" s="65" customFormat="1"/>
    <row r="3255" s="65" customFormat="1"/>
    <row r="3256" s="65" customFormat="1"/>
    <row r="3257" s="65" customFormat="1"/>
    <row r="3258" s="65" customFormat="1"/>
    <row r="3259" s="65" customFormat="1"/>
    <row r="3260" s="65" customFormat="1"/>
    <row r="3261" s="65" customFormat="1"/>
    <row r="3262" s="65" customFormat="1"/>
    <row r="3263" s="65" customFormat="1"/>
    <row r="3264" s="65" customFormat="1"/>
    <row r="3265" s="65" customFormat="1"/>
    <row r="3266" s="65" customFormat="1"/>
    <row r="3267" s="65" customFormat="1"/>
    <row r="3268" s="65" customFormat="1"/>
    <row r="3269" s="65" customFormat="1"/>
    <row r="3270" s="65" customFormat="1"/>
    <row r="3271" s="65" customFormat="1"/>
    <row r="3272" s="65" customFormat="1"/>
    <row r="3273" s="65" customFormat="1"/>
    <row r="3274" s="65" customFormat="1"/>
    <row r="3275" s="65" customFormat="1"/>
    <row r="3276" s="65" customFormat="1"/>
    <row r="3277" s="65" customFormat="1"/>
    <row r="3278" s="65" customFormat="1"/>
    <row r="3279" s="65" customFormat="1"/>
    <row r="3280" s="65" customFormat="1"/>
    <row r="3281" s="65" customFormat="1"/>
    <row r="3282" s="65" customFormat="1"/>
    <row r="3283" s="65" customFormat="1"/>
    <row r="3284" s="65" customFormat="1"/>
    <row r="3285" s="65" customFormat="1"/>
    <row r="3286" s="65" customFormat="1"/>
    <row r="3287" s="65" customFormat="1"/>
    <row r="3288" s="65" customFormat="1"/>
    <row r="3289" s="65" customFormat="1"/>
    <row r="3290" s="65" customFormat="1"/>
    <row r="3291" s="65" customFormat="1"/>
    <row r="3292" s="65" customFormat="1"/>
    <row r="3293" s="65" customFormat="1"/>
    <row r="3294" s="65" customFormat="1"/>
    <row r="3295" s="65" customFormat="1"/>
    <row r="3296" s="65" customFormat="1"/>
    <row r="3297" s="65" customFormat="1"/>
    <row r="3298" s="65" customFormat="1"/>
    <row r="3299" s="65" customFormat="1"/>
    <row r="3300" s="65" customFormat="1"/>
    <row r="3301" s="65" customFormat="1"/>
    <row r="3302" s="65" customFormat="1"/>
    <row r="3303" s="65" customFormat="1"/>
    <row r="3304" s="65" customFormat="1"/>
    <row r="3305" s="65" customFormat="1"/>
    <row r="3306" s="65" customFormat="1"/>
    <row r="3307" s="65" customFormat="1"/>
    <row r="3308" s="65" customFormat="1"/>
    <row r="3309" s="65" customFormat="1"/>
    <row r="3310" s="65" customFormat="1"/>
    <row r="3311" s="65" customFormat="1"/>
    <row r="3312" s="65" customFormat="1"/>
    <row r="3313" s="65" customFormat="1"/>
    <row r="3314" s="65" customFormat="1"/>
    <row r="3315" s="65" customFormat="1"/>
    <row r="3316" s="65" customFormat="1"/>
    <row r="3317" s="65" customFormat="1"/>
    <row r="3318" s="65" customFormat="1"/>
    <row r="3319" s="65" customFormat="1"/>
    <row r="3320" s="65" customFormat="1"/>
    <row r="3321" s="65" customFormat="1"/>
    <row r="3322" s="65" customFormat="1"/>
    <row r="3323" s="65" customFormat="1"/>
    <row r="3324" s="65" customFormat="1"/>
    <row r="3325" s="65" customFormat="1"/>
    <row r="3326" s="65" customFormat="1"/>
    <row r="3327" s="65" customFormat="1"/>
    <row r="3328" s="65" customFormat="1"/>
    <row r="3329" s="65" customFormat="1"/>
    <row r="3330" s="65" customFormat="1"/>
    <row r="3331" s="65" customFormat="1"/>
    <row r="3332" s="65" customFormat="1"/>
    <row r="3333" s="65" customFormat="1"/>
    <row r="3334" s="65" customFormat="1"/>
    <row r="3335" s="65" customFormat="1"/>
    <row r="3336" s="65" customFormat="1"/>
    <row r="3337" s="65" customFormat="1"/>
    <row r="3338" s="65" customFormat="1"/>
    <row r="3339" s="65" customFormat="1"/>
    <row r="3340" s="65" customFormat="1"/>
    <row r="3341" s="65" customFormat="1"/>
    <row r="3342" s="65" customFormat="1"/>
    <row r="3343" s="65" customFormat="1"/>
    <row r="3344" s="65" customFormat="1"/>
    <row r="3345" s="65" customFormat="1"/>
    <row r="3346" s="65" customFormat="1"/>
    <row r="3347" s="65" customFormat="1"/>
    <row r="3348" s="65" customFormat="1"/>
    <row r="3349" s="65" customFormat="1"/>
    <row r="3350" s="65" customFormat="1"/>
    <row r="3351" s="65" customFormat="1"/>
    <row r="3352" s="65" customFormat="1"/>
    <row r="3353" s="65" customFormat="1"/>
    <row r="3354" s="65" customFormat="1"/>
    <row r="3355" s="65" customFormat="1"/>
    <row r="3356" s="65" customFormat="1"/>
    <row r="3357" s="65" customFormat="1"/>
    <row r="3358" s="65" customFormat="1"/>
    <row r="3359" s="65" customFormat="1"/>
    <row r="3360" s="65" customFormat="1"/>
    <row r="3361" s="65" customFormat="1"/>
    <row r="3362" s="65" customFormat="1"/>
    <row r="3363" s="65" customFormat="1"/>
    <row r="3364" s="65" customFormat="1"/>
    <row r="3365" s="65" customFormat="1"/>
    <row r="3366" s="65" customFormat="1"/>
    <row r="3367" s="65" customFormat="1"/>
    <row r="3368" s="65" customFormat="1"/>
    <row r="3369" s="65" customFormat="1"/>
    <row r="3370" s="65" customFormat="1"/>
    <row r="3371" s="65" customFormat="1"/>
    <row r="3372" s="65" customFormat="1"/>
    <row r="3373" s="65" customFormat="1"/>
    <row r="3374" s="65" customFormat="1"/>
    <row r="3375" s="65" customFormat="1"/>
    <row r="3376" s="65" customFormat="1"/>
    <row r="3377" s="65" customFormat="1"/>
    <row r="3378" s="65" customFormat="1"/>
    <row r="3379" s="65" customFormat="1"/>
    <row r="3380" s="65" customFormat="1"/>
    <row r="3381" s="65" customFormat="1"/>
    <row r="3382" s="65" customFormat="1"/>
    <row r="3383" s="65" customFormat="1"/>
    <row r="3384" s="65" customFormat="1"/>
    <row r="3385" s="65" customFormat="1"/>
    <row r="3386" s="65" customFormat="1"/>
    <row r="3387" s="65" customFormat="1"/>
    <row r="3388" s="65" customFormat="1"/>
    <row r="3389" s="65" customFormat="1"/>
    <row r="3390" s="65" customFormat="1"/>
    <row r="3391" s="65" customFormat="1"/>
    <row r="3392" s="65" customFormat="1"/>
    <row r="3393" s="65" customFormat="1"/>
    <row r="3394" s="65" customFormat="1"/>
    <row r="3395" s="65" customFormat="1"/>
    <row r="3396" s="65" customFormat="1"/>
    <row r="3397" s="65" customFormat="1"/>
    <row r="3398" s="65" customFormat="1"/>
    <row r="3399" s="65" customFormat="1"/>
    <row r="3400" s="65" customFormat="1"/>
    <row r="3401" s="65" customFormat="1"/>
    <row r="3402" s="65" customFormat="1"/>
    <row r="3403" s="65" customFormat="1"/>
    <row r="3404" s="65" customFormat="1"/>
    <row r="3405" s="65" customFormat="1"/>
    <row r="3406" s="65" customFormat="1"/>
    <row r="3407" s="65" customFormat="1"/>
    <row r="3408" s="65" customFormat="1"/>
    <row r="3409" s="65" customFormat="1"/>
    <row r="3410" s="65" customFormat="1"/>
    <row r="3411" s="65" customFormat="1"/>
    <row r="3412" s="65" customFormat="1"/>
    <row r="3413" s="65" customFormat="1"/>
    <row r="3414" s="65" customFormat="1"/>
    <row r="3415" s="65" customFormat="1"/>
    <row r="3416" s="65" customFormat="1"/>
    <row r="3417" s="65" customFormat="1"/>
    <row r="3418" s="65" customFormat="1"/>
    <row r="3419" s="65" customFormat="1"/>
    <row r="3420" s="65" customFormat="1"/>
    <row r="3421" s="65" customFormat="1"/>
    <row r="3422" s="65" customFormat="1"/>
    <row r="3423" s="65" customFormat="1"/>
    <row r="3424" s="65" customFormat="1"/>
    <row r="3425" s="65" customFormat="1"/>
    <row r="3426" s="65" customFormat="1"/>
    <row r="3427" s="65" customFormat="1"/>
    <row r="3428" s="65" customFormat="1"/>
    <row r="3429" s="65" customFormat="1"/>
    <row r="3430" s="65" customFormat="1"/>
    <row r="3431" s="65" customFormat="1"/>
    <row r="3432" s="65" customFormat="1"/>
    <row r="3433" s="65" customFormat="1"/>
    <row r="3434" s="65" customFormat="1"/>
    <row r="3435" s="65" customFormat="1"/>
    <row r="3436" s="65" customFormat="1"/>
    <row r="3437" s="65" customFormat="1"/>
    <row r="3438" s="65" customFormat="1"/>
    <row r="3439" s="65" customFormat="1"/>
    <row r="3440" s="65" customFormat="1"/>
    <row r="3441" s="65" customFormat="1"/>
    <row r="3442" s="65" customFormat="1"/>
    <row r="3443" s="65" customFormat="1"/>
    <row r="3444" s="65" customFormat="1"/>
    <row r="3445" s="65" customFormat="1"/>
    <row r="3446" s="65" customFormat="1"/>
    <row r="3447" s="65" customFormat="1"/>
    <row r="3448" s="65" customFormat="1"/>
    <row r="3449" s="65" customFormat="1"/>
    <row r="3450" s="65" customFormat="1"/>
    <row r="3451" s="65" customFormat="1"/>
    <row r="3452" s="65" customFormat="1"/>
    <row r="3453" s="65" customFormat="1"/>
    <row r="3454" s="65" customFormat="1"/>
    <row r="3455" s="65" customFormat="1"/>
    <row r="3456" s="65" customFormat="1"/>
    <row r="3457" s="65" customFormat="1"/>
    <row r="3458" s="65" customFormat="1"/>
    <row r="3459" s="65" customFormat="1"/>
    <row r="3460" s="65" customFormat="1"/>
    <row r="3461" s="65" customFormat="1"/>
    <row r="3462" s="65" customFormat="1"/>
    <row r="3463" s="65" customFormat="1"/>
    <row r="3464" s="65" customFormat="1"/>
    <row r="3465" s="65" customFormat="1"/>
    <row r="3466" s="65" customFormat="1"/>
    <row r="3467" s="65" customFormat="1"/>
    <row r="3468" s="65" customFormat="1"/>
    <row r="3469" s="65" customFormat="1"/>
    <row r="3470" s="65" customFormat="1"/>
    <row r="3471" s="65" customFormat="1"/>
    <row r="3472" s="65" customFormat="1"/>
    <row r="3473" s="65" customFormat="1"/>
    <row r="3474" s="65" customFormat="1"/>
    <row r="3475" s="65" customFormat="1"/>
    <row r="3476" s="65" customFormat="1"/>
    <row r="3477" s="65" customFormat="1"/>
    <row r="3478" s="65" customFormat="1"/>
    <row r="3479" s="65" customFormat="1"/>
    <row r="3480" s="65" customFormat="1"/>
    <row r="3481" s="65" customFormat="1"/>
    <row r="3482" s="65" customFormat="1"/>
    <row r="3483" s="65" customFormat="1"/>
    <row r="3484" s="65" customFormat="1"/>
    <row r="3485" s="65" customFormat="1"/>
    <row r="3486" s="65" customFormat="1"/>
    <row r="3487" s="65" customFormat="1"/>
    <row r="3488" s="65" customFormat="1"/>
    <row r="3489" s="65" customFormat="1"/>
    <row r="3490" s="65" customFormat="1"/>
    <row r="3491" s="65" customFormat="1"/>
    <row r="3492" s="65" customFormat="1"/>
    <row r="3493" s="65" customFormat="1"/>
    <row r="3494" s="65" customFormat="1"/>
    <row r="3495" s="65" customFormat="1"/>
    <row r="3496" s="65" customFormat="1"/>
    <row r="3497" s="65" customFormat="1"/>
    <row r="3498" s="65" customFormat="1"/>
    <row r="3499" s="65" customFormat="1"/>
    <row r="3500" s="65" customFormat="1"/>
    <row r="3501" s="65" customFormat="1"/>
    <row r="3502" s="65" customFormat="1"/>
    <row r="3503" s="65" customFormat="1"/>
    <row r="3504" s="65" customFormat="1"/>
    <row r="3505" s="65" customFormat="1"/>
    <row r="3506" s="65" customFormat="1"/>
    <row r="3507" s="65" customFormat="1"/>
    <row r="3508" s="65" customFormat="1"/>
    <row r="3509" s="65" customFormat="1"/>
    <row r="3510" s="65" customFormat="1"/>
    <row r="3511" s="65" customFormat="1"/>
    <row r="3512" s="65" customFormat="1"/>
    <row r="3513" s="65" customFormat="1"/>
    <row r="3514" s="65" customFormat="1"/>
    <row r="3515" s="65" customFormat="1"/>
    <row r="3516" s="65" customFormat="1"/>
    <row r="3517" s="65" customFormat="1"/>
    <row r="3518" s="65" customFormat="1"/>
    <row r="3519" s="65" customFormat="1"/>
    <row r="3520" s="65" customFormat="1"/>
    <row r="3521" s="65" customFormat="1"/>
    <row r="3522" s="65" customFormat="1"/>
    <row r="3523" s="65" customFormat="1"/>
    <row r="3524" s="65" customFormat="1"/>
    <row r="3525" s="65" customFormat="1"/>
    <row r="3526" s="65" customFormat="1"/>
    <row r="3527" s="65" customFormat="1"/>
    <row r="3528" s="65" customFormat="1"/>
    <row r="3529" s="65" customFormat="1"/>
    <row r="3530" s="65" customFormat="1"/>
    <row r="3531" s="65" customFormat="1"/>
    <row r="3532" s="65" customFormat="1"/>
    <row r="3533" s="65" customFormat="1"/>
    <row r="3534" s="65" customFormat="1"/>
    <row r="3535" s="65" customFormat="1"/>
    <row r="3536" s="65" customFormat="1"/>
    <row r="3537" s="65" customFormat="1"/>
    <row r="3538" s="65" customFormat="1"/>
    <row r="3539" s="65" customFormat="1"/>
    <row r="3540" s="65" customFormat="1"/>
    <row r="3541" s="65" customFormat="1"/>
    <row r="3542" s="65" customFormat="1"/>
    <row r="3543" s="65" customFormat="1"/>
    <row r="3544" s="65" customFormat="1"/>
    <row r="3545" s="65" customFormat="1"/>
    <row r="3546" s="65" customFormat="1"/>
    <row r="3547" s="65" customFormat="1"/>
    <row r="3548" s="65" customFormat="1"/>
    <row r="3549" s="65" customFormat="1"/>
    <row r="3550" s="65" customFormat="1"/>
    <row r="3551" s="65" customFormat="1"/>
    <row r="3552" s="65" customFormat="1"/>
    <row r="3553" s="65" customFormat="1"/>
    <row r="3554" s="65" customFormat="1"/>
    <row r="3555" s="65" customFormat="1"/>
    <row r="3556" s="65" customFormat="1"/>
    <row r="3557" s="65" customFormat="1"/>
    <row r="3558" s="65" customFormat="1"/>
    <row r="3559" s="65" customFormat="1"/>
    <row r="3560" s="65" customFormat="1"/>
    <row r="3561" s="65" customFormat="1"/>
    <row r="3562" s="65" customFormat="1"/>
    <row r="3563" s="65" customFormat="1"/>
    <row r="3564" s="65" customFormat="1"/>
    <row r="3565" s="65" customFormat="1"/>
    <row r="3566" s="65" customFormat="1"/>
    <row r="3567" s="65" customFormat="1"/>
    <row r="3568" s="65" customFormat="1"/>
    <row r="3569" s="65" customFormat="1"/>
    <row r="3570" s="65" customFormat="1"/>
    <row r="3571" s="65" customFormat="1"/>
    <row r="3572" s="65" customFormat="1"/>
    <row r="3573" s="65" customFormat="1"/>
    <row r="3574" s="65" customFormat="1"/>
    <row r="3575" s="65" customFormat="1"/>
    <row r="3576" s="65" customFormat="1"/>
    <row r="3577" s="65" customFormat="1"/>
    <row r="3578" s="65" customFormat="1"/>
    <row r="3579" s="65" customFormat="1"/>
    <row r="3580" s="65" customFormat="1"/>
    <row r="3581" s="65" customFormat="1"/>
    <row r="3582" s="65" customFormat="1"/>
    <row r="3583" s="65" customFormat="1"/>
    <row r="3584" s="65" customFormat="1"/>
    <row r="3585" s="65" customFormat="1"/>
    <row r="3586" s="65" customFormat="1"/>
    <row r="3587" s="65" customFormat="1"/>
    <row r="3588" s="65" customFormat="1"/>
    <row r="3589" s="65" customFormat="1"/>
    <row r="3590" s="65" customFormat="1"/>
    <row r="3591" s="65" customFormat="1"/>
    <row r="3592" s="65" customFormat="1"/>
    <row r="3593" s="65" customFormat="1"/>
    <row r="3594" s="65" customFormat="1"/>
    <row r="3595" s="65" customFormat="1"/>
    <row r="3596" s="65" customFormat="1"/>
    <row r="3597" s="65" customFormat="1"/>
    <row r="3598" s="65" customFormat="1"/>
    <row r="3599" s="65" customFormat="1"/>
    <row r="3600" s="65" customFormat="1"/>
    <row r="3601" s="65" customFormat="1"/>
    <row r="3602" s="65" customFormat="1"/>
    <row r="3603" s="65" customFormat="1"/>
    <row r="3604" s="65" customFormat="1"/>
    <row r="3605" s="65" customFormat="1"/>
    <row r="3606" s="65" customFormat="1"/>
    <row r="3607" s="65" customFormat="1"/>
    <row r="3608" s="65" customFormat="1"/>
    <row r="3609" s="65" customFormat="1"/>
    <row r="3610" s="65" customFormat="1"/>
    <row r="3611" s="65" customFormat="1"/>
    <row r="3612" s="65" customFormat="1"/>
    <row r="3613" s="65" customFormat="1"/>
    <row r="3614" s="65" customFormat="1"/>
    <row r="3615" s="65" customFormat="1"/>
    <row r="3616" s="65" customFormat="1"/>
    <row r="3617" s="65" customFormat="1"/>
    <row r="3618" s="65" customFormat="1"/>
    <row r="3619" s="65" customFormat="1"/>
    <row r="3620" s="65" customFormat="1"/>
    <row r="3621" s="65" customFormat="1"/>
    <row r="3622" s="65" customFormat="1"/>
    <row r="3623" s="65" customFormat="1"/>
    <row r="3624" s="65" customFormat="1"/>
    <row r="3625" s="65" customFormat="1"/>
    <row r="3626" s="65" customFormat="1"/>
    <row r="3627" s="65" customFormat="1"/>
    <row r="3628" s="65" customFormat="1"/>
    <row r="3629" s="65" customFormat="1"/>
    <row r="3630" s="65" customFormat="1"/>
    <row r="3631" s="65" customFormat="1"/>
    <row r="3632" s="65" customFormat="1"/>
    <row r="3633" s="65" customFormat="1"/>
    <row r="3634" s="65" customFormat="1"/>
    <row r="3635" s="65" customFormat="1"/>
    <row r="3636" s="65" customFormat="1"/>
    <row r="3637" s="65" customFormat="1"/>
    <row r="3638" s="65" customFormat="1"/>
    <row r="3639" s="65" customFormat="1"/>
    <row r="3640" s="65" customFormat="1"/>
    <row r="3641" s="65" customFormat="1"/>
    <row r="3642" s="65" customFormat="1"/>
    <row r="3643" s="65" customFormat="1"/>
    <row r="3644" s="65" customFormat="1"/>
    <row r="3645" s="65" customFormat="1"/>
    <row r="3646" s="65" customFormat="1"/>
    <row r="3647" s="65" customFormat="1"/>
    <row r="3648" s="65" customFormat="1"/>
    <row r="3649" s="65" customFormat="1"/>
    <row r="3650" s="65" customFormat="1"/>
    <row r="3651" s="65" customFormat="1"/>
    <row r="3652" s="65" customFormat="1"/>
    <row r="3653" s="65" customFormat="1"/>
    <row r="3654" s="65" customFormat="1"/>
    <row r="3655" s="65" customFormat="1"/>
    <row r="3656" s="65" customFormat="1"/>
    <row r="3657" s="65" customFormat="1"/>
    <row r="3658" s="65" customFormat="1"/>
    <row r="3659" s="65" customFormat="1"/>
    <row r="3660" s="65" customFormat="1"/>
    <row r="3661" s="65" customFormat="1"/>
    <row r="3662" s="65" customFormat="1"/>
    <row r="3663" s="65" customFormat="1"/>
    <row r="3664" s="65" customFormat="1"/>
    <row r="3665" s="65" customFormat="1"/>
    <row r="3666" s="65" customFormat="1"/>
    <row r="3667" s="65" customFormat="1"/>
    <row r="3668" s="65" customFormat="1"/>
    <row r="3669" s="65" customFormat="1"/>
    <row r="3670" s="65" customFormat="1"/>
    <row r="3671" s="65" customFormat="1"/>
    <row r="3672" s="65" customFormat="1"/>
    <row r="3673" s="65" customFormat="1"/>
    <row r="3674" s="65" customFormat="1"/>
    <row r="3675" s="65" customFormat="1"/>
    <row r="3676" s="65" customFormat="1"/>
    <row r="3677" s="65" customFormat="1"/>
    <row r="3678" s="65" customFormat="1"/>
    <row r="3679" s="65" customFormat="1"/>
    <row r="3680" s="65" customFormat="1"/>
    <row r="3681" s="65" customFormat="1"/>
    <row r="3682" s="65" customFormat="1"/>
    <row r="3683" s="65" customFormat="1"/>
    <row r="3684" s="65" customFormat="1"/>
    <row r="3685" s="65" customFormat="1"/>
    <row r="3686" s="65" customFormat="1"/>
    <row r="3687" s="65" customFormat="1"/>
    <row r="3688" s="65" customFormat="1"/>
    <row r="3689" s="65" customFormat="1"/>
    <row r="3690" s="65" customFormat="1"/>
    <row r="3691" s="65" customFormat="1"/>
    <row r="3692" s="65" customFormat="1"/>
    <row r="3693" s="65" customFormat="1"/>
    <row r="3694" s="65" customFormat="1"/>
    <row r="3695" s="65" customFormat="1"/>
    <row r="3696" s="65" customFormat="1"/>
    <row r="3697" s="65" customFormat="1"/>
    <row r="3698" s="65" customFormat="1"/>
    <row r="3699" s="65" customFormat="1"/>
    <row r="3700" s="65" customFormat="1"/>
    <row r="3701" s="65" customFormat="1"/>
    <row r="3702" s="65" customFormat="1"/>
    <row r="3703" s="65" customFormat="1"/>
    <row r="3704" s="65" customFormat="1"/>
    <row r="3705" s="65" customFormat="1"/>
    <row r="3706" s="65" customFormat="1"/>
    <row r="3707" s="65" customFormat="1"/>
    <row r="3708" s="65" customFormat="1"/>
    <row r="3709" s="65" customFormat="1"/>
    <row r="3710" s="65" customFormat="1"/>
    <row r="3711" s="65" customFormat="1"/>
    <row r="3712" s="65" customFormat="1"/>
    <row r="3713" s="65" customFormat="1"/>
    <row r="3714" s="65" customFormat="1"/>
    <row r="3715" s="65" customFormat="1"/>
    <row r="3716" s="65" customFormat="1"/>
    <row r="3717" s="65" customFormat="1"/>
    <row r="3718" s="65" customFormat="1"/>
    <row r="3719" s="65" customFormat="1"/>
    <row r="3720" s="65" customFormat="1"/>
    <row r="3721" s="65" customFormat="1"/>
    <row r="3722" s="65" customFormat="1"/>
    <row r="3723" s="65" customFormat="1"/>
    <row r="3724" s="65" customFormat="1"/>
    <row r="3725" s="65" customFormat="1"/>
    <row r="3726" s="65" customFormat="1"/>
    <row r="3727" s="65" customFormat="1"/>
    <row r="3728" s="65" customFormat="1"/>
    <row r="3729" s="65" customFormat="1"/>
    <row r="3730" s="65" customFormat="1"/>
    <row r="3731" s="65" customFormat="1"/>
    <row r="3732" s="65" customFormat="1"/>
    <row r="3733" s="65" customFormat="1"/>
    <row r="3734" s="65" customFormat="1"/>
    <row r="3735" s="65" customFormat="1"/>
    <row r="3736" s="65" customFormat="1"/>
    <row r="3737" s="65" customFormat="1"/>
    <row r="3738" s="65" customFormat="1"/>
    <row r="3739" s="65" customFormat="1"/>
    <row r="3740" s="65" customFormat="1"/>
    <row r="3741" s="65" customFormat="1"/>
    <row r="3742" s="65" customFormat="1"/>
    <row r="3743" s="65" customFormat="1"/>
    <row r="3744" s="65" customFormat="1"/>
    <row r="3745" s="65" customFormat="1"/>
    <row r="3746" s="65" customFormat="1"/>
    <row r="3747" s="65" customFormat="1"/>
    <row r="3748" s="65" customFormat="1"/>
    <row r="3749" s="65" customFormat="1"/>
    <row r="3750" s="65" customFormat="1"/>
    <row r="3751" s="65" customFormat="1"/>
    <row r="3752" s="65" customFormat="1"/>
    <row r="3753" s="65" customFormat="1"/>
    <row r="3754" s="65" customFormat="1"/>
    <row r="3755" s="65" customFormat="1"/>
    <row r="3756" s="65" customFormat="1"/>
    <row r="3757" s="65" customFormat="1"/>
    <row r="3758" s="65" customFormat="1"/>
    <row r="3759" s="65" customFormat="1"/>
    <row r="3760" s="65" customFormat="1"/>
    <row r="3761" s="65" customFormat="1"/>
    <row r="3762" s="65" customFormat="1"/>
    <row r="3763" s="65" customFormat="1"/>
    <row r="3764" s="65" customFormat="1"/>
    <row r="3765" s="65" customFormat="1"/>
    <row r="3766" s="65" customFormat="1"/>
    <row r="3767" s="65" customFormat="1"/>
    <row r="3768" s="65" customFormat="1"/>
    <row r="3769" s="65" customFormat="1"/>
    <row r="3770" s="65" customFormat="1"/>
    <row r="3771" s="65" customFormat="1"/>
    <row r="3772" s="65" customFormat="1"/>
    <row r="3773" s="65" customFormat="1"/>
    <row r="3774" s="65" customFormat="1"/>
    <row r="3775" s="65" customFormat="1"/>
    <row r="3776" s="65" customFormat="1"/>
    <row r="3777" s="65" customFormat="1"/>
    <row r="3778" s="65" customFormat="1"/>
    <row r="3779" s="65" customFormat="1"/>
    <row r="3780" s="65" customFormat="1"/>
    <row r="3781" s="65" customFormat="1"/>
    <row r="3782" s="65" customFormat="1"/>
    <row r="3783" s="65" customFormat="1"/>
    <row r="3784" s="65" customFormat="1"/>
    <row r="3785" s="65" customFormat="1"/>
    <row r="3786" s="65" customFormat="1"/>
    <row r="3787" s="65" customFormat="1"/>
    <row r="3788" s="65" customFormat="1"/>
    <row r="3789" s="65" customFormat="1"/>
    <row r="3790" s="65" customFormat="1"/>
    <row r="3791" s="65" customFormat="1"/>
    <row r="3792" s="65" customFormat="1"/>
    <row r="3793" s="65" customFormat="1"/>
    <row r="3794" s="65" customFormat="1"/>
    <row r="3795" s="65" customFormat="1"/>
    <row r="3796" s="65" customFormat="1"/>
    <row r="3797" s="65" customFormat="1"/>
    <row r="3798" s="65" customFormat="1"/>
    <row r="3799" s="65" customFormat="1"/>
    <row r="3800" s="65" customFormat="1"/>
    <row r="3801" s="65" customFormat="1"/>
    <row r="3802" s="65" customFormat="1"/>
    <row r="3803" s="65" customFormat="1"/>
    <row r="3804" s="65" customFormat="1"/>
    <row r="3805" s="65" customFormat="1"/>
    <row r="3806" s="65" customFormat="1"/>
    <row r="3807" s="65" customFormat="1"/>
    <row r="3808" s="65" customFormat="1"/>
    <row r="3809" s="65" customFormat="1"/>
    <row r="3810" s="65" customFormat="1"/>
    <row r="3811" s="65" customFormat="1"/>
    <row r="3812" s="65" customFormat="1"/>
    <row r="3813" s="65" customFormat="1"/>
    <row r="3814" s="65" customFormat="1"/>
    <row r="3815" s="65" customFormat="1"/>
    <row r="3816" s="65" customFormat="1"/>
    <row r="3817" s="65" customFormat="1"/>
    <row r="3818" s="65" customFormat="1"/>
    <row r="3819" s="65" customFormat="1"/>
    <row r="3820" s="65" customFormat="1"/>
    <row r="3821" s="65" customFormat="1"/>
    <row r="3822" s="65" customFormat="1"/>
    <row r="3823" s="65" customFormat="1"/>
    <row r="3824" s="65" customFormat="1"/>
    <row r="3825" s="65" customFormat="1"/>
    <row r="3826" s="65" customFormat="1"/>
    <row r="3827" s="65" customFormat="1"/>
    <row r="3828" s="65" customFormat="1"/>
    <row r="3829" s="65" customFormat="1"/>
    <row r="3830" s="65" customFormat="1"/>
    <row r="3831" s="65" customFormat="1"/>
    <row r="3832" s="65" customFormat="1"/>
    <row r="3833" s="65" customFormat="1"/>
    <row r="3834" s="65" customFormat="1"/>
    <row r="3835" s="65" customFormat="1"/>
    <row r="3836" s="65" customFormat="1"/>
    <row r="3837" s="65" customFormat="1"/>
    <row r="3838" s="65" customFormat="1"/>
    <row r="3839" s="65" customFormat="1"/>
    <row r="3840" s="65" customFormat="1"/>
    <row r="3841" s="65" customFormat="1"/>
    <row r="3842" s="65" customFormat="1"/>
    <row r="3843" s="65" customFormat="1"/>
    <row r="3844" s="65" customFormat="1"/>
    <row r="3845" s="65" customFormat="1"/>
    <row r="3846" s="65" customFormat="1"/>
    <row r="3847" s="65" customFormat="1"/>
    <row r="3848" s="65" customFormat="1"/>
    <row r="3849" s="65" customFormat="1"/>
    <row r="3850" s="65" customFormat="1"/>
    <row r="3851" s="65" customFormat="1"/>
    <row r="3852" s="65" customFormat="1"/>
    <row r="3853" s="65" customFormat="1"/>
    <row r="3854" s="65" customFormat="1"/>
    <row r="3855" s="65" customFormat="1"/>
    <row r="3856" s="65" customFormat="1"/>
    <row r="3857" s="65" customFormat="1"/>
    <row r="3858" s="65" customFormat="1"/>
    <row r="3859" s="65" customFormat="1"/>
    <row r="3860" s="65" customFormat="1"/>
    <row r="3861" s="65" customFormat="1"/>
    <row r="3862" s="65" customFormat="1"/>
    <row r="3863" s="65" customFormat="1"/>
    <row r="3864" s="65" customFormat="1"/>
    <row r="3865" s="65" customFormat="1"/>
    <row r="3866" s="65" customFormat="1"/>
    <row r="3867" s="65" customFormat="1"/>
    <row r="3868" s="65" customFormat="1"/>
    <row r="3869" s="65" customFormat="1"/>
    <row r="3870" s="65" customFormat="1"/>
    <row r="3871" s="65" customFormat="1"/>
    <row r="3872" s="65" customFormat="1"/>
    <row r="3873" s="65" customFormat="1"/>
    <row r="3874" s="65" customFormat="1"/>
    <row r="3875" s="65" customFormat="1"/>
    <row r="3876" s="65" customFormat="1"/>
    <row r="3877" s="65" customFormat="1"/>
    <row r="3878" s="65" customFormat="1"/>
    <row r="3879" s="65" customFormat="1"/>
    <row r="3880" s="65" customFormat="1"/>
    <row r="3881" s="65" customFormat="1"/>
    <row r="3882" s="65" customFormat="1"/>
    <row r="3883" s="65" customFormat="1"/>
    <row r="3884" s="65" customFormat="1"/>
    <row r="3885" s="65" customFormat="1"/>
    <row r="3886" s="65" customFormat="1"/>
    <row r="3887" s="65" customFormat="1"/>
    <row r="3888" s="65" customFormat="1"/>
    <row r="3889" s="65" customFormat="1"/>
    <row r="3890" s="65" customFormat="1"/>
    <row r="3891" s="65" customFormat="1"/>
    <row r="3892" s="65" customFormat="1"/>
    <row r="3893" s="65" customFormat="1"/>
    <row r="3894" s="65" customFormat="1"/>
    <row r="3895" s="65" customFormat="1"/>
    <row r="3896" s="65" customFormat="1"/>
    <row r="3897" s="65" customFormat="1"/>
    <row r="3898" s="65" customFormat="1"/>
    <row r="3899" s="65" customFormat="1"/>
    <row r="3900" s="65" customFormat="1"/>
    <row r="3901" s="65" customFormat="1"/>
    <row r="3902" s="65" customFormat="1"/>
    <row r="3903" s="65" customFormat="1"/>
    <row r="3904" s="65" customFormat="1"/>
    <row r="3905" s="65" customFormat="1"/>
    <row r="3906" s="65" customFormat="1"/>
    <row r="3907" s="65" customFormat="1"/>
    <row r="3908" s="65" customFormat="1"/>
    <row r="3909" s="65" customFormat="1"/>
    <row r="3910" s="65" customFormat="1"/>
    <row r="3911" s="65" customFormat="1"/>
    <row r="3912" s="65" customFormat="1"/>
    <row r="3913" s="65" customFormat="1"/>
    <row r="3914" s="65" customFormat="1"/>
    <row r="3915" s="65" customFormat="1"/>
    <row r="3916" s="65" customFormat="1"/>
    <row r="3917" s="65" customFormat="1"/>
    <row r="3918" s="65" customFormat="1"/>
    <row r="3919" s="65" customFormat="1"/>
    <row r="3920" s="65" customFormat="1"/>
    <row r="3921" s="65" customFormat="1"/>
    <row r="3922" s="65" customFormat="1"/>
    <row r="3923" s="65" customFormat="1"/>
    <row r="3924" s="65" customFormat="1"/>
    <row r="3925" s="65" customFormat="1"/>
    <row r="3926" s="65" customFormat="1"/>
    <row r="3927" s="65" customFormat="1"/>
    <row r="3928" s="65" customFormat="1"/>
    <row r="3929" s="65" customFormat="1"/>
    <row r="3930" s="65" customFormat="1"/>
    <row r="3931" s="65" customFormat="1"/>
    <row r="3932" s="65" customFormat="1"/>
    <row r="3933" s="65" customFormat="1"/>
    <row r="3934" s="65" customFormat="1"/>
    <row r="3935" s="65" customFormat="1"/>
    <row r="3936" s="65" customFormat="1"/>
    <row r="3937" s="65" customFormat="1"/>
    <row r="3938" s="65" customFormat="1"/>
    <row r="3939" s="65" customFormat="1"/>
    <row r="3940" s="65" customFormat="1"/>
    <row r="3941" s="65" customFormat="1"/>
    <row r="3942" s="65" customFormat="1"/>
    <row r="3943" s="65" customFormat="1"/>
    <row r="3944" s="65" customFormat="1"/>
    <row r="3945" s="65" customFormat="1"/>
    <row r="3946" s="65" customFormat="1"/>
    <row r="3947" s="65" customFormat="1"/>
    <row r="3948" s="65" customFormat="1"/>
    <row r="3949" s="65" customFormat="1"/>
    <row r="3950" s="65" customFormat="1"/>
    <row r="3951" s="65" customFormat="1"/>
    <row r="3952" s="65" customFormat="1"/>
    <row r="3953" s="65" customFormat="1"/>
    <row r="3954" s="65" customFormat="1"/>
    <row r="3955" s="65" customFormat="1"/>
    <row r="3956" s="65" customFormat="1"/>
    <row r="3957" s="65" customFormat="1"/>
    <row r="3958" s="65" customFormat="1"/>
    <row r="3959" s="65" customFormat="1"/>
    <row r="3960" s="65" customFormat="1"/>
    <row r="3961" s="65" customFormat="1"/>
    <row r="3962" s="65" customFormat="1"/>
    <row r="3963" s="65" customFormat="1"/>
    <row r="3964" s="65" customFormat="1"/>
    <row r="3965" s="65" customFormat="1"/>
    <row r="3966" s="65" customFormat="1"/>
    <row r="3967" s="65" customFormat="1"/>
    <row r="3968" s="65" customFormat="1"/>
    <row r="3969" s="65" customFormat="1"/>
    <row r="3970" s="65" customFormat="1"/>
    <row r="3971" s="65" customFormat="1"/>
    <row r="3972" s="65" customFormat="1"/>
    <row r="3973" s="65" customFormat="1"/>
    <row r="3974" s="65" customFormat="1"/>
    <row r="3975" s="65" customFormat="1"/>
    <row r="3976" s="65" customFormat="1"/>
    <row r="3977" s="65" customFormat="1"/>
    <row r="3978" s="65" customFormat="1"/>
    <row r="3979" s="65" customFormat="1"/>
    <row r="3980" s="65" customFormat="1"/>
    <row r="3981" s="65" customFormat="1"/>
    <row r="3982" s="65" customFormat="1"/>
    <row r="3983" s="65" customFormat="1"/>
    <row r="3984" s="65" customFormat="1"/>
    <row r="3985" s="65" customFormat="1"/>
    <row r="3986" s="65" customFormat="1"/>
    <row r="3987" s="65" customFormat="1"/>
    <row r="3988" s="65" customFormat="1"/>
    <row r="3989" s="65" customFormat="1"/>
    <row r="3990" s="65" customFormat="1"/>
    <row r="3991" s="65" customFormat="1"/>
    <row r="3992" s="65" customFormat="1"/>
    <row r="3993" s="65" customFormat="1"/>
    <row r="3994" s="65" customFormat="1"/>
    <row r="3995" s="65" customFormat="1"/>
    <row r="3996" s="65" customFormat="1"/>
    <row r="3997" s="65" customFormat="1"/>
    <row r="3998" s="65" customFormat="1"/>
    <row r="3999" s="65" customFormat="1"/>
    <row r="4000" s="65" customFormat="1"/>
    <row r="4001" s="65" customFormat="1"/>
    <row r="4002" s="65" customFormat="1"/>
    <row r="4003" s="65" customFormat="1"/>
    <row r="4004" s="65" customFormat="1"/>
    <row r="4005" s="65" customFormat="1"/>
    <row r="4006" s="65" customFormat="1"/>
    <row r="4007" s="65" customFormat="1"/>
    <row r="4008" s="65" customFormat="1"/>
    <row r="4009" s="65" customFormat="1"/>
    <row r="4010" s="65" customFormat="1"/>
    <row r="4011" s="65" customFormat="1"/>
    <row r="4012" s="65" customFormat="1"/>
    <row r="4013" s="65" customFormat="1"/>
    <row r="4014" s="65" customFormat="1"/>
    <row r="4015" s="65" customFormat="1"/>
    <row r="4016" s="65" customFormat="1"/>
    <row r="4017" s="65" customFormat="1"/>
    <row r="4018" s="65" customFormat="1"/>
    <row r="4019" s="65" customFormat="1"/>
    <row r="4020" s="65" customFormat="1"/>
    <row r="4021" s="65" customFormat="1"/>
    <row r="4022" s="65" customFormat="1"/>
    <row r="4023" s="65" customFormat="1"/>
    <row r="4024" s="65" customFormat="1"/>
    <row r="4025" s="65" customFormat="1"/>
    <row r="4026" s="65" customFormat="1"/>
    <row r="4027" s="65" customFormat="1"/>
    <row r="4028" s="65" customFormat="1"/>
    <row r="4029" s="65" customFormat="1"/>
    <row r="4030" s="65" customFormat="1"/>
    <row r="4031" s="65" customFormat="1"/>
    <row r="4032" s="65" customFormat="1"/>
    <row r="4033" s="65" customFormat="1"/>
    <row r="4034" s="65" customFormat="1"/>
    <row r="4035" s="65" customFormat="1"/>
    <row r="4036" s="65" customFormat="1"/>
    <row r="4037" s="65" customFormat="1"/>
    <row r="4038" s="65" customFormat="1"/>
    <row r="4039" s="65" customFormat="1"/>
    <row r="4040" s="65" customFormat="1"/>
    <row r="4041" s="65" customFormat="1"/>
    <row r="4042" s="65" customFormat="1"/>
    <row r="4043" s="65" customFormat="1"/>
    <row r="4044" s="65" customFormat="1"/>
    <row r="4045" s="65" customFormat="1"/>
    <row r="4046" s="65" customFormat="1"/>
    <row r="4047" s="65" customFormat="1"/>
    <row r="4048" s="65" customFormat="1"/>
    <row r="4049" s="65" customFormat="1"/>
    <row r="4050" s="65" customFormat="1"/>
    <row r="4051" s="65" customFormat="1"/>
    <row r="4052" s="65" customFormat="1"/>
    <row r="4053" s="65" customFormat="1"/>
    <row r="4054" s="65" customFormat="1"/>
    <row r="4055" s="65" customFormat="1"/>
    <row r="4056" s="65" customFormat="1"/>
    <row r="4057" s="65" customFormat="1"/>
    <row r="4058" s="65" customFormat="1"/>
    <row r="4059" s="65" customFormat="1"/>
    <row r="4060" s="65" customFormat="1"/>
    <row r="4061" s="65" customFormat="1"/>
    <row r="4062" s="65" customFormat="1"/>
    <row r="4063" s="65" customFormat="1"/>
    <row r="4064" s="65" customFormat="1"/>
    <row r="4065" s="65" customFormat="1"/>
    <row r="4066" s="65" customFormat="1"/>
    <row r="4067" s="65" customFormat="1"/>
    <row r="4068" s="65" customFormat="1"/>
    <row r="4069" s="65" customFormat="1"/>
    <row r="4070" s="65" customFormat="1"/>
    <row r="4071" s="65" customFormat="1"/>
    <row r="4072" s="65" customFormat="1"/>
    <row r="4073" s="65" customFormat="1"/>
    <row r="4074" s="65" customFormat="1"/>
    <row r="4075" s="65" customFormat="1"/>
    <row r="4076" s="65" customFormat="1"/>
    <row r="4077" s="65" customFormat="1"/>
    <row r="4078" s="65" customFormat="1"/>
    <row r="4079" s="65" customFormat="1"/>
    <row r="4080" s="65" customFormat="1"/>
    <row r="4081" s="65" customFormat="1"/>
    <row r="4082" s="65" customFormat="1"/>
    <row r="4083" s="65" customFormat="1"/>
    <row r="4084" s="65" customFormat="1"/>
    <row r="4085" s="65" customFormat="1"/>
    <row r="4086" s="65" customFormat="1"/>
    <row r="4087" s="65" customFormat="1"/>
    <row r="4088" s="65" customFormat="1"/>
    <row r="4089" s="65" customFormat="1"/>
    <row r="4090" s="65" customFormat="1"/>
    <row r="4091" s="65" customFormat="1"/>
    <row r="4092" s="65" customFormat="1"/>
    <row r="4093" s="65" customFormat="1"/>
    <row r="4094" s="65" customFormat="1"/>
    <row r="4095" s="65" customFormat="1"/>
    <row r="4096" s="65" customFormat="1"/>
    <row r="4097" s="65" customFormat="1"/>
    <row r="4098" s="65" customFormat="1"/>
    <row r="4099" s="65" customFormat="1"/>
    <row r="4100" s="65" customFormat="1"/>
    <row r="4101" s="65" customFormat="1"/>
    <row r="4102" s="65" customFormat="1"/>
    <row r="4103" s="65" customFormat="1"/>
    <row r="4104" s="65" customFormat="1"/>
    <row r="4105" s="65" customFormat="1"/>
    <row r="4106" s="65" customFormat="1"/>
    <row r="4107" s="65" customFormat="1"/>
    <row r="4108" s="65" customFormat="1"/>
    <row r="4109" s="65" customFormat="1"/>
    <row r="4110" s="65" customFormat="1"/>
    <row r="4111" s="65" customFormat="1"/>
    <row r="4112" s="65" customFormat="1"/>
    <row r="4113" s="65" customFormat="1"/>
    <row r="4114" s="65" customFormat="1"/>
    <row r="4115" s="65" customFormat="1"/>
    <row r="4116" s="65" customFormat="1"/>
    <row r="4117" s="65" customFormat="1"/>
    <row r="4118" s="65" customFormat="1"/>
    <row r="4119" s="65" customFormat="1"/>
    <row r="4120" s="65" customFormat="1"/>
    <row r="4121" s="65" customFormat="1"/>
    <row r="4122" s="65" customFormat="1"/>
    <row r="4123" s="65" customFormat="1"/>
    <row r="4124" s="65" customFormat="1"/>
    <row r="4125" s="65" customFormat="1"/>
    <row r="4126" s="65" customFormat="1"/>
    <row r="4127" s="65" customFormat="1"/>
    <row r="4128" s="65" customFormat="1"/>
    <row r="4129" s="65" customFormat="1"/>
    <row r="4130" s="65" customFormat="1"/>
    <row r="4131" s="65" customFormat="1"/>
    <row r="4132" s="65" customFormat="1"/>
    <row r="4133" s="65" customFormat="1"/>
    <row r="4134" s="65" customFormat="1"/>
    <row r="4135" s="65" customFormat="1"/>
    <row r="4136" s="65" customFormat="1"/>
    <row r="4137" s="65" customFormat="1"/>
    <row r="4138" s="65" customFormat="1"/>
    <row r="4139" s="65" customFormat="1"/>
    <row r="4140" s="65" customFormat="1"/>
    <row r="4141" s="65" customFormat="1"/>
    <row r="4142" s="65" customFormat="1"/>
    <row r="4143" s="65" customFormat="1"/>
    <row r="4144" s="65" customFormat="1"/>
    <row r="4145" s="65" customFormat="1"/>
    <row r="4146" s="65" customFormat="1"/>
    <row r="4147" s="65" customFormat="1"/>
    <row r="4148" s="65" customFormat="1"/>
    <row r="4149" s="65" customFormat="1"/>
    <row r="4150" s="65" customFormat="1"/>
    <row r="4151" s="65" customFormat="1"/>
    <row r="4152" s="65" customFormat="1"/>
    <row r="4153" s="65" customFormat="1"/>
    <row r="4154" s="65" customFormat="1"/>
    <row r="4155" s="65" customFormat="1"/>
    <row r="4156" s="65" customFormat="1"/>
    <row r="4157" s="65" customFormat="1"/>
    <row r="4158" s="65" customFormat="1"/>
    <row r="4159" s="65" customFormat="1"/>
    <row r="4160" s="65" customFormat="1"/>
    <row r="4161" s="65" customFormat="1"/>
    <row r="4162" s="65" customFormat="1"/>
    <row r="4163" s="65" customFormat="1"/>
    <row r="4164" s="65" customFormat="1"/>
    <row r="4165" s="65" customFormat="1"/>
    <row r="4166" s="65" customFormat="1"/>
    <row r="4167" s="65" customFormat="1"/>
    <row r="4168" s="65" customFormat="1"/>
    <row r="4169" s="65" customFormat="1"/>
    <row r="4170" s="65" customFormat="1"/>
    <row r="4171" s="65" customFormat="1"/>
    <row r="4172" s="65" customFormat="1"/>
    <row r="4173" s="65" customFormat="1"/>
    <row r="4174" s="65" customFormat="1"/>
    <row r="4175" s="65" customFormat="1"/>
    <row r="4176" s="65" customFormat="1"/>
    <row r="4177" s="65" customFormat="1"/>
    <row r="4178" s="65" customFormat="1"/>
    <row r="4179" s="65" customFormat="1"/>
    <row r="4180" s="65" customFormat="1"/>
    <row r="4181" s="65" customFormat="1"/>
    <row r="4182" s="65" customFormat="1"/>
    <row r="4183" s="65" customFormat="1"/>
    <row r="4184" s="65" customFormat="1"/>
    <row r="4185" s="65" customFormat="1"/>
    <row r="4186" s="65" customFormat="1"/>
    <row r="4187" s="65" customFormat="1"/>
    <row r="4188" s="65" customFormat="1"/>
    <row r="4189" s="65" customFormat="1"/>
    <row r="4190" s="65" customFormat="1"/>
    <row r="4191" s="65" customFormat="1"/>
    <row r="4192" s="65" customFormat="1"/>
    <row r="4193" s="65" customFormat="1"/>
    <row r="4194" s="65" customFormat="1"/>
    <row r="4195" s="65" customFormat="1"/>
    <row r="4196" s="65" customFormat="1"/>
    <row r="4197" s="65" customFormat="1"/>
    <row r="4198" s="65" customFormat="1"/>
    <row r="4199" s="65" customFormat="1"/>
    <row r="4200" s="65" customFormat="1"/>
    <row r="4201" s="65" customFormat="1"/>
    <row r="4202" s="65" customFormat="1"/>
    <row r="4203" s="65" customFormat="1"/>
    <row r="4204" s="65" customFormat="1"/>
    <row r="4205" s="65" customFormat="1"/>
    <row r="4206" s="65" customFormat="1"/>
    <row r="4207" s="65" customFormat="1"/>
    <row r="4208" s="65" customFormat="1"/>
    <row r="4209" s="65" customFormat="1"/>
    <row r="4210" s="65" customFormat="1"/>
    <row r="4211" s="65" customFormat="1"/>
    <row r="4212" s="65" customFormat="1"/>
    <row r="4213" s="65" customFormat="1"/>
    <row r="4214" s="65" customFormat="1"/>
    <row r="4215" s="65" customFormat="1"/>
    <row r="4216" s="65" customFormat="1"/>
    <row r="4217" s="65" customFormat="1"/>
    <row r="4218" s="65" customFormat="1"/>
    <row r="4219" s="65" customFormat="1"/>
    <row r="4220" s="65" customFormat="1"/>
    <row r="4221" s="65" customFormat="1"/>
    <row r="4222" s="65" customFormat="1"/>
    <row r="4223" s="65" customFormat="1"/>
    <row r="4224" s="65" customFormat="1"/>
    <row r="4225" s="65" customFormat="1"/>
    <row r="4226" s="65" customFormat="1"/>
    <row r="4227" s="65" customFormat="1"/>
    <row r="4228" s="65" customFormat="1"/>
    <row r="4229" s="65" customFormat="1"/>
    <row r="4230" s="65" customFormat="1"/>
    <row r="4231" s="65" customFormat="1"/>
    <row r="4232" s="65" customFormat="1"/>
    <row r="4233" s="65" customFormat="1"/>
    <row r="4234" s="65" customFormat="1"/>
    <row r="4235" s="65" customFormat="1"/>
    <row r="4236" s="65" customFormat="1"/>
    <row r="4237" s="65" customFormat="1"/>
    <row r="4238" s="65" customFormat="1"/>
    <row r="4239" s="65" customFormat="1"/>
    <row r="4240" s="65" customFormat="1"/>
    <row r="4241" s="65" customFormat="1"/>
    <row r="4242" s="65" customFormat="1"/>
    <row r="4243" s="65" customFormat="1"/>
    <row r="4244" s="65" customFormat="1"/>
    <row r="4245" s="65" customFormat="1"/>
    <row r="4246" s="65" customFormat="1"/>
    <row r="4247" s="65" customFormat="1"/>
    <row r="4248" s="65" customFormat="1"/>
    <row r="4249" s="65" customFormat="1"/>
    <row r="4250" s="65" customFormat="1"/>
    <row r="4251" s="65" customFormat="1"/>
    <row r="4252" s="65" customFormat="1"/>
    <row r="4253" s="65" customFormat="1"/>
    <row r="4254" s="65" customFormat="1"/>
    <row r="4255" s="65" customFormat="1"/>
    <row r="4256" s="65" customFormat="1"/>
    <row r="4257" s="65" customFormat="1"/>
    <row r="4258" s="65" customFormat="1"/>
    <row r="4259" s="65" customFormat="1"/>
    <row r="4260" s="65" customFormat="1"/>
    <row r="4261" s="65" customFormat="1"/>
    <row r="4262" s="65" customFormat="1"/>
    <row r="4263" s="65" customFormat="1"/>
    <row r="4264" s="65" customFormat="1"/>
    <row r="4265" s="65" customFormat="1"/>
    <row r="4266" s="65" customFormat="1"/>
    <row r="4267" s="65" customFormat="1"/>
    <row r="4268" s="65" customFormat="1"/>
    <row r="4269" s="65" customFormat="1"/>
    <row r="4270" s="65" customFormat="1"/>
    <row r="4271" s="65" customFormat="1"/>
    <row r="4272" s="65" customFormat="1"/>
    <row r="4273" s="65" customFormat="1"/>
    <row r="4274" s="65" customFormat="1"/>
    <row r="4275" s="65" customFormat="1"/>
    <row r="4276" s="65" customFormat="1"/>
    <row r="4277" s="65" customFormat="1"/>
    <row r="4278" s="65" customFormat="1"/>
    <row r="4279" s="65" customFormat="1"/>
    <row r="4280" s="65" customFormat="1"/>
    <row r="4281" s="65" customFormat="1"/>
    <row r="4282" s="65" customFormat="1"/>
    <row r="4283" s="65" customFormat="1"/>
    <row r="4284" s="65" customFormat="1"/>
    <row r="4285" s="65" customFormat="1"/>
    <row r="4286" s="65" customFormat="1"/>
    <row r="4287" s="65" customFormat="1"/>
    <row r="4288" s="65" customFormat="1"/>
    <row r="4289" s="65" customFormat="1"/>
    <row r="4290" s="65" customFormat="1"/>
    <row r="4291" s="65" customFormat="1"/>
    <row r="4292" s="65" customFormat="1"/>
    <row r="4293" s="65" customFormat="1"/>
    <row r="4294" s="65" customFormat="1"/>
    <row r="4295" s="65" customFormat="1"/>
    <row r="4296" s="65" customFormat="1"/>
    <row r="4297" s="65" customFormat="1"/>
    <row r="4298" s="65" customFormat="1"/>
    <row r="4299" s="65" customFormat="1"/>
    <row r="4300" s="65" customFormat="1"/>
    <row r="4301" s="65" customFormat="1"/>
    <row r="4302" s="65" customFormat="1"/>
    <row r="4303" s="65" customFormat="1"/>
    <row r="4304" s="65" customFormat="1"/>
    <row r="4305" s="65" customFormat="1"/>
    <row r="4306" s="65" customFormat="1"/>
    <row r="4307" s="65" customFormat="1"/>
    <row r="4308" s="65" customFormat="1"/>
    <row r="4309" s="65" customFormat="1"/>
    <row r="4310" s="65" customFormat="1"/>
    <row r="4311" s="65" customFormat="1"/>
    <row r="4312" s="65" customFormat="1"/>
    <row r="4313" s="65" customFormat="1"/>
    <row r="4314" s="65" customFormat="1"/>
    <row r="4315" s="65" customFormat="1"/>
    <row r="4316" s="65" customFormat="1"/>
    <row r="4317" s="65" customFormat="1"/>
    <row r="4318" s="65" customFormat="1"/>
    <row r="4319" s="65" customFormat="1"/>
    <row r="4320" s="65" customFormat="1"/>
    <row r="4321" s="65" customFormat="1"/>
    <row r="4322" s="65" customFormat="1"/>
    <row r="4323" s="65" customFormat="1"/>
    <row r="4324" s="65" customFormat="1"/>
    <row r="4325" s="65" customFormat="1"/>
    <row r="4326" s="65" customFormat="1"/>
    <row r="4327" s="65" customFormat="1"/>
    <row r="4328" s="65" customFormat="1"/>
    <row r="4329" s="65" customFormat="1"/>
    <row r="4330" s="65" customFormat="1"/>
    <row r="4331" s="65" customFormat="1"/>
    <row r="4332" s="65" customFormat="1"/>
    <row r="4333" s="65" customFormat="1"/>
    <row r="4334" s="65" customFormat="1"/>
    <row r="4335" s="65" customFormat="1"/>
    <row r="4336" s="65" customFormat="1"/>
    <row r="4337" s="65" customFormat="1"/>
    <row r="4338" s="65" customFormat="1"/>
    <row r="4339" s="65" customFormat="1"/>
    <row r="4340" s="65" customFormat="1"/>
    <row r="4341" s="65" customFormat="1"/>
    <row r="4342" s="65" customFormat="1"/>
    <row r="4343" s="65" customFormat="1"/>
    <row r="4344" s="65" customFormat="1"/>
    <row r="4345" s="65" customFormat="1"/>
    <row r="4346" s="65" customFormat="1"/>
    <row r="4347" s="65" customFormat="1"/>
    <row r="4348" s="65" customFormat="1"/>
    <row r="4349" s="65" customFormat="1"/>
    <row r="4350" s="65" customFormat="1"/>
    <row r="4351" s="65" customFormat="1"/>
    <row r="4352" s="65" customFormat="1"/>
    <row r="4353" s="65" customFormat="1"/>
    <row r="4354" s="65" customFormat="1"/>
    <row r="4355" s="65" customFormat="1"/>
    <row r="4356" s="65" customFormat="1"/>
    <row r="4357" s="65" customFormat="1"/>
    <row r="4358" s="65" customFormat="1"/>
    <row r="4359" s="65" customFormat="1"/>
    <row r="4360" s="65" customFormat="1"/>
    <row r="4361" s="65" customFormat="1"/>
    <row r="4362" s="65" customFormat="1"/>
    <row r="4363" s="65" customFormat="1"/>
    <row r="4364" s="65" customFormat="1"/>
    <row r="4365" s="65" customFormat="1"/>
    <row r="4366" s="65" customFormat="1"/>
    <row r="4367" s="65" customFormat="1"/>
    <row r="4368" s="65" customFormat="1"/>
    <row r="4369" s="65" customFormat="1"/>
    <row r="4370" s="65" customFormat="1"/>
    <row r="4371" s="65" customFormat="1"/>
    <row r="4372" s="65" customFormat="1"/>
    <row r="4373" s="65" customFormat="1"/>
    <row r="4374" s="65" customFormat="1"/>
    <row r="4375" s="65" customFormat="1"/>
    <row r="4376" s="65" customFormat="1"/>
    <row r="4377" s="65" customFormat="1"/>
    <row r="4378" s="65" customFormat="1"/>
    <row r="4379" s="65" customFormat="1"/>
    <row r="4380" s="65" customFormat="1"/>
    <row r="4381" s="65" customFormat="1"/>
    <row r="4382" s="65" customFormat="1"/>
    <row r="4383" s="65" customFormat="1"/>
    <row r="4384" s="65" customFormat="1"/>
    <row r="4385" s="65" customFormat="1"/>
    <row r="4386" s="65" customFormat="1"/>
    <row r="4387" s="65" customFormat="1"/>
    <row r="4388" s="65" customFormat="1"/>
    <row r="4389" s="65" customFormat="1"/>
    <row r="4390" s="65" customFormat="1"/>
    <row r="4391" s="65" customFormat="1"/>
    <row r="4392" s="65" customFormat="1"/>
    <row r="4393" s="65" customFormat="1"/>
    <row r="4394" s="65" customFormat="1"/>
    <row r="4395" s="65" customFormat="1"/>
    <row r="4396" s="65" customFormat="1"/>
    <row r="4397" s="65" customFormat="1"/>
    <row r="4398" s="65" customFormat="1"/>
    <row r="4399" s="65" customFormat="1"/>
    <row r="4400" s="65" customFormat="1"/>
    <row r="4401" s="65" customFormat="1"/>
    <row r="4402" s="65" customFormat="1"/>
    <row r="4403" s="65" customFormat="1"/>
    <row r="4404" s="65" customFormat="1"/>
    <row r="4405" s="65" customFormat="1"/>
    <row r="4406" s="65" customFormat="1"/>
    <row r="4407" s="65" customFormat="1"/>
    <row r="4408" s="65" customFormat="1"/>
    <row r="4409" s="65" customFormat="1"/>
    <row r="4410" s="65" customFormat="1"/>
    <row r="4411" s="65" customFormat="1"/>
    <row r="4412" s="65" customFormat="1"/>
    <row r="4413" s="65" customFormat="1"/>
    <row r="4414" s="65" customFormat="1"/>
    <row r="4415" s="65" customFormat="1"/>
    <row r="4416" s="65" customFormat="1"/>
    <row r="4417" s="65" customFormat="1"/>
    <row r="4418" s="65" customFormat="1"/>
    <row r="4419" s="65" customFormat="1"/>
    <row r="4420" s="65" customFormat="1"/>
    <row r="4421" s="65" customFormat="1"/>
    <row r="4422" s="65" customFormat="1"/>
    <row r="4423" s="65" customFormat="1"/>
    <row r="4424" s="65" customFormat="1"/>
    <row r="4425" s="65" customFormat="1"/>
    <row r="4426" s="65" customFormat="1"/>
    <row r="4427" s="65" customFormat="1"/>
    <row r="4428" s="65" customFormat="1"/>
    <row r="4429" s="65" customFormat="1"/>
    <row r="4430" s="65" customFormat="1"/>
    <row r="4431" s="65" customFormat="1"/>
    <row r="4432" s="65" customFormat="1"/>
    <row r="4433" s="65" customFormat="1"/>
    <row r="4434" s="65" customFormat="1"/>
    <row r="4435" s="65" customFormat="1"/>
    <row r="4436" s="65" customFormat="1"/>
    <row r="4437" s="65" customFormat="1"/>
    <row r="4438" s="65" customFormat="1"/>
    <row r="4439" s="65" customFormat="1"/>
    <row r="4440" s="65" customFormat="1"/>
    <row r="4441" s="65" customFormat="1"/>
    <row r="4442" s="65" customFormat="1"/>
    <row r="4443" s="65" customFormat="1"/>
    <row r="4444" s="65" customFormat="1"/>
    <row r="4445" s="65" customFormat="1"/>
    <row r="4446" s="65" customFormat="1"/>
    <row r="4447" s="65" customFormat="1"/>
    <row r="4448" s="65" customFormat="1"/>
    <row r="4449" s="65" customFormat="1"/>
    <row r="4450" s="65" customFormat="1"/>
    <row r="4451" s="65" customFormat="1"/>
    <row r="4452" s="65" customFormat="1"/>
    <row r="4453" s="65" customFormat="1"/>
    <row r="4454" s="65" customFormat="1"/>
    <row r="4455" s="65" customFormat="1"/>
    <row r="4456" s="65" customFormat="1"/>
    <row r="4457" s="65" customFormat="1"/>
    <row r="4458" s="65" customFormat="1"/>
    <row r="4459" s="65" customFormat="1"/>
    <row r="4460" s="65" customFormat="1"/>
    <row r="4461" s="65" customFormat="1"/>
    <row r="4462" s="65" customFormat="1"/>
    <row r="4463" s="65" customFormat="1"/>
    <row r="4464" s="65" customFormat="1"/>
    <row r="4465" s="65" customFormat="1"/>
    <row r="4466" s="65" customFormat="1"/>
    <row r="4467" s="65" customFormat="1"/>
    <row r="4468" s="65" customFormat="1"/>
    <row r="4469" s="65" customFormat="1"/>
    <row r="4470" s="65" customFormat="1"/>
    <row r="4471" s="65" customFormat="1"/>
    <row r="4472" s="65" customFormat="1"/>
    <row r="4473" s="65" customFormat="1"/>
    <row r="4474" s="65" customFormat="1"/>
    <row r="4475" s="65" customFormat="1"/>
    <row r="4476" s="65" customFormat="1"/>
    <row r="4477" s="65" customFormat="1"/>
    <row r="4478" s="65" customFormat="1"/>
    <row r="4479" s="65" customFormat="1"/>
    <row r="4480" s="65" customFormat="1"/>
    <row r="4481" s="65" customFormat="1"/>
    <row r="4482" s="65" customFormat="1"/>
    <row r="4483" s="65" customFormat="1"/>
    <row r="4484" s="65" customFormat="1"/>
    <row r="4485" s="65" customFormat="1"/>
    <row r="4486" s="65" customFormat="1"/>
    <row r="4487" s="65" customFormat="1"/>
    <row r="4488" s="65" customFormat="1"/>
    <row r="4489" s="65" customFormat="1"/>
    <row r="4490" s="65" customFormat="1"/>
    <row r="4491" s="65" customFormat="1"/>
    <row r="4492" s="65" customFormat="1"/>
    <row r="4493" s="65" customFormat="1"/>
    <row r="4494" s="65" customFormat="1"/>
    <row r="4495" s="65" customFormat="1"/>
    <row r="4496" s="65" customFormat="1"/>
    <row r="4497" s="65" customFormat="1"/>
    <row r="4498" s="65" customFormat="1"/>
    <row r="4499" s="65" customFormat="1"/>
    <row r="4500" s="65" customFormat="1"/>
    <row r="4501" s="65" customFormat="1"/>
    <row r="4502" s="65" customFormat="1"/>
    <row r="4503" s="65" customFormat="1"/>
    <row r="4504" s="65" customFormat="1"/>
    <row r="4505" s="65" customFormat="1"/>
    <row r="4506" s="65" customFormat="1"/>
    <row r="4507" s="65" customFormat="1"/>
    <row r="4508" s="65" customFormat="1"/>
    <row r="4509" s="65" customFormat="1"/>
    <row r="4510" s="65" customFormat="1"/>
    <row r="4511" s="65" customFormat="1"/>
    <row r="4512" s="65" customFormat="1"/>
    <row r="4513" s="65" customFormat="1"/>
    <row r="4514" s="65" customFormat="1"/>
    <row r="4515" s="65" customFormat="1"/>
    <row r="4516" s="65" customFormat="1"/>
    <row r="4517" s="65" customFormat="1"/>
    <row r="4518" s="65" customFormat="1"/>
    <row r="4519" s="65" customFormat="1"/>
    <row r="4520" s="65" customFormat="1"/>
    <row r="4521" s="65" customFormat="1"/>
    <row r="4522" s="65" customFormat="1"/>
    <row r="4523" s="65" customFormat="1"/>
    <row r="4524" s="65" customFormat="1"/>
    <row r="4525" s="65" customFormat="1"/>
    <row r="4526" s="65" customFormat="1"/>
    <row r="4527" s="65" customFormat="1"/>
    <row r="4528" s="65" customFormat="1"/>
    <row r="4529" s="65" customFormat="1"/>
    <row r="4530" s="65" customFormat="1"/>
    <row r="4531" s="65" customFormat="1"/>
    <row r="4532" s="65" customFormat="1"/>
    <row r="4533" s="65" customFormat="1"/>
    <row r="4534" s="65" customFormat="1"/>
    <row r="4535" s="65" customFormat="1"/>
    <row r="4536" s="65" customFormat="1"/>
    <row r="4537" s="65" customFormat="1"/>
    <row r="4538" s="65" customFormat="1"/>
    <row r="4539" s="65" customFormat="1"/>
    <row r="4540" s="65" customFormat="1"/>
    <row r="4541" s="65" customFormat="1"/>
    <row r="4542" s="65" customFormat="1"/>
    <row r="4543" s="65" customFormat="1"/>
    <row r="4544" s="65" customFormat="1"/>
    <row r="4545" s="65" customFormat="1"/>
    <row r="4546" s="65" customFormat="1"/>
    <row r="4547" s="65" customFormat="1"/>
    <row r="4548" s="65" customFormat="1"/>
    <row r="4549" s="65" customFormat="1"/>
    <row r="4550" s="65" customFormat="1"/>
    <row r="4551" s="65" customFormat="1"/>
    <row r="4552" s="65" customFormat="1"/>
    <row r="4553" s="65" customFormat="1"/>
    <row r="4554" s="65" customFormat="1"/>
    <row r="4555" s="65" customFormat="1"/>
    <row r="4556" s="65" customFormat="1"/>
    <row r="4557" s="65" customFormat="1"/>
    <row r="4558" s="65" customFormat="1"/>
    <row r="4559" s="65" customFormat="1"/>
    <row r="4560" s="65" customFormat="1"/>
    <row r="4561" s="65" customFormat="1"/>
    <row r="4562" s="65" customFormat="1"/>
    <row r="4563" s="65" customFormat="1"/>
    <row r="4564" s="65" customFormat="1"/>
    <row r="4565" s="65" customFormat="1"/>
    <row r="4566" s="65" customFormat="1"/>
    <row r="4567" s="65" customFormat="1"/>
    <row r="4568" s="65" customFormat="1"/>
    <row r="4569" s="65" customFormat="1"/>
    <row r="4570" s="65" customFormat="1"/>
    <row r="4571" s="65" customFormat="1"/>
    <row r="4572" s="65" customFormat="1"/>
    <row r="4573" s="65" customFormat="1"/>
    <row r="4574" s="65" customFormat="1"/>
    <row r="4575" s="65" customFormat="1"/>
    <row r="4576" s="65" customFormat="1"/>
    <row r="4577" s="65" customFormat="1"/>
    <row r="4578" s="65" customFormat="1"/>
    <row r="4579" s="65" customFormat="1"/>
    <row r="4580" s="65" customFormat="1"/>
    <row r="4581" s="65" customFormat="1"/>
    <row r="4582" s="65" customFormat="1"/>
    <row r="4583" s="65" customFormat="1"/>
    <row r="4584" s="65" customFormat="1"/>
    <row r="4585" s="65" customFormat="1"/>
    <row r="4586" s="65" customFormat="1"/>
    <row r="4587" s="65" customFormat="1"/>
    <row r="4588" s="65" customFormat="1"/>
    <row r="4589" s="65" customFormat="1"/>
    <row r="4590" s="65" customFormat="1"/>
    <row r="4591" s="65" customFormat="1"/>
    <row r="4592" s="65" customFormat="1"/>
    <row r="4593" s="65" customFormat="1"/>
    <row r="4594" s="65" customFormat="1"/>
    <row r="4595" s="65" customFormat="1"/>
    <row r="4596" s="65" customFormat="1"/>
    <row r="4597" s="65" customFormat="1"/>
    <row r="4598" s="65" customFormat="1"/>
    <row r="4599" s="65" customFormat="1"/>
    <row r="4600" s="65" customFormat="1"/>
    <row r="4601" s="65" customFormat="1"/>
    <row r="4602" s="65" customFormat="1"/>
    <row r="4603" s="65" customFormat="1"/>
    <row r="4604" s="65" customFormat="1"/>
    <row r="4605" s="65" customFormat="1"/>
    <row r="4606" s="65" customFormat="1"/>
    <row r="4607" s="65" customFormat="1"/>
    <row r="4608" s="65" customFormat="1"/>
    <row r="4609" s="65" customFormat="1"/>
    <row r="4610" s="65" customFormat="1"/>
    <row r="4611" s="65" customFormat="1"/>
    <row r="4612" s="65" customFormat="1"/>
    <row r="4613" s="65" customFormat="1"/>
    <row r="4614" s="65" customFormat="1"/>
    <row r="4615" s="65" customFormat="1"/>
    <row r="4616" s="65" customFormat="1"/>
    <row r="4617" s="65" customFormat="1"/>
    <row r="4618" s="65" customFormat="1"/>
    <row r="4619" s="65" customFormat="1"/>
    <row r="4620" s="65" customFormat="1"/>
    <row r="4621" s="65" customFormat="1"/>
    <row r="4622" s="65" customFormat="1"/>
    <row r="4623" s="65" customFormat="1"/>
    <row r="4624" s="65" customFormat="1"/>
    <row r="4625" s="65" customFormat="1"/>
    <row r="4626" s="65" customFormat="1"/>
    <row r="4627" s="65" customFormat="1"/>
    <row r="4628" s="65" customFormat="1"/>
    <row r="4629" s="65" customFormat="1"/>
    <row r="4630" s="65" customFormat="1"/>
    <row r="4631" s="65" customFormat="1"/>
    <row r="4632" s="65" customFormat="1"/>
    <row r="4633" s="65" customFormat="1"/>
    <row r="4634" s="65" customFormat="1"/>
    <row r="4635" s="65" customFormat="1"/>
    <row r="4636" s="65" customFormat="1"/>
    <row r="4637" s="65" customFormat="1"/>
    <row r="4638" s="65" customFormat="1"/>
    <row r="4639" s="65" customFormat="1"/>
    <row r="4640" s="65" customFormat="1"/>
    <row r="4641" s="65" customFormat="1"/>
    <row r="4642" s="65" customFormat="1"/>
    <row r="4643" s="65" customFormat="1"/>
    <row r="4644" s="65" customFormat="1"/>
    <row r="4645" s="65" customFormat="1"/>
    <row r="4646" s="65" customFormat="1"/>
    <row r="4647" s="65" customFormat="1"/>
    <row r="4648" s="65" customFormat="1"/>
    <row r="4649" s="65" customFormat="1"/>
    <row r="4650" s="65" customFormat="1"/>
    <row r="4651" s="65" customFormat="1"/>
    <row r="4652" s="65" customFormat="1"/>
    <row r="4653" s="65" customFormat="1"/>
    <row r="4654" s="65" customFormat="1"/>
    <row r="4655" s="65" customFormat="1"/>
    <row r="4656" s="65" customFormat="1"/>
    <row r="4657" s="65" customFormat="1"/>
    <row r="4658" s="65" customFormat="1"/>
    <row r="4659" s="65" customFormat="1"/>
    <row r="4660" s="65" customFormat="1"/>
    <row r="4661" s="65" customFormat="1"/>
    <row r="4662" s="65" customFormat="1"/>
    <row r="4663" s="65" customFormat="1"/>
    <row r="4664" s="65" customFormat="1"/>
    <row r="4665" s="65" customFormat="1"/>
    <row r="4666" s="65" customFormat="1"/>
    <row r="4667" s="65" customFormat="1"/>
    <row r="4668" s="65" customFormat="1"/>
    <row r="4669" s="65" customFormat="1"/>
    <row r="4670" s="65" customFormat="1"/>
    <row r="4671" s="65" customFormat="1"/>
    <row r="4672" s="65" customFormat="1"/>
    <row r="4673" s="65" customFormat="1"/>
    <row r="4674" s="65" customFormat="1"/>
    <row r="4675" s="65" customFormat="1"/>
    <row r="4676" s="65" customFormat="1"/>
    <row r="4677" s="65" customFormat="1"/>
    <row r="4678" s="65" customFormat="1"/>
    <row r="4679" s="65" customFormat="1"/>
    <row r="4680" s="65" customFormat="1"/>
    <row r="4681" s="65" customFormat="1"/>
    <row r="4682" s="65" customFormat="1"/>
    <row r="4683" s="65" customFormat="1"/>
    <row r="4684" s="65" customFormat="1"/>
    <row r="4685" s="65" customFormat="1"/>
    <row r="4686" s="65" customFormat="1"/>
    <row r="4687" s="65" customFormat="1"/>
    <row r="4688" s="65" customFormat="1"/>
    <row r="4689" s="65" customFormat="1"/>
    <row r="4690" s="65" customFormat="1"/>
    <row r="4691" s="65" customFormat="1"/>
    <row r="4692" s="65" customFormat="1"/>
    <row r="4693" s="65" customFormat="1"/>
    <row r="4694" s="65" customFormat="1"/>
    <row r="4695" s="65" customFormat="1"/>
    <row r="4696" s="65" customFormat="1"/>
    <row r="4697" s="65" customFormat="1"/>
    <row r="4698" s="65" customFormat="1"/>
    <row r="4699" s="65" customFormat="1"/>
    <row r="4700" s="65" customFormat="1"/>
    <row r="4701" s="65" customFormat="1"/>
    <row r="4702" s="65" customFormat="1"/>
    <row r="4703" s="65" customFormat="1"/>
    <row r="4704" s="65" customFormat="1"/>
    <row r="4705" s="65" customFormat="1"/>
    <row r="4706" s="65" customFormat="1"/>
    <row r="4707" s="65" customFormat="1"/>
    <row r="4708" s="65" customFormat="1"/>
    <row r="4709" s="65" customFormat="1"/>
    <row r="4710" s="65" customFormat="1"/>
    <row r="4711" s="65" customFormat="1"/>
    <row r="4712" s="65" customFormat="1"/>
    <row r="4713" s="65" customFormat="1"/>
    <row r="4714" s="65" customFormat="1"/>
    <row r="4715" s="65" customFormat="1"/>
    <row r="4716" s="65" customFormat="1"/>
    <row r="4717" s="65" customFormat="1"/>
    <row r="4718" s="65" customFormat="1"/>
    <row r="4719" s="65" customFormat="1"/>
    <row r="4720" s="65" customFormat="1"/>
    <row r="4721" s="65" customFormat="1"/>
    <row r="4722" s="65" customFormat="1"/>
    <row r="4723" s="65" customFormat="1"/>
    <row r="4724" s="65" customFormat="1"/>
    <row r="4725" s="65" customFormat="1"/>
    <row r="4726" s="65" customFormat="1"/>
    <row r="4727" s="65" customFormat="1"/>
    <row r="4728" s="65" customFormat="1"/>
    <row r="4729" s="65" customFormat="1"/>
    <row r="4730" s="65" customFormat="1"/>
    <row r="4731" s="65" customFormat="1"/>
    <row r="4732" s="65" customFormat="1"/>
    <row r="4733" s="65" customFormat="1"/>
    <row r="4734" s="65" customFormat="1"/>
    <row r="4735" s="65" customFormat="1"/>
    <row r="4736" s="65" customFormat="1"/>
    <row r="4737" s="65" customFormat="1"/>
    <row r="4738" s="65" customFormat="1"/>
    <row r="4739" s="65" customFormat="1"/>
    <row r="4740" s="65" customFormat="1"/>
    <row r="4741" s="65" customFormat="1"/>
    <row r="4742" s="65" customFormat="1"/>
    <row r="4743" s="65" customFormat="1"/>
    <row r="4744" s="65" customFormat="1"/>
    <row r="4745" s="65" customFormat="1"/>
    <row r="4746" s="65" customFormat="1"/>
    <row r="4747" s="65" customFormat="1"/>
    <row r="4748" s="65" customFormat="1"/>
    <row r="4749" s="65" customFormat="1"/>
    <row r="4750" s="65" customFormat="1"/>
    <row r="4751" s="65" customFormat="1"/>
    <row r="4752" s="65" customFormat="1"/>
    <row r="4753" s="65" customFormat="1"/>
    <row r="4754" s="65" customFormat="1"/>
    <row r="4755" s="65" customFormat="1"/>
    <row r="4756" s="65" customFormat="1"/>
    <row r="4757" s="65" customFormat="1"/>
    <row r="4758" s="65" customFormat="1"/>
    <row r="4759" s="65" customFormat="1"/>
    <row r="4760" s="65" customFormat="1"/>
    <row r="4761" s="65" customFormat="1"/>
    <row r="4762" s="65" customFormat="1"/>
    <row r="4763" s="65" customFormat="1"/>
    <row r="4764" s="65" customFormat="1"/>
    <row r="4765" s="65" customFormat="1"/>
    <row r="4766" s="65" customFormat="1"/>
    <row r="4767" s="65" customFormat="1"/>
    <row r="4768" s="65" customFormat="1"/>
    <row r="4769" s="65" customFormat="1"/>
    <row r="4770" s="65" customFormat="1"/>
    <row r="4771" s="65" customFormat="1"/>
    <row r="4772" s="65" customFormat="1"/>
    <row r="4773" s="65" customFormat="1"/>
    <row r="4774" s="65" customFormat="1"/>
    <row r="4775" s="65" customFormat="1"/>
    <row r="4776" s="65" customFormat="1"/>
    <row r="4777" s="65" customFormat="1"/>
    <row r="4778" s="65" customFormat="1"/>
    <row r="4779" s="65" customFormat="1"/>
    <row r="4780" s="65" customFormat="1"/>
    <row r="4781" s="65" customFormat="1"/>
    <row r="4782" s="65" customFormat="1"/>
    <row r="4783" s="65" customFormat="1"/>
    <row r="4784" s="65" customFormat="1"/>
    <row r="4785" s="65" customFormat="1"/>
    <row r="4786" s="65" customFormat="1"/>
    <row r="4787" s="65" customFormat="1"/>
    <row r="4788" s="65" customFormat="1"/>
    <row r="4789" s="65" customFormat="1"/>
    <row r="4790" s="65" customFormat="1"/>
    <row r="4791" s="65" customFormat="1"/>
    <row r="4792" s="65" customFormat="1"/>
    <row r="4793" s="65" customFormat="1"/>
    <row r="4794" s="65" customFormat="1"/>
    <row r="4795" s="65" customFormat="1"/>
    <row r="4796" s="65" customFormat="1"/>
    <row r="4797" s="65" customFormat="1"/>
    <row r="4798" s="65" customFormat="1"/>
    <row r="4799" s="65" customFormat="1"/>
    <row r="4800" s="65" customFormat="1"/>
    <row r="4801" s="65" customFormat="1"/>
    <row r="4802" s="65" customFormat="1"/>
    <row r="4803" s="65" customFormat="1"/>
    <row r="4804" s="65" customFormat="1"/>
    <row r="4805" s="65" customFormat="1"/>
    <row r="4806" s="65" customFormat="1"/>
    <row r="4807" s="65" customFormat="1"/>
    <row r="4808" s="65" customFormat="1"/>
    <row r="4809" s="65" customFormat="1"/>
    <row r="4810" s="65" customFormat="1"/>
    <row r="4811" s="65" customFormat="1"/>
    <row r="4812" s="65" customFormat="1"/>
    <row r="4813" s="65" customFormat="1"/>
    <row r="4814" s="65" customFormat="1"/>
    <row r="4815" s="65" customFormat="1"/>
    <row r="4816" s="65" customFormat="1"/>
    <row r="4817" s="65" customFormat="1"/>
    <row r="4818" s="65" customFormat="1"/>
    <row r="4819" s="65" customFormat="1"/>
    <row r="4820" s="65" customFormat="1"/>
    <row r="4821" s="65" customFormat="1"/>
    <row r="4822" s="65" customFormat="1"/>
    <row r="4823" s="65" customFormat="1"/>
    <row r="4824" s="65" customFormat="1"/>
    <row r="4825" s="65" customFormat="1"/>
    <row r="4826" s="65" customFormat="1"/>
    <row r="4827" s="65" customFormat="1"/>
    <row r="4828" s="65" customFormat="1"/>
    <row r="4829" s="65" customFormat="1"/>
    <row r="4830" s="65" customFormat="1"/>
    <row r="4831" s="65" customFormat="1"/>
    <row r="4832" s="65" customFormat="1"/>
    <row r="4833" s="65" customFormat="1"/>
    <row r="4834" s="65" customFormat="1"/>
    <row r="4835" s="65" customFormat="1"/>
    <row r="4836" s="65" customFormat="1"/>
    <row r="4837" s="65" customFormat="1"/>
    <row r="4838" s="65" customFormat="1"/>
    <row r="4839" s="65" customFormat="1"/>
    <row r="4840" s="65" customFormat="1"/>
    <row r="4841" s="65" customFormat="1"/>
    <row r="4842" s="65" customFormat="1"/>
    <row r="4843" s="65" customFormat="1"/>
    <row r="4844" s="65" customFormat="1"/>
    <row r="4845" s="65" customFormat="1"/>
    <row r="4846" s="65" customFormat="1"/>
    <row r="4847" s="65" customFormat="1"/>
    <row r="4848" s="65" customFormat="1"/>
    <row r="4849" s="65" customFormat="1"/>
    <row r="4850" s="65" customFormat="1"/>
    <row r="4851" s="65" customFormat="1"/>
    <row r="4852" s="65" customFormat="1"/>
    <row r="4853" s="65" customFormat="1"/>
    <row r="4854" s="65" customFormat="1"/>
    <row r="4855" s="65" customFormat="1"/>
    <row r="4856" s="65" customFormat="1"/>
    <row r="4857" s="65" customFormat="1"/>
    <row r="4858" s="65" customFormat="1"/>
    <row r="4859" s="65" customFormat="1"/>
    <row r="4860" s="65" customFormat="1"/>
    <row r="4861" s="65" customFormat="1"/>
    <row r="4862" s="65" customFormat="1"/>
    <row r="4863" s="65" customFormat="1"/>
    <row r="4864" s="65" customFormat="1"/>
    <row r="4865" s="65" customFormat="1"/>
    <row r="4866" s="65" customFormat="1"/>
    <row r="4867" s="65" customFormat="1"/>
    <row r="4868" s="65" customFormat="1"/>
    <row r="4869" s="65" customFormat="1"/>
    <row r="4870" s="65" customFormat="1"/>
    <row r="4871" s="65" customFormat="1"/>
    <row r="4872" s="65" customFormat="1"/>
    <row r="4873" s="65" customFormat="1"/>
    <row r="4874" s="65" customFormat="1"/>
    <row r="4875" s="65" customFormat="1"/>
    <row r="4876" s="65" customFormat="1"/>
    <row r="4877" s="65" customFormat="1"/>
    <row r="4878" s="65" customFormat="1"/>
    <row r="4879" s="65" customFormat="1"/>
    <row r="4880" s="65" customFormat="1"/>
    <row r="4881" s="65" customFormat="1"/>
    <row r="4882" s="65" customFormat="1"/>
    <row r="4883" s="65" customFormat="1"/>
    <row r="4884" s="65" customFormat="1"/>
    <row r="4885" s="65" customFormat="1"/>
    <row r="4886" s="65" customFormat="1"/>
    <row r="4887" s="65" customFormat="1"/>
    <row r="4888" s="65" customFormat="1"/>
    <row r="4889" s="65" customFormat="1"/>
    <row r="4890" s="65" customFormat="1"/>
    <row r="4891" s="65" customFormat="1"/>
    <row r="4892" s="65" customFormat="1"/>
    <row r="4893" s="65" customFormat="1"/>
    <row r="4894" s="65" customFormat="1"/>
    <row r="4895" s="65" customFormat="1"/>
    <row r="4896" s="65" customFormat="1"/>
    <row r="4897" s="65" customFormat="1"/>
    <row r="4898" s="65" customFormat="1"/>
    <row r="4899" s="65" customFormat="1"/>
    <row r="4900" s="65" customFormat="1"/>
    <row r="4901" s="65" customFormat="1"/>
    <row r="4902" s="65" customFormat="1"/>
    <row r="4903" s="65" customFormat="1"/>
    <row r="4904" s="65" customFormat="1"/>
    <row r="4905" s="65" customFormat="1"/>
    <row r="4906" s="65" customFormat="1"/>
    <row r="4907" s="65" customFormat="1"/>
    <row r="4908" s="65" customFormat="1"/>
    <row r="4909" s="65" customFormat="1"/>
    <row r="4910" s="65" customFormat="1"/>
    <row r="4911" s="65" customFormat="1"/>
    <row r="4912" s="65" customFormat="1"/>
    <row r="4913" s="65" customFormat="1"/>
    <row r="4914" s="65" customFormat="1"/>
    <row r="4915" s="65" customFormat="1"/>
    <row r="4916" s="65" customFormat="1"/>
    <row r="4917" s="65" customFormat="1"/>
    <row r="4918" s="65" customFormat="1"/>
    <row r="4919" s="65" customFormat="1"/>
    <row r="4920" s="65" customFormat="1"/>
    <row r="4921" s="65" customFormat="1"/>
    <row r="4922" s="65" customFormat="1"/>
    <row r="4923" s="65" customFormat="1"/>
    <row r="4924" s="65" customFormat="1"/>
    <row r="4925" s="65" customFormat="1"/>
    <row r="4926" s="65" customFormat="1"/>
    <row r="4927" s="65" customFormat="1"/>
    <row r="4928" s="65" customFormat="1"/>
    <row r="4929" s="65" customFormat="1"/>
    <row r="4930" s="65" customFormat="1"/>
    <row r="4931" s="65" customFormat="1"/>
    <row r="4932" s="65" customFormat="1"/>
    <row r="4933" s="65" customFormat="1"/>
    <row r="4934" s="65" customFormat="1"/>
    <row r="4935" s="65" customFormat="1"/>
    <row r="4936" s="65" customFormat="1"/>
    <row r="4937" s="65" customFormat="1"/>
    <row r="4938" s="65" customFormat="1"/>
    <row r="4939" s="65" customFormat="1"/>
    <row r="4940" s="65" customFormat="1"/>
    <row r="4941" s="65" customFormat="1"/>
    <row r="4942" s="65" customFormat="1"/>
    <row r="4943" s="65" customFormat="1"/>
    <row r="4944" s="65" customFormat="1"/>
    <row r="4945" s="65" customFormat="1"/>
    <row r="4946" s="65" customFormat="1"/>
    <row r="4947" s="65" customFormat="1"/>
    <row r="4948" s="65" customFormat="1"/>
    <row r="4949" s="65" customFormat="1"/>
    <row r="4950" s="65" customFormat="1"/>
    <row r="4951" s="65" customFormat="1"/>
    <row r="4952" s="65" customFormat="1"/>
    <row r="4953" s="65" customFormat="1"/>
    <row r="4954" s="65" customFormat="1"/>
    <row r="4955" s="65" customFormat="1"/>
    <row r="4956" s="65" customFormat="1"/>
    <row r="4957" s="65" customFormat="1"/>
    <row r="4958" s="65" customFormat="1"/>
    <row r="4959" s="65" customFormat="1"/>
    <row r="4960" s="65" customFormat="1"/>
    <row r="4961" s="65" customFormat="1"/>
    <row r="4962" s="65" customFormat="1"/>
    <row r="4963" s="65" customFormat="1"/>
    <row r="4964" s="65" customFormat="1"/>
    <row r="4965" s="65" customFormat="1"/>
    <row r="4966" s="65" customFormat="1"/>
    <row r="4967" s="65" customFormat="1"/>
    <row r="4968" s="65" customFormat="1"/>
    <row r="4969" s="65" customFormat="1"/>
    <row r="4970" s="65" customFormat="1"/>
    <row r="4971" s="65" customFormat="1"/>
    <row r="4972" s="65" customFormat="1"/>
    <row r="4973" s="65" customFormat="1"/>
    <row r="4974" s="65" customFormat="1"/>
    <row r="4975" s="65" customFormat="1"/>
    <row r="4976" s="65" customFormat="1"/>
    <row r="4977" s="65" customFormat="1"/>
    <row r="4978" s="65" customFormat="1"/>
    <row r="4979" s="65" customFormat="1"/>
    <row r="4980" s="65" customFormat="1"/>
    <row r="4981" s="65" customFormat="1"/>
    <row r="4982" s="65" customFormat="1"/>
    <row r="4983" s="65" customFormat="1"/>
    <row r="4984" s="65" customFormat="1"/>
    <row r="4985" s="65" customFormat="1"/>
    <row r="4986" s="65" customFormat="1"/>
    <row r="4987" s="65" customFormat="1"/>
    <row r="4988" s="65" customFormat="1"/>
    <row r="4989" s="65" customFormat="1"/>
    <row r="4990" s="65" customFormat="1"/>
    <row r="4991" s="65" customFormat="1"/>
    <row r="4992" s="65" customFormat="1"/>
    <row r="4993" s="65" customFormat="1"/>
    <row r="4994" s="65" customFormat="1"/>
    <row r="4995" s="65" customFormat="1"/>
    <row r="4996" s="65" customFormat="1"/>
    <row r="4997" s="65" customFormat="1"/>
    <row r="4998" s="65" customFormat="1"/>
    <row r="4999" s="65" customFormat="1"/>
    <row r="5000" s="65" customFormat="1"/>
    <row r="5001" s="65" customFormat="1"/>
    <row r="5002" s="65" customFormat="1"/>
    <row r="5003" s="65" customFormat="1"/>
    <row r="5004" s="65" customFormat="1"/>
    <row r="5005" s="65" customFormat="1"/>
    <row r="5006" s="65" customFormat="1"/>
    <row r="5007" s="65" customFormat="1"/>
    <row r="5008" s="65" customFormat="1"/>
    <row r="5009" s="65" customFormat="1"/>
    <row r="5010" s="65" customFormat="1"/>
    <row r="5011" s="65" customFormat="1"/>
    <row r="5012" s="65" customFormat="1"/>
    <row r="5013" s="65" customFormat="1"/>
    <row r="5014" s="65" customFormat="1"/>
    <row r="5015" s="65" customFormat="1"/>
    <row r="5016" s="65" customFormat="1"/>
    <row r="5017" s="65" customFormat="1"/>
    <row r="5018" s="65" customFormat="1"/>
    <row r="5019" s="65" customFormat="1"/>
    <row r="5020" s="65" customFormat="1"/>
    <row r="5021" s="65" customFormat="1"/>
    <row r="5022" s="65" customFormat="1"/>
    <row r="5023" s="65" customFormat="1"/>
    <row r="5024" s="65" customFormat="1"/>
    <row r="5025" s="65" customFormat="1"/>
    <row r="5026" s="65" customFormat="1"/>
    <row r="5027" s="65" customFormat="1"/>
    <row r="5028" s="65" customFormat="1"/>
    <row r="5029" s="65" customFormat="1"/>
    <row r="5030" s="65" customFormat="1"/>
    <row r="5031" s="65" customFormat="1"/>
    <row r="5032" s="65" customFormat="1"/>
    <row r="5033" s="65" customFormat="1"/>
    <row r="5034" s="65" customFormat="1"/>
    <row r="5035" s="65" customFormat="1"/>
    <row r="5036" s="65" customFormat="1"/>
    <row r="5037" s="65" customFormat="1"/>
    <row r="5038" s="65" customFormat="1"/>
    <row r="5039" s="65" customFormat="1"/>
    <row r="5040" s="65" customFormat="1"/>
    <row r="5041" s="65" customFormat="1"/>
    <row r="5042" s="65" customFormat="1"/>
    <row r="5043" s="65" customFormat="1"/>
    <row r="5044" s="65" customFormat="1"/>
    <row r="5045" s="65" customFormat="1"/>
    <row r="5046" s="65" customFormat="1"/>
    <row r="5047" s="65" customFormat="1"/>
    <row r="5048" s="65" customFormat="1"/>
    <row r="5049" s="65" customFormat="1"/>
    <row r="5050" s="65" customFormat="1"/>
    <row r="5051" s="65" customFormat="1"/>
    <row r="5052" s="65" customFormat="1"/>
    <row r="5053" s="65" customFormat="1"/>
    <row r="5054" s="65" customFormat="1"/>
    <row r="5055" s="65" customFormat="1"/>
    <row r="5056" s="65" customFormat="1"/>
    <row r="5057" s="65" customFormat="1"/>
    <row r="5058" s="65" customFormat="1"/>
    <row r="5059" s="65" customFormat="1"/>
    <row r="5060" s="65" customFormat="1"/>
    <row r="5061" s="65" customFormat="1"/>
    <row r="5062" s="65" customFormat="1"/>
    <row r="5063" s="65" customFormat="1"/>
    <row r="5064" s="65" customFormat="1"/>
    <row r="5065" s="65" customFormat="1"/>
    <row r="5066" s="65" customFormat="1"/>
    <row r="5067" s="65" customFormat="1"/>
    <row r="5068" s="65" customFormat="1"/>
    <row r="5069" s="65" customFormat="1"/>
    <row r="5070" s="65" customFormat="1"/>
    <row r="5071" s="65" customFormat="1"/>
    <row r="5072" s="65" customFormat="1"/>
    <row r="5073" s="65" customFormat="1"/>
    <row r="5074" s="65" customFormat="1"/>
    <row r="5075" s="65" customFormat="1"/>
    <row r="5076" s="65" customFormat="1"/>
    <row r="5077" s="65" customFormat="1"/>
    <row r="5078" s="65" customFormat="1"/>
    <row r="5079" s="65" customFormat="1"/>
    <row r="5080" s="65" customFormat="1"/>
    <row r="5081" s="65" customFormat="1"/>
    <row r="5082" s="65" customFormat="1"/>
    <row r="5083" s="65" customFormat="1"/>
    <row r="5084" s="65" customFormat="1"/>
    <row r="5085" s="65" customFormat="1"/>
    <row r="5086" s="65" customFormat="1"/>
    <row r="5087" s="65" customFormat="1"/>
    <row r="5088" s="65" customFormat="1"/>
    <row r="5089" s="65" customFormat="1"/>
    <row r="5090" s="65" customFormat="1"/>
    <row r="5091" s="65" customFormat="1"/>
    <row r="5092" s="65" customFormat="1"/>
    <row r="5093" s="65" customFormat="1"/>
    <row r="5094" s="65" customFormat="1"/>
    <row r="5095" s="65" customFormat="1"/>
    <row r="5096" s="65" customFormat="1"/>
    <row r="5097" s="65" customFormat="1"/>
    <row r="5098" s="65" customFormat="1"/>
    <row r="5099" s="65" customFormat="1"/>
    <row r="5100" s="65" customFormat="1"/>
    <row r="5101" s="65" customFormat="1"/>
    <row r="5102" s="65" customFormat="1"/>
    <row r="5103" s="65" customFormat="1"/>
    <row r="5104" s="65" customFormat="1"/>
    <row r="5105" s="65" customFormat="1"/>
    <row r="5106" s="65" customFormat="1"/>
    <row r="5107" s="65" customFormat="1"/>
    <row r="5108" s="65" customFormat="1"/>
    <row r="5109" s="65" customFormat="1"/>
    <row r="5110" s="65" customFormat="1"/>
    <row r="5111" s="65" customFormat="1"/>
    <row r="5112" s="65" customFormat="1"/>
    <row r="5113" s="65" customFormat="1"/>
    <row r="5114" s="65" customFormat="1"/>
    <row r="5115" s="65" customFormat="1"/>
    <row r="5116" s="65" customFormat="1"/>
    <row r="5117" s="65" customFormat="1"/>
    <row r="5118" s="65" customFormat="1"/>
    <row r="5119" s="65" customFormat="1"/>
    <row r="5120" s="65" customFormat="1"/>
    <row r="5121" s="65" customFormat="1"/>
    <row r="5122" s="65" customFormat="1"/>
    <row r="5123" s="65" customFormat="1"/>
    <row r="5124" s="65" customFormat="1"/>
    <row r="5125" s="65" customFormat="1"/>
    <row r="5126" s="65" customFormat="1"/>
    <row r="5127" s="65" customFormat="1"/>
    <row r="5128" s="65" customFormat="1"/>
    <row r="5129" s="65" customFormat="1"/>
    <row r="5130" s="65" customFormat="1"/>
    <row r="5131" s="65" customFormat="1"/>
    <row r="5132" s="65" customFormat="1"/>
    <row r="5133" s="65" customFormat="1"/>
    <row r="5134" s="65" customFormat="1"/>
    <row r="5135" s="65" customFormat="1"/>
    <row r="5136" s="65" customFormat="1"/>
    <row r="5137" s="65" customFormat="1"/>
    <row r="5138" s="65" customFormat="1"/>
    <row r="5139" s="65" customFormat="1"/>
    <row r="5140" s="65" customFormat="1"/>
    <row r="5141" s="65" customFormat="1"/>
    <row r="5142" s="65" customFormat="1"/>
    <row r="5143" s="65" customFormat="1"/>
    <row r="5144" s="65" customFormat="1"/>
    <row r="5145" s="65" customFormat="1"/>
    <row r="5146" s="65" customFormat="1"/>
    <row r="5147" s="65" customFormat="1"/>
    <row r="5148" s="65" customFormat="1"/>
    <row r="5149" s="65" customFormat="1"/>
    <row r="5150" s="65" customFormat="1"/>
    <row r="5151" s="65" customFormat="1"/>
    <row r="5152" s="65" customFormat="1"/>
    <row r="5153" s="65" customFormat="1"/>
    <row r="5154" s="65" customFormat="1"/>
    <row r="5155" s="65" customFormat="1"/>
    <row r="5156" s="65" customFormat="1"/>
    <row r="5157" s="65" customFormat="1"/>
    <row r="5158" s="65" customFormat="1"/>
    <row r="5159" s="65" customFormat="1"/>
    <row r="5160" s="65" customFormat="1"/>
    <row r="5161" s="65" customFormat="1"/>
    <row r="5162" s="65" customFormat="1"/>
    <row r="5163" s="65" customFormat="1"/>
    <row r="5164" s="65" customFormat="1"/>
    <row r="5165" s="65" customFormat="1"/>
    <row r="5166" s="65" customFormat="1"/>
    <row r="5167" s="65" customFormat="1"/>
    <row r="5168" s="65" customFormat="1"/>
    <row r="5169" s="65" customFormat="1"/>
    <row r="5170" s="65" customFormat="1"/>
    <row r="5171" s="65" customFormat="1"/>
    <row r="5172" s="65" customFormat="1"/>
    <row r="5173" s="65" customFormat="1"/>
    <row r="5174" s="65" customFormat="1"/>
    <row r="5175" s="65" customFormat="1"/>
    <row r="5176" s="65" customFormat="1"/>
    <row r="5177" s="65" customFormat="1"/>
    <row r="5178" s="65" customFormat="1"/>
    <row r="5179" s="65" customFormat="1"/>
    <row r="5180" s="65" customFormat="1"/>
    <row r="5181" s="65" customFormat="1"/>
    <row r="5182" s="65" customFormat="1"/>
    <row r="5183" s="65" customFormat="1"/>
    <row r="5184" s="65" customFormat="1"/>
    <row r="5185" s="65" customFormat="1"/>
    <row r="5186" s="65" customFormat="1"/>
    <row r="5187" s="65" customFormat="1"/>
    <row r="5188" s="65" customFormat="1"/>
    <row r="5189" s="65" customFormat="1"/>
    <row r="5190" s="65" customFormat="1"/>
    <row r="5191" s="65" customFormat="1"/>
    <row r="5192" s="65" customFormat="1"/>
    <row r="5193" s="65" customFormat="1"/>
    <row r="5194" s="65" customFormat="1"/>
    <row r="5195" s="65" customFormat="1"/>
    <row r="5196" s="65" customFormat="1"/>
    <row r="5197" s="65" customFormat="1"/>
    <row r="5198" s="65" customFormat="1"/>
    <row r="5199" s="65" customFormat="1"/>
    <row r="5200" s="65" customFormat="1"/>
    <row r="5201" s="65" customFormat="1"/>
    <row r="5202" s="65" customFormat="1"/>
    <row r="5203" s="65" customFormat="1"/>
    <row r="5204" s="65" customFormat="1"/>
    <row r="5205" s="65" customFormat="1"/>
    <row r="5206" s="65" customFormat="1"/>
    <row r="5207" s="65" customFormat="1"/>
    <row r="5208" s="65" customFormat="1"/>
    <row r="5209" s="65" customFormat="1"/>
    <row r="5210" s="65" customFormat="1"/>
    <row r="5211" s="65" customFormat="1"/>
    <row r="5212" s="65" customFormat="1"/>
    <row r="5213" s="65" customFormat="1"/>
    <row r="5214" s="65" customFormat="1"/>
    <row r="5215" s="65" customFormat="1"/>
    <row r="5216" s="65" customFormat="1"/>
    <row r="5217" s="65" customFormat="1"/>
    <row r="5218" s="65" customFormat="1"/>
    <row r="5219" s="65" customFormat="1"/>
    <row r="5220" s="65" customFormat="1"/>
    <row r="5221" s="65" customFormat="1"/>
    <row r="5222" s="65" customFormat="1"/>
    <row r="5223" s="65" customFormat="1"/>
    <row r="5224" s="65" customFormat="1"/>
    <row r="5225" s="65" customFormat="1"/>
    <row r="5226" s="65" customFormat="1"/>
    <row r="5227" s="65" customFormat="1"/>
    <row r="5228" s="65" customFormat="1"/>
    <row r="5229" s="65" customFormat="1"/>
    <row r="5230" s="65" customFormat="1"/>
    <row r="5231" s="65" customFormat="1"/>
    <row r="5232" s="65" customFormat="1"/>
    <row r="5233" s="65" customFormat="1"/>
    <row r="5234" s="65" customFormat="1"/>
    <row r="5235" s="65" customFormat="1"/>
    <row r="5236" s="65" customFormat="1"/>
    <row r="5237" s="65" customFormat="1"/>
    <row r="5238" s="65" customFormat="1"/>
    <row r="5239" s="65" customFormat="1"/>
    <row r="5240" s="65" customFormat="1"/>
    <row r="5241" s="65" customFormat="1"/>
    <row r="5242" s="65" customFormat="1"/>
    <row r="5243" s="65" customFormat="1"/>
    <row r="5244" s="65" customFormat="1"/>
    <row r="5245" s="65" customFormat="1"/>
    <row r="5246" s="65" customFormat="1"/>
    <row r="5247" s="65" customFormat="1"/>
    <row r="5248" s="65" customFormat="1"/>
    <row r="5249" s="65" customFormat="1"/>
    <row r="5250" s="65" customFormat="1"/>
    <row r="5251" s="65" customFormat="1"/>
    <row r="5252" s="65" customFormat="1"/>
    <row r="5253" s="65" customFormat="1"/>
    <row r="5254" s="65" customFormat="1"/>
    <row r="5255" s="65" customFormat="1"/>
    <row r="5256" s="65" customFormat="1"/>
    <row r="5257" s="65" customFormat="1"/>
    <row r="5258" s="65" customFormat="1"/>
    <row r="5259" s="65" customFormat="1"/>
    <row r="5260" s="65" customFormat="1"/>
    <row r="5261" s="65" customFormat="1"/>
    <row r="5262" s="65" customFormat="1"/>
    <row r="5263" s="65" customFormat="1"/>
    <row r="5264" s="65" customFormat="1"/>
    <row r="5265" s="65" customFormat="1"/>
    <row r="5266" s="65" customFormat="1"/>
    <row r="5267" s="65" customFormat="1"/>
    <row r="5268" s="65" customFormat="1"/>
    <row r="5269" s="65" customFormat="1"/>
    <row r="5270" s="65" customFormat="1"/>
    <row r="5271" s="65" customFormat="1"/>
    <row r="5272" s="65" customFormat="1"/>
    <row r="5273" s="65" customFormat="1"/>
    <row r="5274" s="65" customFormat="1"/>
    <row r="5275" s="65" customFormat="1"/>
    <row r="5276" s="65" customFormat="1"/>
    <row r="5277" s="65" customFormat="1"/>
    <row r="5278" s="65" customFormat="1"/>
    <row r="5279" s="65" customFormat="1"/>
    <row r="5280" s="65" customFormat="1"/>
    <row r="5281" s="65" customFormat="1"/>
    <row r="5282" s="65" customFormat="1"/>
    <row r="5283" s="65" customFormat="1"/>
    <row r="5284" s="65" customFormat="1"/>
    <row r="5285" s="65" customFormat="1"/>
    <row r="5286" s="65" customFormat="1"/>
    <row r="5287" s="65" customFormat="1"/>
    <row r="5288" s="65" customFormat="1"/>
    <row r="5289" s="65" customFormat="1"/>
    <row r="5290" s="65" customFormat="1"/>
    <row r="5291" s="65" customFormat="1"/>
    <row r="5292" s="65" customFormat="1"/>
    <row r="5293" s="65" customFormat="1"/>
    <row r="5294" s="65" customFormat="1"/>
    <row r="5295" s="65" customFormat="1"/>
    <row r="5296" s="65" customFormat="1"/>
    <row r="5297" s="65" customFormat="1"/>
    <row r="5298" s="65" customFormat="1"/>
    <row r="5299" s="65" customFormat="1"/>
    <row r="5300" s="65" customFormat="1"/>
    <row r="5301" s="65" customFormat="1"/>
    <row r="5302" s="65" customFormat="1"/>
    <row r="5303" s="65" customFormat="1"/>
    <row r="5304" s="65" customFormat="1"/>
    <row r="5305" s="65" customFormat="1"/>
    <row r="5306" s="65" customFormat="1"/>
    <row r="5307" s="65" customFormat="1"/>
    <row r="5308" s="65" customFormat="1"/>
    <row r="5309" s="65" customFormat="1"/>
    <row r="5310" s="65" customFormat="1"/>
    <row r="5311" s="65" customFormat="1"/>
    <row r="5312" s="65" customFormat="1"/>
    <row r="5313" s="65" customFormat="1"/>
    <row r="5314" s="65" customFormat="1"/>
    <row r="5315" s="65" customFormat="1"/>
    <row r="5316" s="65" customFormat="1"/>
    <row r="5317" s="65" customFormat="1"/>
    <row r="5318" s="65" customFormat="1"/>
    <row r="5319" s="65" customFormat="1"/>
    <row r="5320" s="65" customFormat="1"/>
    <row r="5321" s="65" customFormat="1"/>
    <row r="5322" s="65" customFormat="1"/>
    <row r="5323" s="65" customFormat="1"/>
    <row r="5324" s="65" customFormat="1"/>
    <row r="5325" s="65" customFormat="1"/>
    <row r="5326" s="65" customFormat="1"/>
    <row r="5327" s="65" customFormat="1"/>
    <row r="5328" s="65" customFormat="1"/>
    <row r="5329" s="65" customFormat="1"/>
    <row r="5330" s="65" customFormat="1"/>
    <row r="5331" s="65" customFormat="1"/>
    <row r="5332" s="65" customFormat="1"/>
    <row r="5333" s="65" customFormat="1"/>
    <row r="5334" s="65" customFormat="1"/>
    <row r="5335" s="65" customFormat="1"/>
    <row r="5336" s="65" customFormat="1"/>
    <row r="5337" s="65" customFormat="1"/>
    <row r="5338" s="65" customFormat="1"/>
    <row r="5339" s="65" customFormat="1"/>
    <row r="5340" s="65" customFormat="1"/>
    <row r="5341" s="65" customFormat="1"/>
    <row r="5342" s="65" customFormat="1"/>
    <row r="5343" s="65" customFormat="1"/>
    <row r="5344" s="65" customFormat="1"/>
    <row r="5345" s="65" customFormat="1"/>
    <row r="5346" s="65" customFormat="1"/>
    <row r="5347" s="65" customFormat="1"/>
    <row r="5348" s="65" customFormat="1"/>
    <row r="5349" s="65" customFormat="1"/>
    <row r="5350" s="65" customFormat="1"/>
    <row r="5351" s="65" customFormat="1"/>
    <row r="5352" s="65" customFormat="1"/>
    <row r="5353" s="65" customFormat="1"/>
    <row r="5354" s="65" customFormat="1"/>
    <row r="5355" s="65" customFormat="1"/>
    <row r="5356" s="65" customFormat="1"/>
    <row r="5357" s="65" customFormat="1"/>
    <row r="5358" s="65" customFormat="1"/>
    <row r="5359" s="65" customFormat="1"/>
    <row r="5360" s="65" customFormat="1"/>
    <row r="5361" s="65" customFormat="1"/>
    <row r="5362" s="65" customFormat="1"/>
    <row r="5363" s="65" customFormat="1"/>
    <row r="5364" s="65" customFormat="1"/>
    <row r="5365" s="65" customFormat="1"/>
    <row r="5366" s="65" customFormat="1"/>
    <row r="5367" s="65" customFormat="1"/>
    <row r="5368" s="65" customFormat="1"/>
    <row r="5369" s="65" customFormat="1"/>
    <row r="5370" s="65" customFormat="1"/>
    <row r="5371" s="65" customFormat="1"/>
    <row r="5372" s="65" customFormat="1"/>
    <row r="5373" s="65" customFormat="1"/>
    <row r="5374" s="65" customFormat="1"/>
    <row r="5375" s="65" customFormat="1"/>
    <row r="5376" s="65" customFormat="1"/>
    <row r="5377" s="65" customFormat="1"/>
    <row r="5378" s="65" customFormat="1"/>
    <row r="5379" s="65" customFormat="1"/>
    <row r="5380" s="65" customFormat="1"/>
    <row r="5381" s="65" customFormat="1"/>
    <row r="5382" s="65" customFormat="1"/>
    <row r="5383" s="65" customFormat="1"/>
    <row r="5384" s="65" customFormat="1"/>
    <row r="5385" s="65" customFormat="1"/>
    <row r="5386" s="65" customFormat="1"/>
    <row r="5387" s="65" customFormat="1"/>
    <row r="5388" s="65" customFormat="1"/>
    <row r="5389" s="65" customFormat="1"/>
    <row r="5390" s="65" customFormat="1"/>
    <row r="5391" s="65" customFormat="1"/>
    <row r="5392" s="65" customFormat="1"/>
    <row r="5393" s="65" customFormat="1"/>
    <row r="5394" s="65" customFormat="1"/>
    <row r="5395" s="65" customFormat="1"/>
    <row r="5396" s="65" customFormat="1"/>
    <row r="5397" s="65" customFormat="1"/>
    <row r="5398" s="65" customFormat="1"/>
    <row r="5399" s="65" customFormat="1"/>
    <row r="5400" s="65" customFormat="1"/>
    <row r="5401" s="65" customFormat="1"/>
    <row r="5402" s="65" customFormat="1"/>
    <row r="5403" s="65" customFormat="1"/>
    <row r="5404" s="65" customFormat="1"/>
    <row r="5405" s="65" customFormat="1"/>
    <row r="5406" s="65" customFormat="1"/>
    <row r="5407" s="65" customFormat="1"/>
    <row r="5408" s="65" customFormat="1"/>
    <row r="5409" s="65" customFormat="1"/>
    <row r="5410" s="65" customFormat="1"/>
    <row r="5411" s="65" customFormat="1"/>
    <row r="5412" s="65" customFormat="1"/>
    <row r="5413" s="65" customFormat="1"/>
    <row r="5414" s="65" customFormat="1"/>
    <row r="5415" s="65" customFormat="1"/>
    <row r="5416" s="65" customFormat="1"/>
    <row r="5417" s="65" customFormat="1"/>
    <row r="5418" s="65" customFormat="1"/>
    <row r="5419" s="65" customFormat="1"/>
    <row r="5420" s="65" customFormat="1"/>
    <row r="5421" s="65" customFormat="1"/>
    <row r="5422" s="65" customFormat="1"/>
    <row r="5423" s="65" customFormat="1"/>
    <row r="5424" s="65" customFormat="1"/>
    <row r="5425" s="65" customFormat="1"/>
    <row r="5426" s="65" customFormat="1"/>
    <row r="5427" s="65" customFormat="1"/>
    <row r="5428" s="65" customFormat="1"/>
    <row r="5429" s="65" customFormat="1"/>
    <row r="5430" s="65" customFormat="1"/>
    <row r="5431" s="65" customFormat="1"/>
    <row r="5432" s="65" customFormat="1"/>
    <row r="5433" s="65" customFormat="1"/>
    <row r="5434" s="65" customFormat="1"/>
    <row r="5435" s="65" customFormat="1"/>
    <row r="5436" s="65" customFormat="1"/>
    <row r="5437" s="65" customFormat="1"/>
    <row r="5438" s="65" customFormat="1"/>
    <row r="5439" s="65" customFormat="1"/>
    <row r="5440" s="65" customFormat="1"/>
    <row r="5441" s="65" customFormat="1"/>
    <row r="5442" s="65" customFormat="1"/>
    <row r="5443" s="65" customFormat="1"/>
    <row r="5444" s="65" customFormat="1"/>
    <row r="5445" s="65" customFormat="1"/>
    <row r="5446" s="65" customFormat="1"/>
    <row r="5447" s="65" customFormat="1"/>
    <row r="5448" s="65" customFormat="1"/>
    <row r="5449" s="65" customFormat="1"/>
    <row r="5450" s="65" customFormat="1"/>
    <row r="5451" s="65" customFormat="1"/>
    <row r="5452" s="65" customFormat="1"/>
    <row r="5453" s="65" customFormat="1"/>
    <row r="5454" s="65" customFormat="1"/>
    <row r="5455" s="65" customFormat="1"/>
    <row r="5456" s="65" customFormat="1"/>
    <row r="5457" s="65" customFormat="1"/>
    <row r="5458" s="65" customFormat="1"/>
    <row r="5459" s="65" customFormat="1"/>
    <row r="5460" s="65" customFormat="1"/>
    <row r="5461" s="65" customFormat="1"/>
    <row r="5462" s="65" customFormat="1"/>
    <row r="5463" s="65" customFormat="1"/>
    <row r="5464" s="65" customFormat="1"/>
    <row r="5465" s="65" customFormat="1"/>
    <row r="5466" s="65" customFormat="1"/>
    <row r="5467" s="65" customFormat="1"/>
    <row r="5468" s="65" customFormat="1"/>
    <row r="5469" s="65" customFormat="1"/>
    <row r="5470" s="65" customFormat="1"/>
    <row r="5471" s="65" customFormat="1"/>
    <row r="5472" s="65" customFormat="1"/>
    <row r="5473" s="65" customFormat="1"/>
    <row r="5474" s="65" customFormat="1"/>
    <row r="5475" s="65" customFormat="1"/>
    <row r="5476" s="65" customFormat="1"/>
    <row r="5477" s="65" customFormat="1"/>
    <row r="5478" s="65" customFormat="1"/>
    <row r="5479" s="65" customFormat="1"/>
    <row r="5480" s="65" customFormat="1"/>
    <row r="5481" s="65" customFormat="1"/>
    <row r="5482" s="65" customFormat="1"/>
    <row r="5483" s="65" customFormat="1"/>
    <row r="5484" s="65" customFormat="1"/>
    <row r="5485" s="65" customFormat="1"/>
    <row r="5486" s="65" customFormat="1"/>
    <row r="5487" s="65" customFormat="1"/>
    <row r="5488" s="65" customFormat="1"/>
    <row r="5489" s="65" customFormat="1"/>
    <row r="5490" s="65" customFormat="1"/>
    <row r="5491" s="65" customFormat="1"/>
    <row r="5492" s="65" customFormat="1"/>
    <row r="5493" s="65" customFormat="1"/>
    <row r="5494" s="65" customFormat="1"/>
    <row r="5495" s="65" customFormat="1"/>
    <row r="5496" s="65" customFormat="1"/>
    <row r="5497" s="65" customFormat="1"/>
    <row r="5498" s="65" customFormat="1"/>
    <row r="5499" s="65" customFormat="1"/>
    <row r="5500" s="65" customFormat="1"/>
    <row r="5501" s="65" customFormat="1"/>
    <row r="5502" s="65" customFormat="1"/>
    <row r="5503" s="65" customFormat="1"/>
    <row r="5504" s="65" customFormat="1"/>
    <row r="5505" s="65" customFormat="1"/>
    <row r="5506" s="65" customFormat="1"/>
    <row r="5507" s="65" customFormat="1"/>
    <row r="5508" s="65" customFormat="1"/>
    <row r="5509" s="65" customFormat="1"/>
    <row r="5510" s="65" customFormat="1"/>
    <row r="5511" s="65" customFormat="1"/>
    <row r="5512" s="65" customFormat="1"/>
    <row r="5513" s="65" customFormat="1"/>
    <row r="5514" s="65" customFormat="1"/>
    <row r="5515" s="65" customFormat="1"/>
    <row r="5516" s="65" customFormat="1"/>
    <row r="5517" s="65" customFormat="1"/>
    <row r="5518" s="65" customFormat="1"/>
    <row r="5519" s="65" customFormat="1"/>
    <row r="5520" s="65" customFormat="1"/>
    <row r="5521" s="65" customFormat="1"/>
    <row r="5522" s="65" customFormat="1"/>
    <row r="5523" s="65" customFormat="1"/>
    <row r="5524" s="65" customFormat="1"/>
    <row r="5525" s="65" customFormat="1"/>
    <row r="5526" s="65" customFormat="1"/>
    <row r="5527" s="65" customFormat="1"/>
    <row r="5528" s="65" customFormat="1"/>
    <row r="5529" s="65" customFormat="1"/>
    <row r="5530" s="65" customFormat="1"/>
    <row r="5531" s="65" customFormat="1"/>
    <row r="5532" s="65" customFormat="1"/>
    <row r="5533" s="65" customFormat="1"/>
    <row r="5534" s="65" customFormat="1"/>
    <row r="5535" s="65" customFormat="1"/>
    <row r="5536" s="65" customFormat="1"/>
    <row r="5537" s="65" customFormat="1"/>
    <row r="5538" s="65" customFormat="1"/>
    <row r="5539" s="65" customFormat="1"/>
    <row r="5540" s="65" customFormat="1"/>
    <row r="5541" s="65" customFormat="1"/>
    <row r="5542" s="65" customFormat="1"/>
    <row r="5543" s="65" customFormat="1"/>
    <row r="5544" s="65" customFormat="1"/>
    <row r="5545" s="65" customFormat="1"/>
    <row r="5546" s="65" customFormat="1"/>
    <row r="5547" s="65" customFormat="1"/>
    <row r="5548" s="65" customFormat="1"/>
    <row r="5549" s="65" customFormat="1"/>
    <row r="5550" s="65" customFormat="1"/>
    <row r="5551" s="65" customFormat="1"/>
    <row r="5552" s="65" customFormat="1"/>
    <row r="5553" s="65" customFormat="1"/>
    <row r="5554" s="65" customFormat="1"/>
    <row r="5555" s="65" customFormat="1"/>
    <row r="5556" s="65" customFormat="1"/>
    <row r="5557" s="65" customFormat="1"/>
    <row r="5558" s="65" customFormat="1"/>
    <row r="5559" s="65" customFormat="1"/>
    <row r="5560" s="65" customFormat="1"/>
    <row r="5561" s="65" customFormat="1"/>
    <row r="5562" s="65" customFormat="1"/>
    <row r="5563" s="65" customFormat="1"/>
    <row r="5564" s="65" customFormat="1"/>
    <row r="5565" s="65" customFormat="1"/>
    <row r="5566" s="65" customFormat="1"/>
    <row r="5567" s="65" customFormat="1"/>
    <row r="5568" s="65" customFormat="1"/>
    <row r="5569" s="65" customFormat="1"/>
    <row r="5570" s="65" customFormat="1"/>
    <row r="5571" s="65" customFormat="1"/>
    <row r="5572" s="65" customFormat="1"/>
    <row r="5573" s="65" customFormat="1"/>
    <row r="5574" s="65" customFormat="1"/>
    <row r="5575" s="65" customFormat="1"/>
    <row r="5576" s="65" customFormat="1"/>
    <row r="5577" s="65" customFormat="1"/>
    <row r="5578" s="65" customFormat="1"/>
    <row r="5579" s="65" customFormat="1"/>
    <row r="5580" s="65" customFormat="1"/>
    <row r="5581" s="65" customFormat="1"/>
    <row r="5582" s="65" customFormat="1"/>
    <row r="5583" s="65" customFormat="1"/>
    <row r="5584" s="65" customFormat="1"/>
    <row r="5585" s="65" customFormat="1"/>
    <row r="5586" s="65" customFormat="1"/>
    <row r="5587" s="65" customFormat="1"/>
    <row r="5588" s="65" customFormat="1"/>
    <row r="5589" s="65" customFormat="1"/>
    <row r="5590" s="65" customFormat="1"/>
    <row r="5591" s="65" customFormat="1"/>
    <row r="5592" s="65" customFormat="1"/>
    <row r="5593" s="65" customFormat="1"/>
    <row r="5594" s="65" customFormat="1"/>
    <row r="5595" s="65" customFormat="1"/>
    <row r="5596" s="65" customFormat="1"/>
    <row r="5597" s="65" customFormat="1"/>
    <row r="5598" s="65" customFormat="1"/>
    <row r="5599" s="65" customFormat="1"/>
    <row r="5600" s="65" customFormat="1"/>
    <row r="5601" s="65" customFormat="1"/>
    <row r="5602" s="65" customFormat="1"/>
    <row r="5603" s="65" customFormat="1"/>
    <row r="5604" s="65" customFormat="1"/>
    <row r="5605" s="65" customFormat="1"/>
    <row r="5606" s="65" customFormat="1"/>
    <row r="5607" s="65" customFormat="1"/>
    <row r="5608" s="65" customFormat="1"/>
    <row r="5609" s="65" customFormat="1"/>
    <row r="5610" s="65" customFormat="1"/>
    <row r="5611" s="65" customFormat="1"/>
    <row r="5612" s="65" customFormat="1"/>
    <row r="5613" s="65" customFormat="1"/>
    <row r="5614" s="65" customFormat="1"/>
    <row r="5615" s="65" customFormat="1"/>
    <row r="5616" s="65" customFormat="1"/>
    <row r="5617" s="65" customFormat="1"/>
    <row r="5618" s="65" customFormat="1"/>
    <row r="5619" s="65" customFormat="1"/>
    <row r="5620" s="65" customFormat="1"/>
    <row r="5621" s="65" customFormat="1"/>
    <row r="5622" s="65" customFormat="1"/>
    <row r="5623" s="65" customFormat="1"/>
    <row r="5624" s="65" customFormat="1"/>
    <row r="5625" s="65" customFormat="1"/>
    <row r="5626" s="65" customFormat="1"/>
    <row r="5627" s="65" customFormat="1"/>
    <row r="5628" s="65" customFormat="1"/>
    <row r="5629" s="65" customFormat="1"/>
    <row r="5630" s="65" customFormat="1"/>
    <row r="5631" s="65" customFormat="1"/>
    <row r="5632" s="65" customFormat="1"/>
    <row r="5633" s="65" customFormat="1"/>
    <row r="5634" s="65" customFormat="1"/>
    <row r="5635" s="65" customFormat="1"/>
    <row r="5636" s="65" customFormat="1"/>
    <row r="5637" s="65" customFormat="1"/>
    <row r="5638" s="65" customFormat="1"/>
    <row r="5639" s="65" customFormat="1"/>
    <row r="5640" s="65" customFormat="1"/>
    <row r="5641" s="65" customFormat="1"/>
    <row r="5642" s="65" customFormat="1"/>
    <row r="5643" s="65" customFormat="1"/>
    <row r="5644" s="65" customFormat="1"/>
    <row r="5645" s="65" customFormat="1"/>
    <row r="5646" s="65" customFormat="1"/>
    <row r="5647" s="65" customFormat="1"/>
    <row r="5648" s="65" customFormat="1"/>
    <row r="5649" s="65" customFormat="1"/>
    <row r="5650" s="65" customFormat="1"/>
    <row r="5651" s="65" customFormat="1"/>
    <row r="5652" s="65" customFormat="1"/>
    <row r="5653" s="65" customFormat="1"/>
    <row r="5654" s="65" customFormat="1"/>
    <row r="5655" s="65" customFormat="1"/>
    <row r="5656" s="65" customFormat="1"/>
    <row r="5657" s="65" customFormat="1"/>
    <row r="5658" s="65" customFormat="1"/>
    <row r="5659" s="65" customFormat="1"/>
    <row r="5660" s="65" customFormat="1"/>
    <row r="5661" s="65" customFormat="1"/>
    <row r="5662" s="65" customFormat="1"/>
    <row r="5663" s="65" customFormat="1"/>
    <row r="5664" s="65" customFormat="1"/>
    <row r="5665" s="65" customFormat="1"/>
    <row r="5666" s="65" customFormat="1"/>
    <row r="5667" s="65" customFormat="1"/>
    <row r="5668" s="65" customFormat="1"/>
    <row r="5669" s="65" customFormat="1"/>
    <row r="5670" s="65" customFormat="1"/>
    <row r="5671" s="65" customFormat="1"/>
    <row r="5672" s="65" customFormat="1"/>
    <row r="5673" s="65" customFormat="1"/>
    <row r="5674" s="65" customFormat="1"/>
    <row r="5675" s="65" customFormat="1"/>
    <row r="5676" s="65" customFormat="1"/>
    <row r="5677" s="65" customFormat="1"/>
    <row r="5678" s="65" customFormat="1"/>
    <row r="5679" s="65" customFormat="1"/>
    <row r="5680" s="65" customFormat="1"/>
    <row r="5681" s="65" customFormat="1"/>
    <row r="5682" s="65" customFormat="1"/>
    <row r="5683" s="65" customFormat="1"/>
    <row r="5684" s="65" customFormat="1"/>
    <row r="5685" s="65" customFormat="1"/>
    <row r="5686" s="65" customFormat="1"/>
    <row r="5687" s="65" customFormat="1"/>
    <row r="5688" s="65" customFormat="1"/>
    <row r="5689" s="65" customFormat="1"/>
    <row r="5690" s="65" customFormat="1"/>
    <row r="5691" s="65" customFormat="1"/>
    <row r="5692" s="65" customFormat="1"/>
    <row r="5693" s="65" customFormat="1"/>
    <row r="5694" s="65" customFormat="1"/>
    <row r="5695" s="65" customFormat="1"/>
    <row r="5696" s="65" customFormat="1"/>
    <row r="5697" s="65" customFormat="1"/>
    <row r="5698" s="65" customFormat="1"/>
    <row r="5699" s="65" customFormat="1"/>
    <row r="5700" s="65" customFormat="1"/>
    <row r="5701" s="65" customFormat="1"/>
    <row r="5702" s="65" customFormat="1"/>
    <row r="5703" s="65" customFormat="1"/>
    <row r="5704" s="65" customFormat="1"/>
    <row r="5705" s="65" customFormat="1"/>
    <row r="5706" s="65" customFormat="1"/>
    <row r="5707" s="65" customFormat="1"/>
    <row r="5708" s="65" customFormat="1"/>
    <row r="5709" s="65" customFormat="1"/>
    <row r="5710" s="65" customFormat="1"/>
    <row r="5711" s="65" customFormat="1"/>
    <row r="5712" s="65" customFormat="1"/>
    <row r="5713" s="65" customFormat="1"/>
    <row r="5714" s="65" customFormat="1"/>
    <row r="5715" s="65" customFormat="1"/>
    <row r="5716" s="65" customFormat="1"/>
    <row r="5717" s="65" customFormat="1"/>
    <row r="5718" s="65" customFormat="1"/>
    <row r="5719" s="65" customFormat="1"/>
    <row r="5720" s="65" customFormat="1"/>
    <row r="5721" s="65" customFormat="1"/>
    <row r="5722" s="65" customFormat="1"/>
    <row r="5723" s="65" customFormat="1"/>
    <row r="5724" s="65" customFormat="1"/>
    <row r="5725" s="65" customFormat="1"/>
    <row r="5726" s="65" customFormat="1"/>
    <row r="5727" s="65" customFormat="1"/>
    <row r="5728" s="65" customFormat="1"/>
    <row r="5729" s="65" customFormat="1"/>
    <row r="5730" s="65" customFormat="1"/>
    <row r="5731" s="65" customFormat="1"/>
    <row r="5732" s="65" customFormat="1"/>
    <row r="5733" s="65" customFormat="1"/>
    <row r="5734" s="65" customFormat="1"/>
    <row r="5735" s="65" customFormat="1"/>
    <row r="5736" s="65" customFormat="1"/>
    <row r="5737" s="65" customFormat="1"/>
    <row r="5738" s="65" customFormat="1"/>
    <row r="5739" s="65" customFormat="1"/>
    <row r="5740" s="65" customFormat="1"/>
    <row r="5741" s="65" customFormat="1"/>
    <row r="5742" s="65" customFormat="1"/>
    <row r="5743" s="65" customFormat="1"/>
    <row r="5744" s="65" customFormat="1"/>
    <row r="5745" s="65" customFormat="1"/>
    <row r="5746" s="65" customFormat="1"/>
    <row r="5747" s="65" customFormat="1"/>
    <row r="5748" s="65" customFormat="1"/>
    <row r="5749" s="65" customFormat="1"/>
    <row r="5750" s="65" customFormat="1"/>
    <row r="5751" s="65" customFormat="1"/>
    <row r="5752" s="65" customFormat="1"/>
    <row r="5753" s="65" customFormat="1"/>
    <row r="5754" s="65" customFormat="1"/>
    <row r="5755" s="65" customFormat="1"/>
    <row r="5756" s="65" customFormat="1"/>
    <row r="5757" s="65" customFormat="1"/>
    <row r="5758" s="65" customFormat="1"/>
    <row r="5759" s="65" customFormat="1"/>
    <row r="5760" s="65" customFormat="1"/>
    <row r="5761" s="65" customFormat="1"/>
    <row r="5762" s="65" customFormat="1"/>
    <row r="5763" s="65" customFormat="1"/>
    <row r="5764" s="65" customFormat="1"/>
    <row r="5765" s="65" customFormat="1"/>
    <row r="5766" s="65" customFormat="1"/>
    <row r="5767" s="65" customFormat="1"/>
    <row r="5768" s="65" customFormat="1"/>
    <row r="5769" s="65" customFormat="1"/>
    <row r="5770" s="65" customFormat="1"/>
    <row r="5771" s="65" customFormat="1"/>
    <row r="5772" s="65" customFormat="1"/>
    <row r="5773" s="65" customFormat="1"/>
    <row r="5774" s="65" customFormat="1"/>
    <row r="5775" s="65" customFormat="1"/>
    <row r="5776" s="65" customFormat="1"/>
    <row r="5777" s="65" customFormat="1"/>
    <row r="5778" s="65" customFormat="1"/>
    <row r="5779" s="65" customFormat="1"/>
    <row r="5780" s="65" customFormat="1"/>
    <row r="5781" s="65" customFormat="1"/>
    <row r="5782" s="65" customFormat="1"/>
    <row r="5783" s="65" customFormat="1"/>
    <row r="5784" s="65" customFormat="1"/>
    <row r="5785" s="65" customFormat="1"/>
    <row r="5786" s="65" customFormat="1"/>
    <row r="5787" s="65" customFormat="1"/>
    <row r="5788" s="65" customFormat="1"/>
    <row r="5789" s="65" customFormat="1"/>
    <row r="5790" s="65" customFormat="1"/>
    <row r="5791" s="65" customFormat="1"/>
    <row r="5792" s="65" customFormat="1"/>
    <row r="5793" s="65" customFormat="1"/>
    <row r="5794" s="65" customFormat="1"/>
    <row r="5795" s="65" customFormat="1"/>
    <row r="5796" s="65" customFormat="1"/>
    <row r="5797" s="65" customFormat="1"/>
    <row r="5798" s="65" customFormat="1"/>
    <row r="5799" s="65" customFormat="1"/>
    <row r="5800" s="65" customFormat="1"/>
    <row r="5801" s="65" customFormat="1"/>
    <row r="5802" s="65" customFormat="1"/>
    <row r="5803" s="65" customFormat="1"/>
    <row r="5804" s="65" customFormat="1"/>
    <row r="5805" s="65" customFormat="1"/>
    <row r="5806" s="65" customFormat="1"/>
    <row r="5807" s="65" customFormat="1"/>
    <row r="5808" s="65" customFormat="1"/>
    <row r="5809" s="65" customFormat="1"/>
    <row r="5810" s="65" customFormat="1"/>
    <row r="5811" s="65" customFormat="1"/>
    <row r="5812" s="65" customFormat="1"/>
    <row r="5813" s="65" customFormat="1"/>
    <row r="5814" s="65" customFormat="1"/>
    <row r="5815" s="65" customFormat="1"/>
    <row r="5816" s="65" customFormat="1"/>
    <row r="5817" s="65" customFormat="1"/>
    <row r="5818" s="65" customFormat="1"/>
    <row r="5819" s="65" customFormat="1"/>
    <row r="5820" s="65" customFormat="1"/>
    <row r="5821" s="65" customFormat="1"/>
    <row r="5822" s="65" customFormat="1"/>
    <row r="5823" s="65" customFormat="1"/>
    <row r="5824" s="65" customFormat="1"/>
    <row r="5825" s="65" customFormat="1"/>
    <row r="5826" s="65" customFormat="1"/>
    <row r="5827" s="65" customFormat="1"/>
    <row r="5828" s="65" customFormat="1"/>
    <row r="5829" s="65" customFormat="1"/>
    <row r="5830" s="65" customFormat="1"/>
    <row r="5831" s="65" customFormat="1"/>
    <row r="5832" s="65" customFormat="1"/>
    <row r="5833" s="65" customFormat="1"/>
    <row r="5834" s="65" customFormat="1"/>
    <row r="5835" s="65" customFormat="1"/>
    <row r="5836" s="65" customFormat="1"/>
    <row r="5837" s="65" customFormat="1"/>
    <row r="5838" s="65" customFormat="1"/>
    <row r="5839" s="65" customFormat="1"/>
    <row r="5840" s="65" customFormat="1"/>
    <row r="5841" s="65" customFormat="1"/>
    <row r="5842" s="65" customFormat="1"/>
    <row r="5843" s="65" customFormat="1"/>
    <row r="5844" s="65" customFormat="1"/>
    <row r="5845" s="65" customFormat="1"/>
    <row r="5846" s="65" customFormat="1"/>
    <row r="5847" s="65" customFormat="1"/>
    <row r="5848" s="65" customFormat="1"/>
    <row r="5849" s="65" customFormat="1"/>
    <row r="5850" s="65" customFormat="1"/>
    <row r="5851" s="65" customFormat="1"/>
    <row r="5852" s="65" customFormat="1"/>
    <row r="5853" s="65" customFormat="1"/>
    <row r="5854" s="65" customFormat="1"/>
    <row r="5855" s="65" customFormat="1"/>
    <row r="5856" s="65" customFormat="1"/>
    <row r="5857" s="65" customFormat="1"/>
    <row r="5858" s="65" customFormat="1"/>
    <row r="5859" s="65" customFormat="1"/>
    <row r="5860" s="65" customFormat="1"/>
    <row r="5861" s="65" customFormat="1"/>
    <row r="5862" s="65" customFormat="1"/>
    <row r="5863" s="65" customFormat="1"/>
    <row r="5864" s="65" customFormat="1"/>
    <row r="5865" s="65" customFormat="1"/>
    <row r="5866" s="65" customFormat="1"/>
    <row r="5867" s="65" customFormat="1"/>
    <row r="5868" s="65" customFormat="1"/>
    <row r="5869" s="65" customFormat="1"/>
    <row r="5870" s="65" customFormat="1"/>
    <row r="5871" s="65" customFormat="1"/>
    <row r="5872" s="65" customFormat="1"/>
    <row r="5873" s="65" customFormat="1"/>
    <row r="5874" s="65" customFormat="1"/>
    <row r="5875" s="65" customFormat="1"/>
    <row r="5876" s="65" customFormat="1"/>
    <row r="5877" s="65" customFormat="1"/>
    <row r="5878" s="65" customFormat="1"/>
    <row r="5879" s="65" customFormat="1"/>
    <row r="5880" s="65" customFormat="1"/>
    <row r="5881" s="65" customFormat="1"/>
    <row r="5882" s="65" customFormat="1"/>
    <row r="5883" s="65" customFormat="1"/>
    <row r="5884" s="65" customFormat="1"/>
    <row r="5885" s="65" customFormat="1"/>
    <row r="5886" s="65" customFormat="1"/>
    <row r="5887" s="65" customFormat="1"/>
    <row r="5888" s="65" customFormat="1"/>
    <row r="5889" s="65" customFormat="1"/>
    <row r="5890" s="65" customFormat="1"/>
    <row r="5891" s="65" customFormat="1"/>
    <row r="5892" s="65" customFormat="1"/>
    <row r="5893" s="65" customFormat="1"/>
    <row r="5894" s="65" customFormat="1"/>
    <row r="5895" s="65" customFormat="1"/>
    <row r="5896" s="65" customFormat="1"/>
    <row r="5897" s="65" customFormat="1"/>
    <row r="5898" s="65" customFormat="1"/>
    <row r="5899" s="65" customFormat="1"/>
    <row r="5900" s="65" customFormat="1"/>
    <row r="5901" s="65" customFormat="1"/>
    <row r="5902" s="65" customFormat="1"/>
    <row r="5903" s="65" customFormat="1"/>
    <row r="5904" s="65" customFormat="1"/>
    <row r="5905" s="65" customFormat="1"/>
    <row r="5906" s="65" customFormat="1"/>
    <row r="5907" s="65" customFormat="1"/>
    <row r="5908" s="65" customFormat="1"/>
    <row r="5909" s="65" customFormat="1"/>
    <row r="5910" s="65" customFormat="1"/>
    <row r="5911" s="65" customFormat="1"/>
    <row r="5912" s="65" customFormat="1"/>
    <row r="5913" s="65" customFormat="1"/>
    <row r="5914" s="65" customFormat="1"/>
    <row r="5915" s="65" customFormat="1"/>
    <row r="5916" s="65" customFormat="1"/>
    <row r="5917" s="65" customFormat="1"/>
    <row r="5918" s="65" customFormat="1"/>
    <row r="5919" s="65" customFormat="1"/>
    <row r="5920" s="65" customFormat="1"/>
    <row r="5921" s="65" customFormat="1"/>
    <row r="5922" s="65" customFormat="1"/>
    <row r="5923" s="65" customFormat="1"/>
    <row r="5924" s="65" customFormat="1"/>
    <row r="5925" s="65" customFormat="1"/>
    <row r="5926" s="65" customFormat="1"/>
    <row r="5927" s="65" customFormat="1"/>
    <row r="5928" s="65" customFormat="1"/>
    <row r="5929" s="65" customFormat="1"/>
    <row r="5930" s="65" customFormat="1"/>
    <row r="5931" s="65" customFormat="1"/>
    <row r="5932" s="65" customFormat="1"/>
    <row r="5933" s="65" customFormat="1"/>
    <row r="5934" s="65" customFormat="1"/>
    <row r="5935" s="65" customFormat="1"/>
    <row r="5936" s="65" customFormat="1"/>
    <row r="5937" s="65" customFormat="1"/>
    <row r="5938" s="65" customFormat="1"/>
    <row r="5939" s="65" customFormat="1"/>
    <row r="5940" s="65" customFormat="1"/>
    <row r="5941" s="65" customFormat="1"/>
    <row r="5942" s="65" customFormat="1"/>
    <row r="5943" s="65" customFormat="1"/>
    <row r="5944" s="65" customFormat="1"/>
    <row r="5945" s="65" customFormat="1"/>
    <row r="5946" s="65" customFormat="1"/>
    <row r="5947" s="65" customFormat="1"/>
    <row r="5948" s="65" customFormat="1"/>
    <row r="5949" s="65" customFormat="1"/>
    <row r="5950" s="65" customFormat="1"/>
    <row r="5951" s="65" customFormat="1"/>
    <row r="5952" s="65" customFormat="1"/>
    <row r="5953" s="65" customFormat="1"/>
    <row r="5954" s="65" customFormat="1"/>
    <row r="5955" s="65" customFormat="1"/>
    <row r="5956" s="65" customFormat="1"/>
    <row r="5957" s="65" customFormat="1"/>
    <row r="5958" s="65" customFormat="1"/>
    <row r="5959" s="65" customFormat="1"/>
    <row r="5960" s="65" customFormat="1"/>
    <row r="5961" s="65" customFormat="1"/>
    <row r="5962" s="65" customFormat="1"/>
    <row r="5963" s="65" customFormat="1"/>
    <row r="5964" s="65" customFormat="1"/>
    <row r="5965" s="65" customFormat="1"/>
    <row r="5966" s="65" customFormat="1"/>
    <row r="5967" s="65" customFormat="1"/>
    <row r="5968" s="65" customFormat="1"/>
    <row r="5969" s="65" customFormat="1"/>
    <row r="5970" s="65" customFormat="1"/>
    <row r="5971" s="65" customFormat="1"/>
    <row r="5972" s="65" customFormat="1"/>
    <row r="5973" s="65" customFormat="1"/>
    <row r="5974" s="65" customFormat="1"/>
    <row r="5975" s="65" customFormat="1"/>
    <row r="5976" s="65" customFormat="1"/>
    <row r="5977" s="65" customFormat="1"/>
    <row r="5978" s="65" customFormat="1"/>
    <row r="5979" s="65" customFormat="1"/>
    <row r="5980" s="65" customFormat="1"/>
    <row r="5981" s="65" customFormat="1"/>
    <row r="5982" s="65" customFormat="1"/>
    <row r="5983" s="65" customFormat="1"/>
    <row r="5984" s="65" customFormat="1"/>
    <row r="5985" s="65" customFormat="1"/>
    <row r="5986" s="65" customFormat="1"/>
    <row r="5987" s="65" customFormat="1"/>
    <row r="5988" s="65" customFormat="1"/>
    <row r="5989" s="65" customFormat="1"/>
    <row r="5990" s="65" customFormat="1"/>
    <row r="5991" s="65" customFormat="1"/>
    <row r="5992" s="65" customFormat="1"/>
    <row r="5993" s="65" customFormat="1"/>
    <row r="5994" s="65" customFormat="1"/>
    <row r="5995" s="65" customFormat="1"/>
    <row r="5996" s="65" customFormat="1"/>
    <row r="5997" s="65" customFormat="1"/>
    <row r="5998" s="65" customFormat="1"/>
    <row r="5999" s="65" customFormat="1"/>
    <row r="6000" s="65" customFormat="1"/>
    <row r="6001" s="65" customFormat="1"/>
    <row r="6002" s="65" customFormat="1"/>
    <row r="6003" s="65" customFormat="1"/>
    <row r="6004" s="65" customFormat="1"/>
    <row r="6005" s="65" customFormat="1"/>
    <row r="6006" s="65" customFormat="1"/>
    <row r="6007" s="65" customFormat="1"/>
    <row r="6008" s="65" customFormat="1"/>
    <row r="6009" s="65" customFormat="1"/>
    <row r="6010" s="65" customFormat="1"/>
    <row r="6011" s="65" customFormat="1"/>
    <row r="6012" s="65" customFormat="1"/>
    <row r="6013" s="65" customFormat="1"/>
    <row r="6014" s="65" customFormat="1"/>
    <row r="6015" s="65" customFormat="1"/>
    <row r="6016" s="65" customFormat="1"/>
    <row r="6017" s="65" customFormat="1"/>
    <row r="6018" s="65" customFormat="1"/>
    <row r="6019" s="65" customFormat="1"/>
    <row r="6020" s="65" customFormat="1"/>
    <row r="6021" s="65" customFormat="1"/>
    <row r="6022" s="65" customFormat="1"/>
    <row r="6023" s="65" customFormat="1"/>
    <row r="6024" s="65" customFormat="1"/>
    <row r="6025" s="65" customFormat="1"/>
    <row r="6026" s="65" customFormat="1"/>
    <row r="6027" s="65" customFormat="1"/>
    <row r="6028" s="65" customFormat="1"/>
    <row r="6029" s="65" customFormat="1"/>
    <row r="6030" s="65" customFormat="1"/>
    <row r="6031" s="65" customFormat="1"/>
    <row r="6032" s="65" customFormat="1"/>
    <row r="6033" s="65" customFormat="1"/>
    <row r="6034" s="65" customFormat="1"/>
    <row r="6035" s="65" customFormat="1"/>
    <row r="6036" s="65" customFormat="1"/>
    <row r="6037" s="65" customFormat="1"/>
    <row r="6038" s="65" customFormat="1"/>
    <row r="6039" s="65" customFormat="1"/>
    <row r="6040" s="65" customFormat="1"/>
    <row r="6041" s="65" customFormat="1"/>
    <row r="6042" s="65" customFormat="1"/>
    <row r="6043" s="65" customFormat="1"/>
    <row r="6044" s="65" customFormat="1"/>
    <row r="6045" s="65" customFormat="1"/>
    <row r="6046" s="65" customFormat="1"/>
    <row r="6047" s="65" customFormat="1"/>
    <row r="6048" s="65" customFormat="1"/>
    <row r="6049" s="65" customFormat="1"/>
    <row r="6050" s="65" customFormat="1"/>
    <row r="6051" s="65" customFormat="1"/>
    <row r="6052" s="65" customFormat="1"/>
    <row r="6053" s="65" customFormat="1"/>
    <row r="6054" s="65" customFormat="1"/>
    <row r="6055" s="65" customFormat="1"/>
    <row r="6056" s="65" customFormat="1"/>
    <row r="6057" s="65" customFormat="1"/>
    <row r="6058" s="65" customFormat="1"/>
    <row r="6059" s="65" customFormat="1"/>
    <row r="6060" s="65" customFormat="1"/>
    <row r="6061" s="65" customFormat="1"/>
    <row r="6062" s="65" customFormat="1"/>
    <row r="6063" s="65" customFormat="1"/>
    <row r="6064" s="65" customFormat="1"/>
    <row r="6065" s="65" customFormat="1"/>
    <row r="6066" s="65" customFormat="1"/>
    <row r="6067" s="65" customFormat="1"/>
    <row r="6068" s="65" customFormat="1"/>
    <row r="6069" s="65" customFormat="1"/>
    <row r="6070" s="65" customFormat="1"/>
    <row r="6071" s="65" customFormat="1"/>
    <row r="6072" s="65" customFormat="1"/>
    <row r="6073" s="65" customFormat="1"/>
    <row r="6074" s="65" customFormat="1"/>
    <row r="6075" s="65" customFormat="1"/>
    <row r="6076" s="65" customFormat="1"/>
    <row r="6077" s="65" customFormat="1"/>
    <row r="6078" s="65" customFormat="1"/>
    <row r="6079" s="65" customFormat="1"/>
    <row r="6080" s="65" customFormat="1"/>
    <row r="6081" s="65" customFormat="1"/>
    <row r="6082" s="65" customFormat="1"/>
    <row r="6083" s="65" customFormat="1"/>
    <row r="6084" s="65" customFormat="1"/>
    <row r="6085" s="65" customFormat="1"/>
    <row r="6086" s="65" customFormat="1"/>
    <row r="6087" s="65" customFormat="1"/>
    <row r="6088" s="65" customFormat="1"/>
    <row r="6089" s="65" customFormat="1"/>
    <row r="6090" s="65" customFormat="1"/>
    <row r="6091" s="65" customFormat="1"/>
    <row r="6092" s="65" customFormat="1"/>
    <row r="6093" s="65" customFormat="1"/>
    <row r="6094" s="65" customFormat="1"/>
    <row r="6095" s="65" customFormat="1"/>
    <row r="6096" s="65" customFormat="1"/>
    <row r="6097" s="65" customFormat="1"/>
    <row r="6098" s="65" customFormat="1"/>
    <row r="6099" s="65" customFormat="1"/>
    <row r="6100" s="65" customFormat="1"/>
    <row r="6101" s="65" customFormat="1"/>
    <row r="6102" s="65" customFormat="1"/>
    <row r="6103" s="65" customFormat="1"/>
    <row r="6104" s="65" customFormat="1"/>
    <row r="6105" s="65" customFormat="1"/>
    <row r="6106" s="65" customFormat="1"/>
    <row r="6107" s="65" customFormat="1"/>
    <row r="6108" s="65" customFormat="1"/>
    <row r="6109" s="65" customFormat="1"/>
    <row r="6110" s="65" customFormat="1"/>
    <row r="6111" s="65" customFormat="1"/>
    <row r="6112" s="65" customFormat="1"/>
    <row r="6113" s="65" customFormat="1"/>
    <row r="6114" s="65" customFormat="1"/>
    <row r="6115" s="65" customFormat="1"/>
    <row r="6116" s="65" customFormat="1"/>
    <row r="6117" s="65" customFormat="1"/>
    <row r="6118" s="65" customFormat="1"/>
    <row r="6119" s="65" customFormat="1"/>
    <row r="6120" s="65" customFormat="1"/>
    <row r="6121" s="65" customFormat="1"/>
    <row r="6122" s="65" customFormat="1"/>
    <row r="6123" s="65" customFormat="1"/>
    <row r="6124" s="65" customFormat="1"/>
    <row r="6125" s="65" customFormat="1"/>
    <row r="6126" s="65" customFormat="1"/>
    <row r="6127" s="65" customFormat="1"/>
    <row r="6128" s="65" customFormat="1"/>
    <row r="6129" s="65" customFormat="1"/>
    <row r="6130" s="65" customFormat="1"/>
    <row r="6131" s="65" customFormat="1"/>
    <row r="6132" s="65" customFormat="1"/>
    <row r="6133" s="65" customFormat="1"/>
    <row r="6134" s="65" customFormat="1"/>
    <row r="6135" s="65" customFormat="1"/>
    <row r="6136" s="65" customFormat="1"/>
    <row r="6137" s="65" customFormat="1"/>
    <row r="6138" s="65" customFormat="1"/>
    <row r="6139" s="65" customFormat="1"/>
    <row r="6140" s="65" customFormat="1"/>
    <row r="6141" s="65" customFormat="1"/>
    <row r="6142" s="65" customFormat="1"/>
    <row r="6143" s="65" customFormat="1"/>
    <row r="6144" s="65" customFormat="1"/>
    <row r="6145" s="65" customFormat="1"/>
    <row r="6146" s="65" customFormat="1"/>
    <row r="6147" s="65" customFormat="1"/>
    <row r="6148" s="65" customFormat="1"/>
    <row r="6149" s="65" customFormat="1"/>
    <row r="6150" s="65" customFormat="1"/>
    <row r="6151" s="65" customFormat="1"/>
    <row r="6152" s="65" customFormat="1"/>
    <row r="6153" s="65" customFormat="1"/>
    <row r="6154" s="65" customFormat="1"/>
    <row r="6155" s="65" customFormat="1"/>
    <row r="6156" s="65" customFormat="1"/>
    <row r="6157" s="65" customFormat="1"/>
    <row r="6158" s="65" customFormat="1"/>
    <row r="6159" s="65" customFormat="1"/>
    <row r="6160" s="65" customFormat="1"/>
    <row r="6161" s="65" customFormat="1"/>
    <row r="6162" s="65" customFormat="1"/>
    <row r="6163" s="65" customFormat="1"/>
    <row r="6164" s="65" customFormat="1"/>
    <row r="6165" s="65" customFormat="1"/>
    <row r="6166" s="65" customFormat="1"/>
    <row r="6167" s="65" customFormat="1"/>
    <row r="6168" s="65" customFormat="1"/>
    <row r="6169" s="65" customFormat="1"/>
    <row r="6170" s="65" customFormat="1"/>
    <row r="6171" s="65" customFormat="1"/>
    <row r="6172" s="65" customFormat="1"/>
    <row r="6173" s="65" customFormat="1"/>
    <row r="6174" s="65" customFormat="1"/>
    <row r="6175" s="65" customFormat="1"/>
    <row r="6176" s="65" customFormat="1"/>
    <row r="6177" s="65" customFormat="1"/>
    <row r="6178" s="65" customFormat="1"/>
    <row r="6179" s="65" customFormat="1"/>
    <row r="6180" s="65" customFormat="1"/>
    <row r="6181" s="65" customFormat="1"/>
    <row r="6182" s="65" customFormat="1"/>
    <row r="6183" s="65" customFormat="1"/>
    <row r="6184" s="65" customFormat="1"/>
    <row r="6185" s="65" customFormat="1"/>
    <row r="6186" s="65" customFormat="1"/>
    <row r="6187" s="65" customFormat="1"/>
    <row r="6188" s="65" customFormat="1"/>
    <row r="6189" s="65" customFormat="1"/>
    <row r="6190" s="65" customFormat="1"/>
    <row r="6191" s="65" customFormat="1"/>
    <row r="6192" s="65" customFormat="1"/>
    <row r="6193" s="65" customFormat="1"/>
    <row r="6194" s="65" customFormat="1"/>
    <row r="6195" s="65" customFormat="1"/>
    <row r="6196" s="65" customFormat="1"/>
    <row r="6197" s="65" customFormat="1"/>
    <row r="6198" s="65" customFormat="1"/>
    <row r="6199" s="65" customFormat="1"/>
    <row r="6200" s="65" customFormat="1"/>
    <row r="6201" s="65" customFormat="1"/>
    <row r="6202" s="65" customFormat="1"/>
    <row r="6203" s="65" customFormat="1"/>
    <row r="6204" s="65" customFormat="1"/>
    <row r="6205" s="65" customFormat="1"/>
    <row r="6206" s="65" customFormat="1"/>
    <row r="6207" s="65" customFormat="1"/>
    <row r="6208" s="65" customFormat="1"/>
    <row r="6209" s="65" customFormat="1"/>
    <row r="6210" s="65" customFormat="1"/>
    <row r="6211" s="65" customFormat="1"/>
    <row r="6212" s="65" customFormat="1"/>
    <row r="6213" s="65" customFormat="1"/>
    <row r="6214" s="65" customFormat="1"/>
    <row r="6215" s="65" customFormat="1"/>
    <row r="6216" s="65" customFormat="1"/>
    <row r="6217" s="65" customFormat="1"/>
    <row r="6218" s="65" customFormat="1"/>
    <row r="6219" s="65" customFormat="1"/>
    <row r="6220" s="65" customFormat="1"/>
    <row r="6221" s="65" customFormat="1"/>
    <row r="6222" s="65" customFormat="1"/>
    <row r="6223" s="65" customFormat="1"/>
    <row r="6224" s="65" customFormat="1"/>
    <row r="6225" s="65" customFormat="1"/>
    <row r="6226" s="65" customFormat="1"/>
    <row r="6227" s="65" customFormat="1"/>
    <row r="6228" s="65" customFormat="1"/>
    <row r="6229" s="65" customFormat="1"/>
    <row r="6230" s="65" customFormat="1"/>
    <row r="6231" s="65" customFormat="1"/>
    <row r="6232" s="65" customFormat="1"/>
    <row r="6233" s="65" customFormat="1"/>
    <row r="6234" s="65" customFormat="1"/>
    <row r="6235" s="65" customFormat="1"/>
    <row r="6236" s="65" customFormat="1"/>
    <row r="6237" s="65" customFormat="1"/>
    <row r="6238" s="65" customFormat="1"/>
    <row r="6239" s="65" customFormat="1"/>
    <row r="6240" s="65" customFormat="1"/>
    <row r="6241" s="65" customFormat="1"/>
    <row r="6242" s="65" customFormat="1"/>
    <row r="6243" s="65" customFormat="1"/>
    <row r="6244" s="65" customFormat="1"/>
    <row r="6245" s="65" customFormat="1"/>
    <row r="6246" s="65" customFormat="1"/>
    <row r="6247" s="65" customFormat="1"/>
    <row r="6248" s="65" customFormat="1"/>
    <row r="6249" s="65" customFormat="1"/>
    <row r="6250" s="65" customFormat="1"/>
    <row r="6251" s="65" customFormat="1"/>
    <row r="6252" s="65" customFormat="1"/>
    <row r="6253" s="65" customFormat="1"/>
    <row r="6254" s="65" customFormat="1"/>
    <row r="6255" s="65" customFormat="1"/>
    <row r="6256" s="65" customFormat="1"/>
    <row r="6257" s="65" customFormat="1"/>
    <row r="6258" s="65" customFormat="1"/>
    <row r="6259" s="65" customFormat="1"/>
    <row r="6260" s="65" customFormat="1"/>
    <row r="6261" s="65" customFormat="1"/>
    <row r="6262" s="65" customFormat="1"/>
    <row r="6263" s="65" customFormat="1"/>
    <row r="6264" s="65" customFormat="1"/>
    <row r="6265" s="65" customFormat="1"/>
    <row r="6266" s="65" customFormat="1"/>
    <row r="6267" s="65" customFormat="1"/>
    <row r="6268" s="65" customFormat="1"/>
    <row r="6269" s="65" customFormat="1"/>
    <row r="6270" s="65" customFormat="1"/>
    <row r="6271" s="65" customFormat="1"/>
    <row r="6272" s="65" customFormat="1"/>
    <row r="6273" s="65" customFormat="1"/>
    <row r="6274" s="65" customFormat="1"/>
    <row r="6275" s="65" customFormat="1"/>
    <row r="6276" s="65" customFormat="1"/>
    <row r="6277" s="65" customFormat="1"/>
    <row r="6278" s="65" customFormat="1"/>
    <row r="6279" s="65" customFormat="1"/>
    <row r="6280" s="65" customFormat="1"/>
    <row r="6281" s="65" customFormat="1"/>
    <row r="6282" s="65" customFormat="1"/>
    <row r="6283" s="65" customFormat="1"/>
    <row r="6284" s="65" customFormat="1"/>
    <row r="6285" s="65" customFormat="1"/>
    <row r="6286" s="65" customFormat="1"/>
    <row r="6287" s="65" customFormat="1"/>
    <row r="6288" s="65" customFormat="1"/>
    <row r="6289" s="65" customFormat="1"/>
    <row r="6290" s="65" customFormat="1"/>
    <row r="6291" s="65" customFormat="1"/>
    <row r="6292" s="65" customFormat="1"/>
    <row r="6293" s="65" customFormat="1"/>
    <row r="6294" s="65" customFormat="1"/>
    <row r="6295" s="65" customFormat="1"/>
    <row r="6296" s="65" customFormat="1"/>
    <row r="6297" s="65" customFormat="1"/>
    <row r="6298" s="65" customFormat="1"/>
    <row r="6299" s="65" customFormat="1"/>
    <row r="6300" s="65" customFormat="1"/>
    <row r="6301" s="65" customFormat="1"/>
    <row r="6302" s="65" customFormat="1"/>
    <row r="6303" s="65" customFormat="1"/>
    <row r="6304" s="65" customFormat="1"/>
    <row r="6305" s="65" customFormat="1"/>
    <row r="6306" s="65" customFormat="1"/>
    <row r="6307" s="65" customFormat="1"/>
    <row r="6308" s="65" customFormat="1"/>
    <row r="6309" s="65" customFormat="1"/>
    <row r="6310" s="65" customFormat="1"/>
    <row r="6311" s="65" customFormat="1"/>
    <row r="6312" s="65" customFormat="1"/>
    <row r="6313" s="65" customFormat="1"/>
    <row r="6314" s="65" customFormat="1"/>
    <row r="6315" s="65" customFormat="1"/>
    <row r="6316" s="65" customFormat="1"/>
    <row r="6317" s="65" customFormat="1"/>
    <row r="6318" s="65" customFormat="1"/>
    <row r="6319" s="65" customFormat="1"/>
    <row r="6320" s="65" customFormat="1"/>
    <row r="6321" s="65" customFormat="1"/>
    <row r="6322" s="65" customFormat="1"/>
    <row r="6323" s="65" customFormat="1"/>
    <row r="6324" s="65" customFormat="1"/>
    <row r="6325" s="65" customFormat="1"/>
    <row r="6326" s="65" customFormat="1"/>
    <row r="6327" s="65" customFormat="1"/>
    <row r="6328" s="65" customFormat="1"/>
    <row r="6329" s="65" customFormat="1"/>
    <row r="6330" s="65" customFormat="1"/>
    <row r="6331" s="65" customFormat="1"/>
    <row r="6332" s="65" customFormat="1"/>
    <row r="6333" s="65" customFormat="1"/>
    <row r="6334" s="65" customFormat="1"/>
    <row r="6335" s="65" customFormat="1"/>
    <row r="6336" s="65" customFormat="1"/>
    <row r="6337" s="65" customFormat="1"/>
    <row r="6338" s="65" customFormat="1"/>
    <row r="6339" s="65" customFormat="1"/>
    <row r="6340" s="65" customFormat="1"/>
    <row r="6341" s="65" customFormat="1"/>
    <row r="6342" s="65" customFormat="1"/>
    <row r="6343" s="65" customFormat="1"/>
    <row r="6344" s="65" customFormat="1"/>
    <row r="6345" s="65" customFormat="1"/>
    <row r="6346" s="65" customFormat="1"/>
    <row r="6347" s="65" customFormat="1"/>
    <row r="6348" s="65" customFormat="1"/>
    <row r="6349" s="65" customFormat="1"/>
    <row r="6350" s="65" customFormat="1"/>
    <row r="6351" s="65" customFormat="1"/>
    <row r="6352" s="65" customFormat="1"/>
    <row r="6353" s="65" customFormat="1"/>
    <row r="6354" s="65" customFormat="1"/>
    <row r="6355" s="65" customFormat="1"/>
    <row r="6356" s="65" customFormat="1"/>
    <row r="6357" s="65" customFormat="1"/>
    <row r="6358" s="65" customFormat="1"/>
    <row r="6359" s="65" customFormat="1"/>
    <row r="6360" s="65" customFormat="1"/>
    <row r="6361" s="65" customFormat="1"/>
    <row r="6362" s="65" customFormat="1"/>
    <row r="6363" s="65" customFormat="1"/>
    <row r="6364" s="65" customFormat="1"/>
    <row r="6365" s="65" customFormat="1"/>
    <row r="6366" s="65" customFormat="1"/>
    <row r="6367" s="65" customFormat="1"/>
    <row r="6368" s="65" customFormat="1"/>
    <row r="6369" s="65" customFormat="1"/>
    <row r="6370" s="65" customFormat="1"/>
    <row r="6371" s="65" customFormat="1"/>
    <row r="6372" s="65" customFormat="1"/>
    <row r="6373" s="65" customFormat="1"/>
    <row r="6374" s="65" customFormat="1"/>
    <row r="6375" s="65" customFormat="1"/>
    <row r="6376" s="65" customFormat="1"/>
    <row r="6377" s="65" customFormat="1"/>
    <row r="6378" s="65" customFormat="1"/>
    <row r="6379" s="65" customFormat="1"/>
    <row r="6380" s="65" customFormat="1"/>
    <row r="6381" s="65" customFormat="1"/>
    <row r="6382" s="65" customFormat="1"/>
    <row r="6383" s="65" customFormat="1"/>
    <row r="6384" s="65" customFormat="1"/>
    <row r="6385" s="65" customFormat="1"/>
    <row r="6386" s="65" customFormat="1"/>
    <row r="6387" s="65" customFormat="1"/>
    <row r="6388" s="65" customFormat="1"/>
    <row r="6389" s="65" customFormat="1"/>
    <row r="6390" s="65" customFormat="1"/>
    <row r="6391" s="65" customFormat="1"/>
    <row r="6392" s="65" customFormat="1"/>
    <row r="6393" s="65" customFormat="1"/>
    <row r="6394" s="65" customFormat="1"/>
    <row r="6395" s="65" customFormat="1"/>
    <row r="6396" s="65" customFormat="1"/>
    <row r="6397" s="65" customFormat="1"/>
    <row r="6398" s="65" customFormat="1"/>
    <row r="6399" s="65" customFormat="1"/>
    <row r="6400" s="65" customFormat="1"/>
    <row r="6401" s="65" customFormat="1"/>
    <row r="6402" s="65" customFormat="1"/>
    <row r="6403" s="65" customFormat="1"/>
    <row r="6404" s="65" customFormat="1"/>
    <row r="6405" s="65" customFormat="1"/>
    <row r="6406" s="65" customFormat="1"/>
    <row r="6407" s="65" customFormat="1"/>
    <row r="6408" s="65" customFormat="1"/>
    <row r="6409" s="65" customFormat="1"/>
    <row r="6410" s="65" customFormat="1"/>
    <row r="6411" s="65" customFormat="1"/>
    <row r="6412" s="65" customFormat="1"/>
    <row r="6413" s="65" customFormat="1"/>
    <row r="6414" s="65" customFormat="1"/>
    <row r="6415" s="65" customFormat="1"/>
    <row r="6416" s="65" customFormat="1"/>
    <row r="6417" s="65" customFormat="1"/>
    <row r="6418" s="65" customFormat="1"/>
    <row r="6419" s="65" customFormat="1"/>
    <row r="6420" s="65" customFormat="1"/>
    <row r="6421" s="65" customFormat="1"/>
    <row r="6422" s="65" customFormat="1"/>
    <row r="6423" s="65" customFormat="1"/>
    <row r="6424" s="65" customFormat="1"/>
    <row r="6425" s="65" customFormat="1"/>
    <row r="6426" s="65" customFormat="1"/>
    <row r="6427" s="65" customFormat="1"/>
    <row r="6428" s="65" customFormat="1"/>
    <row r="6429" s="65" customFormat="1"/>
    <row r="6430" s="65" customFormat="1"/>
    <row r="6431" s="65" customFormat="1"/>
    <row r="6432" s="65" customFormat="1"/>
    <row r="6433" s="65" customFormat="1"/>
    <row r="6434" s="65" customFormat="1"/>
    <row r="6435" s="65" customFormat="1"/>
    <row r="6436" s="65" customFormat="1"/>
    <row r="6437" s="65" customFormat="1"/>
    <row r="6438" s="65" customFormat="1"/>
    <row r="6439" s="65" customFormat="1"/>
    <row r="6440" s="65" customFormat="1"/>
    <row r="6441" s="65" customFormat="1"/>
    <row r="6442" s="65" customFormat="1"/>
    <row r="6443" s="65" customFormat="1"/>
    <row r="6444" s="65" customFormat="1"/>
    <row r="6445" s="65" customFormat="1"/>
    <row r="6446" s="65" customFormat="1"/>
    <row r="6447" s="65" customFormat="1"/>
    <row r="6448" s="65" customFormat="1"/>
    <row r="6449" s="65" customFormat="1"/>
    <row r="6450" s="65" customFormat="1"/>
    <row r="6451" s="65" customFormat="1"/>
    <row r="6452" s="65" customFormat="1"/>
    <row r="6453" s="65" customFormat="1"/>
    <row r="6454" s="65" customFormat="1"/>
    <row r="6455" s="65" customFormat="1"/>
    <row r="6456" s="65" customFormat="1"/>
    <row r="6457" s="65" customFormat="1"/>
    <row r="6458" s="65" customFormat="1"/>
    <row r="6459" s="65" customFormat="1"/>
    <row r="6460" s="65" customFormat="1"/>
    <row r="6461" s="65" customFormat="1"/>
    <row r="6462" s="65" customFormat="1"/>
    <row r="6463" s="65" customFormat="1"/>
    <row r="6464" s="65" customFormat="1"/>
    <row r="6465" s="65" customFormat="1"/>
    <row r="6466" s="65" customFormat="1"/>
    <row r="6467" s="65" customFormat="1"/>
    <row r="6468" s="65" customFormat="1"/>
    <row r="6469" s="65" customFormat="1"/>
    <row r="6470" s="65" customFormat="1"/>
    <row r="6471" s="65" customFormat="1"/>
    <row r="6472" s="65" customFormat="1"/>
    <row r="6473" s="65" customFormat="1"/>
    <row r="6474" s="65" customFormat="1"/>
    <row r="6475" s="65" customFormat="1"/>
    <row r="6476" s="65" customFormat="1"/>
    <row r="6477" s="65" customFormat="1"/>
    <row r="6478" s="65" customFormat="1"/>
    <row r="6479" s="65" customFormat="1"/>
    <row r="6480" s="65" customFormat="1"/>
    <row r="6481" s="65" customFormat="1"/>
    <row r="6482" s="65" customFormat="1"/>
    <row r="6483" s="65" customFormat="1"/>
    <row r="6484" s="65" customFormat="1"/>
    <row r="6485" s="65" customFormat="1"/>
    <row r="6486" s="65" customFormat="1"/>
    <row r="6487" s="65" customFormat="1"/>
    <row r="6488" s="65" customFormat="1"/>
    <row r="6489" s="65" customFormat="1"/>
    <row r="6490" s="65" customFormat="1"/>
    <row r="6491" s="65" customFormat="1"/>
    <row r="6492" s="65" customFormat="1"/>
    <row r="6493" s="65" customFormat="1"/>
    <row r="6494" s="65" customFormat="1"/>
    <row r="6495" s="65" customFormat="1"/>
    <row r="6496" s="65" customFormat="1"/>
    <row r="6497" s="65" customFormat="1"/>
    <row r="6498" s="65" customFormat="1"/>
    <row r="6499" s="65" customFormat="1"/>
    <row r="6500" s="65" customFormat="1"/>
    <row r="6501" s="65" customFormat="1"/>
    <row r="6502" s="65" customFormat="1"/>
    <row r="6503" s="65" customFormat="1"/>
    <row r="6504" s="65" customFormat="1"/>
    <row r="6505" s="65" customFormat="1"/>
    <row r="6506" s="65" customFormat="1"/>
    <row r="6507" s="65" customFormat="1"/>
    <row r="6508" s="65" customFormat="1"/>
    <row r="6509" s="65" customFormat="1"/>
    <row r="6510" s="65" customFormat="1"/>
    <row r="6511" s="65" customFormat="1"/>
    <row r="6512" s="65" customFormat="1"/>
    <row r="6513" s="65" customFormat="1"/>
    <row r="6514" s="65" customFormat="1"/>
    <row r="6515" s="65" customFormat="1"/>
    <row r="6516" s="65" customFormat="1"/>
    <row r="6517" s="65" customFormat="1"/>
    <row r="6518" s="65" customFormat="1"/>
    <row r="6519" s="65" customFormat="1"/>
    <row r="6520" s="65" customFormat="1"/>
    <row r="6521" s="65" customFormat="1"/>
    <row r="6522" s="65" customFormat="1"/>
    <row r="6523" s="65" customFormat="1"/>
    <row r="6524" s="65" customFormat="1"/>
    <row r="6525" s="65" customFormat="1"/>
    <row r="6526" s="65" customFormat="1"/>
    <row r="6527" s="65" customFormat="1"/>
    <row r="6528" s="65" customFormat="1"/>
    <row r="6529" s="65" customFormat="1"/>
    <row r="6530" s="65" customFormat="1"/>
    <row r="6531" s="65" customFormat="1"/>
    <row r="6532" s="65" customFormat="1"/>
    <row r="6533" s="65" customFormat="1"/>
    <row r="6534" s="65" customFormat="1"/>
    <row r="6535" s="65" customFormat="1"/>
    <row r="6536" s="65" customFormat="1"/>
    <row r="6537" s="65" customFormat="1"/>
    <row r="6538" s="65" customFormat="1"/>
    <row r="6539" s="65" customFormat="1"/>
    <row r="6540" s="65" customFormat="1"/>
    <row r="6541" s="65" customFormat="1"/>
    <row r="6542" s="65" customFormat="1"/>
    <row r="6543" s="65" customFormat="1"/>
    <row r="6544" s="65" customFormat="1"/>
    <row r="6545" s="65" customFormat="1"/>
    <row r="6546" s="65" customFormat="1"/>
    <row r="6547" s="65" customFormat="1"/>
    <row r="6548" s="65" customFormat="1"/>
    <row r="6549" s="65" customFormat="1"/>
    <row r="6550" s="65" customFormat="1"/>
    <row r="6551" s="65" customFormat="1"/>
    <row r="6552" s="65" customFormat="1"/>
    <row r="6553" s="65" customFormat="1"/>
    <row r="6554" s="65" customFormat="1"/>
    <row r="6555" s="65" customFormat="1"/>
    <row r="6556" s="65" customFormat="1"/>
    <row r="6557" s="65" customFormat="1"/>
    <row r="6558" s="65" customFormat="1"/>
    <row r="6559" s="65" customFormat="1"/>
    <row r="6560" s="65" customFormat="1"/>
    <row r="6561" s="65" customFormat="1"/>
    <row r="6562" s="65" customFormat="1"/>
    <row r="6563" s="65" customFormat="1"/>
    <row r="6564" s="65" customFormat="1"/>
    <row r="6565" s="65" customFormat="1"/>
    <row r="6566" s="65" customFormat="1"/>
    <row r="6567" s="65" customFormat="1"/>
    <row r="6568" s="65" customFormat="1"/>
    <row r="6569" s="65" customFormat="1"/>
    <row r="6570" s="65" customFormat="1"/>
    <row r="6571" s="65" customFormat="1"/>
    <row r="6572" s="65" customFormat="1"/>
    <row r="6573" s="65" customFormat="1"/>
    <row r="6574" s="65" customFormat="1"/>
    <row r="6575" s="65" customFormat="1"/>
    <row r="6576" s="65" customFormat="1"/>
    <row r="6577" s="65" customFormat="1"/>
    <row r="6578" s="65" customFormat="1"/>
    <row r="6579" s="65" customFormat="1"/>
    <row r="6580" s="65" customFormat="1"/>
    <row r="6581" s="65" customFormat="1"/>
    <row r="6582" s="65" customFormat="1"/>
    <row r="6583" s="65" customFormat="1"/>
    <row r="6584" s="65" customFormat="1"/>
    <row r="6585" s="65" customFormat="1"/>
    <row r="6586" s="65" customFormat="1"/>
    <row r="6587" s="65" customFormat="1"/>
    <row r="6588" s="65" customFormat="1"/>
    <row r="6589" s="65" customFormat="1"/>
    <row r="6590" s="65" customFormat="1"/>
    <row r="6591" s="65" customFormat="1"/>
    <row r="6592" s="65" customFormat="1"/>
    <row r="6593" s="65" customFormat="1"/>
    <row r="6594" s="65" customFormat="1"/>
    <row r="6595" s="65" customFormat="1"/>
    <row r="6596" s="65" customFormat="1"/>
    <row r="6597" s="65" customFormat="1"/>
    <row r="6598" s="65" customFormat="1"/>
    <row r="6599" s="65" customFormat="1"/>
    <row r="6600" s="65" customFormat="1"/>
    <row r="6601" s="65" customFormat="1"/>
    <row r="6602" s="65" customFormat="1"/>
    <row r="6603" s="65" customFormat="1"/>
    <row r="6604" s="65" customFormat="1"/>
    <row r="6605" s="65" customFormat="1"/>
    <row r="6606" s="65" customFormat="1"/>
    <row r="6607" s="65" customFormat="1"/>
    <row r="6608" s="65" customFormat="1"/>
    <row r="6609" s="65" customFormat="1"/>
    <row r="6610" s="65" customFormat="1"/>
    <row r="6611" s="65" customFormat="1"/>
    <row r="6612" s="65" customFormat="1"/>
    <row r="6613" s="65" customFormat="1"/>
    <row r="6614" s="65" customFormat="1"/>
    <row r="6615" s="65" customFormat="1"/>
    <row r="6616" s="65" customFormat="1"/>
    <row r="6617" s="65" customFormat="1"/>
    <row r="6618" s="65" customFormat="1"/>
    <row r="6619" s="65" customFormat="1"/>
    <row r="6620" s="65" customFormat="1"/>
    <row r="6621" s="65" customFormat="1"/>
    <row r="6622" s="65" customFormat="1"/>
    <row r="6623" s="65" customFormat="1"/>
    <row r="6624" s="65" customFormat="1"/>
    <row r="6625" s="65" customFormat="1"/>
    <row r="6626" s="65" customFormat="1"/>
    <row r="6627" s="65" customFormat="1"/>
    <row r="6628" s="65" customFormat="1"/>
    <row r="6629" s="65" customFormat="1"/>
    <row r="6630" s="65" customFormat="1"/>
    <row r="6631" s="65" customFormat="1"/>
    <row r="6632" s="65" customFormat="1"/>
    <row r="6633" s="65" customFormat="1"/>
    <row r="6634" s="65" customFormat="1"/>
    <row r="6635" s="65" customFormat="1"/>
    <row r="6636" s="65" customFormat="1"/>
    <row r="6637" s="65" customFormat="1"/>
    <row r="6638" s="65" customFormat="1"/>
    <row r="6639" s="65" customFormat="1"/>
    <row r="6640" s="65" customFormat="1"/>
    <row r="6641" s="65" customFormat="1"/>
    <row r="6642" s="65" customFormat="1"/>
    <row r="6643" s="65" customFormat="1"/>
    <row r="6644" s="65" customFormat="1"/>
    <row r="6645" s="65" customFormat="1"/>
    <row r="6646" s="65" customFormat="1"/>
    <row r="6647" s="65" customFormat="1"/>
    <row r="6648" s="65" customFormat="1"/>
    <row r="6649" s="65" customFormat="1"/>
    <row r="6650" s="65" customFormat="1"/>
    <row r="6651" s="65" customFormat="1"/>
    <row r="6652" s="65" customFormat="1"/>
    <row r="6653" s="65" customFormat="1"/>
    <row r="6654" s="65" customFormat="1"/>
    <row r="6655" s="65" customFormat="1"/>
    <row r="6656" s="65" customFormat="1"/>
    <row r="6657" s="65" customFormat="1"/>
    <row r="6658" s="65" customFormat="1"/>
    <row r="6659" s="65" customFormat="1"/>
    <row r="6660" s="65" customFormat="1"/>
    <row r="6661" s="65" customFormat="1"/>
    <row r="6662" s="65" customFormat="1"/>
    <row r="6663" s="65" customFormat="1"/>
    <row r="6664" s="65" customFormat="1"/>
    <row r="6665" s="65" customFormat="1"/>
    <row r="6666" s="65" customFormat="1"/>
    <row r="6667" s="65" customFormat="1"/>
    <row r="6668" s="65" customFormat="1"/>
    <row r="6669" s="65" customFormat="1"/>
    <row r="6670" s="65" customFormat="1"/>
    <row r="6671" s="65" customFormat="1"/>
    <row r="6672" s="65" customFormat="1"/>
    <row r="6673" s="65" customFormat="1"/>
    <row r="6674" s="65" customFormat="1"/>
    <row r="6675" s="65" customFormat="1"/>
    <row r="6676" s="65" customFormat="1"/>
    <row r="6677" s="65" customFormat="1"/>
    <row r="6678" s="65" customFormat="1"/>
    <row r="6679" s="65" customFormat="1"/>
    <row r="6680" s="65" customFormat="1"/>
    <row r="6681" s="65" customFormat="1"/>
    <row r="6682" s="65" customFormat="1"/>
    <row r="6683" s="65" customFormat="1"/>
    <row r="6684" s="65" customFormat="1"/>
    <row r="6685" s="65" customFormat="1"/>
    <row r="6686" s="65" customFormat="1"/>
    <row r="6687" s="65" customFormat="1"/>
    <row r="6688" s="65" customFormat="1"/>
    <row r="6689" s="65" customFormat="1"/>
    <row r="6690" s="65" customFormat="1"/>
    <row r="6691" s="65" customFormat="1"/>
    <row r="6692" s="65" customFormat="1"/>
    <row r="6693" s="65" customFormat="1"/>
    <row r="6694" s="65" customFormat="1"/>
    <row r="6695" s="65" customFormat="1"/>
    <row r="6696" s="65" customFormat="1"/>
    <row r="6697" s="65" customFormat="1"/>
    <row r="6698" s="65" customFormat="1"/>
    <row r="6699" s="65" customFormat="1"/>
    <row r="6700" s="65" customFormat="1"/>
    <row r="6701" s="65" customFormat="1"/>
    <row r="6702" s="65" customFormat="1"/>
    <row r="6703" s="65" customFormat="1"/>
    <row r="6704" s="65" customFormat="1"/>
    <row r="6705" s="65" customFormat="1"/>
    <row r="6706" s="65" customFormat="1"/>
    <row r="6707" s="65" customFormat="1"/>
    <row r="6708" s="65" customFormat="1"/>
    <row r="6709" s="65" customFormat="1"/>
    <row r="6710" s="65" customFormat="1"/>
    <row r="6711" s="65" customFormat="1"/>
    <row r="6712" s="65" customFormat="1"/>
    <row r="6713" s="65" customFormat="1"/>
    <row r="6714" s="65" customFormat="1"/>
    <row r="6715" s="65" customFormat="1"/>
    <row r="6716" s="65" customFormat="1"/>
    <row r="6717" s="65" customFormat="1"/>
    <row r="6718" s="65" customFormat="1"/>
    <row r="6719" s="65" customFormat="1"/>
    <row r="6720" s="65" customFormat="1"/>
    <row r="6721" s="65" customFormat="1"/>
    <row r="6722" s="65" customFormat="1"/>
    <row r="6723" s="65" customFormat="1"/>
    <row r="6724" s="65" customFormat="1"/>
    <row r="6725" s="65" customFormat="1"/>
    <row r="6726" s="65" customFormat="1"/>
    <row r="6727" s="65" customFormat="1"/>
    <row r="6728" s="65" customFormat="1"/>
    <row r="6729" s="65" customFormat="1"/>
    <row r="6730" s="65" customFormat="1"/>
    <row r="6731" s="65" customFormat="1"/>
    <row r="6732" s="65" customFormat="1"/>
    <row r="6733" s="65" customFormat="1"/>
    <row r="6734" s="65" customFormat="1"/>
    <row r="6735" s="65" customFormat="1"/>
    <row r="6736" s="65" customFormat="1"/>
    <row r="6737" s="65" customFormat="1"/>
    <row r="6738" s="65" customFormat="1"/>
    <row r="6739" s="65" customFormat="1"/>
    <row r="6740" s="65" customFormat="1"/>
    <row r="6741" s="65" customFormat="1"/>
    <row r="6742" s="65" customFormat="1"/>
    <row r="6743" s="65" customFormat="1"/>
    <row r="6744" s="65" customFormat="1"/>
    <row r="6745" s="65" customFormat="1"/>
    <row r="6746" s="65" customFormat="1"/>
    <row r="6747" s="65" customFormat="1"/>
    <row r="6748" s="65" customFormat="1"/>
    <row r="6749" s="65" customFormat="1"/>
    <row r="6750" s="65" customFormat="1"/>
    <row r="6751" s="65" customFormat="1"/>
    <row r="6752" s="65" customFormat="1"/>
    <row r="6753" s="65" customFormat="1"/>
    <row r="6754" s="65" customFormat="1"/>
    <row r="6755" s="65" customFormat="1"/>
    <row r="6756" s="65" customFormat="1"/>
    <row r="6757" s="65" customFormat="1"/>
    <row r="6758" s="65" customFormat="1"/>
    <row r="6759" s="65" customFormat="1"/>
    <row r="6760" s="65" customFormat="1"/>
    <row r="6761" s="65" customFormat="1"/>
    <row r="6762" s="65" customFormat="1"/>
    <row r="6763" s="65" customFormat="1"/>
    <row r="6764" s="65" customFormat="1"/>
    <row r="6765" s="65" customFormat="1"/>
    <row r="6766" s="65" customFormat="1"/>
    <row r="6767" s="65" customFormat="1"/>
    <row r="6768" s="65" customFormat="1"/>
    <row r="6769" s="65" customFormat="1"/>
    <row r="6770" s="65" customFormat="1"/>
    <row r="6771" s="65" customFormat="1"/>
    <row r="6772" s="65" customFormat="1"/>
    <row r="6773" s="65" customFormat="1"/>
    <row r="6774" s="65" customFormat="1"/>
    <row r="6775" s="65" customFormat="1"/>
    <row r="6776" s="65" customFormat="1"/>
    <row r="6777" s="65" customFormat="1"/>
    <row r="6778" s="65" customFormat="1"/>
    <row r="6779" s="65" customFormat="1"/>
    <row r="6780" s="65" customFormat="1"/>
    <row r="6781" s="65" customFormat="1"/>
    <row r="6782" s="65" customFormat="1"/>
    <row r="6783" s="65" customFormat="1"/>
    <row r="6784" s="65" customFormat="1"/>
    <row r="6785" s="65" customFormat="1"/>
    <row r="6786" s="65" customFormat="1"/>
    <row r="6787" s="65" customFormat="1"/>
    <row r="6788" s="65" customFormat="1"/>
    <row r="6789" s="65" customFormat="1"/>
    <row r="6790" s="65" customFormat="1"/>
    <row r="6791" s="65" customFormat="1"/>
    <row r="6792" s="65" customFormat="1"/>
    <row r="6793" s="65" customFormat="1"/>
    <row r="6794" s="65" customFormat="1"/>
    <row r="6795" s="65" customFormat="1"/>
    <row r="6796" s="65" customFormat="1"/>
    <row r="6797" s="65" customFormat="1"/>
    <row r="6798" s="65" customFormat="1"/>
    <row r="6799" s="65" customFormat="1"/>
    <row r="6800" s="65" customFormat="1"/>
    <row r="6801" s="65" customFormat="1"/>
    <row r="6802" s="65" customFormat="1"/>
    <row r="6803" s="65" customFormat="1"/>
    <row r="6804" s="65" customFormat="1"/>
    <row r="6805" s="65" customFormat="1"/>
    <row r="6806" s="65" customFormat="1"/>
    <row r="6807" s="65" customFormat="1"/>
    <row r="6808" s="65" customFormat="1"/>
    <row r="6809" s="65" customFormat="1"/>
    <row r="6810" s="65" customFormat="1"/>
    <row r="6811" s="65" customFormat="1"/>
    <row r="6812" s="65" customFormat="1"/>
    <row r="6813" s="65" customFormat="1"/>
    <row r="6814" s="65" customFormat="1"/>
    <row r="6815" s="65" customFormat="1"/>
    <row r="6816" s="65" customFormat="1"/>
    <row r="6817" s="65" customFormat="1"/>
    <row r="6818" s="65" customFormat="1"/>
    <row r="6819" s="65" customFormat="1"/>
    <row r="6820" s="65" customFormat="1"/>
    <row r="6821" s="65" customFormat="1"/>
    <row r="6822" s="65" customFormat="1"/>
    <row r="6823" s="65" customFormat="1"/>
    <row r="6824" s="65" customFormat="1"/>
    <row r="6825" s="65" customFormat="1"/>
    <row r="6826" s="65" customFormat="1"/>
    <row r="6827" s="65" customFormat="1"/>
    <row r="6828" s="65" customFormat="1"/>
    <row r="6829" s="65" customFormat="1"/>
    <row r="6830" s="65" customFormat="1"/>
    <row r="6831" s="65" customFormat="1"/>
    <row r="6832" s="65" customFormat="1"/>
    <row r="6833" s="65" customFormat="1"/>
    <row r="6834" s="65" customFormat="1"/>
    <row r="6835" s="65" customFormat="1"/>
    <row r="6836" s="65" customFormat="1"/>
    <row r="6837" s="65" customFormat="1"/>
    <row r="6838" s="65" customFormat="1"/>
    <row r="6839" s="65" customFormat="1"/>
    <row r="6840" s="65" customFormat="1"/>
    <row r="6841" s="65" customFormat="1"/>
    <row r="6842" s="65" customFormat="1"/>
    <row r="6843" s="65" customFormat="1"/>
    <row r="6844" s="65" customFormat="1"/>
    <row r="6845" s="65" customFormat="1"/>
    <row r="6846" s="65" customFormat="1"/>
    <row r="6847" s="65" customFormat="1"/>
    <row r="6848" s="65" customFormat="1"/>
    <row r="6849" s="65" customFormat="1"/>
    <row r="6850" s="65" customFormat="1"/>
    <row r="6851" s="65" customFormat="1"/>
    <row r="6852" s="65" customFormat="1"/>
    <row r="6853" s="65" customFormat="1"/>
    <row r="6854" s="65" customFormat="1"/>
    <row r="6855" s="65" customFormat="1"/>
    <row r="6856" s="65" customFormat="1"/>
    <row r="6857" s="65" customFormat="1"/>
    <row r="6858" s="65" customFormat="1"/>
    <row r="6859" s="65" customFormat="1"/>
    <row r="6860" s="65" customFormat="1"/>
    <row r="6861" s="65" customFormat="1"/>
    <row r="6862" s="65" customFormat="1"/>
    <row r="6863" s="65" customFormat="1"/>
    <row r="6864" s="65" customFormat="1"/>
    <row r="6865" s="65" customFormat="1"/>
    <row r="6866" s="65" customFormat="1"/>
    <row r="6867" s="65" customFormat="1"/>
    <row r="6868" s="65" customFormat="1"/>
    <row r="6869" s="65" customFormat="1"/>
    <row r="6870" s="65" customFormat="1"/>
    <row r="6871" s="65" customFormat="1"/>
    <row r="6872" s="65" customFormat="1"/>
    <row r="6873" s="65" customFormat="1"/>
    <row r="6874" s="65" customFormat="1"/>
    <row r="6875" s="65" customFormat="1"/>
    <row r="6876" s="65" customFormat="1"/>
    <row r="6877" s="65" customFormat="1"/>
    <row r="6878" s="65" customFormat="1"/>
    <row r="6879" s="65" customFormat="1"/>
    <row r="6880" s="65" customFormat="1"/>
    <row r="6881" s="65" customFormat="1"/>
    <row r="6882" s="65" customFormat="1"/>
    <row r="6883" s="65" customFormat="1"/>
    <row r="6884" s="65" customFormat="1"/>
    <row r="6885" s="65" customFormat="1"/>
    <row r="6886" s="65" customFormat="1"/>
    <row r="6887" s="65" customFormat="1"/>
    <row r="6888" s="65" customFormat="1"/>
    <row r="6889" s="65" customFormat="1"/>
    <row r="6890" s="65" customFormat="1"/>
    <row r="6891" s="65" customFormat="1"/>
    <row r="6892" s="65" customFormat="1"/>
    <row r="6893" s="65" customFormat="1"/>
    <row r="6894" s="65" customFormat="1"/>
    <row r="6895" s="65" customFormat="1"/>
    <row r="6896" s="65" customFormat="1"/>
    <row r="6897" s="65" customFormat="1"/>
    <row r="6898" s="65" customFormat="1"/>
    <row r="6899" s="65" customFormat="1"/>
    <row r="6900" s="65" customFormat="1"/>
    <row r="6901" s="65" customFormat="1"/>
    <row r="6902" s="65" customFormat="1"/>
    <row r="6903" s="65" customFormat="1"/>
    <row r="6904" s="65" customFormat="1"/>
    <row r="6905" s="65" customFormat="1"/>
    <row r="6906" s="65" customFormat="1"/>
    <row r="6907" s="65" customFormat="1"/>
    <row r="6908" s="65" customFormat="1"/>
    <row r="6909" s="65" customFormat="1"/>
    <row r="6910" s="65" customFormat="1"/>
    <row r="6911" s="65" customFormat="1"/>
    <row r="6912" s="65" customFormat="1"/>
    <row r="6913" s="65" customFormat="1"/>
    <row r="6914" s="65" customFormat="1"/>
    <row r="6915" s="65" customFormat="1"/>
    <row r="6916" s="65" customFormat="1"/>
    <row r="6917" s="65" customFormat="1"/>
    <row r="6918" s="65" customFormat="1"/>
    <row r="6919" s="65" customFormat="1"/>
    <row r="6920" s="65" customFormat="1"/>
    <row r="6921" s="65" customFormat="1"/>
    <row r="6922" s="65" customFormat="1"/>
    <row r="6923" s="65" customFormat="1"/>
    <row r="6924" s="65" customFormat="1"/>
    <row r="6925" s="65" customFormat="1"/>
    <row r="6926" s="65" customFormat="1"/>
    <row r="6927" s="65" customFormat="1"/>
    <row r="6928" s="65" customFormat="1"/>
    <row r="6929" s="65" customFormat="1"/>
    <row r="6930" s="65" customFormat="1"/>
    <row r="6931" s="65" customFormat="1"/>
    <row r="6932" s="65" customFormat="1"/>
    <row r="6933" s="65" customFormat="1"/>
    <row r="6934" s="65" customFormat="1"/>
    <row r="6935" s="65" customFormat="1"/>
    <row r="6936" s="65" customFormat="1"/>
    <row r="6937" s="65" customFormat="1"/>
    <row r="6938" s="65" customFormat="1"/>
    <row r="6939" s="65" customFormat="1"/>
    <row r="6940" s="65" customFormat="1"/>
    <row r="6941" s="65" customFormat="1"/>
    <row r="6942" s="65" customFormat="1"/>
    <row r="6943" s="65" customFormat="1"/>
    <row r="6944" s="65" customFormat="1"/>
    <row r="6945" s="65" customFormat="1"/>
    <row r="6946" s="65" customFormat="1"/>
    <row r="6947" s="65" customFormat="1"/>
    <row r="6948" s="65" customFormat="1"/>
    <row r="6949" s="65" customFormat="1"/>
    <row r="6950" s="65" customFormat="1"/>
    <row r="6951" s="65" customFormat="1"/>
    <row r="6952" s="65" customFormat="1"/>
    <row r="6953" s="65" customFormat="1"/>
    <row r="6954" s="65" customFormat="1"/>
    <row r="6955" s="65" customFormat="1"/>
    <row r="6956" s="65" customFormat="1"/>
    <row r="6957" s="65" customFormat="1"/>
    <row r="6958" s="65" customFormat="1"/>
    <row r="6959" s="65" customFormat="1"/>
    <row r="6960" s="65" customFormat="1"/>
    <row r="6961" s="65" customFormat="1"/>
    <row r="6962" s="65" customFormat="1"/>
    <row r="6963" s="65" customFormat="1"/>
    <row r="6964" s="65" customFormat="1"/>
    <row r="6965" s="65" customFormat="1"/>
    <row r="6966" s="65" customFormat="1"/>
    <row r="6967" s="65" customFormat="1"/>
    <row r="6968" s="65" customFormat="1"/>
    <row r="6969" s="65" customFormat="1"/>
    <row r="6970" s="65" customFormat="1"/>
    <row r="6971" s="65" customFormat="1"/>
    <row r="6972" s="65" customFormat="1"/>
    <row r="6973" s="65" customFormat="1"/>
    <row r="6974" s="65" customFormat="1"/>
    <row r="6975" s="65" customFormat="1"/>
    <row r="6976" s="65" customFormat="1"/>
    <row r="6977" s="65" customFormat="1"/>
    <row r="6978" s="65" customFormat="1"/>
    <row r="6979" s="65" customFormat="1"/>
    <row r="6980" s="65" customFormat="1"/>
    <row r="6981" s="65" customFormat="1"/>
    <row r="6982" s="65" customFormat="1"/>
    <row r="6983" s="65" customFormat="1"/>
    <row r="6984" s="65" customFormat="1"/>
    <row r="6985" s="65" customFormat="1"/>
    <row r="6986" s="65" customFormat="1"/>
    <row r="6987" s="65" customFormat="1"/>
    <row r="6988" s="65" customFormat="1"/>
    <row r="6989" s="65" customFormat="1"/>
    <row r="6990" s="65" customFormat="1"/>
    <row r="6991" s="65" customFormat="1"/>
    <row r="6992" s="65" customFormat="1"/>
    <row r="6993" s="65" customFormat="1"/>
    <row r="6994" s="65" customFormat="1"/>
    <row r="6995" s="65" customFormat="1"/>
    <row r="6996" s="65" customFormat="1"/>
    <row r="6997" s="65" customFormat="1"/>
    <row r="6998" s="65" customFormat="1"/>
    <row r="6999" s="65" customFormat="1"/>
    <row r="7000" s="65" customFormat="1"/>
    <row r="7001" s="65" customFormat="1"/>
    <row r="7002" s="65" customFormat="1"/>
    <row r="7003" s="65" customFormat="1"/>
    <row r="7004" s="65" customFormat="1"/>
    <row r="7005" s="65" customFormat="1"/>
    <row r="7006" s="65" customFormat="1"/>
    <row r="7007" s="65" customFormat="1"/>
    <row r="7008" s="65" customFormat="1"/>
    <row r="7009" s="65" customFormat="1"/>
    <row r="7010" s="65" customFormat="1"/>
    <row r="7011" s="65" customFormat="1"/>
    <row r="7012" s="65" customFormat="1"/>
    <row r="7013" s="65" customFormat="1"/>
    <row r="7014" s="65" customFormat="1"/>
    <row r="7015" s="65" customFormat="1"/>
    <row r="7016" s="65" customFormat="1"/>
    <row r="7017" s="65" customFormat="1"/>
    <row r="7018" s="65" customFormat="1"/>
    <row r="7019" s="65" customFormat="1"/>
    <row r="7020" s="65" customFormat="1"/>
    <row r="7021" s="65" customFormat="1"/>
    <row r="7022" s="65" customFormat="1"/>
    <row r="7023" s="65" customFormat="1"/>
    <row r="7024" s="65" customFormat="1"/>
    <row r="7025" s="65" customFormat="1"/>
    <row r="7026" s="65" customFormat="1"/>
    <row r="7027" s="65" customFormat="1"/>
    <row r="7028" s="65" customFormat="1"/>
    <row r="7029" s="65" customFormat="1"/>
    <row r="7030" s="65" customFormat="1"/>
    <row r="7031" s="65" customFormat="1"/>
    <row r="7032" s="65" customFormat="1"/>
    <row r="7033" s="65" customFormat="1"/>
    <row r="7034" s="65" customFormat="1"/>
    <row r="7035" s="65" customFormat="1"/>
    <row r="7036" s="65" customFormat="1"/>
    <row r="7037" s="65" customFormat="1"/>
    <row r="7038" s="65" customFormat="1"/>
    <row r="7039" s="65" customFormat="1"/>
    <row r="7040" s="65" customFormat="1"/>
    <row r="7041" s="65" customFormat="1"/>
    <row r="7042" s="65" customFormat="1"/>
    <row r="7043" s="65" customFormat="1"/>
    <row r="7044" s="65" customFormat="1"/>
    <row r="7045" s="65" customFormat="1"/>
    <row r="7046" s="65" customFormat="1"/>
    <row r="7047" s="65" customFormat="1"/>
    <row r="7048" s="65" customFormat="1"/>
    <row r="7049" s="65" customFormat="1"/>
    <row r="7050" s="65" customFormat="1"/>
    <row r="7051" s="65" customFormat="1"/>
    <row r="7052" s="65" customFormat="1"/>
    <row r="7053" s="65" customFormat="1"/>
    <row r="7054" s="65" customFormat="1"/>
    <row r="7055" s="65" customFormat="1"/>
    <row r="7056" s="65" customFormat="1"/>
    <row r="7057" s="65" customFormat="1"/>
    <row r="7058" s="65" customFormat="1"/>
    <row r="7059" s="65" customFormat="1"/>
    <row r="7060" s="65" customFormat="1"/>
    <row r="7061" s="65" customFormat="1"/>
    <row r="7062" s="65" customFormat="1"/>
    <row r="7063" s="65" customFormat="1"/>
    <row r="7064" s="65" customFormat="1"/>
    <row r="7065" s="65" customFormat="1"/>
    <row r="7066" s="65" customFormat="1"/>
    <row r="7067" s="65" customFormat="1"/>
    <row r="7068" s="65" customFormat="1"/>
    <row r="7069" s="65" customFormat="1"/>
    <row r="7070" s="65" customFormat="1"/>
    <row r="7071" s="65" customFormat="1"/>
    <row r="7072" s="65" customFormat="1"/>
    <row r="7073" s="65" customFormat="1"/>
    <row r="7074" s="65" customFormat="1"/>
    <row r="7075" s="65" customFormat="1"/>
    <row r="7076" s="65" customFormat="1"/>
    <row r="7077" s="65" customFormat="1"/>
    <row r="7078" s="65" customFormat="1"/>
    <row r="7079" s="65" customFormat="1"/>
    <row r="7080" s="65" customFormat="1"/>
    <row r="7081" s="65" customFormat="1"/>
    <row r="7082" s="65" customFormat="1"/>
    <row r="7083" s="65" customFormat="1"/>
    <row r="7084" s="65" customFormat="1"/>
    <row r="7085" s="65" customFormat="1"/>
    <row r="7086" s="65" customFormat="1"/>
    <row r="7087" s="65" customFormat="1"/>
    <row r="7088" s="65" customFormat="1"/>
    <row r="7089" s="65" customFormat="1"/>
    <row r="7090" s="65" customFormat="1"/>
    <row r="7091" s="65" customFormat="1"/>
    <row r="7092" s="65" customFormat="1"/>
    <row r="7093" s="65" customFormat="1"/>
    <row r="7094" s="65" customFormat="1"/>
    <row r="7095" s="65" customFormat="1"/>
    <row r="7096" s="65" customFormat="1"/>
    <row r="7097" s="65" customFormat="1"/>
    <row r="7098" s="65" customFormat="1"/>
    <row r="7099" s="65" customFormat="1"/>
    <row r="7100" s="65" customFormat="1"/>
    <row r="7101" s="65" customFormat="1"/>
    <row r="7102" s="65" customFormat="1"/>
    <row r="7103" s="65" customFormat="1"/>
    <row r="7104" s="65" customFormat="1"/>
    <row r="7105" s="65" customFormat="1"/>
    <row r="7106" s="65" customFormat="1"/>
    <row r="7107" s="65" customFormat="1"/>
    <row r="7108" s="65" customFormat="1"/>
    <row r="7109" s="65" customFormat="1"/>
    <row r="7110" s="65" customFormat="1"/>
    <row r="7111" s="65" customFormat="1"/>
    <row r="7112" s="65" customFormat="1"/>
    <row r="7113" s="65" customFormat="1"/>
    <row r="7114" s="65" customFormat="1"/>
    <row r="7115" s="65" customFormat="1"/>
    <row r="7116" s="65" customFormat="1"/>
    <row r="7117" s="65" customFormat="1"/>
    <row r="7118" s="65" customFormat="1"/>
    <row r="7119" s="65" customFormat="1"/>
    <row r="7120" s="65" customFormat="1"/>
    <row r="7121" s="65" customFormat="1"/>
    <row r="7122" s="65" customFormat="1"/>
    <row r="7123" s="65" customFormat="1"/>
    <row r="7124" s="65" customFormat="1"/>
    <row r="7125" s="65" customFormat="1"/>
    <row r="7126" s="65" customFormat="1"/>
    <row r="7127" s="65" customFormat="1"/>
    <row r="7128" s="65" customFormat="1"/>
    <row r="7129" s="65" customFormat="1"/>
    <row r="7130" s="65" customFormat="1"/>
    <row r="7131" s="65" customFormat="1"/>
    <row r="7132" s="65" customFormat="1"/>
    <row r="7133" s="65" customFormat="1"/>
    <row r="7134" s="65" customFormat="1"/>
    <row r="7135" s="65" customFormat="1"/>
    <row r="7136" s="65" customFormat="1"/>
    <row r="7137" s="65" customFormat="1"/>
    <row r="7138" s="65" customFormat="1"/>
    <row r="7139" s="65" customFormat="1"/>
    <row r="7140" s="65" customFormat="1"/>
    <row r="7141" s="65" customFormat="1"/>
    <row r="7142" s="65" customFormat="1"/>
    <row r="7143" s="65" customFormat="1"/>
    <row r="7144" s="65" customFormat="1"/>
    <row r="7145" s="65" customFormat="1"/>
    <row r="7146" s="65" customFormat="1"/>
    <row r="7147" s="65" customFormat="1"/>
    <row r="7148" s="65" customFormat="1"/>
    <row r="7149" s="65" customFormat="1"/>
    <row r="7150" s="65" customFormat="1"/>
    <row r="7151" s="65" customFormat="1"/>
    <row r="7152" s="65" customFormat="1"/>
    <row r="7153" s="65" customFormat="1"/>
    <row r="7154" s="65" customFormat="1"/>
    <row r="7155" s="65" customFormat="1"/>
    <row r="7156" s="65" customFormat="1"/>
    <row r="7157" s="65" customFormat="1"/>
    <row r="7158" s="65" customFormat="1"/>
    <row r="7159" s="65" customFormat="1"/>
    <row r="7160" s="65" customFormat="1"/>
    <row r="7161" s="65" customFormat="1"/>
    <row r="7162" s="65" customFormat="1"/>
    <row r="7163" s="65" customFormat="1"/>
    <row r="7164" s="65" customFormat="1"/>
    <row r="7165" s="65" customFormat="1"/>
    <row r="7166" s="65" customFormat="1"/>
    <row r="7167" s="65" customFormat="1"/>
    <row r="7168" s="65" customFormat="1"/>
    <row r="7169" s="65" customFormat="1"/>
    <row r="7170" s="65" customFormat="1"/>
    <row r="7171" s="65" customFormat="1"/>
    <row r="7172" s="65" customFormat="1"/>
    <row r="7173" s="65" customFormat="1"/>
    <row r="7174" s="65" customFormat="1"/>
    <row r="7175" s="65" customFormat="1"/>
    <row r="7176" s="65" customFormat="1"/>
    <row r="7177" s="65" customFormat="1"/>
    <row r="7178" s="65" customFormat="1"/>
    <row r="7179" s="65" customFormat="1"/>
    <row r="7180" s="65" customFormat="1"/>
    <row r="7181" s="65" customFormat="1"/>
    <row r="7182" s="65" customFormat="1"/>
    <row r="7183" s="65" customFormat="1"/>
    <row r="7184" s="65" customFormat="1"/>
    <row r="7185" s="65" customFormat="1"/>
    <row r="7186" s="65" customFormat="1"/>
    <row r="7187" s="65" customFormat="1"/>
    <row r="7188" s="65" customFormat="1"/>
    <row r="7189" s="65" customFormat="1"/>
    <row r="7190" s="65" customFormat="1"/>
    <row r="7191" s="65" customFormat="1"/>
    <row r="7192" s="65" customFormat="1"/>
    <row r="7193" s="65" customFormat="1"/>
    <row r="7194" s="65" customFormat="1"/>
    <row r="7195" s="65" customFormat="1"/>
    <row r="7196" s="65" customFormat="1"/>
    <row r="7197" s="65" customFormat="1"/>
    <row r="7198" s="65" customFormat="1"/>
    <row r="7199" s="65" customFormat="1"/>
    <row r="7200" s="65" customFormat="1"/>
    <row r="7201" s="65" customFormat="1"/>
    <row r="7202" s="65" customFormat="1"/>
    <row r="7203" s="65" customFormat="1"/>
    <row r="7204" s="65" customFormat="1"/>
    <row r="7205" s="65" customFormat="1"/>
    <row r="7206" s="65" customFormat="1"/>
    <row r="7207" s="65" customFormat="1"/>
    <row r="7208" s="65" customFormat="1"/>
    <row r="7209" s="65" customFormat="1"/>
    <row r="7210" s="65" customFormat="1"/>
    <row r="7211" s="65" customFormat="1"/>
    <row r="7212" s="65" customFormat="1"/>
    <row r="7213" s="65" customFormat="1"/>
    <row r="7214" s="65" customFormat="1"/>
    <row r="7215" s="65" customFormat="1"/>
    <row r="7216" s="65" customFormat="1"/>
    <row r="7217" s="65" customFormat="1"/>
    <row r="7218" s="65" customFormat="1"/>
    <row r="7219" s="65" customFormat="1"/>
    <row r="7220" s="65" customFormat="1"/>
    <row r="7221" s="65" customFormat="1"/>
    <row r="7222" s="65" customFormat="1"/>
    <row r="7223" s="65" customFormat="1"/>
    <row r="7224" s="65" customFormat="1"/>
    <row r="7225" s="65" customFormat="1"/>
    <row r="7226" s="65" customFormat="1"/>
    <row r="7227" s="65" customFormat="1"/>
    <row r="7228" s="65" customFormat="1"/>
    <row r="7229" s="65" customFormat="1"/>
    <row r="7230" s="65" customFormat="1"/>
    <row r="7231" s="65" customFormat="1"/>
    <row r="7232" s="65" customFormat="1"/>
    <row r="7233" s="65" customFormat="1"/>
    <row r="7234" s="65" customFormat="1"/>
    <row r="7235" s="65" customFormat="1"/>
    <row r="7236" s="65" customFormat="1"/>
    <row r="7237" s="65" customFormat="1"/>
    <row r="7238" s="65" customFormat="1"/>
    <row r="7239" s="65" customFormat="1"/>
    <row r="7240" s="65" customFormat="1"/>
    <row r="7241" s="65" customFormat="1"/>
    <row r="7242" s="65" customFormat="1"/>
    <row r="7243" s="65" customFormat="1"/>
    <row r="7244" s="65" customFormat="1"/>
    <row r="7245" s="65" customFormat="1"/>
    <row r="7246" s="65" customFormat="1"/>
    <row r="7247" s="65" customFormat="1"/>
    <row r="7248" s="65" customFormat="1"/>
    <row r="7249" s="65" customFormat="1"/>
    <row r="7250" s="65" customFormat="1"/>
    <row r="7251" s="65" customFormat="1"/>
    <row r="7252" s="65" customFormat="1"/>
    <row r="7253" s="65" customFormat="1"/>
    <row r="7254" s="65" customFormat="1"/>
    <row r="7255" s="65" customFormat="1"/>
    <row r="7256" s="65" customFormat="1"/>
    <row r="7257" s="65" customFormat="1"/>
    <row r="7258" s="65" customFormat="1"/>
    <row r="7259" s="65" customFormat="1"/>
    <row r="7260" s="65" customFormat="1"/>
    <row r="7261" s="65" customFormat="1"/>
    <row r="7262" s="65" customFormat="1"/>
    <row r="7263" s="65" customFormat="1"/>
    <row r="7264" s="65" customFormat="1"/>
    <row r="7265" s="65" customFormat="1"/>
    <row r="7266" s="65" customFormat="1"/>
    <row r="7267" s="65" customFormat="1"/>
    <row r="7268" s="65" customFormat="1"/>
    <row r="7269" s="65" customFormat="1"/>
    <row r="7270" s="65" customFormat="1"/>
    <row r="7271" s="65" customFormat="1"/>
    <row r="7272" s="65" customFormat="1"/>
    <row r="7273" s="65" customFormat="1"/>
    <row r="7274" s="65" customFormat="1"/>
    <row r="7275" s="65" customFormat="1"/>
    <row r="7276" s="65" customFormat="1"/>
    <row r="7277" s="65" customFormat="1"/>
    <row r="7278" s="65" customFormat="1"/>
    <row r="7279" s="65" customFormat="1"/>
    <row r="7280" s="65" customFormat="1"/>
    <row r="7281" s="65" customFormat="1"/>
    <row r="7282" s="65" customFormat="1"/>
    <row r="7283" s="65" customFormat="1"/>
    <row r="7284" s="65" customFormat="1"/>
    <row r="7285" s="65" customFormat="1"/>
    <row r="7286" s="65" customFormat="1"/>
    <row r="7287" s="65" customFormat="1"/>
    <row r="7288" s="65" customFormat="1"/>
    <row r="7289" s="65" customFormat="1"/>
    <row r="7290" s="65" customFormat="1"/>
    <row r="7291" s="65" customFormat="1"/>
    <row r="7292" s="65" customFormat="1"/>
    <row r="7293" s="65" customFormat="1"/>
    <row r="7294" s="65" customFormat="1"/>
    <row r="7295" s="65" customFormat="1"/>
    <row r="7296" s="65" customFormat="1"/>
    <row r="7297" s="65" customFormat="1"/>
    <row r="7298" s="65" customFormat="1"/>
    <row r="7299" s="65" customFormat="1"/>
    <row r="7300" s="65" customFormat="1"/>
    <row r="7301" s="65" customFormat="1"/>
    <row r="7302" s="65" customFormat="1"/>
    <row r="7303" s="65" customFormat="1"/>
    <row r="7304" s="65" customFormat="1"/>
    <row r="7305" s="65" customFormat="1"/>
    <row r="7306" s="65" customFormat="1"/>
    <row r="7307" s="65" customFormat="1"/>
    <row r="7308" s="65" customFormat="1"/>
    <row r="7309" s="65" customFormat="1"/>
    <row r="7310" s="65" customFormat="1"/>
    <row r="7311" s="65" customFormat="1"/>
    <row r="7312" s="65" customFormat="1"/>
    <row r="7313" s="65" customFormat="1"/>
    <row r="7314" s="65" customFormat="1"/>
    <row r="7315" s="65" customFormat="1"/>
    <row r="7316" s="65" customFormat="1"/>
    <row r="7317" s="65" customFormat="1"/>
    <row r="7318" s="65" customFormat="1"/>
    <row r="7319" s="65" customFormat="1"/>
    <row r="7320" s="65" customFormat="1"/>
    <row r="7321" s="65" customFormat="1"/>
    <row r="7322" s="65" customFormat="1"/>
    <row r="7323" s="65" customFormat="1"/>
    <row r="7324" s="65" customFormat="1"/>
    <row r="7325" s="65" customFormat="1"/>
    <row r="7326" s="65" customFormat="1"/>
    <row r="7327" s="65" customFormat="1"/>
    <row r="7328" s="65" customFormat="1"/>
    <row r="7329" s="65" customFormat="1"/>
    <row r="7330" s="65" customFormat="1"/>
    <row r="7331" s="65" customFormat="1"/>
    <row r="7332" s="65" customFormat="1"/>
    <row r="7333" s="65" customFormat="1"/>
    <row r="7334" s="65" customFormat="1"/>
    <row r="7335" s="65" customFormat="1"/>
    <row r="7336" s="65" customFormat="1"/>
    <row r="7337" s="65" customFormat="1"/>
    <row r="7338" s="65" customFormat="1"/>
    <row r="7339" s="65" customFormat="1"/>
    <row r="7340" s="65" customFormat="1"/>
    <row r="7341" s="65" customFormat="1"/>
    <row r="7342" s="65" customFormat="1"/>
    <row r="7343" s="65" customFormat="1"/>
    <row r="7344" s="65" customFormat="1"/>
    <row r="7345" s="65" customFormat="1"/>
    <row r="7346" s="65" customFormat="1"/>
    <row r="7347" s="65" customFormat="1"/>
    <row r="7348" s="65" customFormat="1"/>
    <row r="7349" s="65" customFormat="1"/>
    <row r="7350" s="65" customFormat="1"/>
    <row r="7351" s="65" customFormat="1"/>
    <row r="7352" s="65" customFormat="1"/>
    <row r="7353" s="65" customFormat="1"/>
    <row r="7354" s="65" customFormat="1"/>
    <row r="7355" s="65" customFormat="1"/>
    <row r="7356" s="65" customFormat="1"/>
    <row r="7357" s="65" customFormat="1"/>
    <row r="7358" s="65" customFormat="1"/>
    <row r="7359" s="65" customFormat="1"/>
    <row r="7360" s="65" customFormat="1"/>
    <row r="7361" s="65" customFormat="1"/>
    <row r="7362" s="65" customFormat="1"/>
    <row r="7363" s="65" customFormat="1"/>
    <row r="7364" s="65" customFormat="1"/>
    <row r="7365" s="65" customFormat="1"/>
    <row r="7366" s="65" customFormat="1"/>
    <row r="7367" s="65" customFormat="1"/>
    <row r="7368" s="65" customFormat="1"/>
    <row r="7369" s="65" customFormat="1"/>
    <row r="7370" s="65" customFormat="1"/>
    <row r="7371" s="65" customFormat="1"/>
    <row r="7372" s="65" customFormat="1"/>
    <row r="7373" s="65" customFormat="1"/>
    <row r="7374" s="65" customFormat="1"/>
    <row r="7375" s="65" customFormat="1"/>
    <row r="7376" s="65" customFormat="1"/>
    <row r="7377" s="65" customFormat="1"/>
    <row r="7378" s="65" customFormat="1"/>
    <row r="7379" s="65" customFormat="1"/>
    <row r="7380" s="65" customFormat="1"/>
    <row r="7381" s="65" customFormat="1"/>
    <row r="7382" s="65" customFormat="1"/>
    <row r="7383" s="65" customFormat="1"/>
    <row r="7384" s="65" customFormat="1"/>
    <row r="7385" s="65" customFormat="1"/>
    <row r="7386" s="65" customFormat="1"/>
    <row r="7387" s="65" customFormat="1"/>
    <row r="7388" s="65" customFormat="1"/>
    <row r="7389" s="65" customFormat="1"/>
    <row r="7390" s="65" customFormat="1"/>
    <row r="7391" s="65" customFormat="1"/>
    <row r="7392" s="65" customFormat="1"/>
    <row r="7393" s="65" customFormat="1"/>
    <row r="7394" s="65" customFormat="1"/>
    <row r="7395" s="65" customFormat="1"/>
    <row r="7396" s="65" customFormat="1"/>
    <row r="7397" s="65" customFormat="1"/>
    <row r="7398" s="65" customFormat="1"/>
    <row r="7399" s="65" customFormat="1"/>
    <row r="7400" s="65" customFormat="1"/>
    <row r="7401" s="65" customFormat="1"/>
    <row r="7402" s="65" customFormat="1"/>
    <row r="7403" s="65" customFormat="1"/>
    <row r="7404" s="65" customFormat="1"/>
    <row r="7405" s="65" customFormat="1"/>
    <row r="7406" s="65" customFormat="1"/>
    <row r="7407" s="65" customFormat="1"/>
    <row r="7408" s="65" customFormat="1"/>
    <row r="7409" s="65" customFormat="1"/>
    <row r="7410" s="65" customFormat="1"/>
    <row r="7411" s="65" customFormat="1"/>
    <row r="7412" s="65" customFormat="1"/>
    <row r="7413" s="65" customFormat="1"/>
    <row r="7414" s="65" customFormat="1"/>
    <row r="7415" s="65" customFormat="1"/>
    <row r="7416" s="65" customFormat="1"/>
    <row r="7417" s="65" customFormat="1"/>
    <row r="7418" s="65" customFormat="1"/>
    <row r="7419" s="65" customFormat="1"/>
    <row r="7420" s="65" customFormat="1"/>
    <row r="7421" s="65" customFormat="1"/>
    <row r="7422" s="65" customFormat="1"/>
    <row r="7423" s="65" customFormat="1"/>
    <row r="7424" s="65" customFormat="1"/>
    <row r="7425" s="65" customFormat="1"/>
    <row r="7426" s="65" customFormat="1"/>
    <row r="7427" s="65" customFormat="1"/>
    <row r="7428" s="65" customFormat="1"/>
    <row r="7429" s="65" customFormat="1"/>
    <row r="7430" s="65" customFormat="1"/>
    <row r="7431" s="65" customFormat="1"/>
    <row r="7432" s="65" customFormat="1"/>
    <row r="7433" s="65" customFormat="1"/>
    <row r="7434" s="65" customFormat="1"/>
    <row r="7435" s="65" customFormat="1"/>
    <row r="7436" s="65" customFormat="1"/>
    <row r="7437" s="65" customFormat="1"/>
    <row r="7438" s="65" customFormat="1"/>
    <row r="7439" s="65" customFormat="1"/>
    <row r="7440" s="65" customFormat="1"/>
    <row r="7441" s="65" customFormat="1"/>
    <row r="7442" s="65" customFormat="1"/>
    <row r="7443" s="65" customFormat="1"/>
    <row r="7444" s="65" customFormat="1"/>
    <row r="7445" s="65" customFormat="1"/>
    <row r="7446" s="65" customFormat="1"/>
    <row r="7447" s="65" customFormat="1"/>
    <row r="7448" s="65" customFormat="1"/>
    <row r="7449" s="65" customFormat="1"/>
    <row r="7450" s="65" customFormat="1"/>
    <row r="7451" s="65" customFormat="1"/>
    <row r="7452" s="65" customFormat="1"/>
    <row r="7453" s="65" customFormat="1"/>
    <row r="7454" s="65" customFormat="1"/>
    <row r="7455" s="65" customFormat="1"/>
    <row r="7456" s="65" customFormat="1"/>
    <row r="7457" s="65" customFormat="1"/>
    <row r="7458" s="65" customFormat="1"/>
    <row r="7459" s="65" customFormat="1"/>
    <row r="7460" s="65" customFormat="1"/>
    <row r="7461" s="65" customFormat="1"/>
    <row r="7462" s="65" customFormat="1"/>
    <row r="7463" s="65" customFormat="1"/>
    <row r="7464" s="65" customFormat="1"/>
    <row r="7465" s="65" customFormat="1"/>
    <row r="7466" s="65" customFormat="1"/>
    <row r="7467" s="65" customFormat="1"/>
    <row r="7468" s="65" customFormat="1"/>
    <row r="7469" s="65" customFormat="1"/>
    <row r="7470" s="65" customFormat="1"/>
    <row r="7471" s="65" customFormat="1"/>
    <row r="7472" s="65" customFormat="1"/>
    <row r="7473" s="65" customFormat="1"/>
    <row r="7474" s="65" customFormat="1"/>
    <row r="7475" s="65" customFormat="1"/>
    <row r="7476" s="65" customFormat="1"/>
    <row r="7477" s="65" customFormat="1"/>
    <row r="7478" s="65" customFormat="1"/>
    <row r="7479" s="65" customFormat="1"/>
    <row r="7480" s="65" customFormat="1"/>
    <row r="7481" s="65" customFormat="1"/>
    <row r="7482" s="65" customFormat="1"/>
    <row r="7483" s="65" customFormat="1"/>
    <row r="7484" s="65" customFormat="1"/>
    <row r="7485" s="65" customFormat="1"/>
    <row r="7486" s="65" customFormat="1"/>
    <row r="7487" s="65" customFormat="1"/>
    <row r="7488" s="65" customFormat="1"/>
    <row r="7489" s="65" customFormat="1"/>
    <row r="7490" s="65" customFormat="1"/>
    <row r="7491" s="65" customFormat="1"/>
    <row r="7492" s="65" customFormat="1"/>
    <row r="7493" s="65" customFormat="1"/>
    <row r="7494" s="65" customFormat="1"/>
    <row r="7495" s="65" customFormat="1"/>
    <row r="7496" s="65" customFormat="1"/>
    <row r="7497" s="65" customFormat="1"/>
    <row r="7498" s="65" customFormat="1"/>
    <row r="7499" s="65" customFormat="1"/>
    <row r="7500" s="65" customFormat="1"/>
    <row r="7501" s="65" customFormat="1"/>
    <row r="7502" s="65" customFormat="1"/>
    <row r="7503" s="65" customFormat="1"/>
    <row r="7504" s="65" customFormat="1"/>
    <row r="7505" s="65" customFormat="1"/>
    <row r="7506" s="65" customFormat="1"/>
    <row r="7507" s="65" customFormat="1"/>
    <row r="7508" s="65" customFormat="1"/>
    <row r="7509" s="65" customFormat="1"/>
    <row r="7510" s="65" customFormat="1"/>
    <row r="7511" s="65" customFormat="1"/>
    <row r="7512" s="65" customFormat="1"/>
    <row r="7513" s="65" customFormat="1"/>
    <row r="7514" s="65" customFormat="1"/>
    <row r="7515" s="65" customFormat="1"/>
    <row r="7516" s="65" customFormat="1"/>
    <row r="7517" s="65" customFormat="1"/>
    <row r="7518" s="65" customFormat="1"/>
    <row r="7519" s="65" customFormat="1"/>
    <row r="7520" s="65" customFormat="1"/>
    <row r="7521" s="65" customFormat="1"/>
    <row r="7522" s="65" customFormat="1"/>
    <row r="7523" s="65" customFormat="1"/>
    <row r="7524" s="65" customFormat="1"/>
    <row r="7525" s="65" customFormat="1"/>
    <row r="7526" s="65" customFormat="1"/>
    <row r="7527" s="65" customFormat="1"/>
    <row r="7528" s="65" customFormat="1"/>
    <row r="7529" s="65" customFormat="1"/>
    <row r="7530" s="65" customFormat="1"/>
    <row r="7531" s="65" customFormat="1"/>
    <row r="7532" s="65" customFormat="1"/>
    <row r="7533" s="65" customFormat="1"/>
    <row r="7534" s="65" customFormat="1"/>
    <row r="7535" s="65" customFormat="1"/>
    <row r="7536" s="65" customFormat="1"/>
    <row r="7537" s="65" customFormat="1"/>
    <row r="7538" s="65" customFormat="1"/>
    <row r="7539" s="65" customFormat="1"/>
    <row r="7540" s="65" customFormat="1"/>
    <row r="7541" s="65" customFormat="1"/>
    <row r="7542" s="65" customFormat="1"/>
    <row r="7543" s="65" customFormat="1"/>
    <row r="7544" s="65" customFormat="1"/>
    <row r="7545" s="65" customFormat="1"/>
    <row r="7546" s="65" customFormat="1"/>
    <row r="7547" s="65" customFormat="1"/>
    <row r="7548" s="65" customFormat="1"/>
    <row r="7549" s="65" customFormat="1"/>
    <row r="7550" s="65" customFormat="1"/>
    <row r="7551" s="65" customFormat="1"/>
    <row r="7552" s="65" customFormat="1"/>
    <row r="7553" s="65" customFormat="1"/>
    <row r="7554" s="65" customFormat="1"/>
    <row r="7555" s="65" customFormat="1"/>
    <row r="7556" s="65" customFormat="1"/>
    <row r="7557" s="65" customFormat="1"/>
    <row r="7558" s="65" customFormat="1"/>
    <row r="7559" s="65" customFormat="1"/>
    <row r="7560" s="65" customFormat="1"/>
    <row r="7561" s="65" customFormat="1"/>
    <row r="7562" s="65" customFormat="1"/>
    <row r="7563" s="65" customFormat="1"/>
    <row r="7564" s="65" customFormat="1"/>
    <row r="7565" s="65" customFormat="1"/>
    <row r="7566" s="65" customFormat="1"/>
    <row r="7567" s="65" customFormat="1"/>
    <row r="7568" s="65" customFormat="1"/>
    <row r="7569" s="65" customFormat="1"/>
    <row r="7570" s="65" customFormat="1"/>
    <row r="7571" s="65" customFormat="1"/>
    <row r="7572" s="65" customFormat="1"/>
    <row r="7573" s="65" customFormat="1"/>
    <row r="7574" s="65" customFormat="1"/>
    <row r="7575" s="65" customFormat="1"/>
    <row r="7576" s="65" customFormat="1"/>
    <row r="7577" s="65" customFormat="1"/>
    <row r="7578" s="65" customFormat="1"/>
    <row r="7579" s="65" customFormat="1"/>
    <row r="7580" s="65" customFormat="1"/>
    <row r="7581" s="65" customFormat="1"/>
    <row r="7582" s="65" customFormat="1"/>
    <row r="7583" s="65" customFormat="1"/>
    <row r="7584" s="65" customFormat="1"/>
    <row r="7585" s="65" customFormat="1"/>
    <row r="7586" s="65" customFormat="1"/>
    <row r="7587" s="65" customFormat="1"/>
    <row r="7588" s="65" customFormat="1"/>
    <row r="7589" s="65" customFormat="1"/>
    <row r="7590" s="65" customFormat="1"/>
    <row r="7591" s="65" customFormat="1"/>
    <row r="7592" s="65" customFormat="1"/>
    <row r="7593" s="65" customFormat="1"/>
    <row r="7594" s="65" customFormat="1"/>
    <row r="7595" s="65" customFormat="1"/>
    <row r="7596" s="65" customFormat="1"/>
    <row r="7597" s="65" customFormat="1"/>
    <row r="7598" s="65" customFormat="1"/>
    <row r="7599" s="65" customFormat="1"/>
    <row r="7600" s="65" customFormat="1"/>
    <row r="7601" s="65" customFormat="1"/>
    <row r="7602" s="65" customFormat="1"/>
    <row r="7603" s="65" customFormat="1"/>
    <row r="7604" s="65" customFormat="1"/>
    <row r="7605" s="65" customFormat="1"/>
    <row r="7606" s="65" customFormat="1"/>
    <row r="7607" s="65" customFormat="1"/>
    <row r="7608" s="65" customFormat="1"/>
    <row r="7609" s="65" customFormat="1"/>
    <row r="7610" s="65" customFormat="1"/>
    <row r="7611" s="65" customFormat="1"/>
    <row r="7612" s="65" customFormat="1"/>
    <row r="7613" s="65" customFormat="1"/>
    <row r="7614" s="65" customFormat="1"/>
    <row r="7615" s="65" customFormat="1"/>
    <row r="7616" s="65" customFormat="1"/>
    <row r="7617" s="65" customFormat="1"/>
    <row r="7618" s="65" customFormat="1"/>
    <row r="7619" s="65" customFormat="1"/>
    <row r="7620" s="65" customFormat="1"/>
    <row r="7621" s="65" customFormat="1"/>
    <row r="7622" s="65" customFormat="1"/>
    <row r="7623" s="65" customFormat="1"/>
    <row r="7624" s="65" customFormat="1"/>
    <row r="7625" s="65" customFormat="1"/>
    <row r="7626" s="65" customFormat="1"/>
    <row r="7627" s="65" customFormat="1"/>
    <row r="7628" s="65" customFormat="1"/>
    <row r="7629" s="65" customFormat="1"/>
    <row r="7630" s="65" customFormat="1"/>
    <row r="7631" s="65" customFormat="1"/>
    <row r="7632" s="65" customFormat="1"/>
    <row r="7633" s="65" customFormat="1"/>
    <row r="7634" s="65" customFormat="1"/>
    <row r="7635" s="65" customFormat="1"/>
    <row r="7636" s="65" customFormat="1"/>
    <row r="7637" s="65" customFormat="1"/>
    <row r="7638" s="65" customFormat="1"/>
    <row r="7639" s="65" customFormat="1"/>
    <row r="7640" s="65" customFormat="1"/>
    <row r="7641" s="65" customFormat="1"/>
    <row r="7642" s="65" customFormat="1"/>
    <row r="7643" s="65" customFormat="1"/>
    <row r="7644" s="65" customFormat="1"/>
    <row r="7645" s="65" customFormat="1"/>
    <row r="7646" s="65" customFormat="1"/>
    <row r="7647" s="65" customFormat="1"/>
    <row r="7648" s="65" customFormat="1"/>
    <row r="7649" s="65" customFormat="1"/>
    <row r="7650" s="65" customFormat="1"/>
    <row r="7651" s="65" customFormat="1"/>
    <row r="7652" s="65" customFormat="1"/>
    <row r="7653" s="65" customFormat="1"/>
    <row r="7654" s="65" customFormat="1"/>
    <row r="7655" s="65" customFormat="1"/>
    <row r="7656" s="65" customFormat="1"/>
    <row r="7657" s="65" customFormat="1"/>
    <row r="7658" s="65" customFormat="1"/>
    <row r="7659" s="65" customFormat="1"/>
    <row r="7660" s="65" customFormat="1"/>
    <row r="7661" s="65" customFormat="1"/>
    <row r="7662" s="65" customFormat="1"/>
    <row r="7663" s="65" customFormat="1"/>
    <row r="7664" s="65" customFormat="1"/>
    <row r="7665" s="65" customFormat="1"/>
    <row r="7666" s="65" customFormat="1"/>
    <row r="7667" s="65" customFormat="1"/>
    <row r="7668" s="65" customFormat="1"/>
    <row r="7669" s="65" customFormat="1"/>
    <row r="7670" s="65" customFormat="1"/>
    <row r="7671" s="65" customFormat="1"/>
    <row r="7672" s="65" customFormat="1"/>
    <row r="7673" s="65" customFormat="1"/>
    <row r="7674" s="65" customFormat="1"/>
    <row r="7675" s="65" customFormat="1"/>
    <row r="7676" s="65" customFormat="1"/>
    <row r="7677" s="65" customFormat="1"/>
    <row r="7678" s="65" customFormat="1"/>
    <row r="7679" s="65" customFormat="1"/>
    <row r="7680" s="65" customFormat="1"/>
    <row r="7681" s="65" customFormat="1"/>
    <row r="7682" s="65" customFormat="1"/>
    <row r="7683" s="65" customFormat="1"/>
    <row r="7684" s="65" customFormat="1"/>
    <row r="7685" s="65" customFormat="1"/>
    <row r="7686" s="65" customFormat="1"/>
    <row r="7687" s="65" customFormat="1"/>
    <row r="7688" s="65" customFormat="1"/>
    <row r="7689" s="65" customFormat="1"/>
    <row r="7690" s="65" customFormat="1"/>
    <row r="7691" s="65" customFormat="1"/>
    <row r="7692" s="65" customFormat="1"/>
    <row r="7693" s="65" customFormat="1"/>
    <row r="7694" s="65" customFormat="1"/>
    <row r="7695" s="65" customFormat="1"/>
    <row r="7696" s="65" customFormat="1"/>
    <row r="7697" s="65" customFormat="1"/>
    <row r="7698" s="65" customFormat="1"/>
    <row r="7699" s="65" customFormat="1"/>
    <row r="7700" s="65" customFormat="1"/>
    <row r="7701" s="65" customFormat="1"/>
    <row r="7702" s="65" customFormat="1"/>
    <row r="7703" s="65" customFormat="1"/>
    <row r="7704" s="65" customFormat="1"/>
    <row r="7705" s="65" customFormat="1"/>
    <row r="7706" s="65" customFormat="1"/>
    <row r="7707" s="65" customFormat="1"/>
    <row r="7708" s="65" customFormat="1"/>
    <row r="7709" s="65" customFormat="1"/>
    <row r="7710" s="65" customFormat="1"/>
    <row r="7711" s="65" customFormat="1"/>
    <row r="7712" s="65" customFormat="1"/>
    <row r="7713" s="65" customFormat="1"/>
    <row r="7714" s="65" customFormat="1"/>
    <row r="7715" s="65" customFormat="1"/>
    <row r="7716" s="65" customFormat="1"/>
    <row r="7717" s="65" customFormat="1"/>
    <row r="7718" s="65" customFormat="1"/>
    <row r="7719" s="65" customFormat="1"/>
    <row r="7720" s="65" customFormat="1"/>
    <row r="7721" s="65" customFormat="1"/>
    <row r="7722" s="65" customFormat="1"/>
    <row r="7723" s="65" customFormat="1"/>
    <row r="7724" s="65" customFormat="1"/>
    <row r="7725" s="65" customFormat="1"/>
    <row r="7726" s="65" customFormat="1"/>
    <row r="7727" s="65" customFormat="1"/>
    <row r="7728" s="65" customFormat="1"/>
    <row r="7729" s="65" customFormat="1"/>
    <row r="7730" s="65" customFormat="1"/>
    <row r="7731" s="65" customFormat="1"/>
    <row r="7732" s="65" customFormat="1"/>
    <row r="7733" s="65" customFormat="1"/>
    <row r="7734" s="65" customFormat="1"/>
    <row r="7735" s="65" customFormat="1"/>
    <row r="7736" s="65" customFormat="1"/>
    <row r="7737" s="65" customFormat="1"/>
    <row r="7738" s="65" customFormat="1"/>
    <row r="7739" s="65" customFormat="1"/>
    <row r="7740" s="65" customFormat="1"/>
    <row r="7741" s="65" customFormat="1"/>
    <row r="7742" s="65" customFormat="1"/>
    <row r="7743" s="65" customFormat="1"/>
    <row r="7744" s="65" customFormat="1"/>
    <row r="7745" s="65" customFormat="1"/>
    <row r="7746" s="65" customFormat="1"/>
    <row r="7747" s="65" customFormat="1"/>
    <row r="7748" s="65" customFormat="1"/>
    <row r="7749" s="65" customFormat="1"/>
    <row r="7750" s="65" customFormat="1"/>
    <row r="7751" s="65" customFormat="1"/>
    <row r="7752" s="65" customFormat="1"/>
    <row r="7753" s="65" customFormat="1"/>
    <row r="7754" s="65" customFormat="1"/>
    <row r="7755" s="65" customFormat="1"/>
    <row r="7756" s="65" customFormat="1"/>
    <row r="7757" s="65" customFormat="1"/>
    <row r="7758" s="65" customFormat="1"/>
    <row r="7759" s="65" customFormat="1"/>
    <row r="7760" s="65" customFormat="1"/>
    <row r="7761" s="65" customFormat="1"/>
    <row r="7762" s="65" customFormat="1"/>
    <row r="7763" s="65" customFormat="1"/>
    <row r="7764" s="65" customFormat="1"/>
    <row r="7765" s="65" customFormat="1"/>
    <row r="7766" s="65" customFormat="1"/>
    <row r="7767" s="65" customFormat="1"/>
    <row r="7768" s="65" customFormat="1"/>
    <row r="7769" s="65" customFormat="1"/>
    <row r="7770" s="65" customFormat="1"/>
    <row r="7771" s="65" customFormat="1"/>
    <row r="7772" s="65" customFormat="1"/>
    <row r="7773" s="65" customFormat="1"/>
    <row r="7774" s="65" customFormat="1"/>
    <row r="7775" s="65" customFormat="1"/>
    <row r="7776" s="65" customFormat="1"/>
    <row r="7777" s="65" customFormat="1"/>
    <row r="7778" s="65" customFormat="1"/>
    <row r="7779" s="65" customFormat="1"/>
    <row r="7780" s="65" customFormat="1"/>
    <row r="7781" s="65" customFormat="1"/>
    <row r="7782" s="65" customFormat="1"/>
    <row r="7783" s="65" customFormat="1"/>
    <row r="7784" s="65" customFormat="1"/>
    <row r="7785" s="65" customFormat="1"/>
    <row r="7786" s="65" customFormat="1"/>
    <row r="7787" s="65" customFormat="1"/>
    <row r="7788" s="65" customFormat="1"/>
    <row r="7789" s="65" customFormat="1"/>
    <row r="7790" s="65" customFormat="1"/>
    <row r="7791" s="65" customFormat="1"/>
    <row r="7792" s="65" customFormat="1"/>
    <row r="7793" s="65" customFormat="1"/>
    <row r="7794" s="65" customFormat="1"/>
    <row r="7795" s="65" customFormat="1"/>
    <row r="7796" s="65" customFormat="1"/>
    <row r="7797" s="65" customFormat="1"/>
    <row r="7798" s="65" customFormat="1"/>
    <row r="7799" s="65" customFormat="1"/>
    <row r="7800" s="65" customFormat="1"/>
    <row r="7801" s="65" customFormat="1"/>
    <row r="7802" s="65" customFormat="1"/>
    <row r="7803" s="65" customFormat="1"/>
    <row r="7804" s="65" customFormat="1"/>
    <row r="7805" s="65" customFormat="1"/>
    <row r="7806" s="65" customFormat="1"/>
    <row r="7807" s="65" customFormat="1"/>
    <row r="7808" s="65" customFormat="1"/>
    <row r="7809" s="65" customFormat="1"/>
    <row r="7810" s="65" customFormat="1"/>
    <row r="7811" s="65" customFormat="1"/>
    <row r="7812" s="65" customFormat="1"/>
    <row r="7813" s="65" customFormat="1"/>
    <row r="7814" s="65" customFormat="1"/>
    <row r="7815" s="65" customFormat="1"/>
    <row r="7816" s="65" customFormat="1"/>
    <row r="7817" s="65" customFormat="1"/>
    <row r="7818" s="65" customFormat="1"/>
    <row r="7819" s="65" customFormat="1"/>
    <row r="7820" s="65" customFormat="1"/>
    <row r="7821" s="65" customFormat="1"/>
    <row r="7822" s="65" customFormat="1"/>
    <row r="7823" s="65" customFormat="1"/>
    <row r="7824" s="65" customFormat="1"/>
    <row r="7825" s="65" customFormat="1"/>
    <row r="7826" s="65" customFormat="1"/>
    <row r="7827" s="65" customFormat="1"/>
    <row r="7828" s="65" customFormat="1"/>
    <row r="7829" s="65" customFormat="1"/>
    <row r="7830" s="65" customFormat="1"/>
    <row r="7831" s="65" customFormat="1"/>
    <row r="7832" s="65" customFormat="1"/>
    <row r="7833" s="65" customFormat="1"/>
    <row r="7834" s="65" customFormat="1"/>
    <row r="7835" s="65" customFormat="1"/>
    <row r="7836" s="65" customFormat="1"/>
    <row r="7837" s="65" customFormat="1"/>
    <row r="7838" s="65" customFormat="1"/>
    <row r="7839" s="65" customFormat="1"/>
    <row r="7840" s="65" customFormat="1"/>
    <row r="7841" s="65" customFormat="1"/>
    <row r="7842" s="65" customFormat="1"/>
    <row r="7843" s="65" customFormat="1"/>
    <row r="7844" s="65" customFormat="1"/>
    <row r="7845" s="65" customFormat="1"/>
    <row r="7846" s="65" customFormat="1"/>
    <row r="7847" s="65" customFormat="1"/>
    <row r="7848" s="65" customFormat="1"/>
    <row r="7849" s="65" customFormat="1"/>
    <row r="7850" s="65" customFormat="1"/>
    <row r="7851" s="65" customFormat="1"/>
    <row r="7852" s="65" customFormat="1"/>
    <row r="7853" s="65" customFormat="1"/>
    <row r="7854" s="65" customFormat="1"/>
    <row r="7855" s="65" customFormat="1"/>
    <row r="7856" s="65" customFormat="1"/>
    <row r="7857" s="65" customFormat="1"/>
    <row r="7858" s="65" customFormat="1"/>
    <row r="7859" s="65" customFormat="1"/>
    <row r="7860" s="65" customFormat="1"/>
    <row r="7861" s="65" customFormat="1"/>
    <row r="7862" s="65" customFormat="1"/>
    <row r="7863" s="65" customFormat="1"/>
    <row r="7864" s="65" customFormat="1"/>
    <row r="7865" s="65" customFormat="1"/>
    <row r="7866" s="65" customFormat="1"/>
    <row r="7867" s="65" customFormat="1"/>
    <row r="7868" s="65" customFormat="1"/>
    <row r="7869" s="65" customFormat="1"/>
    <row r="7870" s="65" customFormat="1"/>
    <row r="7871" s="65" customFormat="1"/>
    <row r="7872" s="65" customFormat="1"/>
    <row r="7873" s="65" customFormat="1"/>
    <row r="7874" s="65" customFormat="1"/>
    <row r="7875" s="65" customFormat="1"/>
    <row r="7876" s="65" customFormat="1"/>
    <row r="7877" s="65" customFormat="1"/>
    <row r="7878" s="65" customFormat="1"/>
    <row r="7879" s="65" customFormat="1"/>
    <row r="7880" s="65" customFormat="1"/>
    <row r="7881" s="65" customFormat="1"/>
    <row r="7882" s="65" customFormat="1"/>
    <row r="7883" s="65" customFormat="1"/>
    <row r="7884" s="65" customFormat="1"/>
    <row r="7885" s="65" customFormat="1"/>
    <row r="7886" s="65" customFormat="1"/>
    <row r="7887" s="65" customFormat="1"/>
    <row r="7888" s="65" customFormat="1"/>
    <row r="7889" s="65" customFormat="1"/>
    <row r="7890" s="65" customFormat="1"/>
    <row r="7891" s="65" customFormat="1"/>
    <row r="7892" s="65" customFormat="1"/>
    <row r="7893" s="65" customFormat="1"/>
    <row r="7894" s="65" customFormat="1"/>
    <row r="7895" s="65" customFormat="1"/>
    <row r="7896" s="65" customFormat="1"/>
    <row r="7897" s="65" customFormat="1"/>
    <row r="7898" s="65" customFormat="1"/>
    <row r="7899" s="65" customFormat="1"/>
    <row r="7900" s="65" customFormat="1"/>
    <row r="7901" s="65" customFormat="1"/>
    <row r="7902" s="65" customFormat="1"/>
    <row r="7903" s="65" customFormat="1"/>
    <row r="7904" s="65" customFormat="1"/>
    <row r="7905" s="65" customFormat="1"/>
    <row r="7906" s="65" customFormat="1"/>
    <row r="7907" s="65" customFormat="1"/>
    <row r="7908" s="65" customFormat="1"/>
    <row r="7909" s="65" customFormat="1"/>
    <row r="7910" s="65" customFormat="1"/>
    <row r="7911" s="65" customFormat="1"/>
    <row r="7912" s="65" customFormat="1"/>
    <row r="7913" s="65" customFormat="1"/>
    <row r="7914" s="65" customFormat="1"/>
    <row r="7915" s="65" customFormat="1"/>
    <row r="7916" s="65" customFormat="1"/>
    <row r="7917" s="65" customFormat="1"/>
    <row r="7918" s="65" customFormat="1"/>
    <row r="7919" s="65" customFormat="1"/>
    <row r="7920" s="65" customFormat="1"/>
    <row r="7921" s="65" customFormat="1"/>
    <row r="7922" s="65" customFormat="1"/>
    <row r="7923" s="65" customFormat="1"/>
    <row r="7924" s="65" customFormat="1"/>
    <row r="7925" s="65" customFormat="1"/>
    <row r="7926" s="65" customFormat="1"/>
    <row r="7927" s="65" customFormat="1"/>
    <row r="7928" s="65" customFormat="1"/>
    <row r="7929" s="65" customFormat="1"/>
    <row r="7930" s="65" customFormat="1"/>
    <row r="7931" s="65" customFormat="1"/>
    <row r="7932" s="65" customFormat="1"/>
    <row r="7933" s="65" customFormat="1"/>
    <row r="7934" s="65" customFormat="1"/>
    <row r="7935" s="65" customFormat="1"/>
    <row r="7936" s="65" customFormat="1"/>
    <row r="7937" s="65" customFormat="1"/>
    <row r="7938" s="65" customFormat="1"/>
    <row r="7939" s="65" customFormat="1"/>
    <row r="7940" s="65" customFormat="1"/>
    <row r="7941" s="65" customFormat="1"/>
    <row r="7942" s="65" customFormat="1"/>
    <row r="7943" s="65" customFormat="1"/>
    <row r="7944" s="65" customFormat="1"/>
    <row r="7945" s="65" customFormat="1"/>
    <row r="7946" s="65" customFormat="1"/>
    <row r="7947" s="65" customFormat="1"/>
    <row r="7948" s="65" customFormat="1"/>
    <row r="7949" s="65" customFormat="1"/>
    <row r="7950" s="65" customFormat="1"/>
    <row r="7951" s="65" customFormat="1"/>
    <row r="7952" s="65" customFormat="1"/>
    <row r="7953" s="65" customFormat="1"/>
    <row r="7954" s="65" customFormat="1"/>
    <row r="7955" s="65" customFormat="1"/>
    <row r="7956" s="65" customFormat="1"/>
    <row r="7957" s="65" customFormat="1"/>
    <row r="7958" s="65" customFormat="1"/>
    <row r="7959" s="65" customFormat="1"/>
    <row r="7960" s="65" customFormat="1"/>
    <row r="7961" s="65" customFormat="1"/>
    <row r="7962" s="65" customFormat="1"/>
    <row r="7963" s="65" customFormat="1"/>
    <row r="7964" s="65" customFormat="1"/>
    <row r="7965" s="65" customFormat="1"/>
    <row r="7966" s="65" customFormat="1"/>
    <row r="7967" s="65" customFormat="1"/>
    <row r="7968" s="65" customFormat="1"/>
    <row r="7969" s="65" customFormat="1"/>
    <row r="7970" s="65" customFormat="1"/>
    <row r="7971" s="65" customFormat="1"/>
    <row r="7972" s="65" customFormat="1"/>
    <row r="7973" s="65" customFormat="1"/>
    <row r="7974" s="65" customFormat="1"/>
    <row r="7975" s="65" customFormat="1"/>
    <row r="7976" s="65" customFormat="1"/>
    <row r="7977" s="65" customFormat="1"/>
    <row r="7978" s="65" customFormat="1"/>
    <row r="7979" s="65" customFormat="1"/>
    <row r="7980" s="65" customFormat="1"/>
    <row r="7981" s="65" customFormat="1"/>
    <row r="7982" s="65" customFormat="1"/>
    <row r="7983" s="65" customFormat="1"/>
    <row r="7984" s="65" customFormat="1"/>
    <row r="7985" s="65" customFormat="1"/>
    <row r="7986" s="65" customFormat="1"/>
    <row r="7987" s="65" customFormat="1"/>
    <row r="7988" s="65" customFormat="1"/>
    <row r="7989" s="65" customFormat="1"/>
    <row r="7990" s="65" customFormat="1"/>
    <row r="7991" s="65" customFormat="1"/>
    <row r="7992" s="65" customFormat="1"/>
    <row r="7993" s="65" customFormat="1"/>
    <row r="7994" s="65" customFormat="1"/>
    <row r="7995" s="65" customFormat="1"/>
    <row r="7996" s="65" customFormat="1"/>
    <row r="7997" s="65" customFormat="1"/>
    <row r="7998" s="65" customFormat="1"/>
    <row r="7999" s="65" customFormat="1"/>
    <row r="8000" s="65" customFormat="1"/>
    <row r="8001" s="65" customFormat="1"/>
    <row r="8002" s="65" customFormat="1"/>
    <row r="8003" s="65" customFormat="1"/>
    <row r="8004" s="65" customFormat="1"/>
    <row r="8005" s="65" customFormat="1"/>
    <row r="8006" s="65" customFormat="1"/>
    <row r="8007" s="65" customFormat="1"/>
    <row r="8008" s="65" customFormat="1"/>
    <row r="8009" s="65" customFormat="1"/>
    <row r="8010" s="65" customFormat="1"/>
    <row r="8011" s="65" customFormat="1"/>
    <row r="8012" s="65" customFormat="1"/>
    <row r="8013" s="65" customFormat="1"/>
    <row r="8014" s="65" customFormat="1"/>
    <row r="8015" s="65" customFormat="1"/>
    <row r="8016" s="65" customFormat="1"/>
    <row r="8017" s="65" customFormat="1"/>
    <row r="8018" s="65" customFormat="1"/>
    <row r="8019" s="65" customFormat="1"/>
    <row r="8020" s="65" customFormat="1"/>
    <row r="8021" s="65" customFormat="1"/>
    <row r="8022" s="65" customFormat="1"/>
    <row r="8023" s="65" customFormat="1"/>
    <row r="8024" s="65" customFormat="1"/>
    <row r="8025" s="65" customFormat="1"/>
    <row r="8026" s="65" customFormat="1"/>
    <row r="8027" s="65" customFormat="1"/>
    <row r="8028" s="65" customFormat="1"/>
    <row r="8029" s="65" customFormat="1"/>
    <row r="8030" s="65" customFormat="1"/>
    <row r="8031" s="65" customFormat="1"/>
    <row r="8032" s="65" customFormat="1"/>
    <row r="8033" s="65" customFormat="1"/>
    <row r="8034" s="65" customFormat="1"/>
    <row r="8035" s="65" customFormat="1"/>
    <row r="8036" s="65" customFormat="1"/>
    <row r="8037" s="65" customFormat="1"/>
    <row r="8038" s="65" customFormat="1"/>
    <row r="8039" s="65" customFormat="1"/>
    <row r="8040" s="65" customFormat="1"/>
    <row r="8041" s="65" customFormat="1"/>
    <row r="8042" s="65" customFormat="1"/>
    <row r="8043" s="65" customFormat="1"/>
    <row r="8044" s="65" customFormat="1"/>
    <row r="8045" s="65" customFormat="1"/>
    <row r="8046" s="65" customFormat="1"/>
    <row r="8047" s="65" customFormat="1"/>
    <row r="8048" s="65" customFormat="1"/>
    <row r="8049" s="65" customFormat="1"/>
    <row r="8050" s="65" customFormat="1"/>
    <row r="8051" s="65" customFormat="1"/>
    <row r="8052" s="65" customFormat="1"/>
    <row r="8053" s="65" customFormat="1"/>
    <row r="8054" s="65" customFormat="1"/>
    <row r="8055" s="65" customFormat="1"/>
    <row r="8056" s="65" customFormat="1"/>
    <row r="8057" s="65" customFormat="1"/>
    <row r="8058" s="65" customFormat="1"/>
    <row r="8059" s="65" customFormat="1"/>
    <row r="8060" s="65" customFormat="1"/>
    <row r="8061" s="65" customFormat="1"/>
    <row r="8062" s="65" customFormat="1"/>
    <row r="8063" s="65" customFormat="1"/>
    <row r="8064" s="65" customFormat="1"/>
    <row r="8065" s="65" customFormat="1"/>
    <row r="8066" s="65" customFormat="1"/>
    <row r="8067" s="65" customFormat="1"/>
    <row r="8068" s="65" customFormat="1"/>
    <row r="8069" s="65" customFormat="1"/>
    <row r="8070" s="65" customFormat="1"/>
    <row r="8071" s="65" customFormat="1"/>
    <row r="8072" s="65" customFormat="1"/>
    <row r="8073" s="65" customFormat="1"/>
    <row r="8074" s="65" customFormat="1"/>
    <row r="8075" s="65" customFormat="1"/>
    <row r="8076" s="65" customFormat="1"/>
    <row r="8077" s="65" customFormat="1"/>
    <row r="8078" s="65" customFormat="1"/>
    <row r="8079" s="65" customFormat="1"/>
    <row r="8080" s="65" customFormat="1"/>
    <row r="8081" s="65" customFormat="1"/>
    <row r="8082" s="65" customFormat="1"/>
    <row r="8083" s="65" customFormat="1"/>
    <row r="8084" s="65" customFormat="1"/>
    <row r="8085" s="65" customFormat="1"/>
    <row r="8086" s="65" customFormat="1"/>
    <row r="8087" s="65" customFormat="1"/>
    <row r="8088" s="65" customFormat="1"/>
    <row r="8089" s="65" customFormat="1"/>
    <row r="8090" s="65" customFormat="1"/>
    <row r="8091" s="65" customFormat="1"/>
    <row r="8092" s="65" customFormat="1"/>
    <row r="8093" s="65" customFormat="1"/>
    <row r="8094" s="65" customFormat="1"/>
    <row r="8095" s="65" customFormat="1"/>
    <row r="8096" s="65" customFormat="1"/>
    <row r="8097" s="65" customFormat="1"/>
    <row r="8098" s="65" customFormat="1"/>
    <row r="8099" s="65" customFormat="1"/>
    <row r="8100" s="65" customFormat="1"/>
    <row r="8101" s="65" customFormat="1"/>
    <row r="8102" s="65" customFormat="1"/>
    <row r="8103" s="65" customFormat="1"/>
    <row r="8104" s="65" customFormat="1"/>
    <row r="8105" s="65" customFormat="1"/>
    <row r="8106" s="65" customFormat="1"/>
    <row r="8107" s="65" customFormat="1"/>
    <row r="8108" s="65" customFormat="1"/>
    <row r="8109" s="65" customFormat="1"/>
    <row r="8110" s="65" customFormat="1"/>
    <row r="8111" s="65" customFormat="1"/>
    <row r="8112" s="65" customFormat="1"/>
    <row r="8113" s="65" customFormat="1"/>
    <row r="8114" s="65" customFormat="1"/>
    <row r="8115" s="65" customFormat="1"/>
    <row r="8116" s="65" customFormat="1"/>
    <row r="8117" s="65" customFormat="1"/>
    <row r="8118" s="65" customFormat="1"/>
    <row r="8119" s="65" customFormat="1"/>
    <row r="8120" s="65" customFormat="1"/>
    <row r="8121" s="65" customFormat="1"/>
    <row r="8122" s="65" customFormat="1"/>
    <row r="8123" s="65" customFormat="1"/>
    <row r="8124" s="65" customFormat="1"/>
    <row r="8125" s="65" customFormat="1"/>
    <row r="8126" s="65" customFormat="1"/>
    <row r="8127" s="65" customFormat="1"/>
    <row r="8128" s="65" customFormat="1"/>
    <row r="8129" s="65" customFormat="1"/>
    <row r="8130" s="65" customFormat="1"/>
    <row r="8131" s="65" customFormat="1"/>
    <row r="8132" s="65" customFormat="1"/>
    <row r="8133" s="65" customFormat="1"/>
    <row r="8134" s="65" customFormat="1"/>
    <row r="8135" s="65" customFormat="1"/>
    <row r="8136" s="65" customFormat="1"/>
    <row r="8137" s="65" customFormat="1"/>
    <row r="8138" s="65" customFormat="1"/>
    <row r="8139" s="65" customFormat="1"/>
    <row r="8140" s="65" customFormat="1"/>
    <row r="8141" s="65" customFormat="1"/>
    <row r="8142" s="65" customFormat="1"/>
    <row r="8143" s="65" customFormat="1"/>
    <row r="8144" s="65" customFormat="1"/>
    <row r="8145" s="65" customFormat="1"/>
    <row r="8146" s="65" customFormat="1"/>
    <row r="8147" s="65" customFormat="1"/>
    <row r="8148" s="65" customFormat="1"/>
    <row r="8149" s="65" customFormat="1"/>
    <row r="8150" s="65" customFormat="1"/>
    <row r="8151" s="65" customFormat="1"/>
    <row r="8152" s="65" customFormat="1"/>
    <row r="8153" s="65" customFormat="1"/>
    <row r="8154" s="65" customFormat="1"/>
    <row r="8155" s="65" customFormat="1"/>
    <row r="8156" s="65" customFormat="1"/>
    <row r="8157" s="65" customFormat="1"/>
    <row r="8158" s="65" customFormat="1"/>
    <row r="8159" s="65" customFormat="1"/>
    <row r="8160" s="65" customFormat="1"/>
    <row r="8161" s="65" customFormat="1"/>
    <row r="8162" s="65" customFormat="1"/>
    <row r="8163" s="65" customFormat="1"/>
    <row r="8164" s="65" customFormat="1"/>
    <row r="8165" s="65" customFormat="1"/>
    <row r="8166" s="65" customFormat="1"/>
    <row r="8167" s="65" customFormat="1"/>
    <row r="8168" s="65" customFormat="1"/>
    <row r="8169" s="65" customFormat="1"/>
    <row r="8170" s="65" customFormat="1"/>
    <row r="8171" s="65" customFormat="1"/>
    <row r="8172" s="65" customFormat="1"/>
    <row r="8173" s="65" customFormat="1"/>
    <row r="8174" s="65" customFormat="1"/>
    <row r="8175" s="65" customFormat="1"/>
    <row r="8176" s="65" customFormat="1"/>
    <row r="8177" s="65" customFormat="1"/>
    <row r="8178" s="65" customFormat="1"/>
    <row r="8179" s="65" customFormat="1"/>
    <row r="8180" s="65" customFormat="1"/>
    <row r="8181" s="65" customFormat="1"/>
    <row r="8182" s="65" customFormat="1"/>
    <row r="8183" s="65" customFormat="1"/>
    <row r="8184" s="65" customFormat="1"/>
    <row r="8185" s="65" customFormat="1"/>
    <row r="8186" s="65" customFormat="1"/>
    <row r="8187" s="65" customFormat="1"/>
    <row r="8188" s="65" customFormat="1"/>
    <row r="8189" s="65" customFormat="1"/>
    <row r="8190" s="65" customFormat="1"/>
    <row r="8191" s="65" customFormat="1"/>
    <row r="8192" s="65" customFormat="1"/>
    <row r="8193" s="65" customFormat="1"/>
    <row r="8194" s="65" customFormat="1"/>
    <row r="8195" s="65" customFormat="1"/>
    <row r="8196" s="65" customFormat="1"/>
    <row r="8197" s="65" customFormat="1"/>
    <row r="8198" s="65" customFormat="1"/>
    <row r="8199" s="65" customFormat="1"/>
    <row r="8200" s="65" customFormat="1"/>
    <row r="8201" s="65" customFormat="1"/>
    <row r="8202" s="65" customFormat="1"/>
    <row r="8203" s="65" customFormat="1"/>
    <row r="8204" s="65" customFormat="1"/>
    <row r="8205" s="65" customFormat="1"/>
    <row r="8206" s="65" customFormat="1"/>
    <row r="8207" s="65" customFormat="1"/>
    <row r="8208" s="65" customFormat="1"/>
    <row r="8209" s="65" customFormat="1"/>
    <row r="8210" s="65" customFormat="1"/>
    <row r="8211" s="65" customFormat="1"/>
    <row r="8212" s="65" customFormat="1"/>
    <row r="8213" s="65" customFormat="1"/>
    <row r="8214" s="65" customFormat="1"/>
    <row r="8215" s="65" customFormat="1"/>
    <row r="8216" s="65" customFormat="1"/>
    <row r="8217" s="65" customFormat="1"/>
    <row r="8218" s="65" customFormat="1"/>
    <row r="8219" s="65" customFormat="1"/>
    <row r="8220" s="65" customFormat="1"/>
    <row r="8221" s="65" customFormat="1"/>
    <row r="8222" s="65" customFormat="1"/>
    <row r="8223" s="65" customFormat="1"/>
    <row r="8224" s="65" customFormat="1"/>
    <row r="8225" s="65" customFormat="1"/>
    <row r="8226" s="65" customFormat="1"/>
    <row r="8227" s="65" customFormat="1"/>
    <row r="8228" s="65" customFormat="1"/>
    <row r="8229" s="65" customFormat="1"/>
    <row r="8230" s="65" customFormat="1"/>
    <row r="8231" s="65" customFormat="1"/>
    <row r="8232" s="65" customFormat="1"/>
    <row r="8233" s="65" customFormat="1"/>
    <row r="8234" s="65" customFormat="1"/>
    <row r="8235" s="65" customFormat="1"/>
    <row r="8236" s="65" customFormat="1"/>
    <row r="8237" s="65" customFormat="1"/>
    <row r="8238" s="65" customFormat="1"/>
    <row r="8239" s="65" customFormat="1"/>
    <row r="8240" s="65" customFormat="1"/>
    <row r="8241" s="65" customFormat="1"/>
    <row r="8242" s="65" customFormat="1"/>
    <row r="8243" s="65" customFormat="1"/>
    <row r="8244" s="65" customFormat="1"/>
    <row r="8245" s="65" customFormat="1"/>
    <row r="8246" s="65" customFormat="1"/>
    <row r="8247" s="65" customFormat="1"/>
    <row r="8248" s="65" customFormat="1"/>
    <row r="8249" s="65" customFormat="1"/>
    <row r="8250" s="65" customFormat="1"/>
    <row r="8251" s="65" customFormat="1"/>
    <row r="8252" s="65" customFormat="1"/>
    <row r="8253" s="65" customFormat="1"/>
    <row r="8254" s="65" customFormat="1"/>
    <row r="8255" s="65" customFormat="1"/>
    <row r="8256" s="65" customFormat="1"/>
    <row r="8257" s="65" customFormat="1"/>
    <row r="8258" s="65" customFormat="1"/>
    <row r="8259" s="65" customFormat="1"/>
    <row r="8260" s="65" customFormat="1"/>
    <row r="8261" s="65" customFormat="1"/>
    <row r="8262" s="65" customFormat="1"/>
    <row r="8263" s="65" customFormat="1"/>
    <row r="8264" s="65" customFormat="1"/>
    <row r="8265" s="65" customFormat="1"/>
    <row r="8266" s="65" customFormat="1"/>
    <row r="8267" s="65" customFormat="1"/>
    <row r="8268" s="65" customFormat="1"/>
    <row r="8269" s="65" customFormat="1"/>
    <row r="8270" s="65" customFormat="1"/>
    <row r="8271" s="65" customFormat="1"/>
    <row r="8272" s="65" customFormat="1"/>
    <row r="8273" s="65" customFormat="1"/>
    <row r="8274" s="65" customFormat="1"/>
    <row r="8275" s="65" customFormat="1"/>
    <row r="8276" s="65" customFormat="1"/>
    <row r="8277" s="65" customFormat="1"/>
    <row r="8278" s="65" customFormat="1"/>
    <row r="8279" s="65" customFormat="1"/>
    <row r="8280" s="65" customFormat="1"/>
    <row r="8281" s="65" customFormat="1"/>
    <row r="8282" s="65" customFormat="1"/>
    <row r="8283" s="65" customFormat="1"/>
    <row r="8284" s="65" customFormat="1"/>
    <row r="8285" s="65" customFormat="1"/>
    <row r="8286" s="65" customFormat="1"/>
    <row r="8287" s="65" customFormat="1"/>
    <row r="8288" s="65" customFormat="1"/>
    <row r="8289" s="65" customFormat="1"/>
    <row r="8290" s="65" customFormat="1"/>
    <row r="8291" s="65" customFormat="1"/>
    <row r="8292" s="65" customFormat="1"/>
    <row r="8293" s="65" customFormat="1"/>
    <row r="8294" s="65" customFormat="1"/>
    <row r="8295" s="65" customFormat="1"/>
    <row r="8296" s="65" customFormat="1"/>
    <row r="8297" s="65" customFormat="1"/>
    <row r="8298" s="65" customFormat="1"/>
    <row r="8299" s="65" customFormat="1"/>
    <row r="8300" s="65" customFormat="1"/>
    <row r="8301" s="65" customFormat="1"/>
    <row r="8302" s="65" customFormat="1"/>
    <row r="8303" s="65" customFormat="1"/>
    <row r="8304" s="65" customFormat="1"/>
    <row r="8305" s="65" customFormat="1"/>
    <row r="8306" s="65" customFormat="1"/>
    <row r="8307" s="65" customFormat="1"/>
    <row r="8308" s="65" customFormat="1"/>
    <row r="8309" s="65" customFormat="1"/>
    <row r="8310" s="65" customFormat="1"/>
    <row r="8311" s="65" customFormat="1"/>
    <row r="8312" s="65" customFormat="1"/>
    <row r="8313" s="65" customFormat="1"/>
    <row r="8314" s="65" customFormat="1"/>
    <row r="8315" s="65" customFormat="1"/>
    <row r="8316" s="65" customFormat="1"/>
    <row r="8317" s="65" customFormat="1"/>
    <row r="8318" s="65" customFormat="1"/>
    <row r="8319" s="65" customFormat="1"/>
    <row r="8320" s="65" customFormat="1"/>
    <row r="8321" s="65" customFormat="1"/>
    <row r="8322" s="65" customFormat="1"/>
    <row r="8323" s="65" customFormat="1"/>
    <row r="8324" s="65" customFormat="1"/>
    <row r="8325" s="65" customFormat="1"/>
    <row r="8326" s="65" customFormat="1"/>
    <row r="8327" s="65" customFormat="1"/>
    <row r="8328" s="65" customFormat="1"/>
    <row r="8329" s="65" customFormat="1"/>
    <row r="8330" s="65" customFormat="1"/>
    <row r="8331" s="65" customFormat="1"/>
    <row r="8332" s="65" customFormat="1"/>
    <row r="8333" s="65" customFormat="1"/>
    <row r="8334" s="65" customFormat="1"/>
    <row r="8335" s="65" customFormat="1"/>
    <row r="8336" s="65" customFormat="1"/>
    <row r="8337" s="65" customFormat="1"/>
    <row r="8338" s="65" customFormat="1"/>
    <row r="8339" s="65" customFormat="1"/>
    <row r="8340" s="65" customFormat="1"/>
    <row r="8341" s="65" customFormat="1"/>
    <row r="8342" s="65" customFormat="1"/>
    <row r="8343" s="65" customFormat="1"/>
    <row r="8344" s="65" customFormat="1"/>
    <row r="8345" s="65" customFormat="1"/>
    <row r="8346" s="65" customFormat="1"/>
    <row r="8347" s="65" customFormat="1"/>
    <row r="8348" s="65" customFormat="1"/>
    <row r="8349" s="65" customFormat="1"/>
    <row r="8350" s="65" customFormat="1"/>
    <row r="8351" s="65" customFormat="1"/>
    <row r="8352" s="65" customFormat="1"/>
    <row r="8353" s="65" customFormat="1"/>
    <row r="8354" s="65" customFormat="1"/>
    <row r="8355" s="65" customFormat="1"/>
    <row r="8356" s="65" customFormat="1"/>
    <row r="8357" s="65" customFormat="1"/>
    <row r="8358" s="65" customFormat="1"/>
    <row r="8359" s="65" customFormat="1"/>
    <row r="8360" s="65" customFormat="1"/>
    <row r="8361" s="65" customFormat="1"/>
    <row r="8362" s="65" customFormat="1"/>
    <row r="8363" s="65" customFormat="1"/>
    <row r="8364" s="65" customFormat="1"/>
    <row r="8365" s="65" customFormat="1"/>
    <row r="8366" s="65" customFormat="1"/>
    <row r="8367" s="65" customFormat="1"/>
    <row r="8368" s="65" customFormat="1"/>
    <row r="8369" s="65" customFormat="1"/>
    <row r="8370" s="65" customFormat="1"/>
    <row r="8371" s="65" customFormat="1"/>
    <row r="8372" s="65" customFormat="1"/>
    <row r="8373" s="65" customFormat="1"/>
    <row r="8374" s="65" customFormat="1"/>
    <row r="8375" s="65" customFormat="1"/>
    <row r="8376" s="65" customFormat="1"/>
    <row r="8377" s="65" customFormat="1"/>
    <row r="8378" s="65" customFormat="1"/>
    <row r="8379" s="65" customFormat="1"/>
    <row r="8380" s="65" customFormat="1"/>
    <row r="8381" s="65" customFormat="1"/>
    <row r="8382" s="65" customFormat="1"/>
    <row r="8383" s="65" customFormat="1"/>
    <row r="8384" s="65" customFormat="1"/>
    <row r="8385" s="65" customFormat="1"/>
    <row r="8386" s="65" customFormat="1"/>
    <row r="8387" s="65" customFormat="1"/>
    <row r="8388" s="65" customFormat="1"/>
    <row r="8389" s="65" customFormat="1"/>
    <row r="8390" s="65" customFormat="1"/>
    <row r="8391" s="65" customFormat="1"/>
    <row r="8392" s="65" customFormat="1"/>
    <row r="8393" s="65" customFormat="1"/>
    <row r="8394" s="65" customFormat="1"/>
    <row r="8395" s="65" customFormat="1"/>
    <row r="8396" s="65" customFormat="1"/>
    <row r="8397" s="65" customFormat="1"/>
    <row r="8398" s="65" customFormat="1"/>
    <row r="8399" s="65" customFormat="1"/>
    <row r="8400" s="65" customFormat="1"/>
    <row r="8401" s="65" customFormat="1"/>
    <row r="8402" s="65" customFormat="1"/>
    <row r="8403" s="65" customFormat="1"/>
    <row r="8404" s="65" customFormat="1"/>
    <row r="8405" s="65" customFormat="1"/>
    <row r="8406" s="65" customFormat="1"/>
    <row r="8407" s="65" customFormat="1"/>
    <row r="8408" s="65" customFormat="1"/>
    <row r="8409" s="65" customFormat="1"/>
    <row r="8410" s="65" customFormat="1"/>
    <row r="8411" s="65" customFormat="1"/>
    <row r="8412" s="65" customFormat="1"/>
    <row r="8413" s="65" customFormat="1"/>
    <row r="8414" s="65" customFormat="1"/>
    <row r="8415" s="65" customFormat="1"/>
    <row r="8416" s="65" customFormat="1"/>
    <row r="8417" s="65" customFormat="1"/>
    <row r="8418" s="65" customFormat="1"/>
    <row r="8419" s="65" customFormat="1"/>
    <row r="8420" s="65" customFormat="1"/>
    <row r="8421" s="65" customFormat="1"/>
    <row r="8422" s="65" customFormat="1"/>
    <row r="8423" s="65" customFormat="1"/>
    <row r="8424" s="65" customFormat="1"/>
    <row r="8425" s="65" customFormat="1"/>
    <row r="8426" s="65" customFormat="1"/>
    <row r="8427" s="65" customFormat="1"/>
    <row r="8428" s="65" customFormat="1"/>
    <row r="8429" s="65" customFormat="1"/>
    <row r="8430" s="65" customFormat="1"/>
    <row r="8431" s="65" customFormat="1"/>
    <row r="8432" s="65" customFormat="1"/>
    <row r="8433" s="65" customFormat="1"/>
    <row r="8434" s="65" customFormat="1"/>
    <row r="8435" s="65" customFormat="1"/>
    <row r="8436" s="65" customFormat="1"/>
    <row r="8437" s="65" customFormat="1"/>
    <row r="8438" s="65" customFormat="1"/>
    <row r="8439" s="65" customFormat="1"/>
    <row r="8440" s="65" customFormat="1"/>
    <row r="8441" s="65" customFormat="1"/>
    <row r="8442" s="65" customFormat="1"/>
    <row r="8443" s="65" customFormat="1"/>
    <row r="8444" s="65" customFormat="1"/>
    <row r="8445" s="65" customFormat="1"/>
    <row r="8446" s="65" customFormat="1"/>
    <row r="8447" s="65" customFormat="1"/>
    <row r="8448" s="65" customFormat="1"/>
    <row r="8449" s="65" customFormat="1"/>
    <row r="8450" s="65" customFormat="1"/>
    <row r="8451" s="65" customFormat="1"/>
    <row r="8452" s="65" customFormat="1"/>
    <row r="8453" s="65" customFormat="1"/>
    <row r="8454" s="65" customFormat="1"/>
    <row r="8455" s="65" customFormat="1"/>
    <row r="8456" s="65" customFormat="1"/>
    <row r="8457" s="65" customFormat="1"/>
    <row r="8458" s="65" customFormat="1"/>
    <row r="8459" s="65" customFormat="1"/>
    <row r="8460" s="65" customFormat="1"/>
    <row r="8461" s="65" customFormat="1"/>
    <row r="8462" s="65" customFormat="1"/>
    <row r="8463" s="65" customFormat="1"/>
    <row r="8464" s="65" customFormat="1"/>
    <row r="8465" s="65" customFormat="1"/>
    <row r="8466" s="65" customFormat="1"/>
    <row r="8467" s="65" customFormat="1"/>
    <row r="8468" s="65" customFormat="1"/>
    <row r="8469" s="65" customFormat="1"/>
    <row r="8470" s="65" customFormat="1"/>
    <row r="8471" s="65" customFormat="1"/>
    <row r="8472" s="65" customFormat="1"/>
    <row r="8473" s="65" customFormat="1"/>
    <row r="8474" s="65" customFormat="1"/>
    <row r="8475" s="65" customFormat="1"/>
    <row r="8476" s="65" customFormat="1"/>
    <row r="8477" s="65" customFormat="1"/>
    <row r="8478" s="65" customFormat="1"/>
    <row r="8479" s="65" customFormat="1"/>
    <row r="8480" s="65" customFormat="1"/>
    <row r="8481" s="65" customFormat="1"/>
    <row r="8482" s="65" customFormat="1"/>
    <row r="8483" s="65" customFormat="1"/>
    <row r="8484" s="65" customFormat="1"/>
    <row r="8485" s="65" customFormat="1"/>
    <row r="8486" s="65" customFormat="1"/>
    <row r="8487" s="65" customFormat="1"/>
    <row r="8488" s="65" customFormat="1"/>
    <row r="8489" s="65" customFormat="1"/>
    <row r="8490" s="65" customFormat="1"/>
    <row r="8491" s="65" customFormat="1"/>
    <row r="8492" s="65" customFormat="1"/>
    <row r="8493" s="65" customFormat="1"/>
    <row r="8494" s="65" customFormat="1"/>
    <row r="8495" s="65" customFormat="1"/>
    <row r="8496" s="65" customFormat="1"/>
    <row r="8497" s="65" customFormat="1"/>
    <row r="8498" s="65" customFormat="1"/>
    <row r="8499" s="65" customFormat="1"/>
    <row r="8500" s="65" customFormat="1"/>
    <row r="8501" s="65" customFormat="1"/>
    <row r="8502" s="65" customFormat="1"/>
    <row r="8503" s="65" customFormat="1"/>
    <row r="8504" s="65" customFormat="1"/>
    <row r="8505" s="65" customFormat="1"/>
    <row r="8506" s="65" customFormat="1"/>
    <row r="8507" s="65" customFormat="1"/>
    <row r="8508" s="65" customFormat="1"/>
    <row r="8509" s="65" customFormat="1"/>
    <row r="8510" s="65" customFormat="1"/>
    <row r="8511" s="65" customFormat="1"/>
    <row r="8512" s="65" customFormat="1"/>
    <row r="8513" s="65" customFormat="1"/>
    <row r="8514" s="65" customFormat="1"/>
    <row r="8515" s="65" customFormat="1"/>
    <row r="8516" s="65" customFormat="1"/>
    <row r="8517" s="65" customFormat="1"/>
    <row r="8518" s="65" customFormat="1"/>
    <row r="8519" s="65" customFormat="1"/>
    <row r="8520" s="65" customFormat="1"/>
    <row r="8521" s="65" customFormat="1"/>
    <row r="8522" s="65" customFormat="1"/>
    <row r="8523" s="65" customFormat="1"/>
    <row r="8524" s="65" customFormat="1"/>
    <row r="8525" s="65" customFormat="1"/>
    <row r="8526" s="65" customFormat="1"/>
    <row r="8527" s="65" customFormat="1"/>
    <row r="8528" s="65" customFormat="1"/>
    <row r="8529" s="65" customFormat="1"/>
    <row r="8530" s="65" customFormat="1"/>
    <row r="8531" s="65" customFormat="1"/>
    <row r="8532" s="65" customFormat="1"/>
    <row r="8533" s="65" customFormat="1"/>
    <row r="8534" s="65" customFormat="1"/>
    <row r="8535" s="65" customFormat="1"/>
    <row r="8536" s="65" customFormat="1"/>
    <row r="8537" s="65" customFormat="1"/>
    <row r="8538" s="65" customFormat="1"/>
    <row r="8539" s="65" customFormat="1"/>
    <row r="8540" s="65" customFormat="1"/>
    <row r="8541" s="65" customFormat="1"/>
    <row r="8542" s="65" customFormat="1"/>
    <row r="8543" s="65" customFormat="1"/>
    <row r="8544" s="65" customFormat="1"/>
    <row r="8545" s="65" customFormat="1"/>
    <row r="8546" s="65" customFormat="1"/>
    <row r="8547" s="65" customFormat="1"/>
    <row r="8548" s="65" customFormat="1"/>
    <row r="8549" s="65" customFormat="1"/>
    <row r="8550" s="65" customFormat="1"/>
    <row r="8551" s="65" customFormat="1"/>
    <row r="8552" s="65" customFormat="1"/>
    <row r="8553" s="65" customFormat="1"/>
    <row r="8554" s="65" customFormat="1"/>
    <row r="8555" s="65" customFormat="1"/>
    <row r="8556" s="65" customFormat="1"/>
    <row r="8557" s="65" customFormat="1"/>
    <row r="8558" s="65" customFormat="1"/>
    <row r="8559" s="65" customFormat="1"/>
    <row r="8560" s="65" customFormat="1"/>
    <row r="8561" s="65" customFormat="1"/>
    <row r="8562" s="65" customFormat="1"/>
    <row r="8563" s="65" customFormat="1"/>
    <row r="8564" s="65" customFormat="1"/>
    <row r="8565" s="65" customFormat="1"/>
    <row r="8566" s="65" customFormat="1"/>
    <row r="8567" s="65" customFormat="1"/>
    <row r="8568" s="65" customFormat="1"/>
    <row r="8569" s="65" customFormat="1"/>
    <row r="8570" s="65" customFormat="1"/>
    <row r="8571" s="65" customFormat="1"/>
    <row r="8572" s="65" customFormat="1"/>
    <row r="8573" s="65" customFormat="1"/>
    <row r="8574" s="65" customFormat="1"/>
    <row r="8575" s="65" customFormat="1"/>
    <row r="8576" s="65" customFormat="1"/>
    <row r="8577" s="65" customFormat="1"/>
    <row r="8578" s="65" customFormat="1"/>
    <row r="8579" s="65" customFormat="1"/>
    <row r="8580" s="65" customFormat="1"/>
    <row r="8581" s="65" customFormat="1"/>
    <row r="8582" s="65" customFormat="1"/>
    <row r="8583" s="65" customFormat="1"/>
    <row r="8584" s="65" customFormat="1"/>
    <row r="8585" s="65" customFormat="1"/>
    <row r="8586" s="65" customFormat="1"/>
    <row r="8587" s="65" customFormat="1"/>
    <row r="8588" s="65" customFormat="1"/>
    <row r="8589" s="65" customFormat="1"/>
    <row r="8590" s="65" customFormat="1"/>
    <row r="8591" s="65" customFormat="1"/>
    <row r="8592" s="65" customFormat="1"/>
    <row r="8593" s="65" customFormat="1"/>
    <row r="8594" s="65" customFormat="1"/>
    <row r="8595" s="65" customFormat="1"/>
    <row r="8596" s="65" customFormat="1"/>
    <row r="8597" s="65" customFormat="1"/>
    <row r="8598" s="65" customFormat="1"/>
    <row r="8599" s="65" customFormat="1"/>
    <row r="8600" s="65" customFormat="1"/>
    <row r="8601" s="65" customFormat="1"/>
    <row r="8602" s="65" customFormat="1"/>
    <row r="8603" s="65" customFormat="1"/>
    <row r="8604" s="65" customFormat="1"/>
    <row r="8605" s="65" customFormat="1"/>
    <row r="8606" s="65" customFormat="1"/>
    <row r="8607" s="65" customFormat="1"/>
    <row r="8608" s="65" customFormat="1"/>
    <row r="8609" s="65" customFormat="1"/>
    <row r="8610" s="65" customFormat="1"/>
    <row r="8611" s="65" customFormat="1"/>
    <row r="8612" s="65" customFormat="1"/>
    <row r="8613" s="65" customFormat="1"/>
    <row r="8614" s="65" customFormat="1"/>
    <row r="8615" s="65" customFormat="1"/>
    <row r="8616" s="65" customFormat="1"/>
    <row r="8617" s="65" customFormat="1"/>
    <row r="8618" s="65" customFormat="1"/>
    <row r="8619" s="65" customFormat="1"/>
    <row r="8620" s="65" customFormat="1"/>
    <row r="8621" s="65" customFormat="1"/>
    <row r="8622" s="65" customFormat="1"/>
    <row r="8623" s="65" customFormat="1"/>
    <row r="8624" s="65" customFormat="1"/>
    <row r="8625" s="65" customFormat="1"/>
    <row r="8626" s="65" customFormat="1"/>
    <row r="8627" s="65" customFormat="1"/>
    <row r="8628" s="65" customFormat="1"/>
    <row r="8629" s="65" customFormat="1"/>
    <row r="8630" s="65" customFormat="1"/>
    <row r="8631" s="65" customFormat="1"/>
    <row r="8632" s="65" customFormat="1"/>
    <row r="8633" s="65" customFormat="1"/>
    <row r="8634" s="65" customFormat="1"/>
    <row r="8635" s="65" customFormat="1"/>
    <row r="8636" s="65" customFormat="1"/>
    <row r="8637" s="65" customFormat="1"/>
    <row r="8638" s="65" customFormat="1"/>
    <row r="8639" s="65" customFormat="1"/>
    <row r="8640" s="65" customFormat="1"/>
    <row r="8641" s="65" customFormat="1"/>
    <row r="8642" s="65" customFormat="1"/>
    <row r="8643" s="65" customFormat="1"/>
    <row r="8644" s="65" customFormat="1"/>
    <row r="8645" s="65" customFormat="1"/>
    <row r="8646" s="65" customFormat="1"/>
    <row r="8647" s="65" customFormat="1"/>
    <row r="8648" s="65" customFormat="1"/>
    <row r="8649" s="65" customFormat="1"/>
    <row r="8650" s="65" customFormat="1"/>
    <row r="8651" s="65" customFormat="1"/>
    <row r="8652" s="65" customFormat="1"/>
    <row r="8653" s="65" customFormat="1"/>
    <row r="8654" s="65" customFormat="1"/>
    <row r="8655" s="65" customFormat="1"/>
    <row r="8656" s="65" customFormat="1"/>
    <row r="8657" s="65" customFormat="1"/>
    <row r="8658" s="65" customFormat="1"/>
    <row r="8659" s="65" customFormat="1"/>
    <row r="8660" s="65" customFormat="1"/>
    <row r="8661" s="65" customFormat="1"/>
    <row r="8662" s="65" customFormat="1"/>
    <row r="8663" s="65" customFormat="1"/>
    <row r="8664" s="65" customFormat="1"/>
    <row r="8665" s="65" customFormat="1"/>
    <row r="8666" s="65" customFormat="1"/>
    <row r="8667" s="65" customFormat="1"/>
    <row r="8668" s="65" customFormat="1"/>
    <row r="8669" s="65" customFormat="1"/>
    <row r="8670" s="65" customFormat="1"/>
    <row r="8671" s="65" customFormat="1"/>
    <row r="8672" s="65" customFormat="1"/>
    <row r="8673" s="65" customFormat="1"/>
    <row r="8674" s="65" customFormat="1"/>
    <row r="8675" s="65" customFormat="1"/>
    <row r="8676" s="65" customFormat="1"/>
    <row r="8677" s="65" customFormat="1"/>
    <row r="8678" s="65" customFormat="1"/>
    <row r="8679" s="65" customFormat="1"/>
    <row r="8680" s="65" customFormat="1"/>
    <row r="8681" s="65" customFormat="1"/>
    <row r="8682" s="65" customFormat="1"/>
    <row r="8683" s="65" customFormat="1"/>
    <row r="8684" s="65" customFormat="1"/>
    <row r="8685" s="65" customFormat="1"/>
    <row r="8686" s="65" customFormat="1"/>
    <row r="8687" s="65" customFormat="1"/>
    <row r="8688" s="65" customFormat="1"/>
    <row r="8689" s="65" customFormat="1"/>
    <row r="8690" s="65" customFormat="1"/>
    <row r="8691" s="65" customFormat="1"/>
    <row r="8692" s="65" customFormat="1"/>
    <row r="8693" s="65" customFormat="1"/>
    <row r="8694" s="65" customFormat="1"/>
    <row r="8695" s="65" customFormat="1"/>
    <row r="8696" s="65" customFormat="1"/>
    <row r="8697" s="65" customFormat="1"/>
    <row r="8698" s="65" customFormat="1"/>
    <row r="8699" s="65" customFormat="1"/>
    <row r="8700" s="65" customFormat="1"/>
    <row r="8701" s="65" customFormat="1"/>
    <row r="8702" s="65" customFormat="1"/>
    <row r="8703" s="65" customFormat="1"/>
    <row r="8704" s="65" customFormat="1"/>
    <row r="8705" s="65" customFormat="1"/>
    <row r="8706" s="65" customFormat="1"/>
    <row r="8707" s="65" customFormat="1"/>
    <row r="8708" s="65" customFormat="1"/>
    <row r="8709" s="65" customFormat="1"/>
    <row r="8710" s="65" customFormat="1"/>
    <row r="8711" s="65" customFormat="1"/>
    <row r="8712" s="65" customFormat="1"/>
    <row r="8713" s="65" customFormat="1"/>
    <row r="8714" s="65" customFormat="1"/>
    <row r="8715" s="65" customFormat="1"/>
    <row r="8716" s="65" customFormat="1"/>
    <row r="8717" s="65" customFormat="1"/>
    <row r="8718" s="65" customFormat="1"/>
    <row r="8719" s="65" customFormat="1"/>
    <row r="8720" s="65" customFormat="1"/>
    <row r="8721" s="65" customFormat="1"/>
    <row r="8722" s="65" customFormat="1"/>
    <row r="8723" s="65" customFormat="1"/>
    <row r="8724" s="65" customFormat="1"/>
    <row r="8725" s="65" customFormat="1"/>
    <row r="8726" s="65" customFormat="1"/>
    <row r="8727" s="65" customFormat="1"/>
    <row r="8728" s="65" customFormat="1"/>
    <row r="8729" s="65" customFormat="1"/>
    <row r="8730" s="65" customFormat="1"/>
    <row r="8731" s="65" customFormat="1"/>
    <row r="8732" s="65" customFormat="1"/>
    <row r="8733" s="65" customFormat="1"/>
    <row r="8734" s="65" customFormat="1"/>
    <row r="8735" s="65" customFormat="1"/>
    <row r="8736" s="65" customFormat="1"/>
    <row r="8737" s="65" customFormat="1"/>
    <row r="8738" s="65" customFormat="1"/>
    <row r="8739" s="65" customFormat="1"/>
    <row r="8740" s="65" customFormat="1"/>
    <row r="8741" s="65" customFormat="1"/>
    <row r="8742" s="65" customFormat="1"/>
    <row r="8743" s="65" customFormat="1"/>
    <row r="8744" s="65" customFormat="1"/>
    <row r="8745" s="65" customFormat="1"/>
    <row r="8746" s="65" customFormat="1"/>
    <row r="8747" s="65" customFormat="1"/>
    <row r="8748" s="65" customFormat="1"/>
    <row r="8749" s="65" customFormat="1"/>
    <row r="8750" s="65" customFormat="1"/>
    <row r="8751" s="65" customFormat="1"/>
    <row r="8752" s="65" customFormat="1"/>
    <row r="8753" s="65" customFormat="1"/>
    <row r="8754" s="65" customFormat="1"/>
    <row r="8755" s="65" customFormat="1"/>
    <row r="8756" s="65" customFormat="1"/>
    <row r="8757" s="65" customFormat="1"/>
    <row r="8758" s="65" customFormat="1"/>
    <row r="8759" s="65" customFormat="1"/>
    <row r="8760" s="65" customFormat="1"/>
    <row r="8761" s="65" customFormat="1"/>
    <row r="8762" s="65" customFormat="1"/>
    <row r="8763" s="65" customFormat="1"/>
    <row r="8764" s="65" customFormat="1"/>
    <row r="8765" s="65" customFormat="1"/>
    <row r="8766" s="65" customFormat="1"/>
    <row r="8767" s="65" customFormat="1"/>
    <row r="8768" s="65" customFormat="1"/>
    <row r="8769" s="65" customFormat="1"/>
    <row r="8770" s="65" customFormat="1"/>
    <row r="8771" s="65" customFormat="1"/>
    <row r="8772" s="65" customFormat="1"/>
    <row r="8773" s="65" customFormat="1"/>
    <row r="8774" s="65" customFormat="1"/>
    <row r="8775" s="65" customFormat="1"/>
    <row r="8776" s="65" customFormat="1"/>
    <row r="8777" s="65" customFormat="1"/>
    <row r="8778" s="65" customFormat="1"/>
    <row r="8779" s="65" customFormat="1"/>
    <row r="8780" s="65" customFormat="1"/>
    <row r="8781" s="65" customFormat="1"/>
    <row r="8782" s="65" customFormat="1"/>
    <row r="8783" s="65" customFormat="1"/>
    <row r="8784" s="65" customFormat="1"/>
    <row r="8785" s="65" customFormat="1"/>
    <row r="8786" s="65" customFormat="1"/>
    <row r="8787" s="65" customFormat="1"/>
    <row r="8788" s="65" customFormat="1"/>
    <row r="8789" s="65" customFormat="1"/>
    <row r="8790" s="65" customFormat="1"/>
    <row r="8791" s="65" customFormat="1"/>
    <row r="8792" s="65" customFormat="1"/>
    <row r="8793" s="65" customFormat="1"/>
    <row r="8794" s="65" customFormat="1"/>
    <row r="8795" s="65" customFormat="1"/>
    <row r="8796" s="65" customFormat="1"/>
    <row r="8797" s="65" customFormat="1"/>
    <row r="8798" s="65" customFormat="1"/>
    <row r="8799" s="65" customFormat="1"/>
    <row r="8800" s="65" customFormat="1"/>
    <row r="8801" s="65" customFormat="1"/>
    <row r="8802" s="65" customFormat="1"/>
    <row r="8803" s="65" customFormat="1"/>
    <row r="8804" s="65" customFormat="1"/>
    <row r="8805" s="65" customFormat="1"/>
    <row r="8806" s="65" customFormat="1"/>
    <row r="8807" s="65" customFormat="1"/>
    <row r="8808" s="65" customFormat="1"/>
    <row r="8809" s="65" customFormat="1"/>
    <row r="8810" s="65" customFormat="1"/>
    <row r="8811" s="65" customFormat="1"/>
    <row r="8812" s="65" customFormat="1"/>
    <row r="8813" s="65" customFormat="1"/>
    <row r="8814" s="65" customFormat="1"/>
    <row r="8815" s="65" customFormat="1"/>
    <row r="8816" s="65" customFormat="1"/>
    <row r="8817" s="65" customFormat="1"/>
    <row r="8818" s="65" customFormat="1"/>
    <row r="8819" s="65" customFormat="1"/>
    <row r="8820" s="65" customFormat="1"/>
    <row r="8821" s="65" customFormat="1"/>
    <row r="8822" s="65" customFormat="1"/>
    <row r="8823" s="65" customFormat="1"/>
    <row r="8824" s="65" customFormat="1"/>
    <row r="8825" s="65" customFormat="1"/>
    <row r="8826" s="65" customFormat="1"/>
    <row r="8827" s="65" customFormat="1"/>
    <row r="8828" s="65" customFormat="1"/>
    <row r="8829" s="65" customFormat="1"/>
    <row r="8830" s="65" customFormat="1"/>
    <row r="8831" s="65" customFormat="1"/>
    <row r="8832" s="65" customFormat="1"/>
    <row r="8833" s="65" customFormat="1"/>
    <row r="8834" s="65" customFormat="1"/>
    <row r="8835" s="65" customFormat="1"/>
    <row r="8836" s="65" customFormat="1"/>
    <row r="8837" s="65" customFormat="1"/>
    <row r="8838" s="65" customFormat="1"/>
    <row r="8839" s="65" customFormat="1"/>
    <row r="8840" s="65" customFormat="1"/>
    <row r="8841" s="65" customFormat="1"/>
    <row r="8842" s="65" customFormat="1"/>
    <row r="8843" s="65" customFormat="1"/>
    <row r="8844" s="65" customFormat="1"/>
    <row r="8845" s="65" customFormat="1"/>
    <row r="8846" s="65" customFormat="1"/>
    <row r="8847" s="65" customFormat="1"/>
    <row r="8848" s="65" customFormat="1"/>
    <row r="8849" s="65" customFormat="1"/>
    <row r="8850" s="65" customFormat="1"/>
    <row r="8851" s="65" customFormat="1"/>
    <row r="8852" s="65" customFormat="1"/>
    <row r="8853" s="65" customFormat="1"/>
    <row r="8854" s="65" customFormat="1"/>
    <row r="8855" s="65" customFormat="1"/>
    <row r="8856" s="65" customFormat="1"/>
    <row r="8857" s="65" customFormat="1"/>
    <row r="8858" s="65" customFormat="1"/>
    <row r="8859" s="65" customFormat="1"/>
    <row r="8860" s="65" customFormat="1"/>
    <row r="8861" s="65" customFormat="1"/>
    <row r="8862" s="65" customFormat="1"/>
    <row r="8863" s="65" customFormat="1"/>
    <row r="8864" s="65" customFormat="1"/>
    <row r="8865" s="65" customFormat="1"/>
    <row r="8866" s="65" customFormat="1"/>
    <row r="8867" s="65" customFormat="1"/>
    <row r="8868" s="65" customFormat="1"/>
    <row r="8869" s="65" customFormat="1"/>
    <row r="8870" s="65" customFormat="1"/>
    <row r="8871" s="65" customFormat="1"/>
    <row r="8872" s="65" customFormat="1"/>
    <row r="8873" s="65" customFormat="1"/>
    <row r="8874" s="65" customFormat="1"/>
    <row r="8875" s="65" customFormat="1"/>
    <row r="8876" s="65" customFormat="1"/>
    <row r="8877" s="65" customFormat="1"/>
    <row r="8878" s="65" customFormat="1"/>
    <row r="8879" s="65" customFormat="1"/>
    <row r="8880" s="65" customFormat="1"/>
    <row r="8881" s="65" customFormat="1"/>
    <row r="8882" s="65" customFormat="1"/>
    <row r="8883" s="65" customFormat="1"/>
    <row r="8884" s="65" customFormat="1"/>
    <row r="8885" s="65" customFormat="1"/>
    <row r="8886" s="65" customFormat="1"/>
    <row r="8887" s="65" customFormat="1"/>
    <row r="8888" s="65" customFormat="1"/>
    <row r="8889" s="65" customFormat="1"/>
    <row r="8890" s="65" customFormat="1"/>
    <row r="8891" s="65" customFormat="1"/>
    <row r="8892" s="65" customFormat="1"/>
    <row r="8893" s="65" customFormat="1"/>
    <row r="8894" s="65" customFormat="1"/>
    <row r="8895" s="65" customFormat="1"/>
    <row r="8896" s="65" customFormat="1"/>
    <row r="8897" s="65" customFormat="1"/>
    <row r="8898" s="65" customFormat="1"/>
    <row r="8899" s="65" customFormat="1"/>
    <row r="8900" s="65" customFormat="1"/>
    <row r="8901" s="65" customFormat="1"/>
    <row r="8902" s="65" customFormat="1"/>
    <row r="8903" s="65" customFormat="1"/>
    <row r="8904" s="65" customFormat="1"/>
    <row r="8905" s="65" customFormat="1"/>
    <row r="8906" s="65" customFormat="1"/>
    <row r="8907" s="65" customFormat="1"/>
    <row r="8908" s="65" customFormat="1"/>
    <row r="8909" s="65" customFormat="1"/>
    <row r="8910" s="65" customFormat="1"/>
    <row r="8911" s="65" customFormat="1"/>
    <row r="8912" s="65" customFormat="1"/>
    <row r="8913" s="65" customFormat="1"/>
    <row r="8914" s="65" customFormat="1"/>
    <row r="8915" s="65" customFormat="1"/>
    <row r="8916" s="65" customFormat="1"/>
    <row r="8917" s="65" customFormat="1"/>
    <row r="8918" s="65" customFormat="1"/>
    <row r="8919" s="65" customFormat="1"/>
    <row r="8920" s="65" customFormat="1"/>
    <row r="8921" s="65" customFormat="1"/>
    <row r="8922" s="65" customFormat="1"/>
    <row r="8923" s="65" customFormat="1"/>
    <row r="8924" s="65" customFormat="1"/>
    <row r="8925" s="65" customFormat="1"/>
    <row r="8926" s="65" customFormat="1"/>
    <row r="8927" s="65" customFormat="1"/>
    <row r="8928" s="65" customFormat="1"/>
    <row r="8929" s="65" customFormat="1"/>
    <row r="8930" s="65" customFormat="1"/>
    <row r="8931" s="65" customFormat="1"/>
    <row r="8932" s="65" customFormat="1"/>
    <row r="8933" s="65" customFormat="1"/>
    <row r="8934" s="65" customFormat="1"/>
    <row r="8935" s="65" customFormat="1"/>
    <row r="8936" s="65" customFormat="1"/>
    <row r="8937" s="65" customFormat="1"/>
    <row r="8938" s="65" customFormat="1"/>
    <row r="8939" s="65" customFormat="1"/>
    <row r="8940" s="65" customFormat="1"/>
    <row r="8941" s="65" customFormat="1"/>
    <row r="8942" s="65" customFormat="1"/>
    <row r="8943" s="65" customFormat="1"/>
    <row r="8944" s="65" customFormat="1"/>
    <row r="8945" s="65" customFormat="1"/>
    <row r="8946" s="65" customFormat="1"/>
    <row r="8947" s="65" customFormat="1"/>
    <row r="8948" s="65" customFormat="1"/>
    <row r="8949" s="65" customFormat="1"/>
    <row r="8950" s="65" customFormat="1"/>
    <row r="8951" s="65" customFormat="1"/>
    <row r="8952" s="65" customFormat="1"/>
    <row r="8953" s="65" customFormat="1"/>
    <row r="8954" s="65" customFormat="1"/>
    <row r="8955" s="65" customFormat="1"/>
    <row r="8956" s="65" customFormat="1"/>
    <row r="8957" s="65" customFormat="1"/>
    <row r="8958" s="65" customFormat="1"/>
    <row r="8959" s="65" customFormat="1"/>
    <row r="8960" s="65" customFormat="1"/>
    <row r="8961" s="65" customFormat="1"/>
    <row r="8962" s="65" customFormat="1"/>
    <row r="8963" s="65" customFormat="1"/>
    <row r="8964" s="65" customFormat="1"/>
    <row r="8965" s="65" customFormat="1"/>
    <row r="8966" s="65" customFormat="1"/>
    <row r="8967" s="65" customFormat="1"/>
    <row r="8968" s="65" customFormat="1"/>
    <row r="8969" s="65" customFormat="1"/>
    <row r="8970" s="65" customFormat="1"/>
    <row r="8971" s="65" customFormat="1"/>
    <row r="8972" s="65" customFormat="1"/>
    <row r="8973" s="65" customFormat="1"/>
    <row r="8974" s="65" customFormat="1"/>
    <row r="8975" s="65" customFormat="1"/>
    <row r="8976" s="65" customFormat="1"/>
    <row r="8977" s="65" customFormat="1"/>
    <row r="8978" s="65" customFormat="1"/>
    <row r="8979" s="65" customFormat="1"/>
    <row r="8980" s="65" customFormat="1"/>
    <row r="8981" s="65" customFormat="1"/>
    <row r="8982" s="65" customFormat="1"/>
    <row r="8983" s="65" customFormat="1"/>
    <row r="8984" s="65" customFormat="1"/>
    <row r="8985" s="65" customFormat="1"/>
    <row r="8986" s="65" customFormat="1"/>
    <row r="8987" s="65" customFormat="1"/>
    <row r="8988" s="65" customFormat="1"/>
    <row r="8989" s="65" customFormat="1"/>
    <row r="8990" s="65" customFormat="1"/>
    <row r="8991" s="65" customFormat="1"/>
    <row r="8992" s="65" customFormat="1"/>
    <row r="8993" s="65" customFormat="1"/>
    <row r="8994" s="65" customFormat="1"/>
    <row r="8995" s="65" customFormat="1"/>
    <row r="8996" s="65" customFormat="1"/>
    <row r="8997" s="65" customFormat="1"/>
    <row r="8998" s="65" customFormat="1"/>
    <row r="8999" s="65" customFormat="1"/>
    <row r="9000" s="65" customFormat="1"/>
    <row r="9001" s="65" customFormat="1"/>
    <row r="9002" s="65" customFormat="1"/>
    <row r="9003" s="65" customFormat="1"/>
    <row r="9004" s="65" customFormat="1"/>
    <row r="9005" s="65" customFormat="1"/>
    <row r="9006" s="65" customFormat="1"/>
    <row r="9007" s="65" customFormat="1"/>
    <row r="9008" s="65" customFormat="1"/>
    <row r="9009" s="65" customFormat="1"/>
    <row r="9010" s="65" customFormat="1"/>
    <row r="9011" s="65" customFormat="1"/>
    <row r="9012" s="65" customFormat="1"/>
    <row r="9013" s="65" customFormat="1"/>
    <row r="9014" s="65" customFormat="1"/>
    <row r="9015" s="65" customFormat="1"/>
    <row r="9016" s="65" customFormat="1"/>
    <row r="9017" s="65" customFormat="1"/>
    <row r="9018" s="65" customFormat="1"/>
    <row r="9019" s="65" customFormat="1"/>
    <row r="9020" s="65" customFormat="1"/>
    <row r="9021" s="65" customFormat="1"/>
    <row r="9022" s="65" customFormat="1"/>
    <row r="9023" s="65" customFormat="1"/>
    <row r="9024" s="65" customFormat="1"/>
    <row r="9025" s="65" customFormat="1"/>
    <row r="9026" s="65" customFormat="1"/>
    <row r="9027" s="65" customFormat="1"/>
    <row r="9028" s="65" customFormat="1"/>
    <row r="9029" s="65" customFormat="1"/>
    <row r="9030" s="65" customFormat="1"/>
    <row r="9031" s="65" customFormat="1"/>
    <row r="9032" s="65" customFormat="1"/>
    <row r="9033" s="65" customFormat="1"/>
    <row r="9034" s="65" customFormat="1"/>
    <row r="9035" s="65" customFormat="1"/>
    <row r="9036" s="65" customFormat="1"/>
    <row r="9037" s="65" customFormat="1"/>
    <row r="9038" s="65" customFormat="1"/>
    <row r="9039" s="65" customFormat="1"/>
    <row r="9040" s="65" customFormat="1"/>
    <row r="9041" s="65" customFormat="1"/>
    <row r="9042" s="65" customFormat="1"/>
    <row r="9043" s="65" customFormat="1"/>
    <row r="9044" s="65" customFormat="1"/>
    <row r="9045" s="65" customFormat="1"/>
    <row r="9046" s="65" customFormat="1"/>
    <row r="9047" s="65" customFormat="1"/>
    <row r="9048" s="65" customFormat="1"/>
    <row r="9049" s="65" customFormat="1"/>
    <row r="9050" s="65" customFormat="1"/>
    <row r="9051" s="65" customFormat="1"/>
    <row r="9052" s="65" customFormat="1"/>
    <row r="9053" s="65" customFormat="1"/>
    <row r="9054" s="65" customFormat="1"/>
    <row r="9055" s="65" customFormat="1"/>
    <row r="9056" s="65" customFormat="1"/>
    <row r="9057" s="65" customFormat="1"/>
    <row r="9058" s="65" customFormat="1"/>
    <row r="9059" s="65" customFormat="1"/>
    <row r="9060" s="65" customFormat="1"/>
    <row r="9061" s="65" customFormat="1"/>
    <row r="9062" s="65" customFormat="1"/>
    <row r="9063" s="65" customFormat="1"/>
    <row r="9064" s="65" customFormat="1"/>
    <row r="9065" s="65" customFormat="1"/>
    <row r="9066" s="65" customFormat="1"/>
    <row r="9067" s="65" customFormat="1"/>
    <row r="9068" s="65" customFormat="1"/>
    <row r="9069" s="65" customFormat="1"/>
    <row r="9070" s="65" customFormat="1"/>
    <row r="9071" s="65" customFormat="1"/>
    <row r="9072" s="65" customFormat="1"/>
    <row r="9073" s="65" customFormat="1"/>
    <row r="9074" s="65" customFormat="1"/>
    <row r="9075" s="65" customFormat="1"/>
    <row r="9076" s="65" customFormat="1"/>
    <row r="9077" s="65" customFormat="1"/>
    <row r="9078" s="65" customFormat="1"/>
    <row r="9079" s="65" customFormat="1"/>
    <row r="9080" s="65" customFormat="1"/>
    <row r="9081" s="65" customFormat="1"/>
    <row r="9082" s="65" customFormat="1"/>
    <row r="9083" s="65" customFormat="1"/>
    <row r="9084" s="65" customFormat="1"/>
    <row r="9085" s="65" customFormat="1"/>
    <row r="9086" s="65" customFormat="1"/>
    <row r="9087" s="65" customFormat="1"/>
    <row r="9088" s="65" customFormat="1"/>
    <row r="9089" s="65" customFormat="1"/>
    <row r="9090" s="65" customFormat="1"/>
    <row r="9091" s="65" customFormat="1"/>
    <row r="9092" s="65" customFormat="1"/>
    <row r="9093" s="65" customFormat="1"/>
    <row r="9094" s="65" customFormat="1"/>
    <row r="9095" s="65" customFormat="1"/>
    <row r="9096" s="65" customFormat="1"/>
    <row r="9097" s="65" customFormat="1"/>
    <row r="9098" s="65" customFormat="1"/>
    <row r="9099" s="65" customFormat="1"/>
    <row r="9100" s="65" customFormat="1"/>
    <row r="9101" s="65" customFormat="1"/>
    <row r="9102" s="65" customFormat="1"/>
    <row r="9103" s="65" customFormat="1"/>
    <row r="9104" s="65" customFormat="1"/>
    <row r="9105" s="65" customFormat="1"/>
    <row r="9106" s="65" customFormat="1"/>
    <row r="9107" s="65" customFormat="1"/>
    <row r="9108" s="65" customFormat="1"/>
    <row r="9109" s="65" customFormat="1"/>
    <row r="9110" s="65" customFormat="1"/>
    <row r="9111" s="65" customFormat="1"/>
    <row r="9112" s="65" customFormat="1"/>
    <row r="9113" s="65" customFormat="1"/>
    <row r="9114" s="65" customFormat="1"/>
    <row r="9115" s="65" customFormat="1"/>
    <row r="9116" s="65" customFormat="1"/>
    <row r="9117" s="65" customFormat="1"/>
    <row r="9118" s="65" customFormat="1"/>
    <row r="9119" s="65" customFormat="1"/>
    <row r="9120" s="65" customFormat="1"/>
    <row r="9121" s="65" customFormat="1"/>
    <row r="9122" s="65" customFormat="1"/>
    <row r="9123" s="65" customFormat="1"/>
    <row r="9124" s="65" customFormat="1"/>
    <row r="9125" s="65" customFormat="1"/>
    <row r="9126" s="65" customFormat="1"/>
    <row r="9127" s="65" customFormat="1"/>
    <row r="9128" s="65" customFormat="1"/>
    <row r="9129" s="65" customFormat="1"/>
    <row r="9130" s="65" customFormat="1"/>
    <row r="9131" s="65" customFormat="1"/>
    <row r="9132" s="65" customFormat="1"/>
    <row r="9133" s="65" customFormat="1"/>
    <row r="9134" s="65" customFormat="1"/>
    <row r="9135" s="65" customFormat="1"/>
    <row r="9136" s="65" customFormat="1"/>
    <row r="9137" s="65" customFormat="1"/>
    <row r="9138" s="65" customFormat="1"/>
    <row r="9139" s="65" customFormat="1"/>
    <row r="9140" s="65" customFormat="1"/>
    <row r="9141" s="65" customFormat="1"/>
    <row r="9142" s="65" customFormat="1"/>
    <row r="9143" s="65" customFormat="1"/>
    <row r="9144" s="65" customFormat="1"/>
    <row r="9145" s="65" customFormat="1"/>
    <row r="9146" s="65" customFormat="1"/>
    <row r="9147" s="65" customFormat="1"/>
    <row r="9148" s="65" customFormat="1"/>
    <row r="9149" s="65" customFormat="1"/>
    <row r="9150" s="65" customFormat="1"/>
    <row r="9151" s="65" customFormat="1"/>
    <row r="9152" s="65" customFormat="1"/>
    <row r="9153" s="65" customFormat="1"/>
    <row r="9154" s="65" customFormat="1"/>
    <row r="9155" s="65" customFormat="1"/>
    <row r="9156" s="65" customFormat="1"/>
    <row r="9157" s="65" customFormat="1"/>
    <row r="9158" s="65" customFormat="1"/>
    <row r="9159" s="65" customFormat="1"/>
    <row r="9160" s="65" customFormat="1"/>
    <row r="9161" s="65" customFormat="1"/>
    <row r="9162" s="65" customFormat="1"/>
    <row r="9163" s="65" customFormat="1"/>
    <row r="9164" s="65" customFormat="1"/>
    <row r="9165" s="65" customFormat="1"/>
    <row r="9166" s="65" customFormat="1"/>
    <row r="9167" s="65" customFormat="1"/>
    <row r="9168" s="65" customFormat="1"/>
    <row r="9169" s="65" customFormat="1"/>
    <row r="9170" s="65" customFormat="1"/>
    <row r="9171" s="65" customFormat="1"/>
    <row r="9172" s="65" customFormat="1"/>
    <row r="9173" s="65" customFormat="1"/>
    <row r="9174" s="65" customFormat="1"/>
    <row r="9175" s="65" customFormat="1"/>
    <row r="9176" s="65" customFormat="1"/>
    <row r="9177" s="65" customFormat="1"/>
    <row r="9178" s="65" customFormat="1"/>
    <row r="9179" s="65" customFormat="1"/>
    <row r="9180" s="65" customFormat="1"/>
    <row r="9181" s="65" customFormat="1"/>
    <row r="9182" s="65" customFormat="1"/>
    <row r="9183" s="65" customFormat="1"/>
    <row r="9184" s="65" customFormat="1"/>
    <row r="9185" s="65" customFormat="1"/>
    <row r="9186" s="65" customFormat="1"/>
    <row r="9187" s="65" customFormat="1"/>
    <row r="9188" s="65" customFormat="1"/>
    <row r="9189" s="65" customFormat="1"/>
    <row r="9190" s="65" customFormat="1"/>
    <row r="9191" s="65" customFormat="1"/>
    <row r="9192" s="65" customFormat="1"/>
    <row r="9193" s="65" customFormat="1"/>
    <row r="9194" s="65" customFormat="1"/>
    <row r="9195" s="65" customFormat="1"/>
    <row r="9196" s="65" customFormat="1"/>
    <row r="9197" s="65" customFormat="1"/>
    <row r="9198" s="65" customFormat="1"/>
    <row r="9199" s="65" customFormat="1"/>
    <row r="9200" s="65" customFormat="1"/>
    <row r="9201" s="65" customFormat="1"/>
    <row r="9202" s="65" customFormat="1"/>
    <row r="9203" s="65" customFormat="1"/>
    <row r="9204" s="65" customFormat="1"/>
    <row r="9205" s="65" customFormat="1"/>
    <row r="9206" s="65" customFormat="1"/>
    <row r="9207" s="65" customFormat="1"/>
    <row r="9208" s="65" customFormat="1"/>
    <row r="9209" s="65" customFormat="1"/>
    <row r="9210" s="65" customFormat="1"/>
    <row r="9211" s="65" customFormat="1"/>
    <row r="9212" s="65" customFormat="1"/>
    <row r="9213" s="65" customFormat="1"/>
    <row r="9214" s="65" customFormat="1"/>
    <row r="9215" s="65" customFormat="1"/>
    <row r="9216" s="65" customFormat="1"/>
    <row r="9217" s="65" customFormat="1"/>
    <row r="9218" s="65" customFormat="1"/>
    <row r="9219" s="65" customFormat="1"/>
    <row r="9220" s="65" customFormat="1"/>
    <row r="9221" s="65" customFormat="1"/>
    <row r="9222" s="65" customFormat="1"/>
    <row r="9223" s="65" customFormat="1"/>
    <row r="9224" s="65" customFormat="1"/>
    <row r="9225" s="65" customFormat="1"/>
    <row r="9226" s="65" customFormat="1"/>
    <row r="9227" s="65" customFormat="1"/>
    <row r="9228" s="65" customFormat="1"/>
    <row r="9229" s="65" customFormat="1"/>
    <row r="9230" s="65" customFormat="1"/>
    <row r="9231" s="65" customFormat="1"/>
    <row r="9232" s="65" customFormat="1"/>
    <row r="9233" s="65" customFormat="1"/>
    <row r="9234" s="65" customFormat="1"/>
    <row r="9235" s="65" customFormat="1"/>
    <row r="9236" s="65" customFormat="1"/>
    <row r="9237" s="65" customFormat="1"/>
    <row r="9238" s="65" customFormat="1"/>
    <row r="9239" s="65" customFormat="1"/>
    <row r="9240" s="65" customFormat="1"/>
    <row r="9241" s="65" customFormat="1"/>
    <row r="9242" s="65" customFormat="1"/>
    <row r="9243" s="65" customFormat="1"/>
    <row r="9244" s="65" customFormat="1"/>
    <row r="9245" s="65" customFormat="1"/>
    <row r="9246" s="65" customFormat="1"/>
    <row r="9247" s="65" customFormat="1"/>
    <row r="9248" s="65" customFormat="1"/>
    <row r="9249" s="65" customFormat="1"/>
    <row r="9250" s="65" customFormat="1"/>
    <row r="9251" s="65" customFormat="1"/>
    <row r="9252" s="65" customFormat="1"/>
    <row r="9253" s="65" customFormat="1"/>
    <row r="9254" s="65" customFormat="1"/>
    <row r="9255" s="65" customFormat="1"/>
    <row r="9256" s="65" customFormat="1"/>
    <row r="9257" s="65" customFormat="1"/>
    <row r="9258" s="65" customFormat="1"/>
    <row r="9259" s="65" customFormat="1"/>
    <row r="9260" s="65" customFormat="1"/>
    <row r="9261" s="65" customFormat="1"/>
    <row r="9262" s="65" customFormat="1"/>
    <row r="9263" s="65" customFormat="1"/>
    <row r="9264" s="65" customFormat="1"/>
    <row r="9265" s="65" customFormat="1"/>
    <row r="9266" s="65" customFormat="1"/>
    <row r="9267" s="65" customFormat="1"/>
    <row r="9268" s="65" customFormat="1"/>
    <row r="9269" s="65" customFormat="1"/>
    <row r="9270" s="65" customFormat="1"/>
    <row r="9271" s="65" customFormat="1"/>
    <row r="9272" s="65" customFormat="1"/>
    <row r="9273" s="65" customFormat="1"/>
    <row r="9274" s="65" customFormat="1"/>
    <row r="9275" s="65" customFormat="1"/>
    <row r="9276" s="65" customFormat="1"/>
    <row r="9277" s="65" customFormat="1"/>
    <row r="9278" s="65" customFormat="1"/>
    <row r="9279" s="65" customFormat="1"/>
    <row r="9280" s="65" customFormat="1"/>
    <row r="9281" s="65" customFormat="1"/>
    <row r="9282" s="65" customFormat="1"/>
    <row r="9283" s="65" customFormat="1"/>
    <row r="9284" s="65" customFormat="1"/>
    <row r="9285" s="65" customFormat="1"/>
    <row r="9286" s="65" customFormat="1"/>
    <row r="9287" s="65" customFormat="1"/>
    <row r="9288" s="65" customFormat="1"/>
    <row r="9289" s="65" customFormat="1"/>
    <row r="9290" s="65" customFormat="1"/>
    <row r="9291" s="65" customFormat="1"/>
    <row r="9292" s="65" customFormat="1"/>
    <row r="9293" s="65" customFormat="1"/>
    <row r="9294" s="65" customFormat="1"/>
    <row r="9295" s="65" customFormat="1"/>
    <row r="9296" s="65" customFormat="1"/>
    <row r="9297" s="65" customFormat="1"/>
    <row r="9298" s="65" customFormat="1"/>
    <row r="9299" s="65" customFormat="1"/>
    <row r="9300" s="65" customFormat="1"/>
    <row r="9301" s="65" customFormat="1"/>
    <row r="9302" s="65" customFormat="1"/>
    <row r="9303" s="65" customFormat="1"/>
    <row r="9304" s="65" customFormat="1"/>
    <row r="9305" s="65" customFormat="1"/>
    <row r="9306" s="65" customFormat="1"/>
    <row r="9307" s="65" customFormat="1"/>
    <row r="9308" s="65" customFormat="1"/>
    <row r="9309" s="65" customFormat="1"/>
    <row r="9310" s="65" customFormat="1"/>
    <row r="9311" s="65" customFormat="1"/>
    <row r="9312" s="65" customFormat="1"/>
    <row r="9313" s="65" customFormat="1"/>
    <row r="9314" s="65" customFormat="1"/>
    <row r="9315" s="65" customFormat="1"/>
    <row r="9316" s="65" customFormat="1"/>
    <row r="9317" s="65" customFormat="1"/>
    <row r="9318" s="65" customFormat="1"/>
    <row r="9319" s="65" customFormat="1"/>
    <row r="9320" s="65" customFormat="1"/>
    <row r="9321" s="65" customFormat="1"/>
    <row r="9322" s="65" customFormat="1"/>
    <row r="9323" s="65" customFormat="1"/>
    <row r="9324" s="65" customFormat="1"/>
    <row r="9325" s="65" customFormat="1"/>
    <row r="9326" s="65" customFormat="1"/>
    <row r="9327" s="65" customFormat="1"/>
    <row r="9328" s="65" customFormat="1"/>
    <row r="9329" s="65" customFormat="1"/>
    <row r="9330" s="65" customFormat="1"/>
    <row r="9331" s="65" customFormat="1"/>
    <row r="9332" s="65" customFormat="1"/>
    <row r="9333" s="65" customFormat="1"/>
    <row r="9334" s="65" customFormat="1"/>
    <row r="9335" s="65" customFormat="1"/>
    <row r="9336" s="65" customFormat="1"/>
    <row r="9337" s="65" customFormat="1"/>
    <row r="9338" s="65" customFormat="1"/>
    <row r="9339" s="65" customFormat="1"/>
    <row r="9340" s="65" customFormat="1"/>
    <row r="9341" s="65" customFormat="1"/>
    <row r="9342" s="65" customFormat="1"/>
    <row r="9343" s="65" customFormat="1"/>
    <row r="9344" s="65" customFormat="1"/>
    <row r="9345" s="65" customFormat="1"/>
    <row r="9346" s="65" customFormat="1"/>
    <row r="9347" s="65" customFormat="1"/>
    <row r="9348" s="65" customFormat="1"/>
    <row r="9349" s="65" customFormat="1"/>
    <row r="9350" s="65" customFormat="1"/>
    <row r="9351" s="65" customFormat="1"/>
    <row r="9352" s="65" customFormat="1"/>
    <row r="9353" s="65" customFormat="1"/>
    <row r="9354" s="65" customFormat="1"/>
    <row r="9355" s="65" customFormat="1"/>
    <row r="9356" s="65" customFormat="1"/>
    <row r="9357" s="65" customFormat="1"/>
    <row r="9358" s="65" customFormat="1"/>
    <row r="9359" s="65" customFormat="1"/>
    <row r="9360" s="65" customFormat="1"/>
    <row r="9361" s="65" customFormat="1"/>
    <row r="9362" s="65" customFormat="1"/>
    <row r="9363" s="65" customFormat="1"/>
    <row r="9364" s="65" customFormat="1"/>
    <row r="9365" s="65" customFormat="1"/>
    <row r="9366" s="65" customFormat="1"/>
    <row r="9367" s="65" customFormat="1"/>
    <row r="9368" s="65" customFormat="1"/>
    <row r="9369" s="65" customFormat="1"/>
    <row r="9370" s="65" customFormat="1"/>
    <row r="9371" s="65" customFormat="1"/>
    <row r="9372" s="65" customFormat="1"/>
    <row r="9373" s="65" customFormat="1"/>
    <row r="9374" s="65" customFormat="1"/>
    <row r="9375" s="65" customFormat="1"/>
    <row r="9376" s="65" customFormat="1"/>
    <row r="9377" s="65" customFormat="1"/>
    <row r="9378" s="65" customFormat="1"/>
    <row r="9379" s="65" customFormat="1"/>
    <row r="9380" s="65" customFormat="1"/>
    <row r="9381" s="65" customFormat="1"/>
    <row r="9382" s="65" customFormat="1"/>
    <row r="9383" s="65" customFormat="1"/>
    <row r="9384" s="65" customFormat="1"/>
    <row r="9385" s="65" customFormat="1"/>
    <row r="9386" s="65" customFormat="1"/>
    <row r="9387" s="65" customFormat="1"/>
    <row r="9388" s="65" customFormat="1"/>
    <row r="9389" s="65" customFormat="1"/>
    <row r="9390" s="65" customFormat="1"/>
    <row r="9391" s="65" customFormat="1"/>
    <row r="9392" s="65" customFormat="1"/>
    <row r="9393" s="65" customFormat="1"/>
    <row r="9394" s="65" customFormat="1"/>
    <row r="9395" s="65" customFormat="1"/>
    <row r="9396" s="65" customFormat="1"/>
    <row r="9397" s="65" customFormat="1"/>
    <row r="9398" s="65" customFormat="1"/>
    <row r="9399" s="65" customFormat="1"/>
    <row r="9400" s="65" customFormat="1"/>
    <row r="9401" s="65" customFormat="1"/>
    <row r="9402" s="65" customFormat="1"/>
    <row r="9403" s="65" customFormat="1"/>
    <row r="9404" s="65" customFormat="1"/>
    <row r="9405" s="65" customFormat="1"/>
    <row r="9406" s="65" customFormat="1"/>
    <row r="9407" s="65" customFormat="1"/>
    <row r="9408" s="65" customFormat="1"/>
    <row r="9409" s="65" customFormat="1"/>
    <row r="9410" s="65" customFormat="1"/>
    <row r="9411" s="65" customFormat="1"/>
    <row r="9412" s="65" customFormat="1"/>
    <row r="9413" s="65" customFormat="1"/>
    <row r="9414" s="65" customFormat="1"/>
    <row r="9415" s="65" customFormat="1"/>
    <row r="9416" s="65" customFormat="1"/>
    <row r="9417" s="65" customFormat="1"/>
    <row r="9418" s="65" customFormat="1"/>
    <row r="9419" s="65" customFormat="1"/>
    <row r="9420" s="65" customFormat="1"/>
    <row r="9421" s="65" customFormat="1"/>
    <row r="9422" s="65" customFormat="1"/>
    <row r="9423" s="65" customFormat="1"/>
    <row r="9424" s="65" customFormat="1"/>
    <row r="9425" s="65" customFormat="1"/>
    <row r="9426" s="65" customFormat="1"/>
    <row r="9427" s="65" customFormat="1"/>
    <row r="9428" s="65" customFormat="1"/>
    <row r="9429" s="65" customFormat="1"/>
    <row r="9430" s="65" customFormat="1"/>
    <row r="9431" s="65" customFormat="1"/>
    <row r="9432" s="65" customFormat="1"/>
    <row r="9433" s="65" customFormat="1"/>
    <row r="9434" s="65" customFormat="1"/>
    <row r="9435" s="65" customFormat="1"/>
    <row r="9436" s="65" customFormat="1"/>
    <row r="9437" s="65" customFormat="1"/>
    <row r="9438" s="65" customFormat="1"/>
    <row r="9439" s="65" customFormat="1"/>
    <row r="9440" s="65" customFormat="1"/>
    <row r="9441" s="65" customFormat="1"/>
    <row r="9442" s="65" customFormat="1"/>
    <row r="9443" s="65" customFormat="1"/>
    <row r="9444" s="65" customFormat="1"/>
    <row r="9445" s="65" customFormat="1"/>
    <row r="9446" s="65" customFormat="1"/>
    <row r="9447" s="65" customFormat="1"/>
    <row r="9448" s="65" customFormat="1"/>
    <row r="9449" s="65" customFormat="1"/>
    <row r="9450" s="65" customFormat="1"/>
    <row r="9451" s="65" customFormat="1"/>
    <row r="9452" s="65" customFormat="1"/>
    <row r="9453" s="65" customFormat="1"/>
    <row r="9454" s="65" customFormat="1"/>
    <row r="9455" s="65" customFormat="1"/>
    <row r="9456" s="65" customFormat="1"/>
    <row r="9457" s="65" customFormat="1"/>
    <row r="9458" s="65" customFormat="1"/>
    <row r="9459" s="65" customFormat="1"/>
    <row r="9460" s="65" customFormat="1"/>
    <row r="9461" s="65" customFormat="1"/>
    <row r="9462" s="65" customFormat="1"/>
    <row r="9463" s="65" customFormat="1"/>
    <row r="9464" s="65" customFormat="1"/>
    <row r="9465" s="65" customFormat="1"/>
    <row r="9466" s="65" customFormat="1"/>
    <row r="9467" s="65" customFormat="1"/>
    <row r="9468" s="65" customFormat="1"/>
    <row r="9469" s="65" customFormat="1"/>
    <row r="9470" s="65" customFormat="1"/>
    <row r="9471" s="65" customFormat="1"/>
    <row r="9472" s="65" customFormat="1"/>
    <row r="9473" s="65" customFormat="1"/>
    <row r="9474" s="65" customFormat="1"/>
    <row r="9475" s="65" customFormat="1"/>
    <row r="9476" s="65" customFormat="1"/>
    <row r="9477" s="65" customFormat="1"/>
    <row r="9478" s="65" customFormat="1"/>
    <row r="9479" s="65" customFormat="1"/>
    <row r="9480" s="65" customFormat="1"/>
    <row r="9481" s="65" customFormat="1"/>
    <row r="9482" s="65" customFormat="1"/>
    <row r="9483" s="65" customFormat="1"/>
    <row r="9484" s="65" customFormat="1"/>
    <row r="9485" s="65" customFormat="1"/>
    <row r="9486" s="65" customFormat="1"/>
    <row r="9487" s="65" customFormat="1"/>
    <row r="9488" s="65" customFormat="1"/>
    <row r="9489" s="65" customFormat="1"/>
    <row r="9490" s="65" customFormat="1"/>
    <row r="9491" s="65" customFormat="1"/>
    <row r="9492" s="65" customFormat="1"/>
    <row r="9493" s="65" customFormat="1"/>
    <row r="9494" s="65" customFormat="1"/>
    <row r="9495" s="65" customFormat="1"/>
    <row r="9496" s="65" customFormat="1"/>
    <row r="9497" s="65" customFormat="1"/>
    <row r="9498" s="65" customFormat="1"/>
    <row r="9499" s="65" customFormat="1"/>
    <row r="9500" s="65" customFormat="1"/>
    <row r="9501" s="65" customFormat="1"/>
    <row r="9502" s="65" customFormat="1"/>
    <row r="9503" s="65" customFormat="1"/>
    <row r="9504" s="65" customFormat="1"/>
    <row r="9505" s="65" customFormat="1"/>
    <row r="9506" s="65" customFormat="1"/>
    <row r="9507" s="65" customFormat="1"/>
    <row r="9508" s="65" customFormat="1"/>
    <row r="9509" s="65" customFormat="1"/>
    <row r="9510" s="65" customFormat="1"/>
    <row r="9511" s="65" customFormat="1"/>
    <row r="9512" s="65" customFormat="1"/>
    <row r="9513" s="65" customFormat="1"/>
    <row r="9514" s="65" customFormat="1"/>
    <row r="9515" s="65" customFormat="1"/>
    <row r="9516" s="65" customFormat="1"/>
    <row r="9517" s="65" customFormat="1"/>
    <row r="9518" s="65" customFormat="1"/>
    <row r="9519" s="65" customFormat="1"/>
    <row r="9520" s="65" customFormat="1"/>
    <row r="9521" s="65" customFormat="1"/>
    <row r="9522" s="65" customFormat="1"/>
    <row r="9523" s="65" customFormat="1"/>
    <row r="9524" s="65" customFormat="1"/>
    <row r="9525" s="65" customFormat="1"/>
    <row r="9526" s="65" customFormat="1"/>
    <row r="9527" s="65" customFormat="1"/>
    <row r="9528" s="65" customFormat="1"/>
    <row r="9529" s="65" customFormat="1"/>
    <row r="9530" s="65" customFormat="1"/>
    <row r="9531" s="65" customFormat="1"/>
    <row r="9532" s="65" customFormat="1"/>
    <row r="9533" s="65" customFormat="1"/>
    <row r="9534" s="65" customFormat="1"/>
    <row r="9535" s="65" customFormat="1"/>
    <row r="9536" s="65" customFormat="1"/>
    <row r="9537" s="65" customFormat="1"/>
    <row r="9538" s="65" customFormat="1"/>
    <row r="9539" s="65" customFormat="1"/>
    <row r="9540" s="65" customFormat="1"/>
    <row r="9541" s="65" customFormat="1"/>
    <row r="9542" s="65" customFormat="1"/>
    <row r="9543" s="65" customFormat="1"/>
    <row r="9544" s="65" customFormat="1"/>
    <row r="9545" s="65" customFormat="1"/>
    <row r="9546" s="65" customFormat="1"/>
    <row r="9547" s="65" customFormat="1"/>
    <row r="9548" s="65" customFormat="1"/>
    <row r="9549" s="65" customFormat="1"/>
    <row r="9550" s="65" customFormat="1"/>
    <row r="9551" s="65" customFormat="1"/>
    <row r="9552" s="65" customFormat="1"/>
    <row r="9553" s="65" customFormat="1"/>
    <row r="9554" s="65" customFormat="1"/>
    <row r="9555" s="65" customFormat="1"/>
    <row r="9556" s="65" customFormat="1"/>
    <row r="9557" s="65" customFormat="1"/>
    <row r="9558" s="65" customFormat="1"/>
    <row r="9559" s="65" customFormat="1"/>
    <row r="9560" s="65" customFormat="1"/>
    <row r="9561" s="65" customFormat="1"/>
    <row r="9562" s="65" customFormat="1"/>
    <row r="9563" s="65" customFormat="1"/>
    <row r="9564" s="65" customFormat="1"/>
    <row r="9565" s="65" customFormat="1"/>
    <row r="9566" s="65" customFormat="1"/>
    <row r="9567" s="65" customFormat="1"/>
    <row r="9568" s="65" customFormat="1"/>
    <row r="9569" s="65" customFormat="1"/>
    <row r="9570" s="65" customFormat="1"/>
    <row r="9571" s="65" customFormat="1"/>
    <row r="9572" s="65" customFormat="1"/>
    <row r="9573" s="65" customFormat="1"/>
    <row r="9574" s="65" customFormat="1"/>
    <row r="9575" s="65" customFormat="1"/>
    <row r="9576" s="65" customFormat="1"/>
    <row r="9577" s="65" customFormat="1"/>
    <row r="9578" s="65" customFormat="1"/>
    <row r="9579" s="65" customFormat="1"/>
    <row r="9580" s="65" customFormat="1"/>
    <row r="9581" s="65" customFormat="1"/>
    <row r="9582" s="65" customFormat="1"/>
    <row r="9583" s="65" customFormat="1"/>
    <row r="9584" s="65" customFormat="1"/>
    <row r="9585" s="65" customFormat="1"/>
    <row r="9586" s="65" customFormat="1"/>
    <row r="9587" s="65" customFormat="1"/>
    <row r="9588" s="65" customFormat="1"/>
    <row r="9589" s="65" customFormat="1"/>
    <row r="9590" s="65" customFormat="1"/>
    <row r="9591" s="65" customFormat="1"/>
    <row r="9592" s="65" customFormat="1"/>
    <row r="9593" s="65" customFormat="1"/>
    <row r="9594" s="65" customFormat="1"/>
    <row r="9595" s="65" customFormat="1"/>
    <row r="9596" s="65" customFormat="1"/>
    <row r="9597" s="65" customFormat="1"/>
    <row r="9598" s="65" customFormat="1"/>
    <row r="9599" s="65" customFormat="1"/>
    <row r="9600" s="65" customFormat="1"/>
    <row r="9601" s="65" customFormat="1"/>
    <row r="9602" s="65" customFormat="1"/>
    <row r="9603" s="65" customFormat="1"/>
    <row r="9604" s="65" customFormat="1"/>
    <row r="9605" s="65" customFormat="1"/>
    <row r="9606" s="65" customFormat="1"/>
    <row r="9607" s="65" customFormat="1"/>
    <row r="9608" s="65" customFormat="1"/>
    <row r="9609" s="65" customFormat="1"/>
    <row r="9610" s="65" customFormat="1"/>
    <row r="9611" s="65" customFormat="1"/>
    <row r="9612" s="65" customFormat="1"/>
    <row r="9613" s="65" customFormat="1"/>
    <row r="9614" s="65" customFormat="1"/>
    <row r="9615" s="65" customFormat="1"/>
    <row r="9616" s="65" customFormat="1"/>
    <row r="9617" s="65" customFormat="1"/>
    <row r="9618" s="65" customFormat="1"/>
    <row r="9619" s="65" customFormat="1"/>
    <row r="9620" s="65" customFormat="1"/>
    <row r="9621" s="65" customFormat="1"/>
    <row r="9622" s="65" customFormat="1"/>
    <row r="9623" s="65" customFormat="1"/>
    <row r="9624" s="65" customFormat="1"/>
    <row r="9625" s="65" customFormat="1"/>
    <row r="9626" s="65" customFormat="1"/>
    <row r="9627" s="65" customFormat="1"/>
    <row r="9628" s="65" customFormat="1"/>
    <row r="9629" s="65" customFormat="1"/>
    <row r="9630" s="65" customFormat="1"/>
    <row r="9631" s="65" customFormat="1"/>
    <row r="9632" s="65" customFormat="1"/>
    <row r="9633" s="65" customFormat="1"/>
    <row r="9634" s="65" customFormat="1"/>
    <row r="9635" s="65" customFormat="1"/>
    <row r="9636" s="65" customFormat="1"/>
    <row r="9637" s="65" customFormat="1"/>
    <row r="9638" s="65" customFormat="1"/>
    <row r="9639" s="65" customFormat="1"/>
    <row r="9640" s="65" customFormat="1"/>
    <row r="9641" s="65" customFormat="1"/>
    <row r="9642" s="65" customFormat="1"/>
    <row r="9643" s="65" customFormat="1"/>
    <row r="9644" s="65" customFormat="1"/>
    <row r="9645" s="65" customFormat="1"/>
    <row r="9646" s="65" customFormat="1"/>
    <row r="9647" s="65" customFormat="1"/>
    <row r="9648" s="65" customFormat="1"/>
    <row r="9649" s="65" customFormat="1"/>
    <row r="9650" s="65" customFormat="1"/>
    <row r="9651" s="65" customFormat="1"/>
    <row r="9652" s="65" customFormat="1"/>
    <row r="9653" s="65" customFormat="1"/>
    <row r="9654" s="65" customFormat="1"/>
    <row r="9655" s="65" customFormat="1"/>
    <row r="9656" s="65" customFormat="1"/>
    <row r="9657" s="65" customFormat="1"/>
    <row r="9658" s="65" customFormat="1"/>
    <row r="9659" s="65" customFormat="1"/>
    <row r="9660" s="65" customFormat="1"/>
    <row r="9661" s="65" customFormat="1"/>
    <row r="9662" s="65" customFormat="1"/>
    <row r="9663" s="65" customFormat="1"/>
    <row r="9664" s="65" customFormat="1"/>
    <row r="9665" s="65" customFormat="1"/>
    <row r="9666" s="65" customFormat="1"/>
    <row r="9667" s="65" customFormat="1"/>
    <row r="9668" s="65" customFormat="1"/>
    <row r="9669" s="65" customFormat="1"/>
    <row r="9670" s="65" customFormat="1"/>
    <row r="9671" s="65" customFormat="1"/>
    <row r="9672" s="65" customFormat="1"/>
    <row r="9673" s="65" customFormat="1"/>
    <row r="9674" s="65" customFormat="1"/>
    <row r="9675" s="65" customFormat="1"/>
    <row r="9676" s="65" customFormat="1"/>
    <row r="9677" s="65" customFormat="1"/>
    <row r="9678" s="65" customFormat="1"/>
    <row r="9679" s="65" customFormat="1"/>
    <row r="9680" s="65" customFormat="1"/>
    <row r="9681" s="65" customFormat="1"/>
    <row r="9682" s="65" customFormat="1"/>
    <row r="9683" s="65" customFormat="1"/>
    <row r="9684" s="65" customFormat="1"/>
    <row r="9685" s="65" customFormat="1"/>
    <row r="9686" s="65" customFormat="1"/>
    <row r="9687" s="65" customFormat="1"/>
    <row r="9688" s="65" customFormat="1"/>
    <row r="9689" s="65" customFormat="1"/>
    <row r="9690" s="65" customFormat="1"/>
    <row r="9691" s="65" customFormat="1"/>
    <row r="9692" s="65" customFormat="1"/>
    <row r="9693" s="65" customFormat="1"/>
    <row r="9694" s="65" customFormat="1"/>
    <row r="9695" s="65" customFormat="1"/>
    <row r="9696" s="65" customFormat="1"/>
    <row r="9697" s="65" customFormat="1"/>
    <row r="9698" s="65" customFormat="1"/>
    <row r="9699" s="65" customFormat="1"/>
    <row r="9700" s="65" customFormat="1"/>
    <row r="9701" s="65" customFormat="1"/>
    <row r="9702" s="65" customFormat="1"/>
    <row r="9703" s="65" customFormat="1"/>
    <row r="9704" s="65" customFormat="1"/>
    <row r="9705" s="65" customFormat="1"/>
    <row r="9706" s="65" customFormat="1"/>
    <row r="9707" s="65" customFormat="1"/>
    <row r="9708" s="65" customFormat="1"/>
    <row r="9709" s="65" customFormat="1"/>
    <row r="9710" s="65" customFormat="1"/>
    <row r="9711" s="65" customFormat="1"/>
    <row r="9712" s="65" customFormat="1"/>
    <row r="9713" s="65" customFormat="1"/>
    <row r="9714" s="65" customFormat="1"/>
    <row r="9715" s="65" customFormat="1"/>
    <row r="9716" s="65" customFormat="1"/>
    <row r="9717" s="65" customFormat="1"/>
    <row r="9718" s="65" customFormat="1"/>
    <row r="9719" s="65" customFormat="1"/>
    <row r="9720" s="65" customFormat="1"/>
    <row r="9721" s="65" customFormat="1"/>
    <row r="9722" s="65" customFormat="1"/>
    <row r="9723" s="65" customFormat="1"/>
    <row r="9724" s="65" customFormat="1"/>
    <row r="9725" s="65" customFormat="1"/>
    <row r="9726" s="65" customFormat="1"/>
    <row r="9727" s="65" customFormat="1"/>
    <row r="9728" s="65" customFormat="1"/>
    <row r="9729" s="65" customFormat="1"/>
    <row r="9730" s="65" customFormat="1"/>
    <row r="9731" s="65" customFormat="1"/>
    <row r="9732" s="65" customFormat="1"/>
    <row r="9733" s="65" customFormat="1"/>
    <row r="9734" s="65" customFormat="1"/>
    <row r="9735" s="65" customFormat="1"/>
    <row r="9736" s="65" customFormat="1"/>
    <row r="9737" s="65" customFormat="1"/>
    <row r="9738" s="65" customFormat="1"/>
    <row r="9739" s="65" customFormat="1"/>
    <row r="9740" s="65" customFormat="1"/>
    <row r="9741" s="65" customFormat="1"/>
    <row r="9742" s="65" customFormat="1"/>
    <row r="9743" s="65" customFormat="1"/>
    <row r="9744" s="65" customFormat="1"/>
    <row r="9745" s="65" customFormat="1"/>
    <row r="9746" s="65" customFormat="1"/>
    <row r="9747" s="65" customFormat="1"/>
    <row r="9748" s="65" customFormat="1"/>
    <row r="9749" s="65" customFormat="1"/>
    <row r="9750" s="65" customFormat="1"/>
    <row r="9751" s="65" customFormat="1"/>
    <row r="9752" s="65" customFormat="1"/>
    <row r="9753" s="65" customFormat="1"/>
    <row r="9754" s="65" customFormat="1"/>
    <row r="9755" s="65" customFormat="1"/>
    <row r="9756" s="65" customFormat="1"/>
    <row r="9757" s="65" customFormat="1"/>
    <row r="9758" s="65" customFormat="1"/>
    <row r="9759" s="65" customFormat="1"/>
    <row r="9760" s="65" customFormat="1"/>
    <row r="9761" s="65" customFormat="1"/>
    <row r="9762" s="65" customFormat="1"/>
    <row r="9763" s="65" customFormat="1"/>
    <row r="9764" s="65" customFormat="1"/>
    <row r="9765" s="65" customFormat="1"/>
    <row r="9766" s="65" customFormat="1"/>
    <row r="9767" s="65" customFormat="1"/>
    <row r="9768" s="65" customFormat="1"/>
    <row r="9769" s="65" customFormat="1"/>
    <row r="9770" s="65" customFormat="1"/>
    <row r="9771" s="65" customFormat="1"/>
    <row r="9772" s="65" customFormat="1"/>
    <row r="9773" s="65" customFormat="1"/>
    <row r="9774" s="65" customFormat="1"/>
    <row r="9775" s="65" customFormat="1"/>
    <row r="9776" s="65" customFormat="1"/>
    <row r="9777" s="65" customFormat="1"/>
    <row r="9778" s="65" customFormat="1"/>
    <row r="9779" s="65" customFormat="1"/>
    <row r="9780" s="65" customFormat="1"/>
    <row r="9781" s="65" customFormat="1"/>
    <row r="9782" s="65" customFormat="1"/>
    <row r="9783" s="65" customFormat="1"/>
    <row r="9784" s="65" customFormat="1"/>
    <row r="9785" s="65" customFormat="1"/>
    <row r="9786" s="65" customFormat="1"/>
    <row r="9787" s="65" customFormat="1"/>
    <row r="9788" s="65" customFormat="1"/>
    <row r="9789" s="65" customFormat="1"/>
    <row r="9790" s="65" customFormat="1"/>
    <row r="9791" s="65" customFormat="1"/>
    <row r="9792" s="65" customFormat="1"/>
    <row r="9793" s="65" customFormat="1"/>
    <row r="9794" s="65" customFormat="1"/>
    <row r="9795" s="65" customFormat="1"/>
    <row r="9796" s="65" customFormat="1"/>
    <row r="9797" s="65" customFormat="1"/>
    <row r="9798" s="65" customFormat="1"/>
    <row r="9799" s="65" customFormat="1"/>
    <row r="9800" s="65" customFormat="1"/>
    <row r="9801" s="65" customFormat="1"/>
    <row r="9802" s="65" customFormat="1"/>
    <row r="9803" s="65" customFormat="1"/>
    <row r="9804" s="65" customFormat="1"/>
    <row r="9805" s="65" customFormat="1"/>
    <row r="9806" s="65" customFormat="1"/>
    <row r="9807" s="65" customFormat="1"/>
    <row r="9808" s="65" customFormat="1"/>
    <row r="9809" s="65" customFormat="1"/>
    <row r="9810" s="65" customFormat="1"/>
    <row r="9811" s="65" customFormat="1"/>
    <row r="9812" s="65" customFormat="1"/>
    <row r="9813" s="65" customFormat="1"/>
    <row r="9814" s="65" customFormat="1"/>
    <row r="9815" s="65" customFormat="1"/>
    <row r="9816" s="65" customFormat="1"/>
    <row r="9817" s="65" customFormat="1"/>
    <row r="9818" s="65" customFormat="1"/>
    <row r="9819" s="65" customFormat="1"/>
    <row r="9820" s="65" customFormat="1"/>
    <row r="9821" s="65" customFormat="1"/>
    <row r="9822" s="65" customFormat="1"/>
    <row r="9823" s="65" customFormat="1"/>
    <row r="9824" s="65" customFormat="1"/>
    <row r="9825" s="65" customFormat="1"/>
    <row r="9826" s="65" customFormat="1"/>
    <row r="9827" s="65" customFormat="1"/>
    <row r="9828" s="65" customFormat="1"/>
    <row r="9829" s="65" customFormat="1"/>
    <row r="9830" s="65" customFormat="1"/>
    <row r="9831" s="65" customFormat="1"/>
    <row r="9832" s="65" customFormat="1"/>
    <row r="9833" s="65" customFormat="1"/>
    <row r="9834" s="65" customFormat="1"/>
    <row r="9835" s="65" customFormat="1"/>
    <row r="9836" s="65" customFormat="1"/>
    <row r="9837" s="65" customFormat="1"/>
    <row r="9838" s="65" customFormat="1"/>
    <row r="9839" s="65" customFormat="1"/>
    <row r="9840" s="65" customFormat="1"/>
    <row r="9841" s="65" customFormat="1"/>
    <row r="9842" s="65" customFormat="1"/>
    <row r="9843" s="65" customFormat="1"/>
    <row r="9844" s="65" customFormat="1"/>
    <row r="9845" s="65" customFormat="1"/>
    <row r="9846" s="65" customFormat="1"/>
    <row r="9847" s="65" customFormat="1"/>
    <row r="9848" s="65" customFormat="1"/>
    <row r="9849" s="65" customFormat="1"/>
    <row r="9850" s="65" customFormat="1"/>
    <row r="9851" s="65" customFormat="1"/>
    <row r="9852" s="65" customFormat="1"/>
    <row r="9853" s="65" customFormat="1"/>
    <row r="9854" s="65" customFormat="1"/>
    <row r="9855" s="65" customFormat="1"/>
    <row r="9856" s="65" customFormat="1"/>
    <row r="9857" s="65" customFormat="1"/>
    <row r="9858" s="65" customFormat="1"/>
    <row r="9859" s="65" customFormat="1"/>
    <row r="9860" s="65" customFormat="1"/>
    <row r="9861" s="65" customFormat="1"/>
    <row r="9862" s="65" customFormat="1"/>
    <row r="9863" s="65" customFormat="1"/>
    <row r="9864" s="65" customFormat="1"/>
    <row r="9865" s="65" customFormat="1"/>
    <row r="9866" s="65" customFormat="1"/>
    <row r="9867" s="65" customFormat="1"/>
    <row r="9868" s="65" customFormat="1"/>
    <row r="9869" s="65" customFormat="1"/>
    <row r="9870" s="65" customFormat="1"/>
    <row r="9871" s="65" customFormat="1"/>
    <row r="9872" s="65" customFormat="1"/>
    <row r="9873" s="65" customFormat="1"/>
    <row r="9874" s="65" customFormat="1"/>
    <row r="9875" s="65" customFormat="1"/>
    <row r="9876" s="65" customFormat="1"/>
    <row r="9877" s="65" customFormat="1"/>
    <row r="9878" s="65" customFormat="1"/>
    <row r="9879" s="65" customFormat="1"/>
    <row r="9880" s="65" customFormat="1"/>
    <row r="9881" s="65" customFormat="1"/>
    <row r="9882" s="65" customFormat="1"/>
    <row r="9883" s="65" customFormat="1"/>
    <row r="9884" s="65" customFormat="1"/>
    <row r="9885" s="65" customFormat="1"/>
    <row r="9886" s="65" customFormat="1"/>
    <row r="9887" s="65" customFormat="1"/>
    <row r="9888" s="65" customFormat="1"/>
    <row r="9889" s="65" customFormat="1"/>
    <row r="9890" s="65" customFormat="1"/>
    <row r="9891" s="65" customFormat="1"/>
    <row r="9892" s="65" customFormat="1"/>
    <row r="9893" s="65" customFormat="1"/>
    <row r="9894" s="65" customFormat="1"/>
    <row r="9895" s="65" customFormat="1"/>
    <row r="9896" s="65" customFormat="1"/>
    <row r="9897" s="65" customFormat="1"/>
    <row r="9898" s="65" customFormat="1"/>
    <row r="9899" s="65" customFormat="1"/>
    <row r="9900" s="65" customFormat="1"/>
    <row r="9901" s="65" customFormat="1"/>
    <row r="9902" s="65" customFormat="1"/>
    <row r="9903" s="65" customFormat="1"/>
    <row r="9904" s="65" customFormat="1"/>
    <row r="9905" s="65" customFormat="1"/>
    <row r="9906" s="65" customFormat="1"/>
    <row r="9907" s="65" customFormat="1"/>
    <row r="9908" s="65" customFormat="1"/>
    <row r="9909" s="65" customFormat="1"/>
    <row r="9910" s="65" customFormat="1"/>
    <row r="9911" s="65" customFormat="1"/>
    <row r="9912" s="65" customFormat="1"/>
    <row r="9913" s="65" customFormat="1"/>
    <row r="9914" s="65" customFormat="1"/>
    <row r="9915" s="65" customFormat="1"/>
    <row r="9916" s="65" customFormat="1"/>
    <row r="9917" s="65" customFormat="1"/>
    <row r="9918" s="65" customFormat="1"/>
    <row r="9919" s="65" customFormat="1"/>
    <row r="9920" s="65" customFormat="1"/>
    <row r="9921" s="65" customFormat="1"/>
    <row r="9922" s="65" customFormat="1"/>
    <row r="9923" s="65" customFormat="1"/>
    <row r="9924" s="65" customFormat="1"/>
    <row r="9925" s="65" customFormat="1"/>
    <row r="9926" s="65" customFormat="1"/>
    <row r="9927" s="65" customFormat="1"/>
    <row r="9928" s="65" customFormat="1"/>
    <row r="9929" s="65" customFormat="1"/>
    <row r="9930" s="65" customFormat="1"/>
    <row r="9931" s="65" customFormat="1"/>
    <row r="9932" s="65" customFormat="1"/>
    <row r="9933" s="65" customFormat="1"/>
    <row r="9934" s="65" customFormat="1"/>
    <row r="9935" s="65" customFormat="1"/>
    <row r="9936" s="65" customFormat="1"/>
    <row r="9937" s="65" customFormat="1"/>
    <row r="9938" s="65" customFormat="1"/>
    <row r="9939" s="65" customFormat="1"/>
    <row r="9940" s="65" customFormat="1"/>
    <row r="9941" s="65" customFormat="1"/>
    <row r="9942" s="65" customFormat="1"/>
    <row r="9943" s="65" customFormat="1"/>
    <row r="9944" s="65" customFormat="1"/>
    <row r="9945" s="65" customFormat="1"/>
    <row r="9946" s="65" customFormat="1"/>
    <row r="9947" s="65" customFormat="1"/>
    <row r="9948" s="65" customFormat="1"/>
    <row r="9949" s="65" customFormat="1"/>
    <row r="9950" s="65" customFormat="1"/>
    <row r="9951" s="65" customFormat="1"/>
    <row r="9952" s="65" customFormat="1"/>
    <row r="9953" s="65" customFormat="1"/>
    <row r="9954" s="65" customFormat="1"/>
    <row r="9955" s="65" customFormat="1"/>
    <row r="9956" s="65" customFormat="1"/>
    <row r="9957" s="65" customFormat="1"/>
    <row r="9958" s="65" customFormat="1"/>
    <row r="9959" s="65" customFormat="1"/>
    <row r="9960" s="65" customFormat="1"/>
    <row r="9961" s="65" customFormat="1"/>
    <row r="9962" s="65" customFormat="1"/>
    <row r="9963" s="65" customFormat="1"/>
    <row r="9964" s="65" customFormat="1"/>
    <row r="9965" s="65" customFormat="1"/>
    <row r="9966" s="65" customFormat="1"/>
    <row r="9967" s="65" customFormat="1"/>
    <row r="9968" s="65" customFormat="1"/>
    <row r="9969" s="65" customFormat="1"/>
    <row r="9970" s="65" customFormat="1"/>
    <row r="9971" s="65" customFormat="1"/>
    <row r="9972" s="65" customFormat="1"/>
    <row r="9973" s="65" customFormat="1"/>
    <row r="9974" s="65" customFormat="1"/>
    <row r="9975" s="65" customFormat="1"/>
    <row r="9976" s="65" customFormat="1"/>
    <row r="9977" s="65" customFormat="1"/>
    <row r="9978" s="65" customFormat="1"/>
    <row r="9979" s="65" customFormat="1"/>
    <row r="9980" s="65" customFormat="1"/>
    <row r="9981" s="65" customFormat="1"/>
    <row r="9982" s="65" customFormat="1"/>
    <row r="9983" s="65" customFormat="1"/>
    <row r="9984" s="65" customFormat="1"/>
    <row r="9985" s="65" customFormat="1"/>
    <row r="9986" s="65" customFormat="1"/>
    <row r="9987" s="65" customFormat="1"/>
    <row r="9988" s="65" customFormat="1"/>
    <row r="9989" s="65" customFormat="1"/>
    <row r="9990" s="65" customFormat="1"/>
    <row r="9991" s="65" customFormat="1"/>
    <row r="9992" s="65" customFormat="1"/>
    <row r="9993" s="65" customFormat="1"/>
    <row r="9994" s="65" customFormat="1"/>
    <row r="9995" s="65" customFormat="1"/>
    <row r="9996" s="65" customFormat="1"/>
    <row r="9997" s="65" customFormat="1"/>
    <row r="9998" s="65" customFormat="1"/>
    <row r="9999" s="65" customFormat="1"/>
    <row r="10000" s="65" customFormat="1"/>
    <row r="10001" s="65" customFormat="1"/>
    <row r="10002" s="65" customFormat="1"/>
    <row r="10003" s="65" customFormat="1"/>
    <row r="10004" s="65" customFormat="1"/>
    <row r="10005" s="65" customFormat="1"/>
    <row r="10006" s="65" customFormat="1"/>
    <row r="10007" s="65" customFormat="1"/>
    <row r="10008" s="65" customFormat="1"/>
    <row r="10009" s="65" customFormat="1"/>
    <row r="10010" s="65" customFormat="1"/>
    <row r="10011" s="65" customFormat="1"/>
    <row r="10012" s="65" customFormat="1"/>
    <row r="10013" s="65" customFormat="1"/>
    <row r="10014" s="65" customFormat="1"/>
    <row r="10015" s="65" customFormat="1"/>
    <row r="10016" s="65" customFormat="1"/>
    <row r="10017" s="65" customFormat="1"/>
    <row r="10018" s="65" customFormat="1"/>
    <row r="10019" s="65" customFormat="1"/>
    <row r="10020" s="65" customFormat="1"/>
    <row r="10021" s="65" customFormat="1"/>
    <row r="10022" s="65" customFormat="1"/>
    <row r="10023" s="65" customFormat="1"/>
    <row r="10024" s="65" customFormat="1"/>
    <row r="10025" s="65" customFormat="1"/>
    <row r="10026" s="65" customFormat="1"/>
    <row r="10027" s="65" customFormat="1"/>
    <row r="10028" s="65" customFormat="1"/>
    <row r="10029" s="65" customFormat="1"/>
    <row r="10030" s="65" customFormat="1"/>
    <row r="10031" s="65" customFormat="1"/>
    <row r="10032" s="65" customFormat="1"/>
    <row r="10033" s="65" customFormat="1"/>
    <row r="10034" s="65" customFormat="1"/>
    <row r="10035" s="65" customFormat="1"/>
    <row r="10036" s="65" customFormat="1"/>
    <row r="10037" s="65" customFormat="1"/>
    <row r="10038" s="65" customFormat="1"/>
    <row r="10039" s="65" customFormat="1"/>
    <row r="10040" s="65" customFormat="1"/>
    <row r="10041" s="65" customFormat="1"/>
    <row r="10042" s="65" customFormat="1"/>
    <row r="10043" s="65" customFormat="1"/>
    <row r="10044" s="65" customFormat="1"/>
    <row r="10045" s="65" customFormat="1"/>
    <row r="10046" s="65" customFormat="1"/>
    <row r="10047" s="65" customFormat="1"/>
    <row r="10048" s="65" customFormat="1"/>
    <row r="10049" s="65" customFormat="1"/>
    <row r="10050" s="65" customFormat="1"/>
    <row r="10051" s="65" customFormat="1"/>
    <row r="10052" s="65" customFormat="1"/>
    <row r="10053" s="65" customFormat="1"/>
    <row r="10054" s="65" customFormat="1"/>
    <row r="10055" s="65" customFormat="1"/>
    <row r="10056" s="65" customFormat="1"/>
    <row r="10057" s="65" customFormat="1"/>
    <row r="10058" s="65" customFormat="1"/>
    <row r="10059" s="65" customFormat="1"/>
    <row r="10060" s="65" customFormat="1"/>
    <row r="10061" s="65" customFormat="1"/>
    <row r="10062" s="65" customFormat="1"/>
    <row r="10063" s="65" customFormat="1"/>
    <row r="10064" s="65" customFormat="1"/>
    <row r="10065" s="65" customFormat="1"/>
    <row r="10066" s="65" customFormat="1"/>
    <row r="10067" s="65" customFormat="1"/>
    <row r="10068" s="65" customFormat="1"/>
    <row r="10069" s="65" customFormat="1"/>
    <row r="10070" s="65" customFormat="1"/>
    <row r="10071" s="65" customFormat="1"/>
    <row r="10072" s="65" customFormat="1"/>
    <row r="10073" s="65" customFormat="1"/>
    <row r="10074" s="65" customFormat="1"/>
    <row r="10075" s="65" customFormat="1"/>
    <row r="10076" s="65" customFormat="1"/>
    <row r="10077" s="65" customFormat="1"/>
    <row r="10078" s="65" customFormat="1"/>
    <row r="10079" s="65" customFormat="1"/>
    <row r="10080" s="65" customFormat="1"/>
    <row r="10081" s="65" customFormat="1"/>
    <row r="10082" s="65" customFormat="1"/>
    <row r="10083" s="65" customFormat="1"/>
    <row r="10084" s="65" customFormat="1"/>
    <row r="10085" s="65" customFormat="1"/>
    <row r="10086" s="65" customFormat="1"/>
    <row r="10087" s="65" customFormat="1"/>
    <row r="10088" s="65" customFormat="1"/>
    <row r="10089" s="65" customFormat="1"/>
    <row r="10090" s="65" customFormat="1"/>
    <row r="10091" s="65" customFormat="1"/>
    <row r="10092" s="65" customFormat="1"/>
    <row r="10093" s="65" customFormat="1"/>
    <row r="10094" s="65" customFormat="1"/>
    <row r="10095" s="65" customFormat="1"/>
    <row r="10096" s="65" customFormat="1"/>
    <row r="10097" s="65" customFormat="1"/>
    <row r="10098" s="65" customFormat="1"/>
    <row r="10099" s="65" customFormat="1"/>
    <row r="10100" s="65" customFormat="1"/>
    <row r="10101" s="65" customFormat="1"/>
    <row r="10102" s="65" customFormat="1"/>
    <row r="10103" s="65" customFormat="1"/>
    <row r="10104" s="65" customFormat="1"/>
    <row r="10105" s="65" customFormat="1"/>
    <row r="10106" s="65" customFormat="1"/>
    <row r="10107" s="65" customFormat="1"/>
    <row r="10108" s="65" customFormat="1"/>
    <row r="10109" s="65" customFormat="1"/>
    <row r="10110" s="65" customFormat="1"/>
    <row r="10111" s="65" customFormat="1"/>
    <row r="10112" s="65" customFormat="1"/>
    <row r="10113" s="65" customFormat="1"/>
    <row r="10114" s="65" customFormat="1"/>
    <row r="10115" s="65" customFormat="1"/>
    <row r="10116" s="65" customFormat="1"/>
    <row r="10117" s="65" customFormat="1"/>
    <row r="10118" s="65" customFormat="1"/>
    <row r="10119" s="65" customFormat="1"/>
    <row r="10120" s="65" customFormat="1"/>
    <row r="10121" s="65" customFormat="1"/>
    <row r="10122" s="65" customFormat="1"/>
    <row r="10123" s="65" customFormat="1"/>
    <row r="10124" s="65" customFormat="1"/>
    <row r="10125" s="65" customFormat="1"/>
    <row r="10126" s="65" customFormat="1"/>
    <row r="10127" s="65" customFormat="1"/>
    <row r="10128" s="65" customFormat="1"/>
    <row r="10129" s="65" customFormat="1"/>
    <row r="10130" s="65" customFormat="1"/>
    <row r="10131" s="65" customFormat="1"/>
    <row r="10132" s="65" customFormat="1"/>
    <row r="10133" s="65" customFormat="1"/>
    <row r="10134" s="65" customFormat="1"/>
    <row r="10135" s="65" customFormat="1"/>
    <row r="10136" s="65" customFormat="1"/>
    <row r="10137" s="65" customFormat="1"/>
    <row r="10138" s="65" customFormat="1"/>
    <row r="10139" s="65" customFormat="1"/>
    <row r="10140" s="65" customFormat="1"/>
    <row r="10141" s="65" customFormat="1"/>
    <row r="10142" s="65" customFormat="1"/>
    <row r="10143" s="65" customFormat="1"/>
    <row r="10144" s="65" customFormat="1"/>
    <row r="10145" s="65" customFormat="1"/>
    <row r="10146" s="65" customFormat="1"/>
    <row r="10147" s="65" customFormat="1"/>
    <row r="10148" s="65" customFormat="1"/>
    <row r="10149" s="65" customFormat="1"/>
    <row r="10150" s="65" customFormat="1"/>
    <row r="10151" s="65" customFormat="1"/>
    <row r="10152" s="65" customFormat="1"/>
    <row r="10153" s="65" customFormat="1"/>
    <row r="10154" s="65" customFormat="1"/>
    <row r="10155" s="65" customFormat="1"/>
    <row r="10156" s="65" customFormat="1"/>
    <row r="10157" s="65" customFormat="1"/>
    <row r="10158" s="65" customFormat="1"/>
    <row r="10159" s="65" customFormat="1"/>
    <row r="10160" s="65" customFormat="1"/>
    <row r="10161" s="65" customFormat="1"/>
    <row r="10162" s="65" customFormat="1"/>
    <row r="10163" s="65" customFormat="1"/>
    <row r="10164" s="65" customFormat="1"/>
    <row r="10165" s="65" customFormat="1"/>
    <row r="10166" s="65" customFormat="1"/>
    <row r="10167" s="65" customFormat="1"/>
    <row r="10168" s="65" customFormat="1"/>
    <row r="10169" s="65" customFormat="1"/>
    <row r="10170" s="65" customFormat="1"/>
    <row r="10171" s="65" customFormat="1"/>
    <row r="10172" s="65" customFormat="1"/>
    <row r="10173" s="65" customFormat="1"/>
    <row r="10174" s="65" customFormat="1"/>
    <row r="10175" s="65" customFormat="1"/>
    <row r="10176" s="65" customFormat="1"/>
    <row r="10177" s="65" customFormat="1"/>
    <row r="10178" s="65" customFormat="1"/>
    <row r="10179" s="65" customFormat="1"/>
    <row r="10180" s="65" customFormat="1"/>
    <row r="10181" s="65" customFormat="1"/>
    <row r="10182" s="65" customFormat="1"/>
    <row r="10183" s="65" customFormat="1"/>
    <row r="10184" s="65" customFormat="1"/>
    <row r="10185" s="65" customFormat="1"/>
    <row r="10186" s="65" customFormat="1"/>
    <row r="10187" s="65" customFormat="1"/>
    <row r="10188" s="65" customFormat="1"/>
    <row r="10189" s="65" customFormat="1"/>
    <row r="10190" s="65" customFormat="1"/>
    <row r="10191" s="65" customFormat="1"/>
    <row r="10192" s="65" customFormat="1"/>
    <row r="10193" s="65" customFormat="1"/>
    <row r="10194" s="65" customFormat="1"/>
    <row r="10195" s="65" customFormat="1"/>
    <row r="10196" s="65" customFormat="1"/>
    <row r="10197" s="65" customFormat="1"/>
    <row r="10198" s="65" customFormat="1"/>
    <row r="10199" s="65" customFormat="1"/>
    <row r="10200" s="65" customFormat="1"/>
    <row r="10201" s="65" customFormat="1"/>
    <row r="10202" s="65" customFormat="1"/>
    <row r="10203" s="65" customFormat="1"/>
    <row r="10204" s="65" customFormat="1"/>
    <row r="10205" s="65" customFormat="1"/>
    <row r="10206" s="65" customFormat="1"/>
    <row r="10207" s="65" customFormat="1"/>
    <row r="10208" s="65" customFormat="1"/>
    <row r="10209" s="65" customFormat="1"/>
    <row r="10210" s="65" customFormat="1"/>
    <row r="10211" s="65" customFormat="1"/>
    <row r="10212" s="65" customFormat="1"/>
    <row r="10213" s="65" customFormat="1"/>
    <row r="10214" s="65" customFormat="1"/>
    <row r="10215" s="65" customFormat="1"/>
    <row r="10216" s="65" customFormat="1"/>
    <row r="10217" s="65" customFormat="1"/>
    <row r="10218" s="65" customFormat="1"/>
    <row r="10219" s="65" customFormat="1"/>
    <row r="10220" s="65" customFormat="1"/>
    <row r="10221" s="65" customFormat="1"/>
    <row r="10222" s="65" customFormat="1"/>
    <row r="10223" s="65" customFormat="1"/>
    <row r="10224" s="65" customFormat="1"/>
    <row r="10225" s="65" customFormat="1"/>
    <row r="10226" s="65" customFormat="1"/>
    <row r="10227" s="65" customFormat="1"/>
    <row r="10228" s="65" customFormat="1"/>
    <row r="10229" s="65" customFormat="1"/>
    <row r="10230" s="65" customFormat="1"/>
    <row r="10231" s="65" customFormat="1"/>
    <row r="10232" s="65" customFormat="1"/>
    <row r="10233" s="65" customFormat="1"/>
    <row r="10234" s="65" customFormat="1"/>
    <row r="10235" s="65" customFormat="1"/>
    <row r="10236" s="65" customFormat="1"/>
    <row r="10237" s="65" customFormat="1"/>
    <row r="10238" s="65" customFormat="1"/>
    <row r="10239" s="65" customFormat="1"/>
    <row r="10240" s="65" customFormat="1"/>
    <row r="10241" s="65" customFormat="1"/>
    <row r="10242" s="65" customFormat="1"/>
    <row r="10243" s="65" customFormat="1"/>
    <row r="10244" s="65" customFormat="1"/>
    <row r="10245" s="65" customFormat="1"/>
    <row r="10246" s="65" customFormat="1"/>
    <row r="10247" s="65" customFormat="1"/>
    <row r="10248" s="65" customFormat="1"/>
    <row r="10249" s="65" customFormat="1"/>
    <row r="10250" s="65" customFormat="1"/>
    <row r="10251" s="65" customFormat="1"/>
    <row r="10252" s="65" customFormat="1"/>
    <row r="10253" s="65" customFormat="1"/>
    <row r="10254" s="65" customFormat="1"/>
    <row r="10255" s="65" customFormat="1"/>
    <row r="10256" s="65" customFormat="1"/>
    <row r="10257" s="65" customFormat="1"/>
    <row r="10258" s="65" customFormat="1"/>
    <row r="10259" s="65" customFormat="1"/>
    <row r="10260" s="65" customFormat="1"/>
    <row r="10261" s="65" customFormat="1"/>
    <row r="10262" s="65" customFormat="1"/>
    <row r="10263" s="65" customFormat="1"/>
    <row r="10264" s="65" customFormat="1"/>
    <row r="10265" s="65" customFormat="1"/>
    <row r="10266" s="65" customFormat="1"/>
    <row r="10267" s="65" customFormat="1"/>
    <row r="10268" s="65" customFormat="1"/>
    <row r="10269" s="65" customFormat="1"/>
    <row r="10270" s="65" customFormat="1"/>
    <row r="10271" s="65" customFormat="1"/>
    <row r="10272" s="65" customFormat="1"/>
    <row r="10273" s="65" customFormat="1"/>
    <row r="10274" s="65" customFormat="1"/>
    <row r="10275" s="65" customFormat="1"/>
    <row r="10276" s="65" customFormat="1"/>
    <row r="10277" s="65" customFormat="1"/>
    <row r="10278" s="65" customFormat="1"/>
    <row r="10279" s="65" customFormat="1"/>
    <row r="10280" s="65" customFormat="1"/>
    <row r="10281" s="65" customFormat="1"/>
    <row r="10282" s="65" customFormat="1"/>
    <row r="10283" s="65" customFormat="1"/>
    <row r="10284" s="65" customFormat="1"/>
    <row r="10285" s="65" customFormat="1"/>
    <row r="10286" s="65" customFormat="1"/>
    <row r="10287" s="65" customFormat="1"/>
    <row r="10288" s="65" customFormat="1"/>
    <row r="10289" s="65" customFormat="1"/>
    <row r="10290" s="65" customFormat="1"/>
    <row r="10291" s="65" customFormat="1"/>
    <row r="10292" s="65" customFormat="1"/>
    <row r="10293" s="65" customFormat="1"/>
    <row r="10294" s="65" customFormat="1"/>
    <row r="10295" s="65" customFormat="1"/>
    <row r="10296" s="65" customFormat="1"/>
    <row r="10297" s="65" customFormat="1"/>
    <row r="10298" s="65" customFormat="1"/>
    <row r="10299" s="65" customFormat="1"/>
    <row r="10300" s="65" customFormat="1"/>
    <row r="10301" s="65" customFormat="1"/>
    <row r="10302" s="65" customFormat="1"/>
    <row r="10303" s="65" customFormat="1"/>
    <row r="10304" s="65" customFormat="1"/>
    <row r="10305" s="65" customFormat="1"/>
    <row r="10306" s="65" customFormat="1"/>
    <row r="10307" s="65" customFormat="1"/>
    <row r="10308" s="65" customFormat="1"/>
    <row r="10309" s="65" customFormat="1"/>
    <row r="10310" s="65" customFormat="1"/>
    <row r="10311" s="65" customFormat="1"/>
    <row r="10312" s="65" customFormat="1"/>
    <row r="10313" s="65" customFormat="1"/>
    <row r="10314" s="65" customFormat="1"/>
    <row r="10315" s="65" customFormat="1"/>
    <row r="10316" s="65" customFormat="1"/>
    <row r="10317" s="65" customFormat="1"/>
    <row r="10318" s="65" customFormat="1"/>
    <row r="10319" s="65" customFormat="1"/>
    <row r="10320" s="65" customFormat="1"/>
    <row r="10321" s="65" customFormat="1"/>
    <row r="10322" s="65" customFormat="1"/>
    <row r="10323" s="65" customFormat="1"/>
    <row r="10324" s="65" customFormat="1"/>
    <row r="10325" s="65" customFormat="1"/>
    <row r="10326" s="65" customFormat="1"/>
    <row r="10327" s="65" customFormat="1"/>
    <row r="10328" s="65" customFormat="1"/>
    <row r="10329" s="65" customFormat="1"/>
    <row r="10330" s="65" customFormat="1"/>
    <row r="10331" s="65" customFormat="1"/>
    <row r="10332" s="65" customFormat="1"/>
    <row r="10333" s="65" customFormat="1"/>
    <row r="10334" s="65" customFormat="1"/>
    <row r="10335" s="65" customFormat="1"/>
    <row r="10336" s="65" customFormat="1"/>
    <row r="10337" s="65" customFormat="1"/>
    <row r="10338" s="65" customFormat="1"/>
    <row r="10339" s="65" customFormat="1"/>
    <row r="10340" s="65" customFormat="1"/>
    <row r="10341" s="65" customFormat="1"/>
    <row r="10342" s="65" customFormat="1"/>
    <row r="10343" s="65" customFormat="1"/>
    <row r="10344" s="65" customFormat="1"/>
    <row r="10345" s="65" customFormat="1"/>
    <row r="10346" s="65" customFormat="1"/>
    <row r="10347" s="65" customFormat="1"/>
    <row r="10348" s="65" customFormat="1"/>
    <row r="10349" s="65" customFormat="1"/>
    <row r="10350" s="65" customFormat="1"/>
    <row r="10351" s="65" customFormat="1"/>
    <row r="10352" s="65" customFormat="1"/>
    <row r="10353" s="65" customFormat="1"/>
    <row r="10354" s="65" customFormat="1"/>
    <row r="10355" s="65" customFormat="1"/>
    <row r="10356" s="65" customFormat="1"/>
    <row r="10357" s="65" customFormat="1"/>
    <row r="10358" s="65" customFormat="1"/>
    <row r="10359" s="65" customFormat="1"/>
    <row r="10360" s="65" customFormat="1"/>
    <row r="10361" s="65" customFormat="1"/>
    <row r="10362" s="65" customFormat="1"/>
    <row r="10363" s="65" customFormat="1"/>
    <row r="10364" s="65" customFormat="1"/>
    <row r="10365" s="65" customFormat="1"/>
    <row r="10366" s="65" customFormat="1"/>
    <row r="10367" s="65" customFormat="1"/>
    <row r="10368" s="65" customFormat="1"/>
    <row r="10369" s="65" customFormat="1"/>
    <row r="10370" s="65" customFormat="1"/>
    <row r="10371" s="65" customFormat="1"/>
    <row r="10372" s="65" customFormat="1"/>
    <row r="10373" s="65" customFormat="1"/>
    <row r="10374" s="65" customFormat="1"/>
    <row r="10375" s="65" customFormat="1"/>
    <row r="10376" s="65" customFormat="1"/>
    <row r="10377" s="65" customFormat="1"/>
    <row r="10378" s="65" customFormat="1"/>
    <row r="10379" s="65" customFormat="1"/>
    <row r="10380" s="65" customFormat="1"/>
    <row r="10381" s="65" customFormat="1"/>
    <row r="10382" s="65" customFormat="1"/>
    <row r="10383" s="65" customFormat="1"/>
    <row r="10384" s="65" customFormat="1"/>
    <row r="10385" s="65" customFormat="1"/>
    <row r="10386" s="65" customFormat="1"/>
    <row r="10387" s="65" customFormat="1"/>
    <row r="10388" s="65" customFormat="1"/>
    <row r="10389" s="65" customFormat="1"/>
    <row r="10390" s="65" customFormat="1"/>
    <row r="10391" s="65" customFormat="1"/>
    <row r="10392" s="65" customFormat="1"/>
    <row r="10393" s="65" customFormat="1"/>
    <row r="10394" s="65" customFormat="1"/>
    <row r="10395" s="65" customFormat="1"/>
    <row r="10396" s="65" customFormat="1"/>
    <row r="10397" s="65" customFormat="1"/>
    <row r="10398" s="65" customFormat="1"/>
    <row r="10399" s="65" customFormat="1"/>
    <row r="10400" s="65" customFormat="1"/>
    <row r="10401" s="65" customFormat="1"/>
    <row r="10402" s="65" customFormat="1"/>
    <row r="10403" s="65" customFormat="1"/>
    <row r="10404" s="65" customFormat="1"/>
    <row r="10405" s="65" customFormat="1"/>
    <row r="10406" s="65" customFormat="1"/>
    <row r="10407" s="65" customFormat="1"/>
    <row r="10408" s="65" customFormat="1"/>
    <row r="10409" s="65" customFormat="1"/>
    <row r="10410" s="65" customFormat="1"/>
    <row r="10411" s="65" customFormat="1"/>
    <row r="10412" s="65" customFormat="1"/>
    <row r="10413" s="65" customFormat="1"/>
    <row r="10414" s="65" customFormat="1"/>
    <row r="10415" s="65" customFormat="1"/>
    <row r="10416" s="65" customFormat="1"/>
    <row r="10417" s="65" customFormat="1"/>
    <row r="10418" s="65" customFormat="1"/>
    <row r="10419" s="65" customFormat="1"/>
    <row r="10420" s="65" customFormat="1"/>
    <row r="10421" s="65" customFormat="1"/>
    <row r="10422" s="65" customFormat="1"/>
    <row r="10423" s="65" customFormat="1"/>
    <row r="10424" s="65" customFormat="1"/>
    <row r="10425" s="65" customFormat="1"/>
    <row r="10426" s="65" customFormat="1"/>
    <row r="10427" s="65" customFormat="1"/>
    <row r="10428" s="65" customFormat="1"/>
    <row r="10429" s="65" customFormat="1"/>
    <row r="10430" s="65" customFormat="1"/>
    <row r="10431" s="65" customFormat="1"/>
    <row r="10432" s="65" customFormat="1"/>
    <row r="10433" s="65" customFormat="1"/>
    <row r="10434" s="65" customFormat="1"/>
    <row r="10435" s="65" customFormat="1"/>
    <row r="10436" s="65" customFormat="1"/>
    <row r="10437" s="65" customFormat="1"/>
    <row r="10438" s="65" customFormat="1"/>
    <row r="10439" s="65" customFormat="1"/>
    <row r="10440" s="65" customFormat="1"/>
    <row r="10441" s="65" customFormat="1"/>
    <row r="10442" s="65" customFormat="1"/>
    <row r="10443" s="65" customFormat="1"/>
    <row r="10444" s="65" customFormat="1"/>
    <row r="10445" s="65" customFormat="1"/>
    <row r="10446" s="65" customFormat="1"/>
    <row r="10447" s="65" customFormat="1"/>
    <row r="10448" s="65" customFormat="1"/>
    <row r="10449" s="65" customFormat="1"/>
    <row r="10450" s="65" customFormat="1"/>
    <row r="10451" s="65" customFormat="1"/>
    <row r="10452" s="65" customFormat="1"/>
    <row r="10453" s="65" customFormat="1"/>
    <row r="10454" s="65" customFormat="1"/>
    <row r="10455" s="65" customFormat="1"/>
    <row r="10456" s="65" customFormat="1"/>
    <row r="10457" s="65" customFormat="1"/>
    <row r="10458" s="65" customFormat="1"/>
    <row r="10459" s="65" customFormat="1"/>
    <row r="10460" s="65" customFormat="1"/>
    <row r="10461" s="65" customFormat="1"/>
    <row r="10462" s="65" customFormat="1"/>
    <row r="10463" s="65" customFormat="1"/>
    <row r="10464" s="65" customFormat="1"/>
    <row r="10465" s="65" customFormat="1"/>
    <row r="10466" s="65" customFormat="1"/>
    <row r="10467" s="65" customFormat="1"/>
    <row r="10468" s="65" customFormat="1"/>
    <row r="10469" s="65" customFormat="1"/>
    <row r="10470" s="65" customFormat="1"/>
    <row r="10471" s="65" customFormat="1"/>
    <row r="10472" s="65" customFormat="1"/>
    <row r="10473" s="65" customFormat="1"/>
    <row r="10474" s="65" customFormat="1"/>
    <row r="10475" s="65" customFormat="1"/>
    <row r="10476" s="65" customFormat="1"/>
    <row r="10477" s="65" customFormat="1"/>
    <row r="10478" s="65" customFormat="1"/>
    <row r="10479" s="65" customFormat="1"/>
    <row r="10480" s="65" customFormat="1"/>
    <row r="10481" s="65" customFormat="1"/>
    <row r="10482" s="65" customFormat="1"/>
    <row r="10483" s="65" customFormat="1"/>
    <row r="10484" s="65" customFormat="1"/>
    <row r="10485" s="65" customFormat="1"/>
    <row r="10486" s="65" customFormat="1"/>
    <row r="10487" s="65" customFormat="1"/>
    <row r="10488" s="65" customFormat="1"/>
    <row r="10489" s="65" customFormat="1"/>
    <row r="10490" s="65" customFormat="1"/>
    <row r="10491" s="65" customFormat="1"/>
    <row r="10492" s="65" customFormat="1"/>
    <row r="10493" s="65" customFormat="1"/>
    <row r="10494" s="65" customFormat="1"/>
    <row r="10495" s="65" customFormat="1"/>
    <row r="10496" s="65" customFormat="1"/>
    <row r="10497" s="65" customFormat="1"/>
    <row r="10498" s="65" customFormat="1"/>
    <row r="10499" s="65" customFormat="1"/>
    <row r="10500" s="65" customFormat="1"/>
    <row r="10501" s="65" customFormat="1"/>
    <row r="10502" s="65" customFormat="1"/>
    <row r="10503" s="65" customFormat="1"/>
    <row r="10504" s="65" customFormat="1"/>
    <row r="10505" s="65" customFormat="1"/>
    <row r="10506" s="65" customFormat="1"/>
    <row r="10507" s="65" customFormat="1"/>
    <row r="10508" s="65" customFormat="1"/>
    <row r="10509" s="65" customFormat="1"/>
    <row r="10510" s="65" customFormat="1"/>
    <row r="10511" s="65" customFormat="1"/>
    <row r="10512" s="65" customFormat="1"/>
    <row r="10513" s="65" customFormat="1"/>
    <row r="10514" s="65" customFormat="1"/>
    <row r="10515" s="65" customFormat="1"/>
    <row r="10516" s="65" customFormat="1"/>
    <row r="10517" s="65" customFormat="1"/>
    <row r="10518" s="65" customFormat="1"/>
    <row r="10519" s="65" customFormat="1"/>
    <row r="10520" s="65" customFormat="1"/>
    <row r="10521" s="65" customFormat="1"/>
    <row r="10522" s="65" customFormat="1"/>
    <row r="10523" s="65" customFormat="1"/>
    <row r="10524" s="65" customFormat="1"/>
    <row r="10525" s="65" customFormat="1"/>
    <row r="10526" s="65" customFormat="1"/>
    <row r="10527" s="65" customFormat="1"/>
    <row r="10528" s="65" customFormat="1"/>
    <row r="10529" s="65" customFormat="1"/>
    <row r="10530" s="65" customFormat="1"/>
    <row r="10531" s="65" customFormat="1"/>
    <row r="10532" s="65" customFormat="1"/>
    <row r="10533" s="65" customFormat="1"/>
    <row r="10534" s="65" customFormat="1"/>
    <row r="10535" s="65" customFormat="1"/>
    <row r="10536" s="65" customFormat="1"/>
    <row r="10537" s="65" customFormat="1"/>
    <row r="10538" s="65" customFormat="1"/>
    <row r="10539" s="65" customFormat="1"/>
    <row r="10540" s="65" customFormat="1"/>
    <row r="10541" s="65" customFormat="1"/>
    <row r="10542" s="65" customFormat="1"/>
    <row r="10543" s="65" customFormat="1"/>
    <row r="10544" s="65" customFormat="1"/>
    <row r="10545" s="65" customFormat="1"/>
    <row r="10546" s="65" customFormat="1"/>
    <row r="10547" s="65" customFormat="1"/>
    <row r="10548" s="65" customFormat="1"/>
    <row r="10549" s="65" customFormat="1"/>
    <row r="10550" s="65" customFormat="1"/>
    <row r="10551" s="65" customFormat="1"/>
    <row r="10552" s="65" customFormat="1"/>
    <row r="10553" s="65" customFormat="1"/>
    <row r="10554" s="65" customFormat="1"/>
    <row r="10555" s="65" customFormat="1"/>
    <row r="10556" s="65" customFormat="1"/>
    <row r="10557" s="65" customFormat="1"/>
    <row r="10558" s="65" customFormat="1"/>
    <row r="10559" s="65" customFormat="1"/>
    <row r="10560" s="65" customFormat="1"/>
    <row r="10561" s="65" customFormat="1"/>
    <row r="10562" s="65" customFormat="1"/>
    <row r="10563" s="65" customFormat="1"/>
    <row r="10564" s="65" customFormat="1"/>
    <row r="10565" s="65" customFormat="1"/>
    <row r="10566" s="65" customFormat="1"/>
    <row r="10567" s="65" customFormat="1"/>
    <row r="10568" s="65" customFormat="1"/>
    <row r="10569" s="65" customFormat="1"/>
    <row r="10570" s="65" customFormat="1"/>
    <row r="10571" s="65" customFormat="1"/>
    <row r="10572" s="65" customFormat="1"/>
    <row r="10573" s="65" customFormat="1"/>
    <row r="10574" s="65" customFormat="1"/>
    <row r="10575" s="65" customFormat="1"/>
    <row r="10576" s="65" customFormat="1"/>
    <row r="10577" s="65" customFormat="1"/>
    <row r="10578" s="65" customFormat="1"/>
    <row r="10579" s="65" customFormat="1"/>
    <row r="10580" s="65" customFormat="1"/>
    <row r="10581" s="65" customFormat="1"/>
    <row r="10582" s="65" customFormat="1"/>
    <row r="10583" s="65" customFormat="1"/>
    <row r="10584" s="65" customFormat="1"/>
    <row r="10585" s="65" customFormat="1"/>
    <row r="10586" s="65" customFormat="1"/>
    <row r="10587" s="65" customFormat="1"/>
    <row r="10588" s="65" customFormat="1"/>
    <row r="10589" s="65" customFormat="1"/>
    <row r="10590" s="65" customFormat="1"/>
    <row r="10591" s="65" customFormat="1"/>
    <row r="10592" s="65" customFormat="1"/>
    <row r="10593" s="65" customFormat="1"/>
    <row r="10594" s="65" customFormat="1"/>
    <row r="10595" s="65" customFormat="1"/>
    <row r="10596" s="65" customFormat="1"/>
    <row r="10597" s="65" customFormat="1"/>
    <row r="10598" s="65" customFormat="1"/>
    <row r="10599" s="65" customFormat="1"/>
    <row r="10600" s="65" customFormat="1"/>
    <row r="10601" s="65" customFormat="1"/>
    <row r="10602" s="65" customFormat="1"/>
    <row r="10603" s="65" customFormat="1"/>
    <row r="10604" s="65" customFormat="1"/>
    <row r="10605" s="65" customFormat="1"/>
    <row r="10606" s="65" customFormat="1"/>
    <row r="10607" s="65" customFormat="1"/>
    <row r="10608" s="65" customFormat="1"/>
    <row r="10609" s="65" customFormat="1"/>
    <row r="10610" s="65" customFormat="1"/>
    <row r="10611" s="65" customFormat="1"/>
    <row r="10612" s="65" customFormat="1"/>
    <row r="10613" s="65" customFormat="1"/>
    <row r="10614" s="65" customFormat="1"/>
    <row r="10615" s="65" customFormat="1"/>
    <row r="10616" s="65" customFormat="1"/>
    <row r="10617" s="65" customFormat="1"/>
    <row r="10618" s="65" customFormat="1"/>
    <row r="10619" s="65" customFormat="1"/>
    <row r="10620" s="65" customFormat="1"/>
    <row r="10621" s="65" customFormat="1"/>
    <row r="10622" s="65" customFormat="1"/>
    <row r="10623" s="65" customFormat="1"/>
    <row r="10624" s="65" customFormat="1"/>
    <row r="10625" s="65" customFormat="1"/>
    <row r="10626" s="65" customFormat="1"/>
    <row r="10627" s="65" customFormat="1"/>
    <row r="10628" s="65" customFormat="1"/>
    <row r="10629" s="65" customFormat="1"/>
    <row r="10630" s="65" customFormat="1"/>
    <row r="10631" s="65" customFormat="1"/>
    <row r="10632" s="65" customFormat="1"/>
    <row r="10633" s="65" customFormat="1"/>
    <row r="10634" s="65" customFormat="1"/>
    <row r="10635" s="65" customFormat="1"/>
    <row r="10636" s="65" customFormat="1"/>
    <row r="10637" s="65" customFormat="1"/>
    <row r="10638" s="65" customFormat="1"/>
    <row r="10639" s="65" customFormat="1"/>
    <row r="10640" s="65" customFormat="1"/>
    <row r="10641" s="65" customFormat="1"/>
    <row r="10642" s="65" customFormat="1"/>
    <row r="10643" s="65" customFormat="1"/>
    <row r="10644" s="65" customFormat="1"/>
    <row r="10645" s="65" customFormat="1"/>
    <row r="10646" s="65" customFormat="1"/>
    <row r="10647" s="65" customFormat="1"/>
    <row r="10648" s="65" customFormat="1"/>
    <row r="10649" s="65" customFormat="1"/>
    <row r="10650" s="65" customFormat="1"/>
    <row r="10651" s="65" customFormat="1"/>
    <row r="10652" s="65" customFormat="1"/>
    <row r="10653" s="65" customFormat="1"/>
    <row r="10654" s="65" customFormat="1"/>
    <row r="10655" s="65" customFormat="1"/>
    <row r="10656" s="65" customFormat="1"/>
    <row r="10657" s="65" customFormat="1"/>
    <row r="10658" s="65" customFormat="1"/>
    <row r="10659" s="65" customFormat="1"/>
    <row r="10660" s="65" customFormat="1"/>
    <row r="10661" s="65" customFormat="1"/>
    <row r="10662" s="65" customFormat="1"/>
    <row r="10663" s="65" customFormat="1"/>
    <row r="10664" s="65" customFormat="1"/>
    <row r="10665" s="65" customFormat="1"/>
    <row r="10666" s="65" customFormat="1"/>
    <row r="10667" s="65" customFormat="1"/>
    <row r="10668" s="65" customFormat="1"/>
    <row r="10669" s="65" customFormat="1"/>
    <row r="10670" s="65" customFormat="1"/>
    <row r="10671" s="65" customFormat="1"/>
    <row r="10672" s="65" customFormat="1"/>
    <row r="10673" s="65" customFormat="1"/>
    <row r="10674" s="65" customFormat="1"/>
    <row r="10675" s="65" customFormat="1"/>
    <row r="10676" s="65" customFormat="1"/>
    <row r="10677" s="65" customFormat="1"/>
    <row r="10678" s="65" customFormat="1"/>
    <row r="10679" s="65" customFormat="1"/>
    <row r="10680" s="65" customFormat="1"/>
    <row r="10681" s="65" customFormat="1"/>
    <row r="10682" s="65" customFormat="1"/>
    <row r="10683" s="65" customFormat="1"/>
    <row r="10684" s="65" customFormat="1"/>
    <row r="10685" s="65" customFormat="1"/>
    <row r="10686" s="65" customFormat="1"/>
    <row r="10687" s="65" customFormat="1"/>
    <row r="10688" s="65" customFormat="1"/>
    <row r="10689" s="65" customFormat="1"/>
    <row r="10690" s="65" customFormat="1"/>
    <row r="10691" s="65" customFormat="1"/>
    <row r="10692" s="65" customFormat="1"/>
    <row r="10693" s="65" customFormat="1"/>
    <row r="10694" s="65" customFormat="1"/>
    <row r="10695" s="65" customFormat="1"/>
    <row r="10696" s="65" customFormat="1"/>
    <row r="10697" s="65" customFormat="1"/>
    <row r="10698" s="65" customFormat="1"/>
    <row r="10699" s="65" customFormat="1"/>
    <row r="10700" s="65" customFormat="1"/>
    <row r="10701" s="65" customFormat="1"/>
    <row r="10702" s="65" customFormat="1"/>
    <row r="10703" s="65" customFormat="1"/>
    <row r="10704" s="65" customFormat="1"/>
    <row r="10705" s="65" customFormat="1"/>
    <row r="10706" s="65" customFormat="1"/>
    <row r="10707" s="65" customFormat="1"/>
    <row r="10708" s="65" customFormat="1"/>
    <row r="10709" s="65" customFormat="1"/>
    <row r="10710" s="65" customFormat="1"/>
    <row r="10711" s="65" customFormat="1"/>
    <row r="10712" s="65" customFormat="1"/>
    <row r="10713" s="65" customFormat="1"/>
    <row r="10714" s="65" customFormat="1"/>
    <row r="10715" s="65" customFormat="1"/>
    <row r="10716" s="65" customFormat="1"/>
    <row r="10717" s="65" customFormat="1"/>
    <row r="10718" s="65" customFormat="1"/>
    <row r="10719" s="65" customFormat="1"/>
    <row r="10720" s="65" customFormat="1"/>
    <row r="10721" s="65" customFormat="1"/>
    <row r="10722" s="65" customFormat="1"/>
    <row r="10723" s="65" customFormat="1"/>
    <row r="10724" s="65" customFormat="1"/>
    <row r="10725" s="65" customFormat="1"/>
    <row r="10726" s="65" customFormat="1"/>
    <row r="10727" s="65" customFormat="1"/>
    <row r="10728" s="65" customFormat="1"/>
    <row r="10729" s="65" customFormat="1"/>
    <row r="10730" s="65" customFormat="1"/>
    <row r="10731" s="65" customFormat="1"/>
    <row r="10732" s="65" customFormat="1"/>
    <row r="10733" s="65" customFormat="1"/>
    <row r="10734" s="65" customFormat="1"/>
    <row r="10735" s="65" customFormat="1"/>
    <row r="10736" s="65" customFormat="1"/>
    <row r="10737" s="65" customFormat="1"/>
    <row r="10738" s="65" customFormat="1"/>
    <row r="10739" s="65" customFormat="1"/>
    <row r="10740" s="65" customFormat="1"/>
    <row r="10741" s="65" customFormat="1"/>
    <row r="10742" s="65" customFormat="1"/>
    <row r="10743" s="65" customFormat="1"/>
    <row r="10744" s="65" customFormat="1"/>
    <row r="10745" s="65" customFormat="1"/>
    <row r="10746" s="65" customFormat="1"/>
    <row r="10747" s="65" customFormat="1"/>
    <row r="10748" s="65" customFormat="1"/>
    <row r="10749" s="65" customFormat="1"/>
    <row r="10750" s="65" customFormat="1"/>
    <row r="10751" s="65" customFormat="1"/>
    <row r="10752" s="65" customFormat="1"/>
    <row r="10753" s="65" customFormat="1"/>
    <row r="10754" s="65" customFormat="1"/>
    <row r="10755" s="65" customFormat="1"/>
    <row r="10756" s="65" customFormat="1"/>
    <row r="10757" s="65" customFormat="1"/>
    <row r="10758" s="65" customFormat="1"/>
    <row r="10759" s="65" customFormat="1"/>
    <row r="10760" s="65" customFormat="1"/>
    <row r="10761" s="65" customFormat="1"/>
    <row r="10762" s="65" customFormat="1"/>
    <row r="10763" s="65" customFormat="1"/>
    <row r="10764" s="65" customFormat="1"/>
    <row r="10765" s="65" customFormat="1"/>
    <row r="10766" s="65" customFormat="1"/>
    <row r="10767" s="65" customFormat="1"/>
    <row r="10768" s="65" customFormat="1"/>
    <row r="10769" s="65" customFormat="1"/>
    <row r="10770" s="65" customFormat="1"/>
    <row r="10771" s="65" customFormat="1"/>
    <row r="10772" s="65" customFormat="1"/>
    <row r="10773" s="65" customFormat="1"/>
    <row r="10774" s="65" customFormat="1"/>
    <row r="10775" s="65" customFormat="1"/>
    <row r="10776" s="65" customFormat="1"/>
    <row r="10777" s="65" customFormat="1"/>
    <row r="10778" s="65" customFormat="1"/>
    <row r="10779" s="65" customFormat="1"/>
    <row r="10780" s="65" customFormat="1"/>
    <row r="10781" s="65" customFormat="1"/>
    <row r="10782" s="65" customFormat="1"/>
    <row r="10783" s="65" customFormat="1"/>
    <row r="10784" s="65" customFormat="1"/>
    <row r="10785" s="65" customFormat="1"/>
    <row r="10786" s="65" customFormat="1"/>
    <row r="10787" s="65" customFormat="1"/>
    <row r="10788" s="65" customFormat="1"/>
    <row r="10789" s="65" customFormat="1"/>
    <row r="10790" s="65" customFormat="1"/>
    <row r="10791" s="65" customFormat="1"/>
    <row r="10792" s="65" customFormat="1"/>
    <row r="10793" s="65" customFormat="1"/>
    <row r="10794" s="65" customFormat="1"/>
    <row r="10795" s="65" customFormat="1"/>
    <row r="10796" s="65" customFormat="1"/>
    <row r="10797" s="65" customFormat="1"/>
    <row r="10798" s="65" customFormat="1"/>
    <row r="10799" s="65" customFormat="1"/>
    <row r="10800" s="65" customFormat="1"/>
    <row r="10801" s="65" customFormat="1"/>
    <row r="10802" s="65" customFormat="1"/>
    <row r="10803" s="65" customFormat="1"/>
    <row r="10804" s="65" customFormat="1"/>
    <row r="10805" s="65" customFormat="1"/>
    <row r="10806" s="65" customFormat="1"/>
    <row r="10807" s="65" customFormat="1"/>
    <row r="10808" s="65" customFormat="1"/>
    <row r="10809" s="65" customFormat="1"/>
    <row r="10810" s="65" customFormat="1"/>
    <row r="10811" s="65" customFormat="1"/>
    <row r="10812" s="65" customFormat="1"/>
    <row r="10813" s="65" customFormat="1"/>
    <row r="10814" s="65" customFormat="1"/>
    <row r="10815" s="65" customFormat="1"/>
    <row r="10816" s="65" customFormat="1"/>
    <row r="10817" s="65" customFormat="1"/>
    <row r="10818" s="65" customFormat="1"/>
    <row r="10819" s="65" customFormat="1"/>
    <row r="10820" s="65" customFormat="1"/>
    <row r="10821" s="65" customFormat="1"/>
    <row r="10822" s="65" customFormat="1"/>
    <row r="10823" s="65" customFormat="1"/>
    <row r="10824" s="65" customFormat="1"/>
    <row r="10825" s="65" customFormat="1"/>
    <row r="10826" s="65" customFormat="1"/>
    <row r="10827" s="65" customFormat="1"/>
    <row r="10828" s="65" customFormat="1"/>
    <row r="10829" s="65" customFormat="1"/>
    <row r="10830" s="65" customFormat="1"/>
    <row r="10831" s="65" customFormat="1"/>
    <row r="10832" s="65" customFormat="1"/>
    <row r="10833" s="65" customFormat="1"/>
    <row r="10834" s="65" customFormat="1"/>
    <row r="10835" s="65" customFormat="1"/>
    <row r="10836" s="65" customFormat="1"/>
    <row r="10837" s="65" customFormat="1"/>
    <row r="10838" s="65" customFormat="1"/>
    <row r="10839" s="65" customFormat="1"/>
    <row r="10840" s="65" customFormat="1"/>
    <row r="10841" s="65" customFormat="1"/>
    <row r="10842" s="65" customFormat="1"/>
    <row r="10843" s="65" customFormat="1"/>
    <row r="10844" s="65" customFormat="1"/>
    <row r="10845" s="65" customFormat="1"/>
    <row r="10846" s="65" customFormat="1"/>
    <row r="10847" s="65" customFormat="1"/>
    <row r="10848" s="65" customFormat="1"/>
    <row r="10849" s="65" customFormat="1"/>
    <row r="10850" s="65" customFormat="1"/>
    <row r="10851" s="65" customFormat="1"/>
    <row r="10852" s="65" customFormat="1"/>
    <row r="10853" s="65" customFormat="1"/>
    <row r="10854" s="65" customFormat="1"/>
    <row r="10855" s="65" customFormat="1"/>
    <row r="10856" s="65" customFormat="1"/>
    <row r="10857" s="65" customFormat="1"/>
    <row r="10858" s="65" customFormat="1"/>
    <row r="10859" s="65" customFormat="1"/>
    <row r="10860" s="65" customFormat="1"/>
    <row r="10861" s="65" customFormat="1"/>
    <row r="10862" s="65" customFormat="1"/>
    <row r="10863" s="65" customFormat="1"/>
    <row r="10864" s="65" customFormat="1"/>
    <row r="10865" s="65" customFormat="1"/>
    <row r="10866" s="65" customFormat="1"/>
    <row r="10867" s="65" customFormat="1"/>
    <row r="10868" s="65" customFormat="1"/>
    <row r="10869" s="65" customFormat="1"/>
    <row r="10870" s="65" customFormat="1"/>
    <row r="10871" s="65" customFormat="1"/>
    <row r="10872" s="65" customFormat="1"/>
    <row r="10873" s="65" customFormat="1"/>
    <row r="10874" s="65" customFormat="1"/>
    <row r="10875" s="65" customFormat="1"/>
    <row r="10876" s="65" customFormat="1"/>
    <row r="10877" s="65" customFormat="1"/>
    <row r="10878" s="65" customFormat="1"/>
    <row r="10879" s="65" customFormat="1"/>
    <row r="10880" s="65" customFormat="1"/>
    <row r="10881" s="65" customFormat="1"/>
    <row r="10882" s="65" customFormat="1"/>
    <row r="10883" s="65" customFormat="1"/>
    <row r="10884" s="65" customFormat="1"/>
    <row r="10885" s="65" customFormat="1"/>
    <row r="10886" s="65" customFormat="1"/>
    <row r="10887" s="65" customFormat="1"/>
    <row r="10888" s="65" customFormat="1"/>
    <row r="10889" s="65" customFormat="1"/>
    <row r="10890" s="65" customFormat="1"/>
    <row r="10891" s="65" customFormat="1"/>
    <row r="10892" s="65" customFormat="1"/>
    <row r="10893" s="65" customFormat="1"/>
    <row r="10894" s="65" customFormat="1"/>
    <row r="10895" s="65" customFormat="1"/>
    <row r="10896" s="65" customFormat="1"/>
    <row r="10897" s="65" customFormat="1"/>
    <row r="10898" s="65" customFormat="1"/>
    <row r="10899" s="65" customFormat="1"/>
    <row r="10900" s="65" customFormat="1"/>
    <row r="10901" s="65" customFormat="1"/>
    <row r="10902" s="65" customFormat="1"/>
    <row r="10903" s="65" customFormat="1"/>
    <row r="10904" s="65" customFormat="1"/>
    <row r="10905" s="65" customFormat="1"/>
    <row r="10906" s="65" customFormat="1"/>
    <row r="10907" s="65" customFormat="1"/>
    <row r="10908" s="65" customFormat="1"/>
    <row r="10909" s="65" customFormat="1"/>
    <row r="10910" s="65" customFormat="1"/>
    <row r="10911" s="65" customFormat="1"/>
    <row r="10912" s="65" customFormat="1"/>
    <row r="10913" s="65" customFormat="1"/>
    <row r="10914" s="65" customFormat="1"/>
    <row r="10915" s="65" customFormat="1"/>
    <row r="10916" s="65" customFormat="1"/>
    <row r="10917" s="65" customFormat="1"/>
    <row r="10918" s="65" customFormat="1"/>
    <row r="10919" s="65" customFormat="1"/>
    <row r="10920" s="65" customFormat="1"/>
    <row r="10921" s="65" customFormat="1"/>
    <row r="10922" s="65" customFormat="1"/>
    <row r="10923" s="65" customFormat="1"/>
    <row r="10924" s="65" customFormat="1"/>
    <row r="10925" s="65" customFormat="1"/>
    <row r="10926" s="65" customFormat="1"/>
    <row r="10927" s="65" customFormat="1"/>
    <row r="10928" s="65" customFormat="1"/>
    <row r="10929" s="65" customFormat="1"/>
    <row r="10930" s="65" customFormat="1"/>
    <row r="10931" s="65" customFormat="1"/>
    <row r="10932" s="65" customFormat="1"/>
    <row r="10933" s="65" customFormat="1"/>
    <row r="10934" s="65" customFormat="1"/>
    <row r="10935" s="65" customFormat="1"/>
    <row r="10936" s="65" customFormat="1"/>
    <row r="10937" s="65" customFormat="1"/>
    <row r="10938" s="65" customFormat="1"/>
    <row r="10939" s="65" customFormat="1"/>
    <row r="10940" s="65" customFormat="1"/>
    <row r="10941" s="65" customFormat="1"/>
    <row r="10942" s="65" customFormat="1"/>
    <row r="10943" s="65" customFormat="1"/>
    <row r="10944" s="65" customFormat="1"/>
    <row r="10945" s="65" customFormat="1"/>
    <row r="10946" s="65" customFormat="1"/>
    <row r="10947" s="65" customFormat="1"/>
    <row r="10948" s="65" customFormat="1"/>
    <row r="10949" s="65" customFormat="1"/>
    <row r="10950" s="65" customFormat="1"/>
    <row r="10951" s="65" customFormat="1"/>
    <row r="10952" s="65" customFormat="1"/>
    <row r="10953" s="65" customFormat="1"/>
    <row r="10954" s="65" customFormat="1"/>
    <row r="10955" s="65" customFormat="1"/>
    <row r="10956" s="65" customFormat="1"/>
    <row r="10957" s="65" customFormat="1"/>
    <row r="10958" s="65" customFormat="1"/>
    <row r="10959" s="65" customFormat="1"/>
    <row r="10960" s="65" customFormat="1"/>
    <row r="10961" s="65" customFormat="1"/>
    <row r="10962" s="65" customFormat="1"/>
    <row r="10963" s="65" customFormat="1"/>
    <row r="10964" s="65" customFormat="1"/>
    <row r="10965" s="65" customFormat="1"/>
    <row r="10966" s="65" customFormat="1"/>
    <row r="10967" s="65" customFormat="1"/>
    <row r="10968" s="65" customFormat="1"/>
    <row r="10969" s="65" customFormat="1"/>
    <row r="10970" s="65" customFormat="1"/>
    <row r="10971" s="65" customFormat="1"/>
    <row r="10972" s="65" customFormat="1"/>
    <row r="10973" s="65" customFormat="1"/>
    <row r="10974" s="65" customFormat="1"/>
    <row r="10975" s="65" customFormat="1"/>
    <row r="10976" s="65" customFormat="1"/>
    <row r="10977" s="65" customFormat="1"/>
    <row r="10978" s="65" customFormat="1"/>
    <row r="10979" s="65" customFormat="1"/>
    <row r="10980" s="65" customFormat="1"/>
    <row r="10981" s="65" customFormat="1"/>
    <row r="10982" s="65" customFormat="1"/>
    <row r="10983" s="65" customFormat="1"/>
    <row r="10984" s="65" customFormat="1"/>
    <row r="10985" s="65" customFormat="1"/>
    <row r="10986" s="65" customFormat="1"/>
    <row r="10987" s="65" customFormat="1"/>
    <row r="10988" s="65" customFormat="1"/>
    <row r="10989" s="65" customFormat="1"/>
    <row r="10990" s="65" customFormat="1"/>
    <row r="10991" s="65" customFormat="1"/>
    <row r="10992" s="65" customFormat="1"/>
    <row r="10993" s="65" customFormat="1"/>
    <row r="10994" s="65" customFormat="1"/>
    <row r="10995" s="65" customFormat="1"/>
    <row r="10996" s="65" customFormat="1"/>
    <row r="10997" s="65" customFormat="1"/>
    <row r="10998" s="65" customFormat="1"/>
    <row r="10999" s="65" customFormat="1"/>
    <row r="11000" s="65" customFormat="1"/>
    <row r="11001" s="65" customFormat="1"/>
    <row r="11002" s="65" customFormat="1"/>
    <row r="11003" s="65" customFormat="1"/>
    <row r="11004" s="65" customFormat="1"/>
    <row r="11005" s="65" customFormat="1"/>
    <row r="11006" s="65" customFormat="1"/>
    <row r="11007" s="65" customFormat="1"/>
    <row r="11008" s="65" customFormat="1"/>
    <row r="11009" s="65" customFormat="1"/>
    <row r="11010" s="65" customFormat="1"/>
    <row r="11011" s="65" customFormat="1"/>
    <row r="11012" s="65" customFormat="1"/>
    <row r="11013" s="65" customFormat="1"/>
    <row r="11014" s="65" customFormat="1"/>
    <row r="11015" s="65" customFormat="1"/>
    <row r="11016" s="65" customFormat="1"/>
    <row r="11017" s="65" customFormat="1"/>
    <row r="11018" s="65" customFormat="1"/>
    <row r="11019" s="65" customFormat="1"/>
    <row r="11020" s="65" customFormat="1"/>
    <row r="11021" s="65" customFormat="1"/>
    <row r="11022" s="65" customFormat="1"/>
    <row r="11023" s="65" customFormat="1"/>
    <row r="11024" s="65" customFormat="1"/>
    <row r="11025" s="65" customFormat="1"/>
    <row r="11026" s="65" customFormat="1"/>
    <row r="11027" s="65" customFormat="1"/>
    <row r="11028" s="65" customFormat="1"/>
    <row r="11029" s="65" customFormat="1"/>
    <row r="11030" s="65" customFormat="1"/>
    <row r="11031" s="65" customFormat="1"/>
    <row r="11032" s="65" customFormat="1"/>
    <row r="11033" s="65" customFormat="1"/>
    <row r="11034" s="65" customFormat="1"/>
    <row r="11035" s="65" customFormat="1"/>
    <row r="11036" s="65" customFormat="1"/>
    <row r="11037" s="65" customFormat="1"/>
    <row r="11038" s="65" customFormat="1"/>
    <row r="11039" s="65" customFormat="1"/>
    <row r="11040" s="65" customFormat="1"/>
    <row r="11041" s="65" customFormat="1"/>
    <row r="11042" s="65" customFormat="1"/>
    <row r="11043" s="65" customFormat="1"/>
    <row r="11044" s="65" customFormat="1"/>
    <row r="11045" s="65" customFormat="1"/>
    <row r="11046" s="65" customFormat="1"/>
    <row r="11047" s="65" customFormat="1"/>
    <row r="11048" s="65" customFormat="1"/>
    <row r="11049" s="65" customFormat="1"/>
    <row r="11050" s="65" customFormat="1"/>
    <row r="11051" s="65" customFormat="1"/>
    <row r="11052" s="65" customFormat="1"/>
    <row r="11053" s="65" customFormat="1"/>
    <row r="11054" s="65" customFormat="1"/>
    <row r="11055" s="65" customFormat="1"/>
    <row r="11056" s="65" customFormat="1"/>
    <row r="11057" s="65" customFormat="1"/>
    <row r="11058" s="65" customFormat="1"/>
    <row r="11059" s="65" customFormat="1"/>
    <row r="11060" s="65" customFormat="1"/>
    <row r="11061" s="65" customFormat="1"/>
    <row r="11062" s="65" customFormat="1"/>
    <row r="11063" s="65" customFormat="1"/>
    <row r="11064" s="65" customFormat="1"/>
    <row r="11065" s="65" customFormat="1"/>
    <row r="11066" s="65" customFormat="1"/>
    <row r="11067" s="65" customFormat="1"/>
    <row r="11068" s="65" customFormat="1"/>
    <row r="11069" s="65" customFormat="1"/>
    <row r="11070" s="65" customFormat="1"/>
    <row r="11071" s="65" customFormat="1"/>
    <row r="11072" s="65" customFormat="1"/>
    <row r="11073" s="65" customFormat="1"/>
    <row r="11074" s="65" customFormat="1"/>
    <row r="11075" s="65" customFormat="1"/>
    <row r="11076" s="65" customFormat="1"/>
    <row r="11077" s="65" customFormat="1"/>
    <row r="11078" s="65" customFormat="1"/>
    <row r="11079" s="65" customFormat="1"/>
    <row r="11080" s="65" customFormat="1"/>
    <row r="11081" s="65" customFormat="1"/>
    <row r="11082" s="65" customFormat="1"/>
    <row r="11083" s="65" customFormat="1"/>
    <row r="11084" s="65" customFormat="1"/>
    <row r="11085" s="65" customFormat="1"/>
    <row r="11086" s="65" customFormat="1"/>
    <row r="11087" s="65" customFormat="1"/>
    <row r="11088" s="65" customFormat="1"/>
    <row r="11089" s="65" customFormat="1"/>
    <row r="11090" s="65" customFormat="1"/>
    <row r="11091" s="65" customFormat="1"/>
    <row r="11092" s="65" customFormat="1"/>
    <row r="11093" s="65" customFormat="1"/>
    <row r="11094" s="65" customFormat="1"/>
    <row r="11095" s="65" customFormat="1"/>
    <row r="11096" s="65" customFormat="1"/>
    <row r="11097" s="65" customFormat="1"/>
    <row r="11098" s="65" customFormat="1"/>
    <row r="11099" s="65" customFormat="1"/>
    <row r="11100" s="65" customFormat="1"/>
    <row r="11101" s="65" customFormat="1"/>
    <row r="11102" s="65" customFormat="1"/>
    <row r="11103" s="65" customFormat="1"/>
    <row r="11104" s="65" customFormat="1"/>
    <row r="11105" s="65" customFormat="1"/>
    <row r="11106" s="65" customFormat="1"/>
    <row r="11107" s="65" customFormat="1"/>
    <row r="11108" s="65" customFormat="1"/>
    <row r="11109" s="65" customFormat="1"/>
    <row r="11110" s="65" customFormat="1"/>
    <row r="11111" s="65" customFormat="1"/>
    <row r="11112" s="65" customFormat="1"/>
    <row r="11113" s="65" customFormat="1"/>
    <row r="11114" s="65" customFormat="1"/>
    <row r="11115" s="65" customFormat="1"/>
    <row r="11116" s="65" customFormat="1"/>
    <row r="11117" s="65" customFormat="1"/>
    <row r="11118" s="65" customFormat="1"/>
    <row r="11119" s="65" customFormat="1"/>
    <row r="11120" s="65" customFormat="1"/>
    <row r="11121" s="65" customFormat="1"/>
    <row r="11122" s="65" customFormat="1"/>
    <row r="11123" s="65" customFormat="1"/>
    <row r="11124" s="65" customFormat="1"/>
    <row r="11125" s="65" customFormat="1"/>
    <row r="11126" s="65" customFormat="1"/>
    <row r="11127" s="65" customFormat="1"/>
    <row r="11128" s="65" customFormat="1"/>
    <row r="11129" s="65" customFormat="1"/>
    <row r="11130" s="65" customFormat="1"/>
    <row r="11131" s="65" customFormat="1"/>
    <row r="11132" s="65" customFormat="1"/>
    <row r="11133" s="65" customFormat="1"/>
    <row r="11134" s="65" customFormat="1"/>
    <row r="11135" s="65" customFormat="1"/>
    <row r="11136" s="65" customFormat="1"/>
    <row r="11137" s="65" customFormat="1"/>
    <row r="11138" s="65" customFormat="1"/>
    <row r="11139" s="65" customFormat="1"/>
    <row r="11140" s="65" customFormat="1"/>
    <row r="11141" s="65" customFormat="1"/>
    <row r="11142" s="65" customFormat="1"/>
    <row r="11143" s="65" customFormat="1"/>
    <row r="11144" s="65" customFormat="1"/>
    <row r="11145" s="65" customFormat="1"/>
    <row r="11146" s="65" customFormat="1"/>
    <row r="11147" s="65" customFormat="1"/>
    <row r="11148" s="65" customFormat="1"/>
    <row r="11149" s="65" customFormat="1"/>
    <row r="11150" s="65" customFormat="1"/>
    <row r="11151" s="65" customFormat="1"/>
    <row r="11152" s="65" customFormat="1"/>
    <row r="11153" s="65" customFormat="1"/>
    <row r="11154" s="65" customFormat="1"/>
    <row r="11155" s="65" customFormat="1"/>
    <row r="11156" s="65" customFormat="1"/>
    <row r="11157" s="65" customFormat="1"/>
    <row r="11158" s="65" customFormat="1"/>
    <row r="11159" s="65" customFormat="1"/>
    <row r="11160" s="65" customFormat="1"/>
    <row r="11161" s="65" customFormat="1"/>
    <row r="11162" s="65" customFormat="1"/>
    <row r="11163" s="65" customFormat="1"/>
    <row r="11164" s="65" customFormat="1"/>
    <row r="11165" s="65" customFormat="1"/>
    <row r="11166" s="65" customFormat="1"/>
    <row r="11167" s="65" customFormat="1"/>
    <row r="11168" s="65" customFormat="1"/>
    <row r="11169" s="65" customFormat="1"/>
    <row r="11170" s="65" customFormat="1"/>
    <row r="11171" s="65" customFormat="1"/>
    <row r="11172" s="65" customFormat="1"/>
    <row r="11173" s="65" customFormat="1"/>
    <row r="11174" s="65" customFormat="1"/>
    <row r="11175" s="65" customFormat="1"/>
    <row r="11176" s="65" customFormat="1"/>
    <row r="11177" s="65" customFormat="1"/>
    <row r="11178" s="65" customFormat="1"/>
    <row r="11179" s="65" customFormat="1"/>
    <row r="11180" s="65" customFormat="1"/>
    <row r="11181" s="65" customFormat="1"/>
    <row r="11182" s="65" customFormat="1"/>
    <row r="11183" s="65" customFormat="1"/>
    <row r="11184" s="65" customFormat="1"/>
    <row r="11185" s="65" customFormat="1"/>
    <row r="11186" s="65" customFormat="1"/>
    <row r="11187" s="65" customFormat="1"/>
    <row r="11188" s="65" customFormat="1"/>
    <row r="11189" s="65" customFormat="1"/>
    <row r="11190" s="65" customFormat="1"/>
    <row r="11191" s="65" customFormat="1"/>
    <row r="11192" s="65" customFormat="1"/>
    <row r="11193" s="65" customFormat="1"/>
    <row r="11194" s="65" customFormat="1"/>
    <row r="11195" s="65" customFormat="1"/>
    <row r="11196" s="65" customFormat="1"/>
    <row r="11197" s="65" customFormat="1"/>
    <row r="11198" s="65" customFormat="1"/>
    <row r="11199" s="65" customFormat="1"/>
    <row r="11200" s="65" customFormat="1"/>
    <row r="11201" s="65" customFormat="1"/>
    <row r="11202" s="65" customFormat="1"/>
    <row r="11203" s="65" customFormat="1"/>
    <row r="11204" s="65" customFormat="1"/>
    <row r="11205" s="65" customFormat="1"/>
    <row r="11206" s="65" customFormat="1"/>
    <row r="11207" s="65" customFormat="1"/>
    <row r="11208" s="65" customFormat="1"/>
    <row r="11209" s="65" customFormat="1"/>
    <row r="11210" s="65" customFormat="1"/>
    <row r="11211" s="65" customFormat="1"/>
    <row r="11212" s="65" customFormat="1"/>
    <row r="11213" s="65" customFormat="1"/>
    <row r="11214" s="65" customFormat="1"/>
    <row r="11215" s="65" customFormat="1"/>
    <row r="11216" s="65" customFormat="1"/>
    <row r="11217" s="65" customFormat="1"/>
    <row r="11218" s="65" customFormat="1"/>
    <row r="11219" s="65" customFormat="1"/>
    <row r="11220" s="65" customFormat="1"/>
    <row r="11221" s="65" customFormat="1"/>
    <row r="11222" s="65" customFormat="1"/>
    <row r="11223" s="65" customFormat="1"/>
    <row r="11224" s="65" customFormat="1"/>
    <row r="11225" s="65" customFormat="1"/>
    <row r="11226" s="65" customFormat="1"/>
    <row r="11227" s="65" customFormat="1"/>
    <row r="11228" s="65" customFormat="1"/>
    <row r="11229" s="65" customFormat="1"/>
    <row r="11230" s="65" customFormat="1"/>
    <row r="11231" s="65" customFormat="1"/>
    <row r="11232" s="65" customFormat="1"/>
    <row r="11233" s="65" customFormat="1"/>
    <row r="11234" s="65" customFormat="1"/>
    <row r="11235" s="65" customFormat="1"/>
    <row r="11236" s="65" customFormat="1"/>
    <row r="11237" s="65" customFormat="1"/>
    <row r="11238" s="65" customFormat="1"/>
    <row r="11239" s="65" customFormat="1"/>
    <row r="11240" s="65" customFormat="1"/>
    <row r="11241" s="65" customFormat="1"/>
    <row r="11242" s="65" customFormat="1"/>
    <row r="11243" s="65" customFormat="1"/>
    <row r="11244" s="65" customFormat="1"/>
    <row r="11245" s="65" customFormat="1"/>
    <row r="11246" s="65" customFormat="1"/>
    <row r="11247" s="65" customFormat="1"/>
    <row r="11248" s="65" customFormat="1"/>
    <row r="11249" s="65" customFormat="1"/>
    <row r="11250" s="65" customFormat="1"/>
    <row r="11251" s="65" customFormat="1"/>
    <row r="11252" s="65" customFormat="1"/>
    <row r="11253" s="65" customFormat="1"/>
    <row r="11254" s="65" customFormat="1"/>
    <row r="11255" s="65" customFormat="1"/>
    <row r="11256" s="65" customFormat="1"/>
    <row r="11257" s="65" customFormat="1"/>
    <row r="11258" s="65" customFormat="1"/>
    <row r="11259" s="65" customFormat="1"/>
    <row r="11260" s="65" customFormat="1"/>
    <row r="11261" s="65" customFormat="1"/>
    <row r="11262" s="65" customFormat="1"/>
    <row r="11263" s="65" customFormat="1"/>
    <row r="11264" s="65" customFormat="1"/>
    <row r="11265" s="65" customFormat="1"/>
    <row r="11266" s="65" customFormat="1"/>
    <row r="11267" s="65" customFormat="1"/>
    <row r="11268" s="65" customFormat="1"/>
    <row r="11269" s="65" customFormat="1"/>
    <row r="11270" s="65" customFormat="1"/>
    <row r="11271" s="65" customFormat="1"/>
    <row r="11272" s="65" customFormat="1"/>
    <row r="11273" s="65" customFormat="1"/>
    <row r="11274" s="65" customFormat="1"/>
    <row r="11275" s="65" customFormat="1"/>
    <row r="11276" s="65" customFormat="1"/>
    <row r="11277" s="65" customFormat="1"/>
    <row r="11278" s="65" customFormat="1"/>
    <row r="11279" s="65" customFormat="1"/>
    <row r="11280" s="65" customFormat="1"/>
    <row r="11281" s="65" customFormat="1"/>
    <row r="11282" s="65" customFormat="1"/>
    <row r="11283" s="65" customFormat="1"/>
    <row r="11284" s="65" customFormat="1"/>
    <row r="11285" s="65" customFormat="1"/>
    <row r="11286" s="65" customFormat="1"/>
    <row r="11287" s="65" customFormat="1"/>
    <row r="11288" s="65" customFormat="1"/>
    <row r="11289" s="65" customFormat="1"/>
    <row r="11290" s="65" customFormat="1"/>
    <row r="11291" s="65" customFormat="1"/>
    <row r="11292" s="65" customFormat="1"/>
    <row r="11293" s="65" customFormat="1"/>
    <row r="11294" s="65" customFormat="1"/>
    <row r="11295" s="65" customFormat="1"/>
    <row r="11296" s="65" customFormat="1"/>
    <row r="11297" s="65" customFormat="1"/>
    <row r="11298" s="65" customFormat="1"/>
    <row r="11299" s="65" customFormat="1"/>
    <row r="11300" s="65" customFormat="1"/>
    <row r="11301" s="65" customFormat="1"/>
    <row r="11302" s="65" customFormat="1"/>
    <row r="11303" s="65" customFormat="1"/>
    <row r="11304" s="65" customFormat="1"/>
    <row r="11305" s="65" customFormat="1"/>
    <row r="11306" s="65" customFormat="1"/>
    <row r="11307" s="65" customFormat="1"/>
    <row r="11308" s="65" customFormat="1"/>
    <row r="11309" s="65" customFormat="1"/>
    <row r="11310" s="65" customFormat="1"/>
    <row r="11311" s="65" customFormat="1"/>
    <row r="11312" s="65" customFormat="1"/>
    <row r="11313" s="65" customFormat="1"/>
    <row r="11314" s="65" customFormat="1"/>
    <row r="11315" s="65" customFormat="1"/>
    <row r="11316" s="65" customFormat="1"/>
    <row r="11317" s="65" customFormat="1"/>
    <row r="11318" s="65" customFormat="1"/>
    <row r="11319" s="65" customFormat="1"/>
    <row r="11320" s="65" customFormat="1"/>
    <row r="11321" s="65" customFormat="1"/>
    <row r="11322" s="65" customFormat="1"/>
    <row r="11323" s="65" customFormat="1"/>
    <row r="11324" s="65" customFormat="1"/>
    <row r="11325" s="65" customFormat="1"/>
    <row r="11326" s="65" customFormat="1"/>
    <row r="11327" s="65" customFormat="1"/>
    <row r="11328" s="65" customFormat="1"/>
    <row r="11329" s="65" customFormat="1"/>
    <row r="11330" s="65" customFormat="1"/>
    <row r="11331" s="65" customFormat="1"/>
    <row r="11332" s="65" customFormat="1"/>
    <row r="11333" s="65" customFormat="1"/>
    <row r="11334" s="65" customFormat="1"/>
    <row r="11335" s="65" customFormat="1"/>
    <row r="11336" s="65" customFormat="1"/>
    <row r="11337" s="65" customFormat="1"/>
    <row r="11338" s="65" customFormat="1"/>
    <row r="11339" s="65" customFormat="1"/>
    <row r="11340" s="65" customFormat="1"/>
    <row r="11341" s="65" customFormat="1"/>
    <row r="11342" s="65" customFormat="1"/>
    <row r="11343" s="65" customFormat="1"/>
    <row r="11344" s="65" customFormat="1"/>
    <row r="11345" s="65" customFormat="1"/>
    <row r="11346" s="65" customFormat="1"/>
    <row r="11347" s="65" customFormat="1"/>
    <row r="11348" s="65" customFormat="1"/>
    <row r="11349" s="65" customFormat="1"/>
    <row r="11350" s="65" customFormat="1"/>
    <row r="11351" s="65" customFormat="1"/>
    <row r="11352" s="65" customFormat="1"/>
    <row r="11353" s="65" customFormat="1"/>
    <row r="11354" s="65" customFormat="1"/>
    <row r="11355" s="65" customFormat="1"/>
    <row r="11356" s="65" customFormat="1"/>
    <row r="11357" s="65" customFormat="1"/>
    <row r="11358" s="65" customFormat="1"/>
    <row r="11359" s="65" customFormat="1"/>
    <row r="11360" s="65" customFormat="1"/>
    <row r="11361" s="65" customFormat="1"/>
    <row r="11362" s="65" customFormat="1"/>
    <row r="11363" s="65" customFormat="1"/>
    <row r="11364" s="65" customFormat="1"/>
    <row r="11365" s="65" customFormat="1"/>
    <row r="11366" s="65" customFormat="1"/>
    <row r="11367" s="65" customFormat="1"/>
    <row r="11368" s="65" customFormat="1"/>
    <row r="11369" s="65" customFormat="1"/>
    <row r="11370" s="65" customFormat="1"/>
    <row r="11371" s="65" customFormat="1"/>
    <row r="11372" s="65" customFormat="1"/>
    <row r="11373" s="65" customFormat="1"/>
    <row r="11374" s="65" customFormat="1"/>
    <row r="11375" s="65" customFormat="1"/>
    <row r="11376" s="65" customFormat="1"/>
    <row r="11377" s="65" customFormat="1"/>
    <row r="11378" s="65" customFormat="1"/>
    <row r="11379" s="65" customFormat="1"/>
    <row r="11380" s="65" customFormat="1"/>
    <row r="11381" s="65" customFormat="1"/>
    <row r="11382" s="65" customFormat="1"/>
    <row r="11383" s="65" customFormat="1"/>
    <row r="11384" s="65" customFormat="1"/>
    <row r="11385" s="65" customFormat="1"/>
    <row r="11386" s="65" customFormat="1"/>
    <row r="11387" s="65" customFormat="1"/>
    <row r="11388" s="65" customFormat="1"/>
    <row r="11389" s="65" customFormat="1"/>
    <row r="11390" s="65" customFormat="1"/>
    <row r="11391" s="65" customFormat="1"/>
    <row r="11392" s="65" customFormat="1"/>
    <row r="11393" s="65" customFormat="1"/>
    <row r="11394" s="65" customFormat="1"/>
    <row r="11395" s="65" customFormat="1"/>
    <row r="11396" s="65" customFormat="1"/>
    <row r="11397" s="65" customFormat="1"/>
    <row r="11398" s="65" customFormat="1"/>
    <row r="11399" s="65" customFormat="1"/>
    <row r="11400" s="65" customFormat="1"/>
    <row r="11401" s="65" customFormat="1"/>
    <row r="11402" s="65" customFormat="1"/>
    <row r="11403" s="65" customFormat="1"/>
    <row r="11404" s="65" customFormat="1"/>
    <row r="11405" s="65" customFormat="1"/>
    <row r="11406" s="65" customFormat="1"/>
    <row r="11407" s="65" customFormat="1"/>
    <row r="11408" s="65" customFormat="1"/>
    <row r="11409" s="65" customFormat="1"/>
    <row r="11410" s="65" customFormat="1"/>
    <row r="11411" s="65" customFormat="1"/>
    <row r="11412" s="65" customFormat="1"/>
    <row r="11413" s="65" customFormat="1"/>
    <row r="11414" s="65" customFormat="1"/>
    <row r="11415" s="65" customFormat="1"/>
    <row r="11416" s="65" customFormat="1"/>
    <row r="11417" s="65" customFormat="1"/>
    <row r="11418" s="65" customFormat="1"/>
    <row r="11419" s="65" customFormat="1"/>
    <row r="11420" s="65" customFormat="1"/>
    <row r="11421" s="65" customFormat="1"/>
    <row r="11422" s="65" customFormat="1"/>
    <row r="11423" s="65" customFormat="1"/>
    <row r="11424" s="65" customFormat="1"/>
    <row r="11425" s="65" customFormat="1"/>
    <row r="11426" s="65" customFormat="1"/>
    <row r="11427" s="65" customFormat="1"/>
    <row r="11428" s="65" customFormat="1"/>
    <row r="11429" s="65" customFormat="1"/>
    <row r="11430" s="65" customFormat="1"/>
    <row r="11431" s="65" customFormat="1"/>
    <row r="11432" s="65" customFormat="1"/>
    <row r="11433" s="65" customFormat="1"/>
    <row r="11434" s="65" customFormat="1"/>
    <row r="11435" s="65" customFormat="1"/>
    <row r="11436" s="65" customFormat="1"/>
    <row r="11437" s="65" customFormat="1"/>
    <row r="11438" s="65" customFormat="1"/>
    <row r="11439" s="65" customFormat="1"/>
    <row r="11440" s="65" customFormat="1"/>
    <row r="11441" s="65" customFormat="1"/>
    <row r="11442" s="65" customFormat="1"/>
    <row r="11443" s="65" customFormat="1"/>
    <row r="11444" s="65" customFormat="1"/>
    <row r="11445" s="65" customFormat="1"/>
    <row r="11446" s="65" customFormat="1"/>
    <row r="11447" s="65" customFormat="1"/>
    <row r="11448" s="65" customFormat="1"/>
    <row r="11449" s="65" customFormat="1"/>
    <row r="11450" s="65" customFormat="1"/>
    <row r="11451" s="65" customFormat="1"/>
    <row r="11452" s="65" customFormat="1"/>
    <row r="11453" s="65" customFormat="1"/>
    <row r="11454" s="65" customFormat="1"/>
    <row r="11455" s="65" customFormat="1"/>
    <row r="11456" s="65" customFormat="1"/>
    <row r="11457" s="65" customFormat="1"/>
    <row r="11458" s="65" customFormat="1"/>
    <row r="11459" s="65" customFormat="1"/>
    <row r="11460" s="65" customFormat="1"/>
    <row r="11461" s="65" customFormat="1"/>
    <row r="11462" s="65" customFormat="1"/>
    <row r="11463" s="65" customFormat="1"/>
    <row r="11464" s="65" customFormat="1"/>
    <row r="11465" s="65" customFormat="1"/>
    <row r="11466" s="65" customFormat="1"/>
    <row r="11467" s="65" customFormat="1"/>
    <row r="11468" s="65" customFormat="1"/>
    <row r="11469" s="65" customFormat="1"/>
    <row r="11470" s="65" customFormat="1"/>
    <row r="11471" s="65" customFormat="1"/>
    <row r="11472" s="65" customFormat="1"/>
    <row r="11473" s="65" customFormat="1"/>
    <row r="11474" s="65" customFormat="1"/>
    <row r="11475" s="65" customFormat="1"/>
    <row r="11476" s="65" customFormat="1"/>
    <row r="11477" s="65" customFormat="1"/>
    <row r="11478" s="65" customFormat="1"/>
    <row r="11479" s="65" customFormat="1"/>
    <row r="11480" s="65" customFormat="1"/>
    <row r="11481" s="65" customFormat="1"/>
    <row r="11482" s="65" customFormat="1"/>
    <row r="11483" s="65" customFormat="1"/>
    <row r="11484" s="65" customFormat="1"/>
    <row r="11485" s="65" customFormat="1"/>
    <row r="11486" s="65" customFormat="1"/>
    <row r="11487" s="65" customFormat="1"/>
    <row r="11488" s="65" customFormat="1"/>
    <row r="11489" s="65" customFormat="1"/>
    <row r="11490" s="65" customFormat="1"/>
    <row r="11491" s="65" customFormat="1"/>
    <row r="11492" s="65" customFormat="1"/>
    <row r="11493" s="65" customFormat="1"/>
    <row r="11494" s="65" customFormat="1"/>
    <row r="11495" s="65" customFormat="1"/>
    <row r="11496" s="65" customFormat="1"/>
    <row r="11497" s="65" customFormat="1"/>
    <row r="11498" s="65" customFormat="1"/>
    <row r="11499" s="65" customFormat="1"/>
    <row r="11500" s="65" customFormat="1"/>
    <row r="11501" s="65" customFormat="1"/>
    <row r="11502" s="65" customFormat="1"/>
    <row r="11503" s="65" customFormat="1"/>
    <row r="11504" s="65" customFormat="1"/>
    <row r="11505" s="65" customFormat="1"/>
    <row r="11506" s="65" customFormat="1"/>
    <row r="11507" s="65" customFormat="1"/>
    <row r="11508" s="65" customFormat="1"/>
    <row r="11509" s="65" customFormat="1"/>
    <row r="11510" s="65" customFormat="1"/>
    <row r="11511" s="65" customFormat="1"/>
    <row r="11512" s="65" customFormat="1"/>
    <row r="11513" s="65" customFormat="1"/>
    <row r="11514" s="65" customFormat="1"/>
    <row r="11515" s="65" customFormat="1"/>
    <row r="11516" s="65" customFormat="1"/>
    <row r="11517" s="65" customFormat="1"/>
    <row r="11518" s="65" customFormat="1"/>
    <row r="11519" s="65" customFormat="1"/>
    <row r="11520" s="65" customFormat="1"/>
    <row r="11521" s="65" customFormat="1"/>
    <row r="11522" s="65" customFormat="1"/>
    <row r="11523" s="65" customFormat="1"/>
    <row r="11524" s="65" customFormat="1"/>
    <row r="11525" s="65" customFormat="1"/>
    <row r="11526" s="65" customFormat="1"/>
    <row r="11527" s="65" customFormat="1"/>
    <row r="11528" s="65" customFormat="1"/>
    <row r="11529" s="65" customFormat="1"/>
    <row r="11530" s="65" customFormat="1"/>
    <row r="11531" s="65" customFormat="1"/>
    <row r="11532" s="65" customFormat="1"/>
    <row r="11533" s="65" customFormat="1"/>
    <row r="11534" s="65" customFormat="1"/>
    <row r="11535" s="65" customFormat="1"/>
    <row r="11536" s="65" customFormat="1"/>
    <row r="11537" s="65" customFormat="1"/>
    <row r="11538" s="65" customFormat="1"/>
    <row r="11539" s="65" customFormat="1"/>
    <row r="11540" s="65" customFormat="1"/>
    <row r="11541" s="65" customFormat="1"/>
    <row r="11542" s="65" customFormat="1"/>
    <row r="11543" s="65" customFormat="1"/>
    <row r="11544" s="65" customFormat="1"/>
    <row r="11545" s="65" customFormat="1"/>
    <row r="11546" s="65" customFormat="1"/>
    <row r="11547" s="65" customFormat="1"/>
    <row r="11548" s="65" customFormat="1"/>
    <row r="11549" s="65" customFormat="1"/>
    <row r="11550" s="65" customFormat="1"/>
    <row r="11551" s="65" customFormat="1"/>
    <row r="11552" s="65" customFormat="1"/>
    <row r="11553" s="65" customFormat="1"/>
    <row r="11554" s="65" customFormat="1"/>
    <row r="11555" s="65" customFormat="1"/>
    <row r="11556" s="65" customFormat="1"/>
    <row r="11557" s="65" customFormat="1"/>
    <row r="11558" s="65" customFormat="1"/>
    <row r="11559" s="65" customFormat="1"/>
    <row r="11560" s="65" customFormat="1"/>
    <row r="11561" s="65" customFormat="1"/>
    <row r="11562" s="65" customFormat="1"/>
    <row r="11563" s="65" customFormat="1"/>
    <row r="11564" s="65" customFormat="1"/>
    <row r="11565" s="65" customFormat="1"/>
    <row r="11566" s="65" customFormat="1"/>
    <row r="11567" s="65" customFormat="1"/>
    <row r="11568" s="65" customFormat="1"/>
    <row r="11569" s="65" customFormat="1"/>
    <row r="11570" s="65" customFormat="1"/>
    <row r="11571" s="65" customFormat="1"/>
    <row r="11572" s="65" customFormat="1"/>
    <row r="11573" s="65" customFormat="1"/>
    <row r="11574" s="65" customFormat="1"/>
    <row r="11575" s="65" customFormat="1"/>
    <row r="11576" s="65" customFormat="1"/>
    <row r="11577" s="65" customFormat="1"/>
    <row r="11578" s="65" customFormat="1"/>
    <row r="11579" s="65" customFormat="1"/>
    <row r="11580" s="65" customFormat="1"/>
    <row r="11581" s="65" customFormat="1"/>
    <row r="11582" s="65" customFormat="1"/>
    <row r="11583" s="65" customFormat="1"/>
    <row r="11584" s="65" customFormat="1"/>
    <row r="11585" s="65" customFormat="1"/>
    <row r="11586" s="65" customFormat="1"/>
    <row r="11587" s="65" customFormat="1"/>
    <row r="11588" s="65" customFormat="1"/>
    <row r="11589" s="65" customFormat="1"/>
    <row r="11590" s="65" customFormat="1"/>
    <row r="11591" s="65" customFormat="1"/>
    <row r="11592" s="65" customFormat="1"/>
    <row r="11593" s="65" customFormat="1"/>
    <row r="11594" s="65" customFormat="1"/>
    <row r="11595" s="65" customFormat="1"/>
    <row r="11596" s="65" customFormat="1"/>
    <row r="11597" s="65" customFormat="1"/>
    <row r="11598" s="65" customFormat="1"/>
    <row r="11599" s="65" customFormat="1"/>
    <row r="11600" s="65" customFormat="1"/>
    <row r="11601" s="65" customFormat="1"/>
    <row r="11602" s="65" customFormat="1"/>
    <row r="11603" s="65" customFormat="1"/>
    <row r="11604" s="65" customFormat="1"/>
    <row r="11605" s="65" customFormat="1"/>
    <row r="11606" s="65" customFormat="1"/>
    <row r="11607" s="65" customFormat="1"/>
    <row r="11608" s="65" customFormat="1"/>
    <row r="11609" s="65" customFormat="1"/>
    <row r="11610" s="65" customFormat="1"/>
    <row r="11611" s="65" customFormat="1"/>
    <row r="11612" s="65" customFormat="1"/>
    <row r="11613" s="65" customFormat="1"/>
    <row r="11614" s="65" customFormat="1"/>
    <row r="11615" s="65" customFormat="1"/>
    <row r="11616" s="65" customFormat="1"/>
    <row r="11617" s="65" customFormat="1"/>
    <row r="11618" s="65" customFormat="1"/>
    <row r="11619" s="65" customFormat="1"/>
    <row r="11620" s="65" customFormat="1"/>
    <row r="11621" s="65" customFormat="1"/>
    <row r="11622" s="65" customFormat="1"/>
    <row r="11623" s="65" customFormat="1"/>
    <row r="11624" s="65" customFormat="1"/>
    <row r="11625" s="65" customFormat="1"/>
    <row r="11626" s="65" customFormat="1"/>
    <row r="11627" s="65" customFormat="1"/>
    <row r="11628" s="65" customFormat="1"/>
    <row r="11629" s="65" customFormat="1"/>
    <row r="11630" s="65" customFormat="1"/>
    <row r="11631" s="65" customFormat="1"/>
    <row r="11632" s="65" customFormat="1"/>
    <row r="11633" s="65" customFormat="1"/>
    <row r="11634" s="65" customFormat="1"/>
    <row r="11635" s="65" customFormat="1"/>
    <row r="11636" s="65" customFormat="1"/>
    <row r="11637" s="65" customFormat="1"/>
    <row r="11638" s="65" customFormat="1"/>
    <row r="11639" s="65" customFormat="1"/>
    <row r="11640" s="65" customFormat="1"/>
    <row r="11641" s="65" customFormat="1"/>
    <row r="11642" s="65" customFormat="1"/>
    <row r="11643" s="65" customFormat="1"/>
    <row r="11644" s="65" customFormat="1"/>
    <row r="11645" s="65" customFormat="1"/>
    <row r="11646" s="65" customFormat="1"/>
    <row r="11647" s="65" customFormat="1"/>
    <row r="11648" s="65" customFormat="1"/>
    <row r="11649" s="65" customFormat="1"/>
    <row r="11650" s="65" customFormat="1"/>
    <row r="11651" s="65" customFormat="1"/>
    <row r="11652" s="65" customFormat="1"/>
    <row r="11653" s="65" customFormat="1"/>
    <row r="11654" s="65" customFormat="1"/>
    <row r="11655" s="65" customFormat="1"/>
    <row r="11656" s="65" customFormat="1"/>
    <row r="11657" s="65" customFormat="1"/>
    <row r="11658" s="65" customFormat="1"/>
    <row r="11659" s="65" customFormat="1"/>
    <row r="11660" s="65" customFormat="1"/>
    <row r="11661" s="65" customFormat="1"/>
    <row r="11662" s="65" customFormat="1"/>
    <row r="11663" s="65" customFormat="1"/>
    <row r="11664" s="65" customFormat="1"/>
    <row r="11665" s="65" customFormat="1"/>
    <row r="11666" s="65" customFormat="1"/>
    <row r="11667" s="65" customFormat="1"/>
    <row r="11668" s="65" customFormat="1"/>
    <row r="11669" s="65" customFormat="1"/>
    <row r="11670" s="65" customFormat="1"/>
    <row r="11671" s="65" customFormat="1"/>
    <row r="11672" s="65" customFormat="1"/>
    <row r="11673" s="65" customFormat="1"/>
    <row r="11674" s="65" customFormat="1"/>
    <row r="11675" s="65" customFormat="1"/>
    <row r="11676" s="65" customFormat="1"/>
    <row r="11677" s="65" customFormat="1"/>
    <row r="11678" s="65" customFormat="1"/>
    <row r="11679" s="65" customFormat="1"/>
    <row r="11680" s="65" customFormat="1"/>
    <row r="11681" s="65" customFormat="1"/>
    <row r="11682" s="65" customFormat="1"/>
    <row r="11683" s="65" customFormat="1"/>
    <row r="11684" s="65" customFormat="1"/>
    <row r="11685" s="65" customFormat="1"/>
    <row r="11686" s="65" customFormat="1"/>
    <row r="11687" s="65" customFormat="1"/>
    <row r="11688" s="65" customFormat="1"/>
    <row r="11689" s="65" customFormat="1"/>
    <row r="11690" s="65" customFormat="1"/>
    <row r="11691" s="65" customFormat="1"/>
    <row r="11692" s="65" customFormat="1"/>
    <row r="11693" s="65" customFormat="1"/>
    <row r="11694" s="65" customFormat="1"/>
    <row r="11695" s="65" customFormat="1"/>
    <row r="11696" s="65" customFormat="1"/>
    <row r="11697" s="65" customFormat="1"/>
    <row r="11698" s="65" customFormat="1"/>
    <row r="11699" s="65" customFormat="1"/>
    <row r="11700" s="65" customFormat="1"/>
    <row r="11701" s="65" customFormat="1"/>
    <row r="11702" s="65" customFormat="1"/>
    <row r="11703" s="65" customFormat="1"/>
    <row r="11704" s="65" customFormat="1"/>
    <row r="11705" s="65" customFormat="1"/>
    <row r="11706" s="65" customFormat="1"/>
    <row r="11707" s="65" customFormat="1"/>
    <row r="11708" s="65" customFormat="1"/>
    <row r="11709" s="65" customFormat="1"/>
    <row r="11710" s="65" customFormat="1"/>
    <row r="11711" s="65" customFormat="1"/>
    <row r="11712" s="65" customFormat="1"/>
    <row r="11713" s="65" customFormat="1"/>
    <row r="11714" s="65" customFormat="1"/>
    <row r="11715" s="65" customFormat="1"/>
    <row r="11716" s="65" customFormat="1"/>
    <row r="11717" s="65" customFormat="1"/>
    <row r="11718" s="65" customFormat="1"/>
    <row r="11719" s="65" customFormat="1"/>
    <row r="11720" s="65" customFormat="1"/>
    <row r="11721" s="65" customFormat="1"/>
    <row r="11722" s="65" customFormat="1"/>
    <row r="11723" s="65" customFormat="1"/>
    <row r="11724" s="65" customFormat="1"/>
    <row r="11725" s="65" customFormat="1"/>
    <row r="11726" s="65" customFormat="1"/>
    <row r="11727" s="65" customFormat="1"/>
    <row r="11728" s="65" customFormat="1"/>
    <row r="11729" s="65" customFormat="1"/>
    <row r="11730" s="65" customFormat="1"/>
    <row r="11731" s="65" customFormat="1"/>
    <row r="11732" s="65" customFormat="1"/>
    <row r="11733" s="65" customFormat="1"/>
    <row r="11734" s="65" customFormat="1"/>
    <row r="11735" s="65" customFormat="1"/>
    <row r="11736" s="65" customFormat="1"/>
    <row r="11737" s="65" customFormat="1"/>
    <row r="11738" s="65" customFormat="1"/>
    <row r="11739" s="65" customFormat="1"/>
    <row r="11740" s="65" customFormat="1"/>
    <row r="11741" s="65" customFormat="1"/>
    <row r="11742" s="65" customFormat="1"/>
    <row r="11743" s="65" customFormat="1"/>
    <row r="11744" s="65" customFormat="1"/>
    <row r="11745" s="65" customFormat="1"/>
    <row r="11746" s="65" customFormat="1"/>
    <row r="11747" s="65" customFormat="1"/>
    <row r="11748" s="65" customFormat="1"/>
    <row r="11749" s="65" customFormat="1"/>
    <row r="11750" s="65" customFormat="1"/>
    <row r="11751" s="65" customFormat="1"/>
    <row r="11752" s="65" customFormat="1"/>
    <row r="11753" s="65" customFormat="1"/>
    <row r="11754" s="65" customFormat="1"/>
    <row r="11755" s="65" customFormat="1"/>
    <row r="11756" s="65" customFormat="1"/>
    <row r="11757" s="65" customFormat="1"/>
    <row r="11758" s="65" customFormat="1"/>
    <row r="11759" s="65" customFormat="1"/>
    <row r="11760" s="65" customFormat="1"/>
    <row r="11761" s="65" customFormat="1"/>
    <row r="11762" s="65" customFormat="1"/>
    <row r="11763" s="65" customFormat="1"/>
    <row r="11764" s="65" customFormat="1"/>
    <row r="11765" s="65" customFormat="1"/>
    <row r="11766" s="65" customFormat="1"/>
    <row r="11767" s="65" customFormat="1"/>
    <row r="11768" s="65" customFormat="1"/>
    <row r="11769" s="65" customFormat="1"/>
    <row r="11770" s="65" customFormat="1"/>
    <row r="11771" s="65" customFormat="1"/>
    <row r="11772" s="65" customFormat="1"/>
    <row r="11773" s="65" customFormat="1"/>
    <row r="11774" s="65" customFormat="1"/>
    <row r="11775" s="65" customFormat="1"/>
    <row r="11776" s="65" customFormat="1"/>
    <row r="11777" s="65" customFormat="1"/>
    <row r="11778" s="65" customFormat="1"/>
    <row r="11779" s="65" customFormat="1"/>
    <row r="11780" s="65" customFormat="1"/>
    <row r="11781" s="65" customFormat="1"/>
    <row r="11782" s="65" customFormat="1"/>
    <row r="11783" s="65" customFormat="1"/>
    <row r="11784" s="65" customFormat="1"/>
    <row r="11785" s="65" customFormat="1"/>
    <row r="11786" s="65" customFormat="1"/>
    <row r="11787" s="65" customFormat="1"/>
    <row r="11788" s="65" customFormat="1"/>
    <row r="11789" s="65" customFormat="1"/>
    <row r="11790" s="65" customFormat="1"/>
    <row r="11791" s="65" customFormat="1"/>
    <row r="11792" s="65" customFormat="1"/>
    <row r="11793" s="65" customFormat="1"/>
    <row r="11794" s="65" customFormat="1"/>
    <row r="11795" s="65" customFormat="1"/>
    <row r="11796" s="65" customFormat="1"/>
    <row r="11797" s="65" customFormat="1"/>
    <row r="11798" s="65" customFormat="1"/>
    <row r="11799" s="65" customFormat="1"/>
    <row r="11800" s="65" customFormat="1"/>
    <row r="11801" s="65" customFormat="1"/>
    <row r="11802" s="65" customFormat="1"/>
    <row r="11803" s="65" customFormat="1"/>
    <row r="11804" s="65" customFormat="1"/>
    <row r="11805" s="65" customFormat="1"/>
    <row r="11806" s="65" customFormat="1"/>
    <row r="11807" s="65" customFormat="1"/>
    <row r="11808" s="65" customFormat="1"/>
    <row r="11809" s="65" customFormat="1"/>
    <row r="11810" s="65" customFormat="1"/>
    <row r="11811" s="65" customFormat="1"/>
    <row r="11812" s="65" customFormat="1"/>
    <row r="11813" s="65" customFormat="1"/>
    <row r="11814" s="65" customFormat="1"/>
    <row r="11815" s="65" customFormat="1"/>
    <row r="11816" s="65" customFormat="1"/>
    <row r="11817" s="65" customFormat="1"/>
    <row r="11818" s="65" customFormat="1"/>
    <row r="11819" s="65" customFormat="1"/>
    <row r="11820" s="65" customFormat="1"/>
    <row r="11821" s="65" customFormat="1"/>
    <row r="11822" s="65" customFormat="1"/>
    <row r="11823" s="65" customFormat="1"/>
    <row r="11824" s="65" customFormat="1"/>
    <row r="11825" s="65" customFormat="1"/>
    <row r="11826" s="65" customFormat="1"/>
    <row r="11827" s="65" customFormat="1"/>
    <row r="11828" s="65" customFormat="1"/>
    <row r="11829" s="65" customFormat="1"/>
    <row r="11830" s="65" customFormat="1"/>
    <row r="11831" s="65" customFormat="1"/>
    <row r="11832" s="65" customFormat="1"/>
    <row r="11833" s="65" customFormat="1"/>
    <row r="11834" s="65" customFormat="1"/>
    <row r="11835" s="65" customFormat="1"/>
    <row r="11836" s="65" customFormat="1"/>
    <row r="11837" s="65" customFormat="1"/>
    <row r="11838" s="65" customFormat="1"/>
    <row r="11839" s="65" customFormat="1"/>
    <row r="11840" s="65" customFormat="1"/>
    <row r="11841" s="65" customFormat="1"/>
    <row r="11842" s="65" customFormat="1"/>
    <row r="11843" s="65" customFormat="1"/>
    <row r="11844" s="65" customFormat="1"/>
    <row r="11845" s="65" customFormat="1"/>
    <row r="11846" s="65" customFormat="1"/>
    <row r="11847" s="65" customFormat="1"/>
    <row r="11848" s="65" customFormat="1"/>
    <row r="11849" s="65" customFormat="1"/>
    <row r="11850" s="65" customFormat="1"/>
    <row r="11851" s="65" customFormat="1"/>
    <row r="11852" s="65" customFormat="1"/>
    <row r="11853" s="65" customFormat="1"/>
    <row r="11854" s="65" customFormat="1"/>
    <row r="11855" s="65" customFormat="1"/>
    <row r="11856" s="65" customFormat="1"/>
    <row r="11857" s="65" customFormat="1"/>
    <row r="11858" s="65" customFormat="1"/>
    <row r="11859" s="65" customFormat="1"/>
    <row r="11860" s="65" customFormat="1"/>
    <row r="11861" s="65" customFormat="1"/>
    <row r="11862" s="65" customFormat="1"/>
    <row r="11863" s="65" customFormat="1"/>
    <row r="11864" s="65" customFormat="1"/>
    <row r="11865" s="65" customFormat="1"/>
    <row r="11866" s="65" customFormat="1"/>
    <row r="11867" s="65" customFormat="1"/>
    <row r="11868" s="65" customFormat="1"/>
    <row r="11869" s="65" customFormat="1"/>
    <row r="11870" s="65" customFormat="1"/>
    <row r="11871" s="65" customFormat="1"/>
    <row r="11872" s="65" customFormat="1"/>
    <row r="11873" s="65" customFormat="1"/>
    <row r="11874" s="65" customFormat="1"/>
    <row r="11875" s="65" customFormat="1"/>
    <row r="11876" s="65" customFormat="1"/>
    <row r="11877" s="65" customFormat="1"/>
    <row r="11878" s="65" customFormat="1"/>
    <row r="11879" s="65" customFormat="1"/>
    <row r="11880" s="65" customFormat="1"/>
    <row r="11881" s="65" customFormat="1"/>
    <row r="11882" s="65" customFormat="1"/>
    <row r="11883" s="65" customFormat="1"/>
    <row r="11884" s="65" customFormat="1"/>
    <row r="11885" s="65" customFormat="1"/>
    <row r="11886" s="65" customFormat="1"/>
    <row r="11887" s="65" customFormat="1"/>
    <row r="11888" s="65" customFormat="1"/>
    <row r="11889" s="65" customFormat="1"/>
    <row r="11890" s="65" customFormat="1"/>
    <row r="11891" s="65" customFormat="1"/>
    <row r="11892" s="65" customFormat="1"/>
    <row r="11893" s="65" customFormat="1"/>
    <row r="11894" s="65" customFormat="1"/>
    <row r="11895" s="65" customFormat="1"/>
    <row r="11896" s="65" customFormat="1"/>
    <row r="11897" s="65" customFormat="1"/>
    <row r="11898" s="65" customFormat="1"/>
    <row r="11899" s="65" customFormat="1"/>
    <row r="11900" s="65" customFormat="1"/>
    <row r="11901" s="65" customFormat="1"/>
    <row r="11902" s="65" customFormat="1"/>
    <row r="11903" s="65" customFormat="1"/>
    <row r="11904" s="65" customFormat="1"/>
    <row r="11905" s="65" customFormat="1"/>
    <row r="11906" s="65" customFormat="1"/>
    <row r="11907" s="65" customFormat="1"/>
    <row r="11908" s="65" customFormat="1"/>
    <row r="11909" s="65" customFormat="1"/>
    <row r="11910" s="65" customFormat="1"/>
    <row r="11911" s="65" customFormat="1"/>
    <row r="11912" s="65" customFormat="1"/>
    <row r="11913" s="65" customFormat="1"/>
    <row r="11914" s="65" customFormat="1"/>
    <row r="11915" s="65" customFormat="1"/>
    <row r="11916" s="65" customFormat="1"/>
    <row r="11917" s="65" customFormat="1"/>
    <row r="11918" s="65" customFormat="1"/>
    <row r="11919" s="65" customFormat="1"/>
    <row r="11920" s="65" customFormat="1"/>
    <row r="11921" s="65" customFormat="1"/>
    <row r="11922" s="65" customFormat="1"/>
    <row r="11923" s="65" customFormat="1"/>
    <row r="11924" s="65" customFormat="1"/>
    <row r="11925" s="65" customFormat="1"/>
    <row r="11926" s="65" customFormat="1"/>
    <row r="11927" s="65" customFormat="1"/>
    <row r="11928" s="65" customFormat="1"/>
    <row r="11929" s="65" customFormat="1"/>
    <row r="11930" s="65" customFormat="1"/>
    <row r="11931" s="65" customFormat="1"/>
    <row r="11932" s="65" customFormat="1"/>
    <row r="11933" s="65" customFormat="1"/>
    <row r="11934" s="65" customFormat="1"/>
    <row r="11935" s="65" customFormat="1"/>
    <row r="11936" s="65" customFormat="1"/>
    <row r="11937" s="65" customFormat="1"/>
    <row r="11938" s="65" customFormat="1"/>
    <row r="11939" s="65" customFormat="1"/>
    <row r="11940" s="65" customFormat="1"/>
    <row r="11941" s="65" customFormat="1"/>
    <row r="11942" s="65" customFormat="1"/>
    <row r="11943" s="65" customFormat="1"/>
    <row r="11944" s="65" customFormat="1"/>
    <row r="11945" s="65" customFormat="1"/>
    <row r="11946" s="65" customFormat="1"/>
    <row r="11947" s="65" customFormat="1"/>
    <row r="11948" s="65" customFormat="1"/>
    <row r="11949" s="65" customFormat="1"/>
    <row r="11950" s="65" customFormat="1"/>
    <row r="11951" s="65" customFormat="1"/>
    <row r="11952" s="65" customFormat="1"/>
    <row r="11953" s="65" customFormat="1"/>
    <row r="11954" s="65" customFormat="1"/>
    <row r="11955" s="65" customFormat="1"/>
    <row r="11956" s="65" customFormat="1"/>
    <row r="11957" s="65" customFormat="1"/>
    <row r="11958" s="65" customFormat="1"/>
    <row r="11959" s="65" customFormat="1"/>
    <row r="11960" s="65" customFormat="1"/>
    <row r="11961" s="65" customFormat="1"/>
    <row r="11962" s="65" customFormat="1"/>
    <row r="11963" s="65" customFormat="1"/>
    <row r="11964" s="65" customFormat="1"/>
    <row r="11965" s="65" customFormat="1"/>
    <row r="11966" s="65" customFormat="1"/>
    <row r="11967" s="65" customFormat="1"/>
    <row r="11968" s="65" customFormat="1"/>
    <row r="11969" s="65" customFormat="1"/>
    <row r="11970" s="65" customFormat="1"/>
    <row r="11971" s="65" customFormat="1"/>
    <row r="11972" s="65" customFormat="1"/>
    <row r="11973" s="65" customFormat="1"/>
    <row r="11974" s="65" customFormat="1"/>
    <row r="11975" s="65" customFormat="1"/>
    <row r="11976" s="65" customFormat="1"/>
    <row r="11977" s="65" customFormat="1"/>
    <row r="11978" s="65" customFormat="1"/>
    <row r="11979" s="65" customFormat="1"/>
    <row r="11980" s="65" customFormat="1"/>
    <row r="11981" s="65" customFormat="1"/>
    <row r="11982" s="65" customFormat="1"/>
    <row r="11983" s="65" customFormat="1"/>
    <row r="11984" s="65" customFormat="1"/>
    <row r="11985" s="65" customFormat="1"/>
    <row r="11986" s="65" customFormat="1"/>
    <row r="11987" s="65" customFormat="1"/>
    <row r="11988" s="65" customFormat="1"/>
    <row r="11989" s="65" customFormat="1"/>
    <row r="11990" s="65" customFormat="1"/>
    <row r="11991" s="65" customFormat="1"/>
    <row r="11992" s="65" customFormat="1"/>
    <row r="11993" s="65" customFormat="1"/>
    <row r="11994" s="65" customFormat="1"/>
    <row r="11995" s="65" customFormat="1"/>
    <row r="11996" s="65" customFormat="1"/>
    <row r="11997" s="65" customFormat="1"/>
    <row r="11998" s="65" customFormat="1"/>
    <row r="11999" s="65" customFormat="1"/>
    <row r="12000" s="65" customFormat="1"/>
    <row r="12001" s="65" customFormat="1"/>
    <row r="12002" s="65" customFormat="1"/>
    <row r="12003" s="65" customFormat="1"/>
    <row r="12004" s="65" customFormat="1"/>
    <row r="12005" s="65" customFormat="1"/>
    <row r="12006" s="65" customFormat="1"/>
    <row r="12007" s="65" customFormat="1"/>
    <row r="12008" s="65" customFormat="1"/>
    <row r="12009" s="65" customFormat="1"/>
    <row r="12010" s="65" customFormat="1"/>
    <row r="12011" s="65" customFormat="1"/>
    <row r="12012" s="65" customFormat="1"/>
    <row r="12013" s="65" customFormat="1"/>
    <row r="12014" s="65" customFormat="1"/>
    <row r="12015" s="65" customFormat="1"/>
    <row r="12016" s="65" customFormat="1"/>
    <row r="12017" s="65" customFormat="1"/>
    <row r="12018" s="65" customFormat="1"/>
    <row r="12019" s="65" customFormat="1"/>
    <row r="12020" s="65" customFormat="1"/>
    <row r="12021" s="65" customFormat="1"/>
    <row r="12022" s="65" customFormat="1"/>
    <row r="12023" s="65" customFormat="1"/>
    <row r="12024" s="65" customFormat="1"/>
    <row r="12025" s="65" customFormat="1"/>
    <row r="12026" s="65" customFormat="1"/>
    <row r="12027" s="65" customFormat="1"/>
    <row r="12028" s="65" customFormat="1"/>
    <row r="12029" s="65" customFormat="1"/>
    <row r="12030" s="65" customFormat="1"/>
    <row r="12031" s="65" customFormat="1"/>
    <row r="12032" s="65" customFormat="1"/>
    <row r="12033" s="65" customFormat="1"/>
    <row r="12034" s="65" customFormat="1"/>
    <row r="12035" s="65" customFormat="1"/>
    <row r="12036" s="65" customFormat="1"/>
    <row r="12037" s="65" customFormat="1"/>
    <row r="12038" s="65" customFormat="1"/>
    <row r="12039" s="65" customFormat="1"/>
    <row r="12040" s="65" customFormat="1"/>
    <row r="12041" s="65" customFormat="1"/>
    <row r="12042" s="65" customFormat="1"/>
    <row r="12043" s="65" customFormat="1"/>
    <row r="12044" s="65" customFormat="1"/>
    <row r="12045" s="65" customFormat="1"/>
    <row r="12046" s="65" customFormat="1"/>
    <row r="12047" s="65" customFormat="1"/>
    <row r="12048" s="65" customFormat="1"/>
    <row r="12049" s="65" customFormat="1"/>
    <row r="12050" s="65" customFormat="1"/>
    <row r="12051" s="65" customFormat="1"/>
    <row r="12052" s="65" customFormat="1"/>
    <row r="12053" s="65" customFormat="1"/>
    <row r="12054" s="65" customFormat="1"/>
    <row r="12055" s="65" customFormat="1"/>
    <row r="12056" s="65" customFormat="1"/>
    <row r="12057" s="65" customFormat="1"/>
    <row r="12058" s="65" customFormat="1"/>
    <row r="12059" s="65" customFormat="1"/>
    <row r="12060" s="65" customFormat="1"/>
    <row r="12061" s="65" customFormat="1"/>
    <row r="12062" s="65" customFormat="1"/>
    <row r="12063" s="65" customFormat="1"/>
    <row r="12064" s="65" customFormat="1"/>
    <row r="12065" s="65" customFormat="1"/>
    <row r="12066" s="65" customFormat="1"/>
    <row r="12067" s="65" customFormat="1"/>
    <row r="12068" s="65" customFormat="1"/>
    <row r="12069" s="65" customFormat="1"/>
    <row r="12070" s="65" customFormat="1"/>
    <row r="12071" s="65" customFormat="1"/>
    <row r="12072" s="65" customFormat="1"/>
    <row r="12073" s="65" customFormat="1"/>
    <row r="12074" s="65" customFormat="1"/>
    <row r="12075" s="65" customFormat="1"/>
    <row r="12076" s="65" customFormat="1"/>
    <row r="12077" s="65" customFormat="1"/>
    <row r="12078" s="65" customFormat="1"/>
    <row r="12079" s="65" customFormat="1"/>
    <row r="12080" s="65" customFormat="1"/>
    <row r="12081" s="65" customFormat="1"/>
    <row r="12082" s="65" customFormat="1"/>
    <row r="12083" s="65" customFormat="1"/>
    <row r="12084" s="65" customFormat="1"/>
    <row r="12085" s="65" customFormat="1"/>
    <row r="12086" s="65" customFormat="1"/>
    <row r="12087" s="65" customFormat="1"/>
    <row r="12088" s="65" customFormat="1"/>
    <row r="12089" s="65" customFormat="1"/>
    <row r="12090" s="65" customFormat="1"/>
    <row r="12091" s="65" customFormat="1"/>
    <row r="12092" s="65" customFormat="1"/>
    <row r="12093" s="65" customFormat="1"/>
    <row r="12094" s="65" customFormat="1"/>
    <row r="12095" s="65" customFormat="1"/>
    <row r="12096" s="65" customFormat="1"/>
    <row r="12097" s="65" customFormat="1"/>
    <row r="12098" s="65" customFormat="1"/>
    <row r="12099" s="65" customFormat="1"/>
    <row r="12100" s="65" customFormat="1"/>
    <row r="12101" s="65" customFormat="1"/>
    <row r="12102" s="65" customFormat="1"/>
    <row r="12103" s="65" customFormat="1"/>
    <row r="12104" s="65" customFormat="1"/>
    <row r="12105" s="65" customFormat="1"/>
    <row r="12106" s="65" customFormat="1"/>
    <row r="12107" s="65" customFormat="1"/>
    <row r="12108" s="65" customFormat="1"/>
    <row r="12109" s="65" customFormat="1"/>
    <row r="12110" s="65" customFormat="1"/>
    <row r="12111" s="65" customFormat="1"/>
    <row r="12112" s="65" customFormat="1"/>
    <row r="12113" s="65" customFormat="1"/>
    <row r="12114" s="65" customFormat="1"/>
    <row r="12115" s="65" customFormat="1"/>
    <row r="12116" s="65" customFormat="1"/>
    <row r="12117" s="65" customFormat="1"/>
    <row r="12118" s="65" customFormat="1"/>
    <row r="12119" s="65" customFormat="1"/>
    <row r="12120" s="65" customFormat="1"/>
    <row r="12121" s="65" customFormat="1"/>
    <row r="12122" s="65" customFormat="1"/>
    <row r="12123" s="65" customFormat="1"/>
    <row r="12124" s="65" customFormat="1"/>
    <row r="12125" s="65" customFormat="1"/>
    <row r="12126" s="65" customFormat="1"/>
    <row r="12127" s="65" customFormat="1"/>
    <row r="12128" s="65" customFormat="1"/>
    <row r="12129" s="65" customFormat="1"/>
    <row r="12130" s="65" customFormat="1"/>
    <row r="12131" s="65" customFormat="1"/>
    <row r="12132" s="65" customFormat="1"/>
    <row r="12133" s="65" customFormat="1"/>
    <row r="12134" s="65" customFormat="1"/>
    <row r="12135" s="65" customFormat="1"/>
    <row r="12136" s="65" customFormat="1"/>
    <row r="12137" s="65" customFormat="1"/>
    <row r="12138" s="65" customFormat="1"/>
    <row r="12139" s="65" customFormat="1"/>
    <row r="12140" s="65" customFormat="1"/>
    <row r="12141" s="65" customFormat="1"/>
    <row r="12142" s="65" customFormat="1"/>
    <row r="12143" s="65" customFormat="1"/>
    <row r="12144" s="65" customFormat="1"/>
    <row r="12145" s="65" customFormat="1"/>
    <row r="12146" s="65" customFormat="1"/>
    <row r="12147" s="65" customFormat="1"/>
    <row r="12148" s="65" customFormat="1"/>
    <row r="12149" s="65" customFormat="1"/>
    <row r="12150" s="65" customFormat="1"/>
    <row r="12151" s="65" customFormat="1"/>
    <row r="12152" s="65" customFormat="1"/>
    <row r="12153" s="65" customFormat="1"/>
    <row r="12154" s="65" customFormat="1"/>
    <row r="12155" s="65" customFormat="1"/>
    <row r="12156" s="65" customFormat="1"/>
    <row r="12157" s="65" customFormat="1"/>
    <row r="12158" s="65" customFormat="1"/>
    <row r="12159" s="65" customFormat="1"/>
    <row r="12160" s="65" customFormat="1"/>
    <row r="12161" s="65" customFormat="1"/>
    <row r="12162" s="65" customFormat="1"/>
    <row r="12163" s="65" customFormat="1"/>
    <row r="12164" s="65" customFormat="1"/>
    <row r="12165" s="65" customFormat="1"/>
    <row r="12166" s="65" customFormat="1"/>
    <row r="12167" s="65" customFormat="1"/>
    <row r="12168" s="65" customFormat="1"/>
    <row r="12169" s="65" customFormat="1"/>
    <row r="12170" s="65" customFormat="1"/>
    <row r="12171" s="65" customFormat="1"/>
    <row r="12172" s="65" customFormat="1"/>
    <row r="12173" s="65" customFormat="1"/>
    <row r="12174" s="65" customFormat="1"/>
    <row r="12175" s="65" customFormat="1"/>
    <row r="12176" s="65" customFormat="1"/>
    <row r="12177" s="65" customFormat="1"/>
    <row r="12178" s="65" customFormat="1"/>
    <row r="12179" s="65" customFormat="1"/>
    <row r="12180" s="65" customFormat="1"/>
    <row r="12181" s="65" customFormat="1"/>
    <row r="12182" s="65" customFormat="1"/>
    <row r="12183" s="65" customFormat="1"/>
    <row r="12184" s="65" customFormat="1"/>
    <row r="12185" s="65" customFormat="1"/>
    <row r="12186" s="65" customFormat="1"/>
    <row r="12187" s="65" customFormat="1"/>
    <row r="12188" s="65" customFormat="1"/>
    <row r="12189" s="65" customFormat="1"/>
    <row r="12190" s="65" customFormat="1"/>
    <row r="12191" s="65" customFormat="1"/>
    <row r="12192" s="65" customFormat="1"/>
    <row r="12193" s="65" customFormat="1"/>
    <row r="12194" s="65" customFormat="1"/>
    <row r="12195" s="65" customFormat="1"/>
    <row r="12196" s="65" customFormat="1"/>
    <row r="12197" s="65" customFormat="1"/>
    <row r="12198" s="65" customFormat="1"/>
    <row r="12199" s="65" customFormat="1"/>
    <row r="12200" s="65" customFormat="1"/>
    <row r="12201" s="65" customFormat="1"/>
    <row r="12202" s="65" customFormat="1"/>
    <row r="12203" s="65" customFormat="1"/>
    <row r="12204" s="65" customFormat="1"/>
    <row r="12205" s="65" customFormat="1"/>
    <row r="12206" s="65" customFormat="1"/>
    <row r="12207" s="65" customFormat="1"/>
    <row r="12208" s="65" customFormat="1"/>
    <row r="12209" s="65" customFormat="1"/>
    <row r="12210" s="65" customFormat="1"/>
    <row r="12211" s="65" customFormat="1"/>
    <row r="12212" s="65" customFormat="1"/>
    <row r="12213" s="65" customFormat="1"/>
    <row r="12214" s="65" customFormat="1"/>
    <row r="12215" s="65" customFormat="1"/>
    <row r="12216" s="65" customFormat="1"/>
    <row r="12217" s="65" customFormat="1"/>
    <row r="12218" s="65" customFormat="1"/>
    <row r="12219" s="65" customFormat="1"/>
    <row r="12220" s="65" customFormat="1"/>
    <row r="12221" s="65" customFormat="1"/>
    <row r="12222" s="65" customFormat="1"/>
    <row r="12223" s="65" customFormat="1"/>
    <row r="12224" s="65" customFormat="1"/>
    <row r="12225" s="65" customFormat="1"/>
    <row r="12226" s="65" customFormat="1"/>
    <row r="12227" s="65" customFormat="1"/>
    <row r="12228" s="65" customFormat="1"/>
    <row r="12229" s="65" customFormat="1"/>
    <row r="12230" s="65" customFormat="1"/>
    <row r="12231" s="65" customFormat="1"/>
    <row r="12232" s="65" customFormat="1"/>
    <row r="12233" s="65" customFormat="1"/>
    <row r="12234" s="65" customFormat="1"/>
    <row r="12235" s="65" customFormat="1"/>
    <row r="12236" s="65" customFormat="1"/>
    <row r="12237" s="65" customFormat="1"/>
    <row r="12238" s="65" customFormat="1"/>
    <row r="12239" s="65" customFormat="1"/>
    <row r="12240" s="65" customFormat="1"/>
    <row r="12241" s="65" customFormat="1"/>
    <row r="12242" s="65" customFormat="1"/>
    <row r="12243" s="65" customFormat="1"/>
    <row r="12244" s="65" customFormat="1"/>
    <row r="12245" s="65" customFormat="1"/>
    <row r="12246" s="65" customFormat="1"/>
    <row r="12247" s="65" customFormat="1"/>
    <row r="12248" s="65" customFormat="1"/>
    <row r="12249" s="65" customFormat="1"/>
    <row r="12250" s="65" customFormat="1"/>
    <row r="12251" s="65" customFormat="1"/>
    <row r="12252" s="65" customFormat="1"/>
    <row r="12253" s="65" customFormat="1"/>
    <row r="12254" s="65" customFormat="1"/>
    <row r="12255" s="65" customFormat="1"/>
    <row r="12256" s="65" customFormat="1"/>
    <row r="12257" s="65" customFormat="1"/>
    <row r="12258" s="65" customFormat="1"/>
    <row r="12259" s="65" customFormat="1"/>
    <row r="12260" s="65" customFormat="1"/>
    <row r="12261" s="65" customFormat="1"/>
    <row r="12262" s="65" customFormat="1"/>
    <row r="12263" s="65" customFormat="1"/>
    <row r="12264" s="65" customFormat="1"/>
    <row r="12265" s="65" customFormat="1"/>
    <row r="12266" s="65" customFormat="1"/>
    <row r="12267" s="65" customFormat="1"/>
    <row r="12268" s="65" customFormat="1"/>
    <row r="12269" s="65" customFormat="1"/>
    <row r="12270" s="65" customFormat="1"/>
    <row r="12271" s="65" customFormat="1"/>
    <row r="12272" s="65" customFormat="1"/>
    <row r="12273" s="65" customFormat="1"/>
    <row r="12274" s="65" customFormat="1"/>
    <row r="12275" s="65" customFormat="1"/>
    <row r="12276" s="65" customFormat="1"/>
    <row r="12277" s="65" customFormat="1"/>
    <row r="12278" s="65" customFormat="1"/>
    <row r="12279" s="65" customFormat="1"/>
    <row r="12280" s="65" customFormat="1"/>
    <row r="12281" s="65" customFormat="1"/>
    <row r="12282" s="65" customFormat="1"/>
    <row r="12283" s="65" customFormat="1"/>
    <row r="12284" s="65" customFormat="1"/>
    <row r="12285" s="65" customFormat="1"/>
    <row r="12286" s="65" customFormat="1"/>
    <row r="12287" s="65" customFormat="1"/>
    <row r="12288" s="65" customFormat="1"/>
    <row r="12289" s="65" customFormat="1"/>
    <row r="12290" s="65" customFormat="1"/>
    <row r="12291" s="65" customFormat="1"/>
    <row r="12292" s="65" customFormat="1"/>
    <row r="12293" s="65" customFormat="1"/>
    <row r="12294" s="65" customFormat="1"/>
    <row r="12295" s="65" customFormat="1"/>
    <row r="12296" s="65" customFormat="1"/>
    <row r="12297" s="65" customFormat="1"/>
    <row r="12298" s="65" customFormat="1"/>
    <row r="12299" s="65" customFormat="1"/>
    <row r="12300" s="65" customFormat="1"/>
    <row r="12301" s="65" customFormat="1"/>
    <row r="12302" s="65" customFormat="1"/>
    <row r="12303" s="65" customFormat="1"/>
    <row r="12304" s="65" customFormat="1"/>
    <row r="12305" s="65" customFormat="1"/>
    <row r="12306" s="65" customFormat="1"/>
    <row r="12307" s="65" customFormat="1"/>
    <row r="12308" s="65" customFormat="1"/>
    <row r="12309" s="65" customFormat="1"/>
    <row r="12310" s="65" customFormat="1"/>
    <row r="12311" s="65" customFormat="1"/>
    <row r="12312" s="65" customFormat="1"/>
    <row r="12313" s="65" customFormat="1"/>
    <row r="12314" s="65" customFormat="1"/>
    <row r="12315" s="65" customFormat="1"/>
    <row r="12316" s="65" customFormat="1"/>
    <row r="12317" s="65" customFormat="1"/>
    <row r="12318" s="65" customFormat="1"/>
    <row r="12319" s="65" customFormat="1"/>
    <row r="12320" s="65" customFormat="1"/>
    <row r="12321" s="65" customFormat="1"/>
    <row r="12322" s="65" customFormat="1"/>
    <row r="12323" s="65" customFormat="1"/>
    <row r="12324" s="65" customFormat="1"/>
    <row r="12325" s="65" customFormat="1"/>
    <row r="12326" s="65" customFormat="1"/>
    <row r="12327" s="65" customFormat="1"/>
    <row r="12328" s="65" customFormat="1"/>
    <row r="12329" s="65" customFormat="1"/>
    <row r="12330" s="65" customFormat="1"/>
    <row r="12331" s="65" customFormat="1"/>
    <row r="12332" s="65" customFormat="1"/>
    <row r="12333" s="65" customFormat="1"/>
    <row r="12334" s="65" customFormat="1"/>
    <row r="12335" s="65" customFormat="1"/>
    <row r="12336" s="65" customFormat="1"/>
    <row r="12337" s="65" customFormat="1"/>
    <row r="12338" s="65" customFormat="1"/>
    <row r="12339" s="65" customFormat="1"/>
    <row r="12340" s="65" customFormat="1"/>
    <row r="12341" s="65" customFormat="1"/>
    <row r="12342" s="65" customFormat="1"/>
    <row r="12343" s="65" customFormat="1"/>
    <row r="12344" s="65" customFormat="1"/>
    <row r="12345" s="65" customFormat="1"/>
    <row r="12346" s="65" customFormat="1"/>
    <row r="12347" s="65" customFormat="1"/>
    <row r="12348" s="65" customFormat="1"/>
    <row r="12349" s="65" customFormat="1"/>
    <row r="12350" s="65" customFormat="1"/>
    <row r="12351" s="65" customFormat="1"/>
    <row r="12352" s="65" customFormat="1"/>
    <row r="12353" s="65" customFormat="1"/>
    <row r="12354" s="65" customFormat="1"/>
    <row r="12355" s="65" customFormat="1"/>
    <row r="12356" s="65" customFormat="1"/>
    <row r="12357" s="65" customFormat="1"/>
    <row r="12358" s="65" customFormat="1"/>
    <row r="12359" s="65" customFormat="1"/>
    <row r="12360" s="65" customFormat="1"/>
    <row r="12361" s="65" customFormat="1"/>
    <row r="12362" s="65" customFormat="1"/>
    <row r="12363" s="65" customFormat="1"/>
    <row r="12364" s="65" customFormat="1"/>
    <row r="12365" s="65" customFormat="1"/>
    <row r="12366" s="65" customFormat="1"/>
    <row r="12367" s="65" customFormat="1"/>
    <row r="12368" s="65" customFormat="1"/>
    <row r="12369" s="65" customFormat="1"/>
    <row r="12370" s="65" customFormat="1"/>
    <row r="12371" s="65" customFormat="1"/>
    <row r="12372" s="65" customFormat="1"/>
    <row r="12373" s="65" customFormat="1"/>
    <row r="12374" s="65" customFormat="1"/>
    <row r="12375" s="65" customFormat="1"/>
    <row r="12376" s="65" customFormat="1"/>
    <row r="12377" s="65" customFormat="1"/>
    <row r="12378" s="65" customFormat="1"/>
    <row r="12379" s="65" customFormat="1"/>
    <row r="12380" s="65" customFormat="1"/>
    <row r="12381" s="65" customFormat="1"/>
    <row r="12382" s="65" customFormat="1"/>
    <row r="12383" s="65" customFormat="1"/>
    <row r="12384" s="65" customFormat="1"/>
    <row r="12385" s="65" customFormat="1"/>
    <row r="12386" s="65" customFormat="1"/>
    <row r="12387" s="65" customFormat="1"/>
    <row r="12388" s="65" customFormat="1"/>
    <row r="12389" s="65" customFormat="1"/>
    <row r="12390" s="65" customFormat="1"/>
    <row r="12391" s="65" customFormat="1"/>
    <row r="12392" s="65" customFormat="1"/>
    <row r="12393" s="65" customFormat="1"/>
    <row r="12394" s="65" customFormat="1"/>
    <row r="12395" s="65" customFormat="1"/>
    <row r="12396" s="65" customFormat="1"/>
    <row r="12397" s="65" customFormat="1"/>
    <row r="12398" s="65" customFormat="1"/>
    <row r="12399" s="65" customFormat="1"/>
    <row r="12400" s="65" customFormat="1"/>
    <row r="12401" s="65" customFormat="1"/>
    <row r="12402" s="65" customFormat="1"/>
    <row r="12403" s="65" customFormat="1"/>
    <row r="12404" s="65" customFormat="1"/>
    <row r="12405" s="65" customFormat="1"/>
    <row r="12406" s="65" customFormat="1"/>
    <row r="12407" s="65" customFormat="1"/>
    <row r="12408" s="65" customFormat="1"/>
    <row r="12409" s="65" customFormat="1"/>
    <row r="12410" s="65" customFormat="1"/>
    <row r="12411" s="65" customFormat="1"/>
    <row r="12412" s="65" customFormat="1"/>
    <row r="12413" s="65" customFormat="1"/>
    <row r="12414" s="65" customFormat="1"/>
    <row r="12415" s="65" customFormat="1"/>
    <row r="12416" s="65" customFormat="1"/>
    <row r="12417" s="65" customFormat="1"/>
    <row r="12418" s="65" customFormat="1"/>
    <row r="12419" s="65" customFormat="1"/>
    <row r="12420" s="65" customFormat="1"/>
    <row r="12421" s="65" customFormat="1"/>
    <row r="12422" s="65" customFormat="1"/>
    <row r="12423" s="65" customFormat="1"/>
    <row r="12424" s="65" customFormat="1"/>
    <row r="12425" s="65" customFormat="1"/>
    <row r="12426" s="65" customFormat="1"/>
    <row r="12427" s="65" customFormat="1"/>
    <row r="12428" s="65" customFormat="1"/>
    <row r="12429" s="65" customFormat="1"/>
    <row r="12430" s="65" customFormat="1"/>
    <row r="12431" s="65" customFormat="1"/>
    <row r="12432" s="65" customFormat="1"/>
    <row r="12433" s="65" customFormat="1"/>
    <row r="12434" s="65" customFormat="1"/>
    <row r="12435" s="65" customFormat="1"/>
    <row r="12436" s="65" customFormat="1"/>
    <row r="12437" s="65" customFormat="1"/>
    <row r="12438" s="65" customFormat="1"/>
    <row r="12439" s="65" customFormat="1"/>
    <row r="12440" s="65" customFormat="1"/>
    <row r="12441" s="65" customFormat="1"/>
    <row r="12442" s="65" customFormat="1"/>
    <row r="12443" s="65" customFormat="1"/>
    <row r="12444" s="65" customFormat="1"/>
    <row r="12445" s="65" customFormat="1"/>
    <row r="12446" s="65" customFormat="1"/>
    <row r="12447" s="65" customFormat="1"/>
    <row r="12448" s="65" customFormat="1"/>
    <row r="12449" s="65" customFormat="1"/>
    <row r="12450" s="65" customFormat="1"/>
    <row r="12451" s="65" customFormat="1"/>
    <row r="12452" s="65" customFormat="1"/>
    <row r="12453" s="65" customFormat="1"/>
    <row r="12454" s="65" customFormat="1"/>
    <row r="12455" s="65" customFormat="1"/>
    <row r="12456" s="65" customFormat="1"/>
    <row r="12457" s="65" customFormat="1"/>
    <row r="12458" s="65" customFormat="1"/>
    <row r="12459" s="65" customFormat="1"/>
    <row r="12460" s="65" customFormat="1"/>
    <row r="12461" s="65" customFormat="1"/>
    <row r="12462" s="65" customFormat="1"/>
    <row r="12463" s="65" customFormat="1"/>
    <row r="12464" s="65" customFormat="1"/>
    <row r="12465" s="65" customFormat="1"/>
    <row r="12466" s="65" customFormat="1"/>
    <row r="12467" s="65" customFormat="1"/>
    <row r="12468" s="65" customFormat="1"/>
    <row r="12469" s="65" customFormat="1"/>
    <row r="12470" s="65" customFormat="1"/>
    <row r="12471" s="65" customFormat="1"/>
    <row r="12472" s="65" customFormat="1"/>
    <row r="12473" s="65" customFormat="1"/>
    <row r="12474" s="65" customFormat="1"/>
    <row r="12475" s="65" customFormat="1"/>
    <row r="12476" s="65" customFormat="1"/>
    <row r="12477" s="65" customFormat="1"/>
    <row r="12478" s="65" customFormat="1"/>
    <row r="12479" s="65" customFormat="1"/>
    <row r="12480" s="65" customFormat="1"/>
    <row r="12481" s="65" customFormat="1"/>
    <row r="12482" s="65" customFormat="1"/>
    <row r="12483" s="65" customFormat="1"/>
    <row r="12484" s="65" customFormat="1"/>
    <row r="12485" s="65" customFormat="1"/>
    <row r="12486" s="65" customFormat="1"/>
    <row r="12487" s="65" customFormat="1"/>
    <row r="12488" s="65" customFormat="1"/>
    <row r="12489" s="65" customFormat="1"/>
    <row r="12490" s="65" customFormat="1"/>
    <row r="12491" s="65" customFormat="1"/>
    <row r="12492" s="65" customFormat="1"/>
    <row r="12493" s="65" customFormat="1"/>
    <row r="12494" s="65" customFormat="1"/>
    <row r="12495" s="65" customFormat="1"/>
    <row r="12496" s="65" customFormat="1"/>
    <row r="12497" s="65" customFormat="1"/>
    <row r="12498" s="65" customFormat="1"/>
    <row r="12499" s="65" customFormat="1"/>
    <row r="12500" s="65" customFormat="1"/>
    <row r="12501" s="65" customFormat="1"/>
    <row r="12502" s="65" customFormat="1"/>
    <row r="12503" s="65" customFormat="1"/>
    <row r="12504" s="65" customFormat="1"/>
    <row r="12505" s="65" customFormat="1"/>
    <row r="12506" s="65" customFormat="1"/>
    <row r="12507" s="65" customFormat="1"/>
    <row r="12508" s="65" customFormat="1"/>
    <row r="12509" s="65" customFormat="1"/>
    <row r="12510" s="65" customFormat="1"/>
    <row r="12511" s="65" customFormat="1"/>
    <row r="12512" s="65" customFormat="1"/>
    <row r="12513" s="65" customFormat="1"/>
    <row r="12514" s="65" customFormat="1"/>
    <row r="12515" s="65" customFormat="1"/>
    <row r="12516" s="65" customFormat="1"/>
    <row r="12517" s="65" customFormat="1"/>
    <row r="12518" s="65" customFormat="1"/>
    <row r="12519" s="65" customFormat="1"/>
    <row r="12520" s="65" customFormat="1"/>
    <row r="12521" s="65" customFormat="1"/>
    <row r="12522" s="65" customFormat="1"/>
    <row r="12523" s="65" customFormat="1"/>
    <row r="12524" s="65" customFormat="1"/>
    <row r="12525" s="65" customFormat="1"/>
    <row r="12526" s="65" customFormat="1"/>
    <row r="12527" s="65" customFormat="1"/>
    <row r="12528" s="65" customFormat="1"/>
    <row r="12529" s="65" customFormat="1"/>
    <row r="12530" s="65" customFormat="1"/>
    <row r="12531" s="65" customFormat="1"/>
    <row r="12532" s="65" customFormat="1"/>
    <row r="12533" s="65" customFormat="1"/>
    <row r="12534" s="65" customFormat="1"/>
    <row r="12535" s="65" customFormat="1"/>
    <row r="12536" s="65" customFormat="1"/>
    <row r="12537" s="65" customFormat="1"/>
    <row r="12538" s="65" customFormat="1"/>
    <row r="12539" s="65" customFormat="1"/>
    <row r="12540" s="65" customFormat="1"/>
    <row r="12541" s="65" customFormat="1"/>
    <row r="12542" s="65" customFormat="1"/>
    <row r="12543" s="65" customFormat="1"/>
    <row r="12544" s="65" customFormat="1"/>
    <row r="12545" s="65" customFormat="1"/>
    <row r="12546" s="65" customFormat="1"/>
    <row r="12547" s="65" customFormat="1"/>
    <row r="12548" s="65" customFormat="1"/>
    <row r="12549" s="65" customFormat="1"/>
    <row r="12550" s="65" customFormat="1"/>
    <row r="12551" s="65" customFormat="1"/>
    <row r="12552" s="65" customFormat="1"/>
    <row r="12553" s="65" customFormat="1"/>
    <row r="12554" s="65" customFormat="1"/>
    <row r="12555" s="65" customFormat="1"/>
    <row r="12556" s="65" customFormat="1"/>
    <row r="12557" s="65" customFormat="1"/>
    <row r="12558" s="65" customFormat="1"/>
    <row r="12559" s="65" customFormat="1"/>
    <row r="12560" s="65" customFormat="1"/>
    <row r="12561" s="65" customFormat="1"/>
    <row r="12562" s="65" customFormat="1"/>
    <row r="12563" s="65" customFormat="1"/>
    <row r="12564" s="65" customFormat="1"/>
    <row r="12565" s="65" customFormat="1"/>
    <row r="12566" s="65" customFormat="1"/>
    <row r="12567" s="65" customFormat="1"/>
    <row r="12568" s="65" customFormat="1"/>
    <row r="12569" s="65" customFormat="1"/>
    <row r="12570" s="65" customFormat="1"/>
    <row r="12571" s="65" customFormat="1"/>
    <row r="12572" s="65" customFormat="1"/>
    <row r="12573" s="65" customFormat="1"/>
    <row r="12574" s="65" customFormat="1"/>
    <row r="12575" s="65" customFormat="1"/>
    <row r="12576" s="65" customFormat="1"/>
    <row r="12577" s="65" customFormat="1"/>
    <row r="12578" s="65" customFormat="1"/>
    <row r="12579" s="65" customFormat="1"/>
    <row r="12580" s="65" customFormat="1"/>
    <row r="12581" s="65" customFormat="1"/>
    <row r="12582" s="65" customFormat="1"/>
    <row r="12583" s="65" customFormat="1"/>
    <row r="12584" s="65" customFormat="1"/>
    <row r="12585" s="65" customFormat="1"/>
    <row r="12586" s="65" customFormat="1"/>
    <row r="12587" s="65" customFormat="1"/>
    <row r="12588" s="65" customFormat="1"/>
    <row r="12589" s="65" customFormat="1"/>
    <row r="12590" s="65" customFormat="1"/>
    <row r="12591" s="65" customFormat="1"/>
    <row r="12592" s="65" customFormat="1"/>
    <row r="12593" s="65" customFormat="1"/>
    <row r="12594" s="65" customFormat="1"/>
    <row r="12595" s="65" customFormat="1"/>
    <row r="12596" s="65" customFormat="1"/>
    <row r="12597" s="65" customFormat="1"/>
    <row r="12598" s="65" customFormat="1"/>
    <row r="12599" s="65" customFormat="1"/>
    <row r="12600" s="65" customFormat="1"/>
    <row r="12601" s="65" customFormat="1"/>
    <row r="12602" s="65" customFormat="1"/>
    <row r="12603" s="65" customFormat="1"/>
    <row r="12604" s="65" customFormat="1"/>
    <row r="12605" s="65" customFormat="1"/>
    <row r="12606" s="65" customFormat="1"/>
    <row r="12607" s="65" customFormat="1"/>
    <row r="12608" s="65" customFormat="1"/>
    <row r="12609" s="65" customFormat="1"/>
    <row r="12610" s="65" customFormat="1"/>
    <row r="12611" s="65" customFormat="1"/>
    <row r="12612" s="65" customFormat="1"/>
    <row r="12613" s="65" customFormat="1"/>
    <row r="12614" s="65" customFormat="1"/>
    <row r="12615" s="65" customFormat="1"/>
    <row r="12616" s="65" customFormat="1"/>
    <row r="12617" s="65" customFormat="1"/>
    <row r="12618" s="65" customFormat="1"/>
    <row r="12619" s="65" customFormat="1"/>
    <row r="12620" s="65" customFormat="1"/>
    <row r="12621" s="65" customFormat="1"/>
    <row r="12622" s="65" customFormat="1"/>
    <row r="12623" s="65" customFormat="1"/>
    <row r="12624" s="65" customFormat="1"/>
    <row r="12625" s="65" customFormat="1"/>
    <row r="12626" s="65" customFormat="1"/>
    <row r="12627" s="65" customFormat="1"/>
    <row r="12628" s="65" customFormat="1"/>
    <row r="12629" s="65" customFormat="1"/>
    <row r="12630" s="65" customFormat="1"/>
    <row r="12631" s="65" customFormat="1"/>
    <row r="12632" s="65" customFormat="1"/>
    <row r="12633" s="65" customFormat="1"/>
    <row r="12634" s="65" customFormat="1"/>
    <row r="12635" s="65" customFormat="1"/>
    <row r="12636" s="65" customFormat="1"/>
    <row r="12637" s="65" customFormat="1"/>
    <row r="12638" s="65" customFormat="1"/>
    <row r="12639" s="65" customFormat="1"/>
    <row r="12640" s="65" customFormat="1"/>
    <row r="12641" s="65" customFormat="1"/>
    <row r="12642" s="65" customFormat="1"/>
    <row r="12643" s="65" customFormat="1"/>
    <row r="12644" s="65" customFormat="1"/>
    <row r="12645" s="65" customFormat="1"/>
    <row r="12646" s="65" customFormat="1"/>
    <row r="12647" s="65" customFormat="1"/>
    <row r="12648" s="65" customFormat="1"/>
    <row r="12649" s="65" customFormat="1"/>
    <row r="12650" s="65" customFormat="1"/>
    <row r="12651" s="65" customFormat="1"/>
    <row r="12652" s="65" customFormat="1"/>
    <row r="12653" s="65" customFormat="1"/>
    <row r="12654" s="65" customFormat="1"/>
    <row r="12655" s="65" customFormat="1"/>
    <row r="12656" s="65" customFormat="1"/>
    <row r="12657" s="65" customFormat="1"/>
    <row r="12658" s="65" customFormat="1"/>
    <row r="12659" s="65" customFormat="1"/>
    <row r="12660" s="65" customFormat="1"/>
    <row r="12661" s="65" customFormat="1"/>
    <row r="12662" s="65" customFormat="1"/>
    <row r="12663" s="65" customFormat="1"/>
    <row r="12664" s="65" customFormat="1"/>
    <row r="12665" s="65" customFormat="1"/>
    <row r="12666" s="65" customFormat="1"/>
    <row r="12667" s="65" customFormat="1"/>
    <row r="12668" s="65" customFormat="1"/>
    <row r="12669" s="65" customFormat="1"/>
    <row r="12670" s="65" customFormat="1"/>
    <row r="12671" s="65" customFormat="1"/>
    <row r="12672" s="65" customFormat="1"/>
    <row r="12673" s="65" customFormat="1"/>
    <row r="12674" s="65" customFormat="1"/>
    <row r="12675" s="65" customFormat="1"/>
    <row r="12676" s="65" customFormat="1"/>
    <row r="12677" s="65" customFormat="1"/>
    <row r="12678" s="65" customFormat="1"/>
    <row r="12679" s="65" customFormat="1"/>
    <row r="12680" s="65" customFormat="1"/>
    <row r="12681" s="65" customFormat="1"/>
    <row r="12682" s="65" customFormat="1"/>
    <row r="12683" s="65" customFormat="1"/>
    <row r="12684" s="65" customFormat="1"/>
    <row r="12685" s="65" customFormat="1"/>
    <row r="12686" s="65" customFormat="1"/>
    <row r="12687" s="65" customFormat="1"/>
    <row r="12688" s="65" customFormat="1"/>
    <row r="12689" s="65" customFormat="1"/>
    <row r="12690" s="65" customFormat="1"/>
    <row r="12691" s="65" customFormat="1"/>
    <row r="12692" s="65" customFormat="1"/>
    <row r="12693" s="65" customFormat="1"/>
    <row r="12694" s="65" customFormat="1"/>
    <row r="12695" s="65" customFormat="1"/>
    <row r="12696" s="65" customFormat="1"/>
    <row r="12697" s="65" customFormat="1"/>
    <row r="12698" s="65" customFormat="1"/>
    <row r="12699" s="65" customFormat="1"/>
    <row r="12700" s="65" customFormat="1"/>
    <row r="12701" s="65" customFormat="1"/>
    <row r="12702" s="65" customFormat="1"/>
    <row r="12703" s="65" customFormat="1"/>
    <row r="12704" s="65" customFormat="1"/>
    <row r="12705" s="65" customFormat="1"/>
    <row r="12706" s="65" customFormat="1"/>
    <row r="12707" s="65" customFormat="1"/>
    <row r="12708" s="65" customFormat="1"/>
    <row r="12709" s="65" customFormat="1"/>
    <row r="12710" s="65" customFormat="1"/>
    <row r="12711" s="65" customFormat="1"/>
    <row r="12712" s="65" customFormat="1"/>
    <row r="12713" s="65" customFormat="1"/>
    <row r="12714" s="65" customFormat="1"/>
    <row r="12715" s="65" customFormat="1"/>
    <row r="12716" s="65" customFormat="1"/>
    <row r="12717" s="65" customFormat="1"/>
    <row r="12718" s="65" customFormat="1"/>
    <row r="12719" s="65" customFormat="1"/>
    <row r="12720" s="65" customFormat="1"/>
    <row r="12721" s="65" customFormat="1"/>
    <row r="12722" s="65" customFormat="1"/>
    <row r="12723" s="65" customFormat="1"/>
    <row r="12724" s="65" customFormat="1"/>
    <row r="12725" s="65" customFormat="1"/>
    <row r="12726" s="65" customFormat="1"/>
    <row r="12727" s="65" customFormat="1"/>
    <row r="12728" s="65" customFormat="1"/>
    <row r="12729" s="65" customFormat="1"/>
    <row r="12730" s="65" customFormat="1"/>
    <row r="12731" s="65" customFormat="1"/>
    <row r="12732" s="65" customFormat="1"/>
    <row r="12733" s="65" customFormat="1"/>
    <row r="12734" s="65" customFormat="1"/>
    <row r="12735" s="65" customFormat="1"/>
    <row r="12736" s="65" customFormat="1"/>
    <row r="12737" s="65" customFormat="1"/>
    <row r="12738" s="65" customFormat="1"/>
    <row r="12739" s="65" customFormat="1"/>
    <row r="12740" s="65" customFormat="1"/>
    <row r="12741" s="65" customFormat="1"/>
    <row r="12742" s="65" customFormat="1"/>
    <row r="12743" s="65" customFormat="1"/>
    <row r="12744" s="65" customFormat="1"/>
    <row r="12745" s="65" customFormat="1"/>
    <row r="12746" s="65" customFormat="1"/>
    <row r="12747" s="65" customFormat="1"/>
    <row r="12748" s="65" customFormat="1"/>
    <row r="12749" s="65" customFormat="1"/>
    <row r="12750" s="65" customFormat="1"/>
    <row r="12751" s="65" customFormat="1"/>
    <row r="12752" s="65" customFormat="1"/>
    <row r="12753" s="65" customFormat="1"/>
    <row r="12754" s="65" customFormat="1"/>
    <row r="12755" s="65" customFormat="1"/>
    <row r="12756" s="65" customFormat="1"/>
    <row r="12757" s="65" customFormat="1"/>
    <row r="12758" s="65" customFormat="1"/>
    <row r="12759" s="65" customFormat="1"/>
    <row r="12760" s="65" customFormat="1"/>
    <row r="12761" s="65" customFormat="1"/>
    <row r="12762" s="65" customFormat="1"/>
    <row r="12763" s="65" customFormat="1"/>
    <row r="12764" s="65" customFormat="1"/>
    <row r="12765" s="65" customFormat="1"/>
    <row r="12766" s="65" customFormat="1"/>
    <row r="12767" s="65" customFormat="1"/>
    <row r="12768" s="65" customFormat="1"/>
    <row r="12769" s="65" customFormat="1"/>
    <row r="12770" s="65" customFormat="1"/>
    <row r="12771" s="65" customFormat="1"/>
    <row r="12772" s="65" customFormat="1"/>
    <row r="12773" s="65" customFormat="1"/>
    <row r="12774" s="65" customFormat="1"/>
    <row r="12775" s="65" customFormat="1"/>
    <row r="12776" s="65" customFormat="1"/>
    <row r="12777" s="65" customFormat="1"/>
    <row r="12778" s="65" customFormat="1"/>
    <row r="12779" s="65" customFormat="1"/>
    <row r="12780" s="65" customFormat="1"/>
    <row r="12781" s="65" customFormat="1"/>
    <row r="12782" s="65" customFormat="1"/>
    <row r="12783" s="65" customFormat="1"/>
    <row r="12784" s="65" customFormat="1"/>
    <row r="12785" s="65" customFormat="1"/>
    <row r="12786" s="65" customFormat="1"/>
    <row r="12787" s="65" customFormat="1"/>
    <row r="12788" s="65" customFormat="1"/>
    <row r="12789" s="65" customFormat="1"/>
    <row r="12790" s="65" customFormat="1"/>
    <row r="12791" s="65" customFormat="1"/>
    <row r="12792" s="65" customFormat="1"/>
    <row r="12793" s="65" customFormat="1"/>
    <row r="12794" s="65" customFormat="1"/>
    <row r="12795" s="65" customFormat="1"/>
    <row r="12796" s="65" customFormat="1"/>
    <row r="12797" s="65" customFormat="1"/>
    <row r="12798" s="65" customFormat="1"/>
    <row r="12799" s="65" customFormat="1"/>
    <row r="12800" s="65" customFormat="1"/>
    <row r="12801" s="65" customFormat="1"/>
    <row r="12802" s="65" customFormat="1"/>
    <row r="12803" s="65" customFormat="1"/>
    <row r="12804" s="65" customFormat="1"/>
    <row r="12805" s="65" customFormat="1"/>
    <row r="12806" s="65" customFormat="1"/>
    <row r="12807" s="65" customFormat="1"/>
    <row r="12808" s="65" customFormat="1"/>
    <row r="12809" s="65" customFormat="1"/>
    <row r="12810" s="65" customFormat="1"/>
    <row r="12811" s="65" customFormat="1"/>
    <row r="12812" s="65" customFormat="1"/>
    <row r="12813" s="65" customFormat="1"/>
    <row r="12814" s="65" customFormat="1"/>
    <row r="12815" s="65" customFormat="1"/>
    <row r="12816" s="65" customFormat="1"/>
    <row r="12817" s="65" customFormat="1"/>
    <row r="12818" s="65" customFormat="1"/>
    <row r="12819" s="65" customFormat="1"/>
    <row r="12820" s="65" customFormat="1"/>
    <row r="12821" s="65" customFormat="1"/>
    <row r="12822" s="65" customFormat="1"/>
    <row r="12823" s="65" customFormat="1"/>
    <row r="12824" s="65" customFormat="1"/>
    <row r="12825" s="65" customFormat="1"/>
    <row r="12826" s="65" customFormat="1"/>
    <row r="12827" s="65" customFormat="1"/>
    <row r="12828" s="65" customFormat="1"/>
    <row r="12829" s="65" customFormat="1"/>
    <row r="12830" s="65" customFormat="1"/>
    <row r="12831" s="65" customFormat="1"/>
    <row r="12832" s="65" customFormat="1"/>
    <row r="12833" s="65" customFormat="1"/>
    <row r="12834" s="65" customFormat="1"/>
    <row r="12835" s="65" customFormat="1"/>
    <row r="12836" s="65" customFormat="1"/>
    <row r="12837" s="65" customFormat="1"/>
    <row r="12838" s="65" customFormat="1"/>
    <row r="12839" s="65" customFormat="1"/>
    <row r="12840" s="65" customFormat="1"/>
    <row r="12841" s="65" customFormat="1"/>
    <row r="12842" s="65" customFormat="1"/>
    <row r="12843" s="65" customFormat="1"/>
    <row r="12844" s="65" customFormat="1"/>
    <row r="12845" s="65" customFormat="1"/>
    <row r="12846" s="65" customFormat="1"/>
    <row r="12847" s="65" customFormat="1"/>
    <row r="12848" s="65" customFormat="1"/>
    <row r="12849" s="65" customFormat="1"/>
    <row r="12850" s="65" customFormat="1"/>
    <row r="12851" s="65" customFormat="1"/>
    <row r="12852" s="65" customFormat="1"/>
    <row r="12853" s="65" customFormat="1"/>
    <row r="12854" s="65" customFormat="1"/>
    <row r="12855" s="65" customFormat="1"/>
    <row r="12856" s="65" customFormat="1"/>
    <row r="12857" s="65" customFormat="1"/>
    <row r="12858" s="65" customFormat="1"/>
    <row r="12859" s="65" customFormat="1"/>
    <row r="12860" s="65" customFormat="1"/>
    <row r="12861" s="65" customFormat="1"/>
    <row r="12862" s="65" customFormat="1"/>
    <row r="12863" s="65" customFormat="1"/>
    <row r="12864" s="65" customFormat="1"/>
    <row r="12865" s="65" customFormat="1"/>
    <row r="12866" s="65" customFormat="1"/>
    <row r="12867" s="65" customFormat="1"/>
    <row r="12868" s="65" customFormat="1"/>
    <row r="12869" s="65" customFormat="1"/>
    <row r="12870" s="65" customFormat="1"/>
    <row r="12871" s="65" customFormat="1"/>
    <row r="12872" s="65" customFormat="1"/>
    <row r="12873" s="65" customFormat="1"/>
    <row r="12874" s="65" customFormat="1"/>
    <row r="12875" s="65" customFormat="1"/>
    <row r="12876" s="65" customFormat="1"/>
    <row r="12877" s="65" customFormat="1"/>
    <row r="12878" s="65" customFormat="1"/>
    <row r="12879" s="65" customFormat="1"/>
    <row r="12880" s="65" customFormat="1"/>
    <row r="12881" s="65" customFormat="1"/>
    <row r="12882" s="65" customFormat="1"/>
    <row r="12883" s="65" customFormat="1"/>
    <row r="12884" s="65" customFormat="1"/>
    <row r="12885" s="65" customFormat="1"/>
    <row r="12886" s="65" customFormat="1"/>
    <row r="12887" s="65" customFormat="1"/>
    <row r="12888" s="65" customFormat="1"/>
    <row r="12889" s="65" customFormat="1"/>
    <row r="12890" s="65" customFormat="1"/>
    <row r="12891" s="65" customFormat="1"/>
    <row r="12892" s="65" customFormat="1"/>
    <row r="12893" s="65" customFormat="1"/>
    <row r="12894" s="65" customFormat="1"/>
    <row r="12895" s="65" customFormat="1"/>
    <row r="12896" s="65" customFormat="1"/>
    <row r="12897" s="65" customFormat="1"/>
    <row r="12898" s="65" customFormat="1"/>
    <row r="12899" s="65" customFormat="1"/>
    <row r="12900" s="65" customFormat="1"/>
    <row r="12901" s="65" customFormat="1"/>
    <row r="12902" s="65" customFormat="1"/>
    <row r="12903" s="65" customFormat="1"/>
    <row r="12904" s="65" customFormat="1"/>
    <row r="12905" s="65" customFormat="1"/>
    <row r="12906" s="65" customFormat="1"/>
    <row r="12907" s="65" customFormat="1"/>
    <row r="12908" s="65" customFormat="1"/>
    <row r="12909" s="65" customFormat="1"/>
    <row r="12910" s="65" customFormat="1"/>
    <row r="12911" s="65" customFormat="1"/>
    <row r="12912" s="65" customFormat="1"/>
    <row r="12913" s="65" customFormat="1"/>
    <row r="12914" s="65" customFormat="1"/>
    <row r="12915" s="65" customFormat="1"/>
    <row r="12916" s="65" customFormat="1"/>
    <row r="12917" s="65" customFormat="1"/>
    <row r="12918" s="65" customFormat="1"/>
    <row r="12919" s="65" customFormat="1"/>
    <row r="12920" s="65" customFormat="1"/>
    <row r="12921" s="65" customFormat="1"/>
    <row r="12922" s="65" customFormat="1"/>
    <row r="12923" s="65" customFormat="1"/>
    <row r="12924" s="65" customFormat="1"/>
    <row r="12925" s="65" customFormat="1"/>
    <row r="12926" s="65" customFormat="1"/>
    <row r="12927" s="65" customFormat="1"/>
    <row r="12928" s="65" customFormat="1"/>
    <row r="12929" s="65" customFormat="1"/>
    <row r="12930" s="65" customFormat="1"/>
    <row r="12931" s="65" customFormat="1"/>
    <row r="12932" s="65" customFormat="1"/>
    <row r="12933" s="65" customFormat="1"/>
    <row r="12934" s="65" customFormat="1"/>
    <row r="12935" s="65" customFormat="1"/>
    <row r="12936" s="65" customFormat="1"/>
    <row r="12937" s="65" customFormat="1"/>
    <row r="12938" s="65" customFormat="1"/>
    <row r="12939" s="65" customFormat="1"/>
    <row r="12940" s="65" customFormat="1"/>
    <row r="12941" s="65" customFormat="1"/>
    <row r="12942" s="65" customFormat="1"/>
    <row r="12943" s="65" customFormat="1"/>
    <row r="12944" s="65" customFormat="1"/>
    <row r="12945" s="65" customFormat="1"/>
    <row r="12946" s="65" customFormat="1"/>
    <row r="12947" s="65" customFormat="1"/>
    <row r="12948" s="65" customFormat="1"/>
    <row r="12949" s="65" customFormat="1"/>
    <row r="12950" s="65" customFormat="1"/>
    <row r="12951" s="65" customFormat="1"/>
    <row r="12952" s="65" customFormat="1"/>
    <row r="12953" s="65" customFormat="1"/>
    <row r="12954" s="65" customFormat="1"/>
    <row r="12955" s="65" customFormat="1"/>
    <row r="12956" s="65" customFormat="1"/>
    <row r="12957" s="65" customFormat="1"/>
    <row r="12958" s="65" customFormat="1"/>
    <row r="12959" s="65" customFormat="1"/>
    <row r="12960" s="65" customFormat="1"/>
    <row r="12961" s="65" customFormat="1"/>
    <row r="12962" s="65" customFormat="1"/>
    <row r="12963" s="65" customFormat="1"/>
    <row r="12964" s="65" customFormat="1"/>
    <row r="12965" s="65" customFormat="1"/>
    <row r="12966" s="65" customFormat="1"/>
    <row r="12967" s="65" customFormat="1"/>
    <row r="12968" s="65" customFormat="1"/>
    <row r="12969" s="65" customFormat="1"/>
    <row r="12970" s="65" customFormat="1"/>
    <row r="12971" s="65" customFormat="1"/>
    <row r="12972" s="65" customFormat="1"/>
    <row r="12973" s="65" customFormat="1"/>
    <row r="12974" s="65" customFormat="1"/>
    <row r="12975" s="65" customFormat="1"/>
    <row r="12976" s="65" customFormat="1"/>
    <row r="12977" s="65" customFormat="1"/>
    <row r="12978" s="65" customFormat="1"/>
    <row r="12979" s="65" customFormat="1"/>
    <row r="12980" s="65" customFormat="1"/>
    <row r="12981" s="65" customFormat="1"/>
    <row r="12982" s="65" customFormat="1"/>
    <row r="12983" s="65" customFormat="1"/>
    <row r="12984" s="65" customFormat="1"/>
    <row r="12985" s="65" customFormat="1"/>
    <row r="12986" s="65" customFormat="1"/>
    <row r="12987" s="65" customFormat="1"/>
    <row r="12988" s="65" customFormat="1"/>
    <row r="12989" s="65" customFormat="1"/>
    <row r="12990" s="65" customFormat="1"/>
    <row r="12991" s="65" customFormat="1"/>
    <row r="12992" s="65" customFormat="1"/>
    <row r="12993" s="65" customFormat="1"/>
    <row r="12994" s="65" customFormat="1"/>
    <row r="12995" s="65" customFormat="1"/>
    <row r="12996" s="65" customFormat="1"/>
    <row r="12997" s="65" customFormat="1"/>
    <row r="12998" s="65" customFormat="1"/>
    <row r="12999" s="65" customFormat="1"/>
    <row r="13000" s="65" customFormat="1"/>
    <row r="13001" s="65" customFormat="1"/>
    <row r="13002" s="65" customFormat="1"/>
    <row r="13003" s="65" customFormat="1"/>
    <row r="13004" s="65" customFormat="1"/>
    <row r="13005" s="65" customFormat="1"/>
    <row r="13006" s="65" customFormat="1"/>
    <row r="13007" s="65" customFormat="1"/>
    <row r="13008" s="65" customFormat="1"/>
    <row r="13009" s="65" customFormat="1"/>
    <row r="13010" s="65" customFormat="1"/>
    <row r="13011" s="65" customFormat="1"/>
    <row r="13012" s="65" customFormat="1"/>
    <row r="13013" s="65" customFormat="1"/>
    <row r="13014" s="65" customFormat="1"/>
    <row r="13015" s="65" customFormat="1"/>
    <row r="13016" s="65" customFormat="1"/>
    <row r="13017" s="65" customFormat="1"/>
    <row r="13018" s="65" customFormat="1"/>
    <row r="13019" s="65" customFormat="1"/>
    <row r="13020" s="65" customFormat="1"/>
    <row r="13021" s="65" customFormat="1"/>
    <row r="13022" s="65" customFormat="1"/>
    <row r="13023" s="65" customFormat="1"/>
    <row r="13024" s="65" customFormat="1"/>
    <row r="13025" s="65" customFormat="1"/>
    <row r="13026" s="65" customFormat="1"/>
    <row r="13027" s="65" customFormat="1"/>
    <row r="13028" s="65" customFormat="1"/>
    <row r="13029" s="65" customFormat="1"/>
    <row r="13030" s="65" customFormat="1"/>
    <row r="13031" s="65" customFormat="1"/>
    <row r="13032" s="65" customFormat="1"/>
    <row r="13033" s="65" customFormat="1"/>
    <row r="13034" s="65" customFormat="1"/>
    <row r="13035" s="65" customFormat="1"/>
    <row r="13036" s="65" customFormat="1"/>
    <row r="13037" s="65" customFormat="1"/>
    <row r="13038" s="65" customFormat="1"/>
    <row r="13039" s="65" customFormat="1"/>
    <row r="13040" s="65" customFormat="1"/>
    <row r="13041" s="65" customFormat="1"/>
    <row r="13042" s="65" customFormat="1"/>
    <row r="13043" s="65" customFormat="1"/>
    <row r="13044" s="65" customFormat="1"/>
    <row r="13045" s="65" customFormat="1"/>
    <row r="13046" s="65" customFormat="1"/>
    <row r="13047" s="65" customFormat="1"/>
    <row r="13048" s="65" customFormat="1"/>
    <row r="13049" s="65" customFormat="1"/>
    <row r="13050" s="65" customFormat="1"/>
    <row r="13051" s="65" customFormat="1"/>
    <row r="13052" s="65" customFormat="1"/>
    <row r="13053" s="65" customFormat="1"/>
    <row r="13054" s="65" customFormat="1"/>
    <row r="13055" s="65" customFormat="1"/>
    <row r="13056" s="65" customFormat="1"/>
    <row r="13057" s="65" customFormat="1"/>
    <row r="13058" s="65" customFormat="1"/>
    <row r="13059" s="65" customFormat="1"/>
    <row r="13060" s="65" customFormat="1"/>
    <row r="13061" s="65" customFormat="1"/>
    <row r="13062" s="65" customFormat="1"/>
    <row r="13063" s="65" customFormat="1"/>
    <row r="13064" s="65" customFormat="1"/>
    <row r="13065" s="65" customFormat="1"/>
    <row r="13066" s="65" customFormat="1"/>
    <row r="13067" s="65" customFormat="1"/>
    <row r="13068" s="65" customFormat="1"/>
    <row r="13069" s="65" customFormat="1"/>
    <row r="13070" s="65" customFormat="1"/>
    <row r="13071" s="65" customFormat="1"/>
    <row r="13072" s="65" customFormat="1"/>
    <row r="13073" s="65" customFormat="1"/>
    <row r="13074" s="65" customFormat="1"/>
    <row r="13075" s="65" customFormat="1"/>
    <row r="13076" s="65" customFormat="1"/>
    <row r="13077" s="65" customFormat="1"/>
    <row r="13078" s="65" customFormat="1"/>
    <row r="13079" s="65" customFormat="1"/>
    <row r="13080" s="65" customFormat="1"/>
    <row r="13081" s="65" customFormat="1"/>
    <row r="13082" s="65" customFormat="1"/>
    <row r="13083" s="65" customFormat="1"/>
    <row r="13084" s="65" customFormat="1"/>
    <row r="13085" s="65" customFormat="1"/>
    <row r="13086" s="65" customFormat="1"/>
    <row r="13087" s="65" customFormat="1"/>
    <row r="13088" s="65" customFormat="1"/>
    <row r="13089" s="65" customFormat="1"/>
    <row r="13090" s="65" customFormat="1"/>
    <row r="13091" s="65" customFormat="1"/>
    <row r="13092" s="65" customFormat="1"/>
    <row r="13093" s="65" customFormat="1"/>
    <row r="13094" s="65" customFormat="1"/>
    <row r="13095" s="65" customFormat="1"/>
    <row r="13096" s="65" customFormat="1"/>
    <row r="13097" s="65" customFormat="1"/>
    <row r="13098" s="65" customFormat="1"/>
    <row r="13099" s="65" customFormat="1"/>
    <row r="13100" s="65" customFormat="1"/>
    <row r="13101" s="65" customFormat="1"/>
    <row r="13102" s="65" customFormat="1"/>
    <row r="13103" s="65" customFormat="1"/>
    <row r="13104" s="65" customFormat="1"/>
    <row r="13105" s="65" customFormat="1"/>
    <row r="13106" s="65" customFormat="1"/>
    <row r="13107" s="65" customFormat="1"/>
    <row r="13108" s="65" customFormat="1"/>
    <row r="13109" s="65" customFormat="1"/>
    <row r="13110" s="65" customFormat="1"/>
    <row r="13111" s="65" customFormat="1"/>
    <row r="13112" s="65" customFormat="1"/>
    <row r="13113" s="65" customFormat="1"/>
    <row r="13114" s="65" customFormat="1"/>
    <row r="13115" s="65" customFormat="1"/>
    <row r="13116" s="65" customFormat="1"/>
    <row r="13117" s="65" customFormat="1"/>
    <row r="13118" s="65" customFormat="1"/>
    <row r="13119" s="65" customFormat="1"/>
    <row r="13120" s="65" customFormat="1"/>
    <row r="13121" s="65" customFormat="1"/>
    <row r="13122" s="65" customFormat="1"/>
    <row r="13123" s="65" customFormat="1"/>
    <row r="13124" s="65" customFormat="1"/>
    <row r="13125" s="65" customFormat="1"/>
    <row r="13126" s="65" customFormat="1"/>
    <row r="13127" s="65" customFormat="1"/>
    <row r="13128" s="65" customFormat="1"/>
    <row r="13129" s="65" customFormat="1"/>
    <row r="13130" s="65" customFormat="1"/>
    <row r="13131" s="65" customFormat="1"/>
    <row r="13132" s="65" customFormat="1"/>
    <row r="13133" s="65" customFormat="1"/>
    <row r="13134" s="65" customFormat="1"/>
    <row r="13135" s="65" customFormat="1"/>
    <row r="13136" s="65" customFormat="1"/>
    <row r="13137" s="65" customFormat="1"/>
    <row r="13138" s="65" customFormat="1"/>
    <row r="13139" s="65" customFormat="1"/>
    <row r="13140" s="65" customFormat="1"/>
    <row r="13141" s="65" customFormat="1"/>
    <row r="13142" s="65" customFormat="1"/>
    <row r="13143" s="65" customFormat="1"/>
    <row r="13144" s="65" customFormat="1"/>
    <row r="13145" s="65" customFormat="1"/>
    <row r="13146" s="65" customFormat="1"/>
    <row r="13147" s="65" customFormat="1"/>
    <row r="13148" s="65" customFormat="1"/>
    <row r="13149" s="65" customFormat="1"/>
    <row r="13150" s="65" customFormat="1"/>
    <row r="13151" s="65" customFormat="1"/>
    <row r="13152" s="65" customFormat="1"/>
    <row r="13153" s="65" customFormat="1"/>
    <row r="13154" s="65" customFormat="1"/>
    <row r="13155" s="65" customFormat="1"/>
    <row r="13156" s="65" customFormat="1"/>
    <row r="13157" s="65" customFormat="1"/>
    <row r="13158" s="65" customFormat="1"/>
    <row r="13159" s="65" customFormat="1"/>
    <row r="13160" s="65" customFormat="1"/>
    <row r="13161" s="65" customFormat="1"/>
    <row r="13162" s="65" customFormat="1"/>
    <row r="13163" s="65" customFormat="1"/>
    <row r="13164" s="65" customFormat="1"/>
    <row r="13165" s="65" customFormat="1"/>
    <row r="13166" s="65" customFormat="1"/>
    <row r="13167" s="65" customFormat="1"/>
    <row r="13168" s="65" customFormat="1"/>
    <row r="13169" s="65" customFormat="1"/>
    <row r="13170" s="65" customFormat="1"/>
    <row r="13171" s="65" customFormat="1"/>
    <row r="13172" s="65" customFormat="1"/>
    <row r="13173" s="65" customFormat="1"/>
    <row r="13174" s="65" customFormat="1"/>
    <row r="13175" s="65" customFormat="1"/>
    <row r="13176" s="65" customFormat="1"/>
    <row r="13177" s="65" customFormat="1"/>
    <row r="13178" s="65" customFormat="1"/>
    <row r="13179" s="65" customFormat="1"/>
    <row r="13180" s="65" customFormat="1"/>
    <row r="13181" s="65" customFormat="1"/>
    <row r="13182" s="65" customFormat="1"/>
    <row r="13183" s="65" customFormat="1"/>
    <row r="13184" s="65" customFormat="1"/>
    <row r="13185" s="65" customFormat="1"/>
    <row r="13186" s="65" customFormat="1"/>
    <row r="13187" s="65" customFormat="1"/>
    <row r="13188" s="65" customFormat="1"/>
    <row r="13189" s="65" customFormat="1"/>
    <row r="13190" s="65" customFormat="1"/>
    <row r="13191" s="65" customFormat="1"/>
    <row r="13192" s="65" customFormat="1"/>
    <row r="13193" s="65" customFormat="1"/>
    <row r="13194" s="65" customFormat="1"/>
    <row r="13195" s="65" customFormat="1"/>
    <row r="13196" s="65" customFormat="1"/>
    <row r="13197" s="65" customFormat="1"/>
    <row r="13198" s="65" customFormat="1"/>
    <row r="13199" s="65" customFormat="1"/>
    <row r="13200" s="65" customFormat="1"/>
    <row r="13201" s="65" customFormat="1"/>
    <row r="13202" s="65" customFormat="1"/>
    <row r="13203" s="65" customFormat="1"/>
    <row r="13204" s="65" customFormat="1"/>
    <row r="13205" s="65" customFormat="1"/>
    <row r="13206" s="65" customFormat="1"/>
    <row r="13207" s="65" customFormat="1"/>
    <row r="13208" s="65" customFormat="1"/>
    <row r="13209" s="65" customFormat="1"/>
    <row r="13210" s="65" customFormat="1"/>
    <row r="13211" s="65" customFormat="1"/>
    <row r="13212" s="65" customFormat="1"/>
    <row r="13213" s="65" customFormat="1"/>
    <row r="13214" s="65" customFormat="1"/>
    <row r="13215" s="65" customFormat="1"/>
    <row r="13216" s="65" customFormat="1"/>
    <row r="13217" s="65" customFormat="1"/>
    <row r="13218" s="65" customFormat="1"/>
    <row r="13219" s="65" customFormat="1"/>
    <row r="13220" s="65" customFormat="1"/>
    <row r="13221" s="65" customFormat="1"/>
    <row r="13222" s="65" customFormat="1"/>
    <row r="13223" s="65" customFormat="1"/>
    <row r="13224" s="65" customFormat="1"/>
    <row r="13225" s="65" customFormat="1"/>
    <row r="13226" s="65" customFormat="1"/>
    <row r="13227" s="65" customFormat="1"/>
    <row r="13228" s="65" customFormat="1"/>
    <row r="13229" s="65" customFormat="1"/>
    <row r="13230" s="65" customFormat="1"/>
    <row r="13231" s="65" customFormat="1"/>
    <row r="13232" s="65" customFormat="1"/>
    <row r="13233" s="65" customFormat="1"/>
    <row r="13234" s="65" customFormat="1"/>
    <row r="13235" s="65" customFormat="1"/>
    <row r="13236" s="65" customFormat="1"/>
    <row r="13237" s="65" customFormat="1"/>
    <row r="13238" s="65" customFormat="1"/>
    <row r="13239" s="65" customFormat="1"/>
    <row r="13240" s="65" customFormat="1"/>
    <row r="13241" s="65" customFormat="1"/>
    <row r="13242" s="65" customFormat="1"/>
    <row r="13243" s="65" customFormat="1"/>
    <row r="13244" s="65" customFormat="1"/>
    <row r="13245" s="65" customFormat="1"/>
    <row r="13246" s="65" customFormat="1"/>
    <row r="13247" s="65" customFormat="1"/>
    <row r="13248" s="65" customFormat="1"/>
    <row r="13249" s="65" customFormat="1"/>
    <row r="13250" s="65" customFormat="1"/>
    <row r="13251" s="65" customFormat="1"/>
    <row r="13252" s="65" customFormat="1"/>
    <row r="13253" s="65" customFormat="1"/>
    <row r="13254" s="65" customFormat="1"/>
    <row r="13255" s="65" customFormat="1"/>
    <row r="13256" s="65" customFormat="1"/>
    <row r="13257" s="65" customFormat="1"/>
    <row r="13258" s="65" customFormat="1"/>
    <row r="13259" s="65" customFormat="1"/>
    <row r="13260" s="65" customFormat="1"/>
    <row r="13261" s="65" customFormat="1"/>
    <row r="13262" s="65" customFormat="1"/>
    <row r="13263" s="65" customFormat="1"/>
    <row r="13264" s="65" customFormat="1"/>
    <row r="13265" s="65" customFormat="1"/>
    <row r="13266" s="65" customFormat="1"/>
    <row r="13267" s="65" customFormat="1"/>
    <row r="13268" s="65" customFormat="1"/>
    <row r="13269" s="65" customFormat="1"/>
    <row r="13270" s="65" customFormat="1"/>
    <row r="13271" s="65" customFormat="1"/>
    <row r="13272" s="65" customFormat="1"/>
    <row r="13273" s="65" customFormat="1"/>
    <row r="13274" s="65" customFormat="1"/>
    <row r="13275" s="65" customFormat="1"/>
    <row r="13276" s="65" customFormat="1"/>
    <row r="13277" s="65" customFormat="1"/>
    <row r="13278" s="65" customFormat="1"/>
    <row r="13279" s="65" customFormat="1"/>
    <row r="13280" s="65" customFormat="1"/>
    <row r="13281" s="65" customFormat="1"/>
    <row r="13282" s="65" customFormat="1"/>
    <row r="13283" s="65" customFormat="1"/>
    <row r="13284" s="65" customFormat="1"/>
    <row r="13285" s="65" customFormat="1"/>
    <row r="13286" s="65" customFormat="1"/>
    <row r="13287" s="65" customFormat="1"/>
    <row r="13288" s="65" customFormat="1"/>
    <row r="13289" s="65" customFormat="1"/>
    <row r="13290" s="65" customFormat="1"/>
    <row r="13291" s="65" customFormat="1"/>
    <row r="13292" s="65" customFormat="1"/>
    <row r="13293" s="65" customFormat="1"/>
    <row r="13294" s="65" customFormat="1"/>
    <row r="13295" s="65" customFormat="1"/>
    <row r="13296" s="65" customFormat="1"/>
    <row r="13297" s="65" customFormat="1"/>
    <row r="13298" s="65" customFormat="1"/>
    <row r="13299" s="65" customFormat="1"/>
    <row r="13300" s="65" customFormat="1"/>
    <row r="13301" s="65" customFormat="1"/>
    <row r="13302" s="65" customFormat="1"/>
    <row r="13303" s="65" customFormat="1"/>
    <row r="13304" s="65" customFormat="1"/>
    <row r="13305" s="65" customFormat="1"/>
    <row r="13306" s="65" customFormat="1"/>
    <row r="13307" s="65" customFormat="1"/>
    <row r="13308" s="65" customFormat="1"/>
    <row r="13309" s="65" customFormat="1"/>
    <row r="13310" s="65" customFormat="1"/>
    <row r="13311" s="65" customFormat="1"/>
    <row r="13312" s="65" customFormat="1"/>
    <row r="13313" s="65" customFormat="1"/>
    <row r="13314" s="65" customFormat="1"/>
    <row r="13315" s="65" customFormat="1"/>
    <row r="13316" s="65" customFormat="1"/>
    <row r="13317" s="65" customFormat="1"/>
    <row r="13318" s="65" customFormat="1"/>
    <row r="13319" s="65" customFormat="1"/>
    <row r="13320" s="65" customFormat="1"/>
    <row r="13321" s="65" customFormat="1"/>
    <row r="13322" s="65" customFormat="1"/>
    <row r="13323" s="65" customFormat="1"/>
    <row r="13324" s="65" customFormat="1"/>
    <row r="13325" s="65" customFormat="1"/>
    <row r="13326" s="65" customFormat="1"/>
    <row r="13327" s="65" customFormat="1"/>
    <row r="13328" s="65" customFormat="1"/>
    <row r="13329" s="65" customFormat="1"/>
    <row r="13330" s="65" customFormat="1"/>
    <row r="13331" s="65" customFormat="1"/>
    <row r="13332" s="65" customFormat="1"/>
    <row r="13333" s="65" customFormat="1"/>
    <row r="13334" s="65" customFormat="1"/>
    <row r="13335" s="65" customFormat="1"/>
    <row r="13336" s="65" customFormat="1"/>
    <row r="13337" s="65" customFormat="1"/>
    <row r="13338" s="65" customFormat="1"/>
    <row r="13339" s="65" customFormat="1"/>
    <row r="13340" s="65" customFormat="1"/>
    <row r="13341" s="65" customFormat="1"/>
    <row r="13342" s="65" customFormat="1"/>
    <row r="13343" s="65" customFormat="1"/>
    <row r="13344" s="65" customFormat="1"/>
    <row r="13345" s="65" customFormat="1"/>
    <row r="13346" s="65" customFormat="1"/>
    <row r="13347" s="65" customFormat="1"/>
    <row r="13348" s="65" customFormat="1"/>
    <row r="13349" s="65" customFormat="1"/>
    <row r="13350" s="65" customFormat="1"/>
    <row r="13351" s="65" customFormat="1"/>
    <row r="13352" s="65" customFormat="1"/>
    <row r="13353" s="65" customFormat="1"/>
    <row r="13354" s="65" customFormat="1"/>
    <row r="13355" s="65" customFormat="1"/>
    <row r="13356" s="65" customFormat="1"/>
    <row r="13357" s="65" customFormat="1"/>
    <row r="13358" s="65" customFormat="1"/>
    <row r="13359" s="65" customFormat="1"/>
    <row r="13360" s="65" customFormat="1"/>
    <row r="13361" s="65" customFormat="1"/>
    <row r="13362" s="65" customFormat="1"/>
    <row r="13363" s="65" customFormat="1"/>
    <row r="13364" s="65" customFormat="1"/>
    <row r="13365" s="65" customFormat="1"/>
    <row r="13366" s="65" customFormat="1"/>
    <row r="13367" s="65" customFormat="1"/>
    <row r="13368" s="65" customFormat="1"/>
    <row r="13369" s="65" customFormat="1"/>
    <row r="13370" s="65" customFormat="1"/>
    <row r="13371" s="65" customFormat="1"/>
    <row r="13372" s="65" customFormat="1"/>
    <row r="13373" s="65" customFormat="1"/>
    <row r="13374" s="65" customFormat="1"/>
    <row r="13375" s="65" customFormat="1"/>
    <row r="13376" s="65" customFormat="1"/>
    <row r="13377" s="65" customFormat="1"/>
    <row r="13378" s="65" customFormat="1"/>
    <row r="13379" s="65" customFormat="1"/>
    <row r="13380" s="65" customFormat="1"/>
    <row r="13381" s="65" customFormat="1"/>
    <row r="13382" s="65" customFormat="1"/>
    <row r="13383" s="65" customFormat="1"/>
    <row r="13384" s="65" customFormat="1"/>
    <row r="13385" s="65" customFormat="1"/>
    <row r="13386" s="65" customFormat="1"/>
    <row r="13387" s="65" customFormat="1"/>
    <row r="13388" s="65" customFormat="1"/>
    <row r="13389" s="65" customFormat="1"/>
    <row r="13390" s="65" customFormat="1"/>
    <row r="13391" s="65" customFormat="1"/>
    <row r="13392" s="65" customFormat="1"/>
    <row r="13393" s="65" customFormat="1"/>
    <row r="13394" s="65" customFormat="1"/>
    <row r="13395" s="65" customFormat="1"/>
    <row r="13396" s="65" customFormat="1"/>
    <row r="13397" s="65" customFormat="1"/>
    <row r="13398" s="65" customFormat="1"/>
    <row r="13399" s="65" customFormat="1"/>
    <row r="13400" s="65" customFormat="1"/>
    <row r="13401" s="65" customFormat="1"/>
    <row r="13402" s="65" customFormat="1"/>
    <row r="13403" s="65" customFormat="1"/>
    <row r="13404" s="65" customFormat="1"/>
    <row r="13405" s="65" customFormat="1"/>
    <row r="13406" s="65" customFormat="1"/>
    <row r="13407" s="65" customFormat="1"/>
    <row r="13408" s="65" customFormat="1"/>
    <row r="13409" s="65" customFormat="1"/>
    <row r="13410" s="65" customFormat="1"/>
    <row r="13411" s="65" customFormat="1"/>
    <row r="13412" s="65" customFormat="1"/>
    <row r="13413" s="65" customFormat="1"/>
    <row r="13414" s="65" customFormat="1"/>
    <row r="13415" s="65" customFormat="1"/>
    <row r="13416" s="65" customFormat="1"/>
    <row r="13417" s="65" customFormat="1"/>
    <row r="13418" s="65" customFormat="1"/>
    <row r="13419" s="65" customFormat="1"/>
    <row r="13420" s="65" customFormat="1"/>
    <row r="13421" s="65" customFormat="1"/>
    <row r="13422" s="65" customFormat="1"/>
    <row r="13423" s="65" customFormat="1"/>
    <row r="13424" s="65" customFormat="1"/>
    <row r="13425" s="65" customFormat="1"/>
    <row r="13426" s="65" customFormat="1"/>
    <row r="13427" s="65" customFormat="1"/>
    <row r="13428" s="65" customFormat="1"/>
    <row r="13429" s="65" customFormat="1"/>
    <row r="13430" s="65" customFormat="1"/>
    <row r="13431" s="65" customFormat="1"/>
    <row r="13432" s="65" customFormat="1"/>
    <row r="13433" s="65" customFormat="1"/>
    <row r="13434" s="65" customFormat="1"/>
    <row r="13435" s="65" customFormat="1"/>
    <row r="13436" s="65" customFormat="1"/>
    <row r="13437" s="65" customFormat="1"/>
    <row r="13438" s="65" customFormat="1"/>
    <row r="13439" s="65" customFormat="1"/>
    <row r="13440" s="65" customFormat="1"/>
    <row r="13441" s="65" customFormat="1"/>
    <row r="13442" s="65" customFormat="1"/>
    <row r="13443" s="65" customFormat="1"/>
    <row r="13444" s="65" customFormat="1"/>
    <row r="13445" s="65" customFormat="1"/>
    <row r="13446" s="65" customFormat="1"/>
    <row r="13447" s="65" customFormat="1"/>
    <row r="13448" s="65" customFormat="1"/>
    <row r="13449" s="65" customFormat="1"/>
    <row r="13450" s="65" customFormat="1"/>
    <row r="13451" s="65" customFormat="1"/>
    <row r="13452" s="65" customFormat="1"/>
    <row r="13453" s="65" customFormat="1"/>
    <row r="13454" s="65" customFormat="1"/>
    <row r="13455" s="65" customFormat="1"/>
    <row r="13456" s="65" customFormat="1"/>
    <row r="13457" s="65" customFormat="1"/>
    <row r="13458" s="65" customFormat="1"/>
    <row r="13459" s="65" customFormat="1"/>
    <row r="13460" s="65" customFormat="1"/>
    <row r="13461" s="65" customFormat="1"/>
    <row r="13462" s="65" customFormat="1"/>
    <row r="13463" s="65" customFormat="1"/>
    <row r="13464" s="65" customFormat="1"/>
    <row r="13465" s="65" customFormat="1"/>
    <row r="13466" s="65" customFormat="1"/>
    <row r="13467" s="65" customFormat="1"/>
    <row r="13468" s="65" customFormat="1"/>
    <row r="13469" s="65" customFormat="1"/>
    <row r="13470" s="65" customFormat="1"/>
    <row r="13471" s="65" customFormat="1"/>
    <row r="13472" s="65" customFormat="1"/>
    <row r="13473" s="65" customFormat="1"/>
    <row r="13474" s="65" customFormat="1"/>
    <row r="13475" s="65" customFormat="1"/>
    <row r="13476" s="65" customFormat="1"/>
    <row r="13477" s="65" customFormat="1"/>
    <row r="13478" s="65" customFormat="1"/>
    <row r="13479" s="65" customFormat="1"/>
    <row r="13480" s="65" customFormat="1"/>
    <row r="13481" s="65" customFormat="1"/>
    <row r="13482" s="65" customFormat="1"/>
    <row r="13483" s="65" customFormat="1"/>
    <row r="13484" s="65" customFormat="1"/>
    <row r="13485" s="65" customFormat="1"/>
    <row r="13486" s="65" customFormat="1"/>
    <row r="13487" s="65" customFormat="1"/>
    <row r="13488" s="65" customFormat="1"/>
    <row r="13489" s="65" customFormat="1"/>
    <row r="13490" s="65" customFormat="1"/>
    <row r="13491" s="65" customFormat="1"/>
    <row r="13492" s="65" customFormat="1"/>
    <row r="13493" s="65" customFormat="1"/>
    <row r="13494" s="65" customFormat="1"/>
    <row r="13495" s="65" customFormat="1"/>
    <row r="13496" s="65" customFormat="1"/>
    <row r="13497" s="65" customFormat="1"/>
    <row r="13498" s="65" customFormat="1"/>
    <row r="13499" s="65" customFormat="1"/>
    <row r="13500" s="65" customFormat="1"/>
    <row r="13501" s="65" customFormat="1"/>
    <row r="13502" s="65" customFormat="1"/>
    <row r="13503" s="65" customFormat="1"/>
    <row r="13504" s="65" customFormat="1"/>
    <row r="13505" s="65" customFormat="1"/>
    <row r="13506" s="65" customFormat="1"/>
    <row r="13507" s="65" customFormat="1"/>
    <row r="13508" s="65" customFormat="1"/>
    <row r="13509" s="65" customFormat="1"/>
    <row r="13510" s="65" customFormat="1"/>
    <row r="13511" s="65" customFormat="1"/>
    <row r="13512" s="65" customFormat="1"/>
    <row r="13513" s="65" customFormat="1"/>
    <row r="13514" s="65" customFormat="1"/>
    <row r="13515" s="65" customFormat="1"/>
    <row r="13516" s="65" customFormat="1"/>
    <row r="13517" s="65" customFormat="1"/>
    <row r="13518" s="65" customFormat="1"/>
    <row r="13519" s="65" customFormat="1"/>
    <row r="13520" s="65" customFormat="1"/>
    <row r="13521" s="65" customFormat="1"/>
    <row r="13522" s="65" customFormat="1"/>
    <row r="13523" s="65" customFormat="1"/>
    <row r="13524" s="65" customFormat="1"/>
    <row r="13525" s="65" customFormat="1"/>
    <row r="13526" s="65" customFormat="1"/>
    <row r="13527" s="65" customFormat="1"/>
    <row r="13528" s="65" customFormat="1"/>
    <row r="13529" s="65" customFormat="1"/>
    <row r="13530" s="65" customFormat="1"/>
    <row r="13531" s="65" customFormat="1"/>
    <row r="13532" s="65" customFormat="1"/>
    <row r="13533" s="65" customFormat="1"/>
    <row r="13534" s="65" customFormat="1"/>
    <row r="13535" s="65" customFormat="1"/>
    <row r="13536" s="65" customFormat="1"/>
    <row r="13537" s="65" customFormat="1"/>
    <row r="13538" s="65" customFormat="1"/>
    <row r="13539" s="65" customFormat="1"/>
    <row r="13540" s="65" customFormat="1"/>
    <row r="13541" s="65" customFormat="1"/>
    <row r="13542" s="65" customFormat="1"/>
    <row r="13543" s="65" customFormat="1"/>
    <row r="13544" s="65" customFormat="1"/>
    <row r="13545" s="65" customFormat="1"/>
    <row r="13546" s="65" customFormat="1"/>
    <row r="13547" s="65" customFormat="1"/>
    <row r="13548" s="65" customFormat="1"/>
    <row r="13549" s="65" customFormat="1"/>
    <row r="13550" s="65" customFormat="1"/>
    <row r="13551" s="65" customFormat="1"/>
    <row r="13552" s="65" customFormat="1"/>
    <row r="13553" s="65" customFormat="1"/>
    <row r="13554" s="65" customFormat="1"/>
    <row r="13555" s="65" customFormat="1"/>
    <row r="13556" s="65" customFormat="1"/>
    <row r="13557" s="65" customFormat="1"/>
    <row r="13558" s="65" customFormat="1"/>
    <row r="13559" s="65" customFormat="1"/>
    <row r="13560" s="65" customFormat="1"/>
    <row r="13561" s="65" customFormat="1"/>
    <row r="13562" s="65" customFormat="1"/>
    <row r="13563" s="65" customFormat="1"/>
    <row r="13564" s="65" customFormat="1"/>
    <row r="13565" s="65" customFormat="1"/>
    <row r="13566" s="65" customFormat="1"/>
    <row r="13567" s="65" customFormat="1"/>
    <row r="13568" s="65" customFormat="1"/>
    <row r="13569" s="65" customFormat="1"/>
    <row r="13570" s="65" customFormat="1"/>
    <row r="13571" s="65" customFormat="1"/>
    <row r="13572" s="65" customFormat="1"/>
    <row r="13573" s="65" customFormat="1"/>
    <row r="13574" s="65" customFormat="1"/>
    <row r="13575" s="65" customFormat="1"/>
    <row r="13576" s="65" customFormat="1"/>
    <row r="13577" s="65" customFormat="1"/>
    <row r="13578" s="65" customFormat="1"/>
    <row r="13579" s="65" customFormat="1"/>
    <row r="13580" s="65" customFormat="1"/>
    <row r="13581" s="65" customFormat="1"/>
    <row r="13582" s="65" customFormat="1"/>
    <row r="13583" s="65" customFormat="1"/>
    <row r="13584" s="65" customFormat="1"/>
    <row r="13585" s="65" customFormat="1"/>
    <row r="13586" s="65" customFormat="1"/>
    <row r="13587" s="65" customFormat="1"/>
    <row r="13588" s="65" customFormat="1"/>
    <row r="13589" s="65" customFormat="1"/>
    <row r="13590" s="65" customFormat="1"/>
    <row r="13591" s="65" customFormat="1"/>
    <row r="13592" s="65" customFormat="1"/>
    <row r="13593" s="65" customFormat="1"/>
    <row r="13594" s="65" customFormat="1"/>
    <row r="13595" s="65" customFormat="1"/>
    <row r="13596" s="65" customFormat="1"/>
    <row r="13597" s="65" customFormat="1"/>
    <row r="13598" s="65" customFormat="1"/>
    <row r="13599" s="65" customFormat="1"/>
    <row r="13600" s="65" customFormat="1"/>
    <row r="13601" s="65" customFormat="1"/>
    <row r="13602" s="65" customFormat="1"/>
    <row r="13603" s="65" customFormat="1"/>
    <row r="13604" s="65" customFormat="1"/>
    <row r="13605" s="65" customFormat="1"/>
    <row r="13606" s="65" customFormat="1"/>
    <row r="13607" s="65" customFormat="1"/>
    <row r="13608" s="65" customFormat="1"/>
    <row r="13609" s="65" customFormat="1"/>
    <row r="13610" s="65" customFormat="1"/>
    <row r="13611" s="65" customFormat="1"/>
    <row r="13612" s="65" customFormat="1"/>
    <row r="13613" s="65" customFormat="1"/>
    <row r="13614" s="65" customFormat="1"/>
    <row r="13615" s="65" customFormat="1"/>
    <row r="13616" s="65" customFormat="1"/>
    <row r="13617" s="65" customFormat="1"/>
    <row r="13618" s="65" customFormat="1"/>
    <row r="13619" s="65" customFormat="1"/>
    <row r="13620" s="65" customFormat="1"/>
    <row r="13621" s="65" customFormat="1"/>
    <row r="13622" s="65" customFormat="1"/>
    <row r="13623" s="65" customFormat="1"/>
    <row r="13624" s="65" customFormat="1"/>
    <row r="13625" s="65" customFormat="1"/>
    <row r="13626" s="65" customFormat="1"/>
    <row r="13627" s="65" customFormat="1"/>
    <row r="13628" s="65" customFormat="1"/>
    <row r="13629" s="65" customFormat="1"/>
    <row r="13630" s="65" customFormat="1"/>
    <row r="13631" s="65" customFormat="1"/>
    <row r="13632" s="65" customFormat="1"/>
    <row r="13633" s="65" customFormat="1"/>
    <row r="13634" s="65" customFormat="1"/>
    <row r="13635" s="65" customFormat="1"/>
    <row r="13636" s="65" customFormat="1"/>
    <row r="13637" s="65" customFormat="1"/>
    <row r="13638" s="65" customFormat="1"/>
    <row r="13639" s="65" customFormat="1"/>
    <row r="13640" s="65" customFormat="1"/>
    <row r="13641" s="65" customFormat="1"/>
    <row r="13642" s="65" customFormat="1"/>
    <row r="13643" s="65" customFormat="1"/>
    <row r="13644" s="65" customFormat="1"/>
    <row r="13645" s="65" customFormat="1"/>
    <row r="13646" s="65" customFormat="1"/>
    <row r="13647" s="65" customFormat="1"/>
    <row r="13648" s="65" customFormat="1"/>
    <row r="13649" s="65" customFormat="1"/>
    <row r="13650" s="65" customFormat="1"/>
    <row r="13651" s="65" customFormat="1"/>
    <row r="13652" s="65" customFormat="1"/>
    <row r="13653" s="65" customFormat="1"/>
    <row r="13654" s="65" customFormat="1"/>
    <row r="13655" s="65" customFormat="1"/>
    <row r="13656" s="65" customFormat="1"/>
    <row r="13657" s="65" customFormat="1"/>
    <row r="13658" s="65" customFormat="1"/>
    <row r="13659" s="65" customFormat="1"/>
    <row r="13660" s="65" customFormat="1"/>
    <row r="13661" s="65" customFormat="1"/>
    <row r="13662" s="65" customFormat="1"/>
    <row r="13663" s="65" customFormat="1"/>
    <row r="13664" s="65" customFormat="1"/>
    <row r="13665" s="65" customFormat="1"/>
    <row r="13666" s="65" customFormat="1"/>
    <row r="13667" s="65" customFormat="1"/>
    <row r="13668" s="65" customFormat="1"/>
    <row r="13669" s="65" customFormat="1"/>
    <row r="13670" s="65" customFormat="1"/>
    <row r="13671" s="65" customFormat="1"/>
    <row r="13672" s="65" customFormat="1"/>
    <row r="13673" s="65" customFormat="1"/>
    <row r="13674" s="65" customFormat="1"/>
    <row r="13675" s="65" customFormat="1"/>
    <row r="13676" s="65" customFormat="1"/>
    <row r="13677" s="65" customFormat="1"/>
    <row r="13678" s="65" customFormat="1"/>
    <row r="13679" s="65" customFormat="1"/>
    <row r="13680" s="65" customFormat="1"/>
    <row r="13681" s="65" customFormat="1"/>
    <row r="13682" s="65" customFormat="1"/>
    <row r="13683" s="65" customFormat="1"/>
    <row r="13684" s="65" customFormat="1"/>
    <row r="13685" s="65" customFormat="1"/>
    <row r="13686" s="65" customFormat="1"/>
    <row r="13687" s="65" customFormat="1"/>
    <row r="13688" s="65" customFormat="1"/>
    <row r="13689" s="65" customFormat="1"/>
    <row r="13690" s="65" customFormat="1"/>
    <row r="13691" s="65" customFormat="1"/>
    <row r="13692" s="65" customFormat="1"/>
    <row r="13693" s="65" customFormat="1"/>
    <row r="13694" s="65" customFormat="1"/>
    <row r="13695" s="65" customFormat="1"/>
    <row r="13696" s="65" customFormat="1"/>
    <row r="13697" s="65" customFormat="1"/>
    <row r="13698" s="65" customFormat="1"/>
    <row r="13699" s="65" customFormat="1"/>
    <row r="13700" s="65" customFormat="1"/>
    <row r="13701" s="65" customFormat="1"/>
    <row r="13702" s="65" customFormat="1"/>
    <row r="13703" s="65" customFormat="1"/>
    <row r="13704" s="65" customFormat="1"/>
    <row r="13705" s="65" customFormat="1"/>
    <row r="13706" s="65" customFormat="1"/>
    <row r="13707" s="65" customFormat="1"/>
    <row r="13708" s="65" customFormat="1"/>
    <row r="13709" s="65" customFormat="1"/>
    <row r="13710" s="65" customFormat="1"/>
    <row r="13711" s="65" customFormat="1"/>
    <row r="13712" s="65" customFormat="1"/>
    <row r="13713" s="65" customFormat="1"/>
    <row r="13714" s="65" customFormat="1"/>
    <row r="13715" s="65" customFormat="1"/>
    <row r="13716" s="65" customFormat="1"/>
    <row r="13717" s="65" customFormat="1"/>
    <row r="13718" s="65" customFormat="1"/>
    <row r="13719" s="65" customFormat="1"/>
    <row r="13720" s="65" customFormat="1"/>
    <row r="13721" s="65" customFormat="1"/>
    <row r="13722" s="65" customFormat="1"/>
    <row r="13723" s="65" customFormat="1"/>
    <row r="13724" s="65" customFormat="1"/>
    <row r="13725" s="65" customFormat="1"/>
    <row r="13726" s="65" customFormat="1"/>
    <row r="13727" s="65" customFormat="1"/>
    <row r="13728" s="65" customFormat="1"/>
    <row r="13729" s="65" customFormat="1"/>
    <row r="13730" s="65" customFormat="1"/>
    <row r="13731" s="65" customFormat="1"/>
    <row r="13732" s="65" customFormat="1"/>
    <row r="13733" s="65" customFormat="1"/>
    <row r="13734" s="65" customFormat="1"/>
    <row r="13735" s="65" customFormat="1"/>
    <row r="13736" s="65" customFormat="1"/>
    <row r="13737" s="65" customFormat="1"/>
    <row r="13738" s="65" customFormat="1"/>
    <row r="13739" s="65" customFormat="1"/>
    <row r="13740" s="65" customFormat="1"/>
    <row r="13741" s="65" customFormat="1"/>
    <row r="13742" s="65" customFormat="1"/>
    <row r="13743" s="65" customFormat="1"/>
    <row r="13744" s="65" customFormat="1"/>
    <row r="13745" s="65" customFormat="1"/>
    <row r="13746" s="65" customFormat="1"/>
    <row r="13747" s="65" customFormat="1"/>
    <row r="13748" s="65" customFormat="1"/>
    <row r="13749" s="65" customFormat="1"/>
    <row r="13750" s="65" customFormat="1"/>
    <row r="13751" s="65" customFormat="1"/>
    <row r="13752" s="65" customFormat="1"/>
    <row r="13753" s="65" customFormat="1"/>
    <row r="13754" s="65" customFormat="1"/>
    <row r="13755" s="65" customFormat="1"/>
    <row r="13756" s="65" customFormat="1"/>
    <row r="13757" s="65" customFormat="1"/>
    <row r="13758" s="65" customFormat="1"/>
    <row r="13759" s="65" customFormat="1"/>
    <row r="13760" s="65" customFormat="1"/>
    <row r="13761" spans="1:4">
      <c r="A13761" s="65"/>
      <c r="D13761" s="65"/>
    </row>
    <row r="13762" spans="1:4">
      <c r="A13762" s="65"/>
      <c r="D13762" s="65"/>
    </row>
    <row r="13763" spans="1:4">
      <c r="A13763" s="65"/>
      <c r="D13763" s="65"/>
    </row>
    <row r="13764" spans="1:4">
      <c r="A13764" s="65"/>
      <c r="D13764" s="65"/>
    </row>
    <row r="13765" spans="1:4">
      <c r="A13765" s="65"/>
      <c r="D13765" s="65"/>
    </row>
    <row r="13766" spans="1:4">
      <c r="A13766" s="65"/>
      <c r="D13766" s="65"/>
    </row>
    <row r="13767" spans="1:4">
      <c r="A13767" s="65"/>
      <c r="D13767" s="65"/>
    </row>
    <row r="13768" spans="1:4">
      <c r="A13768" s="65"/>
      <c r="D13768" s="65"/>
    </row>
    <row r="13769" spans="1:4">
      <c r="A13769" s="65"/>
      <c r="D13769" s="65"/>
    </row>
    <row r="13770" spans="1:4">
      <c r="A13770" s="65"/>
      <c r="D13770" s="65"/>
    </row>
    <row r="13771" spans="1:4">
      <c r="A13771" s="65"/>
      <c r="D13771" s="65"/>
    </row>
    <row r="13772" spans="1:4">
      <c r="A13772" s="65"/>
      <c r="D13772" s="65"/>
    </row>
    <row r="13773" spans="1:4">
      <c r="A13773" s="65"/>
      <c r="D13773" s="65"/>
    </row>
    <row r="13774" spans="1:4">
      <c r="A13774" s="65"/>
      <c r="D13774" s="65"/>
    </row>
    <row r="13775" spans="1:4">
      <c r="A13775" s="65"/>
      <c r="D13775" s="65"/>
    </row>
    <row r="13776" spans="1:4">
      <c r="D13776" s="65"/>
    </row>
    <row r="13777" s="65" customFormat="1"/>
    <row r="13778" s="65" customFormat="1"/>
    <row r="13779" s="65" customFormat="1"/>
    <row r="13780" s="65" customFormat="1"/>
    <row r="13781" s="65" customFormat="1"/>
    <row r="13782" s="65" customFormat="1"/>
    <row r="13783" s="65" customFormat="1"/>
    <row r="13784" s="65" customFormat="1"/>
    <row r="13785" s="65" customFormat="1"/>
    <row r="13786" s="65" customFormat="1"/>
    <row r="13787" s="65" customFormat="1"/>
    <row r="13788" s="65" customFormat="1"/>
    <row r="13789" s="65" customFormat="1"/>
    <row r="13790" s="65" customFormat="1"/>
    <row r="13791" s="65" customFormat="1"/>
    <row r="13792" s="65" customFormat="1"/>
    <row r="13793" s="65" customFormat="1"/>
    <row r="13794" s="65" customFormat="1"/>
    <row r="13795" s="65" customFormat="1"/>
    <row r="13796" s="65" customFormat="1"/>
    <row r="13797" s="65" customFormat="1"/>
    <row r="13798" s="65" customFormat="1"/>
    <row r="13799" s="65" customFormat="1"/>
    <row r="13800" s="65" customFormat="1"/>
    <row r="13801" s="65" customFormat="1"/>
    <row r="13802" s="65" customFormat="1"/>
    <row r="13803" s="65" customFormat="1"/>
    <row r="13804" s="65" customFormat="1"/>
    <row r="13805" s="65" customFormat="1"/>
    <row r="13806" s="65" customFormat="1"/>
    <row r="13807" s="65" customFormat="1"/>
    <row r="13808" s="65" customFormat="1"/>
    <row r="13809" s="65" customFormat="1"/>
    <row r="13810" s="65" customFormat="1"/>
    <row r="13811" s="65" customFormat="1"/>
    <row r="13812" s="65" customFormat="1"/>
    <row r="13813" s="65" customFormat="1"/>
    <row r="13814" s="65" customFormat="1"/>
    <row r="13815" s="65" customFormat="1"/>
    <row r="13816" s="65" customFormat="1"/>
    <row r="13817" s="65" customFormat="1"/>
    <row r="13818" s="65" customFormat="1"/>
    <row r="13819" s="65" customFormat="1"/>
    <row r="13820" s="65" customFormat="1"/>
    <row r="13821" s="65" customFormat="1"/>
    <row r="13822" s="65" customFormat="1"/>
    <row r="13823" s="65" customFormat="1"/>
    <row r="13824" s="65" customFormat="1"/>
    <row r="13825" s="65" customFormat="1"/>
    <row r="13826" s="65" customFormat="1"/>
    <row r="13827" s="65" customFormat="1"/>
    <row r="13828" s="65" customFormat="1"/>
    <row r="13829" s="65" customFormat="1"/>
    <row r="13830" s="65" customFormat="1"/>
    <row r="13831" s="65" customFormat="1"/>
    <row r="13832" s="65" customFormat="1"/>
    <row r="13833" s="65" customFormat="1"/>
    <row r="13834" s="65" customFormat="1"/>
    <row r="13835" s="65" customFormat="1"/>
    <row r="13836" s="65" customFormat="1"/>
    <row r="13837" s="65" customFormat="1"/>
    <row r="13838" s="65" customFormat="1"/>
    <row r="13839" s="65" customFormat="1"/>
    <row r="13840" s="65" customFormat="1"/>
    <row r="13841" s="65" customFormat="1"/>
    <row r="13842" s="65" customFormat="1"/>
    <row r="13843" s="65" customFormat="1"/>
    <row r="13844" s="65" customFormat="1"/>
    <row r="13845" s="65" customFormat="1"/>
    <row r="13846" s="65" customFormat="1"/>
    <row r="13847" s="65" customFormat="1"/>
    <row r="13848" s="65" customFormat="1"/>
    <row r="13849" s="65" customFormat="1"/>
    <row r="13850" s="65" customFormat="1"/>
    <row r="13851" s="65" customFormat="1"/>
    <row r="13852" s="65" customFormat="1"/>
    <row r="13853" s="65" customFormat="1"/>
    <row r="13854" s="65" customFormat="1"/>
    <row r="13855" s="65" customFormat="1"/>
    <row r="13856" s="65" customFormat="1"/>
    <row r="13857" s="65" customFormat="1"/>
    <row r="13858" s="65" customFormat="1"/>
    <row r="13859" s="65" customFormat="1"/>
    <row r="13860" s="65" customFormat="1"/>
    <row r="13861" s="65" customFormat="1"/>
    <row r="13862" s="65" customFormat="1"/>
    <row r="13863" s="65" customFormat="1"/>
    <row r="13864" s="65" customFormat="1"/>
    <row r="13865" s="65" customFormat="1"/>
    <row r="13866" s="65" customFormat="1"/>
    <row r="13867" s="65" customFormat="1"/>
    <row r="13868" s="65" customFormat="1"/>
    <row r="13869" s="65" customFormat="1"/>
    <row r="13870" s="65" customFormat="1"/>
    <row r="13871" s="65" customFormat="1"/>
    <row r="13872" s="65" customFormat="1"/>
    <row r="13873" s="65" customFormat="1"/>
    <row r="13874" s="65" customFormat="1"/>
    <row r="13875" s="65" customFormat="1"/>
    <row r="13876" s="65" customFormat="1"/>
    <row r="13877" s="65" customFormat="1"/>
    <row r="13878" s="65" customFormat="1"/>
    <row r="13879" s="65" customFormat="1"/>
    <row r="13880" s="65" customFormat="1"/>
    <row r="13881" s="65" customFormat="1"/>
    <row r="13882" s="65" customFormat="1"/>
    <row r="13883" s="65" customFormat="1"/>
    <row r="13884" s="65" customFormat="1"/>
    <row r="13885" s="65" customFormat="1"/>
    <row r="13886" s="65" customFormat="1"/>
    <row r="13887" s="65" customFormat="1"/>
    <row r="13888" s="65" customFormat="1"/>
    <row r="13889" s="65" customFormat="1"/>
    <row r="13890" s="65" customFormat="1"/>
    <row r="13891" s="65" customFormat="1"/>
    <row r="13892" s="65" customFormat="1"/>
    <row r="13893" s="65" customFormat="1"/>
    <row r="13894" s="65" customFormat="1"/>
    <row r="13895" s="65" customFormat="1"/>
    <row r="13896" s="65" customFormat="1"/>
    <row r="13897" s="65" customFormat="1"/>
    <row r="13898" s="65" customFormat="1"/>
    <row r="13899" s="65" customFormat="1"/>
    <row r="13900" s="65" customFormat="1"/>
    <row r="13901" s="65" customFormat="1"/>
    <row r="13902" s="65" customFormat="1"/>
    <row r="13903" s="65" customFormat="1"/>
    <row r="13904" s="65" customFormat="1"/>
    <row r="13905" s="65" customFormat="1"/>
    <row r="13906" s="65" customFormat="1"/>
    <row r="13907" s="65" customFormat="1"/>
    <row r="13908" s="65" customFormat="1"/>
    <row r="13909" s="65" customFormat="1"/>
    <row r="13910" s="65" customFormat="1"/>
    <row r="13911" s="65" customFormat="1"/>
    <row r="13912" s="65" customFormat="1"/>
    <row r="13913" s="65" customFormat="1"/>
    <row r="13914" s="65" customFormat="1"/>
    <row r="13915" s="65" customFormat="1"/>
    <row r="13916" s="65" customFormat="1"/>
    <row r="13917" s="65" customFormat="1"/>
    <row r="13918" s="65" customFormat="1"/>
    <row r="13919" s="65" customFormat="1"/>
    <row r="13920" s="65" customFormat="1"/>
    <row r="13921" s="65" customFormat="1"/>
    <row r="13922" s="65" customFormat="1"/>
    <row r="13923" s="65" customFormat="1"/>
    <row r="13924" s="65" customFormat="1"/>
    <row r="13925" s="65" customFormat="1"/>
    <row r="13926" s="65" customFormat="1"/>
    <row r="13927" s="65" customFormat="1"/>
    <row r="13928" s="65" customFormat="1"/>
    <row r="13929" s="65" customFormat="1"/>
    <row r="13930" s="65" customFormat="1"/>
    <row r="13931" s="65" customFormat="1"/>
    <row r="13932" s="65" customFormat="1"/>
    <row r="13933" s="65" customFormat="1"/>
    <row r="13934" s="65" customFormat="1"/>
    <row r="13935" s="65" customFormat="1"/>
    <row r="13936" s="65" customFormat="1"/>
    <row r="13937" s="65" customFormat="1"/>
    <row r="13938" s="65" customFormat="1"/>
    <row r="13939" s="65" customFormat="1"/>
    <row r="13940" s="65" customFormat="1"/>
    <row r="13941" s="65" customFormat="1"/>
    <row r="13942" s="65" customFormat="1"/>
    <row r="13943" s="65" customFormat="1"/>
    <row r="13944" s="65" customFormat="1"/>
    <row r="13945" s="65" customFormat="1"/>
    <row r="13946" s="65" customFormat="1"/>
    <row r="13947" s="65" customFormat="1"/>
    <row r="13948" s="65" customFormat="1"/>
    <row r="13949" s="65" customFormat="1"/>
    <row r="13950" s="65" customFormat="1"/>
    <row r="13951" s="65" customFormat="1"/>
    <row r="13952" s="65" customFormat="1"/>
    <row r="13953" s="65" customFormat="1"/>
    <row r="13954" s="65" customFormat="1"/>
    <row r="13955" s="65" customFormat="1"/>
    <row r="13956" s="65" customFormat="1"/>
    <row r="13957" s="65" customFormat="1"/>
    <row r="13958" s="65" customFormat="1"/>
    <row r="13959" s="65" customFormat="1"/>
    <row r="13960" s="65" customFormat="1"/>
    <row r="13961" s="65" customFormat="1"/>
    <row r="13962" s="65" customFormat="1"/>
    <row r="13963" s="65" customFormat="1"/>
    <row r="13964" s="65" customFormat="1"/>
    <row r="13965" s="65" customFormat="1"/>
    <row r="13966" s="65" customFormat="1"/>
    <row r="13967" s="65" customFormat="1"/>
    <row r="13968" s="65" customFormat="1"/>
    <row r="13969" s="65" customFormat="1"/>
    <row r="13970" s="65" customFormat="1"/>
    <row r="13971" s="65" customFormat="1"/>
    <row r="13972" s="65" customFormat="1"/>
    <row r="13973" s="65" customFormat="1"/>
    <row r="13974" s="65" customFormat="1"/>
    <row r="13975" s="65" customFormat="1"/>
    <row r="13976" s="65" customFormat="1"/>
    <row r="13977" s="65" customFormat="1"/>
    <row r="13978" s="65" customFormat="1"/>
    <row r="13979" s="65" customFormat="1"/>
    <row r="13980" s="65" customFormat="1"/>
    <row r="13981" s="65" customFormat="1"/>
    <row r="13982" s="65" customFormat="1"/>
    <row r="13983" s="65" customFormat="1"/>
    <row r="13984" s="65" customFormat="1"/>
    <row r="13985" s="65" customFormat="1"/>
    <row r="13986" s="65" customFormat="1"/>
    <row r="13987" s="65" customFormat="1"/>
    <row r="13988" s="65" customFormat="1"/>
    <row r="13989" s="65" customFormat="1"/>
    <row r="13990" s="65" customFormat="1"/>
    <row r="13991" s="65" customFormat="1"/>
    <row r="13992" s="65" customFormat="1"/>
    <row r="13993" s="65" customFormat="1"/>
    <row r="13994" s="65" customFormat="1"/>
    <row r="13995" s="65" customFormat="1"/>
    <row r="13996" s="65" customFormat="1"/>
    <row r="13997" s="65" customFormat="1"/>
    <row r="13998" s="65" customFormat="1"/>
    <row r="13999" s="65" customFormat="1"/>
    <row r="14000" s="65" customFormat="1"/>
    <row r="14001" s="65" customFormat="1"/>
    <row r="14002" s="65" customFormat="1"/>
    <row r="14003" s="65" customFormat="1"/>
    <row r="14004" s="65" customFormat="1"/>
    <row r="14005" s="65" customFormat="1"/>
    <row r="14006" s="65" customFormat="1"/>
    <row r="14007" s="65" customFormat="1"/>
    <row r="14008" s="65" customFormat="1"/>
    <row r="14009" s="65" customFormat="1"/>
    <row r="14010" s="65" customFormat="1"/>
    <row r="14011" s="65" customFormat="1"/>
    <row r="14012" s="65" customFormat="1"/>
    <row r="14013" s="65" customFormat="1"/>
    <row r="14014" s="65" customFormat="1"/>
    <row r="14015" s="65" customFormat="1"/>
    <row r="14016" s="65" customFormat="1"/>
    <row r="14017" s="65" customFormat="1"/>
    <row r="14018" s="65" customFormat="1"/>
    <row r="14019" s="65" customFormat="1"/>
    <row r="14020" s="65" customFormat="1"/>
    <row r="14021" s="65" customFormat="1"/>
    <row r="14022" s="65" customFormat="1"/>
    <row r="14023" s="65" customFormat="1"/>
    <row r="14024" s="65" customFormat="1"/>
    <row r="14025" s="65" customFormat="1"/>
    <row r="14026" s="65" customFormat="1"/>
    <row r="14027" s="65" customFormat="1"/>
    <row r="14028" s="65" customFormat="1"/>
    <row r="14029" s="65" customFormat="1"/>
    <row r="14030" s="65" customFormat="1"/>
    <row r="14031" s="65" customFormat="1"/>
    <row r="14032" s="65" customFormat="1"/>
    <row r="14033" s="65" customFormat="1"/>
    <row r="14034" s="65" customFormat="1"/>
    <row r="14035" s="65" customFormat="1"/>
    <row r="14036" s="65" customFormat="1"/>
    <row r="14037" s="65" customFormat="1"/>
    <row r="14038" s="65" customFormat="1"/>
    <row r="14039" s="65" customFormat="1"/>
    <row r="14040" s="65" customFormat="1"/>
    <row r="14041" s="65" customFormat="1"/>
    <row r="14042" s="65" customFormat="1"/>
    <row r="14043" s="65" customFormat="1"/>
    <row r="14044" s="65" customFormat="1"/>
    <row r="14045" s="65" customFormat="1"/>
    <row r="14046" s="65" customFormat="1"/>
    <row r="14047" s="65" customFormat="1"/>
    <row r="14048" s="65" customFormat="1"/>
    <row r="14049" s="65" customFormat="1"/>
    <row r="14050" s="65" customFormat="1"/>
    <row r="14051" s="65" customFormat="1"/>
    <row r="14052" s="65" customFormat="1"/>
    <row r="14053" s="65" customFormat="1"/>
    <row r="14054" s="65" customFormat="1"/>
    <row r="14055" s="65" customFormat="1"/>
    <row r="14056" s="65" customFormat="1"/>
    <row r="14057" s="65" customFormat="1"/>
    <row r="14058" s="65" customFormat="1"/>
    <row r="14059" s="65" customFormat="1"/>
    <row r="14060" s="65" customFormat="1"/>
    <row r="14061" s="65" customFormat="1"/>
    <row r="14062" s="65" customFormat="1"/>
    <row r="14063" s="65" customFormat="1"/>
    <row r="14064" s="65" customFormat="1"/>
    <row r="14065" s="65" customFormat="1"/>
    <row r="14066" s="65" customFormat="1"/>
    <row r="14067" s="65" customFormat="1"/>
    <row r="14068" s="65" customFormat="1"/>
    <row r="14069" s="65" customFormat="1"/>
    <row r="14070" s="65" customFormat="1"/>
    <row r="14071" s="65" customFormat="1"/>
    <row r="14072" s="65" customFormat="1"/>
    <row r="14073" s="65" customFormat="1"/>
    <row r="14074" s="65" customFormat="1"/>
    <row r="14075" s="65" customFormat="1"/>
    <row r="14076" s="65" customFormat="1"/>
    <row r="14077" s="65" customFormat="1"/>
    <row r="14078" s="65" customFormat="1"/>
    <row r="14079" s="65" customFormat="1"/>
    <row r="14080" s="65" customFormat="1"/>
    <row r="14081" s="65" customFormat="1"/>
    <row r="14082" s="65" customFormat="1"/>
    <row r="14083" s="65" customFormat="1"/>
    <row r="14084" s="65" customFormat="1"/>
    <row r="14085" s="65" customFormat="1"/>
    <row r="14086" s="65" customFormat="1"/>
    <row r="14087" s="65" customFormat="1"/>
    <row r="14088" s="65" customFormat="1"/>
    <row r="14089" s="65" customFormat="1"/>
    <row r="14090" s="65" customFormat="1"/>
    <row r="14091" s="65" customFormat="1"/>
    <row r="14092" s="65" customFormat="1"/>
    <row r="14093" s="65" customFormat="1"/>
    <row r="14094" s="65" customFormat="1"/>
    <row r="14095" s="65" customFormat="1"/>
    <row r="14096" s="65" customFormat="1"/>
    <row r="14097" s="65" customFormat="1"/>
    <row r="14098" s="65" customFormat="1"/>
    <row r="14099" s="65" customFormat="1"/>
    <row r="14100" s="65" customFormat="1"/>
    <row r="14101" s="65" customFormat="1"/>
    <row r="14102" s="65" customFormat="1"/>
    <row r="14103" s="65" customFormat="1"/>
    <row r="14104" s="65" customFormat="1"/>
    <row r="14105" s="65" customFormat="1"/>
    <row r="14106" s="65" customFormat="1"/>
    <row r="14107" s="65" customFormat="1"/>
    <row r="14108" s="65" customFormat="1"/>
    <row r="14109" s="65" customFormat="1"/>
    <row r="14110" s="65" customFormat="1"/>
    <row r="14111" s="65" customFormat="1"/>
    <row r="14112" s="65" customFormat="1"/>
    <row r="14113" s="65" customFormat="1"/>
    <row r="14114" s="65" customFormat="1"/>
    <row r="14115" s="65" customFormat="1"/>
    <row r="14116" s="65" customFormat="1"/>
    <row r="14117" s="65" customFormat="1"/>
    <row r="14118" s="65" customFormat="1"/>
    <row r="14119" s="65" customFormat="1"/>
    <row r="14120" s="65" customFormat="1"/>
    <row r="14121" s="65" customFormat="1"/>
    <row r="14122" s="65" customFormat="1"/>
    <row r="14123" s="65" customFormat="1"/>
    <row r="14124" s="65" customFormat="1"/>
    <row r="14125" s="65" customFormat="1"/>
    <row r="14126" s="65" customFormat="1"/>
    <row r="14127" s="65" customFormat="1"/>
    <row r="14128" s="65" customFormat="1"/>
    <row r="14129" s="65" customFormat="1"/>
    <row r="14130" s="65" customFormat="1"/>
    <row r="14131" s="65" customFormat="1"/>
    <row r="14132" s="65" customFormat="1"/>
    <row r="14133" s="65" customFormat="1"/>
    <row r="14134" s="65" customFormat="1"/>
    <row r="14135" s="65" customFormat="1"/>
    <row r="14136" s="65" customFormat="1"/>
    <row r="14137" s="65" customFormat="1"/>
    <row r="14138" s="65" customFormat="1"/>
    <row r="14139" s="65" customFormat="1"/>
    <row r="14140" s="65" customFormat="1"/>
    <row r="14141" s="65" customFormat="1"/>
    <row r="14142" s="65" customFormat="1"/>
    <row r="14143" s="65" customFormat="1"/>
    <row r="14144" s="65" customFormat="1"/>
    <row r="14145" s="65" customFormat="1"/>
    <row r="14146" s="65" customFormat="1"/>
    <row r="14147" s="65" customFormat="1"/>
    <row r="14148" s="65" customFormat="1"/>
    <row r="14149" s="65" customFormat="1"/>
    <row r="14150" s="65" customFormat="1"/>
    <row r="14151" s="65" customFormat="1"/>
    <row r="14152" s="65" customFormat="1"/>
    <row r="14153" s="65" customFormat="1"/>
    <row r="14154" s="65" customFormat="1"/>
    <row r="14155" s="65" customFormat="1"/>
    <row r="14156" s="65" customFormat="1"/>
    <row r="14157" s="65" customFormat="1"/>
    <row r="14158" s="65" customFormat="1"/>
    <row r="14159" s="65" customFormat="1"/>
    <row r="14160" s="65" customFormat="1"/>
    <row r="14161" s="65" customFormat="1"/>
    <row r="14162" s="65" customFormat="1"/>
    <row r="14163" s="65" customFormat="1"/>
    <row r="14164" s="65" customFormat="1"/>
    <row r="14165" s="65" customFormat="1"/>
    <row r="14166" s="65" customFormat="1"/>
    <row r="14167" s="65" customFormat="1"/>
    <row r="14168" s="65" customFormat="1"/>
    <row r="14169" s="65" customFormat="1"/>
    <row r="14170" s="65" customFormat="1"/>
    <row r="14171" s="65" customFormat="1"/>
    <row r="14172" s="65" customFormat="1"/>
    <row r="14173" s="65" customFormat="1"/>
    <row r="14174" s="65" customFormat="1"/>
    <row r="14175" s="65" customFormat="1"/>
    <row r="14176" s="65" customFormat="1"/>
    <row r="14177" s="65" customFormat="1"/>
    <row r="14178" s="65" customFormat="1"/>
    <row r="14179" s="65" customFormat="1"/>
    <row r="14180" s="65" customFormat="1"/>
    <row r="14181" s="65" customFormat="1"/>
    <row r="14182" s="65" customFormat="1"/>
    <row r="14183" s="65" customFormat="1"/>
    <row r="14184" s="65" customFormat="1"/>
    <row r="14185" s="65" customFormat="1"/>
    <row r="14186" s="65" customFormat="1"/>
    <row r="14187" s="65" customFormat="1"/>
    <row r="14188" s="65" customFormat="1"/>
    <row r="14189" s="65" customFormat="1"/>
    <row r="14190" s="65" customFormat="1"/>
    <row r="14191" s="65" customFormat="1"/>
    <row r="14192" s="65" customFormat="1"/>
    <row r="14193" s="65" customFormat="1"/>
    <row r="14194" s="65" customFormat="1"/>
    <row r="14195" s="65" customFormat="1"/>
    <row r="14196" s="65" customFormat="1"/>
    <row r="14197" s="65" customFormat="1"/>
    <row r="14198" s="65" customFormat="1"/>
    <row r="14199" s="65" customFormat="1"/>
    <row r="14200" s="65" customFormat="1"/>
    <row r="14201" s="65" customFormat="1"/>
    <row r="14202" s="65" customFormat="1"/>
    <row r="14203" s="65" customFormat="1"/>
    <row r="14204" s="65" customFormat="1"/>
    <row r="14205" s="65" customFormat="1"/>
    <row r="14206" s="65" customFormat="1"/>
    <row r="14207" s="65" customFormat="1"/>
    <row r="14208" s="65" customFormat="1"/>
    <row r="14209" s="65" customFormat="1"/>
    <row r="14210" s="65" customFormat="1"/>
    <row r="14211" s="65" customFormat="1"/>
    <row r="14212" s="65" customFormat="1"/>
    <row r="14213" s="65" customFormat="1"/>
    <row r="14214" s="65" customFormat="1"/>
    <row r="14215" s="65" customFormat="1"/>
    <row r="14216" s="65" customFormat="1"/>
    <row r="14217" s="65" customFormat="1"/>
    <row r="14218" s="65" customFormat="1"/>
    <row r="14219" s="65" customFormat="1"/>
    <row r="14220" s="65" customFormat="1"/>
    <row r="14221" s="65" customFormat="1"/>
    <row r="14222" s="65" customFormat="1"/>
    <row r="14223" s="65" customFormat="1"/>
    <row r="14224" s="65" customFormat="1"/>
    <row r="14225" s="65" customFormat="1"/>
    <row r="14226" s="65" customFormat="1"/>
    <row r="14227" s="65" customFormat="1"/>
    <row r="14228" s="65" customFormat="1"/>
    <row r="14229" s="65" customFormat="1"/>
    <row r="14230" s="65" customFormat="1"/>
    <row r="14231" s="65" customFormat="1"/>
    <row r="14232" s="65" customFormat="1"/>
    <row r="14233" s="65" customFormat="1"/>
    <row r="14234" s="65" customFormat="1"/>
    <row r="14235" s="65" customFormat="1"/>
    <row r="14236" s="65" customFormat="1"/>
    <row r="14237" s="65" customFormat="1"/>
    <row r="14238" s="65" customFormat="1"/>
    <row r="14239" s="65" customFormat="1"/>
    <row r="14240" s="65" customFormat="1"/>
    <row r="14241" s="65" customFormat="1"/>
    <row r="14242" s="65" customFormat="1"/>
    <row r="14243" s="65" customFormat="1"/>
    <row r="14244" s="65" customFormat="1"/>
    <row r="14245" s="65" customFormat="1"/>
    <row r="14246" s="65" customFormat="1"/>
    <row r="14247" s="65" customFormat="1"/>
    <row r="14248" s="65" customFormat="1"/>
    <row r="14249" s="65" customFormat="1"/>
    <row r="14250" s="65" customFormat="1"/>
    <row r="14251" s="65" customFormat="1"/>
    <row r="14252" s="65" customFormat="1"/>
    <row r="14253" s="65" customFormat="1"/>
    <row r="14254" s="65" customFormat="1"/>
    <row r="14255" s="65" customFormat="1"/>
    <row r="14256" s="65" customFormat="1"/>
    <row r="14257" s="65" customFormat="1"/>
    <row r="14258" s="65" customFormat="1"/>
    <row r="14259" s="65" customFormat="1"/>
    <row r="14260" s="65" customFormat="1"/>
    <row r="14261" s="65" customFormat="1"/>
    <row r="14262" s="65" customFormat="1"/>
    <row r="14263" s="65" customFormat="1"/>
    <row r="14264" s="65" customFormat="1"/>
    <row r="14265" s="65" customFormat="1"/>
    <row r="14266" s="65" customFormat="1"/>
    <row r="14267" s="65" customFormat="1"/>
    <row r="14268" s="65" customFormat="1"/>
    <row r="14269" s="65" customFormat="1"/>
    <row r="14270" s="65" customFormat="1"/>
    <row r="14271" s="65" customFormat="1"/>
    <row r="14272" s="65" customFormat="1"/>
    <row r="14273" s="65" customFormat="1"/>
    <row r="14274" s="65" customFormat="1"/>
    <row r="14275" s="65" customFormat="1"/>
    <row r="14276" s="65" customFormat="1"/>
    <row r="14277" s="65" customFormat="1"/>
    <row r="14278" s="65" customFormat="1"/>
    <row r="14279" s="65" customFormat="1"/>
    <row r="14280" s="65" customFormat="1"/>
    <row r="14281" s="65" customFormat="1"/>
    <row r="14282" s="65" customFormat="1"/>
    <row r="14283" s="65" customFormat="1"/>
    <row r="14284" s="65" customFormat="1"/>
    <row r="14285" s="65" customFormat="1"/>
    <row r="14286" s="65" customFormat="1"/>
    <row r="14287" s="65" customFormat="1"/>
    <row r="14288" s="65" customFormat="1"/>
    <row r="14289" s="65" customFormat="1"/>
    <row r="14290" s="65" customFormat="1"/>
    <row r="14291" s="65" customFormat="1"/>
    <row r="14292" s="65" customFormat="1"/>
    <row r="14293" s="65" customFormat="1"/>
    <row r="14294" s="65" customFormat="1"/>
    <row r="14295" s="65" customFormat="1"/>
    <row r="14296" s="65" customFormat="1"/>
    <row r="14297" s="65" customFormat="1"/>
    <row r="14298" s="65" customFormat="1"/>
    <row r="14299" s="65" customFormat="1"/>
    <row r="14300" s="65" customFormat="1"/>
    <row r="14301" s="65" customFormat="1"/>
    <row r="14302" s="65" customFormat="1"/>
    <row r="14303" s="65" customFormat="1"/>
    <row r="14304" s="65" customFormat="1"/>
    <row r="14305" s="65" customFormat="1"/>
    <row r="14306" s="65" customFormat="1"/>
    <row r="14307" s="65" customFormat="1"/>
    <row r="14308" s="65" customFormat="1"/>
    <row r="14309" s="65" customFormat="1"/>
    <row r="14310" s="65" customFormat="1"/>
    <row r="14311" s="65" customFormat="1"/>
    <row r="14312" s="65" customFormat="1"/>
    <row r="14313" s="65" customFormat="1"/>
    <row r="14314" s="65" customFormat="1"/>
    <row r="14315" s="65" customFormat="1"/>
    <row r="14316" s="65" customFormat="1"/>
    <row r="14317" s="65" customFormat="1"/>
    <row r="14318" s="65" customFormat="1"/>
    <row r="14319" s="65" customFormat="1"/>
    <row r="14320" s="65" customFormat="1"/>
    <row r="14321" s="65" customFormat="1"/>
    <row r="14322" s="65" customFormat="1"/>
    <row r="14323" s="65" customFormat="1"/>
    <row r="14324" s="65" customFormat="1"/>
    <row r="14325" s="65" customFormat="1"/>
    <row r="14326" s="65" customFormat="1"/>
    <row r="14327" s="65" customFormat="1"/>
    <row r="14328" s="65" customFormat="1"/>
    <row r="14329" s="65" customFormat="1"/>
    <row r="14330" s="65" customFormat="1"/>
    <row r="14331" s="65" customFormat="1"/>
    <row r="14332" s="65" customFormat="1"/>
    <row r="14333" s="65" customFormat="1"/>
    <row r="14334" s="65" customFormat="1"/>
    <row r="14335" s="65" customFormat="1"/>
    <row r="14336" s="65" customFormat="1"/>
    <row r="14337" s="65" customFormat="1"/>
    <row r="14338" s="65" customFormat="1"/>
    <row r="14339" s="65" customFormat="1"/>
    <row r="14340" s="65" customFormat="1"/>
    <row r="14341" s="65" customFormat="1"/>
    <row r="14342" s="65" customFormat="1"/>
    <row r="14343" s="65" customFormat="1"/>
    <row r="14344" s="65" customFormat="1"/>
    <row r="14345" s="65" customFormat="1"/>
    <row r="14346" s="65" customFormat="1"/>
    <row r="14347" s="65" customFormat="1"/>
    <row r="14348" s="65" customFormat="1"/>
    <row r="14349" s="65" customFormat="1"/>
    <row r="14350" s="65" customFormat="1"/>
    <row r="14351" s="65" customFormat="1"/>
    <row r="14352" s="65" customFormat="1"/>
    <row r="14353" s="65" customFormat="1"/>
    <row r="14354" s="65" customFormat="1"/>
    <row r="14355" s="65" customFormat="1"/>
    <row r="14356" s="65" customFormat="1"/>
    <row r="14357" s="65" customFormat="1"/>
    <row r="14358" s="65" customFormat="1"/>
    <row r="14359" s="65" customFormat="1"/>
    <row r="14360" s="65" customFormat="1"/>
    <row r="14361" s="65" customFormat="1"/>
    <row r="14362" s="65" customFormat="1"/>
    <row r="14363" s="65" customFormat="1"/>
    <row r="14364" s="65" customFormat="1"/>
    <row r="14365" s="65" customFormat="1"/>
    <row r="14366" s="65" customFormat="1"/>
    <row r="14367" s="65" customFormat="1"/>
    <row r="14368" s="65" customFormat="1"/>
    <row r="14369" s="65" customFormat="1"/>
    <row r="14370" s="65" customFormat="1"/>
    <row r="14371" s="65" customFormat="1"/>
    <row r="14372" s="65" customFormat="1"/>
    <row r="14373" s="65" customFormat="1"/>
    <row r="14374" s="65" customFormat="1"/>
    <row r="14375" s="65" customFormat="1"/>
    <row r="14376" s="65" customFormat="1"/>
    <row r="14377" s="65" customFormat="1"/>
    <row r="14378" s="65" customFormat="1"/>
    <row r="14379" s="65" customFormat="1"/>
    <row r="14380" s="65" customFormat="1"/>
    <row r="14381" s="65" customFormat="1"/>
    <row r="14382" s="65" customFormat="1"/>
    <row r="14383" s="65" customFormat="1"/>
    <row r="14384" s="65" customFormat="1"/>
    <row r="14385" s="65" customFormat="1"/>
    <row r="14386" s="65" customFormat="1"/>
    <row r="14387" s="65" customFormat="1"/>
    <row r="14388" s="65" customFormat="1"/>
    <row r="14389" s="65" customFormat="1"/>
    <row r="14390" s="65" customFormat="1"/>
    <row r="14391" s="65" customFormat="1"/>
    <row r="14392" s="65" customFormat="1"/>
    <row r="14393" s="65" customFormat="1"/>
    <row r="14394" s="65" customFormat="1"/>
    <row r="14395" s="65" customFormat="1"/>
    <row r="14396" s="65" customFormat="1"/>
    <row r="14397" s="65" customFormat="1"/>
    <row r="14398" s="65" customFormat="1"/>
    <row r="14399" s="65" customFormat="1"/>
    <row r="14400" s="65" customFormat="1"/>
    <row r="14401" s="65" customFormat="1"/>
    <row r="14402" s="65" customFormat="1"/>
    <row r="14403" s="65" customFormat="1"/>
    <row r="14404" s="65" customFormat="1"/>
    <row r="14405" s="65" customFormat="1"/>
    <row r="14406" s="65" customFormat="1"/>
    <row r="14407" s="65" customFormat="1"/>
    <row r="14408" s="65" customFormat="1"/>
    <row r="14409" s="65" customFormat="1"/>
    <row r="14410" s="65" customFormat="1"/>
    <row r="14411" s="65" customFormat="1"/>
    <row r="14412" s="65" customFormat="1"/>
    <row r="14413" s="65" customFormat="1"/>
    <row r="14414" s="65" customFormat="1"/>
    <row r="14415" s="65" customFormat="1"/>
    <row r="14416" s="65" customFormat="1"/>
    <row r="14417" s="65" customFormat="1"/>
    <row r="14418" s="65" customFormat="1"/>
    <row r="14419" s="65" customFormat="1"/>
    <row r="14420" s="65" customFormat="1"/>
    <row r="14421" s="65" customFormat="1"/>
    <row r="14422" s="65" customFormat="1"/>
    <row r="14423" s="65" customFormat="1"/>
    <row r="14424" s="65" customFormat="1"/>
    <row r="14425" s="65" customFormat="1"/>
    <row r="14426" s="65" customFormat="1"/>
    <row r="14427" s="65" customFormat="1"/>
    <row r="14428" s="65" customFormat="1"/>
    <row r="14429" s="65" customFormat="1"/>
    <row r="14430" s="65" customFormat="1"/>
    <row r="14431" s="65" customFormat="1"/>
    <row r="14432" s="65" customFormat="1"/>
    <row r="14433" s="65" customFormat="1"/>
    <row r="14434" s="65" customFormat="1"/>
    <row r="14435" s="65" customFormat="1"/>
    <row r="14436" s="65" customFormat="1"/>
    <row r="14437" s="65" customFormat="1"/>
    <row r="14438" s="65" customFormat="1"/>
    <row r="14439" s="65" customFormat="1"/>
    <row r="14440" s="65" customFormat="1"/>
    <row r="14441" s="65" customFormat="1"/>
    <row r="14442" s="65" customFormat="1"/>
    <row r="14443" s="65" customFormat="1"/>
    <row r="14444" s="65" customFormat="1"/>
    <row r="14445" s="65" customFormat="1"/>
    <row r="14446" s="65" customFormat="1"/>
    <row r="14447" s="65" customFormat="1"/>
    <row r="14448" s="65" customFormat="1"/>
    <row r="14449" s="65" customFormat="1"/>
    <row r="14450" s="65" customFormat="1"/>
    <row r="14451" s="65" customFormat="1"/>
    <row r="14452" s="65" customFormat="1"/>
    <row r="14453" s="65" customFormat="1"/>
    <row r="14454" s="65" customFormat="1"/>
    <row r="14455" s="65" customFormat="1"/>
    <row r="14456" s="65" customFormat="1"/>
    <row r="14457" s="65" customFormat="1"/>
    <row r="14458" s="65" customFormat="1"/>
    <row r="14459" s="65" customFormat="1"/>
    <row r="14460" s="65" customFormat="1"/>
    <row r="14461" s="65" customFormat="1"/>
    <row r="14462" s="65" customFormat="1"/>
    <row r="14463" s="65" customFormat="1"/>
    <row r="14464" s="65" customFormat="1"/>
    <row r="14465" s="65" customFormat="1"/>
    <row r="14466" s="65" customFormat="1"/>
    <row r="14467" s="65" customFormat="1"/>
    <row r="14468" s="65" customFormat="1"/>
    <row r="14469" s="65" customFormat="1"/>
    <row r="14470" s="65" customFormat="1"/>
    <row r="14471" s="65" customFormat="1"/>
    <row r="14472" s="65" customFormat="1"/>
    <row r="14473" s="65" customFormat="1"/>
    <row r="14474" s="65" customFormat="1"/>
    <row r="14475" s="65" customFormat="1"/>
    <row r="14476" s="65" customFormat="1"/>
    <row r="14477" s="65" customFormat="1"/>
    <row r="14478" s="65" customFormat="1"/>
    <row r="14479" s="65" customFormat="1"/>
    <row r="14480" s="65" customFormat="1"/>
    <row r="14481" s="65" customFormat="1"/>
    <row r="14482" s="65" customFormat="1"/>
    <row r="14483" s="65" customFormat="1"/>
    <row r="14484" s="65" customFormat="1"/>
    <row r="14485" s="65" customFormat="1"/>
    <row r="14486" s="65" customFormat="1"/>
    <row r="14487" s="65" customFormat="1"/>
    <row r="14488" s="65" customFormat="1"/>
    <row r="14489" s="65" customFormat="1"/>
    <row r="14490" s="65" customFormat="1"/>
    <row r="14491" s="65" customFormat="1"/>
    <row r="14492" s="65" customFormat="1"/>
    <row r="14493" s="65" customFormat="1"/>
    <row r="14494" s="65" customFormat="1"/>
    <row r="14495" s="65" customFormat="1"/>
    <row r="14496" s="65" customFormat="1"/>
    <row r="14497" s="65" customFormat="1"/>
    <row r="14498" s="65" customFormat="1"/>
    <row r="14499" s="65" customFormat="1"/>
    <row r="14500" s="65" customFormat="1"/>
    <row r="14501" s="65" customFormat="1"/>
    <row r="14502" s="65" customFormat="1"/>
    <row r="14503" s="65" customFormat="1"/>
    <row r="14504" s="65" customFormat="1"/>
    <row r="14505" s="65" customFormat="1"/>
    <row r="14506" s="65" customFormat="1"/>
    <row r="14507" s="65" customFormat="1"/>
    <row r="14508" s="65" customFormat="1"/>
    <row r="14509" s="65" customFormat="1"/>
    <row r="14510" s="65" customFormat="1"/>
    <row r="14511" s="65" customFormat="1"/>
    <row r="14512" s="65" customFormat="1"/>
    <row r="14513" s="65" customFormat="1"/>
    <row r="14514" s="65" customFormat="1"/>
    <row r="14515" s="65" customFormat="1"/>
    <row r="14516" s="65" customFormat="1"/>
    <row r="14517" s="65" customFormat="1"/>
    <row r="14518" s="65" customFormat="1"/>
    <row r="14519" s="65" customFormat="1"/>
    <row r="14520" s="65" customFormat="1"/>
    <row r="14521" s="65" customFormat="1"/>
    <row r="14522" s="65" customFormat="1"/>
    <row r="14523" s="65" customFormat="1"/>
    <row r="14524" s="65" customFormat="1"/>
    <row r="14525" s="65" customFormat="1"/>
    <row r="14526" s="65" customFormat="1"/>
    <row r="14527" s="65" customFormat="1"/>
    <row r="14528" s="65" customFormat="1"/>
    <row r="14529" s="65" customFormat="1"/>
    <row r="14530" s="65" customFormat="1"/>
    <row r="14531" s="65" customFormat="1"/>
    <row r="14532" s="65" customFormat="1"/>
    <row r="14533" s="65" customFormat="1"/>
    <row r="14534" s="65" customFormat="1"/>
    <row r="14535" s="65" customFormat="1"/>
    <row r="14536" s="65" customFormat="1"/>
    <row r="14537" s="65" customFormat="1"/>
    <row r="14538" s="65" customFormat="1"/>
    <row r="14539" s="65" customFormat="1"/>
    <row r="14540" s="65" customFormat="1"/>
    <row r="14541" s="65" customFormat="1"/>
    <row r="14542" s="65" customFormat="1"/>
    <row r="14543" s="65" customFormat="1"/>
    <row r="14544" s="65" customFormat="1"/>
    <row r="14545" s="65" customFormat="1"/>
    <row r="14546" s="65" customFormat="1"/>
    <row r="14547" s="65" customFormat="1"/>
    <row r="14548" s="65" customFormat="1"/>
    <row r="14549" s="65" customFormat="1"/>
    <row r="14550" s="65" customFormat="1"/>
    <row r="14551" s="65" customFormat="1"/>
    <row r="14552" s="65" customFormat="1"/>
    <row r="14553" s="65" customFormat="1"/>
    <row r="14554" s="65" customFormat="1"/>
    <row r="14555" s="65" customFormat="1"/>
    <row r="14556" s="65" customFormat="1"/>
    <row r="14557" s="65" customFormat="1"/>
    <row r="14558" s="65" customFormat="1"/>
    <row r="14559" s="65" customFormat="1"/>
    <row r="14560" s="65" customFormat="1"/>
    <row r="14561" s="65" customFormat="1"/>
    <row r="14562" s="65" customFormat="1"/>
    <row r="14563" s="65" customFormat="1"/>
    <row r="14564" s="65" customFormat="1"/>
    <row r="14565" s="65" customFormat="1"/>
    <row r="14566" s="65" customFormat="1"/>
    <row r="14567" s="65" customFormat="1"/>
    <row r="14568" s="65" customFormat="1"/>
    <row r="14569" s="65" customFormat="1"/>
    <row r="14570" s="65" customFormat="1"/>
    <row r="14571" s="65" customFormat="1"/>
    <row r="14572" s="65" customFormat="1"/>
    <row r="14573" s="65" customFormat="1"/>
    <row r="14574" s="65" customFormat="1"/>
    <row r="14575" s="65" customFormat="1"/>
    <row r="14576" s="65" customFormat="1"/>
    <row r="14577" s="65" customFormat="1"/>
    <row r="14578" s="65" customFormat="1"/>
    <row r="14579" s="65" customFormat="1"/>
    <row r="14580" s="65" customFormat="1"/>
    <row r="14581" s="65" customFormat="1"/>
    <row r="14582" s="65" customFormat="1"/>
    <row r="14583" s="65" customFormat="1"/>
    <row r="14584" s="65" customFormat="1"/>
    <row r="14585" s="65" customFormat="1"/>
    <row r="14586" s="65" customFormat="1"/>
    <row r="14587" s="65" customFormat="1"/>
    <row r="14588" s="65" customFormat="1"/>
    <row r="14589" s="65" customFormat="1"/>
    <row r="14590" s="65" customFormat="1"/>
    <row r="14591" s="65" customFormat="1"/>
    <row r="14592" s="65" customFormat="1"/>
    <row r="14593" s="65" customFormat="1"/>
    <row r="14594" s="65" customFormat="1"/>
    <row r="14595" s="65" customFormat="1"/>
    <row r="14596" s="65" customFormat="1"/>
    <row r="14597" s="65" customFormat="1"/>
    <row r="14598" s="65" customFormat="1"/>
    <row r="14599" s="65" customFormat="1"/>
    <row r="14600" s="65" customFormat="1"/>
    <row r="14601" s="65" customFormat="1"/>
    <row r="14602" s="65" customFormat="1"/>
    <row r="14603" s="65" customFormat="1"/>
    <row r="14604" s="65" customFormat="1"/>
    <row r="14605" s="65" customFormat="1"/>
    <row r="14606" s="65" customFormat="1"/>
    <row r="14607" s="65" customFormat="1"/>
    <row r="14608" s="65" customFormat="1"/>
    <row r="14609" s="65" customFormat="1"/>
    <row r="14610" s="65" customFormat="1"/>
    <row r="14611" s="65" customFormat="1"/>
    <row r="14612" s="65" customFormat="1"/>
    <row r="14613" s="65" customFormat="1"/>
    <row r="14614" s="65" customFormat="1"/>
    <row r="14615" s="65" customFormat="1"/>
    <row r="14616" s="65" customFormat="1"/>
    <row r="14617" s="65" customFormat="1"/>
    <row r="14618" s="65" customFormat="1"/>
    <row r="14619" s="65" customFormat="1"/>
    <row r="14620" s="65" customFormat="1"/>
    <row r="14621" s="65" customFormat="1"/>
    <row r="14622" s="65" customFormat="1"/>
    <row r="14623" s="65" customFormat="1"/>
    <row r="14624" s="65" customFormat="1"/>
    <row r="14625" s="65" customFormat="1"/>
    <row r="14626" s="65" customFormat="1"/>
    <row r="14627" s="65" customFormat="1"/>
    <row r="14628" s="65" customFormat="1"/>
    <row r="14629" s="65" customFormat="1"/>
    <row r="14630" s="65" customFormat="1"/>
    <row r="14631" s="65" customFormat="1"/>
    <row r="14632" s="65" customFormat="1"/>
    <row r="14633" s="65" customFormat="1"/>
    <row r="14634" s="65" customFormat="1"/>
    <row r="14635" s="65" customFormat="1"/>
    <row r="14636" s="65" customFormat="1"/>
    <row r="14637" s="65" customFormat="1"/>
    <row r="14638" s="65" customFormat="1"/>
    <row r="14639" s="65" customFormat="1"/>
    <row r="14640" s="65" customFormat="1"/>
    <row r="14641" s="65" customFormat="1"/>
    <row r="14642" s="65" customFormat="1"/>
    <row r="14643" s="65" customFormat="1"/>
    <row r="14644" s="65" customFormat="1"/>
    <row r="14645" s="65" customFormat="1"/>
    <row r="14646" s="65" customFormat="1"/>
    <row r="14647" s="65" customFormat="1"/>
    <row r="14648" s="65" customFormat="1"/>
    <row r="14649" s="65" customFormat="1"/>
    <row r="14650" s="65" customFormat="1"/>
    <row r="14651" s="65" customFormat="1"/>
    <row r="14652" s="65" customFormat="1"/>
    <row r="14653" s="65" customFormat="1"/>
    <row r="14654" s="65" customFormat="1"/>
    <row r="14655" s="65" customFormat="1"/>
    <row r="14656" s="65" customFormat="1"/>
    <row r="14657" s="65" customFormat="1"/>
    <row r="14658" s="65" customFormat="1"/>
    <row r="14659" s="65" customFormat="1"/>
    <row r="14660" s="65" customFormat="1"/>
    <row r="14661" s="65" customFormat="1"/>
    <row r="14662" s="65" customFormat="1"/>
    <row r="14663" s="65" customFormat="1"/>
    <row r="14664" s="65" customFormat="1"/>
    <row r="14665" s="65" customFormat="1"/>
    <row r="14666" s="65" customFormat="1"/>
    <row r="14667" s="65" customFormat="1"/>
    <row r="14668" s="65" customFormat="1"/>
    <row r="14669" s="65" customFormat="1"/>
    <row r="14670" s="65" customFormat="1"/>
    <row r="14671" s="65" customFormat="1"/>
    <row r="14672" s="65" customFormat="1"/>
    <row r="14673" s="65" customFormat="1"/>
    <row r="14674" s="65" customFormat="1"/>
    <row r="14675" s="65" customFormat="1"/>
    <row r="14676" s="65" customFormat="1"/>
    <row r="14677" s="65" customFormat="1"/>
    <row r="14678" s="65" customFormat="1"/>
    <row r="14679" s="65" customFormat="1"/>
    <row r="14680" s="65" customFormat="1"/>
    <row r="14681" s="65" customFormat="1"/>
    <row r="14682" s="65" customFormat="1"/>
    <row r="14683" s="65" customFormat="1"/>
    <row r="14684" s="65" customFormat="1"/>
    <row r="14685" s="65" customFormat="1"/>
    <row r="14686" s="65" customFormat="1"/>
    <row r="14687" s="65" customFormat="1"/>
    <row r="14688" s="65" customFormat="1"/>
    <row r="14689" s="65" customFormat="1"/>
    <row r="14690" s="65" customFormat="1"/>
    <row r="14691" s="65" customFormat="1"/>
    <row r="14692" s="65" customFormat="1"/>
    <row r="14693" s="65" customFormat="1"/>
    <row r="14694" s="65" customFormat="1"/>
    <row r="14695" s="65" customFormat="1"/>
    <row r="14696" s="65" customFormat="1"/>
    <row r="14697" s="65" customFormat="1"/>
    <row r="14698" s="65" customFormat="1"/>
    <row r="14699" s="65" customFormat="1"/>
    <row r="14700" s="65" customFormat="1"/>
    <row r="14701" s="65" customFormat="1"/>
    <row r="14702" s="65" customFormat="1"/>
    <row r="14703" s="65" customFormat="1"/>
    <row r="14704" s="65" customFormat="1"/>
    <row r="14705" s="65" customFormat="1"/>
    <row r="14706" s="65" customFormat="1"/>
    <row r="14707" s="65" customFormat="1"/>
    <row r="14708" s="65" customFormat="1"/>
    <row r="14709" s="65" customFormat="1"/>
    <row r="14710" s="65" customFormat="1"/>
    <row r="14711" s="65" customFormat="1"/>
    <row r="14712" s="65" customFormat="1"/>
    <row r="14713" s="65" customFormat="1"/>
    <row r="14714" s="65" customFormat="1"/>
    <row r="14715" s="65" customFormat="1"/>
    <row r="14716" s="65" customFormat="1"/>
    <row r="14717" s="65" customFormat="1"/>
    <row r="14718" s="65" customFormat="1"/>
    <row r="14719" s="65" customFormat="1"/>
    <row r="14720" s="65" customFormat="1"/>
    <row r="14721" s="65" customFormat="1"/>
    <row r="14722" s="65" customFormat="1"/>
    <row r="14723" s="65" customFormat="1"/>
    <row r="14724" s="65" customFormat="1"/>
    <row r="14725" s="65" customFormat="1"/>
    <row r="14726" s="65" customFormat="1"/>
    <row r="14727" s="65" customFormat="1"/>
    <row r="14728" s="65" customFormat="1"/>
    <row r="14729" s="65" customFormat="1"/>
    <row r="14730" s="65" customFormat="1"/>
    <row r="14731" s="65" customFormat="1"/>
    <row r="14732" s="65" customFormat="1"/>
    <row r="14733" s="65" customFormat="1"/>
    <row r="14734" s="65" customFormat="1"/>
    <row r="14735" s="65" customFormat="1"/>
    <row r="14736" s="65" customFormat="1"/>
    <row r="14737" s="65" customFormat="1"/>
    <row r="14738" s="65" customFormat="1"/>
    <row r="14739" s="65" customFormat="1"/>
    <row r="14740" s="65" customFormat="1"/>
    <row r="14741" s="65" customFormat="1"/>
    <row r="14742" s="65" customFormat="1"/>
    <row r="14743" s="65" customFormat="1"/>
    <row r="14744" s="65" customFormat="1"/>
    <row r="14745" s="65" customFormat="1"/>
    <row r="14746" s="65" customFormat="1"/>
    <row r="14747" s="65" customFormat="1"/>
    <row r="14748" s="65" customFormat="1"/>
    <row r="14749" s="65" customFormat="1"/>
    <row r="14750" s="65" customFormat="1"/>
    <row r="14751" s="65" customFormat="1"/>
    <row r="14752" s="65" customFormat="1"/>
    <row r="14753" s="65" customFormat="1"/>
    <row r="14754" s="65" customFormat="1"/>
    <row r="14755" s="65" customFormat="1"/>
    <row r="14756" s="65" customFormat="1"/>
    <row r="14757" s="65" customFormat="1"/>
    <row r="14758" s="65" customFormat="1"/>
    <row r="14759" s="65" customFormat="1"/>
    <row r="14760" s="65" customFormat="1"/>
    <row r="14761" s="65" customFormat="1"/>
    <row r="14762" s="65" customFormat="1"/>
    <row r="14763" s="65" customFormat="1"/>
    <row r="14764" s="65" customFormat="1"/>
    <row r="14765" s="65" customFormat="1"/>
    <row r="14766" s="65" customFormat="1"/>
    <row r="14767" s="65" customFormat="1"/>
    <row r="14768" s="65" customFormat="1"/>
    <row r="14769" s="65" customFormat="1"/>
    <row r="14770" s="65" customFormat="1"/>
    <row r="14771" s="65" customFormat="1"/>
    <row r="14772" s="65" customFormat="1"/>
    <row r="14773" s="65" customFormat="1"/>
    <row r="14774" s="65" customFormat="1"/>
    <row r="14775" s="65" customFormat="1"/>
    <row r="14776" s="65" customFormat="1"/>
    <row r="14777" s="65" customFormat="1"/>
    <row r="14778" s="65" customFormat="1"/>
    <row r="14779" s="65" customFormat="1"/>
    <row r="14780" s="65" customFormat="1"/>
    <row r="14781" s="65" customFormat="1"/>
    <row r="14782" s="65" customFormat="1"/>
    <row r="14783" s="65" customFormat="1"/>
    <row r="14784" s="65" customFormat="1"/>
    <row r="14785" s="65" customFormat="1"/>
    <row r="14786" s="65" customFormat="1"/>
    <row r="14787" s="65" customFormat="1"/>
    <row r="14788" s="65" customFormat="1"/>
    <row r="14789" s="65" customFormat="1"/>
    <row r="14790" s="65" customFormat="1"/>
    <row r="14791" s="65" customFormat="1"/>
    <row r="14792" s="65" customFormat="1"/>
    <row r="14793" s="65" customFormat="1"/>
    <row r="14794" s="65" customFormat="1"/>
    <row r="14795" s="65" customFormat="1"/>
    <row r="14796" s="65" customFormat="1"/>
    <row r="14797" s="65" customFormat="1"/>
    <row r="14798" s="65" customFormat="1"/>
    <row r="14799" s="65" customFormat="1"/>
    <row r="14800" s="65" customFormat="1"/>
    <row r="14801" s="65" customFormat="1"/>
    <row r="14802" s="65" customFormat="1"/>
    <row r="14803" s="65" customFormat="1"/>
    <row r="14804" s="65" customFormat="1"/>
    <row r="14805" s="65" customFormat="1"/>
    <row r="14806" s="65" customFormat="1"/>
    <row r="14807" s="65" customFormat="1"/>
    <row r="14808" s="65" customFormat="1"/>
    <row r="14809" s="65" customFormat="1"/>
    <row r="14810" s="65" customFormat="1"/>
    <row r="14811" s="65" customFormat="1"/>
    <row r="14812" s="65" customFormat="1"/>
    <row r="14813" s="65" customFormat="1"/>
    <row r="14814" s="65" customFormat="1"/>
    <row r="14815" s="65" customFormat="1"/>
    <row r="14816" s="65" customFormat="1"/>
    <row r="14817" s="65" customFormat="1"/>
    <row r="14818" s="65" customFormat="1"/>
    <row r="14819" s="65" customFormat="1"/>
    <row r="14820" s="65" customFormat="1"/>
    <row r="14821" s="65" customFormat="1"/>
    <row r="14822" s="65" customFormat="1"/>
    <row r="14823" s="65" customFormat="1"/>
    <row r="14824" s="65" customFormat="1"/>
    <row r="14825" s="65" customFormat="1"/>
    <row r="14826" s="65" customFormat="1"/>
    <row r="14827" s="65" customFormat="1"/>
    <row r="14828" s="65" customFormat="1"/>
    <row r="14829" s="65" customFormat="1"/>
    <row r="14830" s="65" customFormat="1"/>
    <row r="14831" s="65" customFormat="1"/>
    <row r="14832" s="65" customFormat="1"/>
    <row r="14833" s="65" customFormat="1"/>
    <row r="14834" s="65" customFormat="1"/>
    <row r="14835" s="65" customFormat="1"/>
    <row r="14836" s="65" customFormat="1"/>
    <row r="14837" s="65" customFormat="1"/>
    <row r="14838" s="65" customFormat="1"/>
    <row r="14839" s="65" customFormat="1"/>
    <row r="14840" s="65" customFormat="1"/>
    <row r="14841" s="65" customFormat="1"/>
    <row r="14842" s="65" customFormat="1"/>
    <row r="14843" s="65" customFormat="1"/>
    <row r="14844" s="65" customFormat="1"/>
    <row r="14845" s="65" customFormat="1"/>
    <row r="14846" s="65" customFormat="1"/>
    <row r="14847" s="65" customFormat="1"/>
    <row r="14848" s="65" customFormat="1"/>
    <row r="14849" s="65" customFormat="1"/>
    <row r="14850" s="65" customFormat="1"/>
    <row r="14851" s="65" customFormat="1"/>
    <row r="14852" s="65" customFormat="1"/>
    <row r="14853" s="65" customFormat="1"/>
    <row r="14854" s="65" customFormat="1"/>
    <row r="14855" s="65" customFormat="1"/>
    <row r="14856" s="65" customFormat="1"/>
    <row r="14857" s="65" customFormat="1"/>
    <row r="14858" s="65" customFormat="1"/>
    <row r="14859" s="65" customFormat="1"/>
    <row r="14860" s="65" customFormat="1"/>
    <row r="14861" s="65" customFormat="1"/>
    <row r="14862" s="65" customFormat="1"/>
    <row r="14863" s="65" customFormat="1"/>
    <row r="14864" s="65" customFormat="1"/>
    <row r="14865" s="65" customFormat="1"/>
    <row r="14866" s="65" customFormat="1"/>
    <row r="14867" s="65" customFormat="1"/>
    <row r="14868" s="65" customFormat="1"/>
    <row r="14869" s="65" customFormat="1"/>
    <row r="14870" s="65" customFormat="1"/>
    <row r="14871" s="65" customFormat="1"/>
    <row r="14872" s="65" customFormat="1"/>
    <row r="14873" s="65" customFormat="1"/>
    <row r="14874" s="65" customFormat="1"/>
    <row r="14875" s="65" customFormat="1"/>
    <row r="14876" s="65" customFormat="1"/>
    <row r="14877" s="65" customFormat="1"/>
    <row r="14878" s="65" customFormat="1"/>
    <row r="14879" s="65" customFormat="1"/>
    <row r="14880" s="65" customFormat="1"/>
    <row r="14881" s="65" customFormat="1"/>
    <row r="14882" s="65" customFormat="1"/>
    <row r="14883" s="65" customFormat="1"/>
    <row r="14884" s="65" customFormat="1"/>
    <row r="14885" s="65" customFormat="1"/>
    <row r="14886" s="65" customFormat="1"/>
    <row r="14887" s="65" customFormat="1"/>
    <row r="14888" s="65" customFormat="1"/>
    <row r="14889" s="65" customFormat="1"/>
    <row r="14890" s="65" customFormat="1"/>
    <row r="14891" s="65" customFormat="1"/>
    <row r="14892" s="65" customFormat="1"/>
    <row r="14893" s="65" customFormat="1"/>
    <row r="14894" s="65" customFormat="1"/>
    <row r="14895" s="65" customFormat="1"/>
    <row r="14896" s="65" customFormat="1"/>
    <row r="14897" s="65" customFormat="1"/>
    <row r="14898" s="65" customFormat="1"/>
    <row r="14899" s="65" customFormat="1"/>
    <row r="14900" s="65" customFormat="1"/>
    <row r="14901" s="65" customFormat="1"/>
    <row r="14902" s="65" customFormat="1"/>
    <row r="14903" s="65" customFormat="1"/>
    <row r="14904" s="65" customFormat="1"/>
    <row r="14905" s="65" customFormat="1"/>
    <row r="14906" s="65" customFormat="1"/>
    <row r="14907" s="65" customFormat="1"/>
    <row r="14908" s="65" customFormat="1"/>
    <row r="14909" s="65" customFormat="1"/>
    <row r="14910" s="65" customFormat="1"/>
    <row r="14911" s="65" customFormat="1"/>
    <row r="14912" s="65" customFormat="1"/>
    <row r="14913" s="65" customFormat="1"/>
    <row r="14914" s="65" customFormat="1"/>
    <row r="14915" s="65" customFormat="1"/>
    <row r="14916" s="65" customFormat="1"/>
    <row r="14917" s="65" customFormat="1"/>
    <row r="14918" s="65" customFormat="1"/>
    <row r="14919" s="65" customFormat="1"/>
    <row r="14920" s="65" customFormat="1"/>
    <row r="14921" s="65" customFormat="1"/>
    <row r="14922" s="65" customFormat="1"/>
    <row r="14923" s="65" customFormat="1"/>
    <row r="14924" s="65" customFormat="1"/>
    <row r="14925" s="65" customFormat="1"/>
    <row r="14926" s="65" customFormat="1"/>
    <row r="14927" s="65" customFormat="1"/>
    <row r="14928" s="65" customFormat="1"/>
    <row r="14929" s="65" customFormat="1"/>
    <row r="14930" s="65" customFormat="1"/>
    <row r="14931" s="65" customFormat="1"/>
    <row r="14932" s="65" customFormat="1"/>
    <row r="14933" s="65" customFormat="1"/>
    <row r="14934" s="65" customFormat="1"/>
    <row r="14935" s="65" customFormat="1"/>
    <row r="14936" s="65" customFormat="1"/>
    <row r="14937" s="65" customFormat="1"/>
    <row r="14938" s="65" customFormat="1"/>
    <row r="14939" s="65" customFormat="1"/>
    <row r="14940" s="65" customFormat="1"/>
    <row r="14941" s="65" customFormat="1"/>
    <row r="14942" s="65" customFormat="1"/>
    <row r="14943" s="65" customFormat="1"/>
    <row r="14944" s="65" customFormat="1"/>
    <row r="14945" s="65" customFormat="1"/>
    <row r="14946" s="65" customFormat="1"/>
    <row r="14947" s="65" customFormat="1"/>
    <row r="14948" s="65" customFormat="1"/>
    <row r="14949" s="65" customFormat="1"/>
    <row r="14950" s="65" customFormat="1"/>
    <row r="14951" s="65" customFormat="1"/>
    <row r="14952" s="65" customFormat="1"/>
    <row r="14953" s="65" customFormat="1"/>
    <row r="14954" s="65" customFormat="1"/>
    <row r="14955" s="65" customFormat="1"/>
    <row r="14956" s="65" customFormat="1"/>
    <row r="14957" s="65" customFormat="1"/>
    <row r="14958" s="65" customFormat="1"/>
    <row r="14959" s="65" customFormat="1"/>
    <row r="14960" s="65" customFormat="1"/>
    <row r="14961" s="65" customFormat="1"/>
    <row r="14962" s="65" customFormat="1"/>
    <row r="14963" s="65" customFormat="1"/>
    <row r="14964" s="65" customFormat="1"/>
    <row r="14965" s="65" customFormat="1"/>
    <row r="14966" s="65" customFormat="1"/>
    <row r="14967" s="65" customFormat="1"/>
    <row r="14968" s="65" customFormat="1"/>
    <row r="14969" s="65" customFormat="1"/>
    <row r="14970" s="65" customFormat="1"/>
    <row r="14971" s="65" customFormat="1"/>
    <row r="14972" s="65" customFormat="1"/>
    <row r="14973" s="65" customFormat="1"/>
    <row r="14974" s="65" customFormat="1"/>
    <row r="14975" s="65" customFormat="1"/>
    <row r="14976" s="65" customFormat="1"/>
    <row r="14977" s="65" customFormat="1"/>
    <row r="14978" s="65" customFormat="1"/>
    <row r="14979" s="65" customFormat="1"/>
    <row r="14980" s="65" customFormat="1"/>
    <row r="14981" s="65" customFormat="1"/>
    <row r="14982" s="65" customFormat="1"/>
    <row r="14983" s="65" customFormat="1"/>
    <row r="14984" s="65" customFormat="1"/>
    <row r="14985" s="65" customFormat="1"/>
    <row r="14986" s="65" customFormat="1"/>
    <row r="14987" s="65" customFormat="1"/>
    <row r="14988" s="65" customFormat="1"/>
    <row r="14989" s="65" customFormat="1"/>
    <row r="14990" s="65" customFormat="1"/>
    <row r="14991" s="65" customFormat="1"/>
    <row r="14992" s="65" customFormat="1"/>
    <row r="14993" s="65" customFormat="1"/>
    <row r="14994" s="65" customFormat="1"/>
    <row r="14995" s="65" customFormat="1"/>
    <row r="14996" s="65" customFormat="1"/>
    <row r="14997" s="65" customFormat="1"/>
    <row r="14998" s="65" customFormat="1"/>
    <row r="14999" s="65" customFormat="1"/>
    <row r="15000" s="65" customFormat="1"/>
    <row r="15001" s="65" customFormat="1"/>
    <row r="15002" s="65" customFormat="1"/>
    <row r="15003" s="65" customFormat="1"/>
    <row r="15004" s="65" customFormat="1"/>
    <row r="15005" s="65" customFormat="1"/>
    <row r="15006" s="65" customFormat="1"/>
    <row r="15007" s="65" customFormat="1"/>
    <row r="15008" s="65" customFormat="1"/>
    <row r="15009" s="65" customFormat="1"/>
    <row r="15010" s="65" customFormat="1"/>
    <row r="15011" s="65" customFormat="1"/>
    <row r="15012" s="65" customFormat="1"/>
    <row r="15013" s="65" customFormat="1"/>
    <row r="15014" s="65" customFormat="1"/>
    <row r="15015" s="65" customFormat="1"/>
    <row r="15016" s="65" customFormat="1"/>
    <row r="15017" s="65" customFormat="1"/>
    <row r="15018" s="65" customFormat="1"/>
    <row r="15019" s="65" customFormat="1"/>
    <row r="15020" s="65" customFormat="1"/>
    <row r="15021" s="65" customFormat="1"/>
    <row r="15022" s="65" customFormat="1"/>
    <row r="15023" s="65" customFormat="1"/>
    <row r="15024" s="65" customFormat="1"/>
    <row r="15025" s="65" customFormat="1"/>
    <row r="15026" s="65" customFormat="1"/>
    <row r="15027" s="65" customFormat="1"/>
    <row r="15028" s="65" customFormat="1"/>
    <row r="15029" s="65" customFormat="1"/>
    <row r="15030" s="65" customFormat="1"/>
    <row r="15031" s="65" customFormat="1"/>
    <row r="15032" s="65" customFormat="1"/>
    <row r="15033" s="65" customFormat="1"/>
    <row r="15034" s="65" customFormat="1"/>
    <row r="15035" s="65" customFormat="1"/>
    <row r="15036" s="65" customFormat="1"/>
    <row r="15037" s="65" customFormat="1"/>
    <row r="15038" s="65" customFormat="1"/>
    <row r="15039" s="65" customFormat="1"/>
    <row r="15040" s="65" customFormat="1"/>
    <row r="15041" s="65" customFormat="1"/>
    <row r="15042" s="65" customFormat="1"/>
    <row r="15043" s="65" customFormat="1"/>
    <row r="15044" s="65" customFormat="1"/>
    <row r="15045" s="65" customFormat="1"/>
    <row r="15046" s="65" customFormat="1"/>
    <row r="15047" s="65" customFormat="1"/>
    <row r="15048" s="65" customFormat="1"/>
    <row r="15049" s="65" customFormat="1"/>
    <row r="15050" s="65" customFormat="1"/>
    <row r="15051" s="65" customFormat="1"/>
    <row r="15052" s="65" customFormat="1"/>
    <row r="15053" s="65" customFormat="1"/>
    <row r="15054" s="65" customFormat="1"/>
    <row r="15055" s="65" customFormat="1"/>
    <row r="15056" s="65" customFormat="1"/>
    <row r="15057" s="65" customFormat="1"/>
    <row r="15058" s="65" customFormat="1"/>
    <row r="15059" s="65" customFormat="1"/>
    <row r="15060" s="65" customFormat="1"/>
    <row r="15061" s="65" customFormat="1"/>
    <row r="15062" s="65" customFormat="1"/>
    <row r="15063" s="65" customFormat="1"/>
    <row r="15064" s="65" customFormat="1"/>
    <row r="15065" s="65" customFormat="1"/>
    <row r="15066" s="65" customFormat="1"/>
    <row r="15067" s="65" customFormat="1"/>
    <row r="15068" s="65" customFormat="1"/>
    <row r="15069" s="65" customFormat="1"/>
    <row r="15070" s="65" customFormat="1"/>
    <row r="15071" s="65" customFormat="1"/>
    <row r="15072" s="65" customFormat="1"/>
    <row r="15073" s="65" customFormat="1"/>
    <row r="15074" s="65" customFormat="1"/>
    <row r="15075" s="65" customFormat="1"/>
    <row r="15076" s="65" customFormat="1"/>
    <row r="15077" s="65" customFormat="1"/>
    <row r="15078" s="65" customFormat="1"/>
    <row r="15079" s="65" customFormat="1"/>
    <row r="15080" s="65" customFormat="1"/>
    <row r="15081" s="65" customFormat="1"/>
    <row r="15082" s="65" customFormat="1"/>
    <row r="15083" s="65" customFormat="1"/>
    <row r="15084" s="65" customFormat="1"/>
    <row r="15085" s="65" customFormat="1"/>
    <row r="15086" s="65" customFormat="1"/>
    <row r="15087" s="65" customFormat="1"/>
    <row r="15088" s="65" customFormat="1"/>
    <row r="15089" s="65" customFormat="1"/>
    <row r="15090" s="65" customFormat="1"/>
    <row r="15091" s="65" customFormat="1"/>
    <row r="15092" s="65" customFormat="1"/>
    <row r="15093" s="65" customFormat="1"/>
    <row r="15094" s="65" customFormat="1"/>
    <row r="15095" s="65" customFormat="1"/>
    <row r="15096" s="65" customFormat="1"/>
    <row r="15097" s="65" customFormat="1"/>
    <row r="15098" s="65" customFormat="1"/>
    <row r="15099" s="65" customFormat="1"/>
    <row r="15100" s="65" customFormat="1"/>
    <row r="15101" s="65" customFormat="1"/>
    <row r="15102" s="65" customFormat="1"/>
    <row r="15103" s="65" customFormat="1"/>
    <row r="15104" s="65" customFormat="1"/>
    <row r="15105" s="65" customFormat="1"/>
    <row r="15106" s="65" customFormat="1"/>
    <row r="15107" s="65" customFormat="1"/>
    <row r="15108" s="65" customFormat="1"/>
    <row r="15109" s="65" customFormat="1"/>
    <row r="15110" s="65" customFormat="1"/>
    <row r="15111" s="65" customFormat="1"/>
    <row r="15112" s="65" customFormat="1"/>
    <row r="15113" s="65" customFormat="1"/>
    <row r="15114" s="65" customFormat="1"/>
    <row r="15115" s="65" customFormat="1"/>
    <row r="15116" s="65" customFormat="1"/>
    <row r="15117" s="65" customFormat="1"/>
    <row r="15118" s="65" customFormat="1"/>
    <row r="15119" s="65" customFormat="1"/>
    <row r="15120" s="65" customFormat="1"/>
    <row r="15121" s="65" customFormat="1"/>
    <row r="15122" s="65" customFormat="1"/>
    <row r="15123" s="65" customFormat="1"/>
    <row r="15124" s="65" customFormat="1"/>
    <row r="15125" s="65" customFormat="1"/>
    <row r="15126" s="65" customFormat="1"/>
    <row r="15127" s="65" customFormat="1"/>
    <row r="15128" s="65" customFormat="1"/>
    <row r="15129" s="65" customFormat="1"/>
    <row r="15130" s="65" customFormat="1"/>
    <row r="15131" s="65" customFormat="1"/>
    <row r="15132" s="65" customFormat="1"/>
    <row r="15133" s="65" customFormat="1"/>
    <row r="15134" s="65" customFormat="1"/>
    <row r="15135" s="65" customFormat="1"/>
    <row r="15136" s="65" customFormat="1"/>
    <row r="15137" s="65" customFormat="1"/>
    <row r="15138" s="65" customFormat="1"/>
    <row r="15139" s="65" customFormat="1"/>
    <row r="15140" s="65" customFormat="1"/>
    <row r="15141" s="65" customFormat="1"/>
    <row r="15142" s="65" customFormat="1"/>
    <row r="15143" s="65" customFormat="1"/>
    <row r="15144" s="65" customFormat="1"/>
    <row r="15145" s="65" customFormat="1"/>
    <row r="15146" s="65" customFormat="1"/>
    <row r="15147" s="65" customFormat="1"/>
    <row r="15148" s="65" customFormat="1"/>
    <row r="15149" s="65" customFormat="1"/>
    <row r="15150" s="65" customFormat="1"/>
    <row r="15151" s="65" customFormat="1"/>
    <row r="15152" s="65" customFormat="1"/>
    <row r="15153" s="65" customFormat="1"/>
    <row r="15154" s="65" customFormat="1"/>
    <row r="15155" s="65" customFormat="1"/>
    <row r="15156" s="65" customFormat="1"/>
    <row r="15157" s="65" customFormat="1"/>
    <row r="15158" s="65" customFormat="1"/>
    <row r="15159" s="65" customFormat="1"/>
    <row r="15160" s="65" customFormat="1"/>
    <row r="15161" s="65" customFormat="1"/>
    <row r="15162" s="65" customFormat="1"/>
    <row r="15163" s="65" customFormat="1"/>
    <row r="15164" s="65" customFormat="1"/>
    <row r="15165" s="65" customFormat="1"/>
    <row r="15166" s="65" customFormat="1"/>
    <row r="15167" s="65" customFormat="1"/>
    <row r="15168" s="65" customFormat="1"/>
    <row r="15169" s="65" customFormat="1"/>
    <row r="15170" s="65" customFormat="1"/>
    <row r="15171" s="65" customFormat="1"/>
    <row r="15172" s="65" customFormat="1"/>
    <row r="15173" s="65" customFormat="1"/>
    <row r="15174" s="65" customFormat="1"/>
    <row r="15175" s="65" customFormat="1"/>
    <row r="15176" s="65" customFormat="1"/>
    <row r="15177" s="65" customFormat="1"/>
    <row r="15178" s="65" customFormat="1"/>
    <row r="15179" s="65" customFormat="1"/>
    <row r="15180" s="65" customFormat="1"/>
    <row r="15181" s="65" customFormat="1"/>
    <row r="15182" s="65" customFormat="1"/>
    <row r="15183" s="65" customFormat="1"/>
    <row r="15184" s="65" customFormat="1"/>
    <row r="15185" s="65" customFormat="1"/>
    <row r="15186" s="65" customFormat="1"/>
    <row r="15187" s="65" customFormat="1"/>
    <row r="15188" s="65" customFormat="1"/>
    <row r="15189" s="65" customFormat="1"/>
    <row r="15190" s="65" customFormat="1"/>
    <row r="15191" s="65" customFormat="1"/>
    <row r="15192" s="65" customFormat="1"/>
    <row r="15193" s="65" customFormat="1"/>
    <row r="15194" s="65" customFormat="1"/>
    <row r="15195" s="65" customFormat="1"/>
    <row r="15196" s="65" customFormat="1"/>
    <row r="15197" s="65" customFormat="1"/>
    <row r="15198" s="65" customFormat="1"/>
    <row r="15199" s="65" customFormat="1"/>
    <row r="15200" s="65" customFormat="1"/>
    <row r="15201" s="65" customFormat="1"/>
    <row r="15202" s="65" customFormat="1"/>
    <row r="15203" s="65" customFormat="1"/>
    <row r="15204" s="65" customFormat="1"/>
    <row r="15205" s="65" customFormat="1"/>
    <row r="15206" s="65" customFormat="1"/>
    <row r="15207" s="65" customFormat="1"/>
    <row r="15208" s="65" customFormat="1"/>
    <row r="15209" s="65" customFormat="1"/>
    <row r="15210" s="65" customFormat="1"/>
    <row r="15211" s="65" customFormat="1"/>
    <row r="15212" s="65" customFormat="1"/>
    <row r="15213" s="65" customFormat="1"/>
    <row r="15214" s="65" customFormat="1"/>
    <row r="15215" s="65" customFormat="1"/>
    <row r="15216" s="65" customFormat="1"/>
    <row r="15217" s="65" customFormat="1"/>
    <row r="15218" s="65" customFormat="1"/>
    <row r="15219" s="65" customFormat="1"/>
    <row r="15220" s="65" customFormat="1"/>
    <row r="15221" s="65" customFormat="1"/>
    <row r="15222" s="65" customFormat="1"/>
    <row r="15223" s="65" customFormat="1"/>
    <row r="15224" s="65" customFormat="1"/>
    <row r="15225" s="65" customFormat="1"/>
    <row r="15226" s="65" customFormat="1"/>
    <row r="15227" s="65" customFormat="1"/>
    <row r="15228" s="65" customFormat="1"/>
    <row r="15229" s="65" customFormat="1"/>
    <row r="15230" s="65" customFormat="1"/>
    <row r="15231" s="65" customFormat="1"/>
    <row r="15232" s="65" customFormat="1"/>
    <row r="15233" s="65" customFormat="1"/>
    <row r="15234" s="65" customFormat="1"/>
    <row r="15235" s="65" customFormat="1"/>
    <row r="15236" s="65" customFormat="1"/>
    <row r="15237" s="65" customFormat="1"/>
    <row r="15238" s="65" customFormat="1"/>
    <row r="15239" s="65" customFormat="1"/>
    <row r="15240" s="65" customFormat="1"/>
    <row r="15241" s="65" customFormat="1"/>
    <row r="15242" s="65" customFormat="1"/>
    <row r="15243" s="65" customFormat="1"/>
    <row r="15244" s="65" customFormat="1"/>
    <row r="15245" s="65" customFormat="1"/>
    <row r="15246" s="65" customFormat="1"/>
    <row r="15247" s="65" customFormat="1"/>
    <row r="15248" s="65" customFormat="1"/>
    <row r="15249" s="65" customFormat="1"/>
    <row r="15250" s="65" customFormat="1"/>
    <row r="15251" s="65" customFormat="1"/>
    <row r="15252" s="65" customFormat="1"/>
    <row r="15253" s="65" customFormat="1"/>
    <row r="15254" s="65" customFormat="1"/>
    <row r="15255" s="65" customFormat="1"/>
    <row r="15256" s="65" customFormat="1"/>
    <row r="15257" s="65" customFormat="1"/>
    <row r="15258" s="65" customFormat="1"/>
    <row r="15259" s="65" customFormat="1"/>
    <row r="15260" s="65" customFormat="1"/>
    <row r="15261" s="65" customFormat="1"/>
    <row r="15262" s="65" customFormat="1"/>
    <row r="15263" s="65" customFormat="1"/>
    <row r="15264" s="65" customFormat="1"/>
    <row r="15265" s="65" customFormat="1"/>
    <row r="15266" s="65" customFormat="1"/>
    <row r="15267" s="65" customFormat="1"/>
    <row r="15268" s="65" customFormat="1"/>
    <row r="15269" s="65" customFormat="1"/>
    <row r="15270" s="65" customFormat="1"/>
    <row r="15271" s="65" customFormat="1"/>
    <row r="15272" s="65" customFormat="1"/>
    <row r="15273" s="65" customFormat="1"/>
    <row r="15274" s="65" customFormat="1"/>
    <row r="15275" s="65" customFormat="1"/>
    <row r="15276" s="65" customFormat="1"/>
    <row r="15277" s="65" customFormat="1"/>
    <row r="15278" s="65" customFormat="1"/>
    <row r="15279" s="65" customFormat="1"/>
    <row r="15280" s="65" customFormat="1"/>
    <row r="15281" s="65" customFormat="1"/>
    <row r="15282" s="65" customFormat="1"/>
    <row r="15283" s="65" customFormat="1"/>
    <row r="15284" s="65" customFormat="1"/>
    <row r="15285" s="65" customFormat="1"/>
    <row r="15286" s="65" customFormat="1"/>
    <row r="15287" s="65" customFormat="1"/>
    <row r="15288" s="65" customFormat="1"/>
    <row r="15289" s="65" customFormat="1"/>
    <row r="15290" s="65" customFormat="1"/>
    <row r="15291" s="65" customFormat="1"/>
    <row r="15292" s="65" customFormat="1"/>
    <row r="15293" s="65" customFormat="1"/>
    <row r="15294" s="65" customFormat="1"/>
    <row r="15295" s="65" customFormat="1"/>
    <row r="15296" s="65" customFormat="1"/>
    <row r="15297" s="65" customFormat="1"/>
    <row r="15298" s="65" customFormat="1"/>
    <row r="15299" s="65" customFormat="1"/>
    <row r="15300" s="65" customFormat="1"/>
    <row r="15301" s="65" customFormat="1"/>
    <row r="15302" s="65" customFormat="1"/>
    <row r="15303" s="65" customFormat="1"/>
    <row r="15304" s="65" customFormat="1"/>
    <row r="15305" s="65" customFormat="1"/>
    <row r="15306" s="65" customFormat="1"/>
    <row r="15307" s="65" customFormat="1"/>
    <row r="15308" s="65" customFormat="1"/>
    <row r="15309" s="65" customFormat="1"/>
    <row r="15310" s="65" customFormat="1"/>
    <row r="15311" s="65" customFormat="1"/>
    <row r="15312" s="65" customFormat="1"/>
    <row r="15313" s="65" customFormat="1"/>
    <row r="15314" s="65" customFormat="1"/>
    <row r="15315" s="65" customFormat="1"/>
    <row r="15316" s="65" customFormat="1"/>
    <row r="15317" s="65" customFormat="1"/>
    <row r="15318" s="65" customFormat="1"/>
    <row r="15319" s="65" customFormat="1"/>
    <row r="15320" s="65" customFormat="1"/>
    <row r="15321" s="65" customFormat="1"/>
    <row r="15322" s="65" customFormat="1"/>
    <row r="15323" s="65" customFormat="1"/>
    <row r="15324" s="65" customFormat="1"/>
    <row r="15325" s="65" customFormat="1"/>
    <row r="15326" s="65" customFormat="1"/>
    <row r="15327" s="65" customFormat="1"/>
    <row r="15328" s="65" customFormat="1"/>
    <row r="15329" s="65" customFormat="1"/>
    <row r="15330" s="65" customFormat="1"/>
    <row r="15331" s="65" customFormat="1"/>
    <row r="15332" s="65" customFormat="1"/>
    <row r="15333" s="65" customFormat="1"/>
    <row r="15334" s="65" customFormat="1"/>
    <row r="15335" s="65" customFormat="1"/>
    <row r="15336" s="65" customFormat="1"/>
    <row r="15337" s="65" customFormat="1"/>
    <row r="15338" s="65" customFormat="1"/>
    <row r="15339" s="65" customFormat="1"/>
    <row r="15340" s="65" customFormat="1"/>
    <row r="15341" s="65" customFormat="1"/>
    <row r="15342" s="65" customFormat="1"/>
    <row r="15343" s="65" customFormat="1"/>
    <row r="15344" s="65" customFormat="1"/>
    <row r="15345" s="65" customFormat="1"/>
    <row r="15346" s="65" customFormat="1"/>
    <row r="15347" s="65" customFormat="1"/>
    <row r="15348" s="65" customFormat="1"/>
    <row r="15349" s="65" customFormat="1"/>
    <row r="15350" s="65" customFormat="1"/>
    <row r="15351" s="65" customFormat="1"/>
    <row r="15352" s="65" customFormat="1"/>
    <row r="15353" s="65" customFormat="1"/>
    <row r="15354" s="65" customFormat="1"/>
    <row r="15355" s="65" customFormat="1"/>
    <row r="15356" s="65" customFormat="1"/>
    <row r="15357" s="65" customFormat="1"/>
    <row r="15358" s="65" customFormat="1"/>
    <row r="15359" s="65" customFormat="1"/>
    <row r="15360" s="65" customFormat="1"/>
    <row r="15361" s="65" customFormat="1"/>
    <row r="15362" s="65" customFormat="1"/>
    <row r="15363" s="65" customFormat="1"/>
    <row r="15364" s="65" customFormat="1"/>
    <row r="15365" s="65" customFormat="1"/>
    <row r="15366" s="65" customFormat="1"/>
    <row r="15367" s="65" customFormat="1"/>
    <row r="15368" s="65" customFormat="1"/>
    <row r="15369" s="65" customFormat="1"/>
    <row r="15370" s="65" customFormat="1"/>
    <row r="15371" s="65" customFormat="1"/>
    <row r="15372" s="65" customFormat="1"/>
    <row r="15373" s="65" customFormat="1"/>
    <row r="15374" s="65" customFormat="1"/>
    <row r="15375" s="65" customFormat="1"/>
    <row r="15376" s="65" customFormat="1"/>
    <row r="15377" s="65" customFormat="1"/>
    <row r="15378" s="65" customFormat="1"/>
    <row r="15379" s="65" customFormat="1"/>
    <row r="15380" s="65" customFormat="1"/>
    <row r="15381" s="65" customFormat="1"/>
    <row r="15382" s="65" customFormat="1"/>
    <row r="15383" s="65" customFormat="1"/>
    <row r="15384" s="65" customFormat="1"/>
    <row r="15385" s="65" customFormat="1"/>
    <row r="15386" s="65" customFormat="1"/>
    <row r="15387" s="65" customFormat="1"/>
    <row r="15388" s="65" customFormat="1"/>
    <row r="15389" s="65" customFormat="1"/>
    <row r="15390" s="65" customFormat="1"/>
    <row r="15391" s="65" customFormat="1"/>
    <row r="15392" s="65" customFormat="1"/>
    <row r="15393" s="65" customFormat="1"/>
    <row r="15394" s="65" customFormat="1"/>
    <row r="15395" s="65" customFormat="1"/>
    <row r="15396" s="65" customFormat="1"/>
    <row r="15397" s="65" customFormat="1"/>
    <row r="15398" s="65" customFormat="1"/>
    <row r="15399" s="65" customFormat="1"/>
    <row r="15400" s="65" customFormat="1"/>
    <row r="15401" s="65" customFormat="1"/>
    <row r="15402" s="65" customFormat="1"/>
    <row r="15403" s="65" customFormat="1"/>
    <row r="15404" s="65" customFormat="1"/>
    <row r="15405" s="65" customFormat="1"/>
    <row r="15406" s="65" customFormat="1"/>
    <row r="15407" s="65" customFormat="1"/>
    <row r="15408" s="65" customFormat="1"/>
    <row r="15409" s="65" customFormat="1"/>
    <row r="15410" s="65" customFormat="1"/>
    <row r="15411" s="65" customFormat="1"/>
    <row r="15412" s="65" customFormat="1"/>
    <row r="15413" s="65" customFormat="1"/>
    <row r="15414" s="65" customFormat="1"/>
    <row r="15415" s="65" customFormat="1"/>
    <row r="15416" s="65" customFormat="1"/>
    <row r="15417" s="65" customFormat="1"/>
    <row r="15418" s="65" customFormat="1"/>
    <row r="15419" s="65" customFormat="1"/>
    <row r="15420" s="65" customFormat="1"/>
    <row r="15421" s="65" customFormat="1"/>
    <row r="15422" s="65" customFormat="1"/>
    <row r="15423" s="65" customFormat="1"/>
    <row r="15424" s="65" customFormat="1"/>
    <row r="15425" s="65" customFormat="1"/>
    <row r="15426" s="65" customFormat="1"/>
    <row r="15427" s="65" customFormat="1"/>
    <row r="15428" s="65" customFormat="1"/>
    <row r="15429" s="65" customFormat="1"/>
    <row r="15430" s="65" customFormat="1"/>
    <row r="15431" s="65" customFormat="1"/>
    <row r="15432" s="65" customFormat="1"/>
    <row r="15433" s="65" customFormat="1"/>
    <row r="15434" s="65" customFormat="1"/>
    <row r="15435" s="65" customFormat="1"/>
    <row r="15436" s="65" customFormat="1"/>
    <row r="15437" s="65" customFormat="1"/>
    <row r="15438" s="65" customFormat="1"/>
    <row r="15439" s="65" customFormat="1"/>
    <row r="15440" s="65" customFormat="1"/>
    <row r="15441" s="65" customFormat="1"/>
    <row r="15442" s="65" customFormat="1"/>
    <row r="15443" s="65" customFormat="1"/>
    <row r="15444" s="65" customFormat="1"/>
    <row r="15445" s="65" customFormat="1"/>
    <row r="15446" s="65" customFormat="1"/>
    <row r="15447" s="65" customFormat="1"/>
    <row r="15448" s="65" customFormat="1"/>
    <row r="15449" s="65" customFormat="1"/>
    <row r="15450" s="65" customFormat="1"/>
    <row r="15451" s="65" customFormat="1"/>
    <row r="15452" s="65" customFormat="1"/>
    <row r="15453" s="65" customFormat="1"/>
    <row r="15454" s="65" customFormat="1"/>
    <row r="15455" s="65" customFormat="1"/>
    <row r="15456" s="65" customFormat="1"/>
    <row r="15457" s="65" customFormat="1"/>
    <row r="15458" s="65" customFormat="1"/>
    <row r="15459" s="65" customFormat="1"/>
    <row r="15460" s="65" customFormat="1"/>
    <row r="15461" s="65" customFormat="1"/>
    <row r="15462" s="65" customFormat="1"/>
    <row r="15463" s="65" customFormat="1"/>
    <row r="15464" s="65" customFormat="1"/>
    <row r="15465" s="65" customFormat="1"/>
    <row r="15466" s="65" customFormat="1"/>
    <row r="15467" s="65" customFormat="1"/>
    <row r="15468" s="65" customFormat="1"/>
    <row r="15469" s="65" customFormat="1"/>
    <row r="15470" s="65" customFormat="1"/>
    <row r="15471" s="65" customFormat="1"/>
    <row r="15472" s="65" customFormat="1"/>
    <row r="15473" s="65" customFormat="1"/>
    <row r="15474" s="65" customFormat="1"/>
    <row r="15475" s="65" customFormat="1"/>
    <row r="15476" s="65" customFormat="1"/>
    <row r="15477" s="65" customFormat="1"/>
    <row r="15478" s="65" customFormat="1"/>
    <row r="15479" s="65" customFormat="1"/>
    <row r="15480" s="65" customFormat="1"/>
    <row r="15481" s="65" customFormat="1"/>
    <row r="15482" s="65" customFormat="1"/>
    <row r="15483" s="65" customFormat="1"/>
    <row r="15484" s="65" customFormat="1"/>
    <row r="15485" s="65" customFormat="1"/>
    <row r="15486" s="65" customFormat="1"/>
    <row r="15487" s="65" customFormat="1"/>
    <row r="15488" s="65" customFormat="1"/>
    <row r="15489" s="65" customFormat="1"/>
    <row r="15490" s="65" customFormat="1"/>
    <row r="15491" s="65" customFormat="1"/>
    <row r="15492" s="65" customFormat="1"/>
    <row r="15493" s="65" customFormat="1"/>
    <row r="15494" s="65" customFormat="1"/>
    <row r="15495" s="65" customFormat="1"/>
    <row r="15496" s="65" customFormat="1"/>
    <row r="15497" s="65" customFormat="1"/>
    <row r="15498" s="65" customFormat="1"/>
    <row r="15499" s="65" customFormat="1"/>
    <row r="15500" s="65" customFormat="1"/>
    <row r="15501" s="65" customFormat="1"/>
    <row r="15502" s="65" customFormat="1"/>
    <row r="15503" s="65" customFormat="1"/>
    <row r="15504" s="65" customFormat="1"/>
    <row r="15505" s="65" customFormat="1"/>
    <row r="15506" s="65" customFormat="1"/>
    <row r="15507" s="65" customFormat="1"/>
    <row r="15508" s="65" customFormat="1"/>
    <row r="15509" s="65" customFormat="1"/>
    <row r="15510" s="65" customFormat="1"/>
    <row r="15511" s="65" customFormat="1"/>
    <row r="15512" s="65" customFormat="1"/>
    <row r="15513" s="65" customFormat="1"/>
    <row r="15514" s="65" customFormat="1"/>
    <row r="15515" s="65" customFormat="1"/>
    <row r="15516" s="65" customFormat="1"/>
    <row r="15517" s="65" customFormat="1"/>
    <row r="15518" s="65" customFormat="1"/>
    <row r="15519" s="65" customFormat="1"/>
    <row r="15520" s="65" customFormat="1"/>
    <row r="15521" s="65" customFormat="1"/>
    <row r="15522" s="65" customFormat="1"/>
    <row r="15523" s="65" customFormat="1"/>
    <row r="15524" s="65" customFormat="1"/>
    <row r="15525" s="65" customFormat="1"/>
    <row r="15526" s="65" customFormat="1"/>
    <row r="15527" s="65" customFormat="1"/>
    <row r="15528" s="65" customFormat="1"/>
    <row r="15529" s="65" customFormat="1"/>
    <row r="15530" s="65" customFormat="1"/>
    <row r="15531" s="65" customFormat="1"/>
    <row r="15532" s="65" customFormat="1"/>
    <row r="15533" s="65" customFormat="1"/>
    <row r="15534" s="65" customFormat="1"/>
    <row r="15535" s="65" customFormat="1"/>
    <row r="15536" s="65" customFormat="1"/>
    <row r="15537" s="65" customFormat="1"/>
    <row r="15538" s="65" customFormat="1"/>
    <row r="15539" s="65" customFormat="1"/>
    <row r="15540" s="65" customFormat="1"/>
    <row r="15541" s="65" customFormat="1"/>
    <row r="15542" s="65" customFormat="1"/>
    <row r="15543" s="65" customFormat="1"/>
    <row r="15544" s="65" customFormat="1"/>
    <row r="15545" s="65" customFormat="1"/>
    <row r="15546" s="65" customFormat="1"/>
    <row r="15547" s="65" customFormat="1"/>
    <row r="15548" s="65" customFormat="1"/>
    <row r="15549" s="65" customFormat="1"/>
    <row r="15550" s="65" customFormat="1"/>
    <row r="15551" s="65" customFormat="1"/>
    <row r="15552" s="65" customFormat="1"/>
    <row r="15553" s="65" customFormat="1"/>
    <row r="15554" s="65" customFormat="1"/>
    <row r="15555" s="65" customFormat="1"/>
    <row r="15556" s="65" customFormat="1"/>
    <row r="15557" s="65" customFormat="1"/>
    <row r="15558" s="65" customFormat="1"/>
    <row r="15559" s="65" customFormat="1"/>
    <row r="15560" s="65" customFormat="1"/>
    <row r="15561" s="65" customFormat="1"/>
    <row r="15562" s="65" customFormat="1"/>
    <row r="15563" s="65" customFormat="1"/>
    <row r="15564" s="65" customFormat="1"/>
    <row r="15565" s="65" customFormat="1"/>
    <row r="15566" s="65" customFormat="1"/>
    <row r="15567" s="65" customFormat="1"/>
    <row r="15568" s="65" customFormat="1"/>
    <row r="15569" s="65" customFormat="1"/>
    <row r="15570" s="65" customFormat="1"/>
    <row r="15571" s="65" customFormat="1"/>
    <row r="15572" s="65" customFormat="1"/>
    <row r="15573" s="65" customFormat="1"/>
    <row r="15574" s="65" customFormat="1"/>
    <row r="15575" s="65" customFormat="1"/>
    <row r="15576" s="65" customFormat="1"/>
    <row r="15577" s="65" customFormat="1"/>
    <row r="15578" s="65" customFormat="1"/>
    <row r="15579" s="65" customFormat="1"/>
    <row r="15580" s="65" customFormat="1"/>
    <row r="15581" s="65" customFormat="1"/>
    <row r="15582" s="65" customFormat="1"/>
    <row r="15583" s="65" customFormat="1"/>
    <row r="15584" s="65" customFormat="1"/>
    <row r="15585" s="65" customFormat="1"/>
    <row r="15586" s="65" customFormat="1"/>
    <row r="15587" s="65" customFormat="1"/>
    <row r="15588" s="65" customFormat="1"/>
    <row r="15589" s="65" customFormat="1"/>
    <row r="15590" s="65" customFormat="1"/>
    <row r="15591" s="65" customFormat="1"/>
    <row r="15592" s="65" customFormat="1"/>
    <row r="15593" s="65" customFormat="1"/>
    <row r="15594" s="65" customFormat="1"/>
    <row r="15595" s="65" customFormat="1"/>
    <row r="15596" s="65" customFormat="1"/>
    <row r="15597" s="65" customFormat="1"/>
    <row r="15598" s="65" customFormat="1"/>
    <row r="15599" s="65" customFormat="1"/>
    <row r="15600" s="65" customFormat="1"/>
    <row r="15601" s="65" customFormat="1"/>
    <row r="15602" s="65" customFormat="1"/>
    <row r="15603" s="65" customFormat="1"/>
    <row r="15604" s="65" customFormat="1"/>
    <row r="15605" s="65" customFormat="1"/>
    <row r="15606" s="65" customFormat="1"/>
    <row r="15607" s="65" customFormat="1"/>
    <row r="15608" s="65" customFormat="1"/>
    <row r="15609" s="65" customFormat="1"/>
    <row r="15610" s="65" customFormat="1"/>
    <row r="15611" s="65" customFormat="1"/>
    <row r="15612" s="65" customFormat="1"/>
    <row r="15613" s="65" customFormat="1"/>
    <row r="15614" s="65" customFormat="1"/>
    <row r="15615" s="65" customFormat="1"/>
    <row r="15616" s="65" customFormat="1"/>
    <row r="15617" s="65" customFormat="1"/>
    <row r="15618" s="65" customFormat="1"/>
    <row r="15619" s="65" customFormat="1"/>
    <row r="15620" s="65" customFormat="1"/>
    <row r="15621" s="65" customFormat="1"/>
    <row r="15622" s="65" customFormat="1"/>
    <row r="15623" s="65" customFormat="1"/>
    <row r="15624" s="65" customFormat="1"/>
    <row r="15625" s="65" customFormat="1"/>
    <row r="15626" s="65" customFormat="1"/>
    <row r="15627" s="65" customFormat="1"/>
    <row r="15628" s="65" customFormat="1"/>
    <row r="15629" s="65" customFormat="1"/>
    <row r="15630" s="65" customFormat="1"/>
    <row r="15631" s="65" customFormat="1"/>
    <row r="15632" s="65" customFormat="1"/>
    <row r="15633" s="65" customFormat="1"/>
    <row r="15634" s="65" customFormat="1"/>
    <row r="15635" s="65" customFormat="1"/>
    <row r="15636" s="65" customFormat="1"/>
    <row r="15637" s="65" customFormat="1"/>
    <row r="15638" s="65" customFormat="1"/>
    <row r="15639" s="65" customFormat="1"/>
    <row r="15640" s="65" customFormat="1"/>
    <row r="15641" s="65" customFormat="1"/>
    <row r="15642" s="65" customFormat="1"/>
    <row r="15643" s="65" customFormat="1"/>
    <row r="15644" s="65" customFormat="1"/>
    <row r="15645" s="65" customFormat="1"/>
    <row r="15646" s="65" customFormat="1"/>
    <row r="15647" s="65" customFormat="1"/>
    <row r="15648" s="65" customFormat="1"/>
    <row r="15649" s="65" customFormat="1"/>
    <row r="15650" s="65" customFormat="1"/>
    <row r="15651" s="65" customFormat="1"/>
    <row r="15652" s="65" customFormat="1"/>
    <row r="15653" s="65" customFormat="1"/>
    <row r="15654" s="65" customFormat="1"/>
    <row r="15655" s="65" customFormat="1"/>
    <row r="15656" s="65" customFormat="1"/>
    <row r="15657" s="65" customFormat="1"/>
    <row r="15658" s="65" customFormat="1"/>
    <row r="15659" s="65" customFormat="1"/>
    <row r="15660" s="65" customFormat="1"/>
    <row r="15661" s="65" customFormat="1"/>
    <row r="15662" s="65" customFormat="1"/>
    <row r="15663" s="65" customFormat="1"/>
    <row r="15664" s="65" customFormat="1"/>
    <row r="15665" s="65" customFormat="1"/>
    <row r="15666" s="65" customFormat="1"/>
    <row r="15667" s="65" customFormat="1"/>
    <row r="15668" s="65" customFormat="1"/>
    <row r="15669" s="65" customFormat="1"/>
    <row r="15670" s="65" customFormat="1"/>
    <row r="15671" s="65" customFormat="1"/>
    <row r="15672" s="65" customFormat="1"/>
    <row r="15673" s="65" customFormat="1"/>
    <row r="15674" s="65" customFormat="1"/>
    <row r="15675" s="65" customFormat="1"/>
    <row r="15676" s="65" customFormat="1"/>
    <row r="15677" s="65" customFormat="1"/>
    <row r="15678" s="65" customFormat="1"/>
    <row r="15679" s="65" customFormat="1"/>
    <row r="15680" s="65" customFormat="1"/>
    <row r="15681" s="65" customFormat="1"/>
    <row r="15682" s="65" customFormat="1"/>
    <row r="15683" s="65" customFormat="1"/>
    <row r="15684" s="65" customFormat="1"/>
    <row r="15685" s="65" customFormat="1"/>
    <row r="15686" s="65" customFormat="1"/>
    <row r="15687" s="65" customFormat="1"/>
    <row r="15688" s="65" customFormat="1"/>
    <row r="15689" s="65" customFormat="1"/>
    <row r="15690" s="65" customFormat="1"/>
    <row r="15691" s="65" customFormat="1"/>
    <row r="15692" s="65" customFormat="1"/>
    <row r="15693" s="65" customFormat="1"/>
    <row r="15694" s="65" customFormat="1"/>
    <row r="15695" s="65" customFormat="1"/>
    <row r="15696" s="65" customFormat="1"/>
    <row r="15697" s="65" customFormat="1"/>
    <row r="15698" s="65" customFormat="1"/>
    <row r="15699" s="65" customFormat="1"/>
    <row r="15700" s="65" customFormat="1"/>
    <row r="15701" s="65" customFormat="1"/>
    <row r="15702" s="65" customFormat="1"/>
    <row r="15703" s="65" customFormat="1"/>
    <row r="15704" s="65" customFormat="1"/>
    <row r="15705" s="65" customFormat="1"/>
    <row r="15706" s="65" customFormat="1"/>
    <row r="15707" s="65" customFormat="1"/>
    <row r="15708" s="65" customFormat="1"/>
    <row r="15709" s="65" customFormat="1"/>
    <row r="15710" s="65" customFormat="1"/>
    <row r="15711" s="65" customFormat="1"/>
    <row r="15712" s="65" customFormat="1"/>
    <row r="15713" s="65" customFormat="1"/>
    <row r="15714" s="65" customFormat="1"/>
    <row r="15715" s="65" customFormat="1"/>
    <row r="15716" s="65" customFormat="1"/>
    <row r="15717" s="65" customFormat="1"/>
    <row r="15718" s="65" customFormat="1"/>
    <row r="15719" s="65" customFormat="1"/>
    <row r="15720" s="65" customFormat="1"/>
    <row r="15721" s="65" customFormat="1"/>
    <row r="15722" s="65" customFormat="1"/>
    <row r="15723" s="65" customFormat="1"/>
    <row r="15724" s="65" customFormat="1"/>
    <row r="15725" s="65" customFormat="1"/>
    <row r="15726" s="65" customFormat="1"/>
    <row r="15727" s="65" customFormat="1"/>
    <row r="15728" s="65" customFormat="1"/>
    <row r="15729" s="65" customFormat="1"/>
    <row r="15730" s="65" customFormat="1"/>
    <row r="15731" s="65" customFormat="1"/>
    <row r="15732" s="65" customFormat="1"/>
    <row r="15733" s="65" customFormat="1"/>
    <row r="15734" s="65" customFormat="1"/>
    <row r="15735" s="65" customFormat="1"/>
    <row r="15736" s="65" customFormat="1"/>
    <row r="15737" s="65" customFormat="1"/>
    <row r="15738" s="65" customFormat="1"/>
    <row r="15739" s="65" customFormat="1"/>
    <row r="15740" s="65" customFormat="1"/>
    <row r="15741" s="65" customFormat="1"/>
    <row r="15742" s="65" customFormat="1"/>
    <row r="15743" s="65" customFormat="1"/>
    <row r="15744" s="65" customFormat="1"/>
    <row r="15745" s="65" customFormat="1"/>
    <row r="15746" s="65" customFormat="1"/>
    <row r="15747" s="65" customFormat="1"/>
    <row r="15748" s="65" customFormat="1"/>
    <row r="15749" s="65" customFormat="1"/>
    <row r="15750" s="65" customFormat="1"/>
    <row r="15751" s="65" customFormat="1"/>
    <row r="15752" s="65" customFormat="1"/>
    <row r="15753" s="65" customFormat="1"/>
    <row r="15754" s="65" customFormat="1"/>
    <row r="15755" s="65" customFormat="1"/>
    <row r="15756" s="65" customFormat="1"/>
    <row r="15757" s="65" customFormat="1"/>
    <row r="15758" s="65" customFormat="1"/>
    <row r="15759" s="65" customFormat="1"/>
    <row r="15760" s="65" customFormat="1"/>
    <row r="15761" s="65" customFormat="1"/>
    <row r="15762" s="65" customFormat="1"/>
    <row r="15763" s="65" customFormat="1"/>
    <row r="15764" s="65" customFormat="1"/>
    <row r="15765" s="65" customFormat="1"/>
    <row r="15766" s="65" customFormat="1"/>
    <row r="15767" s="65" customFormat="1"/>
    <row r="15768" s="65" customFormat="1"/>
    <row r="15769" s="65" customFormat="1"/>
    <row r="15770" s="65" customFormat="1"/>
    <row r="15771" s="65" customFormat="1"/>
    <row r="15772" s="65" customFormat="1"/>
    <row r="15773" s="65" customFormat="1"/>
    <row r="15774" s="65" customFormat="1"/>
    <row r="15775" s="65" customFormat="1"/>
    <row r="15776" s="65" customFormat="1"/>
    <row r="15777" s="65" customFormat="1"/>
    <row r="15778" s="65" customFormat="1"/>
    <row r="15779" s="65" customFormat="1"/>
    <row r="15780" s="65" customFormat="1"/>
    <row r="15781" s="65" customFormat="1"/>
    <row r="15782" s="65" customFormat="1"/>
    <row r="15783" s="65" customFormat="1"/>
    <row r="15784" s="65" customFormat="1"/>
    <row r="15785" s="65" customFormat="1"/>
    <row r="15786" s="65" customFormat="1"/>
    <row r="15787" s="65" customFormat="1"/>
    <row r="15788" s="65" customFormat="1"/>
    <row r="15789" s="65" customFormat="1"/>
    <row r="15790" s="65" customFormat="1"/>
    <row r="15791" s="65" customFormat="1"/>
    <row r="15792" s="65" customFormat="1"/>
    <row r="15793" s="65" customFormat="1"/>
    <row r="15794" s="65" customFormat="1"/>
    <row r="15795" s="65" customFormat="1"/>
    <row r="15796" s="65" customFormat="1"/>
    <row r="15797" s="65" customFormat="1"/>
    <row r="15798" s="65" customFormat="1"/>
    <row r="15799" s="65" customFormat="1"/>
    <row r="15800" s="65" customFormat="1"/>
    <row r="15801" s="65" customFormat="1"/>
    <row r="15802" s="65" customFormat="1"/>
    <row r="15803" s="65" customFormat="1"/>
    <row r="15804" s="65" customFormat="1"/>
    <row r="15805" s="65" customFormat="1"/>
    <row r="15806" s="65" customFormat="1"/>
    <row r="15807" s="65" customFormat="1"/>
    <row r="15808" s="65" customFormat="1"/>
    <row r="15809" s="65" customFormat="1"/>
    <row r="15810" s="65" customFormat="1"/>
    <row r="15811" s="65" customFormat="1"/>
    <row r="15812" s="65" customFormat="1"/>
    <row r="15813" s="65" customFormat="1"/>
    <row r="15814" s="65" customFormat="1"/>
    <row r="15815" s="65" customFormat="1"/>
    <row r="15816" s="65" customFormat="1"/>
    <row r="15817" s="65" customFormat="1"/>
    <row r="15818" s="65" customFormat="1"/>
    <row r="15819" s="65" customFormat="1"/>
    <row r="15820" s="65" customFormat="1"/>
    <row r="15821" s="65" customFormat="1"/>
    <row r="15822" s="65" customFormat="1"/>
    <row r="15823" s="65" customFormat="1"/>
    <row r="15824" s="65" customFormat="1"/>
    <row r="15825" s="65" customFormat="1"/>
    <row r="15826" s="65" customFormat="1"/>
    <row r="15827" s="65" customFormat="1"/>
    <row r="15828" s="65" customFormat="1"/>
    <row r="15829" s="65" customFormat="1"/>
    <row r="15830" s="65" customFormat="1"/>
    <row r="15831" s="65" customFormat="1"/>
    <row r="15832" s="65" customFormat="1"/>
    <row r="15833" s="65" customFormat="1"/>
    <row r="15834" s="65" customFormat="1"/>
    <row r="15835" s="65" customFormat="1"/>
    <row r="15836" s="65" customFormat="1"/>
    <row r="15837" s="65" customFormat="1"/>
    <row r="15838" s="65" customFormat="1"/>
    <row r="15839" s="65" customFormat="1"/>
    <row r="15840" s="65" customFormat="1"/>
    <row r="15841" s="65" customFormat="1"/>
    <row r="15842" s="65" customFormat="1"/>
    <row r="15843" s="65" customFormat="1"/>
    <row r="15844" s="65" customFormat="1"/>
    <row r="15845" s="65" customFormat="1"/>
    <row r="15846" s="65" customFormat="1"/>
    <row r="15847" s="65" customFormat="1"/>
    <row r="15848" s="65" customFormat="1"/>
    <row r="15849" s="65" customFormat="1"/>
    <row r="15850" s="65" customFormat="1"/>
    <row r="15851" s="65" customFormat="1"/>
    <row r="15852" s="65" customFormat="1"/>
    <row r="15853" s="65" customFormat="1"/>
    <row r="15854" s="65" customFormat="1"/>
    <row r="15855" s="65" customFormat="1"/>
    <row r="15856" s="65" customFormat="1"/>
    <row r="15857" s="65" customFormat="1"/>
    <row r="15858" s="65" customFormat="1"/>
    <row r="15859" s="65" customFormat="1"/>
    <row r="15860" s="65" customFormat="1"/>
    <row r="15861" s="65" customFormat="1"/>
    <row r="15862" s="65" customFormat="1"/>
    <row r="15863" s="65" customFormat="1"/>
    <row r="15864" s="65" customFormat="1"/>
    <row r="15865" s="65" customFormat="1"/>
    <row r="15866" s="65" customFormat="1"/>
    <row r="15867" s="65" customFormat="1"/>
    <row r="15868" s="65" customFormat="1"/>
    <row r="15869" s="65" customFormat="1"/>
    <row r="15870" s="65" customFormat="1"/>
    <row r="15871" s="65" customFormat="1"/>
    <row r="15872" s="65" customFormat="1"/>
    <row r="15873" s="65" customFormat="1"/>
    <row r="15874" s="65" customFormat="1"/>
    <row r="15875" s="65" customFormat="1"/>
    <row r="15876" s="65" customFormat="1"/>
    <row r="15877" s="65" customFormat="1"/>
    <row r="15878" s="65" customFormat="1"/>
    <row r="15879" s="65" customFormat="1"/>
    <row r="15880" s="65" customFormat="1"/>
    <row r="15881" s="65" customFormat="1"/>
    <row r="15882" s="65" customFormat="1"/>
    <row r="15883" s="65" customFormat="1"/>
    <row r="15884" s="65" customFormat="1"/>
    <row r="15885" s="65" customFormat="1"/>
    <row r="15886" s="65" customFormat="1"/>
    <row r="15887" s="65" customFormat="1"/>
    <row r="15888" s="65" customFormat="1"/>
    <row r="15889" s="65" customFormat="1"/>
    <row r="15890" s="65" customFormat="1"/>
    <row r="15891" s="65" customFormat="1"/>
    <row r="15892" s="65" customFormat="1"/>
    <row r="15893" s="65" customFormat="1"/>
    <row r="15894" s="65" customFormat="1"/>
    <row r="15895" s="65" customFormat="1"/>
    <row r="15896" s="65" customFormat="1"/>
    <row r="15897" s="65" customFormat="1"/>
    <row r="15898" s="65" customFormat="1"/>
    <row r="15899" s="65" customFormat="1"/>
    <row r="15900" s="65" customFormat="1"/>
    <row r="15901" s="65" customFormat="1"/>
    <row r="15902" s="65" customFormat="1"/>
    <row r="15903" s="65" customFormat="1"/>
    <row r="15904" s="65" customFormat="1"/>
    <row r="15905" s="65" customFormat="1"/>
    <row r="15906" s="65" customFormat="1"/>
    <row r="15907" s="65" customFormat="1"/>
    <row r="15908" s="65" customFormat="1"/>
    <row r="15909" s="65" customFormat="1"/>
    <row r="15910" s="65" customFormat="1"/>
    <row r="15911" s="65" customFormat="1"/>
    <row r="15912" s="65" customFormat="1"/>
    <row r="15913" s="65" customFormat="1"/>
    <row r="15914" s="65" customFormat="1"/>
    <row r="15915" s="65" customFormat="1"/>
    <row r="15916" s="65" customFormat="1"/>
    <row r="15917" s="65" customFormat="1"/>
    <row r="15918" s="65" customFormat="1"/>
    <row r="15919" s="65" customFormat="1"/>
    <row r="15920" s="65" customFormat="1"/>
    <row r="15921" s="65" customFormat="1"/>
    <row r="15922" s="65" customFormat="1"/>
    <row r="15923" s="65" customFormat="1"/>
    <row r="15924" s="65" customFormat="1"/>
    <row r="15925" s="65" customFormat="1"/>
    <row r="15926" s="65" customFormat="1"/>
    <row r="15927" s="65" customFormat="1"/>
    <row r="15928" s="65" customFormat="1"/>
    <row r="15929" s="65" customFormat="1"/>
    <row r="15930" s="65" customFormat="1"/>
    <row r="15931" s="65" customFormat="1"/>
    <row r="15932" s="65" customFormat="1"/>
    <row r="15933" s="65" customFormat="1"/>
    <row r="15934" s="65" customFormat="1"/>
    <row r="15935" s="65" customFormat="1"/>
    <row r="15936" s="65" customFormat="1"/>
    <row r="15937" s="65" customFormat="1"/>
    <row r="15938" s="65" customFormat="1"/>
    <row r="15939" s="65" customFormat="1"/>
    <row r="15940" s="65" customFormat="1"/>
    <row r="15941" s="65" customFormat="1"/>
    <row r="15942" s="65" customFormat="1"/>
    <row r="15943" s="65" customFormat="1"/>
    <row r="15944" s="65" customFormat="1"/>
    <row r="15945" s="65" customFormat="1"/>
    <row r="15946" s="65" customFormat="1"/>
    <row r="15947" s="65" customFormat="1"/>
    <row r="15948" s="65" customFormat="1"/>
    <row r="15949" s="65" customFormat="1"/>
    <row r="15950" s="65" customFormat="1"/>
    <row r="15951" s="65" customFormat="1"/>
    <row r="15952" s="65" customFormat="1"/>
    <row r="15953" s="65" customFormat="1"/>
    <row r="15954" s="65" customFormat="1"/>
    <row r="15955" s="65" customFormat="1"/>
    <row r="15956" s="65" customFormat="1"/>
    <row r="15957" s="65" customFormat="1"/>
    <row r="15958" s="65" customFormat="1"/>
    <row r="15959" s="65" customFormat="1"/>
    <row r="15960" s="65" customFormat="1"/>
    <row r="15961" s="65" customFormat="1"/>
    <row r="15962" s="65" customFormat="1"/>
    <row r="15963" s="65" customFormat="1"/>
    <row r="15964" s="65" customFormat="1"/>
    <row r="15965" s="65" customFormat="1"/>
    <row r="15966" s="65" customFormat="1"/>
    <row r="15967" s="65" customFormat="1"/>
    <row r="15968" s="65" customFormat="1"/>
    <row r="15969" s="65" customFormat="1"/>
    <row r="15970" s="65" customFormat="1"/>
    <row r="15971" s="65" customFormat="1"/>
    <row r="15972" s="65" customFormat="1"/>
    <row r="15973" s="65" customFormat="1"/>
    <row r="15974" s="65" customFormat="1"/>
    <row r="15975" s="65" customFormat="1"/>
    <row r="15976" s="65" customFormat="1"/>
    <row r="15977" s="65" customFormat="1"/>
    <row r="15978" s="65" customFormat="1"/>
    <row r="15979" s="65" customFormat="1"/>
    <row r="15980" s="65" customFormat="1"/>
    <row r="15981" s="65" customFormat="1"/>
    <row r="15982" s="65" customFormat="1"/>
    <row r="15983" s="65" customFormat="1"/>
    <row r="15984" s="65" customFormat="1"/>
    <row r="15985" s="65" customFormat="1"/>
    <row r="15986" s="65" customFormat="1"/>
    <row r="15987" s="65" customFormat="1"/>
    <row r="15988" s="65" customFormat="1"/>
    <row r="15989" s="65" customFormat="1"/>
    <row r="15990" s="65" customFormat="1"/>
    <row r="15991" s="65" customFormat="1"/>
    <row r="15992" s="65" customFormat="1"/>
    <row r="15993" s="65" customFormat="1"/>
    <row r="15994" s="65" customFormat="1"/>
    <row r="15995" s="65" customFormat="1"/>
    <row r="15996" s="65" customFormat="1"/>
    <row r="15997" s="65" customFormat="1"/>
    <row r="15998" s="65" customFormat="1"/>
    <row r="15999" s="65" customFormat="1"/>
    <row r="16000" s="65" customFormat="1"/>
    <row r="16001" s="65" customFormat="1"/>
    <row r="16002" s="65" customFormat="1"/>
    <row r="16003" s="65" customFormat="1"/>
    <row r="16004" s="65" customFormat="1"/>
    <row r="16005" s="65" customFormat="1"/>
    <row r="16006" s="65" customFormat="1"/>
    <row r="16007" s="65" customFormat="1"/>
    <row r="16008" s="65" customFormat="1"/>
    <row r="16009" s="65" customFormat="1"/>
    <row r="16010" s="65" customFormat="1"/>
    <row r="16011" s="65" customFormat="1"/>
    <row r="16012" s="65" customFormat="1"/>
    <row r="16013" s="65" customFormat="1"/>
    <row r="16014" s="65" customFormat="1"/>
    <row r="16015" s="65" customFormat="1"/>
    <row r="16016" s="65" customFormat="1"/>
    <row r="16017" s="65" customFormat="1"/>
    <row r="16018" s="65" customFormat="1"/>
    <row r="16019" s="65" customFormat="1"/>
    <row r="16020" s="65" customFormat="1"/>
    <row r="16021" s="65" customFormat="1"/>
    <row r="16022" s="65" customFormat="1"/>
    <row r="16023" s="65" customFormat="1"/>
    <row r="16024" s="65" customFormat="1"/>
    <row r="16025" s="65" customFormat="1"/>
    <row r="16026" s="65" customFormat="1"/>
    <row r="16027" s="65" customFormat="1"/>
    <row r="16028" s="65" customFormat="1"/>
    <row r="16029" s="65" customFormat="1"/>
    <row r="16030" s="65" customFormat="1"/>
    <row r="16031" s="65" customFormat="1"/>
    <row r="16032" s="65" customFormat="1"/>
    <row r="16033" s="65" customFormat="1"/>
    <row r="16034" s="65" customFormat="1"/>
    <row r="16035" s="65" customFormat="1"/>
    <row r="16036" s="65" customFormat="1"/>
    <row r="16037" s="65" customFormat="1"/>
    <row r="16038" s="65" customFormat="1"/>
    <row r="16039" s="65" customFormat="1"/>
    <row r="16040" s="65" customFormat="1"/>
    <row r="16041" s="65" customFormat="1"/>
    <row r="16042" s="65" customFormat="1"/>
    <row r="16043" s="65" customFormat="1"/>
    <row r="16044" s="65" customFormat="1"/>
    <row r="16045" s="65" customFormat="1"/>
    <row r="16046" s="65" customFormat="1"/>
    <row r="16047" s="65" customFormat="1"/>
    <row r="16048" s="65" customFormat="1"/>
    <row r="16049" s="65" customFormat="1"/>
    <row r="16050" s="65" customFormat="1"/>
    <row r="16051" s="65" customFormat="1"/>
    <row r="16052" s="65" customFormat="1"/>
    <row r="16053" s="65" customFormat="1"/>
    <row r="16054" s="65" customFormat="1"/>
    <row r="16055" s="65" customFormat="1"/>
    <row r="16056" s="65" customFormat="1"/>
    <row r="16057" s="65" customFormat="1"/>
    <row r="16058" s="65" customFormat="1"/>
    <row r="16059" s="65" customFormat="1"/>
    <row r="16060" s="65" customFormat="1"/>
    <row r="16061" s="65" customFormat="1"/>
    <row r="16062" s="65" customFormat="1"/>
    <row r="16063" s="65" customFormat="1"/>
    <row r="16064" s="65" customFormat="1"/>
    <row r="16065" s="65" customFormat="1"/>
    <row r="16066" s="65" customFormat="1"/>
    <row r="16067" s="65" customFormat="1"/>
    <row r="16068" s="65" customFormat="1"/>
    <row r="16069" s="65" customFormat="1"/>
    <row r="16070" s="65" customFormat="1"/>
    <row r="16071" s="65" customFormat="1"/>
    <row r="16072" s="65" customFormat="1"/>
    <row r="16073" s="65" customFormat="1"/>
    <row r="16074" s="65" customFormat="1"/>
    <row r="16075" s="65" customFormat="1"/>
    <row r="16076" s="65" customFormat="1"/>
    <row r="16077" s="65" customFormat="1"/>
    <row r="16078" s="65" customFormat="1"/>
    <row r="16079" s="65" customFormat="1"/>
    <row r="16080" s="65" customFormat="1"/>
    <row r="16081" s="65" customFormat="1"/>
    <row r="16082" s="65" customFormat="1"/>
    <row r="16083" s="65" customFormat="1"/>
    <row r="16084" s="65" customFormat="1"/>
    <row r="16085" s="65" customFormat="1"/>
    <row r="16086" s="65" customFormat="1"/>
    <row r="16087" s="65" customFormat="1"/>
    <row r="16088" s="65" customFormat="1"/>
    <row r="16089" s="65" customFormat="1"/>
    <row r="16090" s="65" customFormat="1"/>
    <row r="16091" s="65" customFormat="1"/>
    <row r="16092" s="65" customFormat="1"/>
    <row r="16093" s="65" customFormat="1"/>
    <row r="16094" s="65" customFormat="1"/>
    <row r="16095" s="65" customFormat="1"/>
    <row r="16096" s="65" customFormat="1"/>
    <row r="16097" s="65" customFormat="1"/>
    <row r="16098" s="65" customFormat="1"/>
    <row r="16099" s="65" customFormat="1"/>
    <row r="16100" s="65" customFormat="1"/>
    <row r="16101" s="65" customFormat="1"/>
    <row r="16102" s="65" customFormat="1"/>
    <row r="16103" s="65" customFormat="1"/>
    <row r="16104" s="65" customFormat="1"/>
    <row r="16105" s="65" customFormat="1"/>
    <row r="16106" s="65" customFormat="1"/>
    <row r="16107" s="65" customFormat="1"/>
    <row r="16108" s="65" customFormat="1"/>
    <row r="16109" s="65" customFormat="1"/>
    <row r="16110" s="65" customFormat="1"/>
    <row r="16111" s="65" customFormat="1"/>
    <row r="16112" s="65" customFormat="1"/>
    <row r="16113" s="65" customFormat="1"/>
    <row r="16114" s="65" customFormat="1"/>
    <row r="16115" s="65" customFormat="1"/>
    <row r="16116" s="65" customFormat="1"/>
    <row r="16117" s="65" customFormat="1"/>
    <row r="16118" s="65" customFormat="1"/>
    <row r="16119" s="65" customFormat="1"/>
    <row r="16120" s="65" customFormat="1"/>
    <row r="16121" s="65" customFormat="1"/>
    <row r="16122" s="65" customFormat="1"/>
    <row r="16123" s="65" customFormat="1"/>
    <row r="16124" s="65" customFormat="1"/>
    <row r="16125" s="65" customFormat="1"/>
    <row r="16126" s="65" customFormat="1"/>
    <row r="16127" s="65" customFormat="1"/>
    <row r="16128" s="65" customFormat="1"/>
    <row r="16129" s="65" customFormat="1"/>
    <row r="16130" s="65" customFormat="1"/>
    <row r="16131" s="65" customFormat="1"/>
    <row r="16132" s="65" customFormat="1"/>
    <row r="16133" s="65" customFormat="1"/>
    <row r="16134" s="65" customFormat="1"/>
    <row r="16135" s="65" customFormat="1"/>
    <row r="16136" s="65" customFormat="1"/>
    <row r="16137" s="65" customFormat="1"/>
    <row r="16138" s="65" customFormat="1"/>
    <row r="16139" s="65" customFormat="1"/>
    <row r="16140" s="65" customFormat="1"/>
    <row r="16141" s="65" customFormat="1"/>
    <row r="16142" s="65" customFormat="1"/>
    <row r="16143" s="65" customFormat="1"/>
    <row r="16144" s="65" customFormat="1"/>
    <row r="16145" s="65" customFormat="1"/>
    <row r="16146" s="65" customFormat="1"/>
    <row r="16147" s="65" customFormat="1"/>
    <row r="16148" s="65" customFormat="1"/>
    <row r="16149" s="65" customFormat="1"/>
    <row r="16150" s="65" customFormat="1"/>
    <row r="16151" s="65" customFormat="1"/>
    <row r="16152" s="65" customFormat="1"/>
    <row r="16153" s="65" customFormat="1"/>
    <row r="16154" s="65" customFormat="1"/>
    <row r="16155" s="65" customFormat="1"/>
    <row r="16156" s="65" customFormat="1"/>
    <row r="16157" s="65" customFormat="1"/>
    <row r="16158" s="65" customFormat="1"/>
    <row r="16159" s="65" customFormat="1"/>
    <row r="16160" s="65" customFormat="1"/>
    <row r="16161" s="65" customFormat="1"/>
    <row r="16162" s="65" customFormat="1"/>
    <row r="16163" s="65" customFormat="1"/>
    <row r="16164" s="65" customFormat="1"/>
    <row r="16165" s="65" customFormat="1"/>
    <row r="16166" s="65" customFormat="1"/>
    <row r="16167" s="65" customFormat="1"/>
    <row r="16168" s="65" customFormat="1"/>
    <row r="16169" s="65" customFormat="1"/>
    <row r="16170" s="65" customFormat="1"/>
    <row r="16171" s="65" customFormat="1"/>
    <row r="16172" s="65" customFormat="1"/>
    <row r="16173" s="65" customFormat="1"/>
    <row r="16174" s="65" customFormat="1"/>
    <row r="16175" s="65" customFormat="1"/>
    <row r="16176" s="65" customFormat="1"/>
    <row r="16177" s="65" customFormat="1"/>
    <row r="16178" s="65" customFormat="1"/>
    <row r="16179" s="65" customFormat="1"/>
    <row r="16180" s="65" customFormat="1"/>
    <row r="16181" s="65" customFormat="1"/>
    <row r="16182" s="65" customFormat="1"/>
    <row r="16183" s="65" customFormat="1"/>
    <row r="16184" s="65" customFormat="1"/>
    <row r="16185" s="65" customFormat="1"/>
    <row r="16186" s="65" customFormat="1"/>
    <row r="16187" s="65" customFormat="1"/>
    <row r="16188" s="65" customFormat="1"/>
    <row r="16189" s="65" customFormat="1"/>
    <row r="16190" s="65" customFormat="1"/>
    <row r="16191" s="65" customFormat="1"/>
    <row r="16192" s="65" customFormat="1"/>
    <row r="16193" s="65" customFormat="1"/>
    <row r="16194" s="65" customFormat="1"/>
    <row r="16195" s="65" customFormat="1"/>
    <row r="16196" s="65" customFormat="1"/>
    <row r="16197" s="65" customFormat="1"/>
    <row r="16198" s="65" customFormat="1"/>
    <row r="16199" s="65" customFormat="1"/>
    <row r="16200" s="65" customFormat="1"/>
    <row r="16201" s="65" customFormat="1"/>
    <row r="16202" s="65" customFormat="1"/>
    <row r="16203" s="65" customFormat="1"/>
    <row r="16204" s="65" customFormat="1"/>
    <row r="16205" s="65" customFormat="1"/>
    <row r="16206" s="65" customFormat="1"/>
    <row r="16207" s="65" customFormat="1"/>
    <row r="16208" s="65" customFormat="1"/>
    <row r="16209" s="65" customFormat="1"/>
    <row r="16210" s="65" customFormat="1"/>
    <row r="16211" s="65" customFormat="1"/>
    <row r="16212" s="65" customFormat="1"/>
    <row r="16213" s="65" customFormat="1"/>
    <row r="16214" s="65" customFormat="1"/>
    <row r="16215" s="65" customFormat="1"/>
    <row r="16216" s="65" customFormat="1"/>
    <row r="16217" s="65" customFormat="1"/>
    <row r="16218" s="65" customFormat="1"/>
    <row r="16219" s="65" customFormat="1"/>
    <row r="16220" s="65" customFormat="1"/>
    <row r="16221" s="65" customFormat="1"/>
    <row r="16222" s="65" customFormat="1"/>
    <row r="16223" s="65" customFormat="1"/>
    <row r="16224" s="65" customFormat="1"/>
    <row r="16225" s="65" customFormat="1"/>
    <row r="16226" s="65" customFormat="1"/>
    <row r="16227" s="65" customFormat="1"/>
    <row r="16228" s="65" customFormat="1"/>
    <row r="16229" s="65" customFormat="1"/>
    <row r="16230" s="65" customFormat="1"/>
    <row r="16231" s="65" customFormat="1"/>
    <row r="16232" s="65" customFormat="1"/>
    <row r="16233" s="65" customFormat="1"/>
    <row r="16234" s="65" customFormat="1"/>
    <row r="16235" s="65" customFormat="1"/>
    <row r="16236" s="65" customFormat="1"/>
    <row r="16237" s="65" customFormat="1"/>
    <row r="16238" s="65" customFormat="1"/>
    <row r="16239" s="65" customFormat="1"/>
    <row r="16240" s="65" customFormat="1"/>
    <row r="16241" s="65" customFormat="1"/>
    <row r="16242" s="65" customFormat="1"/>
    <row r="16243" s="65" customFormat="1"/>
    <row r="16244" s="65" customFormat="1"/>
    <row r="16245" s="65" customFormat="1"/>
    <row r="16246" s="65" customFormat="1"/>
    <row r="16247" s="65" customFormat="1"/>
    <row r="16248" s="65" customFormat="1"/>
    <row r="16249" s="65" customFormat="1"/>
    <row r="16250" s="65" customFormat="1"/>
    <row r="16251" s="65" customFormat="1"/>
    <row r="16252" s="65" customFormat="1"/>
    <row r="16253" s="65" customFormat="1"/>
    <row r="16254" s="65" customFormat="1"/>
    <row r="16255" s="65" customFormat="1"/>
    <row r="16256" s="65" customFormat="1"/>
    <row r="16257" s="65" customFormat="1"/>
    <row r="16258" s="65" customFormat="1"/>
    <row r="16259" s="65" customFormat="1"/>
    <row r="16260" s="65" customFormat="1"/>
    <row r="16261" s="65" customFormat="1"/>
    <row r="16262" s="65" customFormat="1"/>
    <row r="16263" s="65" customFormat="1"/>
    <row r="16264" s="65" customFormat="1"/>
    <row r="16265" s="65" customFormat="1"/>
    <row r="16266" s="65" customFormat="1"/>
    <row r="16267" s="65" customFormat="1"/>
    <row r="16268" s="65" customFormat="1"/>
    <row r="16269" s="65" customFormat="1"/>
    <row r="16270" s="65" customFormat="1"/>
    <row r="16271" s="65" customFormat="1"/>
    <row r="16272" s="65" customFormat="1"/>
    <row r="16273" s="65" customFormat="1"/>
    <row r="16274" s="65" customFormat="1"/>
    <row r="16275" s="65" customFormat="1"/>
    <row r="16276" s="65" customFormat="1"/>
    <row r="16277" s="65" customFormat="1"/>
    <row r="16278" s="65" customFormat="1"/>
    <row r="16279" s="65" customFormat="1"/>
    <row r="16280" s="65" customFormat="1"/>
    <row r="16281" s="65" customFormat="1"/>
    <row r="16282" s="65" customFormat="1"/>
    <row r="16283" s="65" customFormat="1"/>
    <row r="16284" s="65" customFormat="1"/>
    <row r="16285" s="65" customFormat="1"/>
    <row r="16286" s="65" customFormat="1"/>
    <row r="16287" s="65" customFormat="1"/>
    <row r="16288" s="65" customFormat="1"/>
    <row r="16289" s="65" customFormat="1"/>
    <row r="16290" s="65" customFormat="1"/>
    <row r="16291" s="65" customFormat="1"/>
    <row r="16292" s="65" customFormat="1"/>
    <row r="16293" s="65" customFormat="1"/>
    <row r="16294" s="65" customFormat="1"/>
    <row r="16295" s="65" customFormat="1"/>
    <row r="16296" s="65" customFormat="1"/>
    <row r="16297" s="65" customFormat="1"/>
    <row r="16298" s="65" customFormat="1"/>
    <row r="16299" s="65" customFormat="1"/>
    <row r="16300" s="65" customFormat="1"/>
    <row r="16301" s="65" customFormat="1"/>
    <row r="16302" s="65" customFormat="1"/>
    <row r="16303" s="65" customFormat="1"/>
    <row r="16304" s="65" customFormat="1"/>
    <row r="16305" s="65" customFormat="1"/>
    <row r="16306" s="65" customFormat="1"/>
    <row r="16307" s="65" customFormat="1"/>
    <row r="16308" s="65" customFormat="1"/>
    <row r="16309" s="65" customFormat="1"/>
    <row r="16310" s="65" customFormat="1"/>
    <row r="16311" s="65" customFormat="1"/>
    <row r="16312" s="65" customFormat="1"/>
    <row r="16313" s="65" customFormat="1"/>
    <row r="16314" s="65" customFormat="1"/>
    <row r="16315" s="65" customFormat="1"/>
    <row r="16316" s="65" customFormat="1"/>
    <row r="16317" s="65" customFormat="1"/>
    <row r="16318" s="65" customFormat="1"/>
    <row r="16319" s="65" customFormat="1"/>
    <row r="16320" s="65" customFormat="1"/>
    <row r="16321" s="65" customFormat="1"/>
    <row r="16322" s="65" customFormat="1"/>
    <row r="16323" s="65" customFormat="1"/>
    <row r="16324" s="65" customFormat="1"/>
    <row r="16325" s="65" customFormat="1"/>
    <row r="16326" s="65" customFormat="1"/>
    <row r="16327" s="65" customFormat="1"/>
    <row r="16328" s="65" customFormat="1"/>
    <row r="16329" s="65" customFormat="1"/>
    <row r="16330" s="65" customFormat="1"/>
    <row r="16331" s="65" customFormat="1"/>
    <row r="16332" s="65" customFormat="1"/>
    <row r="16333" s="65" customFormat="1"/>
    <row r="16334" s="65" customFormat="1"/>
    <row r="16335" s="65" customFormat="1"/>
    <row r="16336" s="65" customFormat="1"/>
    <row r="16337" s="65" customFormat="1"/>
    <row r="16338" s="65" customFormat="1"/>
    <row r="16339" s="65" customFormat="1"/>
    <row r="16340" s="65" customFormat="1"/>
    <row r="16341" s="65" customFormat="1"/>
    <row r="16342" s="65" customFormat="1"/>
    <row r="16343" s="65" customFormat="1"/>
    <row r="16344" s="65" customFormat="1"/>
    <row r="16345" s="65" customFormat="1"/>
    <row r="16346" s="65" customFormat="1"/>
    <row r="16347" s="65" customFormat="1"/>
    <row r="16348" s="65" customFormat="1"/>
    <row r="16349" s="65" customFormat="1"/>
    <row r="16350" s="65" customFormat="1"/>
    <row r="16351" s="65" customFormat="1"/>
    <row r="16352" s="65" customFormat="1"/>
    <row r="16353" s="65" customFormat="1"/>
    <row r="16354" s="65" customFormat="1"/>
    <row r="16355" s="65" customFormat="1"/>
    <row r="16356" s="65" customFormat="1"/>
    <row r="16357" s="65" customFormat="1"/>
    <row r="16358" s="65" customFormat="1"/>
    <row r="16359" s="65" customFormat="1"/>
    <row r="16360" s="65" customFormat="1"/>
    <row r="16361" s="65" customFormat="1"/>
    <row r="16362" s="65" customFormat="1"/>
    <row r="16363" s="65" customFormat="1"/>
    <row r="16364" s="65" customFormat="1"/>
    <row r="16365" s="65" customFormat="1"/>
    <row r="16366" s="65" customFormat="1"/>
    <row r="16367" s="65" customFormat="1"/>
    <row r="16368" s="65" customFormat="1"/>
    <row r="16369" s="65" customFormat="1"/>
    <row r="16370" s="65" customFormat="1"/>
    <row r="16371" s="65" customFormat="1"/>
    <row r="16372" s="65" customFormat="1"/>
    <row r="16373" s="65" customFormat="1"/>
    <row r="16374" s="65" customFormat="1"/>
    <row r="16375" s="65" customFormat="1"/>
    <row r="16376" s="65" customFormat="1"/>
    <row r="16377" s="65" customFormat="1"/>
    <row r="16378" s="65" customFormat="1"/>
    <row r="16379" s="65" customFormat="1"/>
    <row r="16380" s="65" customFormat="1"/>
    <row r="16381" s="65" customFormat="1"/>
    <row r="16382" s="65" customFormat="1"/>
    <row r="16383" s="65" customFormat="1"/>
    <row r="16384" s="65" customFormat="1"/>
    <row r="16385" s="65" customFormat="1"/>
    <row r="16386" s="65" customFormat="1"/>
    <row r="16387" s="65" customFormat="1"/>
    <row r="16388" s="65" customFormat="1"/>
    <row r="16389" s="65" customFormat="1"/>
    <row r="16390" s="65" customFormat="1"/>
    <row r="16391" s="65" customFormat="1"/>
    <row r="16392" s="65" customFormat="1"/>
    <row r="16393" s="65" customFormat="1"/>
    <row r="16394" s="65" customFormat="1"/>
    <row r="16395" s="65" customFormat="1"/>
    <row r="16396" s="65" customFormat="1"/>
    <row r="16397" s="65" customFormat="1"/>
    <row r="16398" s="65" customFormat="1"/>
    <row r="16399" s="65" customFormat="1"/>
    <row r="16400" s="65" customFormat="1"/>
    <row r="16401" s="65" customFormat="1"/>
    <row r="16402" s="65" customFormat="1"/>
    <row r="16403" s="65" customFormat="1"/>
    <row r="16404" s="65" customFormat="1"/>
    <row r="16405" s="65" customFormat="1"/>
    <row r="16406" s="65" customFormat="1"/>
    <row r="16407" s="65" customFormat="1"/>
    <row r="16408" s="65" customFormat="1"/>
    <row r="16409" s="65" customFormat="1"/>
    <row r="16410" s="65" customFormat="1"/>
    <row r="16411" s="65" customFormat="1"/>
    <row r="16412" s="65" customFormat="1"/>
    <row r="16413" s="65" customFormat="1"/>
    <row r="16414" s="65" customFormat="1"/>
    <row r="16415" s="65" customFormat="1"/>
    <row r="16416" s="65" customFormat="1"/>
    <row r="16417" s="65" customFormat="1"/>
    <row r="16418" s="65" customFormat="1"/>
    <row r="16419" s="65" customFormat="1"/>
    <row r="16420" s="65" customFormat="1"/>
    <row r="16421" s="65" customFormat="1"/>
    <row r="16422" s="65" customFormat="1"/>
    <row r="16423" s="65" customFormat="1"/>
    <row r="16424" s="65" customFormat="1"/>
    <row r="16425" s="65" customFormat="1"/>
    <row r="16426" s="65" customFormat="1"/>
    <row r="16427" s="65" customFormat="1"/>
    <row r="16428" s="65" customFormat="1"/>
    <row r="16429" s="65" customFormat="1"/>
    <row r="16430" s="65" customFormat="1"/>
    <row r="16431" s="65" customFormat="1"/>
    <row r="16432" s="65" customFormat="1"/>
    <row r="16433" s="65" customFormat="1"/>
    <row r="16434" s="65" customFormat="1"/>
    <row r="16435" s="65" customFormat="1"/>
    <row r="16436" s="65" customFormat="1"/>
    <row r="16437" s="65" customFormat="1"/>
    <row r="16438" s="65" customFormat="1"/>
    <row r="16439" s="65" customFormat="1"/>
    <row r="16440" s="65" customFormat="1"/>
    <row r="16441" s="65" customFormat="1"/>
    <row r="16442" s="65" customFormat="1"/>
    <row r="16443" s="65" customFormat="1"/>
    <row r="16444" s="65" customFormat="1"/>
    <row r="16445" s="65" customFormat="1"/>
    <row r="16446" s="65" customFormat="1"/>
    <row r="16447" s="65" customFormat="1"/>
    <row r="16448" s="65" customFormat="1"/>
    <row r="16449" s="65" customFormat="1"/>
    <row r="16450" s="65" customFormat="1"/>
    <row r="16451" s="65" customFormat="1"/>
    <row r="16452" s="65" customFormat="1"/>
    <row r="16453" s="65" customFormat="1"/>
    <row r="16454" s="65" customFormat="1"/>
    <row r="16455" s="65" customFormat="1"/>
    <row r="16456" s="65" customFormat="1"/>
    <row r="16457" s="65" customFormat="1"/>
    <row r="16458" s="65" customFormat="1"/>
    <row r="16459" s="65" customFormat="1"/>
    <row r="16460" s="65" customFormat="1"/>
    <row r="16461" s="65" customFormat="1"/>
    <row r="16462" s="65" customFormat="1"/>
    <row r="16463" s="65" customFormat="1"/>
    <row r="16464" s="65" customFormat="1"/>
    <row r="16465" s="65" customFormat="1"/>
    <row r="16466" s="65" customFormat="1"/>
    <row r="16467" s="65" customFormat="1"/>
    <row r="16468" s="65" customFormat="1"/>
    <row r="16469" s="65" customFormat="1"/>
    <row r="16470" s="65" customFormat="1"/>
    <row r="16471" s="65" customFormat="1"/>
    <row r="16472" s="65" customFormat="1"/>
    <row r="16473" s="65" customFormat="1"/>
    <row r="16474" s="65" customFormat="1"/>
    <row r="16475" s="65" customFormat="1"/>
    <row r="16476" s="65" customFormat="1"/>
    <row r="16477" s="65" customFormat="1"/>
    <row r="16478" s="65" customFormat="1"/>
    <row r="16479" s="65" customFormat="1"/>
    <row r="16480" s="65" customFormat="1"/>
    <row r="16481" s="65" customFormat="1"/>
    <row r="16482" s="65" customFormat="1"/>
    <row r="16483" s="65" customFormat="1"/>
    <row r="16484" s="65" customFormat="1"/>
    <row r="16485" s="65" customFormat="1"/>
    <row r="16486" s="65" customFormat="1"/>
    <row r="16487" s="65" customFormat="1"/>
    <row r="16488" s="65" customFormat="1"/>
    <row r="16489" s="65" customFormat="1"/>
    <row r="16490" s="65" customFormat="1"/>
    <row r="16491" s="65" customFormat="1"/>
    <row r="16492" s="65" customFormat="1"/>
    <row r="16493" s="65" customFormat="1"/>
    <row r="16494" s="65" customFormat="1"/>
    <row r="16495" s="65" customFormat="1"/>
    <row r="16496" s="65" customFormat="1"/>
    <row r="16497" s="65" customFormat="1"/>
    <row r="16498" s="65" customFormat="1"/>
    <row r="16499" s="65" customFormat="1"/>
    <row r="16500" s="65" customFormat="1"/>
    <row r="16501" s="65" customFormat="1"/>
    <row r="16502" s="65" customFormat="1"/>
    <row r="16503" s="65" customFormat="1"/>
    <row r="16504" s="65" customFormat="1"/>
    <row r="16505" s="65" customFormat="1"/>
    <row r="16506" s="65" customFormat="1"/>
    <row r="16507" s="65" customFormat="1"/>
    <row r="16508" s="65" customFormat="1"/>
    <row r="16509" s="65" customFormat="1"/>
    <row r="16510" s="65" customFormat="1"/>
    <row r="16511" s="65" customFormat="1"/>
    <row r="16512" s="65" customFormat="1"/>
    <row r="16513" s="65" customFormat="1"/>
    <row r="16514" s="65" customFormat="1"/>
    <row r="16515" s="65" customFormat="1"/>
    <row r="16516" s="65" customFormat="1"/>
    <row r="16517" s="65" customFormat="1"/>
    <row r="16518" s="65" customFormat="1"/>
    <row r="16519" s="65" customFormat="1"/>
    <row r="16520" s="65" customFormat="1"/>
    <row r="16521" s="65" customFormat="1"/>
    <row r="16522" s="65" customFormat="1"/>
    <row r="16523" s="65" customFormat="1"/>
    <row r="16524" s="65" customFormat="1"/>
    <row r="16525" s="65" customFormat="1"/>
    <row r="16526" s="65" customFormat="1"/>
    <row r="16527" s="65" customFormat="1"/>
    <row r="16528" s="65" customFormat="1"/>
    <row r="16529" s="65" customFormat="1"/>
    <row r="16530" s="65" customFormat="1"/>
    <row r="16531" s="65" customFormat="1"/>
    <row r="16532" s="65" customFormat="1"/>
    <row r="16533" s="65" customFormat="1"/>
    <row r="16534" s="65" customFormat="1"/>
    <row r="16535" s="65" customFormat="1"/>
    <row r="16536" s="65" customFormat="1"/>
    <row r="16537" s="65" customFormat="1"/>
    <row r="16538" s="65" customFormat="1"/>
    <row r="16539" s="65" customFormat="1"/>
    <row r="16540" s="65" customFormat="1"/>
    <row r="16541" s="65" customFormat="1"/>
    <row r="16542" s="65" customFormat="1"/>
    <row r="16543" s="65" customFormat="1"/>
    <row r="16544" s="65" customFormat="1"/>
    <row r="16545" s="65" customFormat="1"/>
    <row r="16546" s="65" customFormat="1"/>
    <row r="16547" s="65" customFormat="1"/>
    <row r="16548" s="65" customFormat="1"/>
    <row r="16549" s="65" customFormat="1"/>
    <row r="16550" s="65" customFormat="1"/>
    <row r="16551" s="65" customFormat="1"/>
    <row r="16552" s="65" customFormat="1"/>
    <row r="16553" s="65" customFormat="1"/>
    <row r="16554" s="65" customFormat="1"/>
    <row r="16555" s="65" customFormat="1"/>
    <row r="16556" s="65" customFormat="1"/>
    <row r="16557" s="65" customFormat="1"/>
    <row r="16558" s="65" customFormat="1"/>
    <row r="16559" s="65" customFormat="1"/>
    <row r="16560" s="65" customFormat="1"/>
    <row r="16561" s="65" customFormat="1"/>
    <row r="16562" s="65" customFormat="1"/>
    <row r="16563" s="65" customFormat="1"/>
    <row r="16564" s="65" customFormat="1"/>
    <row r="16565" s="65" customFormat="1"/>
    <row r="16566" s="65" customFormat="1"/>
    <row r="16567" s="65" customFormat="1"/>
    <row r="16568" s="65" customFormat="1"/>
    <row r="16569" s="65" customFormat="1"/>
    <row r="16570" s="65" customFormat="1"/>
    <row r="16571" s="65" customFormat="1"/>
    <row r="16572" s="65" customFormat="1"/>
    <row r="16573" s="65" customFormat="1"/>
    <row r="16574" s="65" customFormat="1"/>
    <row r="16575" s="65" customFormat="1"/>
    <row r="16576" s="65" customFormat="1"/>
    <row r="16577" s="65" customFormat="1"/>
    <row r="16578" s="65" customFormat="1"/>
    <row r="16579" s="65" customFormat="1"/>
    <row r="16580" s="65" customFormat="1"/>
    <row r="16581" s="65" customFormat="1"/>
    <row r="16582" s="65" customFormat="1"/>
    <row r="16583" s="65" customFormat="1"/>
    <row r="16584" s="65" customFormat="1"/>
    <row r="16585" s="65" customFormat="1"/>
    <row r="16586" s="65" customFormat="1"/>
    <row r="16587" s="65" customFormat="1"/>
    <row r="16588" s="65" customFormat="1"/>
    <row r="16589" s="65" customFormat="1"/>
    <row r="16590" s="65" customFormat="1"/>
    <row r="16591" s="65" customFormat="1"/>
    <row r="16592" s="65" customFormat="1"/>
    <row r="16593" s="65" customFormat="1"/>
    <row r="16594" s="65" customFormat="1"/>
    <row r="16595" s="65" customFormat="1"/>
    <row r="16596" s="65" customFormat="1"/>
    <row r="16597" s="65" customFormat="1"/>
    <row r="16598" s="65" customFormat="1"/>
    <row r="16599" s="65" customFormat="1"/>
    <row r="16600" s="65" customFormat="1"/>
    <row r="16601" s="65" customFormat="1"/>
    <row r="16602" s="65" customFormat="1"/>
    <row r="16603" s="65" customFormat="1"/>
    <row r="16604" s="65" customFormat="1"/>
    <row r="16605" s="65" customFormat="1"/>
    <row r="16606" s="65" customFormat="1"/>
    <row r="16607" s="65" customFormat="1"/>
    <row r="16608" s="65" customFormat="1"/>
    <row r="16609" s="65" customFormat="1"/>
    <row r="16610" s="65" customFormat="1"/>
    <row r="16611" s="65" customFormat="1"/>
    <row r="16612" s="65" customFormat="1"/>
    <row r="16613" s="65" customFormat="1"/>
    <row r="16614" s="65" customFormat="1"/>
    <row r="16615" s="65" customFormat="1"/>
    <row r="16616" s="65" customFormat="1"/>
    <row r="16617" s="65" customFormat="1"/>
    <row r="16618" s="65" customFormat="1"/>
    <row r="16619" s="65" customFormat="1"/>
    <row r="16620" s="65" customFormat="1"/>
    <row r="16621" s="65" customFormat="1"/>
    <row r="16622" s="65" customFormat="1"/>
    <row r="16623" s="65" customFormat="1"/>
    <row r="16624" s="65" customFormat="1"/>
    <row r="16625" s="65" customFormat="1"/>
    <row r="16626" s="65" customFormat="1"/>
    <row r="16627" s="65" customFormat="1"/>
    <row r="16628" s="65" customFormat="1"/>
    <row r="16629" s="65" customFormat="1"/>
    <row r="16630" s="65" customFormat="1"/>
    <row r="16631" s="65" customFormat="1"/>
    <row r="16632" s="65" customFormat="1"/>
    <row r="16633" s="65" customFormat="1"/>
    <row r="16634" s="65" customFormat="1"/>
    <row r="16635" s="65" customFormat="1"/>
    <row r="16636" s="65" customFormat="1"/>
    <row r="16637" s="65" customFormat="1"/>
    <row r="16638" s="65" customFormat="1"/>
    <row r="16639" s="65" customFormat="1"/>
    <row r="16640" s="65" customFormat="1"/>
    <row r="16641" s="65" customFormat="1"/>
    <row r="16642" s="65" customFormat="1"/>
    <row r="16643" s="65" customFormat="1"/>
    <row r="16644" s="65" customFormat="1"/>
    <row r="16645" s="65" customFormat="1"/>
    <row r="16646" s="65" customFormat="1"/>
    <row r="16647" s="65" customFormat="1"/>
    <row r="16648" s="65" customFormat="1"/>
    <row r="16649" s="65" customFormat="1"/>
    <row r="16650" s="65" customFormat="1"/>
    <row r="16651" s="65" customFormat="1"/>
    <row r="16652" s="65" customFormat="1"/>
    <row r="16653" s="65" customFormat="1"/>
    <row r="16654" s="65" customFormat="1"/>
    <row r="16655" s="65" customFormat="1"/>
    <row r="16656" s="65" customFormat="1"/>
    <row r="16657" s="65" customFormat="1"/>
    <row r="16658" s="65" customFormat="1"/>
    <row r="16659" s="65" customFormat="1"/>
    <row r="16660" s="65" customFormat="1"/>
    <row r="16661" s="65" customFormat="1"/>
    <row r="16662" s="65" customFormat="1"/>
    <row r="16663" s="65" customFormat="1"/>
    <row r="16664" s="65" customFormat="1"/>
    <row r="16665" s="65" customFormat="1"/>
    <row r="16666" s="65" customFormat="1"/>
    <row r="16667" s="65" customFormat="1"/>
    <row r="16668" s="65" customFormat="1"/>
    <row r="16669" s="65" customFormat="1"/>
    <row r="16670" s="65" customFormat="1"/>
    <row r="16671" s="65" customFormat="1"/>
    <row r="16672" s="65" customFormat="1"/>
    <row r="16673" s="65" customFormat="1"/>
    <row r="16674" s="65" customFormat="1"/>
    <row r="16675" s="65" customFormat="1"/>
    <row r="16676" s="65" customFormat="1"/>
    <row r="16677" s="65" customFormat="1"/>
    <row r="16678" s="65" customFormat="1"/>
    <row r="16679" s="65" customFormat="1"/>
    <row r="16680" s="65" customFormat="1"/>
    <row r="16681" s="65" customFormat="1"/>
    <row r="16682" s="65" customFormat="1"/>
    <row r="16683" s="65" customFormat="1"/>
    <row r="16684" s="65" customFormat="1"/>
    <row r="16685" s="65" customFormat="1"/>
    <row r="16686" s="65" customFormat="1"/>
    <row r="16687" s="65" customFormat="1"/>
    <row r="16688" s="65" customFormat="1"/>
    <row r="16689" s="65" customFormat="1"/>
    <row r="16690" s="65" customFormat="1"/>
    <row r="16691" s="65" customFormat="1"/>
    <row r="16692" s="65" customFormat="1"/>
    <row r="16693" s="65" customFormat="1"/>
    <row r="16694" s="65" customFormat="1"/>
    <row r="16695" s="65" customFormat="1"/>
    <row r="16696" s="65" customFormat="1"/>
    <row r="16697" s="65" customFormat="1"/>
    <row r="16698" s="65" customFormat="1"/>
    <row r="16699" s="65" customFormat="1"/>
    <row r="16700" s="65" customFormat="1"/>
    <row r="16701" s="65" customFormat="1"/>
    <row r="16702" s="65" customFormat="1"/>
    <row r="16703" s="65" customFormat="1"/>
    <row r="16704" s="65" customFormat="1"/>
    <row r="16705" s="65" customFormat="1"/>
    <row r="16706" s="65" customFormat="1"/>
    <row r="16707" s="65" customFormat="1"/>
    <row r="16708" s="65" customFormat="1"/>
    <row r="16709" s="65" customFormat="1"/>
    <row r="16710" s="65" customFormat="1"/>
    <row r="16711" s="65" customFormat="1"/>
    <row r="16712" s="65" customFormat="1"/>
    <row r="16713" s="65" customFormat="1"/>
    <row r="16714" s="65" customFormat="1"/>
    <row r="16715" s="65" customFormat="1"/>
    <row r="16716" s="65" customFormat="1"/>
    <row r="16717" s="65" customFormat="1"/>
    <row r="16718" s="65" customFormat="1"/>
    <row r="16719" s="65" customFormat="1"/>
    <row r="16720" s="65" customFormat="1"/>
    <row r="16721" s="65" customFormat="1"/>
    <row r="16722" s="65" customFormat="1"/>
    <row r="16723" s="65" customFormat="1"/>
    <row r="16724" s="65" customFormat="1"/>
    <row r="16725" s="65" customFormat="1"/>
    <row r="16726" s="65" customFormat="1"/>
    <row r="16727" s="65" customFormat="1"/>
    <row r="16728" s="65" customFormat="1"/>
    <row r="16729" s="65" customFormat="1"/>
    <row r="16730" s="65" customFormat="1"/>
    <row r="16731" s="65" customFormat="1"/>
    <row r="16732" s="65" customFormat="1"/>
    <row r="16733" s="65" customFormat="1"/>
    <row r="16734" s="65" customFormat="1"/>
    <row r="16735" s="65" customFormat="1"/>
    <row r="16736" s="65" customFormat="1"/>
    <row r="16737" s="65" customFormat="1"/>
    <row r="16738" s="65" customFormat="1"/>
    <row r="16739" s="65" customFormat="1"/>
    <row r="16740" s="65" customFormat="1"/>
    <row r="16741" s="65" customFormat="1"/>
    <row r="16742" s="65" customFormat="1"/>
    <row r="16743" s="65" customFormat="1"/>
    <row r="16744" s="65" customFormat="1"/>
    <row r="16745" s="65" customFormat="1"/>
    <row r="16746" s="65" customFormat="1"/>
    <row r="16747" s="65" customFormat="1"/>
    <row r="16748" s="65" customFormat="1"/>
    <row r="16749" s="65" customFormat="1"/>
    <row r="16750" s="65" customFormat="1"/>
    <row r="16751" s="65" customFormat="1"/>
    <row r="16752" s="65" customFormat="1"/>
    <row r="16753" s="65" customFormat="1"/>
    <row r="16754" s="65" customFormat="1"/>
    <row r="16755" s="65" customFormat="1"/>
    <row r="16756" s="65" customFormat="1"/>
    <row r="16757" s="65" customFormat="1"/>
    <row r="16758" s="65" customFormat="1"/>
    <row r="16759" s="65" customFormat="1"/>
    <row r="16760" s="65" customFormat="1"/>
    <row r="16761" s="65" customFormat="1"/>
    <row r="16762" s="65" customFormat="1"/>
    <row r="16763" s="65" customFormat="1"/>
    <row r="16764" s="65" customFormat="1"/>
    <row r="16765" s="65" customFormat="1"/>
    <row r="16766" s="65" customFormat="1"/>
    <row r="16767" s="65" customFormat="1"/>
    <row r="16768" s="65" customFormat="1"/>
    <row r="16769" s="65" customFormat="1"/>
    <row r="16770" s="65" customFormat="1"/>
    <row r="16771" s="65" customFormat="1"/>
    <row r="16772" s="65" customFormat="1"/>
    <row r="16773" s="65" customFormat="1"/>
    <row r="16774" s="65" customFormat="1"/>
    <row r="16775" s="65" customFormat="1"/>
    <row r="16776" s="65" customFormat="1"/>
    <row r="16777" s="65" customFormat="1"/>
    <row r="16778" s="65" customFormat="1"/>
    <row r="16779" s="65" customFormat="1"/>
    <row r="16780" s="65" customFormat="1"/>
    <row r="16781" s="65" customFormat="1"/>
    <row r="16782" s="65" customFormat="1"/>
    <row r="16783" s="65" customFormat="1"/>
    <row r="16784" s="65" customFormat="1"/>
    <row r="16785" s="65" customFormat="1"/>
    <row r="16786" s="65" customFormat="1"/>
    <row r="16787" s="65" customFormat="1"/>
    <row r="16788" s="65" customFormat="1"/>
    <row r="16789" s="65" customFormat="1"/>
    <row r="16790" s="65" customFormat="1"/>
    <row r="16791" s="65" customFormat="1"/>
    <row r="16792" s="65" customFormat="1"/>
    <row r="16793" s="65" customFormat="1"/>
    <row r="16794" s="65" customFormat="1"/>
    <row r="16795" s="65" customFormat="1"/>
    <row r="16796" s="65" customFormat="1"/>
    <row r="16797" s="65" customFormat="1"/>
    <row r="16798" s="65" customFormat="1"/>
    <row r="16799" s="65" customFormat="1"/>
    <row r="16800" s="65" customFormat="1"/>
    <row r="16801" s="65" customFormat="1"/>
    <row r="16802" s="65" customFormat="1"/>
    <row r="16803" s="65" customFormat="1"/>
    <row r="16804" s="65" customFormat="1"/>
    <row r="16805" s="65" customFormat="1"/>
    <row r="16806" s="65" customFormat="1"/>
    <row r="16807" s="65" customFormat="1"/>
    <row r="16808" s="65" customFormat="1"/>
    <row r="16809" s="65" customFormat="1"/>
    <row r="16810" s="65" customFormat="1"/>
    <row r="16811" s="65" customFormat="1"/>
    <row r="16812" s="65" customFormat="1"/>
    <row r="16813" s="65" customFormat="1"/>
    <row r="16814" s="65" customFormat="1"/>
    <row r="16815" s="65" customFormat="1"/>
    <row r="16816" s="65" customFormat="1"/>
    <row r="16817" s="65" customFormat="1"/>
    <row r="16818" s="65" customFormat="1"/>
    <row r="16819" s="65" customFormat="1"/>
    <row r="16820" s="65" customFormat="1"/>
    <row r="16821" s="65" customFormat="1"/>
    <row r="16822" s="65" customFormat="1"/>
    <row r="16823" s="65" customFormat="1"/>
    <row r="16824" s="65" customFormat="1"/>
    <row r="16825" s="65" customFormat="1"/>
    <row r="16826" s="65" customFormat="1"/>
    <row r="16827" s="65" customFormat="1"/>
    <row r="16828" s="65" customFormat="1"/>
    <row r="16829" s="65" customFormat="1"/>
    <row r="16830" s="65" customFormat="1"/>
    <row r="16831" s="65" customFormat="1"/>
    <row r="16832" s="65" customFormat="1"/>
    <row r="16833" s="65" customFormat="1"/>
    <row r="16834" s="65" customFormat="1"/>
    <row r="16835" s="65" customFormat="1"/>
    <row r="16836" s="65" customFormat="1"/>
    <row r="16837" s="65" customFormat="1"/>
    <row r="16838" s="65" customFormat="1"/>
    <row r="16839" s="65" customFormat="1"/>
    <row r="16840" s="65" customFormat="1"/>
    <row r="16841" s="65" customFormat="1"/>
    <row r="16842" s="65" customFormat="1"/>
    <row r="16843" s="65" customFormat="1"/>
    <row r="16844" s="65" customFormat="1"/>
    <row r="16845" s="65" customFormat="1"/>
    <row r="16846" s="65" customFormat="1"/>
    <row r="16847" s="65" customFormat="1"/>
    <row r="16848" s="65" customFormat="1"/>
    <row r="16849" s="65" customFormat="1"/>
    <row r="16850" s="65" customFormat="1"/>
    <row r="16851" s="65" customFormat="1"/>
    <row r="16852" s="65" customFormat="1"/>
    <row r="16853" s="65" customFormat="1"/>
    <row r="16854" s="65" customFormat="1"/>
    <row r="16855" s="65" customFormat="1"/>
    <row r="16856" s="65" customFormat="1"/>
    <row r="16857" s="65" customFormat="1"/>
    <row r="16858" s="65" customFormat="1"/>
    <row r="16859" s="65" customFormat="1"/>
    <row r="16860" s="65" customFormat="1"/>
    <row r="16861" s="65" customFormat="1"/>
    <row r="16862" s="65" customFormat="1"/>
    <row r="16863" s="65" customFormat="1"/>
    <row r="16864" s="65" customFormat="1"/>
    <row r="16865" s="65" customFormat="1"/>
    <row r="16866" s="65" customFormat="1"/>
    <row r="16867" s="65" customFormat="1"/>
    <row r="16868" s="65" customFormat="1"/>
    <row r="16869" s="65" customFormat="1"/>
    <row r="16870" s="65" customFormat="1"/>
    <row r="16871" s="65" customFormat="1"/>
    <row r="16872" s="65" customFormat="1"/>
    <row r="16873" s="65" customFormat="1"/>
    <row r="16874" s="65" customFormat="1"/>
    <row r="16875" s="65" customFormat="1"/>
    <row r="16876" s="65" customFormat="1"/>
    <row r="16877" s="65" customFormat="1"/>
    <row r="16878" s="65" customFormat="1"/>
    <row r="16879" s="65" customFormat="1"/>
    <row r="16880" s="65" customFormat="1"/>
    <row r="16881" s="65" customFormat="1"/>
    <row r="16882" s="65" customFormat="1"/>
    <row r="16883" s="65" customFormat="1"/>
    <row r="16884" s="65" customFormat="1"/>
    <row r="16885" s="65" customFormat="1"/>
    <row r="16886" s="65" customFormat="1"/>
    <row r="16887" s="65" customFormat="1"/>
    <row r="16888" s="65" customFormat="1"/>
    <row r="16889" s="65" customFormat="1"/>
    <row r="16890" s="65" customFormat="1"/>
    <row r="16891" s="65" customFormat="1"/>
    <row r="16892" s="65" customFormat="1"/>
    <row r="16893" s="65" customFormat="1"/>
    <row r="16894" s="65" customFormat="1"/>
    <row r="16895" s="65" customFormat="1"/>
    <row r="16896" s="65" customFormat="1"/>
    <row r="16897" s="65" customFormat="1"/>
    <row r="16898" s="65" customFormat="1"/>
    <row r="16899" s="65" customFormat="1"/>
    <row r="16900" s="65" customFormat="1"/>
    <row r="16901" s="65" customFormat="1"/>
    <row r="16902" s="65" customFormat="1"/>
    <row r="16903" s="65" customFormat="1"/>
    <row r="16904" s="65" customFormat="1"/>
    <row r="16905" s="65" customFormat="1"/>
    <row r="16906" s="65" customFormat="1"/>
    <row r="16907" s="65" customFormat="1"/>
    <row r="16908" s="65" customFormat="1"/>
    <row r="16909" s="65" customFormat="1"/>
    <row r="16910" s="65" customFormat="1"/>
    <row r="16911" s="65" customFormat="1"/>
    <row r="16912" s="65" customFormat="1"/>
    <row r="16913" s="65" customFormat="1"/>
    <row r="16914" s="65" customFormat="1"/>
    <row r="16915" s="65" customFormat="1"/>
    <row r="16916" s="65" customFormat="1"/>
    <row r="16917" s="65" customFormat="1"/>
    <row r="16918" s="65" customFormat="1"/>
    <row r="16919" s="65" customFormat="1"/>
    <row r="16920" s="65" customFormat="1"/>
    <row r="16921" s="65" customFormat="1"/>
    <row r="16922" s="65" customFormat="1"/>
    <row r="16923" s="65" customFormat="1"/>
    <row r="16924" s="65" customFormat="1"/>
    <row r="16925" s="65" customFormat="1"/>
    <row r="16926" s="65" customFormat="1"/>
    <row r="16927" s="65" customFormat="1"/>
    <row r="16928" s="65" customFormat="1"/>
    <row r="16929" s="65" customFormat="1"/>
    <row r="16930" s="65" customFormat="1"/>
    <row r="16931" s="65" customFormat="1"/>
    <row r="16932" s="65" customFormat="1"/>
    <row r="16933" s="65" customFormat="1"/>
    <row r="16934" s="65" customFormat="1"/>
    <row r="16935" s="65" customFormat="1"/>
    <row r="16936" s="65" customFormat="1"/>
    <row r="16937" s="65" customFormat="1"/>
    <row r="16938" s="65" customFormat="1"/>
    <row r="16939" s="65" customFormat="1"/>
    <row r="16940" s="65" customFormat="1"/>
    <row r="16941" s="65" customFormat="1"/>
    <row r="16942" s="65" customFormat="1"/>
    <row r="16943" s="65" customFormat="1"/>
    <row r="16944" s="65" customFormat="1"/>
    <row r="16945" s="65" customFormat="1"/>
    <row r="16946" s="65" customFormat="1"/>
    <row r="16947" s="65" customFormat="1"/>
    <row r="16948" s="65" customFormat="1"/>
    <row r="16949" s="65" customFormat="1"/>
    <row r="16950" s="65" customFormat="1"/>
    <row r="16951" s="65" customFormat="1"/>
    <row r="16952" s="65" customFormat="1"/>
    <row r="16953" s="65" customFormat="1"/>
    <row r="16954" s="65" customFormat="1"/>
    <row r="16955" s="65" customFormat="1"/>
    <row r="16956" s="65" customFormat="1"/>
    <row r="16957" s="65" customFormat="1"/>
    <row r="16958" s="65" customFormat="1"/>
    <row r="16959" s="65" customFormat="1"/>
    <row r="16960" s="65" customFormat="1"/>
    <row r="16961" s="65" customFormat="1"/>
    <row r="16962" s="65" customFormat="1"/>
    <row r="16963" s="65" customFormat="1"/>
    <row r="16964" s="65" customFormat="1"/>
    <row r="16965" s="65" customFormat="1"/>
    <row r="16966" s="65" customFormat="1"/>
    <row r="16967" s="65" customFormat="1"/>
    <row r="16968" s="65" customFormat="1"/>
    <row r="16969" s="65" customFormat="1"/>
    <row r="16970" s="65" customFormat="1"/>
    <row r="16971" s="65" customFormat="1"/>
    <row r="16972" s="65" customFormat="1"/>
    <row r="16973" s="65" customFormat="1"/>
    <row r="16974" s="65" customFormat="1"/>
    <row r="16975" s="65" customFormat="1"/>
    <row r="16976" s="65" customFormat="1"/>
    <row r="16977" s="65" customFormat="1"/>
    <row r="16978" s="65" customFormat="1"/>
    <row r="16979" s="65" customFormat="1"/>
    <row r="16980" s="65" customFormat="1"/>
    <row r="16981" s="65" customFormat="1"/>
    <row r="16982" s="65" customFormat="1"/>
    <row r="16983" s="65" customFormat="1"/>
    <row r="16984" s="65" customFormat="1"/>
    <row r="16985" s="65" customFormat="1"/>
    <row r="16986" s="65" customFormat="1"/>
    <row r="16987" s="65" customFormat="1"/>
    <row r="16988" s="65" customFormat="1"/>
    <row r="16989" s="65" customFormat="1"/>
    <row r="16990" s="65" customFormat="1"/>
    <row r="16991" s="65" customFormat="1"/>
    <row r="16992" s="65" customFormat="1"/>
    <row r="16993" s="65" customFormat="1"/>
    <row r="16994" s="65" customFormat="1"/>
    <row r="16995" s="65" customFormat="1"/>
    <row r="16996" s="65" customFormat="1"/>
    <row r="16997" s="65" customFormat="1"/>
    <row r="16998" s="65" customFormat="1"/>
    <row r="16999" s="65" customFormat="1"/>
    <row r="17000" s="65" customFormat="1"/>
    <row r="17001" s="65" customFormat="1"/>
    <row r="17002" s="65" customFormat="1"/>
    <row r="17003" s="65" customFormat="1"/>
    <row r="17004" s="65" customFormat="1"/>
    <row r="17005" s="65" customFormat="1"/>
    <row r="17006" s="65" customFormat="1"/>
    <row r="17007" s="65" customFormat="1"/>
    <row r="17008" s="65" customFormat="1"/>
    <row r="17009" s="65" customFormat="1"/>
    <row r="17010" s="65" customFormat="1"/>
    <row r="17011" s="65" customFormat="1"/>
  </sheetData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4BD89-B816-4657-AF4F-3894F9C72688}">
  <sheetPr codeName="Sheet7">
    <tabColor rgb="FFFFFF00"/>
  </sheetPr>
  <dimension ref="A1:X906"/>
  <sheetViews>
    <sheetView workbookViewId="0"/>
  </sheetViews>
  <sheetFormatPr defaultColWidth="6" defaultRowHeight="12.5"/>
  <cols>
    <col min="1" max="1" width="6" style="128"/>
    <col min="2" max="2" width="33" style="65" customWidth="1"/>
    <col min="3" max="3" width="9.23046875" style="65" customWidth="1"/>
    <col min="4" max="4" width="9.23046875" style="130" customWidth="1"/>
    <col min="5" max="23" width="9.23046875" style="65" customWidth="1"/>
    <col min="24" max="24" width="12.23046875" style="65" customWidth="1"/>
    <col min="25" max="25" width="9.765625" style="65" customWidth="1"/>
    <col min="26" max="26" width="6" style="65"/>
    <col min="27" max="27" width="10.84375" style="65" customWidth="1"/>
    <col min="28" max="16384" width="6" style="65"/>
  </cols>
  <sheetData>
    <row r="1" spans="1:24" ht="13">
      <c r="B1" s="129"/>
    </row>
    <row r="3" spans="1:24" ht="15.5">
      <c r="B3" s="128"/>
      <c r="D3" s="65"/>
      <c r="X3"/>
    </row>
    <row r="4" spans="1:24" ht="15.5">
      <c r="B4" s="128"/>
      <c r="D4" s="65"/>
      <c r="I4" s="131"/>
      <c r="N4" s="131"/>
      <c r="Q4" s="131"/>
      <c r="S4" s="131"/>
      <c r="V4" s="131"/>
      <c r="W4" s="131"/>
      <c r="X4"/>
    </row>
    <row r="5" spans="1:24" ht="15.5">
      <c r="D5" s="65"/>
      <c r="I5" s="131"/>
      <c r="N5" s="131"/>
      <c r="Q5" s="131"/>
      <c r="S5" s="131"/>
      <c r="V5" s="131"/>
      <c r="W5" s="131"/>
      <c r="X5"/>
    </row>
    <row r="6" spans="1:24" ht="15.5">
      <c r="A6" s="132"/>
      <c r="B6" s="133"/>
      <c r="C6" s="134"/>
      <c r="D6" s="135"/>
      <c r="E6" s="135"/>
      <c r="F6" s="135"/>
      <c r="G6" s="135"/>
      <c r="H6" s="136"/>
      <c r="I6" s="135"/>
      <c r="J6" s="134"/>
      <c r="K6" s="135"/>
      <c r="L6" s="135"/>
      <c r="M6" s="136"/>
      <c r="N6" s="135"/>
      <c r="O6" s="134"/>
      <c r="P6" s="136"/>
      <c r="Q6" s="136"/>
      <c r="R6" s="136"/>
      <c r="S6" s="135"/>
      <c r="T6" s="134"/>
      <c r="U6" s="137"/>
      <c r="V6" s="136"/>
      <c r="W6" s="136"/>
      <c r="X6"/>
    </row>
    <row r="7" spans="1:24" ht="15.5">
      <c r="A7" s="138"/>
      <c r="B7" s="139"/>
      <c r="C7" s="140"/>
      <c r="D7" s="141"/>
      <c r="E7" s="141"/>
      <c r="F7" s="141"/>
      <c r="G7" s="141"/>
      <c r="H7" s="142"/>
      <c r="I7" s="141"/>
      <c r="J7" s="140"/>
      <c r="K7" s="141"/>
      <c r="L7" s="141"/>
      <c r="M7" s="142"/>
      <c r="N7" s="141"/>
      <c r="O7" s="140"/>
      <c r="P7" s="142"/>
      <c r="Q7" s="142"/>
      <c r="R7" s="142"/>
      <c r="S7" s="141"/>
      <c r="T7" s="140"/>
      <c r="U7" s="143"/>
      <c r="V7" s="142"/>
      <c r="W7" s="142"/>
      <c r="X7"/>
    </row>
    <row r="8" spans="1:24" s="149" customFormat="1" ht="15.5">
      <c r="A8" s="138"/>
      <c r="B8" s="144"/>
      <c r="C8" s="145"/>
      <c r="D8" s="146"/>
      <c r="E8" s="146"/>
      <c r="F8" s="146"/>
      <c r="G8" s="146"/>
      <c r="H8" s="332"/>
      <c r="I8" s="146"/>
      <c r="J8" s="145"/>
      <c r="K8" s="146"/>
      <c r="L8" s="147"/>
      <c r="M8" s="332"/>
      <c r="N8" s="146"/>
      <c r="O8" s="145"/>
      <c r="P8" s="332"/>
      <c r="Q8" s="332"/>
      <c r="R8" s="146"/>
      <c r="S8" s="148"/>
      <c r="T8" s="146"/>
      <c r="U8" s="148"/>
      <c r="V8" s="332"/>
      <c r="W8" s="332"/>
      <c r="X8"/>
    </row>
    <row r="9" spans="1:24" ht="15.5">
      <c r="A9" s="138"/>
      <c r="B9" s="133"/>
      <c r="C9" s="134"/>
      <c r="D9" s="141"/>
      <c r="E9" s="141"/>
      <c r="F9" s="135"/>
      <c r="G9" s="135"/>
      <c r="H9" s="136"/>
      <c r="I9" s="135"/>
      <c r="J9" s="134"/>
      <c r="K9" s="135"/>
      <c r="L9" s="141"/>
      <c r="M9" s="136"/>
      <c r="N9" s="135"/>
      <c r="O9" s="134"/>
      <c r="P9" s="136"/>
      <c r="Q9" s="136"/>
      <c r="R9" s="136"/>
      <c r="S9" s="141"/>
      <c r="T9" s="134"/>
      <c r="U9" s="137"/>
      <c r="V9" s="136"/>
      <c r="W9" s="136"/>
      <c r="X9"/>
    </row>
    <row r="10" spans="1:24" ht="15.5">
      <c r="A10" s="138"/>
      <c r="B10" s="139"/>
      <c r="C10" s="140"/>
      <c r="D10" s="141"/>
      <c r="E10" s="141"/>
      <c r="F10" s="141"/>
      <c r="G10" s="141"/>
      <c r="H10" s="142"/>
      <c r="I10" s="141"/>
      <c r="J10" s="140"/>
      <c r="K10" s="141"/>
      <c r="L10" s="141"/>
      <c r="M10" s="142"/>
      <c r="N10" s="141"/>
      <c r="O10" s="140"/>
      <c r="P10" s="142"/>
      <c r="Q10" s="142"/>
      <c r="R10" s="142"/>
      <c r="S10" s="141"/>
      <c r="T10" s="140"/>
      <c r="U10" s="143"/>
      <c r="V10" s="142"/>
      <c r="W10" s="142"/>
      <c r="X10"/>
    </row>
    <row r="11" spans="1:24" s="149" customFormat="1" ht="15.5">
      <c r="A11" s="138"/>
      <c r="B11" s="144"/>
      <c r="C11" s="145"/>
      <c r="D11" s="146"/>
      <c r="E11" s="147"/>
      <c r="F11" s="146"/>
      <c r="G11" s="146"/>
      <c r="H11" s="332"/>
      <c r="I11" s="146"/>
      <c r="J11" s="145"/>
      <c r="K11" s="146"/>
      <c r="L11" s="146"/>
      <c r="M11" s="332"/>
      <c r="N11" s="146"/>
      <c r="O11" s="145"/>
      <c r="P11" s="332"/>
      <c r="Q11" s="332"/>
      <c r="R11" s="332"/>
      <c r="S11" s="146"/>
      <c r="T11" s="145"/>
      <c r="U11" s="148"/>
      <c r="V11" s="332"/>
      <c r="W11" s="332"/>
      <c r="X11"/>
    </row>
    <row r="12" spans="1:24" ht="15.5">
      <c r="A12" s="138"/>
      <c r="B12" s="133"/>
      <c r="C12" s="134"/>
      <c r="D12" s="135"/>
      <c r="E12" s="135"/>
      <c r="F12" s="135"/>
      <c r="G12" s="135"/>
      <c r="H12" s="136"/>
      <c r="I12" s="135"/>
      <c r="J12" s="134"/>
      <c r="K12" s="135"/>
      <c r="L12" s="135"/>
      <c r="M12" s="136"/>
      <c r="N12" s="135"/>
      <c r="O12" s="134"/>
      <c r="P12" s="136"/>
      <c r="Q12" s="136"/>
      <c r="R12" s="136"/>
      <c r="S12" s="135"/>
      <c r="T12" s="134"/>
      <c r="U12" s="137"/>
      <c r="V12" s="136"/>
      <c r="W12" s="136"/>
      <c r="X12"/>
    </row>
    <row r="13" spans="1:24" ht="15.5">
      <c r="A13" s="138"/>
      <c r="B13" s="139"/>
      <c r="C13" s="140"/>
      <c r="D13" s="141"/>
      <c r="E13" s="141"/>
      <c r="F13" s="141"/>
      <c r="G13" s="141"/>
      <c r="H13" s="142"/>
      <c r="I13" s="141"/>
      <c r="J13" s="140"/>
      <c r="K13" s="141"/>
      <c r="L13" s="141"/>
      <c r="M13" s="142"/>
      <c r="N13" s="141"/>
      <c r="O13" s="140"/>
      <c r="P13" s="142"/>
      <c r="Q13" s="142"/>
      <c r="R13" s="142"/>
      <c r="S13" s="141"/>
      <c r="T13" s="140"/>
      <c r="U13" s="143"/>
      <c r="V13" s="142"/>
      <c r="W13" s="142"/>
      <c r="X13"/>
    </row>
    <row r="14" spans="1:24" s="149" customFormat="1" ht="15.5">
      <c r="A14" s="138"/>
      <c r="B14" s="144"/>
      <c r="C14" s="145"/>
      <c r="D14" s="146"/>
      <c r="E14" s="147"/>
      <c r="F14" s="146"/>
      <c r="G14" s="146"/>
      <c r="H14" s="332"/>
      <c r="I14" s="146"/>
      <c r="J14" s="145"/>
      <c r="K14" s="146"/>
      <c r="L14" s="146"/>
      <c r="M14" s="332"/>
      <c r="N14" s="146"/>
      <c r="O14" s="145"/>
      <c r="P14" s="333"/>
      <c r="Q14" s="332"/>
      <c r="R14" s="332"/>
      <c r="S14" s="146"/>
      <c r="T14" s="145"/>
      <c r="U14" s="148"/>
      <c r="V14" s="332"/>
      <c r="W14" s="332"/>
      <c r="X14"/>
    </row>
    <row r="15" spans="1:24" ht="15.5">
      <c r="A15" s="138"/>
      <c r="B15" s="133"/>
      <c r="C15" s="134"/>
      <c r="D15" s="135"/>
      <c r="E15" s="135"/>
      <c r="F15" s="135"/>
      <c r="G15" s="135"/>
      <c r="H15" s="136"/>
      <c r="I15" s="135"/>
      <c r="J15" s="134"/>
      <c r="K15" s="135"/>
      <c r="L15" s="135"/>
      <c r="M15" s="136"/>
      <c r="N15" s="135"/>
      <c r="O15" s="134"/>
      <c r="P15" s="136"/>
      <c r="Q15" s="136"/>
      <c r="R15" s="136"/>
      <c r="S15" s="135"/>
      <c r="T15" s="134"/>
      <c r="U15" s="137"/>
      <c r="V15" s="136"/>
      <c r="W15" s="136"/>
      <c r="X15"/>
    </row>
    <row r="16" spans="1:24" ht="15.5">
      <c r="A16" s="138"/>
      <c r="B16" s="139"/>
      <c r="C16" s="140"/>
      <c r="D16" s="141"/>
      <c r="E16" s="141"/>
      <c r="F16" s="141"/>
      <c r="G16" s="141"/>
      <c r="H16" s="142"/>
      <c r="I16" s="141"/>
      <c r="J16" s="140"/>
      <c r="K16" s="141"/>
      <c r="L16" s="141"/>
      <c r="M16" s="142"/>
      <c r="N16" s="141"/>
      <c r="O16" s="140"/>
      <c r="P16" s="142"/>
      <c r="Q16" s="142"/>
      <c r="R16" s="142"/>
      <c r="S16" s="141"/>
      <c r="T16" s="140"/>
      <c r="U16" s="143"/>
      <c r="V16" s="142"/>
      <c r="W16" s="142"/>
      <c r="X16"/>
    </row>
    <row r="17" spans="1:24" s="149" customFormat="1" ht="15.5">
      <c r="A17" s="138"/>
      <c r="B17" s="144"/>
      <c r="C17" s="145"/>
      <c r="D17" s="146"/>
      <c r="E17" s="147"/>
      <c r="F17" s="146"/>
      <c r="G17" s="146"/>
      <c r="H17" s="332"/>
      <c r="I17" s="146"/>
      <c r="J17" s="145"/>
      <c r="K17" s="146"/>
      <c r="L17" s="146"/>
      <c r="M17" s="332"/>
      <c r="N17" s="146"/>
      <c r="O17" s="145"/>
      <c r="P17" s="332"/>
      <c r="Q17" s="332"/>
      <c r="R17" s="332"/>
      <c r="S17" s="146"/>
      <c r="T17" s="145"/>
      <c r="U17" s="148"/>
      <c r="V17" s="332"/>
      <c r="W17" s="332"/>
      <c r="X17"/>
    </row>
    <row r="18" spans="1:24" ht="15.5">
      <c r="A18" s="138"/>
      <c r="B18" s="133"/>
      <c r="C18" s="134"/>
      <c r="D18" s="135"/>
      <c r="E18" s="135"/>
      <c r="F18" s="135"/>
      <c r="G18" s="135"/>
      <c r="H18" s="136"/>
      <c r="I18" s="135"/>
      <c r="J18" s="134"/>
      <c r="K18" s="135"/>
      <c r="L18" s="135"/>
      <c r="M18" s="136"/>
      <c r="N18" s="135"/>
      <c r="O18" s="134"/>
      <c r="P18" s="136"/>
      <c r="Q18" s="136"/>
      <c r="R18" s="136"/>
      <c r="S18" s="135"/>
      <c r="T18" s="134"/>
      <c r="U18" s="137"/>
      <c r="V18" s="136"/>
      <c r="W18" s="136"/>
      <c r="X18"/>
    </row>
    <row r="19" spans="1:24" ht="15.5">
      <c r="A19" s="138"/>
      <c r="B19" s="139"/>
      <c r="C19" s="140"/>
      <c r="D19" s="141"/>
      <c r="E19" s="141"/>
      <c r="F19" s="141"/>
      <c r="G19" s="141"/>
      <c r="H19" s="142"/>
      <c r="I19" s="141"/>
      <c r="J19" s="140"/>
      <c r="K19" s="141"/>
      <c r="L19" s="141"/>
      <c r="M19" s="142"/>
      <c r="N19" s="141"/>
      <c r="O19" s="140"/>
      <c r="P19" s="142"/>
      <c r="Q19" s="142"/>
      <c r="R19" s="142"/>
      <c r="S19" s="141"/>
      <c r="T19" s="140"/>
      <c r="U19" s="143"/>
      <c r="V19" s="142"/>
      <c r="W19" s="142"/>
      <c r="X19"/>
    </row>
    <row r="20" spans="1:24" s="149" customFormat="1" ht="15.5">
      <c r="A20" s="138"/>
      <c r="B20" s="144"/>
      <c r="C20" s="150"/>
      <c r="D20" s="151"/>
      <c r="E20" s="146"/>
      <c r="F20" s="146"/>
      <c r="G20" s="146"/>
      <c r="H20" s="332"/>
      <c r="I20" s="146"/>
      <c r="J20" s="145"/>
      <c r="K20" s="146"/>
      <c r="L20" s="146"/>
      <c r="M20" s="332"/>
      <c r="N20" s="146"/>
      <c r="O20" s="145"/>
      <c r="P20" s="332"/>
      <c r="Q20" s="332"/>
      <c r="R20" s="332"/>
      <c r="S20" s="146"/>
      <c r="T20" s="145"/>
      <c r="U20" s="148"/>
      <c r="V20" s="332"/>
      <c r="W20" s="332"/>
      <c r="X20"/>
    </row>
    <row r="21" spans="1:24" ht="15.5">
      <c r="A21" s="138"/>
      <c r="B21" s="133"/>
      <c r="C21" s="134"/>
      <c r="D21" s="135"/>
      <c r="E21" s="135"/>
      <c r="F21" s="135"/>
      <c r="G21" s="135"/>
      <c r="H21" s="136"/>
      <c r="I21" s="135"/>
      <c r="J21" s="134"/>
      <c r="K21" s="135"/>
      <c r="L21" s="135"/>
      <c r="M21" s="136"/>
      <c r="N21" s="135"/>
      <c r="O21" s="134"/>
      <c r="P21" s="136"/>
      <c r="Q21" s="136"/>
      <c r="R21" s="136"/>
      <c r="S21" s="135"/>
      <c r="T21" s="134"/>
      <c r="U21" s="137"/>
      <c r="V21" s="136"/>
      <c r="W21" s="136"/>
      <c r="X21"/>
    </row>
    <row r="22" spans="1:24" ht="15.5">
      <c r="A22" s="138"/>
      <c r="B22" s="139"/>
      <c r="C22" s="140"/>
      <c r="D22" s="141"/>
      <c r="E22" s="141"/>
      <c r="F22" s="141"/>
      <c r="G22" s="141"/>
      <c r="H22" s="142"/>
      <c r="I22" s="141"/>
      <c r="J22" s="140"/>
      <c r="K22" s="141"/>
      <c r="L22" s="141"/>
      <c r="M22" s="142"/>
      <c r="N22" s="141"/>
      <c r="O22" s="140"/>
      <c r="P22" s="142"/>
      <c r="Q22" s="142"/>
      <c r="R22" s="142"/>
      <c r="S22" s="141"/>
      <c r="T22" s="140"/>
      <c r="U22" s="143"/>
      <c r="V22" s="142"/>
      <c r="W22" s="142"/>
      <c r="X22"/>
    </row>
    <row r="23" spans="1:24" s="149" customFormat="1" ht="15.5">
      <c r="A23" s="138"/>
      <c r="B23" s="144"/>
      <c r="C23" s="145"/>
      <c r="D23" s="146"/>
      <c r="E23" s="147"/>
      <c r="F23" s="146"/>
      <c r="G23" s="146"/>
      <c r="H23" s="332"/>
      <c r="I23" s="146"/>
      <c r="J23" s="145"/>
      <c r="K23" s="146"/>
      <c r="L23" s="146"/>
      <c r="M23" s="332"/>
      <c r="N23" s="146"/>
      <c r="O23" s="145"/>
      <c r="P23" s="332"/>
      <c r="Q23" s="332"/>
      <c r="R23" s="332"/>
      <c r="S23" s="146"/>
      <c r="T23" s="145"/>
      <c r="U23" s="148"/>
      <c r="V23" s="332"/>
      <c r="W23" s="332"/>
      <c r="X23"/>
    </row>
    <row r="24" spans="1:24" ht="15.5">
      <c r="A24" s="138"/>
      <c r="B24" s="133"/>
      <c r="C24" s="134"/>
      <c r="D24" s="135"/>
      <c r="E24" s="135"/>
      <c r="F24" s="141"/>
      <c r="G24" s="135"/>
      <c r="H24" s="136"/>
      <c r="I24" s="135"/>
      <c r="J24" s="134"/>
      <c r="K24" s="135"/>
      <c r="L24" s="135"/>
      <c r="M24" s="136"/>
      <c r="N24" s="135"/>
      <c r="O24" s="134"/>
      <c r="P24" s="136"/>
      <c r="Q24" s="136"/>
      <c r="R24" s="136"/>
      <c r="S24" s="135"/>
      <c r="T24" s="134"/>
      <c r="U24" s="137"/>
      <c r="V24" s="136"/>
      <c r="W24" s="136"/>
      <c r="X24"/>
    </row>
    <row r="25" spans="1:24" ht="15.5">
      <c r="A25" s="138"/>
      <c r="B25" s="139"/>
      <c r="C25" s="140"/>
      <c r="D25" s="141"/>
      <c r="E25" s="141"/>
      <c r="F25" s="141"/>
      <c r="G25" s="141"/>
      <c r="H25" s="142"/>
      <c r="I25" s="141"/>
      <c r="J25" s="140"/>
      <c r="K25" s="141"/>
      <c r="L25" s="141"/>
      <c r="M25" s="142"/>
      <c r="N25" s="141"/>
      <c r="O25" s="140"/>
      <c r="P25" s="142"/>
      <c r="Q25" s="142"/>
      <c r="R25" s="142"/>
      <c r="S25" s="141"/>
      <c r="T25" s="140"/>
      <c r="U25" s="143"/>
      <c r="V25" s="142"/>
      <c r="W25" s="142"/>
      <c r="X25"/>
    </row>
    <row r="26" spans="1:24" s="149" customFormat="1" ht="15.5">
      <c r="A26" s="138"/>
      <c r="B26" s="144"/>
      <c r="C26" s="145"/>
      <c r="D26" s="146"/>
      <c r="E26" s="146"/>
      <c r="F26" s="146"/>
      <c r="G26" s="146"/>
      <c r="H26" s="332"/>
      <c r="I26" s="146"/>
      <c r="J26" s="145"/>
      <c r="K26" s="146"/>
      <c r="L26" s="146"/>
      <c r="M26" s="332"/>
      <c r="N26" s="146"/>
      <c r="O26" s="145"/>
      <c r="P26" s="332"/>
      <c r="Q26" s="332"/>
      <c r="R26" s="332"/>
      <c r="S26" s="146"/>
      <c r="T26" s="145"/>
      <c r="U26" s="148"/>
      <c r="V26" s="332"/>
      <c r="W26" s="332"/>
      <c r="X26"/>
    </row>
    <row r="27" spans="1:24" ht="15.5">
      <c r="A27" s="138"/>
      <c r="B27" s="133"/>
      <c r="C27" s="134"/>
      <c r="D27" s="135"/>
      <c r="E27" s="141"/>
      <c r="F27" s="135"/>
      <c r="G27" s="135"/>
      <c r="H27" s="136"/>
      <c r="I27" s="135"/>
      <c r="J27" s="134"/>
      <c r="K27" s="135"/>
      <c r="L27" s="135"/>
      <c r="M27" s="136"/>
      <c r="N27" s="135"/>
      <c r="O27" s="134"/>
      <c r="P27" s="136"/>
      <c r="Q27" s="136"/>
      <c r="R27" s="136"/>
      <c r="S27" s="135"/>
      <c r="T27" s="134"/>
      <c r="U27" s="137"/>
      <c r="V27" s="136"/>
      <c r="W27" s="136"/>
      <c r="X27"/>
    </row>
    <row r="28" spans="1:24" ht="15.5">
      <c r="A28" s="138"/>
      <c r="B28" s="139"/>
      <c r="C28" s="140"/>
      <c r="D28" s="141"/>
      <c r="E28" s="141"/>
      <c r="F28" s="141"/>
      <c r="G28" s="141"/>
      <c r="H28" s="142"/>
      <c r="I28" s="141"/>
      <c r="J28" s="140"/>
      <c r="K28" s="141"/>
      <c r="L28" s="141"/>
      <c r="M28" s="142"/>
      <c r="N28" s="141"/>
      <c r="O28" s="140"/>
      <c r="P28" s="142"/>
      <c r="Q28" s="142"/>
      <c r="R28" s="142"/>
      <c r="S28" s="141"/>
      <c r="T28" s="140"/>
      <c r="U28" s="143"/>
      <c r="V28" s="142"/>
      <c r="W28" s="142"/>
      <c r="X28"/>
    </row>
    <row r="29" spans="1:24" s="149" customFormat="1" ht="15.5">
      <c r="A29" s="138"/>
      <c r="B29" s="144"/>
      <c r="C29" s="145"/>
      <c r="D29" s="146"/>
      <c r="E29" s="146"/>
      <c r="F29" s="146"/>
      <c r="G29" s="146"/>
      <c r="H29" s="332"/>
      <c r="I29" s="146"/>
      <c r="J29" s="145"/>
      <c r="K29" s="146"/>
      <c r="L29" s="146"/>
      <c r="M29" s="332"/>
      <c r="N29" s="146"/>
      <c r="O29" s="145"/>
      <c r="P29" s="332"/>
      <c r="Q29" s="332"/>
      <c r="R29" s="332"/>
      <c r="S29" s="146"/>
      <c r="T29" s="145"/>
      <c r="U29" s="148"/>
      <c r="V29" s="332"/>
      <c r="W29" s="332"/>
      <c r="X29"/>
    </row>
    <row r="30" spans="1:24" ht="15.5">
      <c r="A30" s="138"/>
      <c r="B30" s="133"/>
      <c r="C30" s="134"/>
      <c r="D30" s="135"/>
      <c r="E30" s="135"/>
      <c r="F30" s="135"/>
      <c r="G30" s="135"/>
      <c r="H30" s="136"/>
      <c r="I30" s="135"/>
      <c r="J30" s="134"/>
      <c r="K30" s="135"/>
      <c r="L30" s="135"/>
      <c r="M30" s="136"/>
      <c r="N30" s="135"/>
      <c r="O30" s="134"/>
      <c r="P30" s="136"/>
      <c r="Q30" s="136"/>
      <c r="R30" s="136"/>
      <c r="S30" s="135"/>
      <c r="T30" s="134"/>
      <c r="U30" s="137"/>
      <c r="V30" s="136"/>
      <c r="W30" s="136"/>
      <c r="X30"/>
    </row>
    <row r="31" spans="1:24" ht="15.5">
      <c r="A31" s="138"/>
      <c r="B31" s="139"/>
      <c r="C31" s="140"/>
      <c r="D31" s="141"/>
      <c r="E31" s="141"/>
      <c r="F31" s="141"/>
      <c r="G31" s="141"/>
      <c r="H31" s="142"/>
      <c r="I31" s="141"/>
      <c r="J31" s="140"/>
      <c r="K31" s="141"/>
      <c r="L31" s="141"/>
      <c r="M31" s="142"/>
      <c r="N31" s="141"/>
      <c r="O31" s="140"/>
      <c r="P31" s="142"/>
      <c r="Q31" s="142"/>
      <c r="R31" s="142"/>
      <c r="S31" s="141"/>
      <c r="T31" s="140"/>
      <c r="U31" s="143"/>
      <c r="V31" s="142"/>
      <c r="W31" s="142"/>
      <c r="X31"/>
    </row>
    <row r="32" spans="1:24" s="149" customFormat="1" ht="15.5">
      <c r="A32" s="138"/>
      <c r="B32" s="144"/>
      <c r="C32" s="145"/>
      <c r="D32" s="146"/>
      <c r="E32" s="146"/>
      <c r="F32" s="146"/>
      <c r="G32" s="146"/>
      <c r="H32" s="332"/>
      <c r="I32" s="146"/>
      <c r="J32" s="145"/>
      <c r="K32" s="146"/>
      <c r="L32" s="146"/>
      <c r="M32" s="332"/>
      <c r="N32" s="146"/>
      <c r="O32" s="145"/>
      <c r="P32" s="332"/>
      <c r="Q32" s="332"/>
      <c r="R32" s="332"/>
      <c r="S32" s="146"/>
      <c r="T32" s="145"/>
      <c r="U32" s="148"/>
      <c r="V32" s="332"/>
      <c r="W32" s="332"/>
      <c r="X32"/>
    </row>
    <row r="33" spans="1:24" ht="15.5">
      <c r="A33" s="138"/>
      <c r="B33" s="133"/>
      <c r="C33" s="134"/>
      <c r="D33" s="135"/>
      <c r="E33" s="135"/>
      <c r="F33" s="135"/>
      <c r="G33" s="135"/>
      <c r="H33" s="136"/>
      <c r="I33" s="135"/>
      <c r="J33" s="134"/>
      <c r="K33" s="135"/>
      <c r="L33" s="135"/>
      <c r="M33" s="136"/>
      <c r="N33" s="135"/>
      <c r="O33" s="134"/>
      <c r="P33" s="136"/>
      <c r="Q33" s="136"/>
      <c r="R33" s="136"/>
      <c r="S33" s="135"/>
      <c r="T33" s="134"/>
      <c r="U33" s="137"/>
      <c r="V33" s="136"/>
      <c r="W33" s="136"/>
      <c r="X33"/>
    </row>
    <row r="34" spans="1:24" ht="15.5">
      <c r="A34" s="138"/>
      <c r="B34" s="139"/>
      <c r="C34" s="140"/>
      <c r="D34" s="141"/>
      <c r="E34" s="141"/>
      <c r="F34" s="141"/>
      <c r="G34" s="141"/>
      <c r="H34" s="142"/>
      <c r="I34" s="141"/>
      <c r="J34" s="140"/>
      <c r="K34" s="141"/>
      <c r="L34" s="141"/>
      <c r="M34" s="142"/>
      <c r="N34" s="141"/>
      <c r="O34" s="140"/>
      <c r="P34" s="142"/>
      <c r="Q34" s="142"/>
      <c r="R34" s="142"/>
      <c r="S34" s="141"/>
      <c r="T34" s="140"/>
      <c r="U34" s="143"/>
      <c r="V34" s="142"/>
      <c r="W34" s="142"/>
      <c r="X34"/>
    </row>
    <row r="35" spans="1:24" s="149" customFormat="1" ht="15.5">
      <c r="A35" s="138"/>
      <c r="B35" s="144"/>
      <c r="C35" s="145"/>
      <c r="D35" s="146"/>
      <c r="E35" s="146"/>
      <c r="F35" s="146"/>
      <c r="G35" s="146"/>
      <c r="H35" s="332"/>
      <c r="I35" s="146"/>
      <c r="J35" s="145"/>
      <c r="K35" s="146"/>
      <c r="L35" s="146"/>
      <c r="M35" s="332"/>
      <c r="N35" s="146"/>
      <c r="O35" s="145"/>
      <c r="P35" s="332"/>
      <c r="Q35" s="332"/>
      <c r="R35" s="332"/>
      <c r="S35" s="146"/>
      <c r="T35" s="145"/>
      <c r="U35" s="148"/>
      <c r="V35" s="332"/>
      <c r="W35" s="332"/>
      <c r="X35"/>
    </row>
    <row r="36" spans="1:24" ht="15.5">
      <c r="A36" s="138"/>
      <c r="B36" s="133"/>
      <c r="C36" s="134"/>
      <c r="D36" s="135"/>
      <c r="E36" s="135"/>
      <c r="F36" s="135"/>
      <c r="G36" s="135"/>
      <c r="H36" s="136"/>
      <c r="I36" s="135"/>
      <c r="J36" s="134"/>
      <c r="K36" s="135"/>
      <c r="L36" s="135"/>
      <c r="M36" s="136"/>
      <c r="N36" s="135"/>
      <c r="O36" s="134"/>
      <c r="P36" s="136"/>
      <c r="Q36" s="136"/>
      <c r="R36" s="136"/>
      <c r="S36" s="135"/>
      <c r="T36" s="134"/>
      <c r="U36" s="137"/>
      <c r="V36" s="136"/>
      <c r="W36" s="136"/>
      <c r="X36"/>
    </row>
    <row r="37" spans="1:24" ht="15.5">
      <c r="A37" s="138"/>
      <c r="B37" s="139"/>
      <c r="C37" s="140"/>
      <c r="D37" s="141"/>
      <c r="E37" s="141"/>
      <c r="F37" s="141"/>
      <c r="G37" s="141"/>
      <c r="H37" s="142"/>
      <c r="I37" s="141"/>
      <c r="J37" s="140"/>
      <c r="K37" s="141"/>
      <c r="L37" s="141"/>
      <c r="M37" s="142"/>
      <c r="N37" s="141"/>
      <c r="O37" s="140"/>
      <c r="P37" s="142"/>
      <c r="Q37" s="142"/>
      <c r="R37" s="142"/>
      <c r="S37" s="141"/>
      <c r="T37" s="140"/>
      <c r="U37" s="143"/>
      <c r="V37" s="142"/>
      <c r="W37" s="142"/>
      <c r="X37"/>
    </row>
    <row r="38" spans="1:24" s="149" customFormat="1" ht="15.5">
      <c r="A38" s="138"/>
      <c r="B38" s="144"/>
      <c r="C38" s="145"/>
      <c r="D38" s="146"/>
      <c r="E38" s="146"/>
      <c r="F38" s="146"/>
      <c r="G38" s="146"/>
      <c r="H38" s="332"/>
      <c r="I38" s="146"/>
      <c r="J38" s="145"/>
      <c r="K38" s="146"/>
      <c r="L38" s="146"/>
      <c r="M38" s="332"/>
      <c r="N38" s="146"/>
      <c r="O38" s="145"/>
      <c r="P38" s="332"/>
      <c r="Q38" s="332"/>
      <c r="R38" s="332"/>
      <c r="S38" s="146"/>
      <c r="T38" s="145"/>
      <c r="U38" s="148"/>
      <c r="V38" s="332"/>
      <c r="W38" s="332"/>
      <c r="X38"/>
    </row>
    <row r="39" spans="1:24" ht="15.5">
      <c r="A39" s="138"/>
      <c r="B39" s="133"/>
      <c r="C39" s="134"/>
      <c r="D39" s="135"/>
      <c r="E39" s="135"/>
      <c r="F39" s="135"/>
      <c r="G39" s="135"/>
      <c r="H39" s="136"/>
      <c r="I39" s="135"/>
      <c r="J39" s="134"/>
      <c r="K39" s="135"/>
      <c r="L39" s="135"/>
      <c r="M39" s="136"/>
      <c r="N39" s="135"/>
      <c r="O39" s="134"/>
      <c r="P39" s="136"/>
      <c r="Q39" s="136"/>
      <c r="R39" s="136"/>
      <c r="S39" s="135"/>
      <c r="T39" s="134"/>
      <c r="U39" s="137"/>
      <c r="V39" s="136"/>
      <c r="W39" s="136"/>
      <c r="X39"/>
    </row>
    <row r="40" spans="1:24" ht="15.5">
      <c r="A40" s="138"/>
      <c r="B40" s="139"/>
      <c r="C40" s="140"/>
      <c r="D40" s="141"/>
      <c r="E40" s="141"/>
      <c r="F40" s="141"/>
      <c r="G40" s="141"/>
      <c r="H40" s="142"/>
      <c r="I40" s="141"/>
      <c r="J40" s="140"/>
      <c r="K40" s="141"/>
      <c r="L40" s="141"/>
      <c r="M40" s="142"/>
      <c r="N40" s="141"/>
      <c r="O40" s="140"/>
      <c r="P40" s="142"/>
      <c r="Q40" s="142"/>
      <c r="R40" s="142"/>
      <c r="S40" s="141"/>
      <c r="T40" s="140"/>
      <c r="U40" s="143"/>
      <c r="V40" s="142"/>
      <c r="W40" s="142"/>
      <c r="X40"/>
    </row>
    <row r="41" spans="1:24" s="149" customFormat="1" ht="15.5">
      <c r="A41" s="138"/>
      <c r="B41" s="144"/>
      <c r="C41" s="145"/>
      <c r="D41" s="146"/>
      <c r="E41" s="146"/>
      <c r="F41" s="146"/>
      <c r="G41" s="146"/>
      <c r="H41" s="332"/>
      <c r="I41" s="146"/>
      <c r="J41" s="145"/>
      <c r="K41" s="146"/>
      <c r="L41" s="146"/>
      <c r="M41" s="332"/>
      <c r="N41" s="146"/>
      <c r="O41" s="145"/>
      <c r="P41" s="332"/>
      <c r="Q41" s="332"/>
      <c r="R41" s="332"/>
      <c r="S41" s="146"/>
      <c r="T41" s="145"/>
      <c r="U41" s="148"/>
      <c r="V41" s="332"/>
      <c r="W41" s="332"/>
      <c r="X41"/>
    </row>
    <row r="42" spans="1:24" ht="15.5">
      <c r="A42" s="138"/>
      <c r="B42" s="133"/>
      <c r="C42" s="134"/>
      <c r="D42" s="135"/>
      <c r="E42" s="135"/>
      <c r="F42" s="135"/>
      <c r="G42" s="135"/>
      <c r="H42" s="136"/>
      <c r="I42" s="135"/>
      <c r="J42" s="134"/>
      <c r="K42" s="135"/>
      <c r="L42" s="135"/>
      <c r="M42" s="136"/>
      <c r="N42" s="135"/>
      <c r="O42" s="134"/>
      <c r="P42" s="136"/>
      <c r="Q42" s="136"/>
      <c r="R42" s="136"/>
      <c r="S42" s="135"/>
      <c r="T42" s="134"/>
      <c r="U42" s="137"/>
      <c r="V42" s="136"/>
      <c r="W42" s="136"/>
      <c r="X42"/>
    </row>
    <row r="43" spans="1:24" ht="15.5">
      <c r="A43" s="138"/>
      <c r="B43" s="139"/>
      <c r="C43" s="140"/>
      <c r="D43" s="141"/>
      <c r="E43" s="141"/>
      <c r="F43" s="141"/>
      <c r="G43" s="141"/>
      <c r="H43" s="142"/>
      <c r="I43" s="141"/>
      <c r="J43" s="140"/>
      <c r="K43" s="141"/>
      <c r="L43" s="141"/>
      <c r="M43" s="142"/>
      <c r="N43" s="141"/>
      <c r="O43" s="140"/>
      <c r="P43" s="142"/>
      <c r="Q43" s="142"/>
      <c r="R43" s="142"/>
      <c r="S43" s="141"/>
      <c r="T43" s="140"/>
      <c r="U43" s="143"/>
      <c r="V43" s="142"/>
      <c r="W43" s="142"/>
      <c r="X43"/>
    </row>
    <row r="44" spans="1:24" s="149" customFormat="1" ht="15.5">
      <c r="A44" s="138"/>
      <c r="B44" s="144"/>
      <c r="C44" s="145"/>
      <c r="D44" s="146"/>
      <c r="E44" s="146"/>
      <c r="F44" s="146"/>
      <c r="G44" s="146"/>
      <c r="H44" s="332"/>
      <c r="I44" s="146"/>
      <c r="J44" s="145"/>
      <c r="K44" s="146"/>
      <c r="L44" s="146"/>
      <c r="M44" s="332"/>
      <c r="N44" s="146"/>
      <c r="O44" s="145"/>
      <c r="P44" s="332"/>
      <c r="Q44" s="332"/>
      <c r="R44" s="332"/>
      <c r="S44" s="146"/>
      <c r="T44" s="145"/>
      <c r="U44" s="148"/>
      <c r="V44" s="332"/>
      <c r="W44" s="332"/>
      <c r="X44"/>
    </row>
    <row r="45" spans="1:24" ht="15.5">
      <c r="A45" s="138"/>
      <c r="B45" s="133"/>
      <c r="C45" s="134"/>
      <c r="D45" s="135"/>
      <c r="E45" s="135"/>
      <c r="F45" s="135"/>
      <c r="G45" s="135"/>
      <c r="H45" s="136"/>
      <c r="I45" s="135"/>
      <c r="J45" s="134"/>
      <c r="K45" s="135"/>
      <c r="L45" s="135"/>
      <c r="M45" s="136"/>
      <c r="N45" s="135"/>
      <c r="O45" s="134"/>
      <c r="P45" s="136"/>
      <c r="Q45" s="136"/>
      <c r="R45" s="136"/>
      <c r="S45" s="135"/>
      <c r="T45" s="134"/>
      <c r="U45" s="137"/>
      <c r="V45" s="136"/>
      <c r="W45" s="136"/>
      <c r="X45"/>
    </row>
    <row r="46" spans="1:24" ht="15.5">
      <c r="A46" s="138"/>
      <c r="B46" s="139"/>
      <c r="C46" s="140"/>
      <c r="D46" s="141"/>
      <c r="E46" s="141"/>
      <c r="F46" s="141"/>
      <c r="G46" s="141"/>
      <c r="H46" s="142"/>
      <c r="I46" s="141"/>
      <c r="J46" s="140"/>
      <c r="K46" s="141"/>
      <c r="L46" s="141"/>
      <c r="M46" s="142"/>
      <c r="N46" s="141"/>
      <c r="O46" s="140"/>
      <c r="P46" s="142"/>
      <c r="Q46" s="142"/>
      <c r="R46" s="142"/>
      <c r="S46" s="141"/>
      <c r="T46" s="140"/>
      <c r="U46" s="143"/>
      <c r="V46" s="142"/>
      <c r="W46" s="142"/>
      <c r="X46"/>
    </row>
    <row r="47" spans="1:24" s="149" customFormat="1" ht="15.5">
      <c r="A47" s="138"/>
      <c r="B47" s="144"/>
      <c r="C47" s="145"/>
      <c r="D47" s="146"/>
      <c r="E47" s="146"/>
      <c r="F47" s="146"/>
      <c r="G47" s="146"/>
      <c r="H47" s="332"/>
      <c r="I47" s="146"/>
      <c r="J47" s="145"/>
      <c r="K47" s="146"/>
      <c r="L47" s="146"/>
      <c r="M47" s="332"/>
      <c r="N47" s="146"/>
      <c r="O47" s="145"/>
      <c r="P47" s="332"/>
      <c r="Q47" s="332"/>
      <c r="R47" s="332"/>
      <c r="S47" s="146"/>
      <c r="T47" s="145"/>
      <c r="U47" s="148"/>
      <c r="V47" s="332"/>
      <c r="W47" s="332"/>
      <c r="X47"/>
    </row>
    <row r="48" spans="1:24" ht="15.5">
      <c r="A48" s="138"/>
      <c r="B48" s="133"/>
      <c r="C48" s="134"/>
      <c r="D48" s="135"/>
      <c r="E48" s="135"/>
      <c r="F48" s="135"/>
      <c r="G48" s="135"/>
      <c r="H48" s="136"/>
      <c r="I48" s="135"/>
      <c r="J48" s="134"/>
      <c r="K48" s="135"/>
      <c r="L48" s="135"/>
      <c r="M48" s="136"/>
      <c r="N48" s="135"/>
      <c r="O48" s="134"/>
      <c r="P48" s="136"/>
      <c r="Q48" s="136"/>
      <c r="R48" s="136"/>
      <c r="S48" s="135"/>
      <c r="T48" s="134"/>
      <c r="U48" s="137"/>
      <c r="V48" s="136"/>
      <c r="W48" s="136"/>
      <c r="X48"/>
    </row>
    <row r="49" spans="1:24" ht="15.5">
      <c r="A49" s="138"/>
      <c r="B49" s="139"/>
      <c r="C49" s="140"/>
      <c r="D49" s="141"/>
      <c r="E49" s="141"/>
      <c r="F49" s="141"/>
      <c r="G49" s="141"/>
      <c r="H49" s="142"/>
      <c r="I49" s="141"/>
      <c r="J49" s="140"/>
      <c r="K49" s="141"/>
      <c r="L49" s="141"/>
      <c r="M49" s="142"/>
      <c r="N49" s="141"/>
      <c r="O49" s="140"/>
      <c r="P49" s="142"/>
      <c r="Q49" s="142"/>
      <c r="R49" s="142"/>
      <c r="S49" s="141"/>
      <c r="T49" s="140"/>
      <c r="U49" s="143"/>
      <c r="V49" s="142"/>
      <c r="W49" s="142"/>
      <c r="X49"/>
    </row>
    <row r="50" spans="1:24" s="149" customFormat="1" ht="15.5">
      <c r="A50" s="138"/>
      <c r="B50" s="144"/>
      <c r="C50" s="152"/>
      <c r="D50" s="146"/>
      <c r="E50" s="146"/>
      <c r="F50" s="146"/>
      <c r="G50" s="146"/>
      <c r="H50" s="332"/>
      <c r="I50" s="146"/>
      <c r="J50" s="145"/>
      <c r="K50" s="146"/>
      <c r="L50" s="146"/>
      <c r="M50" s="332"/>
      <c r="N50" s="146"/>
      <c r="O50" s="145"/>
      <c r="P50" s="332"/>
      <c r="Q50" s="332"/>
      <c r="R50" s="332"/>
      <c r="S50" s="146"/>
      <c r="T50" s="145"/>
      <c r="U50" s="148"/>
      <c r="V50" s="332"/>
      <c r="W50" s="332"/>
      <c r="X50"/>
    </row>
    <row r="51" spans="1:24" ht="15.5">
      <c r="A51" s="138"/>
      <c r="B51" s="133"/>
      <c r="C51" s="134"/>
      <c r="D51" s="135"/>
      <c r="E51" s="135"/>
      <c r="F51" s="135"/>
      <c r="G51" s="135"/>
      <c r="H51" s="136"/>
      <c r="I51" s="135"/>
      <c r="J51" s="134"/>
      <c r="K51" s="135"/>
      <c r="L51" s="135"/>
      <c r="M51" s="136"/>
      <c r="N51" s="135"/>
      <c r="O51" s="134"/>
      <c r="P51" s="136"/>
      <c r="Q51" s="136"/>
      <c r="R51" s="136"/>
      <c r="S51" s="135"/>
      <c r="T51" s="134"/>
      <c r="U51" s="137"/>
      <c r="V51" s="136"/>
      <c r="W51" s="136"/>
      <c r="X51"/>
    </row>
    <row r="52" spans="1:24" ht="15.5">
      <c r="A52" s="138"/>
      <c r="B52" s="139"/>
      <c r="C52" s="140"/>
      <c r="D52" s="141"/>
      <c r="E52" s="141"/>
      <c r="F52" s="141"/>
      <c r="G52" s="141"/>
      <c r="H52" s="142"/>
      <c r="I52" s="141"/>
      <c r="J52" s="140"/>
      <c r="K52" s="141"/>
      <c r="L52" s="141"/>
      <c r="M52" s="142"/>
      <c r="N52" s="141"/>
      <c r="O52" s="140"/>
      <c r="P52" s="142"/>
      <c r="Q52" s="142"/>
      <c r="R52" s="142"/>
      <c r="S52" s="141"/>
      <c r="T52" s="140"/>
      <c r="U52" s="143"/>
      <c r="V52" s="142"/>
      <c r="W52" s="142"/>
      <c r="X52"/>
    </row>
    <row r="53" spans="1:24" s="149" customFormat="1" ht="15.5">
      <c r="A53" s="138"/>
      <c r="B53" s="144"/>
      <c r="C53" s="145"/>
      <c r="D53" s="146"/>
      <c r="E53" s="146"/>
      <c r="F53" s="146"/>
      <c r="G53" s="146"/>
      <c r="H53" s="332"/>
      <c r="I53" s="146"/>
      <c r="J53" s="145"/>
      <c r="K53" s="146"/>
      <c r="L53" s="146"/>
      <c r="M53" s="332"/>
      <c r="N53" s="146"/>
      <c r="O53" s="145"/>
      <c r="P53" s="332"/>
      <c r="Q53" s="332"/>
      <c r="R53" s="332"/>
      <c r="S53" s="146"/>
      <c r="T53" s="145"/>
      <c r="U53" s="148"/>
      <c r="V53" s="332"/>
      <c r="W53" s="332"/>
      <c r="X53"/>
    </row>
    <row r="54" spans="1:24" ht="15.5">
      <c r="A54" s="138"/>
      <c r="B54" s="133"/>
      <c r="C54" s="134"/>
      <c r="D54" s="135"/>
      <c r="E54" s="135"/>
      <c r="F54" s="135"/>
      <c r="G54" s="135"/>
      <c r="H54" s="136"/>
      <c r="I54" s="135"/>
      <c r="J54" s="134"/>
      <c r="K54" s="135"/>
      <c r="L54" s="135"/>
      <c r="M54" s="136"/>
      <c r="N54" s="135"/>
      <c r="O54" s="134"/>
      <c r="P54" s="136"/>
      <c r="Q54" s="136"/>
      <c r="R54" s="136"/>
      <c r="S54" s="135"/>
      <c r="T54" s="134"/>
      <c r="U54" s="137"/>
      <c r="V54" s="136"/>
      <c r="W54" s="136"/>
      <c r="X54"/>
    </row>
    <row r="55" spans="1:24" ht="15.5">
      <c r="A55" s="138"/>
      <c r="B55" s="139"/>
      <c r="C55" s="140"/>
      <c r="D55" s="141"/>
      <c r="E55" s="141"/>
      <c r="F55" s="141"/>
      <c r="G55" s="141"/>
      <c r="H55" s="142"/>
      <c r="I55" s="141"/>
      <c r="J55" s="140"/>
      <c r="K55" s="141"/>
      <c r="L55" s="141"/>
      <c r="M55" s="142"/>
      <c r="N55" s="141"/>
      <c r="O55" s="140"/>
      <c r="P55" s="142"/>
      <c r="Q55" s="142"/>
      <c r="R55" s="142"/>
      <c r="S55" s="141"/>
      <c r="T55" s="140"/>
      <c r="U55" s="143"/>
      <c r="V55" s="142"/>
      <c r="W55" s="142"/>
      <c r="X55"/>
    </row>
    <row r="56" spans="1:24" s="149" customFormat="1" ht="15.5">
      <c r="A56" s="138"/>
      <c r="B56" s="144"/>
      <c r="C56" s="146"/>
      <c r="D56" s="146"/>
      <c r="E56" s="146"/>
      <c r="F56" s="146"/>
      <c r="G56" s="146"/>
      <c r="H56" s="332"/>
      <c r="I56" s="146"/>
      <c r="J56" s="145"/>
      <c r="K56" s="146"/>
      <c r="L56" s="146"/>
      <c r="M56" s="332"/>
      <c r="N56" s="146"/>
      <c r="O56" s="145"/>
      <c r="P56" s="332"/>
      <c r="Q56" s="332"/>
      <c r="R56" s="332"/>
      <c r="S56" s="146"/>
      <c r="T56" s="145"/>
      <c r="U56" s="148"/>
      <c r="V56" s="332"/>
      <c r="W56" s="332"/>
      <c r="X56"/>
    </row>
    <row r="57" spans="1:24" ht="15.5">
      <c r="A57" s="138"/>
      <c r="B57" s="133"/>
      <c r="C57" s="140"/>
      <c r="D57" s="135"/>
      <c r="E57" s="141"/>
      <c r="F57" s="135"/>
      <c r="G57" s="135"/>
      <c r="H57" s="136"/>
      <c r="I57" s="135"/>
      <c r="J57" s="134"/>
      <c r="K57" s="135"/>
      <c r="L57" s="135"/>
      <c r="M57" s="136"/>
      <c r="N57" s="135"/>
      <c r="O57" s="134"/>
      <c r="P57" s="136"/>
      <c r="Q57" s="136"/>
      <c r="R57" s="136"/>
      <c r="S57" s="135"/>
      <c r="T57" s="134"/>
      <c r="U57" s="137"/>
      <c r="V57" s="136"/>
      <c r="W57" s="136"/>
      <c r="X57"/>
    </row>
    <row r="58" spans="1:24" s="149" customFormat="1" ht="15.5">
      <c r="A58" s="153"/>
      <c r="B58" s="139"/>
      <c r="C58" s="140"/>
      <c r="D58" s="141"/>
      <c r="E58" s="141"/>
      <c r="F58" s="141"/>
      <c r="G58" s="141"/>
      <c r="H58" s="142"/>
      <c r="I58" s="141"/>
      <c r="J58" s="140"/>
      <c r="K58" s="141"/>
      <c r="L58" s="141"/>
      <c r="M58" s="142"/>
      <c r="N58" s="141"/>
      <c r="O58" s="140"/>
      <c r="P58" s="142"/>
      <c r="Q58" s="142"/>
      <c r="R58" s="142"/>
      <c r="S58" s="141"/>
      <c r="T58" s="140"/>
      <c r="U58" s="143"/>
      <c r="V58" s="142"/>
      <c r="W58" s="142"/>
      <c r="X58"/>
    </row>
    <row r="59" spans="1:24" ht="15.5">
      <c r="A59" s="132"/>
      <c r="B59" s="133"/>
      <c r="C59" s="134"/>
      <c r="D59" s="135"/>
      <c r="E59" s="135"/>
      <c r="F59" s="135"/>
      <c r="G59" s="135"/>
      <c r="H59" s="136"/>
      <c r="I59" s="135"/>
      <c r="J59" s="134"/>
      <c r="K59" s="135"/>
      <c r="L59" s="135"/>
      <c r="M59" s="136"/>
      <c r="N59" s="135"/>
      <c r="O59" s="134"/>
      <c r="P59" s="136"/>
      <c r="Q59" s="136"/>
      <c r="R59" s="136"/>
      <c r="S59" s="135"/>
      <c r="T59" s="134"/>
      <c r="U59" s="137"/>
      <c r="V59" s="136"/>
      <c r="W59" s="136"/>
      <c r="X59"/>
    </row>
    <row r="60" spans="1:24" ht="15.5">
      <c r="A60" s="138"/>
      <c r="B60" s="139"/>
      <c r="C60" s="140"/>
      <c r="D60" s="141"/>
      <c r="E60" s="141"/>
      <c r="F60" s="141"/>
      <c r="G60" s="141"/>
      <c r="H60" s="142"/>
      <c r="I60" s="141"/>
      <c r="J60" s="140"/>
      <c r="K60" s="141"/>
      <c r="L60" s="141"/>
      <c r="M60" s="142"/>
      <c r="N60" s="141"/>
      <c r="O60" s="140"/>
      <c r="P60" s="142"/>
      <c r="Q60" s="142"/>
      <c r="R60" s="142"/>
      <c r="S60" s="141"/>
      <c r="T60" s="140"/>
      <c r="U60" s="143"/>
      <c r="V60" s="142"/>
      <c r="W60" s="142"/>
      <c r="X60"/>
    </row>
    <row r="61" spans="1:24" s="149" customFormat="1" ht="15.5">
      <c r="A61" s="138"/>
      <c r="B61" s="144"/>
      <c r="C61" s="145"/>
      <c r="D61" s="146"/>
      <c r="E61" s="147"/>
      <c r="F61" s="146"/>
      <c r="G61" s="146"/>
      <c r="H61" s="333"/>
      <c r="I61" s="146"/>
      <c r="J61" s="145"/>
      <c r="K61" s="146"/>
      <c r="L61" s="146"/>
      <c r="M61" s="332"/>
      <c r="N61" s="146"/>
      <c r="O61" s="145"/>
      <c r="P61" s="332"/>
      <c r="Q61" s="332"/>
      <c r="R61" s="146"/>
      <c r="S61" s="148"/>
      <c r="T61" s="146"/>
      <c r="U61" s="148"/>
      <c r="V61" s="332"/>
      <c r="W61" s="332"/>
      <c r="X61"/>
    </row>
    <row r="62" spans="1:24" ht="15.5">
      <c r="A62" s="138"/>
      <c r="B62" s="133"/>
      <c r="C62" s="134"/>
      <c r="D62" s="141"/>
      <c r="E62" s="141"/>
      <c r="F62" s="135"/>
      <c r="G62" s="135"/>
      <c r="H62" s="136"/>
      <c r="I62" s="135"/>
      <c r="J62" s="134"/>
      <c r="K62" s="135"/>
      <c r="L62" s="141"/>
      <c r="M62" s="136"/>
      <c r="N62" s="135"/>
      <c r="O62" s="134"/>
      <c r="P62" s="136"/>
      <c r="Q62" s="136"/>
      <c r="R62" s="136"/>
      <c r="S62" s="141"/>
      <c r="T62" s="134"/>
      <c r="U62" s="137"/>
      <c r="V62" s="136"/>
      <c r="W62" s="136"/>
      <c r="X62"/>
    </row>
    <row r="63" spans="1:24" ht="15.5">
      <c r="A63" s="138"/>
      <c r="B63" s="139"/>
      <c r="C63" s="140"/>
      <c r="D63" s="141"/>
      <c r="E63" s="141"/>
      <c r="F63" s="141"/>
      <c r="G63" s="141"/>
      <c r="H63" s="142"/>
      <c r="I63" s="141"/>
      <c r="J63" s="140"/>
      <c r="K63" s="141"/>
      <c r="L63" s="141"/>
      <c r="M63" s="142"/>
      <c r="N63" s="141"/>
      <c r="O63" s="140"/>
      <c r="P63" s="142"/>
      <c r="Q63" s="142"/>
      <c r="R63" s="142"/>
      <c r="S63" s="141"/>
      <c r="T63" s="140"/>
      <c r="U63" s="143"/>
      <c r="V63" s="142"/>
      <c r="W63" s="142"/>
      <c r="X63"/>
    </row>
    <row r="64" spans="1:24" s="149" customFormat="1" ht="15.5">
      <c r="A64" s="138"/>
      <c r="B64" s="144"/>
      <c r="C64" s="145"/>
      <c r="D64" s="146"/>
      <c r="E64" s="146"/>
      <c r="F64" s="146"/>
      <c r="G64" s="147"/>
      <c r="H64" s="332"/>
      <c r="I64" s="146"/>
      <c r="J64" s="145"/>
      <c r="K64" s="146"/>
      <c r="L64" s="146"/>
      <c r="M64" s="332"/>
      <c r="N64" s="146"/>
      <c r="O64" s="145"/>
      <c r="P64" s="332"/>
      <c r="Q64" s="332"/>
      <c r="R64" s="332"/>
      <c r="S64" s="146"/>
      <c r="T64" s="145"/>
      <c r="U64" s="148"/>
      <c r="V64" s="332"/>
      <c r="W64" s="332"/>
      <c r="X64"/>
    </row>
    <row r="65" spans="1:24" ht="15.5">
      <c r="A65" s="138"/>
      <c r="B65" s="133"/>
      <c r="C65" s="134"/>
      <c r="D65" s="135"/>
      <c r="E65" s="135"/>
      <c r="F65" s="135"/>
      <c r="G65" s="135"/>
      <c r="H65" s="136"/>
      <c r="I65" s="135"/>
      <c r="J65" s="134"/>
      <c r="K65" s="135"/>
      <c r="L65" s="135"/>
      <c r="M65" s="136"/>
      <c r="N65" s="135"/>
      <c r="O65" s="134"/>
      <c r="P65" s="136"/>
      <c r="Q65" s="136"/>
      <c r="R65" s="136"/>
      <c r="S65" s="135"/>
      <c r="T65" s="134"/>
      <c r="U65" s="137"/>
      <c r="V65" s="136"/>
      <c r="W65" s="136"/>
      <c r="X65"/>
    </row>
    <row r="66" spans="1:24" ht="15.5">
      <c r="A66" s="138"/>
      <c r="B66" s="139"/>
      <c r="C66" s="140"/>
      <c r="D66" s="141"/>
      <c r="E66" s="141"/>
      <c r="F66" s="141"/>
      <c r="G66" s="141"/>
      <c r="H66" s="142"/>
      <c r="I66" s="141"/>
      <c r="J66" s="140"/>
      <c r="K66" s="141"/>
      <c r="L66" s="141"/>
      <c r="M66" s="142"/>
      <c r="N66" s="141"/>
      <c r="O66" s="140"/>
      <c r="P66" s="142"/>
      <c r="Q66" s="142"/>
      <c r="R66" s="142"/>
      <c r="S66" s="141"/>
      <c r="T66" s="140"/>
      <c r="U66" s="143"/>
      <c r="V66" s="142"/>
      <c r="W66" s="142"/>
      <c r="X66"/>
    </row>
    <row r="67" spans="1:24" s="149" customFormat="1" ht="15.5">
      <c r="A67" s="138"/>
      <c r="B67" s="144"/>
      <c r="C67" s="145"/>
      <c r="D67" s="146"/>
      <c r="E67" s="146"/>
      <c r="F67" s="146"/>
      <c r="G67" s="147"/>
      <c r="H67" s="332"/>
      <c r="I67" s="146"/>
      <c r="J67" s="145"/>
      <c r="K67" s="146"/>
      <c r="L67" s="146"/>
      <c r="M67" s="332"/>
      <c r="N67" s="146"/>
      <c r="O67" s="145"/>
      <c r="P67" s="332"/>
      <c r="Q67" s="332"/>
      <c r="R67" s="332"/>
      <c r="S67" s="146"/>
      <c r="T67" s="145"/>
      <c r="U67" s="148"/>
      <c r="V67" s="332"/>
      <c r="W67" s="332"/>
      <c r="X67"/>
    </row>
    <row r="68" spans="1:24" ht="15.5">
      <c r="A68" s="138"/>
      <c r="B68" s="133"/>
      <c r="C68" s="134"/>
      <c r="D68" s="135"/>
      <c r="E68" s="135"/>
      <c r="F68" s="135"/>
      <c r="G68" s="135"/>
      <c r="H68" s="136"/>
      <c r="I68" s="135"/>
      <c r="J68" s="134"/>
      <c r="K68" s="135"/>
      <c r="L68" s="135"/>
      <c r="M68" s="136"/>
      <c r="N68" s="135"/>
      <c r="O68" s="134"/>
      <c r="P68" s="136"/>
      <c r="Q68" s="136"/>
      <c r="R68" s="136"/>
      <c r="S68" s="135"/>
      <c r="T68" s="134"/>
      <c r="U68" s="137"/>
      <c r="V68" s="136"/>
      <c r="W68" s="136"/>
      <c r="X68"/>
    </row>
    <row r="69" spans="1:24" ht="15.5">
      <c r="A69" s="138"/>
      <c r="B69" s="139"/>
      <c r="C69" s="140"/>
      <c r="D69" s="141"/>
      <c r="E69" s="141"/>
      <c r="F69" s="141"/>
      <c r="G69" s="141"/>
      <c r="H69" s="142"/>
      <c r="I69" s="141"/>
      <c r="J69" s="140"/>
      <c r="K69" s="141"/>
      <c r="L69" s="141"/>
      <c r="M69" s="142"/>
      <c r="N69" s="141"/>
      <c r="O69" s="140"/>
      <c r="P69" s="142"/>
      <c r="Q69" s="142"/>
      <c r="R69" s="142"/>
      <c r="S69" s="141"/>
      <c r="T69" s="140"/>
      <c r="U69" s="143"/>
      <c r="V69" s="142"/>
      <c r="W69" s="142"/>
      <c r="X69"/>
    </row>
    <row r="70" spans="1:24" s="149" customFormat="1" ht="15.5">
      <c r="A70" s="138"/>
      <c r="B70" s="144"/>
      <c r="C70" s="145"/>
      <c r="D70" s="146"/>
      <c r="E70" s="146"/>
      <c r="F70" s="146"/>
      <c r="G70" s="146"/>
      <c r="H70" s="332"/>
      <c r="I70" s="146"/>
      <c r="J70" s="145"/>
      <c r="K70" s="146"/>
      <c r="L70" s="146"/>
      <c r="M70" s="332"/>
      <c r="N70" s="146"/>
      <c r="O70" s="145"/>
      <c r="P70" s="332"/>
      <c r="Q70" s="332"/>
      <c r="R70" s="332"/>
      <c r="S70" s="146"/>
      <c r="T70" s="145"/>
      <c r="U70" s="148"/>
      <c r="V70" s="332"/>
      <c r="W70" s="332"/>
      <c r="X70"/>
    </row>
    <row r="71" spans="1:24" ht="15.5">
      <c r="A71" s="138"/>
      <c r="B71" s="133"/>
      <c r="C71" s="134"/>
      <c r="D71" s="135"/>
      <c r="E71" s="135"/>
      <c r="F71" s="135"/>
      <c r="G71" s="135"/>
      <c r="H71" s="136"/>
      <c r="I71" s="135"/>
      <c r="J71" s="134"/>
      <c r="K71" s="135"/>
      <c r="L71" s="135"/>
      <c r="M71" s="136"/>
      <c r="N71" s="135"/>
      <c r="O71" s="134"/>
      <c r="P71" s="136"/>
      <c r="Q71" s="136"/>
      <c r="R71" s="136"/>
      <c r="S71" s="135"/>
      <c r="T71" s="134"/>
      <c r="U71" s="137"/>
      <c r="V71" s="136"/>
      <c r="W71" s="136"/>
      <c r="X71"/>
    </row>
    <row r="72" spans="1:24" ht="15.5">
      <c r="A72" s="138"/>
      <c r="B72" s="139"/>
      <c r="C72" s="140"/>
      <c r="D72" s="141"/>
      <c r="E72" s="141"/>
      <c r="F72" s="141"/>
      <c r="G72" s="141"/>
      <c r="H72" s="142"/>
      <c r="I72" s="141"/>
      <c r="J72" s="140"/>
      <c r="K72" s="141"/>
      <c r="L72" s="141"/>
      <c r="M72" s="142"/>
      <c r="N72" s="141"/>
      <c r="O72" s="140"/>
      <c r="P72" s="142"/>
      <c r="Q72" s="142"/>
      <c r="R72" s="142"/>
      <c r="S72" s="141"/>
      <c r="T72" s="140"/>
      <c r="U72" s="143"/>
      <c r="V72" s="142"/>
      <c r="W72" s="142"/>
      <c r="X72"/>
    </row>
    <row r="73" spans="1:24" s="149" customFormat="1" ht="15.5">
      <c r="A73" s="138"/>
      <c r="B73" s="144"/>
      <c r="C73" s="150"/>
      <c r="D73" s="154"/>
      <c r="E73" s="147"/>
      <c r="F73" s="147"/>
      <c r="G73" s="146"/>
      <c r="H73" s="332"/>
      <c r="I73" s="146"/>
      <c r="J73" s="145"/>
      <c r="K73" s="146"/>
      <c r="L73" s="146"/>
      <c r="M73" s="332"/>
      <c r="N73" s="146"/>
      <c r="O73" s="145"/>
      <c r="P73" s="332"/>
      <c r="Q73" s="332"/>
      <c r="R73" s="332"/>
      <c r="S73" s="147"/>
      <c r="T73" s="145"/>
      <c r="U73" s="148"/>
      <c r="V73" s="332"/>
      <c r="W73" s="332"/>
      <c r="X73"/>
    </row>
    <row r="74" spans="1:24" ht="15.5">
      <c r="A74" s="138"/>
      <c r="B74" s="133"/>
      <c r="C74" s="134"/>
      <c r="D74" s="135"/>
      <c r="E74" s="135"/>
      <c r="F74" s="135"/>
      <c r="G74" s="135"/>
      <c r="H74" s="136"/>
      <c r="I74" s="135"/>
      <c r="J74" s="134"/>
      <c r="K74" s="135"/>
      <c r="L74" s="135"/>
      <c r="M74" s="136"/>
      <c r="N74" s="135"/>
      <c r="O74" s="134"/>
      <c r="P74" s="136"/>
      <c r="Q74" s="136"/>
      <c r="R74" s="136"/>
      <c r="S74" s="135"/>
      <c r="T74" s="134"/>
      <c r="U74" s="137"/>
      <c r="V74" s="136"/>
      <c r="W74" s="136"/>
      <c r="X74"/>
    </row>
    <row r="75" spans="1:24" ht="15.5">
      <c r="A75" s="138"/>
      <c r="B75" s="139"/>
      <c r="C75" s="140"/>
      <c r="D75" s="141"/>
      <c r="E75" s="141"/>
      <c r="F75" s="141"/>
      <c r="G75" s="141"/>
      <c r="H75" s="142"/>
      <c r="I75" s="141"/>
      <c r="J75" s="140"/>
      <c r="K75" s="141"/>
      <c r="L75" s="141"/>
      <c r="M75" s="142"/>
      <c r="N75" s="141"/>
      <c r="O75" s="140"/>
      <c r="P75" s="142"/>
      <c r="Q75" s="142"/>
      <c r="R75" s="142"/>
      <c r="S75" s="141"/>
      <c r="T75" s="140"/>
      <c r="U75" s="143"/>
      <c r="V75" s="142"/>
      <c r="W75" s="142"/>
      <c r="X75"/>
    </row>
    <row r="76" spans="1:24" s="149" customFormat="1" ht="15.5">
      <c r="A76" s="138"/>
      <c r="B76" s="144"/>
      <c r="C76" s="152"/>
      <c r="D76" s="147"/>
      <c r="E76" s="147"/>
      <c r="F76" s="147"/>
      <c r="G76" s="147"/>
      <c r="H76" s="333"/>
      <c r="I76" s="146"/>
      <c r="J76" s="145"/>
      <c r="K76" s="146"/>
      <c r="L76" s="146"/>
      <c r="M76" s="332"/>
      <c r="N76" s="146"/>
      <c r="O76" s="145"/>
      <c r="P76" s="332"/>
      <c r="Q76" s="332"/>
      <c r="R76" s="332"/>
      <c r="S76" s="147"/>
      <c r="T76" s="145"/>
      <c r="U76" s="148"/>
      <c r="V76" s="332"/>
      <c r="W76" s="332"/>
      <c r="X76"/>
    </row>
    <row r="77" spans="1:24" ht="15.5">
      <c r="A77" s="138"/>
      <c r="B77" s="133"/>
      <c r="C77" s="134"/>
      <c r="D77" s="135"/>
      <c r="E77" s="135"/>
      <c r="F77" s="141"/>
      <c r="G77" s="135"/>
      <c r="H77" s="136"/>
      <c r="I77" s="135"/>
      <c r="J77" s="134"/>
      <c r="K77" s="135"/>
      <c r="L77" s="135"/>
      <c r="M77" s="136"/>
      <c r="N77" s="135"/>
      <c r="O77" s="134"/>
      <c r="P77" s="136"/>
      <c r="Q77" s="136"/>
      <c r="R77" s="136"/>
      <c r="S77" s="135"/>
      <c r="T77" s="134"/>
      <c r="U77" s="137"/>
      <c r="V77" s="136"/>
      <c r="W77" s="136"/>
      <c r="X77"/>
    </row>
    <row r="78" spans="1:24" ht="15.5">
      <c r="A78" s="138"/>
      <c r="B78" s="139"/>
      <c r="C78" s="140"/>
      <c r="D78" s="141"/>
      <c r="E78" s="141"/>
      <c r="F78" s="141"/>
      <c r="G78" s="141"/>
      <c r="H78" s="142"/>
      <c r="I78" s="141"/>
      <c r="J78" s="140"/>
      <c r="K78" s="141"/>
      <c r="L78" s="141"/>
      <c r="M78" s="142"/>
      <c r="N78" s="141"/>
      <c r="O78" s="140"/>
      <c r="P78" s="142"/>
      <c r="Q78" s="142"/>
      <c r="R78" s="142"/>
      <c r="S78" s="141"/>
      <c r="T78" s="140"/>
      <c r="U78" s="143"/>
      <c r="V78" s="142"/>
      <c r="W78" s="142"/>
      <c r="X78"/>
    </row>
    <row r="79" spans="1:24" s="149" customFormat="1" ht="15.5">
      <c r="A79" s="138"/>
      <c r="B79" s="144"/>
      <c r="C79" s="152"/>
      <c r="D79" s="147"/>
      <c r="E79" s="147"/>
      <c r="F79" s="146"/>
      <c r="G79" s="146"/>
      <c r="H79" s="332"/>
      <c r="I79" s="146"/>
      <c r="J79" s="145"/>
      <c r="K79" s="146"/>
      <c r="L79" s="146"/>
      <c r="M79" s="332"/>
      <c r="N79" s="146"/>
      <c r="O79" s="145"/>
      <c r="P79" s="332"/>
      <c r="Q79" s="332"/>
      <c r="R79" s="332"/>
      <c r="S79" s="147"/>
      <c r="T79" s="145"/>
      <c r="U79" s="148"/>
      <c r="V79" s="332"/>
      <c r="W79" s="332"/>
      <c r="X79"/>
    </row>
    <row r="80" spans="1:24" ht="15.5">
      <c r="A80" s="138"/>
      <c r="B80" s="133"/>
      <c r="C80" s="134"/>
      <c r="D80" s="135"/>
      <c r="E80" s="141"/>
      <c r="F80" s="135"/>
      <c r="G80" s="135"/>
      <c r="H80" s="136"/>
      <c r="I80" s="135"/>
      <c r="J80" s="134"/>
      <c r="K80" s="135"/>
      <c r="L80" s="135"/>
      <c r="M80" s="136"/>
      <c r="N80" s="135"/>
      <c r="O80" s="134"/>
      <c r="P80" s="136"/>
      <c r="Q80" s="136"/>
      <c r="R80" s="136"/>
      <c r="S80" s="135"/>
      <c r="T80" s="134"/>
      <c r="U80" s="137"/>
      <c r="V80" s="136"/>
      <c r="W80" s="136"/>
      <c r="X80"/>
    </row>
    <row r="81" spans="1:24" ht="15.5">
      <c r="A81" s="138"/>
      <c r="B81" s="139"/>
      <c r="C81" s="140"/>
      <c r="D81" s="141"/>
      <c r="E81" s="141"/>
      <c r="F81" s="141"/>
      <c r="G81" s="141"/>
      <c r="H81" s="142"/>
      <c r="I81" s="141"/>
      <c r="J81" s="140"/>
      <c r="K81" s="141"/>
      <c r="L81" s="141"/>
      <c r="M81" s="142"/>
      <c r="N81" s="141"/>
      <c r="O81" s="140"/>
      <c r="P81" s="142"/>
      <c r="Q81" s="142"/>
      <c r="R81" s="142"/>
      <c r="S81" s="141"/>
      <c r="T81" s="140"/>
      <c r="U81" s="143"/>
      <c r="V81" s="142"/>
      <c r="W81" s="142"/>
      <c r="X81"/>
    </row>
    <row r="82" spans="1:24" s="149" customFormat="1" ht="15.5">
      <c r="A82" s="138"/>
      <c r="B82" s="144"/>
      <c r="C82" s="145"/>
      <c r="D82" s="146"/>
      <c r="E82" s="146"/>
      <c r="F82" s="146"/>
      <c r="G82" s="146"/>
      <c r="H82" s="332"/>
      <c r="I82" s="146"/>
      <c r="J82" s="145"/>
      <c r="K82" s="146"/>
      <c r="L82" s="146"/>
      <c r="M82" s="332"/>
      <c r="N82" s="146"/>
      <c r="O82" s="145"/>
      <c r="P82" s="332"/>
      <c r="Q82" s="332"/>
      <c r="R82" s="332"/>
      <c r="S82" s="146"/>
      <c r="T82" s="145"/>
      <c r="U82" s="148"/>
      <c r="V82" s="332"/>
      <c r="W82" s="332"/>
      <c r="X82"/>
    </row>
    <row r="83" spans="1:24" ht="15.5">
      <c r="A83" s="138"/>
      <c r="B83" s="133"/>
      <c r="C83" s="134"/>
      <c r="D83" s="135"/>
      <c r="E83" s="135"/>
      <c r="F83" s="135"/>
      <c r="G83" s="135"/>
      <c r="H83" s="136"/>
      <c r="I83" s="135"/>
      <c r="J83" s="134"/>
      <c r="K83" s="135"/>
      <c r="L83" s="135"/>
      <c r="M83" s="136"/>
      <c r="N83" s="135"/>
      <c r="O83" s="134"/>
      <c r="P83" s="136"/>
      <c r="Q83" s="136"/>
      <c r="R83" s="136"/>
      <c r="S83" s="135"/>
      <c r="T83" s="134"/>
      <c r="U83" s="137"/>
      <c r="V83" s="136"/>
      <c r="W83" s="136"/>
      <c r="X83"/>
    </row>
    <row r="84" spans="1:24" ht="15.5">
      <c r="A84" s="138"/>
      <c r="B84" s="139"/>
      <c r="C84" s="140"/>
      <c r="D84" s="141"/>
      <c r="E84" s="141"/>
      <c r="F84" s="141"/>
      <c r="G84" s="141"/>
      <c r="H84" s="142"/>
      <c r="I84" s="141"/>
      <c r="J84" s="140"/>
      <c r="K84" s="141"/>
      <c r="L84" s="141"/>
      <c r="M84" s="142"/>
      <c r="N84" s="141"/>
      <c r="O84" s="140"/>
      <c r="P84" s="142"/>
      <c r="Q84" s="142"/>
      <c r="R84" s="142"/>
      <c r="S84" s="141"/>
      <c r="T84" s="140"/>
      <c r="U84" s="143"/>
      <c r="V84" s="142"/>
      <c r="W84" s="142"/>
      <c r="X84"/>
    </row>
    <row r="85" spans="1:24" s="149" customFormat="1" ht="15.5">
      <c r="A85" s="138"/>
      <c r="B85" s="144"/>
      <c r="C85" s="145"/>
      <c r="D85" s="146"/>
      <c r="E85" s="146"/>
      <c r="F85" s="146"/>
      <c r="G85" s="146"/>
      <c r="H85" s="332"/>
      <c r="I85" s="146"/>
      <c r="J85" s="145"/>
      <c r="K85" s="146"/>
      <c r="L85" s="146"/>
      <c r="M85" s="332"/>
      <c r="N85" s="146"/>
      <c r="O85" s="145"/>
      <c r="P85" s="332"/>
      <c r="Q85" s="332"/>
      <c r="R85" s="332"/>
      <c r="S85" s="146"/>
      <c r="T85" s="145"/>
      <c r="U85" s="148"/>
      <c r="V85" s="332"/>
      <c r="W85" s="332"/>
      <c r="X85"/>
    </row>
    <row r="86" spans="1:24" ht="15.5">
      <c r="A86" s="138"/>
      <c r="B86" s="133"/>
      <c r="C86" s="134"/>
      <c r="D86" s="135"/>
      <c r="E86" s="135"/>
      <c r="F86" s="135"/>
      <c r="G86" s="135"/>
      <c r="H86" s="136"/>
      <c r="I86" s="135"/>
      <c r="J86" s="134"/>
      <c r="K86" s="135"/>
      <c r="L86" s="135"/>
      <c r="M86" s="136"/>
      <c r="N86" s="135"/>
      <c r="O86" s="134"/>
      <c r="P86" s="136"/>
      <c r="Q86" s="136"/>
      <c r="R86" s="136"/>
      <c r="S86" s="135"/>
      <c r="T86" s="134"/>
      <c r="U86" s="137"/>
      <c r="V86" s="136"/>
      <c r="W86" s="136"/>
      <c r="X86"/>
    </row>
    <row r="87" spans="1:24" ht="15.5">
      <c r="A87" s="138"/>
      <c r="B87" s="139"/>
      <c r="C87" s="140"/>
      <c r="D87" s="141"/>
      <c r="E87" s="141"/>
      <c r="F87" s="141"/>
      <c r="G87" s="141"/>
      <c r="H87" s="142"/>
      <c r="I87" s="141"/>
      <c r="J87" s="140"/>
      <c r="K87" s="141"/>
      <c r="L87" s="141"/>
      <c r="M87" s="142"/>
      <c r="N87" s="141"/>
      <c r="O87" s="140"/>
      <c r="P87" s="142"/>
      <c r="Q87" s="142"/>
      <c r="R87" s="142"/>
      <c r="S87" s="141"/>
      <c r="T87" s="140"/>
      <c r="U87" s="143"/>
      <c r="V87" s="142"/>
      <c r="W87" s="142"/>
      <c r="X87"/>
    </row>
    <row r="88" spans="1:24" s="149" customFormat="1" ht="15.5">
      <c r="A88" s="138"/>
      <c r="B88" s="144"/>
      <c r="C88" s="145"/>
      <c r="D88" s="146"/>
      <c r="E88" s="146"/>
      <c r="F88" s="146"/>
      <c r="G88" s="146"/>
      <c r="H88" s="332"/>
      <c r="I88" s="146"/>
      <c r="J88" s="145"/>
      <c r="K88" s="146"/>
      <c r="L88" s="146"/>
      <c r="M88" s="332"/>
      <c r="N88" s="146"/>
      <c r="O88" s="145"/>
      <c r="P88" s="332"/>
      <c r="Q88" s="332"/>
      <c r="R88" s="332"/>
      <c r="S88" s="146"/>
      <c r="T88" s="145"/>
      <c r="U88" s="148"/>
      <c r="V88" s="332"/>
      <c r="W88" s="332"/>
      <c r="X88"/>
    </row>
    <row r="89" spans="1:24" ht="15.5">
      <c r="A89" s="138"/>
      <c r="B89" s="133"/>
      <c r="C89" s="134"/>
      <c r="D89" s="135"/>
      <c r="E89" s="135"/>
      <c r="F89" s="135"/>
      <c r="G89" s="135"/>
      <c r="H89" s="136"/>
      <c r="I89" s="135"/>
      <c r="J89" s="134"/>
      <c r="K89" s="135"/>
      <c r="L89" s="135"/>
      <c r="M89" s="136"/>
      <c r="N89" s="135"/>
      <c r="O89" s="134"/>
      <c r="P89" s="136"/>
      <c r="Q89" s="136"/>
      <c r="R89" s="136"/>
      <c r="S89" s="135"/>
      <c r="T89" s="134"/>
      <c r="U89" s="137"/>
      <c r="V89" s="136"/>
      <c r="W89" s="136"/>
      <c r="X89"/>
    </row>
    <row r="90" spans="1:24" ht="15.5">
      <c r="A90" s="138"/>
      <c r="B90" s="139"/>
      <c r="C90" s="140"/>
      <c r="D90" s="141"/>
      <c r="E90" s="141"/>
      <c r="F90" s="141"/>
      <c r="G90" s="141"/>
      <c r="H90" s="142"/>
      <c r="I90" s="141"/>
      <c r="J90" s="140"/>
      <c r="K90" s="141"/>
      <c r="L90" s="141"/>
      <c r="M90" s="142"/>
      <c r="N90" s="141"/>
      <c r="O90" s="140"/>
      <c r="P90" s="142"/>
      <c r="Q90" s="142"/>
      <c r="R90" s="142"/>
      <c r="S90" s="141"/>
      <c r="T90" s="140"/>
      <c r="U90" s="143"/>
      <c r="V90" s="142"/>
      <c r="W90" s="142"/>
      <c r="X90"/>
    </row>
    <row r="91" spans="1:24" s="149" customFormat="1" ht="15.5">
      <c r="A91" s="138"/>
      <c r="B91" s="144"/>
      <c r="C91" s="145"/>
      <c r="D91" s="146"/>
      <c r="E91" s="146"/>
      <c r="F91" s="146"/>
      <c r="G91" s="146"/>
      <c r="H91" s="332"/>
      <c r="I91" s="146"/>
      <c r="J91" s="145"/>
      <c r="K91" s="146"/>
      <c r="L91" s="146"/>
      <c r="M91" s="332"/>
      <c r="N91" s="146"/>
      <c r="O91" s="145"/>
      <c r="P91" s="332"/>
      <c r="Q91" s="332"/>
      <c r="R91" s="332"/>
      <c r="S91" s="146"/>
      <c r="T91" s="145"/>
      <c r="U91" s="148"/>
      <c r="V91" s="332"/>
      <c r="W91" s="332"/>
      <c r="X91"/>
    </row>
    <row r="92" spans="1:24" ht="15.5">
      <c r="A92" s="138"/>
      <c r="B92" s="133"/>
      <c r="C92" s="134"/>
      <c r="D92" s="135"/>
      <c r="E92" s="135"/>
      <c r="F92" s="135"/>
      <c r="G92" s="135"/>
      <c r="H92" s="136"/>
      <c r="I92" s="135"/>
      <c r="J92" s="134"/>
      <c r="K92" s="135"/>
      <c r="L92" s="135"/>
      <c r="M92" s="136"/>
      <c r="N92" s="135"/>
      <c r="O92" s="134"/>
      <c r="P92" s="136"/>
      <c r="Q92" s="136"/>
      <c r="R92" s="136"/>
      <c r="S92" s="135"/>
      <c r="T92" s="134"/>
      <c r="U92" s="137"/>
      <c r="V92" s="136"/>
      <c r="W92" s="136"/>
      <c r="X92"/>
    </row>
    <row r="93" spans="1:24" ht="15.5">
      <c r="A93" s="138"/>
      <c r="B93" s="139"/>
      <c r="C93" s="140"/>
      <c r="D93" s="141"/>
      <c r="E93" s="141"/>
      <c r="F93" s="141"/>
      <c r="G93" s="141"/>
      <c r="H93" s="142"/>
      <c r="I93" s="141"/>
      <c r="J93" s="140"/>
      <c r="K93" s="141"/>
      <c r="L93" s="141"/>
      <c r="M93" s="142"/>
      <c r="N93" s="141"/>
      <c r="O93" s="140"/>
      <c r="P93" s="142"/>
      <c r="Q93" s="142"/>
      <c r="R93" s="142"/>
      <c r="S93" s="141"/>
      <c r="T93" s="140"/>
      <c r="U93" s="143"/>
      <c r="V93" s="142"/>
      <c r="W93" s="142"/>
      <c r="X93"/>
    </row>
    <row r="94" spans="1:24" s="149" customFormat="1" ht="15.5">
      <c r="A94" s="138"/>
      <c r="B94" s="144"/>
      <c r="C94" s="145"/>
      <c r="D94" s="146"/>
      <c r="E94" s="146"/>
      <c r="F94" s="146"/>
      <c r="G94" s="146"/>
      <c r="H94" s="332"/>
      <c r="I94" s="146"/>
      <c r="J94" s="145"/>
      <c r="K94" s="146"/>
      <c r="L94" s="146"/>
      <c r="M94" s="332"/>
      <c r="N94" s="146"/>
      <c r="O94" s="145"/>
      <c r="P94" s="332"/>
      <c r="Q94" s="332"/>
      <c r="R94" s="332"/>
      <c r="S94" s="146"/>
      <c r="T94" s="145"/>
      <c r="U94" s="148"/>
      <c r="V94" s="332"/>
      <c r="W94" s="332"/>
      <c r="X94"/>
    </row>
    <row r="95" spans="1:24" ht="15.5">
      <c r="A95" s="138"/>
      <c r="B95" s="133"/>
      <c r="C95" s="134"/>
      <c r="D95" s="135"/>
      <c r="E95" s="135"/>
      <c r="F95" s="135"/>
      <c r="G95" s="135"/>
      <c r="H95" s="136"/>
      <c r="I95" s="135"/>
      <c r="J95" s="134"/>
      <c r="K95" s="135"/>
      <c r="L95" s="135"/>
      <c r="M95" s="136"/>
      <c r="N95" s="135"/>
      <c r="O95" s="134"/>
      <c r="P95" s="136"/>
      <c r="Q95" s="136"/>
      <c r="R95" s="136"/>
      <c r="S95" s="135"/>
      <c r="T95" s="134"/>
      <c r="U95" s="137"/>
      <c r="V95" s="136"/>
      <c r="W95" s="136"/>
      <c r="X95"/>
    </row>
    <row r="96" spans="1:24" ht="15.5">
      <c r="A96" s="138"/>
      <c r="B96" s="139"/>
      <c r="C96" s="140"/>
      <c r="D96" s="141"/>
      <c r="E96" s="141"/>
      <c r="F96" s="141"/>
      <c r="G96" s="141"/>
      <c r="H96" s="142"/>
      <c r="I96" s="141"/>
      <c r="J96" s="140"/>
      <c r="K96" s="141"/>
      <c r="L96" s="141"/>
      <c r="M96" s="142"/>
      <c r="N96" s="141"/>
      <c r="O96" s="140"/>
      <c r="P96" s="142"/>
      <c r="Q96" s="142"/>
      <c r="R96" s="142"/>
      <c r="S96" s="141"/>
      <c r="T96" s="140"/>
      <c r="U96" s="143"/>
      <c r="V96" s="142"/>
      <c r="W96" s="142"/>
      <c r="X96"/>
    </row>
    <row r="97" spans="1:24" s="149" customFormat="1" ht="15.5">
      <c r="A97" s="138"/>
      <c r="B97" s="144"/>
      <c r="C97" s="145"/>
      <c r="D97" s="146"/>
      <c r="E97" s="146"/>
      <c r="F97" s="146"/>
      <c r="G97" s="146"/>
      <c r="H97" s="332"/>
      <c r="I97" s="146"/>
      <c r="J97" s="145"/>
      <c r="K97" s="146"/>
      <c r="L97" s="146"/>
      <c r="M97" s="332"/>
      <c r="N97" s="146"/>
      <c r="O97" s="145"/>
      <c r="P97" s="332"/>
      <c r="Q97" s="332"/>
      <c r="R97" s="332"/>
      <c r="S97" s="146"/>
      <c r="T97" s="145"/>
      <c r="U97" s="148"/>
      <c r="V97" s="332"/>
      <c r="W97" s="332"/>
      <c r="X97"/>
    </row>
    <row r="98" spans="1:24" ht="15.5">
      <c r="A98" s="138"/>
      <c r="B98" s="133"/>
      <c r="C98" s="134"/>
      <c r="D98" s="135"/>
      <c r="E98" s="135"/>
      <c r="F98" s="135"/>
      <c r="G98" s="135"/>
      <c r="H98" s="136"/>
      <c r="I98" s="135"/>
      <c r="J98" s="134"/>
      <c r="K98" s="135"/>
      <c r="L98" s="135"/>
      <c r="M98" s="136"/>
      <c r="N98" s="135"/>
      <c r="O98" s="134"/>
      <c r="P98" s="136"/>
      <c r="Q98" s="136"/>
      <c r="R98" s="136"/>
      <c r="S98" s="135"/>
      <c r="T98" s="134"/>
      <c r="U98" s="137"/>
      <c r="V98" s="136"/>
      <c r="W98" s="136"/>
      <c r="X98"/>
    </row>
    <row r="99" spans="1:24" ht="15.5">
      <c r="A99" s="138"/>
      <c r="B99" s="139"/>
      <c r="C99" s="140"/>
      <c r="D99" s="141"/>
      <c r="E99" s="141"/>
      <c r="F99" s="141"/>
      <c r="G99" s="141"/>
      <c r="H99" s="142"/>
      <c r="I99" s="141"/>
      <c r="J99" s="140"/>
      <c r="K99" s="141"/>
      <c r="L99" s="141"/>
      <c r="M99" s="142"/>
      <c r="N99" s="141"/>
      <c r="O99" s="140"/>
      <c r="P99" s="142"/>
      <c r="Q99" s="142"/>
      <c r="R99" s="142"/>
      <c r="S99" s="141"/>
      <c r="T99" s="140"/>
      <c r="U99" s="143"/>
      <c r="V99" s="142"/>
      <c r="W99" s="142"/>
      <c r="X99"/>
    </row>
    <row r="100" spans="1:24" s="149" customFormat="1" ht="15.5">
      <c r="A100" s="138"/>
      <c r="B100" s="144"/>
      <c r="C100" s="145"/>
      <c r="D100" s="146"/>
      <c r="E100" s="146"/>
      <c r="F100" s="146"/>
      <c r="G100" s="146"/>
      <c r="H100" s="332"/>
      <c r="I100" s="146"/>
      <c r="J100" s="145"/>
      <c r="K100" s="146"/>
      <c r="L100" s="146"/>
      <c r="M100" s="332"/>
      <c r="N100" s="146"/>
      <c r="O100" s="145"/>
      <c r="P100" s="332"/>
      <c r="Q100" s="332"/>
      <c r="R100" s="332"/>
      <c r="S100" s="146"/>
      <c r="T100" s="145"/>
      <c r="U100" s="148"/>
      <c r="V100" s="332"/>
      <c r="W100" s="332"/>
      <c r="X100"/>
    </row>
    <row r="101" spans="1:24" ht="15.5">
      <c r="A101" s="138"/>
      <c r="B101" s="133"/>
      <c r="C101" s="134"/>
      <c r="D101" s="135"/>
      <c r="E101" s="135"/>
      <c r="F101" s="135"/>
      <c r="G101" s="135"/>
      <c r="H101" s="136"/>
      <c r="I101" s="135"/>
      <c r="J101" s="134"/>
      <c r="K101" s="135"/>
      <c r="L101" s="135"/>
      <c r="M101" s="136"/>
      <c r="N101" s="135"/>
      <c r="O101" s="134"/>
      <c r="P101" s="136"/>
      <c r="Q101" s="136"/>
      <c r="R101" s="136"/>
      <c r="S101" s="135"/>
      <c r="T101" s="134"/>
      <c r="U101" s="137"/>
      <c r="V101" s="136"/>
      <c r="W101" s="136"/>
      <c r="X101"/>
    </row>
    <row r="102" spans="1:24" ht="15.5">
      <c r="A102" s="138"/>
      <c r="B102" s="139"/>
      <c r="C102" s="140"/>
      <c r="D102" s="141"/>
      <c r="E102" s="141"/>
      <c r="F102" s="141"/>
      <c r="G102" s="141"/>
      <c r="H102" s="142"/>
      <c r="I102" s="141"/>
      <c r="J102" s="140"/>
      <c r="K102" s="141"/>
      <c r="L102" s="141"/>
      <c r="M102" s="142"/>
      <c r="N102" s="141"/>
      <c r="O102" s="140"/>
      <c r="P102" s="142"/>
      <c r="Q102" s="142"/>
      <c r="R102" s="142"/>
      <c r="S102" s="141"/>
      <c r="T102" s="140"/>
      <c r="U102" s="143"/>
      <c r="V102" s="142"/>
      <c r="W102" s="142"/>
      <c r="X102"/>
    </row>
    <row r="103" spans="1:24" s="149" customFormat="1" ht="15.5">
      <c r="A103" s="138"/>
      <c r="B103" s="144"/>
      <c r="C103" s="145"/>
      <c r="D103" s="146"/>
      <c r="E103" s="146"/>
      <c r="F103" s="146"/>
      <c r="G103" s="146"/>
      <c r="H103" s="332"/>
      <c r="I103" s="146"/>
      <c r="J103" s="145"/>
      <c r="K103" s="146"/>
      <c r="L103" s="146"/>
      <c r="M103" s="332"/>
      <c r="N103" s="146"/>
      <c r="O103" s="145"/>
      <c r="P103" s="332"/>
      <c r="Q103" s="332"/>
      <c r="R103" s="332"/>
      <c r="S103" s="146"/>
      <c r="T103" s="145"/>
      <c r="U103" s="148"/>
      <c r="V103" s="332"/>
      <c r="W103" s="332"/>
      <c r="X103"/>
    </row>
    <row r="104" spans="1:24" ht="15.5">
      <c r="A104" s="138"/>
      <c r="B104" s="133"/>
      <c r="C104" s="134"/>
      <c r="D104" s="135"/>
      <c r="E104" s="135"/>
      <c r="F104" s="135"/>
      <c r="G104" s="135"/>
      <c r="H104" s="136"/>
      <c r="I104" s="135"/>
      <c r="J104" s="134"/>
      <c r="K104" s="135"/>
      <c r="L104" s="135"/>
      <c r="M104" s="136"/>
      <c r="N104" s="135"/>
      <c r="O104" s="134"/>
      <c r="P104" s="136"/>
      <c r="Q104" s="136"/>
      <c r="R104" s="136"/>
      <c r="S104" s="135"/>
      <c r="T104" s="134"/>
      <c r="U104" s="137"/>
      <c r="V104" s="136"/>
      <c r="W104" s="136"/>
      <c r="X104"/>
    </row>
    <row r="105" spans="1:24" ht="15.5">
      <c r="A105" s="138"/>
      <c r="B105" s="139"/>
      <c r="C105" s="140"/>
      <c r="D105" s="141"/>
      <c r="E105" s="141"/>
      <c r="F105" s="141"/>
      <c r="G105" s="141"/>
      <c r="H105" s="142"/>
      <c r="I105" s="141"/>
      <c r="J105" s="140"/>
      <c r="K105" s="141"/>
      <c r="L105" s="141"/>
      <c r="M105" s="142"/>
      <c r="N105" s="141"/>
      <c r="O105" s="140"/>
      <c r="P105" s="142"/>
      <c r="Q105" s="142"/>
      <c r="R105" s="142"/>
      <c r="S105" s="141"/>
      <c r="T105" s="140"/>
      <c r="U105" s="143"/>
      <c r="V105" s="142"/>
      <c r="W105" s="142"/>
      <c r="X105"/>
    </row>
    <row r="106" spans="1:24" s="149" customFormat="1" ht="15.5">
      <c r="A106" s="138"/>
      <c r="B106" s="144"/>
      <c r="C106" s="145"/>
      <c r="D106" s="146"/>
      <c r="E106" s="146"/>
      <c r="F106" s="146"/>
      <c r="G106" s="146"/>
      <c r="H106" s="332"/>
      <c r="I106" s="146"/>
      <c r="J106" s="145"/>
      <c r="K106" s="146"/>
      <c r="L106" s="146"/>
      <c r="M106" s="332"/>
      <c r="N106" s="146"/>
      <c r="O106" s="145"/>
      <c r="P106" s="332"/>
      <c r="Q106" s="332"/>
      <c r="R106" s="332"/>
      <c r="S106" s="146"/>
      <c r="T106" s="145"/>
      <c r="U106" s="148"/>
      <c r="V106" s="332"/>
      <c r="W106" s="332"/>
      <c r="X106"/>
    </row>
    <row r="107" spans="1:24" ht="15.5">
      <c r="A107" s="138"/>
      <c r="B107" s="133"/>
      <c r="C107" s="134"/>
      <c r="D107" s="135"/>
      <c r="E107" s="135"/>
      <c r="F107" s="135"/>
      <c r="G107" s="135"/>
      <c r="H107" s="136"/>
      <c r="I107" s="135"/>
      <c r="J107" s="134"/>
      <c r="K107" s="135"/>
      <c r="L107" s="135"/>
      <c r="M107" s="136"/>
      <c r="N107" s="135"/>
      <c r="O107" s="134"/>
      <c r="P107" s="136"/>
      <c r="Q107" s="136"/>
      <c r="R107" s="136"/>
      <c r="S107" s="135"/>
      <c r="T107" s="134"/>
      <c r="U107" s="137"/>
      <c r="V107" s="136"/>
      <c r="W107" s="136"/>
      <c r="X107"/>
    </row>
    <row r="108" spans="1:24" ht="15.5">
      <c r="A108" s="138"/>
      <c r="B108" s="139"/>
      <c r="C108" s="155"/>
      <c r="D108" s="141"/>
      <c r="E108" s="141"/>
      <c r="F108" s="141"/>
      <c r="G108" s="141"/>
      <c r="H108" s="142"/>
      <c r="I108" s="141"/>
      <c r="J108" s="140"/>
      <c r="K108" s="141"/>
      <c r="L108" s="141"/>
      <c r="M108" s="142"/>
      <c r="N108" s="141"/>
      <c r="O108" s="140"/>
      <c r="P108" s="142"/>
      <c r="Q108" s="142"/>
      <c r="R108" s="142"/>
      <c r="S108" s="141"/>
      <c r="T108" s="140"/>
      <c r="U108" s="143"/>
      <c r="V108" s="142"/>
      <c r="W108" s="142"/>
      <c r="X108"/>
    </row>
    <row r="109" spans="1:24" s="149" customFormat="1" ht="15.5">
      <c r="A109" s="138"/>
      <c r="B109" s="144"/>
      <c r="C109" s="146"/>
      <c r="D109" s="146"/>
      <c r="E109" s="146"/>
      <c r="F109" s="146"/>
      <c r="G109" s="146"/>
      <c r="H109" s="332"/>
      <c r="I109" s="146"/>
      <c r="J109" s="145"/>
      <c r="K109" s="146"/>
      <c r="L109" s="146"/>
      <c r="M109" s="332"/>
      <c r="N109" s="146"/>
      <c r="O109" s="145"/>
      <c r="P109" s="332"/>
      <c r="Q109" s="332"/>
      <c r="R109" s="332"/>
      <c r="S109" s="146"/>
      <c r="T109" s="145"/>
      <c r="U109" s="148"/>
      <c r="V109" s="332"/>
      <c r="W109" s="332"/>
      <c r="X109"/>
    </row>
    <row r="110" spans="1:24" ht="15.5">
      <c r="A110" s="138"/>
      <c r="B110" s="133"/>
      <c r="C110" s="140"/>
      <c r="D110" s="135"/>
      <c r="E110" s="141"/>
      <c r="F110" s="135"/>
      <c r="G110" s="135"/>
      <c r="H110" s="136"/>
      <c r="I110" s="135"/>
      <c r="J110" s="134"/>
      <c r="K110" s="135"/>
      <c r="L110" s="135"/>
      <c r="M110" s="136"/>
      <c r="N110" s="135"/>
      <c r="O110" s="134"/>
      <c r="P110" s="136"/>
      <c r="Q110" s="136"/>
      <c r="R110" s="136"/>
      <c r="S110" s="135"/>
      <c r="T110" s="134"/>
      <c r="U110" s="137"/>
      <c r="V110" s="136"/>
      <c r="W110" s="136"/>
      <c r="X110"/>
    </row>
    <row r="111" spans="1:24" s="149" customFormat="1" ht="15.5">
      <c r="A111" s="153"/>
      <c r="B111" s="139"/>
      <c r="C111" s="140"/>
      <c r="D111" s="141"/>
      <c r="E111" s="141"/>
      <c r="F111" s="141"/>
      <c r="G111" s="141"/>
      <c r="H111" s="142"/>
      <c r="I111" s="141"/>
      <c r="J111" s="140"/>
      <c r="K111" s="141"/>
      <c r="L111" s="141"/>
      <c r="M111" s="142"/>
      <c r="N111" s="141"/>
      <c r="O111" s="140"/>
      <c r="P111" s="142"/>
      <c r="Q111" s="142"/>
      <c r="R111" s="142"/>
      <c r="S111" s="141"/>
      <c r="T111" s="140"/>
      <c r="U111" s="143"/>
      <c r="V111" s="142"/>
      <c r="W111" s="142"/>
      <c r="X111"/>
    </row>
    <row r="112" spans="1:24" ht="15.5">
      <c r="A112" s="132"/>
      <c r="B112" s="133"/>
      <c r="C112" s="134"/>
      <c r="D112" s="135"/>
      <c r="E112" s="135"/>
      <c r="F112" s="135"/>
      <c r="G112" s="135"/>
      <c r="H112" s="136"/>
      <c r="I112" s="135"/>
      <c r="J112" s="134"/>
      <c r="K112" s="135"/>
      <c r="L112" s="135"/>
      <c r="M112" s="136"/>
      <c r="N112" s="135"/>
      <c r="O112" s="134"/>
      <c r="P112" s="136"/>
      <c r="Q112" s="136"/>
      <c r="R112" s="136"/>
      <c r="S112" s="135"/>
      <c r="T112" s="134"/>
      <c r="U112" s="137"/>
      <c r="V112" s="136"/>
      <c r="W112" s="136"/>
      <c r="X112"/>
    </row>
    <row r="113" spans="1:24" ht="15.5">
      <c r="A113" s="138"/>
      <c r="B113" s="139"/>
      <c r="C113" s="140"/>
      <c r="D113" s="141"/>
      <c r="E113" s="141"/>
      <c r="F113" s="141"/>
      <c r="G113" s="141"/>
      <c r="H113" s="142"/>
      <c r="I113" s="141"/>
      <c r="J113" s="140"/>
      <c r="K113" s="141"/>
      <c r="L113" s="141"/>
      <c r="M113" s="142"/>
      <c r="N113" s="141"/>
      <c r="O113" s="140"/>
      <c r="P113" s="142"/>
      <c r="Q113" s="142"/>
      <c r="R113" s="142"/>
      <c r="S113" s="141"/>
      <c r="T113" s="140"/>
      <c r="U113" s="143"/>
      <c r="V113" s="142"/>
      <c r="W113" s="142"/>
      <c r="X113"/>
    </row>
    <row r="114" spans="1:24" s="149" customFormat="1" ht="15.5">
      <c r="A114" s="138"/>
      <c r="B114" s="144"/>
      <c r="C114" s="145"/>
      <c r="D114" s="146"/>
      <c r="E114" s="146"/>
      <c r="F114" s="146"/>
      <c r="G114" s="146"/>
      <c r="H114" s="332"/>
      <c r="I114" s="146"/>
      <c r="J114" s="145"/>
      <c r="K114" s="146"/>
      <c r="L114" s="147"/>
      <c r="M114" s="332"/>
      <c r="N114" s="146"/>
      <c r="O114" s="145"/>
      <c r="P114" s="332"/>
      <c r="Q114" s="332"/>
      <c r="R114" s="146"/>
      <c r="S114" s="148"/>
      <c r="T114" s="146"/>
      <c r="U114" s="148"/>
      <c r="V114" s="332"/>
      <c r="W114" s="332"/>
      <c r="X114"/>
    </row>
    <row r="115" spans="1:24" ht="15.5">
      <c r="A115" s="138"/>
      <c r="B115" s="133"/>
      <c r="C115" s="134"/>
      <c r="D115" s="141"/>
      <c r="E115" s="141"/>
      <c r="F115" s="135"/>
      <c r="G115" s="135"/>
      <c r="H115" s="136"/>
      <c r="I115" s="135"/>
      <c r="J115" s="134"/>
      <c r="K115" s="135"/>
      <c r="L115" s="141"/>
      <c r="M115" s="136"/>
      <c r="N115" s="135"/>
      <c r="O115" s="134"/>
      <c r="P115" s="136"/>
      <c r="Q115" s="136"/>
      <c r="R115" s="136"/>
      <c r="S115" s="141"/>
      <c r="T115" s="134"/>
      <c r="U115" s="137"/>
      <c r="V115" s="136"/>
      <c r="W115" s="136"/>
      <c r="X115"/>
    </row>
    <row r="116" spans="1:24" ht="15.5">
      <c r="A116" s="138"/>
      <c r="B116" s="139"/>
      <c r="C116" s="140"/>
      <c r="D116" s="141"/>
      <c r="E116" s="141"/>
      <c r="F116" s="141"/>
      <c r="G116" s="141"/>
      <c r="H116" s="142"/>
      <c r="I116" s="141"/>
      <c r="J116" s="140"/>
      <c r="K116" s="141"/>
      <c r="L116" s="141"/>
      <c r="M116" s="142"/>
      <c r="N116" s="141"/>
      <c r="O116" s="140"/>
      <c r="P116" s="142"/>
      <c r="Q116" s="142"/>
      <c r="R116" s="142"/>
      <c r="S116" s="141"/>
      <c r="T116" s="140"/>
      <c r="U116" s="143"/>
      <c r="V116" s="142"/>
      <c r="W116" s="142"/>
      <c r="X116"/>
    </row>
    <row r="117" spans="1:24" s="149" customFormat="1" ht="15.5">
      <c r="A117" s="138"/>
      <c r="B117" s="144"/>
      <c r="C117" s="145"/>
      <c r="D117" s="146"/>
      <c r="E117" s="146"/>
      <c r="F117" s="146"/>
      <c r="G117" s="146"/>
      <c r="H117" s="332"/>
      <c r="I117" s="146"/>
      <c r="J117" s="145"/>
      <c r="K117" s="146"/>
      <c r="L117" s="146"/>
      <c r="M117" s="332"/>
      <c r="N117" s="146"/>
      <c r="O117" s="145"/>
      <c r="P117" s="332"/>
      <c r="Q117" s="332"/>
      <c r="R117" s="332"/>
      <c r="S117" s="146"/>
      <c r="T117" s="145"/>
      <c r="U117" s="148"/>
      <c r="V117" s="332"/>
      <c r="W117" s="332"/>
      <c r="X117"/>
    </row>
    <row r="118" spans="1:24" ht="15.5">
      <c r="A118" s="138"/>
      <c r="B118" s="133"/>
      <c r="C118" s="134"/>
      <c r="D118" s="135"/>
      <c r="E118" s="135"/>
      <c r="F118" s="135"/>
      <c r="G118" s="135"/>
      <c r="H118" s="136"/>
      <c r="I118" s="135"/>
      <c r="J118" s="134"/>
      <c r="K118" s="135"/>
      <c r="L118" s="135"/>
      <c r="M118" s="136"/>
      <c r="N118" s="135"/>
      <c r="O118" s="134"/>
      <c r="P118" s="136"/>
      <c r="Q118" s="136"/>
      <c r="R118" s="136"/>
      <c r="S118" s="135"/>
      <c r="T118" s="134"/>
      <c r="U118" s="137"/>
      <c r="V118" s="136"/>
      <c r="W118" s="136"/>
      <c r="X118"/>
    </row>
    <row r="119" spans="1:24" ht="15.5">
      <c r="A119" s="138"/>
      <c r="B119" s="139"/>
      <c r="C119" s="140"/>
      <c r="D119" s="141"/>
      <c r="E119" s="141"/>
      <c r="F119" s="141"/>
      <c r="G119" s="141"/>
      <c r="H119" s="142"/>
      <c r="I119" s="141"/>
      <c r="J119" s="140"/>
      <c r="K119" s="141"/>
      <c r="L119" s="141"/>
      <c r="M119" s="142"/>
      <c r="N119" s="141"/>
      <c r="O119" s="140"/>
      <c r="P119" s="142"/>
      <c r="Q119" s="142"/>
      <c r="R119" s="142"/>
      <c r="S119" s="141"/>
      <c r="T119" s="140"/>
      <c r="U119" s="143"/>
      <c r="V119" s="142"/>
      <c r="W119" s="142"/>
      <c r="X119"/>
    </row>
    <row r="120" spans="1:24" s="149" customFormat="1" ht="15.5">
      <c r="A120" s="138"/>
      <c r="B120" s="144"/>
      <c r="C120" s="145"/>
      <c r="D120" s="146"/>
      <c r="E120" s="146"/>
      <c r="F120" s="146"/>
      <c r="G120" s="146"/>
      <c r="H120" s="332"/>
      <c r="I120" s="146"/>
      <c r="J120" s="145"/>
      <c r="K120" s="146"/>
      <c r="L120" s="146"/>
      <c r="M120" s="332"/>
      <c r="N120" s="146"/>
      <c r="O120" s="145"/>
      <c r="P120" s="332"/>
      <c r="Q120" s="332"/>
      <c r="R120" s="332"/>
      <c r="S120" s="146"/>
      <c r="T120" s="145"/>
      <c r="U120" s="148"/>
      <c r="V120" s="332"/>
      <c r="W120" s="332"/>
      <c r="X120"/>
    </row>
    <row r="121" spans="1:24" ht="15.5">
      <c r="A121" s="138"/>
      <c r="B121" s="133"/>
      <c r="C121" s="134"/>
      <c r="D121" s="135"/>
      <c r="E121" s="135"/>
      <c r="F121" s="135"/>
      <c r="G121" s="135"/>
      <c r="H121" s="136"/>
      <c r="I121" s="135"/>
      <c r="J121" s="134"/>
      <c r="K121" s="135"/>
      <c r="L121" s="135"/>
      <c r="M121" s="136"/>
      <c r="N121" s="135"/>
      <c r="O121" s="134"/>
      <c r="P121" s="136"/>
      <c r="Q121" s="136"/>
      <c r="R121" s="136"/>
      <c r="S121" s="135"/>
      <c r="T121" s="134"/>
      <c r="U121" s="137"/>
      <c r="V121" s="136"/>
      <c r="W121" s="136"/>
      <c r="X121"/>
    </row>
    <row r="122" spans="1:24" ht="15.5">
      <c r="A122" s="138"/>
      <c r="B122" s="139"/>
      <c r="C122" s="140"/>
      <c r="D122" s="141"/>
      <c r="E122" s="141"/>
      <c r="F122" s="141"/>
      <c r="G122" s="141"/>
      <c r="H122" s="142"/>
      <c r="I122" s="141"/>
      <c r="J122" s="140"/>
      <c r="K122" s="141"/>
      <c r="L122" s="141"/>
      <c r="M122" s="142"/>
      <c r="N122" s="141"/>
      <c r="O122" s="140"/>
      <c r="P122" s="142"/>
      <c r="Q122" s="142"/>
      <c r="R122" s="142"/>
      <c r="S122" s="141"/>
      <c r="T122" s="140"/>
      <c r="U122" s="143"/>
      <c r="V122" s="142"/>
      <c r="W122" s="142"/>
      <c r="X122"/>
    </row>
    <row r="123" spans="1:24" s="149" customFormat="1" ht="15.5">
      <c r="A123" s="138"/>
      <c r="B123" s="144"/>
      <c r="C123" s="145"/>
      <c r="D123" s="146"/>
      <c r="E123" s="146"/>
      <c r="F123" s="146"/>
      <c r="G123" s="146"/>
      <c r="H123" s="332"/>
      <c r="I123" s="146"/>
      <c r="J123" s="145"/>
      <c r="K123" s="146"/>
      <c r="L123" s="146"/>
      <c r="M123" s="332"/>
      <c r="N123" s="146"/>
      <c r="O123" s="145"/>
      <c r="P123" s="332"/>
      <c r="Q123" s="332"/>
      <c r="R123" s="332"/>
      <c r="S123" s="146"/>
      <c r="T123" s="145"/>
      <c r="U123" s="148"/>
      <c r="V123" s="332"/>
      <c r="W123" s="332"/>
      <c r="X123"/>
    </row>
    <row r="124" spans="1:24" ht="15.5">
      <c r="A124" s="138"/>
      <c r="B124" s="133"/>
      <c r="C124" s="134"/>
      <c r="D124" s="135"/>
      <c r="E124" s="135"/>
      <c r="F124" s="135"/>
      <c r="G124" s="135"/>
      <c r="H124" s="136"/>
      <c r="I124" s="135"/>
      <c r="J124" s="134"/>
      <c r="K124" s="135"/>
      <c r="L124" s="135"/>
      <c r="M124" s="136"/>
      <c r="N124" s="135"/>
      <c r="O124" s="134"/>
      <c r="P124" s="136"/>
      <c r="Q124" s="136"/>
      <c r="R124" s="136"/>
      <c r="S124" s="135"/>
      <c r="T124" s="134"/>
      <c r="U124" s="137"/>
      <c r="V124" s="136"/>
      <c r="W124" s="136"/>
      <c r="X124"/>
    </row>
    <row r="125" spans="1:24" ht="15.5">
      <c r="A125" s="138"/>
      <c r="B125" s="139"/>
      <c r="C125" s="140"/>
      <c r="D125" s="141"/>
      <c r="E125" s="141"/>
      <c r="F125" s="141"/>
      <c r="G125" s="141"/>
      <c r="H125" s="142"/>
      <c r="I125" s="141"/>
      <c r="J125" s="140"/>
      <c r="K125" s="141"/>
      <c r="L125" s="141"/>
      <c r="M125" s="142"/>
      <c r="N125" s="141"/>
      <c r="O125" s="140"/>
      <c r="P125" s="142"/>
      <c r="Q125" s="142"/>
      <c r="R125" s="142"/>
      <c r="S125" s="141"/>
      <c r="T125" s="140"/>
      <c r="U125" s="143"/>
      <c r="V125" s="142"/>
      <c r="W125" s="142"/>
      <c r="X125"/>
    </row>
    <row r="126" spans="1:24" s="149" customFormat="1" ht="15.5">
      <c r="A126" s="138"/>
      <c r="B126" s="144"/>
      <c r="C126" s="156"/>
      <c r="D126" s="151"/>
      <c r="E126" s="146"/>
      <c r="F126" s="146"/>
      <c r="G126" s="146"/>
      <c r="H126" s="332"/>
      <c r="I126" s="146"/>
      <c r="J126" s="145"/>
      <c r="K126" s="146"/>
      <c r="L126" s="146"/>
      <c r="M126" s="332"/>
      <c r="N126" s="146"/>
      <c r="O126" s="145"/>
      <c r="P126" s="332"/>
      <c r="Q126" s="332"/>
      <c r="R126" s="332"/>
      <c r="S126" s="146"/>
      <c r="T126" s="145"/>
      <c r="U126" s="148"/>
      <c r="V126" s="332"/>
      <c r="W126" s="332"/>
      <c r="X126"/>
    </row>
    <row r="127" spans="1:24" ht="15.5">
      <c r="A127" s="138"/>
      <c r="B127" s="133"/>
      <c r="C127" s="134"/>
      <c r="D127" s="135"/>
      <c r="E127" s="135"/>
      <c r="F127" s="135"/>
      <c r="G127" s="135"/>
      <c r="H127" s="136"/>
      <c r="I127" s="135"/>
      <c r="J127" s="134"/>
      <c r="K127" s="135"/>
      <c r="L127" s="135"/>
      <c r="M127" s="136"/>
      <c r="N127" s="135"/>
      <c r="O127" s="134"/>
      <c r="P127" s="136"/>
      <c r="Q127" s="136"/>
      <c r="R127" s="136"/>
      <c r="S127" s="135"/>
      <c r="T127" s="134"/>
      <c r="U127" s="137"/>
      <c r="V127" s="136"/>
      <c r="W127" s="136"/>
      <c r="X127"/>
    </row>
    <row r="128" spans="1:24" ht="15.5">
      <c r="A128" s="138"/>
      <c r="B128" s="139"/>
      <c r="C128" s="140"/>
      <c r="D128" s="141"/>
      <c r="E128" s="141"/>
      <c r="F128" s="141"/>
      <c r="G128" s="141"/>
      <c r="H128" s="142"/>
      <c r="I128" s="141"/>
      <c r="J128" s="140"/>
      <c r="K128" s="141"/>
      <c r="L128" s="141"/>
      <c r="M128" s="142"/>
      <c r="N128" s="141"/>
      <c r="O128" s="140"/>
      <c r="P128" s="142"/>
      <c r="Q128" s="142"/>
      <c r="R128" s="142"/>
      <c r="S128" s="141"/>
      <c r="T128" s="140"/>
      <c r="U128" s="143"/>
      <c r="V128" s="142"/>
      <c r="W128" s="142"/>
      <c r="X128"/>
    </row>
    <row r="129" spans="1:24" s="149" customFormat="1" ht="15.5">
      <c r="A129" s="138"/>
      <c r="B129" s="144"/>
      <c r="C129" s="145"/>
      <c r="D129" s="146"/>
      <c r="E129" s="146"/>
      <c r="F129" s="146"/>
      <c r="G129" s="146"/>
      <c r="H129" s="332"/>
      <c r="I129" s="146"/>
      <c r="J129" s="145"/>
      <c r="K129" s="146"/>
      <c r="L129" s="146"/>
      <c r="M129" s="332"/>
      <c r="N129" s="146"/>
      <c r="O129" s="145"/>
      <c r="P129" s="332"/>
      <c r="Q129" s="332"/>
      <c r="R129" s="332"/>
      <c r="S129" s="146"/>
      <c r="T129" s="145"/>
      <c r="U129" s="148"/>
      <c r="V129" s="332"/>
      <c r="W129" s="332"/>
      <c r="X129"/>
    </row>
    <row r="130" spans="1:24" ht="15.5">
      <c r="A130" s="138"/>
      <c r="B130" s="133"/>
      <c r="C130" s="134"/>
      <c r="D130" s="135"/>
      <c r="E130" s="135"/>
      <c r="F130" s="141"/>
      <c r="G130" s="135"/>
      <c r="H130" s="136"/>
      <c r="I130" s="135"/>
      <c r="J130" s="134"/>
      <c r="K130" s="135"/>
      <c r="L130" s="135"/>
      <c r="M130" s="136"/>
      <c r="N130" s="135"/>
      <c r="O130" s="134"/>
      <c r="P130" s="136"/>
      <c r="Q130" s="136"/>
      <c r="R130" s="136"/>
      <c r="S130" s="135"/>
      <c r="T130" s="134"/>
      <c r="U130" s="137"/>
      <c r="V130" s="136"/>
      <c r="W130" s="136"/>
      <c r="X130"/>
    </row>
    <row r="131" spans="1:24" ht="15.5">
      <c r="A131" s="138"/>
      <c r="B131" s="139"/>
      <c r="C131" s="140"/>
      <c r="D131" s="141"/>
      <c r="E131" s="141"/>
      <c r="F131" s="141"/>
      <c r="G131" s="141"/>
      <c r="H131" s="142"/>
      <c r="I131" s="141"/>
      <c r="J131" s="140"/>
      <c r="K131" s="141"/>
      <c r="L131" s="141"/>
      <c r="M131" s="142"/>
      <c r="N131" s="141"/>
      <c r="O131" s="140"/>
      <c r="P131" s="142"/>
      <c r="Q131" s="142"/>
      <c r="R131" s="142"/>
      <c r="S131" s="141"/>
      <c r="T131" s="140"/>
      <c r="U131" s="143"/>
      <c r="V131" s="142"/>
      <c r="W131" s="142"/>
      <c r="X131"/>
    </row>
    <row r="132" spans="1:24" s="149" customFormat="1" ht="15.5">
      <c r="A132" s="138"/>
      <c r="B132" s="144"/>
      <c r="C132" s="145"/>
      <c r="D132" s="146"/>
      <c r="E132" s="146"/>
      <c r="F132" s="146"/>
      <c r="G132" s="146"/>
      <c r="H132" s="332"/>
      <c r="I132" s="146"/>
      <c r="J132" s="145"/>
      <c r="K132" s="146"/>
      <c r="L132" s="146"/>
      <c r="M132" s="332"/>
      <c r="N132" s="146"/>
      <c r="O132" s="145"/>
      <c r="P132" s="332"/>
      <c r="Q132" s="332"/>
      <c r="R132" s="332"/>
      <c r="S132" s="146"/>
      <c r="T132" s="145"/>
      <c r="U132" s="148"/>
      <c r="V132" s="332"/>
      <c r="W132" s="332"/>
      <c r="X132"/>
    </row>
    <row r="133" spans="1:24" ht="15.5">
      <c r="A133" s="138"/>
      <c r="B133" s="133"/>
      <c r="C133" s="134"/>
      <c r="D133" s="135"/>
      <c r="E133" s="141"/>
      <c r="F133" s="135"/>
      <c r="G133" s="135"/>
      <c r="H133" s="136"/>
      <c r="I133" s="135"/>
      <c r="J133" s="134"/>
      <c r="K133" s="135"/>
      <c r="L133" s="135"/>
      <c r="M133" s="136"/>
      <c r="N133" s="135"/>
      <c r="O133" s="134"/>
      <c r="P133" s="136"/>
      <c r="Q133" s="136"/>
      <c r="R133" s="136"/>
      <c r="S133" s="135"/>
      <c r="T133" s="134"/>
      <c r="U133" s="137"/>
      <c r="V133" s="136"/>
      <c r="W133" s="136"/>
      <c r="X133"/>
    </row>
    <row r="134" spans="1:24" ht="15.5">
      <c r="A134" s="138"/>
      <c r="B134" s="139"/>
      <c r="C134" s="140"/>
      <c r="D134" s="141"/>
      <c r="E134" s="141"/>
      <c r="F134" s="141"/>
      <c r="G134" s="141"/>
      <c r="H134" s="142"/>
      <c r="I134" s="141"/>
      <c r="J134" s="140"/>
      <c r="K134" s="141"/>
      <c r="L134" s="141"/>
      <c r="M134" s="142"/>
      <c r="N134" s="141"/>
      <c r="O134" s="140"/>
      <c r="P134" s="142"/>
      <c r="Q134" s="142"/>
      <c r="R134" s="142"/>
      <c r="S134" s="141"/>
      <c r="T134" s="140"/>
      <c r="U134" s="143"/>
      <c r="V134" s="142"/>
      <c r="W134" s="142"/>
      <c r="X134"/>
    </row>
    <row r="135" spans="1:24" s="149" customFormat="1" ht="15.5">
      <c r="A135" s="138"/>
      <c r="B135" s="144"/>
      <c r="C135" s="145"/>
      <c r="D135" s="146"/>
      <c r="E135" s="146"/>
      <c r="F135" s="146"/>
      <c r="G135" s="146"/>
      <c r="H135" s="332"/>
      <c r="I135" s="146"/>
      <c r="J135" s="145"/>
      <c r="K135" s="146"/>
      <c r="L135" s="146"/>
      <c r="M135" s="332"/>
      <c r="N135" s="146"/>
      <c r="O135" s="145"/>
      <c r="P135" s="332"/>
      <c r="Q135" s="332"/>
      <c r="R135" s="332"/>
      <c r="S135" s="146"/>
      <c r="T135" s="145"/>
      <c r="U135" s="148"/>
      <c r="V135" s="332"/>
      <c r="W135" s="332"/>
      <c r="X135"/>
    </row>
    <row r="136" spans="1:24" ht="15.5">
      <c r="A136" s="138"/>
      <c r="B136" s="133"/>
      <c r="C136" s="134"/>
      <c r="D136" s="135"/>
      <c r="E136" s="135"/>
      <c r="F136" s="135"/>
      <c r="G136" s="135"/>
      <c r="H136" s="136"/>
      <c r="I136" s="135"/>
      <c r="J136" s="134"/>
      <c r="K136" s="135"/>
      <c r="L136" s="135"/>
      <c r="M136" s="136"/>
      <c r="N136" s="135"/>
      <c r="O136" s="134"/>
      <c r="P136" s="136"/>
      <c r="Q136" s="136"/>
      <c r="R136" s="136"/>
      <c r="S136" s="135"/>
      <c r="T136" s="134"/>
      <c r="U136" s="137"/>
      <c r="V136" s="136"/>
      <c r="W136" s="136"/>
      <c r="X136"/>
    </row>
    <row r="137" spans="1:24" ht="15.5">
      <c r="A137" s="138"/>
      <c r="B137" s="139"/>
      <c r="C137" s="140"/>
      <c r="D137" s="141"/>
      <c r="E137" s="141"/>
      <c r="F137" s="141"/>
      <c r="G137" s="141"/>
      <c r="H137" s="142"/>
      <c r="I137" s="141"/>
      <c r="J137" s="140"/>
      <c r="K137" s="141"/>
      <c r="L137" s="141"/>
      <c r="M137" s="142"/>
      <c r="N137" s="141"/>
      <c r="O137" s="140"/>
      <c r="P137" s="142"/>
      <c r="Q137" s="142"/>
      <c r="R137" s="142"/>
      <c r="S137" s="141"/>
      <c r="T137" s="140"/>
      <c r="U137" s="143"/>
      <c r="V137" s="142"/>
      <c r="W137" s="142"/>
      <c r="X137"/>
    </row>
    <row r="138" spans="1:24" s="149" customFormat="1" ht="15.5">
      <c r="A138" s="138"/>
      <c r="B138" s="144"/>
      <c r="C138" s="145"/>
      <c r="D138" s="146"/>
      <c r="E138" s="146"/>
      <c r="F138" s="146"/>
      <c r="G138" s="146"/>
      <c r="H138" s="332"/>
      <c r="I138" s="146"/>
      <c r="J138" s="145"/>
      <c r="K138" s="146"/>
      <c r="L138" s="146"/>
      <c r="M138" s="332"/>
      <c r="N138" s="146"/>
      <c r="O138" s="145"/>
      <c r="P138" s="332"/>
      <c r="Q138" s="332"/>
      <c r="R138" s="332"/>
      <c r="S138" s="146"/>
      <c r="T138" s="145"/>
      <c r="U138" s="148"/>
      <c r="V138" s="332"/>
      <c r="W138" s="332"/>
      <c r="X138"/>
    </row>
    <row r="139" spans="1:24" ht="15.5">
      <c r="A139" s="138"/>
      <c r="B139" s="133"/>
      <c r="C139" s="134"/>
      <c r="D139" s="135"/>
      <c r="E139" s="135"/>
      <c r="F139" s="135"/>
      <c r="G139" s="135"/>
      <c r="H139" s="136"/>
      <c r="I139" s="135"/>
      <c r="J139" s="134"/>
      <c r="K139" s="135"/>
      <c r="L139" s="135"/>
      <c r="M139" s="136"/>
      <c r="N139" s="135"/>
      <c r="O139" s="134"/>
      <c r="P139" s="136"/>
      <c r="Q139" s="136"/>
      <c r="R139" s="136"/>
      <c r="S139" s="135"/>
      <c r="T139" s="134"/>
      <c r="U139" s="137"/>
      <c r="V139" s="136"/>
      <c r="W139" s="136"/>
      <c r="X139"/>
    </row>
    <row r="140" spans="1:24" ht="15.5">
      <c r="A140" s="138"/>
      <c r="B140" s="139"/>
      <c r="C140" s="140"/>
      <c r="D140" s="141"/>
      <c r="E140" s="141"/>
      <c r="F140" s="141"/>
      <c r="G140" s="141"/>
      <c r="H140" s="142"/>
      <c r="I140" s="141"/>
      <c r="J140" s="140"/>
      <c r="K140" s="141"/>
      <c r="L140" s="141"/>
      <c r="M140" s="142"/>
      <c r="N140" s="141"/>
      <c r="O140" s="140"/>
      <c r="P140" s="142"/>
      <c r="Q140" s="142"/>
      <c r="R140" s="142"/>
      <c r="S140" s="141"/>
      <c r="T140" s="140"/>
      <c r="U140" s="143"/>
      <c r="V140" s="142"/>
      <c r="W140" s="142"/>
      <c r="X140"/>
    </row>
    <row r="141" spans="1:24" s="149" customFormat="1" ht="15.5">
      <c r="A141" s="138"/>
      <c r="B141" s="144"/>
      <c r="C141" s="145"/>
      <c r="D141" s="146"/>
      <c r="E141" s="146"/>
      <c r="F141" s="146"/>
      <c r="G141" s="146"/>
      <c r="H141" s="332"/>
      <c r="I141" s="146"/>
      <c r="J141" s="145"/>
      <c r="K141" s="146"/>
      <c r="L141" s="146"/>
      <c r="M141" s="332"/>
      <c r="N141" s="146"/>
      <c r="O141" s="145"/>
      <c r="P141" s="332"/>
      <c r="Q141" s="332"/>
      <c r="R141" s="332"/>
      <c r="S141" s="146"/>
      <c r="T141" s="145"/>
      <c r="U141" s="148"/>
      <c r="V141" s="332"/>
      <c r="W141" s="332"/>
      <c r="X141"/>
    </row>
    <row r="142" spans="1:24" ht="15.5">
      <c r="A142" s="138"/>
      <c r="B142" s="133"/>
      <c r="C142" s="134"/>
      <c r="D142" s="135"/>
      <c r="E142" s="135"/>
      <c r="F142" s="135"/>
      <c r="G142" s="135"/>
      <c r="H142" s="136"/>
      <c r="I142" s="135"/>
      <c r="J142" s="134"/>
      <c r="K142" s="135"/>
      <c r="L142" s="135"/>
      <c r="M142" s="136"/>
      <c r="N142" s="135"/>
      <c r="O142" s="134"/>
      <c r="P142" s="136"/>
      <c r="Q142" s="136"/>
      <c r="R142" s="136"/>
      <c r="S142" s="135"/>
      <c r="T142" s="134"/>
      <c r="U142" s="137"/>
      <c r="V142" s="136"/>
      <c r="W142" s="136"/>
      <c r="X142"/>
    </row>
    <row r="143" spans="1:24" ht="15.5">
      <c r="A143" s="138"/>
      <c r="B143" s="139"/>
      <c r="C143" s="140"/>
      <c r="D143" s="141"/>
      <c r="E143" s="141"/>
      <c r="F143" s="141"/>
      <c r="G143" s="141"/>
      <c r="H143" s="142"/>
      <c r="I143" s="141"/>
      <c r="J143" s="140"/>
      <c r="K143" s="141"/>
      <c r="L143" s="141"/>
      <c r="M143" s="142"/>
      <c r="N143" s="141"/>
      <c r="O143" s="140"/>
      <c r="P143" s="142"/>
      <c r="Q143" s="142"/>
      <c r="R143" s="142"/>
      <c r="S143" s="141"/>
      <c r="T143" s="140"/>
      <c r="U143" s="143"/>
      <c r="V143" s="142"/>
      <c r="W143" s="142"/>
      <c r="X143"/>
    </row>
    <row r="144" spans="1:24" s="149" customFormat="1" ht="15.5">
      <c r="A144" s="138"/>
      <c r="B144" s="144"/>
      <c r="C144" s="145"/>
      <c r="D144" s="146"/>
      <c r="E144" s="146"/>
      <c r="F144" s="146"/>
      <c r="G144" s="146"/>
      <c r="H144" s="332"/>
      <c r="I144" s="146"/>
      <c r="J144" s="145"/>
      <c r="K144" s="146"/>
      <c r="L144" s="146"/>
      <c r="M144" s="332"/>
      <c r="N144" s="146"/>
      <c r="O144" s="145"/>
      <c r="P144" s="332"/>
      <c r="Q144" s="332"/>
      <c r="R144" s="332"/>
      <c r="S144" s="146"/>
      <c r="T144" s="145"/>
      <c r="U144" s="148"/>
      <c r="V144" s="332"/>
      <c r="W144" s="332"/>
      <c r="X144"/>
    </row>
    <row r="145" spans="1:24" ht="15.5">
      <c r="A145" s="138"/>
      <c r="B145" s="133"/>
      <c r="C145" s="134"/>
      <c r="D145" s="135"/>
      <c r="E145" s="135"/>
      <c r="F145" s="135"/>
      <c r="G145" s="135"/>
      <c r="H145" s="136"/>
      <c r="I145" s="135"/>
      <c r="J145" s="134"/>
      <c r="K145" s="135"/>
      <c r="L145" s="135"/>
      <c r="M145" s="136"/>
      <c r="N145" s="135"/>
      <c r="O145" s="134"/>
      <c r="P145" s="136"/>
      <c r="Q145" s="136"/>
      <c r="R145" s="136"/>
      <c r="S145" s="135"/>
      <c r="T145" s="134"/>
      <c r="U145" s="137"/>
      <c r="V145" s="136"/>
      <c r="W145" s="136"/>
      <c r="X145"/>
    </row>
    <row r="146" spans="1:24" ht="15.5">
      <c r="A146" s="138"/>
      <c r="B146" s="139"/>
      <c r="C146" s="140"/>
      <c r="D146" s="141"/>
      <c r="E146" s="141"/>
      <c r="F146" s="141"/>
      <c r="G146" s="141"/>
      <c r="H146" s="142"/>
      <c r="I146" s="141"/>
      <c r="J146" s="140"/>
      <c r="K146" s="141"/>
      <c r="L146" s="141"/>
      <c r="M146" s="142"/>
      <c r="N146" s="141"/>
      <c r="O146" s="140"/>
      <c r="P146" s="142"/>
      <c r="Q146" s="142"/>
      <c r="R146" s="142"/>
      <c r="S146" s="141"/>
      <c r="T146" s="140"/>
      <c r="U146" s="143"/>
      <c r="V146" s="142"/>
      <c r="W146" s="142"/>
      <c r="X146"/>
    </row>
    <row r="147" spans="1:24" s="149" customFormat="1" ht="15.5">
      <c r="A147" s="138"/>
      <c r="B147" s="144"/>
      <c r="C147" s="145"/>
      <c r="D147" s="146"/>
      <c r="E147" s="146"/>
      <c r="F147" s="146"/>
      <c r="G147" s="146"/>
      <c r="H147" s="332"/>
      <c r="I147" s="146"/>
      <c r="J147" s="145"/>
      <c r="K147" s="146"/>
      <c r="L147" s="146"/>
      <c r="M147" s="332"/>
      <c r="N147" s="146"/>
      <c r="O147" s="145"/>
      <c r="P147" s="332"/>
      <c r="Q147" s="332"/>
      <c r="R147" s="332"/>
      <c r="S147" s="146"/>
      <c r="T147" s="145"/>
      <c r="U147" s="148"/>
      <c r="V147" s="332"/>
      <c r="W147" s="332"/>
      <c r="X147"/>
    </row>
    <row r="148" spans="1:24" ht="15.5">
      <c r="A148" s="138"/>
      <c r="B148" s="133"/>
      <c r="C148" s="134"/>
      <c r="D148" s="135"/>
      <c r="E148" s="135"/>
      <c r="F148" s="135"/>
      <c r="G148" s="135"/>
      <c r="H148" s="136"/>
      <c r="I148" s="135"/>
      <c r="J148" s="134"/>
      <c r="K148" s="135"/>
      <c r="L148" s="135"/>
      <c r="M148" s="136"/>
      <c r="N148" s="135"/>
      <c r="O148" s="134"/>
      <c r="P148" s="136"/>
      <c r="Q148" s="136"/>
      <c r="R148" s="136"/>
      <c r="S148" s="135"/>
      <c r="T148" s="134"/>
      <c r="U148" s="137"/>
      <c r="V148" s="136"/>
      <c r="W148" s="136"/>
      <c r="X148"/>
    </row>
    <row r="149" spans="1:24" ht="15.5">
      <c r="A149" s="138"/>
      <c r="B149" s="139"/>
      <c r="C149" s="140"/>
      <c r="D149" s="141"/>
      <c r="E149" s="141"/>
      <c r="F149" s="141"/>
      <c r="G149" s="141"/>
      <c r="H149" s="142"/>
      <c r="I149" s="141"/>
      <c r="J149" s="140"/>
      <c r="K149" s="141"/>
      <c r="L149" s="141"/>
      <c r="M149" s="142"/>
      <c r="N149" s="141"/>
      <c r="O149" s="140"/>
      <c r="P149" s="142"/>
      <c r="Q149" s="142"/>
      <c r="R149" s="142"/>
      <c r="S149" s="141"/>
      <c r="T149" s="140"/>
      <c r="U149" s="143"/>
      <c r="V149" s="142"/>
      <c r="W149" s="142"/>
      <c r="X149"/>
    </row>
    <row r="150" spans="1:24" s="149" customFormat="1" ht="15.5">
      <c r="A150" s="138"/>
      <c r="B150" s="144"/>
      <c r="C150" s="145"/>
      <c r="D150" s="146"/>
      <c r="E150" s="146"/>
      <c r="F150" s="146"/>
      <c r="G150" s="146"/>
      <c r="H150" s="332"/>
      <c r="I150" s="146"/>
      <c r="J150" s="145"/>
      <c r="K150" s="146"/>
      <c r="L150" s="146"/>
      <c r="M150" s="332"/>
      <c r="N150" s="146"/>
      <c r="O150" s="145"/>
      <c r="P150" s="332"/>
      <c r="Q150" s="332"/>
      <c r="R150" s="332"/>
      <c r="S150" s="146"/>
      <c r="T150" s="145"/>
      <c r="U150" s="148"/>
      <c r="V150" s="332"/>
      <c r="W150" s="332"/>
      <c r="X150"/>
    </row>
    <row r="151" spans="1:24" ht="15.5">
      <c r="A151" s="138"/>
      <c r="B151" s="133"/>
      <c r="C151" s="134"/>
      <c r="D151" s="135"/>
      <c r="E151" s="135"/>
      <c r="F151" s="135"/>
      <c r="G151" s="135"/>
      <c r="H151" s="136"/>
      <c r="I151" s="135"/>
      <c r="J151" s="134"/>
      <c r="K151" s="135"/>
      <c r="L151" s="135"/>
      <c r="M151" s="136"/>
      <c r="N151" s="135"/>
      <c r="O151" s="134"/>
      <c r="P151" s="136"/>
      <c r="Q151" s="136"/>
      <c r="R151" s="136"/>
      <c r="S151" s="135"/>
      <c r="T151" s="134"/>
      <c r="U151" s="137"/>
      <c r="V151" s="136"/>
      <c r="W151" s="136"/>
      <c r="X151"/>
    </row>
    <row r="152" spans="1:24" ht="15.5">
      <c r="A152" s="138"/>
      <c r="B152" s="139"/>
      <c r="C152" s="140"/>
      <c r="D152" s="141"/>
      <c r="E152" s="141"/>
      <c r="F152" s="141"/>
      <c r="G152" s="141"/>
      <c r="H152" s="142"/>
      <c r="I152" s="141"/>
      <c r="J152" s="140"/>
      <c r="K152" s="141"/>
      <c r="L152" s="141"/>
      <c r="M152" s="142"/>
      <c r="N152" s="141"/>
      <c r="O152" s="140"/>
      <c r="P152" s="142"/>
      <c r="Q152" s="142"/>
      <c r="R152" s="142"/>
      <c r="S152" s="141"/>
      <c r="T152" s="140"/>
      <c r="U152" s="143"/>
      <c r="V152" s="142"/>
      <c r="W152" s="142"/>
      <c r="X152"/>
    </row>
    <row r="153" spans="1:24" s="149" customFormat="1" ht="15.5">
      <c r="A153" s="138"/>
      <c r="B153" s="144"/>
      <c r="C153" s="145"/>
      <c r="D153" s="146"/>
      <c r="E153" s="146"/>
      <c r="F153" s="146"/>
      <c r="G153" s="146"/>
      <c r="H153" s="332"/>
      <c r="I153" s="146"/>
      <c r="J153" s="145"/>
      <c r="K153" s="146"/>
      <c r="L153" s="146"/>
      <c r="M153" s="332"/>
      <c r="N153" s="146"/>
      <c r="O153" s="145"/>
      <c r="P153" s="332"/>
      <c r="Q153" s="332"/>
      <c r="R153" s="332"/>
      <c r="S153" s="146"/>
      <c r="T153" s="145"/>
      <c r="U153" s="148"/>
      <c r="V153" s="332"/>
      <c r="W153" s="332"/>
      <c r="X153"/>
    </row>
    <row r="154" spans="1:24" ht="15.5">
      <c r="A154" s="138"/>
      <c r="B154" s="133"/>
      <c r="C154" s="134"/>
      <c r="D154" s="135"/>
      <c r="E154" s="135"/>
      <c r="F154" s="135"/>
      <c r="G154" s="135"/>
      <c r="H154" s="136"/>
      <c r="I154" s="135"/>
      <c r="J154" s="134"/>
      <c r="K154" s="135"/>
      <c r="L154" s="135"/>
      <c r="M154" s="136"/>
      <c r="N154" s="135"/>
      <c r="O154" s="134"/>
      <c r="P154" s="136"/>
      <c r="Q154" s="136"/>
      <c r="R154" s="136"/>
      <c r="S154" s="135"/>
      <c r="T154" s="134"/>
      <c r="U154" s="137"/>
      <c r="V154" s="136"/>
      <c r="W154" s="136"/>
      <c r="X154"/>
    </row>
    <row r="155" spans="1:24" ht="15.5">
      <c r="A155" s="138"/>
      <c r="B155" s="139"/>
      <c r="C155" s="140"/>
      <c r="D155" s="141"/>
      <c r="E155" s="141"/>
      <c r="F155" s="141"/>
      <c r="G155" s="141"/>
      <c r="H155" s="142"/>
      <c r="I155" s="141"/>
      <c r="J155" s="140"/>
      <c r="K155" s="141"/>
      <c r="L155" s="141"/>
      <c r="M155" s="142"/>
      <c r="N155" s="141"/>
      <c r="O155" s="140"/>
      <c r="P155" s="142"/>
      <c r="Q155" s="142"/>
      <c r="R155" s="142"/>
      <c r="S155" s="141"/>
      <c r="T155" s="140"/>
      <c r="U155" s="143"/>
      <c r="V155" s="142"/>
      <c r="W155" s="142"/>
      <c r="X155"/>
    </row>
    <row r="156" spans="1:24" s="149" customFormat="1" ht="15.5">
      <c r="A156" s="138"/>
      <c r="B156" s="144"/>
      <c r="C156" s="145"/>
      <c r="D156" s="146"/>
      <c r="E156" s="146"/>
      <c r="F156" s="146"/>
      <c r="G156" s="146"/>
      <c r="H156" s="332"/>
      <c r="I156" s="146"/>
      <c r="J156" s="145"/>
      <c r="K156" s="146"/>
      <c r="L156" s="146"/>
      <c r="M156" s="332"/>
      <c r="N156" s="146"/>
      <c r="O156" s="145"/>
      <c r="P156" s="332"/>
      <c r="Q156" s="332"/>
      <c r="R156" s="332"/>
      <c r="S156" s="146"/>
      <c r="T156" s="145"/>
      <c r="U156" s="148"/>
      <c r="V156" s="332"/>
      <c r="W156" s="332"/>
      <c r="X156"/>
    </row>
    <row r="157" spans="1:24" ht="15.5">
      <c r="A157" s="138"/>
      <c r="B157" s="133"/>
      <c r="C157" s="134"/>
      <c r="D157" s="135"/>
      <c r="E157" s="135"/>
      <c r="F157" s="135"/>
      <c r="G157" s="135"/>
      <c r="H157" s="136"/>
      <c r="I157" s="135"/>
      <c r="J157" s="134"/>
      <c r="K157" s="135"/>
      <c r="L157" s="135"/>
      <c r="M157" s="136"/>
      <c r="N157" s="135"/>
      <c r="O157" s="134"/>
      <c r="P157" s="136"/>
      <c r="Q157" s="136"/>
      <c r="R157" s="136"/>
      <c r="S157" s="135"/>
      <c r="T157" s="134"/>
      <c r="U157" s="137"/>
      <c r="V157" s="136"/>
      <c r="W157" s="136"/>
      <c r="X157"/>
    </row>
    <row r="158" spans="1:24" ht="15.5">
      <c r="A158" s="138"/>
      <c r="B158" s="139"/>
      <c r="C158" s="140"/>
      <c r="D158" s="141"/>
      <c r="E158" s="141"/>
      <c r="F158" s="141"/>
      <c r="G158" s="141"/>
      <c r="H158" s="142"/>
      <c r="I158" s="141"/>
      <c r="J158" s="140"/>
      <c r="K158" s="141"/>
      <c r="L158" s="141"/>
      <c r="M158" s="142"/>
      <c r="N158" s="141"/>
      <c r="O158" s="140"/>
      <c r="P158" s="142"/>
      <c r="Q158" s="142"/>
      <c r="R158" s="142"/>
      <c r="S158" s="141"/>
      <c r="T158" s="140"/>
      <c r="U158" s="143"/>
      <c r="V158" s="142"/>
      <c r="W158" s="142"/>
      <c r="X158"/>
    </row>
    <row r="159" spans="1:24" s="149" customFormat="1" ht="15.5">
      <c r="A159" s="138"/>
      <c r="B159" s="144"/>
      <c r="C159" s="145"/>
      <c r="D159" s="146"/>
      <c r="E159" s="146"/>
      <c r="F159" s="146"/>
      <c r="G159" s="146"/>
      <c r="H159" s="332"/>
      <c r="I159" s="146"/>
      <c r="J159" s="145"/>
      <c r="K159" s="146"/>
      <c r="L159" s="146"/>
      <c r="M159" s="332"/>
      <c r="N159" s="146"/>
      <c r="O159" s="145"/>
      <c r="P159" s="332"/>
      <c r="Q159" s="332"/>
      <c r="R159" s="332"/>
      <c r="S159" s="146"/>
      <c r="T159" s="145"/>
      <c r="U159" s="148"/>
      <c r="V159" s="332"/>
      <c r="W159" s="332"/>
      <c r="X159"/>
    </row>
    <row r="160" spans="1:24" ht="15.5">
      <c r="A160" s="138"/>
      <c r="B160" s="133"/>
      <c r="C160" s="134"/>
      <c r="D160" s="135"/>
      <c r="E160" s="135"/>
      <c r="F160" s="135"/>
      <c r="G160" s="135"/>
      <c r="H160" s="136"/>
      <c r="I160" s="135"/>
      <c r="J160" s="134"/>
      <c r="K160" s="135"/>
      <c r="L160" s="135"/>
      <c r="M160" s="136"/>
      <c r="N160" s="135"/>
      <c r="O160" s="134"/>
      <c r="P160" s="136"/>
      <c r="Q160" s="136"/>
      <c r="R160" s="136"/>
      <c r="S160" s="135"/>
      <c r="T160" s="134"/>
      <c r="U160" s="137"/>
      <c r="V160" s="136"/>
      <c r="W160" s="136"/>
      <c r="X160"/>
    </row>
    <row r="161" spans="1:24" ht="15.5">
      <c r="A161" s="138"/>
      <c r="B161" s="139"/>
      <c r="C161" s="140"/>
      <c r="D161" s="141"/>
      <c r="E161" s="141"/>
      <c r="F161" s="141"/>
      <c r="G161" s="141"/>
      <c r="H161" s="142"/>
      <c r="I161" s="141"/>
      <c r="J161" s="140"/>
      <c r="K161" s="141"/>
      <c r="L161" s="141"/>
      <c r="M161" s="142"/>
      <c r="N161" s="141"/>
      <c r="O161" s="140"/>
      <c r="P161" s="142"/>
      <c r="Q161" s="142"/>
      <c r="R161" s="142"/>
      <c r="S161" s="141"/>
      <c r="T161" s="140"/>
      <c r="U161" s="143"/>
      <c r="V161" s="142"/>
      <c r="W161" s="142"/>
      <c r="X161"/>
    </row>
    <row r="162" spans="1:24" s="149" customFormat="1" ht="15.5">
      <c r="A162" s="138"/>
      <c r="B162" s="144"/>
      <c r="C162" s="146"/>
      <c r="D162" s="146"/>
      <c r="E162" s="146"/>
      <c r="F162" s="146"/>
      <c r="G162" s="146"/>
      <c r="H162" s="332"/>
      <c r="I162" s="146"/>
      <c r="J162" s="145"/>
      <c r="K162" s="146"/>
      <c r="L162" s="146"/>
      <c r="M162" s="332"/>
      <c r="N162" s="146"/>
      <c r="O162" s="145"/>
      <c r="P162" s="332"/>
      <c r="Q162" s="332"/>
      <c r="R162" s="332"/>
      <c r="S162" s="146"/>
      <c r="T162" s="145"/>
      <c r="U162" s="148"/>
      <c r="V162" s="332"/>
      <c r="W162" s="332"/>
      <c r="X162"/>
    </row>
    <row r="163" spans="1:24" ht="15.5">
      <c r="A163" s="138"/>
      <c r="B163" s="133"/>
      <c r="C163" s="140"/>
      <c r="D163" s="135"/>
      <c r="E163" s="141"/>
      <c r="F163" s="135"/>
      <c r="G163" s="135"/>
      <c r="H163" s="136"/>
      <c r="I163" s="135"/>
      <c r="J163" s="134"/>
      <c r="K163" s="135"/>
      <c r="L163" s="135"/>
      <c r="M163" s="136"/>
      <c r="N163" s="135"/>
      <c r="O163" s="134"/>
      <c r="P163" s="136"/>
      <c r="Q163" s="136"/>
      <c r="R163" s="136"/>
      <c r="S163" s="135"/>
      <c r="T163" s="134"/>
      <c r="U163" s="137"/>
      <c r="V163" s="136"/>
      <c r="W163" s="136"/>
      <c r="X163"/>
    </row>
    <row r="164" spans="1:24" s="149" customFormat="1" ht="15.5">
      <c r="A164" s="153"/>
      <c r="B164" s="139"/>
      <c r="C164" s="140"/>
      <c r="D164" s="141"/>
      <c r="E164" s="141"/>
      <c r="F164" s="141"/>
      <c r="G164" s="141"/>
      <c r="H164" s="142"/>
      <c r="I164" s="141"/>
      <c r="J164" s="140"/>
      <c r="K164" s="141"/>
      <c r="L164" s="141"/>
      <c r="M164" s="142"/>
      <c r="N164" s="141"/>
      <c r="O164" s="140"/>
      <c r="P164" s="142"/>
      <c r="Q164" s="142"/>
      <c r="R164" s="142"/>
      <c r="S164" s="141"/>
      <c r="T164" s="140"/>
      <c r="U164" s="143"/>
      <c r="V164" s="142"/>
      <c r="W164" s="142"/>
      <c r="X164"/>
    </row>
    <row r="165" spans="1:24" ht="15.5">
      <c r="A165" s="132"/>
      <c r="B165" s="133"/>
      <c r="C165" s="134"/>
      <c r="D165" s="135"/>
      <c r="E165" s="135"/>
      <c r="F165" s="135"/>
      <c r="G165" s="135"/>
      <c r="H165" s="136"/>
      <c r="I165" s="135"/>
      <c r="J165" s="134"/>
      <c r="K165" s="135"/>
      <c r="L165" s="135"/>
      <c r="M165" s="136"/>
      <c r="N165" s="135"/>
      <c r="O165" s="134"/>
      <c r="P165" s="136"/>
      <c r="Q165" s="136"/>
      <c r="R165" s="136"/>
      <c r="S165" s="135"/>
      <c r="T165" s="134"/>
      <c r="U165" s="137"/>
      <c r="V165" s="136"/>
      <c r="W165" s="136"/>
      <c r="X165"/>
    </row>
    <row r="166" spans="1:24" ht="15.5">
      <c r="A166" s="138"/>
      <c r="B166" s="139"/>
      <c r="C166" s="140"/>
      <c r="D166" s="141"/>
      <c r="E166" s="141"/>
      <c r="F166" s="141"/>
      <c r="G166" s="141"/>
      <c r="H166" s="142"/>
      <c r="I166" s="141"/>
      <c r="J166" s="140"/>
      <c r="K166" s="141"/>
      <c r="L166" s="141"/>
      <c r="M166" s="142"/>
      <c r="N166" s="141"/>
      <c r="O166" s="140"/>
      <c r="P166" s="142"/>
      <c r="Q166" s="142"/>
      <c r="R166" s="142"/>
      <c r="S166" s="141"/>
      <c r="T166" s="140"/>
      <c r="U166" s="143"/>
      <c r="V166" s="142"/>
      <c r="W166" s="142"/>
      <c r="X166"/>
    </row>
    <row r="167" spans="1:24" s="149" customFormat="1" ht="15.5">
      <c r="A167" s="138"/>
      <c r="B167" s="144"/>
      <c r="C167" s="145"/>
      <c r="D167" s="146"/>
      <c r="E167" s="146"/>
      <c r="F167" s="146"/>
      <c r="G167" s="146"/>
      <c r="H167" s="332"/>
      <c r="I167" s="146"/>
      <c r="J167" s="152"/>
      <c r="K167" s="147"/>
      <c r="L167" s="147"/>
      <c r="M167" s="333"/>
      <c r="N167" s="146"/>
      <c r="O167" s="145"/>
      <c r="P167" s="332"/>
      <c r="Q167" s="332"/>
      <c r="R167" s="146"/>
      <c r="S167" s="148"/>
      <c r="T167" s="146"/>
      <c r="U167" s="148"/>
      <c r="V167" s="332"/>
      <c r="W167" s="332"/>
      <c r="X167"/>
    </row>
    <row r="168" spans="1:24" ht="15.5">
      <c r="A168" s="138"/>
      <c r="B168" s="133"/>
      <c r="C168" s="134"/>
      <c r="D168" s="141"/>
      <c r="E168" s="141"/>
      <c r="F168" s="135"/>
      <c r="G168" s="135"/>
      <c r="H168" s="136"/>
      <c r="I168" s="135"/>
      <c r="J168" s="134"/>
      <c r="K168" s="135"/>
      <c r="L168" s="141"/>
      <c r="M168" s="136"/>
      <c r="N168" s="135"/>
      <c r="O168" s="134"/>
      <c r="P168" s="136"/>
      <c r="Q168" s="136"/>
      <c r="R168" s="136"/>
      <c r="S168" s="141"/>
      <c r="T168" s="134"/>
      <c r="U168" s="137"/>
      <c r="V168" s="136"/>
      <c r="W168" s="136"/>
      <c r="X168"/>
    </row>
    <row r="169" spans="1:24" ht="15.5">
      <c r="A169" s="138"/>
      <c r="B169" s="139"/>
      <c r="C169" s="140"/>
      <c r="D169" s="141"/>
      <c r="E169" s="141"/>
      <c r="F169" s="141"/>
      <c r="G169" s="141"/>
      <c r="H169" s="142"/>
      <c r="I169" s="141"/>
      <c r="J169" s="140"/>
      <c r="K169" s="141"/>
      <c r="L169" s="141"/>
      <c r="M169" s="142"/>
      <c r="N169" s="141"/>
      <c r="O169" s="140"/>
      <c r="P169" s="142"/>
      <c r="Q169" s="142"/>
      <c r="R169" s="142"/>
      <c r="S169" s="141"/>
      <c r="T169" s="140"/>
      <c r="U169" s="143"/>
      <c r="V169" s="142"/>
      <c r="W169" s="142"/>
      <c r="X169"/>
    </row>
    <row r="170" spans="1:24" s="149" customFormat="1" ht="15.5">
      <c r="A170" s="138"/>
      <c r="B170" s="144"/>
      <c r="C170" s="145"/>
      <c r="D170" s="146"/>
      <c r="E170" s="146"/>
      <c r="F170" s="146"/>
      <c r="G170" s="146"/>
      <c r="H170" s="332"/>
      <c r="I170" s="146"/>
      <c r="J170" s="145"/>
      <c r="K170" s="146"/>
      <c r="L170" s="146"/>
      <c r="M170" s="332"/>
      <c r="N170" s="146"/>
      <c r="O170" s="145"/>
      <c r="P170" s="332"/>
      <c r="Q170" s="332"/>
      <c r="R170" s="332"/>
      <c r="S170" s="146"/>
      <c r="T170" s="145"/>
      <c r="U170" s="148"/>
      <c r="V170" s="332"/>
      <c r="W170" s="332"/>
      <c r="X170"/>
    </row>
    <row r="171" spans="1:24" ht="15.5">
      <c r="A171" s="138"/>
      <c r="B171" s="133"/>
      <c r="C171" s="134"/>
      <c r="D171" s="135"/>
      <c r="E171" s="135"/>
      <c r="F171" s="135"/>
      <c r="G171" s="135"/>
      <c r="H171" s="136"/>
      <c r="I171" s="135"/>
      <c r="J171" s="134"/>
      <c r="K171" s="135"/>
      <c r="L171" s="135"/>
      <c r="M171" s="136"/>
      <c r="N171" s="135"/>
      <c r="O171" s="134"/>
      <c r="P171" s="136"/>
      <c r="Q171" s="136"/>
      <c r="R171" s="136"/>
      <c r="S171" s="135"/>
      <c r="T171" s="134"/>
      <c r="U171" s="137"/>
      <c r="V171" s="136"/>
      <c r="W171" s="136"/>
      <c r="X171"/>
    </row>
    <row r="172" spans="1:24" ht="15.5">
      <c r="A172" s="138"/>
      <c r="B172" s="139"/>
      <c r="C172" s="140"/>
      <c r="D172" s="141"/>
      <c r="E172" s="141"/>
      <c r="F172" s="141"/>
      <c r="G172" s="141"/>
      <c r="H172" s="142"/>
      <c r="I172" s="141"/>
      <c r="J172" s="140"/>
      <c r="K172" s="141"/>
      <c r="L172" s="141"/>
      <c r="M172" s="142"/>
      <c r="N172" s="141"/>
      <c r="O172" s="140"/>
      <c r="P172" s="142"/>
      <c r="Q172" s="142"/>
      <c r="R172" s="142"/>
      <c r="S172" s="141"/>
      <c r="T172" s="140"/>
      <c r="U172" s="143"/>
      <c r="V172" s="142"/>
      <c r="W172" s="142"/>
      <c r="X172"/>
    </row>
    <row r="173" spans="1:24" s="149" customFormat="1" ht="15.5">
      <c r="A173" s="138"/>
      <c r="B173" s="144"/>
      <c r="C173" s="145"/>
      <c r="D173" s="146"/>
      <c r="E173" s="147"/>
      <c r="F173" s="146"/>
      <c r="G173" s="146"/>
      <c r="H173" s="332"/>
      <c r="I173" s="146"/>
      <c r="J173" s="145"/>
      <c r="K173" s="146"/>
      <c r="L173" s="146"/>
      <c r="M173" s="332"/>
      <c r="N173" s="146"/>
      <c r="O173" s="145"/>
      <c r="P173" s="332"/>
      <c r="Q173" s="332"/>
      <c r="R173" s="332"/>
      <c r="S173" s="146"/>
      <c r="T173" s="145"/>
      <c r="U173" s="148"/>
      <c r="V173" s="332"/>
      <c r="W173" s="332"/>
      <c r="X173"/>
    </row>
    <row r="174" spans="1:24" ht="15.5">
      <c r="A174" s="138"/>
      <c r="B174" s="133"/>
      <c r="C174" s="134"/>
      <c r="D174" s="135"/>
      <c r="E174" s="135"/>
      <c r="F174" s="135"/>
      <c r="G174" s="135"/>
      <c r="H174" s="136"/>
      <c r="I174" s="135"/>
      <c r="J174" s="134"/>
      <c r="K174" s="135"/>
      <c r="L174" s="135"/>
      <c r="M174" s="136"/>
      <c r="N174" s="135"/>
      <c r="O174" s="134"/>
      <c r="P174" s="136"/>
      <c r="Q174" s="136"/>
      <c r="R174" s="136"/>
      <c r="S174" s="135"/>
      <c r="T174" s="134"/>
      <c r="U174" s="137"/>
      <c r="V174" s="136"/>
      <c r="W174" s="136"/>
      <c r="X174"/>
    </row>
    <row r="175" spans="1:24" ht="15.5">
      <c r="A175" s="138"/>
      <c r="B175" s="139"/>
      <c r="C175" s="140"/>
      <c r="D175" s="141"/>
      <c r="E175" s="141"/>
      <c r="F175" s="141"/>
      <c r="G175" s="141"/>
      <c r="H175" s="142"/>
      <c r="I175" s="141"/>
      <c r="J175" s="140"/>
      <c r="K175" s="157"/>
      <c r="L175" s="141"/>
      <c r="M175" s="142"/>
      <c r="N175" s="141"/>
      <c r="O175" s="140"/>
      <c r="P175" s="142"/>
      <c r="Q175" s="142"/>
      <c r="R175" s="142"/>
      <c r="S175" s="141"/>
      <c r="T175" s="140"/>
      <c r="U175" s="143"/>
      <c r="V175" s="142"/>
      <c r="W175" s="142"/>
      <c r="X175"/>
    </row>
    <row r="176" spans="1:24" s="149" customFormat="1" ht="15.5">
      <c r="A176" s="138"/>
      <c r="B176" s="144"/>
      <c r="C176" s="145"/>
      <c r="D176" s="146"/>
      <c r="E176" s="146"/>
      <c r="F176" s="146"/>
      <c r="G176" s="146"/>
      <c r="H176" s="333"/>
      <c r="I176" s="146"/>
      <c r="J176" s="152"/>
      <c r="K176" s="146"/>
      <c r="L176" s="147"/>
      <c r="M176" s="332"/>
      <c r="N176" s="146"/>
      <c r="O176" s="145"/>
      <c r="P176" s="332"/>
      <c r="Q176" s="332"/>
      <c r="R176" s="332"/>
      <c r="S176" s="146"/>
      <c r="T176" s="145"/>
      <c r="U176" s="148"/>
      <c r="V176" s="332"/>
      <c r="W176" s="332"/>
      <c r="X176"/>
    </row>
    <row r="177" spans="1:24" ht="15.5">
      <c r="A177" s="138"/>
      <c r="B177" s="133"/>
      <c r="C177" s="134"/>
      <c r="D177" s="135"/>
      <c r="E177" s="135"/>
      <c r="F177" s="135"/>
      <c r="G177" s="135"/>
      <c r="H177" s="136"/>
      <c r="I177" s="135"/>
      <c r="J177" s="134"/>
      <c r="K177" s="135"/>
      <c r="L177" s="135"/>
      <c r="M177" s="136"/>
      <c r="N177" s="135"/>
      <c r="O177" s="134"/>
      <c r="P177" s="136"/>
      <c r="Q177" s="136"/>
      <c r="R177" s="136"/>
      <c r="S177" s="135"/>
      <c r="T177" s="134"/>
      <c r="U177" s="137"/>
      <c r="V177" s="136"/>
      <c r="W177" s="136"/>
      <c r="X177"/>
    </row>
    <row r="178" spans="1:24" ht="15.5">
      <c r="A178" s="138"/>
      <c r="B178" s="139"/>
      <c r="C178" s="140"/>
      <c r="D178" s="141"/>
      <c r="E178" s="141"/>
      <c r="F178" s="157"/>
      <c r="G178" s="141"/>
      <c r="H178" s="142"/>
      <c r="I178" s="141"/>
      <c r="J178" s="140"/>
      <c r="K178" s="141"/>
      <c r="L178" s="141"/>
      <c r="M178" s="142"/>
      <c r="N178" s="141"/>
      <c r="O178" s="140"/>
      <c r="P178" s="142"/>
      <c r="Q178" s="142"/>
      <c r="R178" s="142"/>
      <c r="S178" s="141"/>
      <c r="T178" s="140"/>
      <c r="U178" s="143"/>
      <c r="V178" s="142"/>
      <c r="W178" s="142"/>
      <c r="X178"/>
    </row>
    <row r="179" spans="1:24" s="149" customFormat="1" ht="15.5">
      <c r="A179" s="138"/>
      <c r="B179" s="144"/>
      <c r="C179" s="150"/>
      <c r="D179" s="151"/>
      <c r="E179" s="146"/>
      <c r="F179" s="146"/>
      <c r="G179" s="146"/>
      <c r="H179" s="332"/>
      <c r="I179" s="146"/>
      <c r="J179" s="145"/>
      <c r="K179" s="146"/>
      <c r="L179" s="146"/>
      <c r="M179" s="332"/>
      <c r="N179" s="146"/>
      <c r="O179" s="145"/>
      <c r="P179" s="332"/>
      <c r="Q179" s="332"/>
      <c r="R179" s="332"/>
      <c r="S179" s="146"/>
      <c r="T179" s="145"/>
      <c r="U179" s="158"/>
      <c r="V179" s="332"/>
      <c r="W179" s="332"/>
      <c r="X179"/>
    </row>
    <row r="180" spans="1:24" ht="15.5">
      <c r="A180" s="138"/>
      <c r="B180" s="133"/>
      <c r="C180" s="134"/>
      <c r="D180" s="135"/>
      <c r="E180" s="135"/>
      <c r="F180" s="135"/>
      <c r="G180" s="135"/>
      <c r="H180" s="136"/>
      <c r="I180" s="135"/>
      <c r="J180" s="134"/>
      <c r="K180" s="135"/>
      <c r="L180" s="135"/>
      <c r="M180" s="136"/>
      <c r="N180" s="135"/>
      <c r="O180" s="134"/>
      <c r="P180" s="136"/>
      <c r="Q180" s="136"/>
      <c r="R180" s="136"/>
      <c r="S180" s="135"/>
      <c r="T180" s="134"/>
      <c r="U180" s="137"/>
      <c r="V180" s="136"/>
      <c r="W180" s="136"/>
      <c r="X180"/>
    </row>
    <row r="181" spans="1:24" ht="15.5">
      <c r="A181" s="138"/>
      <c r="B181" s="139"/>
      <c r="C181" s="140"/>
      <c r="D181" s="141"/>
      <c r="E181" s="141"/>
      <c r="F181" s="141"/>
      <c r="G181" s="141"/>
      <c r="H181" s="142"/>
      <c r="I181" s="141"/>
      <c r="J181" s="140"/>
      <c r="K181" s="141"/>
      <c r="L181" s="141"/>
      <c r="M181" s="142"/>
      <c r="N181" s="141"/>
      <c r="O181" s="140"/>
      <c r="P181" s="142"/>
      <c r="Q181" s="142"/>
      <c r="R181" s="142"/>
      <c r="S181" s="141"/>
      <c r="T181" s="140"/>
      <c r="U181" s="143"/>
      <c r="V181" s="142"/>
      <c r="W181" s="142"/>
      <c r="X181"/>
    </row>
    <row r="182" spans="1:24" s="149" customFormat="1" ht="15.5">
      <c r="A182" s="138"/>
      <c r="B182" s="144"/>
      <c r="C182" s="145"/>
      <c r="D182" s="146"/>
      <c r="E182" s="146"/>
      <c r="F182" s="146"/>
      <c r="G182" s="146"/>
      <c r="H182" s="332"/>
      <c r="I182" s="146"/>
      <c r="J182" s="145"/>
      <c r="K182" s="146"/>
      <c r="L182" s="146"/>
      <c r="M182" s="332"/>
      <c r="N182" s="146"/>
      <c r="O182" s="145"/>
      <c r="P182" s="332"/>
      <c r="Q182" s="332"/>
      <c r="R182" s="332"/>
      <c r="S182" s="146"/>
      <c r="T182" s="145"/>
      <c r="U182" s="148"/>
      <c r="V182" s="332"/>
      <c r="W182" s="332"/>
      <c r="X182"/>
    </row>
    <row r="183" spans="1:24" ht="15.5">
      <c r="A183" s="138"/>
      <c r="B183" s="133"/>
      <c r="C183" s="134"/>
      <c r="D183" s="135"/>
      <c r="E183" s="135"/>
      <c r="F183" s="141"/>
      <c r="G183" s="135"/>
      <c r="H183" s="136"/>
      <c r="I183" s="135"/>
      <c r="J183" s="134"/>
      <c r="K183" s="135"/>
      <c r="L183" s="135"/>
      <c r="M183" s="136"/>
      <c r="N183" s="135"/>
      <c r="O183" s="134"/>
      <c r="P183" s="136"/>
      <c r="Q183" s="136"/>
      <c r="R183" s="136"/>
      <c r="S183" s="135"/>
      <c r="T183" s="134"/>
      <c r="U183" s="137"/>
      <c r="V183" s="136"/>
      <c r="W183" s="136"/>
      <c r="X183"/>
    </row>
    <row r="184" spans="1:24" ht="15.5">
      <c r="A184" s="138"/>
      <c r="B184" s="139"/>
      <c r="C184" s="140"/>
      <c r="D184" s="141"/>
      <c r="E184" s="141"/>
      <c r="F184" s="141"/>
      <c r="G184" s="141"/>
      <c r="H184" s="142"/>
      <c r="I184" s="141"/>
      <c r="J184" s="140"/>
      <c r="K184" s="141"/>
      <c r="L184" s="141"/>
      <c r="M184" s="142"/>
      <c r="N184" s="141"/>
      <c r="O184" s="140"/>
      <c r="P184" s="142"/>
      <c r="Q184" s="142"/>
      <c r="R184" s="142"/>
      <c r="S184" s="141"/>
      <c r="T184" s="140"/>
      <c r="U184" s="143"/>
      <c r="V184" s="142"/>
      <c r="W184" s="142"/>
      <c r="X184"/>
    </row>
    <row r="185" spans="1:24" s="149" customFormat="1" ht="15.5">
      <c r="A185" s="138"/>
      <c r="B185" s="144"/>
      <c r="C185" s="145"/>
      <c r="D185" s="146"/>
      <c r="E185" s="146"/>
      <c r="F185" s="146"/>
      <c r="G185" s="146"/>
      <c r="H185" s="332"/>
      <c r="I185" s="146"/>
      <c r="J185" s="145"/>
      <c r="K185" s="146"/>
      <c r="L185" s="146"/>
      <c r="M185" s="332"/>
      <c r="N185" s="146"/>
      <c r="O185" s="145"/>
      <c r="P185" s="332"/>
      <c r="Q185" s="332"/>
      <c r="R185" s="332"/>
      <c r="S185" s="146"/>
      <c r="T185" s="145"/>
      <c r="U185" s="148"/>
      <c r="V185" s="332"/>
      <c r="W185" s="332"/>
      <c r="X185"/>
    </row>
    <row r="186" spans="1:24" ht="15.5">
      <c r="A186" s="138"/>
      <c r="B186" s="133"/>
      <c r="C186" s="134"/>
      <c r="D186" s="135"/>
      <c r="E186" s="141"/>
      <c r="F186" s="135"/>
      <c r="G186" s="135"/>
      <c r="H186" s="136"/>
      <c r="I186" s="135"/>
      <c r="J186" s="134"/>
      <c r="K186" s="135"/>
      <c r="L186" s="135"/>
      <c r="M186" s="136"/>
      <c r="N186" s="135"/>
      <c r="O186" s="134"/>
      <c r="P186" s="136"/>
      <c r="Q186" s="136"/>
      <c r="R186" s="136"/>
      <c r="S186" s="135"/>
      <c r="T186" s="134"/>
      <c r="U186" s="137"/>
      <c r="V186" s="136"/>
      <c r="W186" s="136"/>
      <c r="X186"/>
    </row>
    <row r="187" spans="1:24" ht="15.5">
      <c r="A187" s="138"/>
      <c r="B187" s="139"/>
      <c r="C187" s="140"/>
      <c r="D187" s="141"/>
      <c r="E187" s="141"/>
      <c r="F187" s="141"/>
      <c r="G187" s="141"/>
      <c r="H187" s="142"/>
      <c r="I187" s="141"/>
      <c r="J187" s="140"/>
      <c r="K187" s="141"/>
      <c r="L187" s="141"/>
      <c r="M187" s="142"/>
      <c r="N187" s="141"/>
      <c r="O187" s="140"/>
      <c r="P187" s="142"/>
      <c r="Q187" s="142"/>
      <c r="R187" s="142"/>
      <c r="S187" s="141"/>
      <c r="T187" s="140"/>
      <c r="U187" s="143"/>
      <c r="V187" s="142"/>
      <c r="W187" s="142"/>
      <c r="X187"/>
    </row>
    <row r="188" spans="1:24" s="149" customFormat="1" ht="15.5">
      <c r="A188" s="138"/>
      <c r="B188" s="144"/>
      <c r="C188" s="145"/>
      <c r="D188" s="146"/>
      <c r="E188" s="146"/>
      <c r="F188" s="146"/>
      <c r="G188" s="146"/>
      <c r="H188" s="332"/>
      <c r="I188" s="146"/>
      <c r="J188" s="145"/>
      <c r="K188" s="146"/>
      <c r="L188" s="146"/>
      <c r="M188" s="332"/>
      <c r="N188" s="146"/>
      <c r="O188" s="145"/>
      <c r="P188" s="332"/>
      <c r="Q188" s="332"/>
      <c r="R188" s="332"/>
      <c r="S188" s="146"/>
      <c r="T188" s="145"/>
      <c r="U188" s="148"/>
      <c r="V188" s="332"/>
      <c r="W188" s="332"/>
      <c r="X188"/>
    </row>
    <row r="189" spans="1:24" ht="15.5">
      <c r="A189" s="138"/>
      <c r="B189" s="133"/>
      <c r="C189" s="134"/>
      <c r="D189" s="135"/>
      <c r="E189" s="135"/>
      <c r="F189" s="135"/>
      <c r="G189" s="135"/>
      <c r="H189" s="136"/>
      <c r="I189" s="135"/>
      <c r="J189" s="134"/>
      <c r="K189" s="135"/>
      <c r="L189" s="135"/>
      <c r="M189" s="136"/>
      <c r="N189" s="135"/>
      <c r="O189" s="134"/>
      <c r="P189" s="136"/>
      <c r="Q189" s="136"/>
      <c r="R189" s="136"/>
      <c r="S189" s="135"/>
      <c r="T189" s="134"/>
      <c r="U189" s="137"/>
      <c r="V189" s="136"/>
      <c r="W189" s="136"/>
      <c r="X189"/>
    </row>
    <row r="190" spans="1:24" ht="15.5">
      <c r="A190" s="138"/>
      <c r="B190" s="139"/>
      <c r="C190" s="140"/>
      <c r="D190" s="141"/>
      <c r="E190" s="141"/>
      <c r="F190" s="141"/>
      <c r="G190" s="141"/>
      <c r="H190" s="142"/>
      <c r="I190" s="141"/>
      <c r="J190" s="140"/>
      <c r="K190" s="141"/>
      <c r="L190" s="141"/>
      <c r="M190" s="142"/>
      <c r="N190" s="141"/>
      <c r="O190" s="140"/>
      <c r="P190" s="142"/>
      <c r="Q190" s="142"/>
      <c r="R190" s="142"/>
      <c r="S190" s="141"/>
      <c r="T190" s="140"/>
      <c r="U190" s="143"/>
      <c r="V190" s="142"/>
      <c r="W190" s="142"/>
      <c r="X190"/>
    </row>
    <row r="191" spans="1:24" s="149" customFormat="1" ht="15.5">
      <c r="A191" s="138"/>
      <c r="B191" s="144"/>
      <c r="C191" s="152"/>
      <c r="D191" s="146"/>
      <c r="E191" s="146"/>
      <c r="F191" s="146"/>
      <c r="G191" s="146"/>
      <c r="H191" s="332"/>
      <c r="I191" s="146"/>
      <c r="J191" s="145"/>
      <c r="K191" s="146"/>
      <c r="L191" s="146"/>
      <c r="M191" s="332"/>
      <c r="N191" s="146"/>
      <c r="O191" s="145"/>
      <c r="P191" s="332"/>
      <c r="Q191" s="332"/>
      <c r="R191" s="332"/>
      <c r="S191" s="146"/>
      <c r="T191" s="145"/>
      <c r="U191" s="148"/>
      <c r="V191" s="332"/>
      <c r="W191" s="332"/>
      <c r="X191"/>
    </row>
    <row r="192" spans="1:24" ht="15.5">
      <c r="A192" s="138"/>
      <c r="B192" s="133"/>
      <c r="C192" s="134"/>
      <c r="D192" s="135"/>
      <c r="E192" s="135"/>
      <c r="F192" s="135"/>
      <c r="G192" s="135"/>
      <c r="H192" s="136"/>
      <c r="I192" s="135"/>
      <c r="J192" s="134"/>
      <c r="K192" s="135"/>
      <c r="L192" s="135"/>
      <c r="M192" s="136"/>
      <c r="N192" s="135"/>
      <c r="O192" s="134"/>
      <c r="P192" s="136"/>
      <c r="Q192" s="136"/>
      <c r="R192" s="136"/>
      <c r="S192" s="135"/>
      <c r="T192" s="134"/>
      <c r="U192" s="137"/>
      <c r="V192" s="136"/>
      <c r="W192" s="136"/>
      <c r="X192"/>
    </row>
    <row r="193" spans="1:24" ht="15.5">
      <c r="A193" s="138"/>
      <c r="B193" s="139"/>
      <c r="C193" s="140"/>
      <c r="D193" s="141"/>
      <c r="E193" s="141"/>
      <c r="F193" s="141"/>
      <c r="G193" s="141"/>
      <c r="H193" s="142"/>
      <c r="I193" s="141"/>
      <c r="J193" s="140"/>
      <c r="K193" s="141"/>
      <c r="L193" s="141"/>
      <c r="M193" s="142"/>
      <c r="N193" s="141"/>
      <c r="O193" s="140"/>
      <c r="P193" s="142"/>
      <c r="Q193" s="142"/>
      <c r="R193" s="142"/>
      <c r="S193" s="141"/>
      <c r="T193" s="140"/>
      <c r="U193" s="143"/>
      <c r="V193" s="142"/>
      <c r="W193" s="142"/>
      <c r="X193"/>
    </row>
    <row r="194" spans="1:24" s="149" customFormat="1" ht="15.5">
      <c r="A194" s="138"/>
      <c r="B194" s="144"/>
      <c r="C194" s="145"/>
      <c r="D194" s="146"/>
      <c r="E194" s="146"/>
      <c r="F194" s="146"/>
      <c r="G194" s="146"/>
      <c r="H194" s="332"/>
      <c r="I194" s="146"/>
      <c r="J194" s="145"/>
      <c r="K194" s="146"/>
      <c r="L194" s="146"/>
      <c r="M194" s="332"/>
      <c r="N194" s="146"/>
      <c r="O194" s="145"/>
      <c r="P194" s="332"/>
      <c r="Q194" s="332"/>
      <c r="R194" s="332"/>
      <c r="S194" s="146"/>
      <c r="T194" s="145"/>
      <c r="U194" s="148"/>
      <c r="V194" s="332"/>
      <c r="W194" s="332"/>
      <c r="X194"/>
    </row>
    <row r="195" spans="1:24" ht="15.5">
      <c r="A195" s="138"/>
      <c r="B195" s="133"/>
      <c r="C195" s="134"/>
      <c r="D195" s="135"/>
      <c r="E195" s="135"/>
      <c r="F195" s="135"/>
      <c r="G195" s="135"/>
      <c r="H195" s="136"/>
      <c r="I195" s="135"/>
      <c r="J195" s="134"/>
      <c r="K195" s="135"/>
      <c r="L195" s="135"/>
      <c r="M195" s="136"/>
      <c r="N195" s="135"/>
      <c r="O195" s="134"/>
      <c r="P195" s="136"/>
      <c r="Q195" s="136"/>
      <c r="R195" s="136"/>
      <c r="S195" s="135"/>
      <c r="T195" s="134"/>
      <c r="U195" s="137"/>
      <c r="V195" s="136"/>
      <c r="W195" s="136"/>
      <c r="X195"/>
    </row>
    <row r="196" spans="1:24" ht="15.5">
      <c r="A196" s="138"/>
      <c r="B196" s="139"/>
      <c r="C196" s="140"/>
      <c r="D196" s="141"/>
      <c r="E196" s="141"/>
      <c r="F196" s="141"/>
      <c r="G196" s="141"/>
      <c r="H196" s="142"/>
      <c r="I196" s="141"/>
      <c r="J196" s="140"/>
      <c r="K196" s="141"/>
      <c r="L196" s="141"/>
      <c r="M196" s="142"/>
      <c r="N196" s="141"/>
      <c r="O196" s="140"/>
      <c r="P196" s="142"/>
      <c r="Q196" s="142"/>
      <c r="R196" s="142"/>
      <c r="S196" s="141"/>
      <c r="T196" s="140"/>
      <c r="U196" s="143"/>
      <c r="V196" s="142"/>
      <c r="W196" s="142"/>
      <c r="X196"/>
    </row>
    <row r="197" spans="1:24" s="149" customFormat="1" ht="15.5">
      <c r="A197" s="138"/>
      <c r="B197" s="144"/>
      <c r="C197" s="145"/>
      <c r="D197" s="146"/>
      <c r="E197" s="147"/>
      <c r="F197" s="146"/>
      <c r="G197" s="146"/>
      <c r="H197" s="332"/>
      <c r="I197" s="146"/>
      <c r="J197" s="145"/>
      <c r="K197" s="146"/>
      <c r="L197" s="146"/>
      <c r="M197" s="332"/>
      <c r="N197" s="146"/>
      <c r="O197" s="145"/>
      <c r="P197" s="332"/>
      <c r="Q197" s="332"/>
      <c r="R197" s="332"/>
      <c r="S197" s="146"/>
      <c r="T197" s="145"/>
      <c r="U197" s="148"/>
      <c r="V197" s="332"/>
      <c r="W197" s="332"/>
      <c r="X197"/>
    </row>
    <row r="198" spans="1:24" ht="15.5">
      <c r="A198" s="138"/>
      <c r="B198" s="133"/>
      <c r="C198" s="134"/>
      <c r="D198" s="135"/>
      <c r="E198" s="135"/>
      <c r="F198" s="135"/>
      <c r="G198" s="135"/>
      <c r="H198" s="136"/>
      <c r="I198" s="135"/>
      <c r="J198" s="134"/>
      <c r="K198" s="135"/>
      <c r="L198" s="135"/>
      <c r="M198" s="136"/>
      <c r="N198" s="135"/>
      <c r="O198" s="134"/>
      <c r="P198" s="136"/>
      <c r="Q198" s="136"/>
      <c r="R198" s="136"/>
      <c r="S198" s="135"/>
      <c r="T198" s="134"/>
      <c r="U198" s="137"/>
      <c r="V198" s="136"/>
      <c r="W198" s="136"/>
      <c r="X198"/>
    </row>
    <row r="199" spans="1:24" ht="15.5">
      <c r="A199" s="138"/>
      <c r="B199" s="139"/>
      <c r="C199" s="140"/>
      <c r="D199" s="141"/>
      <c r="E199" s="141"/>
      <c r="F199" s="141"/>
      <c r="G199" s="141"/>
      <c r="H199" s="142"/>
      <c r="I199" s="141"/>
      <c r="J199" s="140"/>
      <c r="K199" s="141"/>
      <c r="L199" s="141"/>
      <c r="M199" s="142"/>
      <c r="N199" s="141"/>
      <c r="O199" s="140"/>
      <c r="P199" s="142"/>
      <c r="Q199" s="142"/>
      <c r="R199" s="142"/>
      <c r="S199" s="141"/>
      <c r="T199" s="140"/>
      <c r="U199" s="143"/>
      <c r="V199" s="142"/>
      <c r="W199" s="142"/>
      <c r="X199"/>
    </row>
    <row r="200" spans="1:24" s="149" customFormat="1" ht="15.5">
      <c r="A200" s="138"/>
      <c r="B200" s="144"/>
      <c r="C200" s="145"/>
      <c r="D200" s="146"/>
      <c r="E200" s="146"/>
      <c r="F200" s="146"/>
      <c r="G200" s="146"/>
      <c r="H200" s="332"/>
      <c r="I200" s="146"/>
      <c r="J200" s="145"/>
      <c r="K200" s="146"/>
      <c r="L200" s="146"/>
      <c r="M200" s="332"/>
      <c r="N200" s="146"/>
      <c r="O200" s="145"/>
      <c r="P200" s="332"/>
      <c r="Q200" s="332"/>
      <c r="R200" s="332"/>
      <c r="S200" s="146"/>
      <c r="T200" s="145"/>
      <c r="U200" s="148"/>
      <c r="V200" s="332"/>
      <c r="W200" s="332"/>
      <c r="X200"/>
    </row>
    <row r="201" spans="1:24" ht="15.5">
      <c r="A201" s="138"/>
      <c r="B201" s="133"/>
      <c r="C201" s="134"/>
      <c r="D201" s="135"/>
      <c r="E201" s="135"/>
      <c r="F201" s="135"/>
      <c r="G201" s="135"/>
      <c r="H201" s="136"/>
      <c r="I201" s="135"/>
      <c r="J201" s="134"/>
      <c r="K201" s="135"/>
      <c r="L201" s="135"/>
      <c r="M201" s="136"/>
      <c r="N201" s="135"/>
      <c r="O201" s="134"/>
      <c r="P201" s="136"/>
      <c r="Q201" s="136"/>
      <c r="R201" s="136"/>
      <c r="S201" s="135"/>
      <c r="T201" s="134"/>
      <c r="U201" s="137"/>
      <c r="V201" s="136"/>
      <c r="W201" s="136"/>
      <c r="X201"/>
    </row>
    <row r="202" spans="1:24" ht="15.5">
      <c r="A202" s="138"/>
      <c r="B202" s="139"/>
      <c r="C202" s="140"/>
      <c r="D202" s="141"/>
      <c r="E202" s="141"/>
      <c r="F202" s="141"/>
      <c r="G202" s="141"/>
      <c r="H202" s="142"/>
      <c r="I202" s="141"/>
      <c r="J202" s="140"/>
      <c r="K202" s="141"/>
      <c r="L202" s="141"/>
      <c r="M202" s="142"/>
      <c r="N202" s="141"/>
      <c r="O202" s="140"/>
      <c r="P202" s="142"/>
      <c r="Q202" s="142"/>
      <c r="R202" s="142"/>
      <c r="S202" s="141"/>
      <c r="T202" s="140"/>
      <c r="U202" s="143"/>
      <c r="V202" s="142"/>
      <c r="W202" s="142"/>
      <c r="X202"/>
    </row>
    <row r="203" spans="1:24" s="149" customFormat="1" ht="15.5">
      <c r="A203" s="138"/>
      <c r="B203" s="144"/>
      <c r="C203" s="145"/>
      <c r="D203" s="146"/>
      <c r="E203" s="146"/>
      <c r="F203" s="146"/>
      <c r="G203" s="146"/>
      <c r="H203" s="332"/>
      <c r="I203" s="146"/>
      <c r="J203" s="145"/>
      <c r="K203" s="146"/>
      <c r="L203" s="146"/>
      <c r="M203" s="332"/>
      <c r="N203" s="146"/>
      <c r="O203" s="145"/>
      <c r="P203" s="332"/>
      <c r="Q203" s="332"/>
      <c r="R203" s="332"/>
      <c r="S203" s="146"/>
      <c r="T203" s="145"/>
      <c r="U203" s="148"/>
      <c r="V203" s="332"/>
      <c r="W203" s="332"/>
      <c r="X203"/>
    </row>
    <row r="204" spans="1:24" ht="15.5">
      <c r="A204" s="138"/>
      <c r="B204" s="133"/>
      <c r="C204" s="134"/>
      <c r="D204" s="135"/>
      <c r="E204" s="135"/>
      <c r="F204" s="135"/>
      <c r="G204" s="135"/>
      <c r="H204" s="136"/>
      <c r="I204" s="135"/>
      <c r="J204" s="134"/>
      <c r="K204" s="135"/>
      <c r="L204" s="135"/>
      <c r="M204" s="136"/>
      <c r="N204" s="135"/>
      <c r="O204" s="134"/>
      <c r="P204" s="136"/>
      <c r="Q204" s="136"/>
      <c r="R204" s="136"/>
      <c r="S204" s="135"/>
      <c r="T204" s="134"/>
      <c r="U204" s="137"/>
      <c r="V204" s="136"/>
      <c r="W204" s="136"/>
      <c r="X204"/>
    </row>
    <row r="205" spans="1:24" ht="15.5">
      <c r="A205" s="138"/>
      <c r="B205" s="139"/>
      <c r="C205" s="140"/>
      <c r="D205" s="141"/>
      <c r="E205" s="141"/>
      <c r="F205" s="141"/>
      <c r="G205" s="141"/>
      <c r="H205" s="142"/>
      <c r="I205" s="141"/>
      <c r="J205" s="140"/>
      <c r="K205" s="141"/>
      <c r="L205" s="141"/>
      <c r="M205" s="142"/>
      <c r="N205" s="141"/>
      <c r="O205" s="140"/>
      <c r="P205" s="142"/>
      <c r="Q205" s="142"/>
      <c r="R205" s="142"/>
      <c r="S205" s="141"/>
      <c r="T205" s="140"/>
      <c r="U205" s="143"/>
      <c r="V205" s="142"/>
      <c r="W205" s="142"/>
      <c r="X205"/>
    </row>
    <row r="206" spans="1:24" s="149" customFormat="1" ht="15.5">
      <c r="A206" s="138"/>
      <c r="B206" s="144"/>
      <c r="C206" s="145"/>
      <c r="D206" s="146"/>
      <c r="E206" s="146"/>
      <c r="F206" s="146"/>
      <c r="G206" s="146"/>
      <c r="H206" s="332"/>
      <c r="I206" s="146"/>
      <c r="J206" s="145"/>
      <c r="K206" s="146"/>
      <c r="L206" s="146"/>
      <c r="M206" s="332"/>
      <c r="N206" s="146"/>
      <c r="O206" s="145"/>
      <c r="P206" s="332"/>
      <c r="Q206" s="332"/>
      <c r="R206" s="332"/>
      <c r="S206" s="146"/>
      <c r="T206" s="145"/>
      <c r="U206" s="148"/>
      <c r="V206" s="332"/>
      <c r="W206" s="332"/>
      <c r="X206"/>
    </row>
    <row r="207" spans="1:24" ht="15.5">
      <c r="A207" s="138"/>
      <c r="B207" s="133"/>
      <c r="C207" s="134"/>
      <c r="D207" s="135"/>
      <c r="E207" s="135"/>
      <c r="F207" s="135"/>
      <c r="G207" s="135"/>
      <c r="H207" s="136"/>
      <c r="I207" s="135"/>
      <c r="J207" s="134"/>
      <c r="K207" s="135"/>
      <c r="L207" s="135"/>
      <c r="M207" s="136"/>
      <c r="N207" s="135"/>
      <c r="O207" s="134"/>
      <c r="P207" s="136"/>
      <c r="Q207" s="136"/>
      <c r="R207" s="136"/>
      <c r="S207" s="135"/>
      <c r="T207" s="134"/>
      <c r="U207" s="137"/>
      <c r="V207" s="136"/>
      <c r="W207" s="136"/>
      <c r="X207"/>
    </row>
    <row r="208" spans="1:24" ht="15.5">
      <c r="A208" s="138"/>
      <c r="B208" s="139"/>
      <c r="C208" s="140"/>
      <c r="D208" s="141"/>
      <c r="E208" s="141"/>
      <c r="F208" s="141"/>
      <c r="G208" s="141"/>
      <c r="H208" s="142"/>
      <c r="I208" s="141"/>
      <c r="J208" s="140"/>
      <c r="K208" s="141"/>
      <c r="L208" s="141"/>
      <c r="M208" s="142"/>
      <c r="N208" s="141"/>
      <c r="O208" s="140"/>
      <c r="P208" s="142"/>
      <c r="Q208" s="142"/>
      <c r="R208" s="142"/>
      <c r="S208" s="141"/>
      <c r="T208" s="140"/>
      <c r="U208" s="143"/>
      <c r="V208" s="142"/>
      <c r="W208" s="142"/>
      <c r="X208"/>
    </row>
    <row r="209" spans="1:24" s="149" customFormat="1" ht="15.5">
      <c r="A209" s="138"/>
      <c r="B209" s="144"/>
      <c r="C209" s="145"/>
      <c r="D209" s="146"/>
      <c r="E209" s="146"/>
      <c r="F209" s="146"/>
      <c r="G209" s="146"/>
      <c r="H209" s="332"/>
      <c r="I209" s="146"/>
      <c r="J209" s="145"/>
      <c r="K209" s="146"/>
      <c r="L209" s="146"/>
      <c r="M209" s="332"/>
      <c r="N209" s="146"/>
      <c r="O209" s="145"/>
      <c r="P209" s="332"/>
      <c r="Q209" s="332"/>
      <c r="R209" s="332"/>
      <c r="S209" s="146"/>
      <c r="T209" s="145"/>
      <c r="U209" s="148"/>
      <c r="V209" s="332"/>
      <c r="W209" s="332"/>
      <c r="X209"/>
    </row>
    <row r="210" spans="1:24" ht="15.5">
      <c r="A210" s="138"/>
      <c r="B210" s="133"/>
      <c r="C210" s="134"/>
      <c r="D210" s="135"/>
      <c r="E210" s="135"/>
      <c r="F210" s="135"/>
      <c r="G210" s="135"/>
      <c r="H210" s="136"/>
      <c r="I210" s="135"/>
      <c r="J210" s="134"/>
      <c r="K210" s="135"/>
      <c r="L210" s="135"/>
      <c r="M210" s="136"/>
      <c r="N210" s="135"/>
      <c r="O210" s="134"/>
      <c r="P210" s="136"/>
      <c r="Q210" s="136"/>
      <c r="R210" s="136"/>
      <c r="S210" s="135"/>
      <c r="T210" s="134"/>
      <c r="U210" s="137"/>
      <c r="V210" s="136"/>
      <c r="W210" s="136"/>
      <c r="X210"/>
    </row>
    <row r="211" spans="1:24" ht="15.5">
      <c r="A211" s="138"/>
      <c r="B211" s="139"/>
      <c r="C211" s="140"/>
      <c r="D211" s="141"/>
      <c r="E211" s="141"/>
      <c r="F211" s="141"/>
      <c r="G211" s="141"/>
      <c r="H211" s="142"/>
      <c r="I211" s="141"/>
      <c r="J211" s="140"/>
      <c r="K211" s="141"/>
      <c r="L211" s="141"/>
      <c r="M211" s="142"/>
      <c r="N211" s="141"/>
      <c r="O211" s="140"/>
      <c r="P211" s="142"/>
      <c r="Q211" s="142"/>
      <c r="R211" s="142"/>
      <c r="S211" s="141"/>
      <c r="T211" s="140"/>
      <c r="U211" s="143"/>
      <c r="V211" s="142"/>
      <c r="W211" s="142"/>
      <c r="X211"/>
    </row>
    <row r="212" spans="1:24" s="149" customFormat="1" ht="15.5">
      <c r="A212" s="138"/>
      <c r="B212" s="144"/>
      <c r="C212" s="145"/>
      <c r="D212" s="146"/>
      <c r="E212" s="146"/>
      <c r="F212" s="146"/>
      <c r="G212" s="146"/>
      <c r="H212" s="332"/>
      <c r="I212" s="146"/>
      <c r="J212" s="145"/>
      <c r="K212" s="146"/>
      <c r="L212" s="146"/>
      <c r="M212" s="332"/>
      <c r="N212" s="146"/>
      <c r="O212" s="145"/>
      <c r="P212" s="332"/>
      <c r="Q212" s="332"/>
      <c r="R212" s="332"/>
      <c r="S212" s="146"/>
      <c r="T212" s="145"/>
      <c r="U212" s="148"/>
      <c r="V212" s="332"/>
      <c r="W212" s="332"/>
      <c r="X212"/>
    </row>
    <row r="213" spans="1:24" ht="15.5">
      <c r="A213" s="138"/>
      <c r="B213" s="133"/>
      <c r="C213" s="134"/>
      <c r="D213" s="135"/>
      <c r="E213" s="135"/>
      <c r="F213" s="135"/>
      <c r="G213" s="135"/>
      <c r="H213" s="136"/>
      <c r="I213" s="135"/>
      <c r="J213" s="134"/>
      <c r="K213" s="135"/>
      <c r="L213" s="135"/>
      <c r="M213" s="136"/>
      <c r="N213" s="135"/>
      <c r="O213" s="134"/>
      <c r="P213" s="136"/>
      <c r="Q213" s="136"/>
      <c r="R213" s="136"/>
      <c r="S213" s="135"/>
      <c r="T213" s="134"/>
      <c r="U213" s="137"/>
      <c r="V213" s="136"/>
      <c r="W213" s="136"/>
      <c r="X213"/>
    </row>
    <row r="214" spans="1:24" ht="15.5">
      <c r="A214" s="138"/>
      <c r="B214" s="139"/>
      <c r="C214" s="140"/>
      <c r="D214" s="141"/>
      <c r="E214" s="141"/>
      <c r="F214" s="141"/>
      <c r="G214" s="141"/>
      <c r="H214" s="142"/>
      <c r="I214" s="141"/>
      <c r="J214" s="140"/>
      <c r="K214" s="141"/>
      <c r="L214" s="141"/>
      <c r="M214" s="142"/>
      <c r="N214" s="141"/>
      <c r="O214" s="140"/>
      <c r="P214" s="142"/>
      <c r="Q214" s="142"/>
      <c r="R214" s="142"/>
      <c r="S214" s="141"/>
      <c r="T214" s="140"/>
      <c r="U214" s="143"/>
      <c r="V214" s="142"/>
      <c r="W214" s="142"/>
      <c r="X214"/>
    </row>
    <row r="215" spans="1:24" s="149" customFormat="1" ht="15.5">
      <c r="A215" s="138"/>
      <c r="B215" s="144"/>
      <c r="C215" s="146"/>
      <c r="D215" s="146"/>
      <c r="E215" s="146"/>
      <c r="F215" s="146"/>
      <c r="G215" s="146"/>
      <c r="H215" s="332"/>
      <c r="I215" s="146"/>
      <c r="J215" s="145"/>
      <c r="K215" s="146"/>
      <c r="L215" s="146"/>
      <c r="M215" s="332"/>
      <c r="N215" s="146"/>
      <c r="O215" s="145"/>
      <c r="P215" s="332"/>
      <c r="Q215" s="332"/>
      <c r="R215" s="332"/>
      <c r="S215" s="146"/>
      <c r="T215" s="145"/>
      <c r="U215" s="148"/>
      <c r="V215" s="332"/>
      <c r="W215" s="332"/>
      <c r="X215"/>
    </row>
    <row r="216" spans="1:24" ht="15.5">
      <c r="A216" s="138"/>
      <c r="B216" s="133"/>
      <c r="C216" s="140"/>
      <c r="D216" s="135"/>
      <c r="E216" s="141"/>
      <c r="F216" s="135"/>
      <c r="G216" s="135"/>
      <c r="H216" s="136"/>
      <c r="I216" s="135"/>
      <c r="J216" s="134"/>
      <c r="K216" s="135"/>
      <c r="L216" s="135"/>
      <c r="M216" s="136"/>
      <c r="N216" s="135"/>
      <c r="O216" s="134"/>
      <c r="P216" s="136"/>
      <c r="Q216" s="136"/>
      <c r="R216" s="136"/>
      <c r="S216" s="135"/>
      <c r="T216" s="134"/>
      <c r="U216" s="137"/>
      <c r="V216" s="136"/>
      <c r="W216" s="136"/>
      <c r="X216"/>
    </row>
    <row r="217" spans="1:24" s="149" customFormat="1" ht="15.5">
      <c r="A217" s="153"/>
      <c r="B217" s="139"/>
      <c r="C217" s="140"/>
      <c r="D217" s="141"/>
      <c r="E217" s="141"/>
      <c r="F217" s="141"/>
      <c r="G217" s="141"/>
      <c r="H217" s="142"/>
      <c r="I217" s="141"/>
      <c r="J217" s="140"/>
      <c r="K217" s="141"/>
      <c r="L217" s="141"/>
      <c r="M217" s="142"/>
      <c r="N217" s="141"/>
      <c r="O217" s="140"/>
      <c r="P217" s="142"/>
      <c r="Q217" s="142"/>
      <c r="R217" s="142"/>
      <c r="S217" s="141"/>
      <c r="T217" s="140"/>
      <c r="U217" s="143"/>
      <c r="V217" s="142"/>
      <c r="W217" s="142"/>
      <c r="X217"/>
    </row>
    <row r="218" spans="1:24" ht="15.5">
      <c r="A218" s="132"/>
      <c r="B218" s="133"/>
      <c r="C218" s="134"/>
      <c r="D218" s="135"/>
      <c r="E218" s="135"/>
      <c r="F218" s="135"/>
      <c r="G218" s="135"/>
      <c r="H218" s="136"/>
      <c r="I218" s="135"/>
      <c r="J218" s="134"/>
      <c r="K218" s="135"/>
      <c r="L218" s="135"/>
      <c r="M218" s="136"/>
      <c r="N218" s="135"/>
      <c r="O218" s="134"/>
      <c r="P218" s="136"/>
      <c r="Q218" s="136"/>
      <c r="R218" s="136"/>
      <c r="S218" s="135"/>
      <c r="T218" s="134"/>
      <c r="U218" s="137"/>
      <c r="V218" s="136"/>
      <c r="W218" s="136"/>
      <c r="X218"/>
    </row>
    <row r="219" spans="1:24" ht="15.5">
      <c r="A219" s="138"/>
      <c r="B219" s="139"/>
      <c r="C219" s="140"/>
      <c r="D219" s="141"/>
      <c r="E219" s="141"/>
      <c r="F219" s="141"/>
      <c r="G219" s="141"/>
      <c r="H219" s="142"/>
      <c r="I219" s="141"/>
      <c r="J219" s="140"/>
      <c r="K219" s="141"/>
      <c r="L219" s="141"/>
      <c r="M219" s="142"/>
      <c r="N219" s="141"/>
      <c r="O219" s="140"/>
      <c r="P219" s="142"/>
      <c r="Q219" s="142"/>
      <c r="R219" s="142"/>
      <c r="S219" s="141"/>
      <c r="T219" s="140"/>
      <c r="U219" s="143"/>
      <c r="V219" s="142"/>
      <c r="W219" s="142"/>
      <c r="X219"/>
    </row>
    <row r="220" spans="1:24" s="149" customFormat="1" ht="15.5">
      <c r="A220" s="138"/>
      <c r="B220" s="144"/>
      <c r="C220" s="152"/>
      <c r="D220" s="146"/>
      <c r="E220" s="147"/>
      <c r="F220" s="147"/>
      <c r="G220" s="147"/>
      <c r="H220" s="333"/>
      <c r="I220" s="146"/>
      <c r="J220" s="145"/>
      <c r="K220" s="146"/>
      <c r="L220" s="146"/>
      <c r="M220" s="332"/>
      <c r="N220" s="146"/>
      <c r="O220" s="152"/>
      <c r="P220" s="332"/>
      <c r="Q220" s="332"/>
      <c r="R220" s="146"/>
      <c r="S220" s="148"/>
      <c r="T220" s="146"/>
      <c r="U220" s="148"/>
      <c r="V220" s="332"/>
      <c r="W220" s="332"/>
      <c r="X220"/>
    </row>
    <row r="221" spans="1:24" ht="15.5">
      <c r="A221" s="138"/>
      <c r="B221" s="133"/>
      <c r="C221" s="134"/>
      <c r="D221" s="141"/>
      <c r="E221" s="141"/>
      <c r="F221" s="135"/>
      <c r="G221" s="135"/>
      <c r="H221" s="136"/>
      <c r="I221" s="135"/>
      <c r="J221" s="134"/>
      <c r="K221" s="135"/>
      <c r="L221" s="141"/>
      <c r="M221" s="136"/>
      <c r="N221" s="135"/>
      <c r="O221" s="134"/>
      <c r="P221" s="136"/>
      <c r="Q221" s="136"/>
      <c r="R221" s="136"/>
      <c r="S221" s="141"/>
      <c r="T221" s="134"/>
      <c r="U221" s="137"/>
      <c r="V221" s="136"/>
      <c r="W221" s="136"/>
      <c r="X221"/>
    </row>
    <row r="222" spans="1:24" ht="15.5">
      <c r="A222" s="138"/>
      <c r="B222" s="139"/>
      <c r="C222" s="140"/>
      <c r="D222" s="141"/>
      <c r="E222" s="141"/>
      <c r="F222" s="141"/>
      <c r="G222" s="141"/>
      <c r="H222" s="142"/>
      <c r="I222" s="141"/>
      <c r="J222" s="140"/>
      <c r="K222" s="141"/>
      <c r="L222" s="141"/>
      <c r="M222" s="142"/>
      <c r="N222" s="141"/>
      <c r="O222" s="140"/>
      <c r="P222" s="142"/>
      <c r="Q222" s="142"/>
      <c r="R222" s="142"/>
      <c r="S222" s="141"/>
      <c r="T222" s="140"/>
      <c r="U222" s="143"/>
      <c r="V222" s="142"/>
      <c r="W222" s="142"/>
      <c r="X222"/>
    </row>
    <row r="223" spans="1:24" s="149" customFormat="1" ht="15.5">
      <c r="A223" s="138"/>
      <c r="B223" s="144"/>
      <c r="C223" s="145"/>
      <c r="D223" s="146"/>
      <c r="E223" s="146"/>
      <c r="F223" s="146"/>
      <c r="G223" s="146"/>
      <c r="H223" s="332"/>
      <c r="I223" s="146"/>
      <c r="J223" s="145"/>
      <c r="K223" s="146"/>
      <c r="L223" s="146"/>
      <c r="M223" s="332"/>
      <c r="N223" s="146"/>
      <c r="O223" s="145"/>
      <c r="P223" s="332"/>
      <c r="Q223" s="332"/>
      <c r="R223" s="332"/>
      <c r="S223" s="146"/>
      <c r="T223" s="145"/>
      <c r="U223" s="148"/>
      <c r="V223" s="332"/>
      <c r="W223" s="332"/>
      <c r="X223"/>
    </row>
    <row r="224" spans="1:24" ht="15.5">
      <c r="A224" s="138"/>
      <c r="B224" s="133"/>
      <c r="C224" s="134"/>
      <c r="D224" s="135"/>
      <c r="E224" s="135"/>
      <c r="F224" s="135"/>
      <c r="G224" s="135"/>
      <c r="H224" s="136"/>
      <c r="I224" s="135"/>
      <c r="J224" s="134"/>
      <c r="K224" s="135"/>
      <c r="L224" s="135"/>
      <c r="M224" s="136"/>
      <c r="N224" s="135"/>
      <c r="O224" s="134"/>
      <c r="P224" s="136"/>
      <c r="Q224" s="136"/>
      <c r="R224" s="136"/>
      <c r="S224" s="135"/>
      <c r="T224" s="134"/>
      <c r="U224" s="137"/>
      <c r="V224" s="136"/>
      <c r="W224" s="136"/>
      <c r="X224"/>
    </row>
    <row r="225" spans="1:24" ht="15.5">
      <c r="A225" s="138"/>
      <c r="B225" s="139"/>
      <c r="C225" s="140"/>
      <c r="D225" s="141"/>
      <c r="E225" s="141"/>
      <c r="F225" s="141"/>
      <c r="G225" s="141"/>
      <c r="H225" s="142"/>
      <c r="I225" s="141"/>
      <c r="J225" s="140"/>
      <c r="K225" s="141"/>
      <c r="L225" s="141"/>
      <c r="M225" s="142"/>
      <c r="N225" s="141"/>
      <c r="O225" s="140"/>
      <c r="P225" s="142"/>
      <c r="Q225" s="142"/>
      <c r="R225" s="142"/>
      <c r="S225" s="141"/>
      <c r="T225" s="140"/>
      <c r="U225" s="143"/>
      <c r="V225" s="142"/>
      <c r="W225" s="142"/>
      <c r="X225"/>
    </row>
    <row r="226" spans="1:24" s="149" customFormat="1" ht="15.5">
      <c r="A226" s="138"/>
      <c r="B226" s="144"/>
      <c r="C226" s="145"/>
      <c r="D226" s="146"/>
      <c r="E226" s="146"/>
      <c r="F226" s="146"/>
      <c r="G226" s="146"/>
      <c r="H226" s="332"/>
      <c r="I226" s="146"/>
      <c r="J226" s="145"/>
      <c r="K226" s="146"/>
      <c r="L226" s="146"/>
      <c r="M226" s="332"/>
      <c r="N226" s="146"/>
      <c r="O226" s="152"/>
      <c r="P226" s="332"/>
      <c r="Q226" s="332"/>
      <c r="R226" s="332"/>
      <c r="S226" s="146"/>
      <c r="T226" s="145"/>
      <c r="U226" s="148"/>
      <c r="V226" s="332"/>
      <c r="W226" s="332"/>
      <c r="X226"/>
    </row>
    <row r="227" spans="1:24" ht="15.5">
      <c r="A227" s="138"/>
      <c r="B227" s="133"/>
      <c r="C227" s="134"/>
      <c r="D227" s="135"/>
      <c r="E227" s="135"/>
      <c r="F227" s="135"/>
      <c r="G227" s="135"/>
      <c r="H227" s="136"/>
      <c r="I227" s="135"/>
      <c r="J227" s="134"/>
      <c r="K227" s="135"/>
      <c r="L227" s="135"/>
      <c r="M227" s="136"/>
      <c r="N227" s="135"/>
      <c r="O227" s="134"/>
      <c r="P227" s="136"/>
      <c r="Q227" s="136"/>
      <c r="R227" s="136"/>
      <c r="S227" s="135"/>
      <c r="T227" s="134"/>
      <c r="U227" s="137"/>
      <c r="V227" s="136"/>
      <c r="W227" s="136"/>
      <c r="X227"/>
    </row>
    <row r="228" spans="1:24" ht="15.5">
      <c r="A228" s="138"/>
      <c r="B228" s="139"/>
      <c r="C228" s="140"/>
      <c r="D228" s="141"/>
      <c r="E228" s="141"/>
      <c r="F228" s="141"/>
      <c r="G228" s="141"/>
      <c r="H228" s="142"/>
      <c r="I228" s="141"/>
      <c r="J228" s="140"/>
      <c r="K228" s="141"/>
      <c r="L228" s="141"/>
      <c r="M228" s="142"/>
      <c r="N228" s="141"/>
      <c r="O228" s="140"/>
      <c r="P228" s="142"/>
      <c r="Q228" s="142"/>
      <c r="R228" s="142"/>
      <c r="S228" s="141"/>
      <c r="T228" s="140"/>
      <c r="U228" s="143"/>
      <c r="V228" s="142"/>
      <c r="W228" s="142"/>
      <c r="X228"/>
    </row>
    <row r="229" spans="1:24" s="149" customFormat="1" ht="15.5">
      <c r="A229" s="138"/>
      <c r="B229" s="144"/>
      <c r="C229" s="145"/>
      <c r="D229" s="146"/>
      <c r="E229" s="146"/>
      <c r="F229" s="146"/>
      <c r="G229" s="146"/>
      <c r="H229" s="333"/>
      <c r="I229" s="146"/>
      <c r="J229" s="145"/>
      <c r="K229" s="146"/>
      <c r="L229" s="147"/>
      <c r="M229" s="332"/>
      <c r="N229" s="146"/>
      <c r="O229" s="145"/>
      <c r="P229" s="332"/>
      <c r="Q229" s="332"/>
      <c r="R229" s="332"/>
      <c r="S229" s="146"/>
      <c r="T229" s="145"/>
      <c r="U229" s="148"/>
      <c r="V229" s="332"/>
      <c r="W229" s="332"/>
      <c r="X229"/>
    </row>
    <row r="230" spans="1:24" ht="15.5">
      <c r="A230" s="138"/>
      <c r="B230" s="133"/>
      <c r="C230" s="134"/>
      <c r="D230" s="135"/>
      <c r="E230" s="135"/>
      <c r="F230" s="135"/>
      <c r="G230" s="135"/>
      <c r="H230" s="136"/>
      <c r="I230" s="135"/>
      <c r="J230" s="134"/>
      <c r="K230" s="135"/>
      <c r="L230" s="135"/>
      <c r="M230" s="136"/>
      <c r="N230" s="135"/>
      <c r="O230" s="134"/>
      <c r="P230" s="136"/>
      <c r="Q230" s="136"/>
      <c r="R230" s="136"/>
      <c r="S230" s="135"/>
      <c r="T230" s="134"/>
      <c r="U230" s="137"/>
      <c r="V230" s="136"/>
      <c r="W230" s="136"/>
      <c r="X230"/>
    </row>
    <row r="231" spans="1:24" ht="15.5">
      <c r="A231" s="138"/>
      <c r="B231" s="139"/>
      <c r="C231" s="140"/>
      <c r="D231" s="141"/>
      <c r="E231" s="141"/>
      <c r="F231" s="141"/>
      <c r="G231" s="157"/>
      <c r="H231" s="142"/>
      <c r="I231" s="141"/>
      <c r="J231" s="140"/>
      <c r="K231" s="141"/>
      <c r="L231" s="141"/>
      <c r="M231" s="142"/>
      <c r="N231" s="141"/>
      <c r="O231" s="140"/>
      <c r="P231" s="142"/>
      <c r="Q231" s="142"/>
      <c r="R231" s="142"/>
      <c r="S231" s="141"/>
      <c r="T231" s="140"/>
      <c r="U231" s="143"/>
      <c r="V231" s="142"/>
      <c r="W231" s="142"/>
      <c r="X231"/>
    </row>
    <row r="232" spans="1:24" s="149" customFormat="1" ht="15.5">
      <c r="A232" s="138"/>
      <c r="B232" s="144"/>
      <c r="C232" s="150"/>
      <c r="D232" s="151"/>
      <c r="E232" s="147"/>
      <c r="F232" s="146"/>
      <c r="G232" s="146"/>
      <c r="H232" s="332"/>
      <c r="I232" s="146"/>
      <c r="J232" s="145"/>
      <c r="K232" s="146"/>
      <c r="L232" s="146"/>
      <c r="M232" s="332"/>
      <c r="N232" s="146"/>
      <c r="O232" s="145"/>
      <c r="P232" s="332"/>
      <c r="Q232" s="332"/>
      <c r="R232" s="332"/>
      <c r="S232" s="146"/>
      <c r="T232" s="145"/>
      <c r="U232" s="148"/>
      <c r="V232" s="332"/>
      <c r="W232" s="332"/>
      <c r="X232"/>
    </row>
    <row r="233" spans="1:24" ht="15.5">
      <c r="A233" s="138"/>
      <c r="B233" s="133"/>
      <c r="C233" s="134"/>
      <c r="D233" s="135"/>
      <c r="E233" s="135"/>
      <c r="F233" s="135"/>
      <c r="G233" s="135"/>
      <c r="H233" s="136"/>
      <c r="I233" s="135"/>
      <c r="J233" s="134"/>
      <c r="K233" s="135"/>
      <c r="L233" s="135"/>
      <c r="M233" s="136"/>
      <c r="N233" s="135"/>
      <c r="O233" s="134"/>
      <c r="P233" s="136"/>
      <c r="Q233" s="136"/>
      <c r="R233" s="136"/>
      <c r="S233" s="135"/>
      <c r="T233" s="134"/>
      <c r="U233" s="137"/>
      <c r="V233" s="136"/>
      <c r="W233" s="136"/>
      <c r="X233"/>
    </row>
    <row r="234" spans="1:24" ht="15.5">
      <c r="A234" s="138"/>
      <c r="B234" s="139"/>
      <c r="C234" s="140"/>
      <c r="D234" s="141"/>
      <c r="E234" s="141"/>
      <c r="F234" s="141"/>
      <c r="G234" s="141"/>
      <c r="H234" s="142"/>
      <c r="I234" s="141"/>
      <c r="J234" s="140"/>
      <c r="K234" s="141"/>
      <c r="L234" s="141"/>
      <c r="M234" s="142"/>
      <c r="N234" s="141"/>
      <c r="O234" s="140"/>
      <c r="P234" s="142"/>
      <c r="Q234" s="142"/>
      <c r="R234" s="142"/>
      <c r="S234" s="141"/>
      <c r="T234" s="140"/>
      <c r="U234" s="143"/>
      <c r="V234" s="142"/>
      <c r="W234" s="142"/>
      <c r="X234"/>
    </row>
    <row r="235" spans="1:24" s="149" customFormat="1" ht="15.5">
      <c r="A235" s="138"/>
      <c r="B235" s="144"/>
      <c r="C235" s="145"/>
      <c r="D235" s="146"/>
      <c r="E235" s="146"/>
      <c r="F235" s="146"/>
      <c r="G235" s="147"/>
      <c r="H235" s="332"/>
      <c r="I235" s="146"/>
      <c r="J235" s="145"/>
      <c r="K235" s="146"/>
      <c r="L235" s="146"/>
      <c r="M235" s="332"/>
      <c r="N235" s="146"/>
      <c r="O235" s="145"/>
      <c r="P235" s="332"/>
      <c r="Q235" s="332"/>
      <c r="R235" s="332"/>
      <c r="S235" s="146"/>
      <c r="T235" s="145"/>
      <c r="U235" s="148"/>
      <c r="V235" s="332"/>
      <c r="W235" s="332"/>
      <c r="X235"/>
    </row>
    <row r="236" spans="1:24" ht="15.5">
      <c r="A236" s="138"/>
      <c r="B236" s="133"/>
      <c r="C236" s="134"/>
      <c r="D236" s="135"/>
      <c r="E236" s="135"/>
      <c r="F236" s="141"/>
      <c r="G236" s="135"/>
      <c r="H236" s="136"/>
      <c r="I236" s="135"/>
      <c r="J236" s="134"/>
      <c r="K236" s="135"/>
      <c r="L236" s="135"/>
      <c r="M236" s="136"/>
      <c r="N236" s="135"/>
      <c r="O236" s="134"/>
      <c r="P236" s="136"/>
      <c r="Q236" s="136"/>
      <c r="R236" s="136"/>
      <c r="S236" s="135"/>
      <c r="T236" s="134"/>
      <c r="U236" s="137"/>
      <c r="V236" s="136"/>
      <c r="W236" s="136"/>
      <c r="X236"/>
    </row>
    <row r="237" spans="1:24" ht="15.5">
      <c r="A237" s="138"/>
      <c r="B237" s="139"/>
      <c r="C237" s="140"/>
      <c r="D237" s="141"/>
      <c r="E237" s="141"/>
      <c r="F237" s="141"/>
      <c r="G237" s="141"/>
      <c r="H237" s="142"/>
      <c r="I237" s="141"/>
      <c r="J237" s="140"/>
      <c r="K237" s="141"/>
      <c r="L237" s="141"/>
      <c r="M237" s="142"/>
      <c r="N237" s="141"/>
      <c r="O237" s="140"/>
      <c r="P237" s="142"/>
      <c r="Q237" s="142"/>
      <c r="R237" s="142"/>
      <c r="S237" s="141"/>
      <c r="T237" s="140"/>
      <c r="U237" s="143"/>
      <c r="V237" s="142"/>
      <c r="W237" s="142"/>
      <c r="X237"/>
    </row>
    <row r="238" spans="1:24" s="149" customFormat="1" ht="15.5">
      <c r="A238" s="138"/>
      <c r="B238" s="144"/>
      <c r="C238" s="145"/>
      <c r="D238" s="146"/>
      <c r="E238" s="146"/>
      <c r="F238" s="146"/>
      <c r="G238" s="146"/>
      <c r="H238" s="332"/>
      <c r="I238" s="146"/>
      <c r="J238" s="145"/>
      <c r="K238" s="146"/>
      <c r="L238" s="146"/>
      <c r="M238" s="332"/>
      <c r="N238" s="146"/>
      <c r="O238" s="145"/>
      <c r="P238" s="332"/>
      <c r="Q238" s="332"/>
      <c r="R238" s="332"/>
      <c r="S238" s="146"/>
      <c r="T238" s="145"/>
      <c r="U238" s="148"/>
      <c r="V238" s="332"/>
      <c r="W238" s="332"/>
      <c r="X238"/>
    </row>
    <row r="239" spans="1:24" ht="15.5">
      <c r="A239" s="138"/>
      <c r="B239" s="133"/>
      <c r="C239" s="134"/>
      <c r="D239" s="135"/>
      <c r="E239" s="141"/>
      <c r="F239" s="135"/>
      <c r="G239" s="135"/>
      <c r="H239" s="136"/>
      <c r="I239" s="135"/>
      <c r="J239" s="134"/>
      <c r="K239" s="135"/>
      <c r="L239" s="135"/>
      <c r="M239" s="136"/>
      <c r="N239" s="135"/>
      <c r="O239" s="134"/>
      <c r="P239" s="136"/>
      <c r="Q239" s="136"/>
      <c r="R239" s="136"/>
      <c r="S239" s="135"/>
      <c r="T239" s="134"/>
      <c r="U239" s="137"/>
      <c r="V239" s="136"/>
      <c r="W239" s="136"/>
      <c r="X239"/>
    </row>
    <row r="240" spans="1:24" ht="15.5">
      <c r="A240" s="138"/>
      <c r="B240" s="139"/>
      <c r="C240" s="140"/>
      <c r="D240" s="141"/>
      <c r="E240" s="141"/>
      <c r="F240" s="141"/>
      <c r="G240" s="141"/>
      <c r="H240" s="142"/>
      <c r="I240" s="141"/>
      <c r="J240" s="140"/>
      <c r="K240" s="141"/>
      <c r="L240" s="141"/>
      <c r="M240" s="142"/>
      <c r="N240" s="141"/>
      <c r="O240" s="140"/>
      <c r="P240" s="142"/>
      <c r="Q240" s="142"/>
      <c r="R240" s="142"/>
      <c r="S240" s="141"/>
      <c r="T240" s="140"/>
      <c r="U240" s="143"/>
      <c r="V240" s="142"/>
      <c r="W240" s="142"/>
      <c r="X240"/>
    </row>
    <row r="241" spans="1:24" s="149" customFormat="1" ht="15.5">
      <c r="A241" s="138"/>
      <c r="B241" s="144"/>
      <c r="C241" s="145"/>
      <c r="D241" s="146"/>
      <c r="E241" s="146"/>
      <c r="F241" s="146"/>
      <c r="G241" s="146"/>
      <c r="H241" s="332"/>
      <c r="I241" s="146"/>
      <c r="J241" s="145"/>
      <c r="K241" s="146"/>
      <c r="L241" s="146"/>
      <c r="M241" s="332"/>
      <c r="N241" s="146"/>
      <c r="O241" s="145"/>
      <c r="P241" s="332"/>
      <c r="Q241" s="332"/>
      <c r="R241" s="332"/>
      <c r="S241" s="146"/>
      <c r="T241" s="145"/>
      <c r="U241" s="148"/>
      <c r="V241" s="332"/>
      <c r="W241" s="332"/>
      <c r="X241"/>
    </row>
    <row r="242" spans="1:24" ht="15.5">
      <c r="A242" s="138"/>
      <c r="B242" s="133"/>
      <c r="C242" s="134"/>
      <c r="D242" s="135"/>
      <c r="E242" s="135"/>
      <c r="F242" s="135"/>
      <c r="G242" s="135"/>
      <c r="H242" s="136"/>
      <c r="I242" s="135"/>
      <c r="J242" s="134"/>
      <c r="K242" s="135"/>
      <c r="L242" s="135"/>
      <c r="M242" s="136"/>
      <c r="N242" s="135"/>
      <c r="O242" s="134"/>
      <c r="P242" s="136"/>
      <c r="Q242" s="136"/>
      <c r="R242" s="136"/>
      <c r="S242" s="135"/>
      <c r="T242" s="134"/>
      <c r="U242" s="137"/>
      <c r="V242" s="136"/>
      <c r="W242" s="136"/>
      <c r="X242"/>
    </row>
    <row r="243" spans="1:24" ht="15.5">
      <c r="A243" s="138"/>
      <c r="B243" s="139"/>
      <c r="C243" s="140"/>
      <c r="D243" s="141"/>
      <c r="E243" s="141"/>
      <c r="F243" s="141"/>
      <c r="G243" s="141"/>
      <c r="H243" s="142"/>
      <c r="I243" s="141"/>
      <c r="J243" s="140"/>
      <c r="K243" s="141"/>
      <c r="L243" s="141"/>
      <c r="M243" s="142"/>
      <c r="N243" s="141"/>
      <c r="O243" s="140"/>
      <c r="P243" s="142"/>
      <c r="Q243" s="142"/>
      <c r="R243" s="142"/>
      <c r="S243" s="141"/>
      <c r="T243" s="140"/>
      <c r="U243" s="143"/>
      <c r="V243" s="142"/>
      <c r="W243" s="142"/>
      <c r="X243"/>
    </row>
    <row r="244" spans="1:24" s="149" customFormat="1" ht="15.5">
      <c r="A244" s="138"/>
      <c r="B244" s="144"/>
      <c r="C244" s="145"/>
      <c r="D244" s="146"/>
      <c r="E244" s="146"/>
      <c r="F244" s="146"/>
      <c r="G244" s="146"/>
      <c r="H244" s="332"/>
      <c r="I244" s="146"/>
      <c r="J244" s="145"/>
      <c r="K244" s="146"/>
      <c r="L244" s="146"/>
      <c r="M244" s="332"/>
      <c r="N244" s="146"/>
      <c r="O244" s="145"/>
      <c r="P244" s="332"/>
      <c r="Q244" s="332"/>
      <c r="R244" s="332"/>
      <c r="S244" s="146"/>
      <c r="T244" s="145"/>
      <c r="U244" s="148"/>
      <c r="V244" s="332"/>
      <c r="W244" s="332"/>
      <c r="X244"/>
    </row>
    <row r="245" spans="1:24" ht="15.5">
      <c r="A245" s="138"/>
      <c r="B245" s="133"/>
      <c r="C245" s="134"/>
      <c r="D245" s="135"/>
      <c r="E245" s="135"/>
      <c r="F245" s="135"/>
      <c r="G245" s="135"/>
      <c r="H245" s="136"/>
      <c r="I245" s="135"/>
      <c r="J245" s="134"/>
      <c r="K245" s="135"/>
      <c r="L245" s="135"/>
      <c r="M245" s="136"/>
      <c r="N245" s="135"/>
      <c r="O245" s="134"/>
      <c r="P245" s="136"/>
      <c r="Q245" s="136"/>
      <c r="R245" s="136"/>
      <c r="S245" s="135"/>
      <c r="T245" s="134"/>
      <c r="U245" s="137"/>
      <c r="V245" s="136"/>
      <c r="W245" s="136"/>
      <c r="X245"/>
    </row>
    <row r="246" spans="1:24" ht="15.5">
      <c r="A246" s="138"/>
      <c r="B246" s="139"/>
      <c r="C246" s="140"/>
      <c r="D246" s="141"/>
      <c r="E246" s="141"/>
      <c r="F246" s="141"/>
      <c r="G246" s="141"/>
      <c r="H246" s="142"/>
      <c r="I246" s="141"/>
      <c r="J246" s="140"/>
      <c r="K246" s="141"/>
      <c r="L246" s="141"/>
      <c r="M246" s="142"/>
      <c r="N246" s="141"/>
      <c r="O246" s="140"/>
      <c r="P246" s="142"/>
      <c r="Q246" s="142"/>
      <c r="R246" s="142"/>
      <c r="S246" s="141"/>
      <c r="T246" s="140"/>
      <c r="U246" s="143"/>
      <c r="V246" s="142"/>
      <c r="W246" s="142"/>
      <c r="X246"/>
    </row>
    <row r="247" spans="1:24" s="149" customFormat="1" ht="15.5">
      <c r="A247" s="138"/>
      <c r="B247" s="144"/>
      <c r="C247" s="145"/>
      <c r="D247" s="146"/>
      <c r="E247" s="146"/>
      <c r="F247" s="146"/>
      <c r="G247" s="146"/>
      <c r="H247" s="332"/>
      <c r="I247" s="146"/>
      <c r="J247" s="145"/>
      <c r="K247" s="146"/>
      <c r="L247" s="146"/>
      <c r="M247" s="332"/>
      <c r="N247" s="146"/>
      <c r="O247" s="145"/>
      <c r="P247" s="332"/>
      <c r="Q247" s="332"/>
      <c r="R247" s="332"/>
      <c r="S247" s="146"/>
      <c r="T247" s="145"/>
      <c r="U247" s="148"/>
      <c r="V247" s="332"/>
      <c r="W247" s="332"/>
      <c r="X247"/>
    </row>
    <row r="248" spans="1:24" ht="15.5">
      <c r="A248" s="138"/>
      <c r="B248" s="133"/>
      <c r="C248" s="134"/>
      <c r="D248" s="135"/>
      <c r="E248" s="135"/>
      <c r="F248" s="135"/>
      <c r="G248" s="135"/>
      <c r="H248" s="136"/>
      <c r="I248" s="135"/>
      <c r="J248" s="134"/>
      <c r="K248" s="135"/>
      <c r="L248" s="135"/>
      <c r="M248" s="136"/>
      <c r="N248" s="135"/>
      <c r="O248" s="134"/>
      <c r="P248" s="136"/>
      <c r="Q248" s="136"/>
      <c r="R248" s="136"/>
      <c r="S248" s="135"/>
      <c r="T248" s="134"/>
      <c r="U248" s="137"/>
      <c r="V248" s="136"/>
      <c r="W248" s="136"/>
      <c r="X248"/>
    </row>
    <row r="249" spans="1:24" ht="15.5">
      <c r="A249" s="138"/>
      <c r="B249" s="139"/>
      <c r="C249" s="140"/>
      <c r="D249" s="141"/>
      <c r="E249" s="141"/>
      <c r="F249" s="141"/>
      <c r="G249" s="141"/>
      <c r="H249" s="142"/>
      <c r="I249" s="141"/>
      <c r="J249" s="140"/>
      <c r="K249" s="141"/>
      <c r="L249" s="141"/>
      <c r="M249" s="142"/>
      <c r="N249" s="141"/>
      <c r="O249" s="140"/>
      <c r="P249" s="142"/>
      <c r="Q249" s="142"/>
      <c r="R249" s="142"/>
      <c r="S249" s="141"/>
      <c r="T249" s="140"/>
      <c r="U249" s="143"/>
      <c r="V249" s="142"/>
      <c r="W249" s="142"/>
      <c r="X249"/>
    </row>
    <row r="250" spans="1:24" s="149" customFormat="1" ht="15.5">
      <c r="A250" s="138"/>
      <c r="B250" s="144"/>
      <c r="C250" s="145"/>
      <c r="D250" s="146"/>
      <c r="E250" s="146"/>
      <c r="F250" s="146"/>
      <c r="G250" s="146"/>
      <c r="H250" s="332"/>
      <c r="I250" s="146"/>
      <c r="J250" s="145"/>
      <c r="K250" s="146"/>
      <c r="L250" s="146"/>
      <c r="M250" s="332"/>
      <c r="N250" s="146"/>
      <c r="O250" s="145"/>
      <c r="P250" s="332"/>
      <c r="Q250" s="332"/>
      <c r="R250" s="332"/>
      <c r="S250" s="146"/>
      <c r="T250" s="145"/>
      <c r="U250" s="148"/>
      <c r="V250" s="332"/>
      <c r="W250" s="332"/>
      <c r="X250"/>
    </row>
    <row r="251" spans="1:24" ht="15.5">
      <c r="A251" s="138"/>
      <c r="B251" s="133"/>
      <c r="C251" s="134"/>
      <c r="D251" s="135"/>
      <c r="E251" s="135"/>
      <c r="F251" s="135"/>
      <c r="G251" s="135"/>
      <c r="H251" s="136"/>
      <c r="I251" s="135"/>
      <c r="J251" s="134"/>
      <c r="K251" s="135"/>
      <c r="L251" s="135"/>
      <c r="M251" s="136"/>
      <c r="N251" s="135"/>
      <c r="O251" s="134"/>
      <c r="P251" s="136"/>
      <c r="Q251" s="136"/>
      <c r="R251" s="136"/>
      <c r="S251" s="135"/>
      <c r="T251" s="134"/>
      <c r="U251" s="137"/>
      <c r="V251" s="136"/>
      <c r="W251" s="136"/>
      <c r="X251"/>
    </row>
    <row r="252" spans="1:24" ht="15.5">
      <c r="A252" s="138"/>
      <c r="B252" s="139"/>
      <c r="C252" s="140"/>
      <c r="D252" s="141"/>
      <c r="E252" s="141"/>
      <c r="F252" s="141"/>
      <c r="G252" s="141"/>
      <c r="H252" s="142"/>
      <c r="I252" s="141"/>
      <c r="J252" s="140"/>
      <c r="K252" s="141"/>
      <c r="L252" s="141"/>
      <c r="M252" s="142"/>
      <c r="N252" s="141"/>
      <c r="O252" s="140"/>
      <c r="P252" s="142"/>
      <c r="Q252" s="142"/>
      <c r="R252" s="142"/>
      <c r="S252" s="141"/>
      <c r="T252" s="140"/>
      <c r="U252" s="143"/>
      <c r="V252" s="142"/>
      <c r="W252" s="142"/>
      <c r="X252"/>
    </row>
    <row r="253" spans="1:24" s="149" customFormat="1" ht="15.5">
      <c r="A253" s="138"/>
      <c r="B253" s="144"/>
      <c r="C253" s="145"/>
      <c r="D253" s="146"/>
      <c r="E253" s="146"/>
      <c r="F253" s="146"/>
      <c r="G253" s="146"/>
      <c r="H253" s="332"/>
      <c r="I253" s="146"/>
      <c r="J253" s="145"/>
      <c r="K253" s="146"/>
      <c r="L253" s="146"/>
      <c r="M253" s="332"/>
      <c r="N253" s="146"/>
      <c r="O253" s="145"/>
      <c r="P253" s="332"/>
      <c r="Q253" s="332"/>
      <c r="R253" s="332"/>
      <c r="S253" s="146"/>
      <c r="T253" s="145"/>
      <c r="U253" s="148"/>
      <c r="V253" s="332"/>
      <c r="W253" s="332"/>
      <c r="X253"/>
    </row>
    <row r="254" spans="1:24" ht="15.5">
      <c r="A254" s="138"/>
      <c r="B254" s="133"/>
      <c r="C254" s="134"/>
      <c r="D254" s="135"/>
      <c r="E254" s="135"/>
      <c r="F254" s="135"/>
      <c r="G254" s="135"/>
      <c r="H254" s="136"/>
      <c r="I254" s="135"/>
      <c r="J254" s="134"/>
      <c r="K254" s="135"/>
      <c r="L254" s="135"/>
      <c r="M254" s="136"/>
      <c r="N254" s="135"/>
      <c r="O254" s="134"/>
      <c r="P254" s="136"/>
      <c r="Q254" s="136"/>
      <c r="R254" s="136"/>
      <c r="S254" s="135"/>
      <c r="T254" s="134"/>
      <c r="U254" s="137"/>
      <c r="V254" s="136"/>
      <c r="W254" s="136"/>
      <c r="X254"/>
    </row>
    <row r="255" spans="1:24" ht="15.5">
      <c r="A255" s="138"/>
      <c r="B255" s="139"/>
      <c r="C255" s="140"/>
      <c r="D255" s="141"/>
      <c r="E255" s="141"/>
      <c r="F255" s="141"/>
      <c r="G255" s="141"/>
      <c r="H255" s="142"/>
      <c r="I255" s="141"/>
      <c r="J255" s="140"/>
      <c r="K255" s="141"/>
      <c r="L255" s="141"/>
      <c r="M255" s="142"/>
      <c r="N255" s="141"/>
      <c r="O255" s="140"/>
      <c r="P255" s="142"/>
      <c r="Q255" s="142"/>
      <c r="R255" s="142"/>
      <c r="S255" s="141"/>
      <c r="T255" s="140"/>
      <c r="U255" s="143"/>
      <c r="V255" s="142"/>
      <c r="W255" s="142"/>
      <c r="X255"/>
    </row>
    <row r="256" spans="1:24" s="149" customFormat="1" ht="15.5">
      <c r="A256" s="138"/>
      <c r="B256" s="144"/>
      <c r="C256" s="145"/>
      <c r="D256" s="146"/>
      <c r="E256" s="146"/>
      <c r="F256" s="146"/>
      <c r="G256" s="146"/>
      <c r="H256" s="332"/>
      <c r="I256" s="146"/>
      <c r="J256" s="145"/>
      <c r="K256" s="146"/>
      <c r="L256" s="146"/>
      <c r="M256" s="332"/>
      <c r="N256" s="146"/>
      <c r="O256" s="145"/>
      <c r="P256" s="332"/>
      <c r="Q256" s="332"/>
      <c r="R256" s="332"/>
      <c r="S256" s="146"/>
      <c r="T256" s="145"/>
      <c r="U256" s="148"/>
      <c r="V256" s="332"/>
      <c r="W256" s="332"/>
      <c r="X256"/>
    </row>
    <row r="257" spans="1:24" ht="15.5">
      <c r="A257" s="138"/>
      <c r="B257" s="133"/>
      <c r="C257" s="134"/>
      <c r="D257" s="135"/>
      <c r="E257" s="135"/>
      <c r="F257" s="135"/>
      <c r="G257" s="135"/>
      <c r="H257" s="136"/>
      <c r="I257" s="135"/>
      <c r="J257" s="134"/>
      <c r="K257" s="135"/>
      <c r="L257" s="135"/>
      <c r="M257" s="136"/>
      <c r="N257" s="135"/>
      <c r="O257" s="134"/>
      <c r="P257" s="136"/>
      <c r="Q257" s="136"/>
      <c r="R257" s="136"/>
      <c r="S257" s="135"/>
      <c r="T257" s="134"/>
      <c r="U257" s="137"/>
      <c r="V257" s="136"/>
      <c r="W257" s="136"/>
      <c r="X257"/>
    </row>
    <row r="258" spans="1:24" ht="15.5">
      <c r="A258" s="138"/>
      <c r="B258" s="139"/>
      <c r="C258" s="140"/>
      <c r="D258" s="141"/>
      <c r="E258" s="141"/>
      <c r="F258" s="141"/>
      <c r="G258" s="141"/>
      <c r="H258" s="142"/>
      <c r="I258" s="141"/>
      <c r="J258" s="140"/>
      <c r="K258" s="141"/>
      <c r="L258" s="141"/>
      <c r="M258" s="142"/>
      <c r="N258" s="141"/>
      <c r="O258" s="140"/>
      <c r="P258" s="142"/>
      <c r="Q258" s="142"/>
      <c r="R258" s="142"/>
      <c r="S258" s="141"/>
      <c r="T258" s="140"/>
      <c r="U258" s="143"/>
      <c r="V258" s="142"/>
      <c r="W258" s="142"/>
      <c r="X258"/>
    </row>
    <row r="259" spans="1:24" s="149" customFormat="1" ht="15.5">
      <c r="A259" s="138"/>
      <c r="B259" s="144"/>
      <c r="C259" s="145"/>
      <c r="D259" s="146"/>
      <c r="E259" s="146"/>
      <c r="F259" s="146"/>
      <c r="G259" s="146"/>
      <c r="H259" s="332"/>
      <c r="I259" s="146"/>
      <c r="J259" s="145"/>
      <c r="K259" s="146"/>
      <c r="L259" s="146"/>
      <c r="M259" s="332"/>
      <c r="N259" s="146"/>
      <c r="O259" s="145"/>
      <c r="P259" s="332"/>
      <c r="Q259" s="332"/>
      <c r="R259" s="332"/>
      <c r="S259" s="146"/>
      <c r="T259" s="145"/>
      <c r="U259" s="148"/>
      <c r="V259" s="332"/>
      <c r="W259" s="332"/>
      <c r="X259"/>
    </row>
    <row r="260" spans="1:24" ht="15.5">
      <c r="A260" s="138"/>
      <c r="B260" s="133"/>
      <c r="C260" s="134"/>
      <c r="D260" s="135"/>
      <c r="E260" s="135"/>
      <c r="F260" s="135"/>
      <c r="G260" s="135"/>
      <c r="H260" s="136"/>
      <c r="I260" s="135"/>
      <c r="J260" s="134"/>
      <c r="K260" s="135"/>
      <c r="L260" s="135"/>
      <c r="M260" s="136"/>
      <c r="N260" s="135"/>
      <c r="O260" s="134"/>
      <c r="P260" s="136"/>
      <c r="Q260" s="136"/>
      <c r="R260" s="136"/>
      <c r="S260" s="135"/>
      <c r="T260" s="134"/>
      <c r="U260" s="137"/>
      <c r="V260" s="136"/>
      <c r="W260" s="136"/>
      <c r="X260"/>
    </row>
    <row r="261" spans="1:24" ht="15.5">
      <c r="A261" s="138"/>
      <c r="B261" s="139"/>
      <c r="C261" s="140"/>
      <c r="D261" s="141"/>
      <c r="E261" s="141"/>
      <c r="F261" s="141"/>
      <c r="G261" s="141"/>
      <c r="H261" s="142"/>
      <c r="I261" s="141"/>
      <c r="J261" s="140"/>
      <c r="K261" s="141"/>
      <c r="L261" s="141"/>
      <c r="M261" s="142"/>
      <c r="N261" s="141"/>
      <c r="O261" s="140"/>
      <c r="P261" s="142"/>
      <c r="Q261" s="142"/>
      <c r="R261" s="142"/>
      <c r="S261" s="141"/>
      <c r="T261" s="140"/>
      <c r="U261" s="143"/>
      <c r="V261" s="142"/>
      <c r="W261" s="142"/>
      <c r="X261"/>
    </row>
    <row r="262" spans="1:24" s="149" customFormat="1" ht="15.5">
      <c r="A262" s="138"/>
      <c r="B262" s="144"/>
      <c r="C262" s="145"/>
      <c r="D262" s="146"/>
      <c r="E262" s="146"/>
      <c r="F262" s="146"/>
      <c r="G262" s="146"/>
      <c r="H262" s="332"/>
      <c r="I262" s="146"/>
      <c r="J262" s="145"/>
      <c r="K262" s="146"/>
      <c r="L262" s="146"/>
      <c r="M262" s="332"/>
      <c r="N262" s="146"/>
      <c r="O262" s="145"/>
      <c r="P262" s="332"/>
      <c r="Q262" s="332"/>
      <c r="R262" s="332"/>
      <c r="S262" s="146"/>
      <c r="T262" s="145"/>
      <c r="U262" s="148"/>
      <c r="V262" s="332"/>
      <c r="W262" s="332"/>
      <c r="X262"/>
    </row>
    <row r="263" spans="1:24" ht="15.5">
      <c r="A263" s="138"/>
      <c r="B263" s="133"/>
      <c r="C263" s="134"/>
      <c r="D263" s="135"/>
      <c r="E263" s="135"/>
      <c r="F263" s="135"/>
      <c r="G263" s="135"/>
      <c r="H263" s="136"/>
      <c r="I263" s="135"/>
      <c r="J263" s="134"/>
      <c r="K263" s="135"/>
      <c r="L263" s="135"/>
      <c r="M263" s="136"/>
      <c r="N263" s="135"/>
      <c r="O263" s="134"/>
      <c r="P263" s="136"/>
      <c r="Q263" s="136"/>
      <c r="R263" s="136"/>
      <c r="S263" s="135"/>
      <c r="T263" s="134"/>
      <c r="U263" s="137"/>
      <c r="V263" s="136"/>
      <c r="W263" s="136"/>
      <c r="X263"/>
    </row>
    <row r="264" spans="1:24" ht="15.5">
      <c r="A264" s="138"/>
      <c r="B264" s="139"/>
      <c r="C264" s="140"/>
      <c r="D264" s="141"/>
      <c r="E264" s="141"/>
      <c r="F264" s="141"/>
      <c r="G264" s="141"/>
      <c r="H264" s="142"/>
      <c r="I264" s="141"/>
      <c r="J264" s="140"/>
      <c r="K264" s="141"/>
      <c r="L264" s="141"/>
      <c r="M264" s="142"/>
      <c r="N264" s="141"/>
      <c r="O264" s="140"/>
      <c r="P264" s="142"/>
      <c r="Q264" s="142"/>
      <c r="R264" s="142"/>
      <c r="S264" s="141"/>
      <c r="T264" s="140"/>
      <c r="U264" s="143"/>
      <c r="V264" s="142"/>
      <c r="W264" s="142"/>
      <c r="X264"/>
    </row>
    <row r="265" spans="1:24" s="149" customFormat="1" ht="15.5">
      <c r="A265" s="138"/>
      <c r="B265" s="144"/>
      <c r="C265" s="145"/>
      <c r="D265" s="146"/>
      <c r="E265" s="146"/>
      <c r="F265" s="146"/>
      <c r="G265" s="146"/>
      <c r="H265" s="332"/>
      <c r="I265" s="146"/>
      <c r="J265" s="145"/>
      <c r="K265" s="146"/>
      <c r="L265" s="146"/>
      <c r="M265" s="332"/>
      <c r="N265" s="146"/>
      <c r="O265" s="145"/>
      <c r="P265" s="332"/>
      <c r="Q265" s="332"/>
      <c r="R265" s="332"/>
      <c r="S265" s="146"/>
      <c r="T265" s="145"/>
      <c r="U265" s="148"/>
      <c r="V265" s="332"/>
      <c r="W265" s="332"/>
      <c r="X265"/>
    </row>
    <row r="266" spans="1:24" ht="15.5">
      <c r="A266" s="138"/>
      <c r="B266" s="133"/>
      <c r="C266" s="134"/>
      <c r="D266" s="135"/>
      <c r="E266" s="135"/>
      <c r="F266" s="135"/>
      <c r="G266" s="135"/>
      <c r="H266" s="136"/>
      <c r="I266" s="135"/>
      <c r="J266" s="134"/>
      <c r="K266" s="135"/>
      <c r="L266" s="135"/>
      <c r="M266" s="136"/>
      <c r="N266" s="135"/>
      <c r="O266" s="134"/>
      <c r="P266" s="136"/>
      <c r="Q266" s="136"/>
      <c r="R266" s="136"/>
      <c r="S266" s="135"/>
      <c r="T266" s="134"/>
      <c r="U266" s="137"/>
      <c r="V266" s="136"/>
      <c r="W266" s="136"/>
      <c r="X266"/>
    </row>
    <row r="267" spans="1:24" ht="15.5">
      <c r="A267" s="138"/>
      <c r="B267" s="139"/>
      <c r="C267" s="140"/>
      <c r="D267" s="141"/>
      <c r="E267" s="141"/>
      <c r="F267" s="141"/>
      <c r="G267" s="141"/>
      <c r="H267" s="142"/>
      <c r="I267" s="141"/>
      <c r="J267" s="140"/>
      <c r="K267" s="141"/>
      <c r="L267" s="141"/>
      <c r="M267" s="142"/>
      <c r="N267" s="141"/>
      <c r="O267" s="140"/>
      <c r="P267" s="142"/>
      <c r="Q267" s="142"/>
      <c r="R267" s="142"/>
      <c r="S267" s="141"/>
      <c r="T267" s="140"/>
      <c r="U267" s="143"/>
      <c r="V267" s="142"/>
      <c r="W267" s="142"/>
      <c r="X267"/>
    </row>
    <row r="268" spans="1:24" s="149" customFormat="1" ht="15.5">
      <c r="A268" s="138"/>
      <c r="B268" s="144"/>
      <c r="C268" s="146"/>
      <c r="D268" s="146"/>
      <c r="E268" s="146"/>
      <c r="F268" s="146"/>
      <c r="G268" s="146"/>
      <c r="H268" s="332"/>
      <c r="I268" s="146"/>
      <c r="J268" s="145"/>
      <c r="K268" s="146"/>
      <c r="L268" s="146"/>
      <c r="M268" s="332"/>
      <c r="N268" s="146"/>
      <c r="O268" s="145"/>
      <c r="P268" s="332"/>
      <c r="Q268" s="332"/>
      <c r="R268" s="332"/>
      <c r="S268" s="146"/>
      <c r="T268" s="145"/>
      <c r="U268" s="148"/>
      <c r="V268" s="332"/>
      <c r="W268" s="332"/>
      <c r="X268"/>
    </row>
    <row r="269" spans="1:24" ht="15.5">
      <c r="A269" s="138"/>
      <c r="B269" s="133"/>
      <c r="C269" s="140"/>
      <c r="D269" s="135"/>
      <c r="E269" s="141"/>
      <c r="F269" s="135"/>
      <c r="G269" s="135"/>
      <c r="H269" s="136"/>
      <c r="I269" s="135"/>
      <c r="J269" s="134"/>
      <c r="K269" s="135"/>
      <c r="L269" s="135"/>
      <c r="M269" s="136"/>
      <c r="N269" s="135"/>
      <c r="O269" s="134"/>
      <c r="P269" s="136"/>
      <c r="Q269" s="136"/>
      <c r="R269" s="136"/>
      <c r="S269" s="135"/>
      <c r="T269" s="134"/>
      <c r="U269" s="137"/>
      <c r="V269" s="136"/>
      <c r="W269" s="136"/>
      <c r="X269"/>
    </row>
    <row r="270" spans="1:24" s="149" customFormat="1" ht="15.5">
      <c r="A270" s="153"/>
      <c r="B270" s="139"/>
      <c r="C270" s="140"/>
      <c r="D270" s="141"/>
      <c r="E270" s="141"/>
      <c r="F270" s="141"/>
      <c r="G270" s="141"/>
      <c r="H270" s="142"/>
      <c r="I270" s="141"/>
      <c r="J270" s="140"/>
      <c r="K270" s="141"/>
      <c r="L270" s="141"/>
      <c r="M270" s="142"/>
      <c r="N270" s="141"/>
      <c r="O270" s="140"/>
      <c r="P270" s="142"/>
      <c r="Q270" s="142"/>
      <c r="R270" s="142"/>
      <c r="S270" s="141"/>
      <c r="T270" s="140"/>
      <c r="U270" s="143"/>
      <c r="V270" s="142"/>
      <c r="W270" s="142"/>
      <c r="X270"/>
    </row>
    <row r="271" spans="1:24" ht="15.5">
      <c r="A271" s="132"/>
      <c r="B271" s="133"/>
      <c r="C271" s="134"/>
      <c r="D271" s="135"/>
      <c r="E271" s="135"/>
      <c r="F271" s="135"/>
      <c r="G271" s="135"/>
      <c r="H271" s="136"/>
      <c r="I271" s="135"/>
      <c r="J271" s="134"/>
      <c r="K271" s="135"/>
      <c r="L271" s="135"/>
      <c r="M271" s="136"/>
      <c r="N271" s="135"/>
      <c r="O271" s="134"/>
      <c r="P271" s="136"/>
      <c r="Q271" s="136"/>
      <c r="R271" s="136"/>
      <c r="S271" s="135"/>
      <c r="T271" s="134"/>
      <c r="U271" s="137"/>
      <c r="V271" s="136"/>
      <c r="W271" s="136"/>
      <c r="X271"/>
    </row>
    <row r="272" spans="1:24" ht="15.5">
      <c r="A272" s="138"/>
      <c r="B272" s="139"/>
      <c r="C272" s="140"/>
      <c r="D272" s="141"/>
      <c r="E272" s="141"/>
      <c r="F272" s="141"/>
      <c r="G272" s="141"/>
      <c r="H272" s="142"/>
      <c r="I272" s="141"/>
      <c r="J272" s="140"/>
      <c r="K272" s="141"/>
      <c r="L272" s="141"/>
      <c r="M272" s="142"/>
      <c r="N272" s="141"/>
      <c r="O272" s="140"/>
      <c r="P272" s="142"/>
      <c r="Q272" s="142"/>
      <c r="R272" s="142"/>
      <c r="S272" s="141"/>
      <c r="T272" s="140"/>
      <c r="U272" s="143"/>
      <c r="V272" s="142"/>
      <c r="W272" s="142"/>
      <c r="X272"/>
    </row>
    <row r="273" spans="1:24" s="149" customFormat="1" ht="15.5">
      <c r="A273" s="138"/>
      <c r="B273" s="144"/>
      <c r="C273" s="152"/>
      <c r="D273" s="146"/>
      <c r="E273" s="147"/>
      <c r="F273" s="146"/>
      <c r="G273" s="146"/>
      <c r="H273" s="332"/>
      <c r="I273" s="146"/>
      <c r="J273" s="145"/>
      <c r="K273" s="146"/>
      <c r="L273" s="146"/>
      <c r="M273" s="333"/>
      <c r="N273" s="146"/>
      <c r="O273" s="145"/>
      <c r="P273" s="332"/>
      <c r="Q273" s="332"/>
      <c r="R273" s="146"/>
      <c r="S273" s="148"/>
      <c r="T273" s="146"/>
      <c r="U273" s="148"/>
      <c r="V273" s="332"/>
      <c r="W273" s="332"/>
      <c r="X273"/>
    </row>
    <row r="274" spans="1:24" ht="15.5">
      <c r="A274" s="138"/>
      <c r="B274" s="133"/>
      <c r="C274" s="134"/>
      <c r="D274" s="141"/>
      <c r="E274" s="141"/>
      <c r="F274" s="135"/>
      <c r="G274" s="135"/>
      <c r="H274" s="136"/>
      <c r="I274" s="135"/>
      <c r="J274" s="134"/>
      <c r="K274" s="135"/>
      <c r="L274" s="141"/>
      <c r="M274" s="136"/>
      <c r="N274" s="135"/>
      <c r="O274" s="134"/>
      <c r="P274" s="136"/>
      <c r="Q274" s="136"/>
      <c r="R274" s="136"/>
      <c r="S274" s="141"/>
      <c r="T274" s="134"/>
      <c r="U274" s="137"/>
      <c r="V274" s="136"/>
      <c r="W274" s="136"/>
      <c r="X274"/>
    </row>
    <row r="275" spans="1:24" ht="15.5">
      <c r="A275" s="138"/>
      <c r="B275" s="139"/>
      <c r="C275" s="140"/>
      <c r="D275" s="141"/>
      <c r="E275" s="141"/>
      <c r="F275" s="141"/>
      <c r="G275" s="141"/>
      <c r="H275" s="142"/>
      <c r="I275" s="141"/>
      <c r="J275" s="140"/>
      <c r="K275" s="141"/>
      <c r="L275" s="141"/>
      <c r="M275" s="142"/>
      <c r="N275" s="141"/>
      <c r="O275" s="140"/>
      <c r="P275" s="142"/>
      <c r="Q275" s="142"/>
      <c r="R275" s="142"/>
      <c r="S275" s="141"/>
      <c r="T275" s="140"/>
      <c r="U275" s="143"/>
      <c r="V275" s="142"/>
      <c r="W275" s="142"/>
      <c r="X275"/>
    </row>
    <row r="276" spans="1:24" s="149" customFormat="1" ht="15.5">
      <c r="A276" s="138"/>
      <c r="B276" s="144"/>
      <c r="C276" s="145"/>
      <c r="D276" s="146"/>
      <c r="E276" s="146"/>
      <c r="F276" s="146"/>
      <c r="G276" s="146"/>
      <c r="H276" s="332"/>
      <c r="I276" s="146"/>
      <c r="J276" s="145"/>
      <c r="K276" s="146"/>
      <c r="L276" s="146"/>
      <c r="M276" s="332"/>
      <c r="N276" s="146"/>
      <c r="O276" s="145"/>
      <c r="P276" s="332"/>
      <c r="Q276" s="332"/>
      <c r="R276" s="332"/>
      <c r="S276" s="146"/>
      <c r="T276" s="145"/>
      <c r="U276" s="148"/>
      <c r="V276" s="332"/>
      <c r="W276" s="332"/>
      <c r="X276"/>
    </row>
    <row r="277" spans="1:24" ht="15.5">
      <c r="A277" s="138"/>
      <c r="B277" s="133"/>
      <c r="C277" s="134"/>
      <c r="D277" s="135"/>
      <c r="E277" s="135"/>
      <c r="F277" s="135"/>
      <c r="G277" s="135"/>
      <c r="H277" s="136"/>
      <c r="I277" s="135"/>
      <c r="J277" s="134"/>
      <c r="K277" s="135"/>
      <c r="L277" s="135"/>
      <c r="M277" s="136"/>
      <c r="N277" s="135"/>
      <c r="O277" s="134"/>
      <c r="P277" s="136"/>
      <c r="Q277" s="136"/>
      <c r="R277" s="136"/>
      <c r="S277" s="135"/>
      <c r="T277" s="134"/>
      <c r="U277" s="137"/>
      <c r="V277" s="136"/>
      <c r="W277" s="136"/>
      <c r="X277"/>
    </row>
    <row r="278" spans="1:24" ht="15.5">
      <c r="A278" s="138"/>
      <c r="B278" s="139"/>
      <c r="C278" s="140"/>
      <c r="D278" s="141"/>
      <c r="E278" s="141"/>
      <c r="F278" s="141"/>
      <c r="G278" s="141"/>
      <c r="H278" s="142"/>
      <c r="I278" s="141"/>
      <c r="J278" s="140"/>
      <c r="K278" s="141"/>
      <c r="L278" s="141"/>
      <c r="M278" s="142"/>
      <c r="N278" s="141"/>
      <c r="O278" s="140"/>
      <c r="P278" s="142"/>
      <c r="Q278" s="142"/>
      <c r="R278" s="142"/>
      <c r="S278" s="141"/>
      <c r="T278" s="140"/>
      <c r="U278" s="143"/>
      <c r="V278" s="142"/>
      <c r="W278" s="142"/>
      <c r="X278"/>
    </row>
    <row r="279" spans="1:24" s="149" customFormat="1" ht="15.5">
      <c r="A279" s="138"/>
      <c r="B279" s="144"/>
      <c r="C279" s="145"/>
      <c r="D279" s="146"/>
      <c r="E279" s="146"/>
      <c r="F279" s="146"/>
      <c r="G279" s="146"/>
      <c r="H279" s="332"/>
      <c r="I279" s="146"/>
      <c r="J279" s="145"/>
      <c r="K279" s="146"/>
      <c r="L279" s="146"/>
      <c r="M279" s="332"/>
      <c r="N279" s="146"/>
      <c r="O279" s="145"/>
      <c r="P279" s="332"/>
      <c r="Q279" s="332"/>
      <c r="R279" s="332"/>
      <c r="S279" s="146"/>
      <c r="T279" s="145"/>
      <c r="U279" s="148"/>
      <c r="V279" s="332"/>
      <c r="W279" s="332"/>
      <c r="X279"/>
    </row>
    <row r="280" spans="1:24" ht="15.5">
      <c r="A280" s="138"/>
      <c r="B280" s="133"/>
      <c r="C280" s="134"/>
      <c r="D280" s="135"/>
      <c r="E280" s="135"/>
      <c r="F280" s="135"/>
      <c r="G280" s="135"/>
      <c r="H280" s="136"/>
      <c r="I280" s="135"/>
      <c r="J280" s="134"/>
      <c r="K280" s="135"/>
      <c r="L280" s="135"/>
      <c r="M280" s="136"/>
      <c r="N280" s="135"/>
      <c r="O280" s="134"/>
      <c r="P280" s="136"/>
      <c r="Q280" s="136"/>
      <c r="R280" s="136"/>
      <c r="S280" s="135"/>
      <c r="T280" s="134"/>
      <c r="U280" s="137"/>
      <c r="V280" s="136"/>
      <c r="W280" s="136"/>
      <c r="X280"/>
    </row>
    <row r="281" spans="1:24" ht="15.5">
      <c r="A281" s="138"/>
      <c r="B281" s="139"/>
      <c r="C281" s="140"/>
      <c r="D281" s="141"/>
      <c r="E281" s="141"/>
      <c r="F281" s="141"/>
      <c r="G281" s="141"/>
      <c r="H281" s="142"/>
      <c r="I281" s="141"/>
      <c r="J281" s="140"/>
      <c r="K281" s="141"/>
      <c r="L281" s="141"/>
      <c r="M281" s="142"/>
      <c r="N281" s="141"/>
      <c r="O281" s="140"/>
      <c r="P281" s="142"/>
      <c r="Q281" s="142"/>
      <c r="R281" s="142"/>
      <c r="S281" s="141"/>
      <c r="T281" s="140"/>
      <c r="U281" s="143"/>
      <c r="V281" s="142"/>
      <c r="W281" s="142"/>
      <c r="X281"/>
    </row>
    <row r="282" spans="1:24" s="149" customFormat="1" ht="15.5">
      <c r="A282" s="138"/>
      <c r="B282" s="144"/>
      <c r="C282" s="145"/>
      <c r="D282" s="146"/>
      <c r="E282" s="146"/>
      <c r="F282" s="146"/>
      <c r="G282" s="146"/>
      <c r="H282" s="332"/>
      <c r="I282" s="146"/>
      <c r="J282" s="145"/>
      <c r="K282" s="146"/>
      <c r="L282" s="146"/>
      <c r="M282" s="332"/>
      <c r="N282" s="146"/>
      <c r="O282" s="145"/>
      <c r="P282" s="332"/>
      <c r="Q282" s="332"/>
      <c r="R282" s="332"/>
      <c r="S282" s="146"/>
      <c r="T282" s="145"/>
      <c r="U282" s="148"/>
      <c r="V282" s="332"/>
      <c r="W282" s="332"/>
      <c r="X282"/>
    </row>
    <row r="283" spans="1:24" ht="15.5">
      <c r="A283" s="138"/>
      <c r="B283" s="133"/>
      <c r="C283" s="134"/>
      <c r="D283" s="135"/>
      <c r="E283" s="135"/>
      <c r="F283" s="135"/>
      <c r="G283" s="135"/>
      <c r="H283" s="136"/>
      <c r="I283" s="135"/>
      <c r="J283" s="134"/>
      <c r="K283" s="135"/>
      <c r="L283" s="135"/>
      <c r="M283" s="136"/>
      <c r="N283" s="135"/>
      <c r="O283" s="134"/>
      <c r="P283" s="136"/>
      <c r="Q283" s="136"/>
      <c r="R283" s="136"/>
      <c r="S283" s="135"/>
      <c r="T283" s="134"/>
      <c r="U283" s="137"/>
      <c r="V283" s="136"/>
      <c r="W283" s="136"/>
      <c r="X283"/>
    </row>
    <row r="284" spans="1:24" ht="15.5">
      <c r="A284" s="138"/>
      <c r="B284" s="139"/>
      <c r="C284" s="140"/>
      <c r="D284" s="141"/>
      <c r="E284" s="141"/>
      <c r="F284" s="141"/>
      <c r="G284" s="141"/>
      <c r="H284" s="142"/>
      <c r="I284" s="141"/>
      <c r="J284" s="140"/>
      <c r="K284" s="141"/>
      <c r="L284" s="141"/>
      <c r="M284" s="142"/>
      <c r="N284" s="141"/>
      <c r="O284" s="140"/>
      <c r="P284" s="142"/>
      <c r="Q284" s="142"/>
      <c r="R284" s="142"/>
      <c r="S284" s="141"/>
      <c r="T284" s="140"/>
      <c r="U284" s="143"/>
      <c r="V284" s="142"/>
      <c r="W284" s="142"/>
      <c r="X284"/>
    </row>
    <row r="285" spans="1:24" s="149" customFormat="1" ht="15.5">
      <c r="A285" s="138"/>
      <c r="B285" s="144"/>
      <c r="C285" s="150"/>
      <c r="D285" s="151"/>
      <c r="E285" s="147"/>
      <c r="F285" s="146"/>
      <c r="G285" s="146"/>
      <c r="H285" s="332"/>
      <c r="I285" s="146"/>
      <c r="J285" s="145"/>
      <c r="K285" s="146"/>
      <c r="L285" s="146"/>
      <c r="M285" s="332"/>
      <c r="N285" s="146"/>
      <c r="O285" s="145"/>
      <c r="P285" s="332"/>
      <c r="Q285" s="332"/>
      <c r="R285" s="332"/>
      <c r="S285" s="146"/>
      <c r="T285" s="145"/>
      <c r="U285" s="148"/>
      <c r="V285" s="332"/>
      <c r="W285" s="332"/>
      <c r="X285"/>
    </row>
    <row r="286" spans="1:24" ht="15.5">
      <c r="A286" s="138"/>
      <c r="B286" s="133"/>
      <c r="C286" s="134"/>
      <c r="D286" s="135"/>
      <c r="E286" s="135"/>
      <c r="F286" s="135"/>
      <c r="G286" s="135"/>
      <c r="H286" s="136"/>
      <c r="I286" s="135"/>
      <c r="J286" s="134"/>
      <c r="K286" s="135"/>
      <c r="L286" s="135"/>
      <c r="M286" s="136"/>
      <c r="N286" s="135"/>
      <c r="O286" s="134"/>
      <c r="P286" s="136"/>
      <c r="Q286" s="136"/>
      <c r="R286" s="136"/>
      <c r="S286" s="135"/>
      <c r="T286" s="134"/>
      <c r="U286" s="137"/>
      <c r="V286" s="136"/>
      <c r="W286" s="136"/>
      <c r="X286"/>
    </row>
    <row r="287" spans="1:24" ht="15.5">
      <c r="A287" s="138"/>
      <c r="B287" s="139"/>
      <c r="C287" s="140"/>
      <c r="D287" s="141"/>
      <c r="E287" s="141"/>
      <c r="F287" s="141"/>
      <c r="G287" s="141"/>
      <c r="H287" s="142"/>
      <c r="I287" s="141"/>
      <c r="J287" s="140"/>
      <c r="K287" s="141"/>
      <c r="L287" s="141"/>
      <c r="M287" s="142"/>
      <c r="N287" s="141"/>
      <c r="O287" s="140"/>
      <c r="P287" s="142"/>
      <c r="Q287" s="142"/>
      <c r="R287" s="142"/>
      <c r="S287" s="141"/>
      <c r="T287" s="140"/>
      <c r="U287" s="143"/>
      <c r="V287" s="142"/>
      <c r="W287" s="142"/>
      <c r="X287"/>
    </row>
    <row r="288" spans="1:24" s="149" customFormat="1" ht="15.5">
      <c r="A288" s="138"/>
      <c r="B288" s="144"/>
      <c r="C288" s="145"/>
      <c r="D288" s="146"/>
      <c r="E288" s="146"/>
      <c r="F288" s="146"/>
      <c r="G288" s="146"/>
      <c r="H288" s="332"/>
      <c r="I288" s="146"/>
      <c r="J288" s="145"/>
      <c r="K288" s="146"/>
      <c r="L288" s="146"/>
      <c r="M288" s="332"/>
      <c r="N288" s="146"/>
      <c r="O288" s="145"/>
      <c r="P288" s="332"/>
      <c r="Q288" s="332"/>
      <c r="R288" s="332"/>
      <c r="S288" s="146"/>
      <c r="T288" s="145"/>
      <c r="U288" s="148"/>
      <c r="V288" s="332"/>
      <c r="W288" s="332"/>
      <c r="X288"/>
    </row>
    <row r="289" spans="1:24" ht="15.5">
      <c r="A289" s="138"/>
      <c r="B289" s="133"/>
      <c r="C289" s="134"/>
      <c r="D289" s="135"/>
      <c r="E289" s="135"/>
      <c r="F289" s="141"/>
      <c r="G289" s="135"/>
      <c r="H289" s="136"/>
      <c r="I289" s="135"/>
      <c r="J289" s="134"/>
      <c r="K289" s="135"/>
      <c r="L289" s="135"/>
      <c r="M289" s="136"/>
      <c r="N289" s="135"/>
      <c r="O289" s="134"/>
      <c r="P289" s="136"/>
      <c r="Q289" s="136"/>
      <c r="R289" s="136"/>
      <c r="S289" s="135"/>
      <c r="T289" s="134"/>
      <c r="U289" s="137"/>
      <c r="V289" s="136"/>
      <c r="W289" s="136"/>
      <c r="X289"/>
    </row>
    <row r="290" spans="1:24" ht="15.5">
      <c r="A290" s="138"/>
      <c r="B290" s="139"/>
      <c r="C290" s="140"/>
      <c r="D290" s="141"/>
      <c r="E290" s="141"/>
      <c r="F290" s="141"/>
      <c r="G290" s="141"/>
      <c r="H290" s="142"/>
      <c r="I290" s="141"/>
      <c r="J290" s="140"/>
      <c r="K290" s="141"/>
      <c r="L290" s="141"/>
      <c r="M290" s="142"/>
      <c r="N290" s="141"/>
      <c r="O290" s="140"/>
      <c r="P290" s="142"/>
      <c r="Q290" s="142"/>
      <c r="R290" s="142"/>
      <c r="S290" s="141"/>
      <c r="T290" s="140"/>
      <c r="U290" s="143"/>
      <c r="V290" s="142"/>
      <c r="W290" s="142"/>
      <c r="X290"/>
    </row>
    <row r="291" spans="1:24" s="149" customFormat="1" ht="15.5">
      <c r="A291" s="138"/>
      <c r="B291" s="144"/>
      <c r="C291" s="145"/>
      <c r="D291" s="146"/>
      <c r="E291" s="146"/>
      <c r="F291" s="146"/>
      <c r="G291" s="146"/>
      <c r="H291" s="332"/>
      <c r="I291" s="146"/>
      <c r="J291" s="145"/>
      <c r="K291" s="146"/>
      <c r="L291" s="146"/>
      <c r="M291" s="332"/>
      <c r="N291" s="146"/>
      <c r="O291" s="145"/>
      <c r="P291" s="332"/>
      <c r="Q291" s="332"/>
      <c r="R291" s="332"/>
      <c r="S291" s="146"/>
      <c r="T291" s="145"/>
      <c r="U291" s="148"/>
      <c r="V291" s="332"/>
      <c r="W291" s="332"/>
      <c r="X291"/>
    </row>
    <row r="292" spans="1:24" ht="15.5">
      <c r="A292" s="138"/>
      <c r="B292" s="133"/>
      <c r="C292" s="134"/>
      <c r="D292" s="135"/>
      <c r="E292" s="141"/>
      <c r="F292" s="135"/>
      <c r="G292" s="135"/>
      <c r="H292" s="136"/>
      <c r="I292" s="135"/>
      <c r="J292" s="134"/>
      <c r="K292" s="135"/>
      <c r="L292" s="135"/>
      <c r="M292" s="136"/>
      <c r="N292" s="135"/>
      <c r="O292" s="134"/>
      <c r="P292" s="136"/>
      <c r="Q292" s="136"/>
      <c r="R292" s="136"/>
      <c r="S292" s="135"/>
      <c r="T292" s="134"/>
      <c r="U292" s="137"/>
      <c r="V292" s="136"/>
      <c r="W292" s="136"/>
      <c r="X292"/>
    </row>
    <row r="293" spans="1:24" ht="15.5">
      <c r="A293" s="138"/>
      <c r="B293" s="139"/>
      <c r="C293" s="140"/>
      <c r="D293" s="141"/>
      <c r="E293" s="141"/>
      <c r="F293" s="141"/>
      <c r="G293" s="141"/>
      <c r="H293" s="142"/>
      <c r="I293" s="141"/>
      <c r="J293" s="140"/>
      <c r="K293" s="141"/>
      <c r="L293" s="141"/>
      <c r="M293" s="142"/>
      <c r="N293" s="141"/>
      <c r="O293" s="140"/>
      <c r="P293" s="142"/>
      <c r="Q293" s="142"/>
      <c r="R293" s="142"/>
      <c r="S293" s="141"/>
      <c r="T293" s="140"/>
      <c r="U293" s="143"/>
      <c r="V293" s="142"/>
      <c r="W293" s="142"/>
      <c r="X293"/>
    </row>
    <row r="294" spans="1:24" s="149" customFormat="1" ht="15.5">
      <c r="A294" s="138"/>
      <c r="B294" s="144"/>
      <c r="C294" s="145"/>
      <c r="D294" s="146"/>
      <c r="E294" s="146"/>
      <c r="F294" s="146"/>
      <c r="G294" s="146"/>
      <c r="H294" s="332"/>
      <c r="I294" s="146"/>
      <c r="J294" s="145"/>
      <c r="K294" s="146"/>
      <c r="L294" s="146"/>
      <c r="M294" s="332"/>
      <c r="N294" s="146"/>
      <c r="O294" s="145"/>
      <c r="P294" s="332"/>
      <c r="Q294" s="332"/>
      <c r="R294" s="332"/>
      <c r="S294" s="146"/>
      <c r="T294" s="145"/>
      <c r="U294" s="148"/>
      <c r="V294" s="332"/>
      <c r="W294" s="332"/>
      <c r="X294"/>
    </row>
    <row r="295" spans="1:24" ht="15.5">
      <c r="A295" s="138"/>
      <c r="B295" s="133"/>
      <c r="C295" s="134"/>
      <c r="D295" s="135"/>
      <c r="E295" s="135"/>
      <c r="F295" s="135"/>
      <c r="G295" s="135"/>
      <c r="H295" s="136"/>
      <c r="I295" s="135"/>
      <c r="J295" s="134"/>
      <c r="K295" s="135"/>
      <c r="L295" s="135"/>
      <c r="M295" s="136"/>
      <c r="N295" s="135"/>
      <c r="O295" s="134"/>
      <c r="P295" s="136"/>
      <c r="Q295" s="136"/>
      <c r="R295" s="136"/>
      <c r="S295" s="135"/>
      <c r="T295" s="134"/>
      <c r="U295" s="137"/>
      <c r="V295" s="136"/>
      <c r="W295" s="136"/>
      <c r="X295"/>
    </row>
    <row r="296" spans="1:24" ht="15.5">
      <c r="A296" s="138"/>
      <c r="B296" s="139"/>
      <c r="C296" s="140"/>
      <c r="D296" s="141"/>
      <c r="E296" s="141"/>
      <c r="F296" s="141"/>
      <c r="G296" s="141"/>
      <c r="H296" s="142"/>
      <c r="I296" s="141"/>
      <c r="J296" s="140"/>
      <c r="K296" s="141"/>
      <c r="L296" s="141"/>
      <c r="M296" s="142"/>
      <c r="N296" s="141"/>
      <c r="O296" s="140"/>
      <c r="P296" s="142"/>
      <c r="Q296" s="142"/>
      <c r="R296" s="142"/>
      <c r="S296" s="141"/>
      <c r="T296" s="140"/>
      <c r="U296" s="143"/>
      <c r="V296" s="142"/>
      <c r="W296" s="142"/>
      <c r="X296"/>
    </row>
    <row r="297" spans="1:24" s="149" customFormat="1" ht="15.5">
      <c r="A297" s="138"/>
      <c r="B297" s="144"/>
      <c r="C297" s="145"/>
      <c r="D297" s="146"/>
      <c r="E297" s="146"/>
      <c r="F297" s="146"/>
      <c r="G297" s="146"/>
      <c r="H297" s="332"/>
      <c r="I297" s="146"/>
      <c r="J297" s="145"/>
      <c r="K297" s="146"/>
      <c r="L297" s="146"/>
      <c r="M297" s="332"/>
      <c r="N297" s="146"/>
      <c r="O297" s="145"/>
      <c r="P297" s="332"/>
      <c r="Q297" s="332"/>
      <c r="R297" s="332"/>
      <c r="S297" s="146"/>
      <c r="T297" s="145"/>
      <c r="U297" s="148"/>
      <c r="V297" s="332"/>
      <c r="W297" s="332"/>
      <c r="X297"/>
    </row>
    <row r="298" spans="1:24" ht="15.5">
      <c r="A298" s="138"/>
      <c r="B298" s="133"/>
      <c r="C298" s="134"/>
      <c r="D298" s="135"/>
      <c r="E298" s="135"/>
      <c r="F298" s="135"/>
      <c r="G298" s="135"/>
      <c r="H298" s="136"/>
      <c r="I298" s="135"/>
      <c r="J298" s="134"/>
      <c r="K298" s="135"/>
      <c r="L298" s="135"/>
      <c r="M298" s="136"/>
      <c r="N298" s="135"/>
      <c r="O298" s="134"/>
      <c r="P298" s="136"/>
      <c r="Q298" s="136"/>
      <c r="R298" s="136"/>
      <c r="S298" s="135"/>
      <c r="T298" s="134"/>
      <c r="U298" s="137"/>
      <c r="V298" s="136"/>
      <c r="W298" s="136"/>
      <c r="X298"/>
    </row>
    <row r="299" spans="1:24" ht="15.5">
      <c r="A299" s="138"/>
      <c r="B299" s="139"/>
      <c r="C299" s="140"/>
      <c r="D299" s="141"/>
      <c r="E299" s="141"/>
      <c r="F299" s="141"/>
      <c r="G299" s="141"/>
      <c r="H299" s="142"/>
      <c r="I299" s="141"/>
      <c r="J299" s="140"/>
      <c r="K299" s="141"/>
      <c r="L299" s="141"/>
      <c r="M299" s="142"/>
      <c r="N299" s="141"/>
      <c r="O299" s="140"/>
      <c r="P299" s="142"/>
      <c r="Q299" s="142"/>
      <c r="R299" s="142"/>
      <c r="S299" s="141"/>
      <c r="T299" s="140"/>
      <c r="U299" s="143"/>
      <c r="V299" s="142"/>
      <c r="W299" s="142"/>
      <c r="X299"/>
    </row>
    <row r="300" spans="1:24" s="149" customFormat="1" ht="15.5">
      <c r="A300" s="138"/>
      <c r="B300" s="144"/>
      <c r="C300" s="152"/>
      <c r="D300" s="146"/>
      <c r="E300" s="146"/>
      <c r="F300" s="146"/>
      <c r="G300" s="146"/>
      <c r="H300" s="332"/>
      <c r="I300" s="146"/>
      <c r="J300" s="145"/>
      <c r="K300" s="146"/>
      <c r="L300" s="146"/>
      <c r="M300" s="332"/>
      <c r="N300" s="146"/>
      <c r="O300" s="145"/>
      <c r="P300" s="332"/>
      <c r="Q300" s="332"/>
      <c r="R300" s="332"/>
      <c r="S300" s="146"/>
      <c r="T300" s="145"/>
      <c r="U300" s="148"/>
      <c r="V300" s="332"/>
      <c r="W300" s="332"/>
      <c r="X300"/>
    </row>
    <row r="301" spans="1:24" ht="15.5">
      <c r="A301" s="138"/>
      <c r="B301" s="133"/>
      <c r="C301" s="134"/>
      <c r="D301" s="135"/>
      <c r="E301" s="135"/>
      <c r="F301" s="135"/>
      <c r="G301" s="135"/>
      <c r="H301" s="136"/>
      <c r="I301" s="135"/>
      <c r="J301" s="134"/>
      <c r="K301" s="135"/>
      <c r="L301" s="135"/>
      <c r="M301" s="136"/>
      <c r="N301" s="135"/>
      <c r="O301" s="134"/>
      <c r="P301" s="136"/>
      <c r="Q301" s="136"/>
      <c r="R301" s="136"/>
      <c r="S301" s="135"/>
      <c r="T301" s="134"/>
      <c r="U301" s="137"/>
      <c r="V301" s="136"/>
      <c r="W301" s="136"/>
      <c r="X301"/>
    </row>
    <row r="302" spans="1:24" ht="15.5">
      <c r="A302" s="138"/>
      <c r="B302" s="139"/>
      <c r="C302" s="140"/>
      <c r="D302" s="141"/>
      <c r="E302" s="141"/>
      <c r="F302" s="141"/>
      <c r="G302" s="141"/>
      <c r="H302" s="142"/>
      <c r="I302" s="141"/>
      <c r="J302" s="140"/>
      <c r="K302" s="141"/>
      <c r="L302" s="141"/>
      <c r="M302" s="142"/>
      <c r="N302" s="141"/>
      <c r="O302" s="140"/>
      <c r="P302" s="142"/>
      <c r="Q302" s="142"/>
      <c r="R302" s="142"/>
      <c r="S302" s="141"/>
      <c r="T302" s="140"/>
      <c r="U302" s="143"/>
      <c r="V302" s="142"/>
      <c r="W302" s="142"/>
      <c r="X302"/>
    </row>
    <row r="303" spans="1:24" s="149" customFormat="1" ht="15.5">
      <c r="A303" s="138"/>
      <c r="B303" s="144"/>
      <c r="C303" s="145"/>
      <c r="D303" s="146"/>
      <c r="E303" s="146"/>
      <c r="F303" s="146"/>
      <c r="G303" s="146"/>
      <c r="H303" s="332"/>
      <c r="I303" s="146"/>
      <c r="J303" s="145"/>
      <c r="K303" s="146"/>
      <c r="L303" s="146"/>
      <c r="M303" s="332"/>
      <c r="N303" s="146"/>
      <c r="O303" s="145"/>
      <c r="P303" s="332"/>
      <c r="Q303" s="332"/>
      <c r="R303" s="332"/>
      <c r="S303" s="146"/>
      <c r="T303" s="145"/>
      <c r="U303" s="148"/>
      <c r="V303" s="332"/>
      <c r="W303" s="332"/>
      <c r="X303"/>
    </row>
    <row r="304" spans="1:24" ht="15.5">
      <c r="A304" s="138"/>
      <c r="B304" s="133"/>
      <c r="C304" s="134"/>
      <c r="D304" s="135"/>
      <c r="E304" s="135"/>
      <c r="F304" s="135"/>
      <c r="G304" s="135"/>
      <c r="H304" s="136"/>
      <c r="I304" s="135"/>
      <c r="J304" s="134"/>
      <c r="K304" s="135"/>
      <c r="L304" s="135"/>
      <c r="M304" s="136"/>
      <c r="N304" s="135"/>
      <c r="O304" s="134"/>
      <c r="P304" s="136"/>
      <c r="Q304" s="136"/>
      <c r="R304" s="136"/>
      <c r="S304" s="135"/>
      <c r="T304" s="134"/>
      <c r="U304" s="137"/>
      <c r="V304" s="136"/>
      <c r="W304" s="136"/>
      <c r="X304"/>
    </row>
    <row r="305" spans="1:24" ht="15.5">
      <c r="A305" s="138"/>
      <c r="B305" s="139"/>
      <c r="C305" s="140"/>
      <c r="D305" s="141"/>
      <c r="E305" s="141"/>
      <c r="F305" s="141"/>
      <c r="G305" s="141"/>
      <c r="H305" s="142"/>
      <c r="I305" s="141"/>
      <c r="J305" s="140"/>
      <c r="K305" s="141"/>
      <c r="L305" s="141"/>
      <c r="M305" s="142"/>
      <c r="N305" s="141"/>
      <c r="O305" s="140"/>
      <c r="P305" s="142"/>
      <c r="Q305" s="142"/>
      <c r="R305" s="142"/>
      <c r="S305" s="141"/>
      <c r="T305" s="140"/>
      <c r="U305" s="143"/>
      <c r="V305" s="142"/>
      <c r="W305" s="142"/>
      <c r="X305"/>
    </row>
    <row r="306" spans="1:24" s="149" customFormat="1" ht="15.5">
      <c r="A306" s="138"/>
      <c r="B306" s="144"/>
      <c r="C306" s="145"/>
      <c r="D306" s="146"/>
      <c r="E306" s="146"/>
      <c r="F306" s="146"/>
      <c r="G306" s="146"/>
      <c r="H306" s="332"/>
      <c r="I306" s="146"/>
      <c r="J306" s="145"/>
      <c r="K306" s="146"/>
      <c r="L306" s="146"/>
      <c r="M306" s="332"/>
      <c r="N306" s="146"/>
      <c r="O306" s="145"/>
      <c r="P306" s="332"/>
      <c r="Q306" s="332"/>
      <c r="R306" s="332"/>
      <c r="S306" s="146"/>
      <c r="T306" s="145"/>
      <c r="U306" s="148"/>
      <c r="V306" s="332"/>
      <c r="W306" s="332"/>
      <c r="X306"/>
    </row>
    <row r="307" spans="1:24" ht="15.5">
      <c r="A307" s="138"/>
      <c r="B307" s="133"/>
      <c r="C307" s="134"/>
      <c r="D307" s="135"/>
      <c r="E307" s="135"/>
      <c r="F307" s="135"/>
      <c r="G307" s="135"/>
      <c r="H307" s="136"/>
      <c r="I307" s="135"/>
      <c r="J307" s="134"/>
      <c r="K307" s="135"/>
      <c r="L307" s="135"/>
      <c r="M307" s="136"/>
      <c r="N307" s="135"/>
      <c r="O307" s="134"/>
      <c r="P307" s="136"/>
      <c r="Q307" s="136"/>
      <c r="R307" s="136"/>
      <c r="S307" s="135"/>
      <c r="T307" s="134"/>
      <c r="U307" s="137"/>
      <c r="V307" s="136"/>
      <c r="W307" s="136"/>
      <c r="X307"/>
    </row>
    <row r="308" spans="1:24" ht="15.5">
      <c r="A308" s="138"/>
      <c r="B308" s="139"/>
      <c r="C308" s="140"/>
      <c r="D308" s="141"/>
      <c r="E308" s="141"/>
      <c r="F308" s="141"/>
      <c r="G308" s="141"/>
      <c r="H308" s="142"/>
      <c r="I308" s="141"/>
      <c r="J308" s="140"/>
      <c r="K308" s="141"/>
      <c r="L308" s="141"/>
      <c r="M308" s="142"/>
      <c r="N308" s="141"/>
      <c r="O308" s="140"/>
      <c r="P308" s="142"/>
      <c r="Q308" s="142"/>
      <c r="R308" s="142"/>
      <c r="S308" s="141"/>
      <c r="T308" s="140"/>
      <c r="U308" s="143"/>
      <c r="V308" s="142"/>
      <c r="W308" s="142"/>
      <c r="X308"/>
    </row>
    <row r="309" spans="1:24" s="149" customFormat="1" ht="15.5">
      <c r="A309" s="138"/>
      <c r="B309" s="144"/>
      <c r="C309" s="145"/>
      <c r="D309" s="146"/>
      <c r="E309" s="146"/>
      <c r="F309" s="146"/>
      <c r="G309" s="146"/>
      <c r="H309" s="332"/>
      <c r="I309" s="146"/>
      <c r="J309" s="145"/>
      <c r="K309" s="146"/>
      <c r="L309" s="146"/>
      <c r="M309" s="332"/>
      <c r="N309" s="146"/>
      <c r="O309" s="145"/>
      <c r="P309" s="332"/>
      <c r="Q309" s="332"/>
      <c r="R309" s="332"/>
      <c r="S309" s="146"/>
      <c r="T309" s="145"/>
      <c r="U309" s="148"/>
      <c r="V309" s="332"/>
      <c r="W309" s="332"/>
      <c r="X309"/>
    </row>
    <row r="310" spans="1:24" ht="15.5">
      <c r="A310" s="138"/>
      <c r="B310" s="133"/>
      <c r="C310" s="134"/>
      <c r="D310" s="135"/>
      <c r="E310" s="135"/>
      <c r="F310" s="135"/>
      <c r="G310" s="135"/>
      <c r="H310" s="136"/>
      <c r="I310" s="135"/>
      <c r="J310" s="134"/>
      <c r="K310" s="135"/>
      <c r="L310" s="135"/>
      <c r="M310" s="136"/>
      <c r="N310" s="135"/>
      <c r="O310" s="134"/>
      <c r="P310" s="136"/>
      <c r="Q310" s="136"/>
      <c r="R310" s="136"/>
      <c r="S310" s="135"/>
      <c r="T310" s="134"/>
      <c r="U310" s="137"/>
      <c r="V310" s="136"/>
      <c r="W310" s="136"/>
      <c r="X310"/>
    </row>
    <row r="311" spans="1:24" ht="15.5">
      <c r="A311" s="138"/>
      <c r="B311" s="139"/>
      <c r="C311" s="140"/>
      <c r="D311" s="141"/>
      <c r="E311" s="141"/>
      <c r="F311" s="141"/>
      <c r="G311" s="141"/>
      <c r="H311" s="142"/>
      <c r="I311" s="141"/>
      <c r="J311" s="140"/>
      <c r="K311" s="141"/>
      <c r="L311" s="141"/>
      <c r="M311" s="142"/>
      <c r="N311" s="141"/>
      <c r="O311" s="140"/>
      <c r="P311" s="142"/>
      <c r="Q311" s="142"/>
      <c r="R311" s="142"/>
      <c r="S311" s="141"/>
      <c r="T311" s="140"/>
      <c r="U311" s="143"/>
      <c r="V311" s="142"/>
      <c r="W311" s="142"/>
      <c r="X311"/>
    </row>
    <row r="312" spans="1:24" s="149" customFormat="1" ht="15.5">
      <c r="A312" s="138"/>
      <c r="B312" s="144"/>
      <c r="C312" s="145"/>
      <c r="D312" s="146"/>
      <c r="E312" s="146"/>
      <c r="F312" s="146"/>
      <c r="G312" s="146"/>
      <c r="H312" s="332"/>
      <c r="I312" s="146"/>
      <c r="J312" s="145"/>
      <c r="K312" s="146"/>
      <c r="L312" s="146"/>
      <c r="M312" s="332"/>
      <c r="N312" s="146"/>
      <c r="O312" s="145"/>
      <c r="P312" s="332"/>
      <c r="Q312" s="332"/>
      <c r="R312" s="332"/>
      <c r="S312" s="146"/>
      <c r="T312" s="145"/>
      <c r="U312" s="148"/>
      <c r="V312" s="332"/>
      <c r="W312" s="332"/>
      <c r="X312"/>
    </row>
    <row r="313" spans="1:24" ht="15.5">
      <c r="A313" s="138"/>
      <c r="B313" s="133"/>
      <c r="C313" s="134"/>
      <c r="D313" s="135"/>
      <c r="E313" s="135"/>
      <c r="F313" s="135"/>
      <c r="G313" s="135"/>
      <c r="H313" s="136"/>
      <c r="I313" s="135"/>
      <c r="J313" s="134"/>
      <c r="K313" s="135"/>
      <c r="L313" s="135"/>
      <c r="M313" s="136"/>
      <c r="N313" s="135"/>
      <c r="O313" s="134"/>
      <c r="P313" s="136"/>
      <c r="Q313" s="136"/>
      <c r="R313" s="136"/>
      <c r="S313" s="135"/>
      <c r="T313" s="134"/>
      <c r="U313" s="137"/>
      <c r="V313" s="136"/>
      <c r="W313" s="136"/>
      <c r="X313"/>
    </row>
    <row r="314" spans="1:24" ht="15.5">
      <c r="A314" s="138"/>
      <c r="B314" s="139"/>
      <c r="C314" s="140"/>
      <c r="D314" s="141"/>
      <c r="E314" s="141"/>
      <c r="F314" s="141"/>
      <c r="G314" s="141"/>
      <c r="H314" s="142"/>
      <c r="I314" s="141"/>
      <c r="J314" s="140"/>
      <c r="K314" s="141"/>
      <c r="L314" s="141"/>
      <c r="M314" s="142"/>
      <c r="N314" s="141"/>
      <c r="O314" s="140"/>
      <c r="P314" s="142"/>
      <c r="Q314" s="142"/>
      <c r="R314" s="142"/>
      <c r="S314" s="141"/>
      <c r="T314" s="140"/>
      <c r="U314" s="143"/>
      <c r="V314" s="142"/>
      <c r="W314" s="142"/>
      <c r="X314"/>
    </row>
    <row r="315" spans="1:24" s="149" customFormat="1" ht="15.5">
      <c r="A315" s="138"/>
      <c r="B315" s="144"/>
      <c r="C315" s="145"/>
      <c r="D315" s="146"/>
      <c r="E315" s="146"/>
      <c r="F315" s="146"/>
      <c r="G315" s="146"/>
      <c r="H315" s="332"/>
      <c r="I315" s="146"/>
      <c r="J315" s="145"/>
      <c r="K315" s="146"/>
      <c r="L315" s="146"/>
      <c r="M315" s="332"/>
      <c r="N315" s="146"/>
      <c r="O315" s="145"/>
      <c r="P315" s="332"/>
      <c r="Q315" s="332"/>
      <c r="R315" s="332"/>
      <c r="S315" s="146"/>
      <c r="T315" s="145"/>
      <c r="U315" s="148"/>
      <c r="V315" s="332"/>
      <c r="W315" s="332"/>
      <c r="X315"/>
    </row>
    <row r="316" spans="1:24" ht="15.5">
      <c r="A316" s="138"/>
      <c r="B316" s="133"/>
      <c r="C316" s="134"/>
      <c r="D316" s="135"/>
      <c r="E316" s="135"/>
      <c r="F316" s="135"/>
      <c r="G316" s="135"/>
      <c r="H316" s="136"/>
      <c r="I316" s="135"/>
      <c r="J316" s="134"/>
      <c r="K316" s="135"/>
      <c r="L316" s="135"/>
      <c r="M316" s="136"/>
      <c r="N316" s="135"/>
      <c r="O316" s="134"/>
      <c r="P316" s="136"/>
      <c r="Q316" s="136"/>
      <c r="R316" s="136"/>
      <c r="S316" s="135"/>
      <c r="T316" s="134"/>
      <c r="U316" s="137"/>
      <c r="V316" s="136"/>
      <c r="W316" s="136"/>
      <c r="X316"/>
    </row>
    <row r="317" spans="1:24" ht="15.5">
      <c r="A317" s="138"/>
      <c r="B317" s="139"/>
      <c r="C317" s="140"/>
      <c r="D317" s="141"/>
      <c r="E317" s="141"/>
      <c r="F317" s="141"/>
      <c r="G317" s="141"/>
      <c r="H317" s="142"/>
      <c r="I317" s="141"/>
      <c r="J317" s="140"/>
      <c r="K317" s="141"/>
      <c r="L317" s="141"/>
      <c r="M317" s="142"/>
      <c r="N317" s="141"/>
      <c r="O317" s="140"/>
      <c r="P317" s="142"/>
      <c r="Q317" s="142"/>
      <c r="R317" s="142"/>
      <c r="S317" s="141"/>
      <c r="T317" s="140"/>
      <c r="U317" s="143"/>
      <c r="V317" s="142"/>
      <c r="W317" s="142"/>
      <c r="X317"/>
    </row>
    <row r="318" spans="1:24" s="149" customFormat="1" ht="15.5">
      <c r="A318" s="138"/>
      <c r="B318" s="144"/>
      <c r="C318" s="145"/>
      <c r="D318" s="146"/>
      <c r="E318" s="146"/>
      <c r="F318" s="146"/>
      <c r="G318" s="146"/>
      <c r="H318" s="332"/>
      <c r="I318" s="146"/>
      <c r="J318" s="145"/>
      <c r="K318" s="146"/>
      <c r="L318" s="146"/>
      <c r="M318" s="332"/>
      <c r="N318" s="146"/>
      <c r="O318" s="145"/>
      <c r="P318" s="332"/>
      <c r="Q318" s="332"/>
      <c r="R318" s="332"/>
      <c r="S318" s="146"/>
      <c r="T318" s="145"/>
      <c r="U318" s="148"/>
      <c r="V318" s="332"/>
      <c r="W318" s="332"/>
      <c r="X318"/>
    </row>
    <row r="319" spans="1:24" ht="15.5">
      <c r="A319" s="138"/>
      <c r="B319" s="133"/>
      <c r="C319" s="134"/>
      <c r="D319" s="135"/>
      <c r="E319" s="135"/>
      <c r="F319" s="135"/>
      <c r="G319" s="135"/>
      <c r="H319" s="136"/>
      <c r="I319" s="135"/>
      <c r="J319" s="134"/>
      <c r="K319" s="135"/>
      <c r="L319" s="135"/>
      <c r="M319" s="136"/>
      <c r="N319" s="135"/>
      <c r="O319" s="134"/>
      <c r="P319" s="136"/>
      <c r="Q319" s="136"/>
      <c r="R319" s="136"/>
      <c r="S319" s="135"/>
      <c r="T319" s="134"/>
      <c r="U319" s="137"/>
      <c r="V319" s="136"/>
      <c r="W319" s="136"/>
      <c r="X319"/>
    </row>
    <row r="320" spans="1:24" ht="15.5">
      <c r="A320" s="138"/>
      <c r="B320" s="139"/>
      <c r="C320" s="140"/>
      <c r="D320" s="141"/>
      <c r="E320" s="141"/>
      <c r="F320" s="141"/>
      <c r="G320" s="141"/>
      <c r="H320" s="142"/>
      <c r="I320" s="141"/>
      <c r="J320" s="140"/>
      <c r="K320" s="141"/>
      <c r="L320" s="141"/>
      <c r="M320" s="142"/>
      <c r="N320" s="141"/>
      <c r="O320" s="140"/>
      <c r="P320" s="142"/>
      <c r="Q320" s="142"/>
      <c r="R320" s="142"/>
      <c r="S320" s="141"/>
      <c r="T320" s="140"/>
      <c r="U320" s="143"/>
      <c r="V320" s="142"/>
      <c r="W320" s="142"/>
      <c r="X320"/>
    </row>
    <row r="321" spans="1:24" s="149" customFormat="1" ht="15.5">
      <c r="A321" s="138"/>
      <c r="B321" s="144"/>
      <c r="C321" s="146"/>
      <c r="D321" s="146"/>
      <c r="E321" s="146"/>
      <c r="F321" s="146"/>
      <c r="G321" s="146"/>
      <c r="H321" s="332"/>
      <c r="I321" s="146"/>
      <c r="J321" s="145"/>
      <c r="K321" s="146"/>
      <c r="L321" s="146"/>
      <c r="M321" s="332"/>
      <c r="N321" s="146"/>
      <c r="O321" s="145"/>
      <c r="P321" s="332"/>
      <c r="Q321" s="332"/>
      <c r="R321" s="332"/>
      <c r="S321" s="146"/>
      <c r="T321" s="145"/>
      <c r="U321" s="148"/>
      <c r="V321" s="332"/>
      <c r="W321" s="332"/>
      <c r="X321"/>
    </row>
    <row r="322" spans="1:24" ht="15.5">
      <c r="A322" s="138"/>
      <c r="B322" s="133"/>
      <c r="C322" s="140"/>
      <c r="D322" s="135"/>
      <c r="E322" s="141"/>
      <c r="F322" s="135"/>
      <c r="G322" s="135"/>
      <c r="H322" s="136"/>
      <c r="I322" s="135"/>
      <c r="J322" s="134"/>
      <c r="K322" s="135"/>
      <c r="L322" s="135"/>
      <c r="M322" s="136"/>
      <c r="N322" s="135"/>
      <c r="O322" s="134"/>
      <c r="P322" s="136"/>
      <c r="Q322" s="136"/>
      <c r="R322" s="136"/>
      <c r="S322" s="135"/>
      <c r="T322" s="134"/>
      <c r="U322" s="137"/>
      <c r="V322" s="136"/>
      <c r="W322" s="136"/>
      <c r="X322"/>
    </row>
    <row r="323" spans="1:24" s="149" customFormat="1" ht="15.5">
      <c r="A323" s="153"/>
      <c r="B323" s="139"/>
      <c r="C323" s="140"/>
      <c r="D323" s="141"/>
      <c r="E323" s="141"/>
      <c r="F323" s="141"/>
      <c r="G323" s="141"/>
      <c r="H323" s="142"/>
      <c r="I323" s="141"/>
      <c r="J323" s="140"/>
      <c r="K323" s="141"/>
      <c r="L323" s="141"/>
      <c r="M323" s="142"/>
      <c r="N323" s="141"/>
      <c r="O323" s="140"/>
      <c r="P323" s="142"/>
      <c r="Q323" s="142"/>
      <c r="R323" s="142"/>
      <c r="S323" s="141"/>
      <c r="T323" s="140"/>
      <c r="U323" s="143"/>
      <c r="V323" s="142"/>
      <c r="W323" s="142"/>
      <c r="X323"/>
    </row>
    <row r="324" spans="1:24" ht="15.5">
      <c r="A324" s="132"/>
      <c r="B324" s="133"/>
      <c r="C324" s="134"/>
      <c r="D324" s="135"/>
      <c r="E324" s="135"/>
      <c r="F324" s="135"/>
      <c r="G324" s="135"/>
      <c r="H324" s="136"/>
      <c r="I324" s="135"/>
      <c r="J324" s="134"/>
      <c r="K324" s="135"/>
      <c r="L324" s="135"/>
      <c r="M324" s="136"/>
      <c r="N324" s="135"/>
      <c r="O324" s="134"/>
      <c r="P324" s="136"/>
      <c r="Q324" s="136"/>
      <c r="R324" s="136"/>
      <c r="S324" s="135"/>
      <c r="T324" s="134"/>
      <c r="U324" s="137"/>
      <c r="V324" s="136"/>
      <c r="W324" s="136"/>
      <c r="X324"/>
    </row>
    <row r="325" spans="1:24" ht="15.5">
      <c r="A325" s="138"/>
      <c r="B325" s="139"/>
      <c r="C325" s="140"/>
      <c r="D325" s="141"/>
      <c r="E325" s="141"/>
      <c r="F325" s="141"/>
      <c r="G325" s="141"/>
      <c r="H325" s="142"/>
      <c r="I325" s="141"/>
      <c r="J325" s="140"/>
      <c r="K325" s="141"/>
      <c r="L325" s="141"/>
      <c r="M325" s="142"/>
      <c r="N325" s="141"/>
      <c r="O325" s="140"/>
      <c r="P325" s="142"/>
      <c r="Q325" s="142"/>
      <c r="R325" s="142"/>
      <c r="S325" s="141"/>
      <c r="T325" s="140"/>
      <c r="U325" s="143"/>
      <c r="V325" s="142"/>
      <c r="W325" s="142"/>
      <c r="X325"/>
    </row>
    <row r="326" spans="1:24" s="149" customFormat="1" ht="15.5">
      <c r="A326" s="138"/>
      <c r="B326" s="144"/>
      <c r="C326" s="145"/>
      <c r="D326" s="146"/>
      <c r="E326" s="146"/>
      <c r="F326" s="146"/>
      <c r="G326" s="146"/>
      <c r="H326" s="332"/>
      <c r="I326" s="146"/>
      <c r="J326" s="145"/>
      <c r="K326" s="147"/>
      <c r="L326" s="146"/>
      <c r="M326" s="333"/>
      <c r="N326" s="146"/>
      <c r="O326" s="145"/>
      <c r="P326" s="332"/>
      <c r="Q326" s="332"/>
      <c r="R326" s="146"/>
      <c r="S326" s="148"/>
      <c r="T326" s="146"/>
      <c r="U326" s="148"/>
      <c r="V326" s="332"/>
      <c r="W326" s="332"/>
      <c r="X326"/>
    </row>
    <row r="327" spans="1:24" ht="15.5">
      <c r="A327" s="138"/>
      <c r="B327" s="133"/>
      <c r="C327" s="134"/>
      <c r="D327" s="141"/>
      <c r="E327" s="141"/>
      <c r="F327" s="135"/>
      <c r="G327" s="135"/>
      <c r="H327" s="136"/>
      <c r="I327" s="135"/>
      <c r="J327" s="134"/>
      <c r="K327" s="135"/>
      <c r="L327" s="141"/>
      <c r="M327" s="136"/>
      <c r="N327" s="135"/>
      <c r="O327" s="134"/>
      <c r="P327" s="136"/>
      <c r="Q327" s="136"/>
      <c r="R327" s="136"/>
      <c r="S327" s="141"/>
      <c r="T327" s="134"/>
      <c r="U327" s="137"/>
      <c r="V327" s="136"/>
      <c r="W327" s="136"/>
      <c r="X327"/>
    </row>
    <row r="328" spans="1:24" ht="15.5">
      <c r="A328" s="138"/>
      <c r="B328" s="139"/>
      <c r="C328" s="140"/>
      <c r="D328" s="141"/>
      <c r="E328" s="141"/>
      <c r="F328" s="141"/>
      <c r="G328" s="141"/>
      <c r="H328" s="142"/>
      <c r="I328" s="141"/>
      <c r="J328" s="140"/>
      <c r="K328" s="141"/>
      <c r="L328" s="141"/>
      <c r="M328" s="142"/>
      <c r="N328" s="141"/>
      <c r="O328" s="140"/>
      <c r="P328" s="142"/>
      <c r="Q328" s="142"/>
      <c r="R328" s="142"/>
      <c r="S328" s="141"/>
      <c r="T328" s="140"/>
      <c r="U328" s="143"/>
      <c r="V328" s="142"/>
      <c r="W328" s="142"/>
      <c r="X328"/>
    </row>
    <row r="329" spans="1:24" s="149" customFormat="1" ht="15.5">
      <c r="A329" s="138"/>
      <c r="B329" s="144"/>
      <c r="C329" s="145"/>
      <c r="D329" s="146"/>
      <c r="E329" s="146"/>
      <c r="F329" s="146"/>
      <c r="G329" s="146"/>
      <c r="H329" s="332"/>
      <c r="I329" s="146"/>
      <c r="J329" s="145"/>
      <c r="K329" s="146"/>
      <c r="L329" s="146"/>
      <c r="M329" s="332"/>
      <c r="N329" s="146"/>
      <c r="O329" s="145"/>
      <c r="P329" s="332"/>
      <c r="Q329" s="332"/>
      <c r="R329" s="332"/>
      <c r="S329" s="146"/>
      <c r="T329" s="145"/>
      <c r="U329" s="148"/>
      <c r="V329" s="332"/>
      <c r="W329" s="332"/>
      <c r="X329"/>
    </row>
    <row r="330" spans="1:24" ht="15.5">
      <c r="A330" s="138"/>
      <c r="B330" s="133"/>
      <c r="C330" s="134"/>
      <c r="D330" s="135"/>
      <c r="E330" s="135"/>
      <c r="F330" s="135"/>
      <c r="G330" s="135"/>
      <c r="H330" s="136"/>
      <c r="I330" s="135"/>
      <c r="J330" s="134"/>
      <c r="K330" s="135"/>
      <c r="L330" s="135"/>
      <c r="M330" s="136"/>
      <c r="N330" s="135"/>
      <c r="O330" s="134"/>
      <c r="P330" s="136"/>
      <c r="Q330" s="136"/>
      <c r="R330" s="136"/>
      <c r="S330" s="135"/>
      <c r="T330" s="134"/>
      <c r="U330" s="137"/>
      <c r="V330" s="136"/>
      <c r="W330" s="136"/>
      <c r="X330"/>
    </row>
    <row r="331" spans="1:24" ht="15.5">
      <c r="A331" s="138"/>
      <c r="B331" s="139"/>
      <c r="C331" s="140"/>
      <c r="D331" s="141"/>
      <c r="E331" s="141"/>
      <c r="F331" s="141"/>
      <c r="G331" s="141"/>
      <c r="H331" s="142"/>
      <c r="I331" s="141"/>
      <c r="J331" s="140"/>
      <c r="K331" s="141"/>
      <c r="L331" s="141"/>
      <c r="M331" s="142"/>
      <c r="N331" s="141"/>
      <c r="O331" s="140"/>
      <c r="P331" s="142"/>
      <c r="Q331" s="142"/>
      <c r="R331" s="142"/>
      <c r="S331" s="141"/>
      <c r="T331" s="140"/>
      <c r="U331" s="143"/>
      <c r="V331" s="142"/>
      <c r="W331" s="142"/>
      <c r="X331"/>
    </row>
    <row r="332" spans="1:24" s="149" customFormat="1" ht="15.5">
      <c r="A332" s="138"/>
      <c r="B332" s="144"/>
      <c r="C332" s="145"/>
      <c r="D332" s="146"/>
      <c r="E332" s="147"/>
      <c r="F332" s="146"/>
      <c r="G332" s="147"/>
      <c r="H332" s="332"/>
      <c r="I332" s="146"/>
      <c r="J332" s="145"/>
      <c r="K332" s="146"/>
      <c r="L332" s="146"/>
      <c r="M332" s="332"/>
      <c r="N332" s="146"/>
      <c r="O332" s="145"/>
      <c r="P332" s="332"/>
      <c r="Q332" s="332"/>
      <c r="R332" s="332"/>
      <c r="S332" s="146"/>
      <c r="T332" s="145"/>
      <c r="U332" s="148"/>
      <c r="V332" s="332"/>
      <c r="W332" s="332"/>
      <c r="X332"/>
    </row>
    <row r="333" spans="1:24" ht="15.5">
      <c r="A333" s="138"/>
      <c r="B333" s="133"/>
      <c r="C333" s="134"/>
      <c r="D333" s="135"/>
      <c r="E333" s="135"/>
      <c r="F333" s="135"/>
      <c r="G333" s="135"/>
      <c r="H333" s="136"/>
      <c r="I333" s="135"/>
      <c r="J333" s="134"/>
      <c r="K333" s="135"/>
      <c r="L333" s="135"/>
      <c r="M333" s="136"/>
      <c r="N333" s="135"/>
      <c r="O333" s="134"/>
      <c r="P333" s="136"/>
      <c r="Q333" s="136"/>
      <c r="R333" s="136"/>
      <c r="S333" s="135"/>
      <c r="T333" s="134"/>
      <c r="U333" s="137"/>
      <c r="V333" s="136"/>
      <c r="W333" s="136"/>
      <c r="X333"/>
    </row>
    <row r="334" spans="1:24" ht="15.5">
      <c r="A334" s="138"/>
      <c r="B334" s="139"/>
      <c r="C334" s="140"/>
      <c r="D334" s="141"/>
      <c r="E334" s="141"/>
      <c r="F334" s="141"/>
      <c r="G334" s="141"/>
      <c r="H334" s="142"/>
      <c r="I334" s="141"/>
      <c r="J334" s="140"/>
      <c r="K334" s="141"/>
      <c r="L334" s="141"/>
      <c r="M334" s="142"/>
      <c r="N334" s="141"/>
      <c r="O334" s="140"/>
      <c r="P334" s="142"/>
      <c r="Q334" s="142"/>
      <c r="R334" s="142"/>
      <c r="S334" s="141"/>
      <c r="T334" s="140"/>
      <c r="U334" s="143"/>
      <c r="V334" s="142"/>
      <c r="W334" s="142"/>
      <c r="X334"/>
    </row>
    <row r="335" spans="1:24" s="149" customFormat="1" ht="15.5">
      <c r="A335" s="138"/>
      <c r="B335" s="144"/>
      <c r="C335" s="145"/>
      <c r="D335" s="146"/>
      <c r="E335" s="146"/>
      <c r="F335" s="146"/>
      <c r="G335" s="146"/>
      <c r="H335" s="332"/>
      <c r="I335" s="146"/>
      <c r="J335" s="145"/>
      <c r="K335" s="146"/>
      <c r="L335" s="146"/>
      <c r="M335" s="332"/>
      <c r="N335" s="146"/>
      <c r="O335" s="145"/>
      <c r="P335" s="332"/>
      <c r="Q335" s="332"/>
      <c r="R335" s="332"/>
      <c r="S335" s="146"/>
      <c r="T335" s="145"/>
      <c r="U335" s="148"/>
      <c r="V335" s="332"/>
      <c r="W335" s="332"/>
      <c r="X335"/>
    </row>
    <row r="336" spans="1:24" ht="15.5">
      <c r="A336" s="138"/>
      <c r="B336" s="133"/>
      <c r="C336" s="134"/>
      <c r="D336" s="135"/>
      <c r="E336" s="135"/>
      <c r="F336" s="135"/>
      <c r="G336" s="135"/>
      <c r="H336" s="136"/>
      <c r="I336" s="135"/>
      <c r="J336" s="134"/>
      <c r="K336" s="135"/>
      <c r="L336" s="135"/>
      <c r="M336" s="136"/>
      <c r="N336" s="135"/>
      <c r="O336" s="134"/>
      <c r="P336" s="136"/>
      <c r="Q336" s="136"/>
      <c r="R336" s="136"/>
      <c r="S336" s="135"/>
      <c r="T336" s="134"/>
      <c r="U336" s="137"/>
      <c r="V336" s="136"/>
      <c r="W336" s="136"/>
      <c r="X336"/>
    </row>
    <row r="337" spans="1:24" ht="15.5">
      <c r="A337" s="138"/>
      <c r="B337" s="139"/>
      <c r="C337" s="155"/>
      <c r="D337" s="141"/>
      <c r="E337" s="141"/>
      <c r="F337" s="141"/>
      <c r="G337" s="141"/>
      <c r="H337" s="142"/>
      <c r="I337" s="141"/>
      <c r="J337" s="140"/>
      <c r="K337" s="141"/>
      <c r="L337" s="141"/>
      <c r="M337" s="142"/>
      <c r="N337" s="141"/>
      <c r="O337" s="140"/>
      <c r="P337" s="142"/>
      <c r="Q337" s="142"/>
      <c r="R337" s="142"/>
      <c r="S337" s="141"/>
      <c r="T337" s="140"/>
      <c r="U337" s="143"/>
      <c r="V337" s="142"/>
      <c r="W337" s="142"/>
      <c r="X337"/>
    </row>
    <row r="338" spans="1:24" s="149" customFormat="1" ht="15.5">
      <c r="A338" s="138"/>
      <c r="B338" s="144"/>
      <c r="C338" s="156"/>
      <c r="D338" s="151"/>
      <c r="E338" s="146"/>
      <c r="F338" s="146"/>
      <c r="G338" s="146"/>
      <c r="H338" s="332"/>
      <c r="I338" s="146"/>
      <c r="J338" s="145"/>
      <c r="K338" s="146"/>
      <c r="L338" s="146"/>
      <c r="M338" s="332"/>
      <c r="N338" s="146"/>
      <c r="O338" s="145"/>
      <c r="P338" s="332"/>
      <c r="Q338" s="332"/>
      <c r="R338" s="332"/>
      <c r="S338" s="146"/>
      <c r="T338" s="145"/>
      <c r="U338" s="148"/>
      <c r="V338" s="332"/>
      <c r="W338" s="332"/>
      <c r="X338"/>
    </row>
    <row r="339" spans="1:24" ht="15.5">
      <c r="A339" s="138"/>
      <c r="B339" s="133"/>
      <c r="C339" s="134"/>
      <c r="D339" s="135"/>
      <c r="E339" s="135"/>
      <c r="F339" s="135"/>
      <c r="G339" s="135"/>
      <c r="H339" s="136"/>
      <c r="I339" s="135"/>
      <c r="J339" s="134"/>
      <c r="K339" s="135"/>
      <c r="L339" s="135"/>
      <c r="M339" s="136"/>
      <c r="N339" s="135"/>
      <c r="O339" s="134"/>
      <c r="P339" s="136"/>
      <c r="Q339" s="136"/>
      <c r="R339" s="136"/>
      <c r="S339" s="135"/>
      <c r="T339" s="134"/>
      <c r="U339" s="137"/>
      <c r="V339" s="136"/>
      <c r="W339" s="136"/>
      <c r="X339"/>
    </row>
    <row r="340" spans="1:24" ht="15.5">
      <c r="A340" s="138"/>
      <c r="B340" s="139"/>
      <c r="C340" s="140"/>
      <c r="D340" s="141"/>
      <c r="E340" s="141"/>
      <c r="F340" s="141"/>
      <c r="G340" s="141"/>
      <c r="H340" s="142"/>
      <c r="I340" s="141"/>
      <c r="J340" s="140"/>
      <c r="K340" s="141"/>
      <c r="L340" s="141"/>
      <c r="M340" s="142"/>
      <c r="N340" s="141"/>
      <c r="O340" s="140"/>
      <c r="P340" s="142"/>
      <c r="Q340" s="142"/>
      <c r="R340" s="142"/>
      <c r="S340" s="141"/>
      <c r="T340" s="140"/>
      <c r="U340" s="143"/>
      <c r="V340" s="142"/>
      <c r="W340" s="142"/>
      <c r="X340"/>
    </row>
    <row r="341" spans="1:24" s="149" customFormat="1" ht="15.5">
      <c r="A341" s="138"/>
      <c r="B341" s="144"/>
      <c r="C341" s="145"/>
      <c r="D341" s="146"/>
      <c r="E341" s="146"/>
      <c r="F341" s="146"/>
      <c r="G341" s="146"/>
      <c r="H341" s="332"/>
      <c r="I341" s="146"/>
      <c r="J341" s="145"/>
      <c r="K341" s="146"/>
      <c r="L341" s="146"/>
      <c r="M341" s="332"/>
      <c r="N341" s="146"/>
      <c r="O341" s="145"/>
      <c r="P341" s="332"/>
      <c r="Q341" s="332"/>
      <c r="R341" s="332"/>
      <c r="S341" s="146"/>
      <c r="T341" s="145"/>
      <c r="U341" s="148"/>
      <c r="V341" s="332"/>
      <c r="W341" s="332"/>
      <c r="X341"/>
    </row>
    <row r="342" spans="1:24" ht="15.5">
      <c r="A342" s="138"/>
      <c r="B342" s="133"/>
      <c r="C342" s="134"/>
      <c r="D342" s="135"/>
      <c r="E342" s="135"/>
      <c r="F342" s="141"/>
      <c r="G342" s="135"/>
      <c r="H342" s="136"/>
      <c r="I342" s="135"/>
      <c r="J342" s="134"/>
      <c r="K342" s="135"/>
      <c r="L342" s="135"/>
      <c r="M342" s="136"/>
      <c r="N342" s="135"/>
      <c r="O342" s="134"/>
      <c r="P342" s="136"/>
      <c r="Q342" s="136"/>
      <c r="R342" s="136"/>
      <c r="S342" s="135"/>
      <c r="T342" s="134"/>
      <c r="U342" s="137"/>
      <c r="V342" s="136"/>
      <c r="W342" s="136"/>
      <c r="X342"/>
    </row>
    <row r="343" spans="1:24" ht="15.5">
      <c r="A343" s="138"/>
      <c r="B343" s="139"/>
      <c r="C343" s="140"/>
      <c r="D343" s="141"/>
      <c r="E343" s="141"/>
      <c r="F343" s="141"/>
      <c r="G343" s="141"/>
      <c r="H343" s="142"/>
      <c r="I343" s="141"/>
      <c r="J343" s="140"/>
      <c r="K343" s="141"/>
      <c r="L343" s="141"/>
      <c r="M343" s="142"/>
      <c r="N343" s="141"/>
      <c r="O343" s="140"/>
      <c r="P343" s="142"/>
      <c r="Q343" s="142"/>
      <c r="R343" s="142"/>
      <c r="S343" s="141"/>
      <c r="T343" s="140"/>
      <c r="U343" s="143"/>
      <c r="V343" s="142"/>
      <c r="W343" s="142"/>
      <c r="X343"/>
    </row>
    <row r="344" spans="1:24" s="149" customFormat="1" ht="15.5">
      <c r="A344" s="138"/>
      <c r="B344" s="144"/>
      <c r="C344" s="145"/>
      <c r="D344" s="146"/>
      <c r="E344" s="147"/>
      <c r="F344" s="146"/>
      <c r="G344" s="146"/>
      <c r="H344" s="332"/>
      <c r="I344" s="146"/>
      <c r="J344" s="145"/>
      <c r="K344" s="146"/>
      <c r="L344" s="146"/>
      <c r="M344" s="332"/>
      <c r="N344" s="146"/>
      <c r="O344" s="145"/>
      <c r="P344" s="332"/>
      <c r="Q344" s="332"/>
      <c r="R344" s="332"/>
      <c r="S344" s="146"/>
      <c r="T344" s="145"/>
      <c r="U344" s="148"/>
      <c r="V344" s="332"/>
      <c r="W344" s="332"/>
      <c r="X344"/>
    </row>
    <row r="345" spans="1:24" ht="15.5">
      <c r="A345" s="138"/>
      <c r="B345" s="133"/>
      <c r="C345" s="134"/>
      <c r="D345" s="135"/>
      <c r="E345" s="141"/>
      <c r="F345" s="135"/>
      <c r="G345" s="135"/>
      <c r="H345" s="136"/>
      <c r="I345" s="135"/>
      <c r="J345" s="134"/>
      <c r="K345" s="135"/>
      <c r="L345" s="135"/>
      <c r="M345" s="136"/>
      <c r="N345" s="135"/>
      <c r="O345" s="134"/>
      <c r="P345" s="136"/>
      <c r="Q345" s="136"/>
      <c r="R345" s="136"/>
      <c r="S345" s="135"/>
      <c r="T345" s="134"/>
      <c r="U345" s="137"/>
      <c r="V345" s="136"/>
      <c r="W345" s="136"/>
      <c r="X345"/>
    </row>
    <row r="346" spans="1:24" ht="15.5">
      <c r="A346" s="138"/>
      <c r="B346" s="139"/>
      <c r="C346" s="140"/>
      <c r="D346" s="141"/>
      <c r="E346" s="141"/>
      <c r="F346" s="141"/>
      <c r="G346" s="141"/>
      <c r="H346" s="142"/>
      <c r="I346" s="141"/>
      <c r="J346" s="140"/>
      <c r="K346" s="141"/>
      <c r="L346" s="141"/>
      <c r="M346" s="142"/>
      <c r="N346" s="141"/>
      <c r="O346" s="140"/>
      <c r="P346" s="142"/>
      <c r="Q346" s="142"/>
      <c r="R346" s="142"/>
      <c r="S346" s="141"/>
      <c r="T346" s="140"/>
      <c r="U346" s="143"/>
      <c r="V346" s="142"/>
      <c r="W346" s="142"/>
      <c r="X346"/>
    </row>
    <row r="347" spans="1:24" s="149" customFormat="1" ht="15.5">
      <c r="A347" s="138"/>
      <c r="B347" s="144"/>
      <c r="C347" s="145"/>
      <c r="D347" s="146"/>
      <c r="E347" s="146"/>
      <c r="F347" s="146"/>
      <c r="G347" s="146"/>
      <c r="H347" s="332"/>
      <c r="I347" s="146"/>
      <c r="J347" s="145"/>
      <c r="K347" s="146"/>
      <c r="L347" s="146"/>
      <c r="M347" s="332"/>
      <c r="N347" s="146"/>
      <c r="O347" s="145"/>
      <c r="P347" s="332"/>
      <c r="Q347" s="332"/>
      <c r="R347" s="332"/>
      <c r="S347" s="146"/>
      <c r="T347" s="145"/>
      <c r="U347" s="148"/>
      <c r="V347" s="332"/>
      <c r="W347" s="332"/>
      <c r="X347"/>
    </row>
    <row r="348" spans="1:24" ht="15.5">
      <c r="A348" s="138"/>
      <c r="B348" s="133"/>
      <c r="C348" s="134"/>
      <c r="D348" s="135"/>
      <c r="E348" s="135"/>
      <c r="F348" s="135"/>
      <c r="G348" s="135"/>
      <c r="H348" s="136"/>
      <c r="I348" s="135"/>
      <c r="J348" s="134"/>
      <c r="K348" s="135"/>
      <c r="L348" s="135"/>
      <c r="M348" s="136"/>
      <c r="N348" s="135"/>
      <c r="O348" s="134"/>
      <c r="P348" s="136"/>
      <c r="Q348" s="136"/>
      <c r="R348" s="136"/>
      <c r="S348" s="135"/>
      <c r="T348" s="134"/>
      <c r="U348" s="137"/>
      <c r="V348" s="136"/>
      <c r="W348" s="136"/>
      <c r="X348"/>
    </row>
    <row r="349" spans="1:24" ht="15.5">
      <c r="A349" s="138"/>
      <c r="B349" s="139"/>
      <c r="C349" s="140"/>
      <c r="D349" s="141"/>
      <c r="E349" s="141"/>
      <c r="F349" s="141"/>
      <c r="G349" s="141"/>
      <c r="H349" s="142"/>
      <c r="I349" s="141"/>
      <c r="J349" s="140"/>
      <c r="K349" s="141"/>
      <c r="L349" s="141"/>
      <c r="M349" s="142"/>
      <c r="N349" s="141"/>
      <c r="O349" s="140"/>
      <c r="P349" s="142"/>
      <c r="Q349" s="142"/>
      <c r="R349" s="142"/>
      <c r="S349" s="141"/>
      <c r="T349" s="140"/>
      <c r="U349" s="143"/>
      <c r="V349" s="142"/>
      <c r="W349" s="142"/>
      <c r="X349"/>
    </row>
    <row r="350" spans="1:24" s="149" customFormat="1" ht="15.5">
      <c r="A350" s="138"/>
      <c r="B350" s="144"/>
      <c r="C350" s="145"/>
      <c r="D350" s="146"/>
      <c r="E350" s="146"/>
      <c r="F350" s="146"/>
      <c r="G350" s="146"/>
      <c r="H350" s="332"/>
      <c r="I350" s="146"/>
      <c r="J350" s="145"/>
      <c r="K350" s="146"/>
      <c r="L350" s="146"/>
      <c r="M350" s="332"/>
      <c r="N350" s="146"/>
      <c r="O350" s="145"/>
      <c r="P350" s="332"/>
      <c r="Q350" s="332"/>
      <c r="R350" s="332"/>
      <c r="S350" s="146"/>
      <c r="T350" s="145"/>
      <c r="U350" s="148"/>
      <c r="V350" s="332"/>
      <c r="W350" s="332"/>
      <c r="X350"/>
    </row>
    <row r="351" spans="1:24" ht="15.5">
      <c r="A351" s="138"/>
      <c r="B351" s="133"/>
      <c r="C351" s="134"/>
      <c r="D351" s="135"/>
      <c r="E351" s="135"/>
      <c r="F351" s="135"/>
      <c r="G351" s="135"/>
      <c r="H351" s="136"/>
      <c r="I351" s="135"/>
      <c r="J351" s="134"/>
      <c r="K351" s="135"/>
      <c r="L351" s="135"/>
      <c r="M351" s="136"/>
      <c r="N351" s="135"/>
      <c r="O351" s="134"/>
      <c r="P351" s="136"/>
      <c r="Q351" s="136"/>
      <c r="R351" s="136"/>
      <c r="S351" s="135"/>
      <c r="T351" s="134"/>
      <c r="U351" s="137"/>
      <c r="V351" s="136"/>
      <c r="W351" s="136"/>
      <c r="X351"/>
    </row>
    <row r="352" spans="1:24" ht="15.5">
      <c r="A352" s="138"/>
      <c r="B352" s="139"/>
      <c r="C352" s="140"/>
      <c r="D352" s="141"/>
      <c r="E352" s="141"/>
      <c r="F352" s="141"/>
      <c r="G352" s="141"/>
      <c r="H352" s="142"/>
      <c r="I352" s="141"/>
      <c r="J352" s="140"/>
      <c r="K352" s="141"/>
      <c r="L352" s="141"/>
      <c r="M352" s="142"/>
      <c r="N352" s="141"/>
      <c r="O352" s="140"/>
      <c r="P352" s="142"/>
      <c r="Q352" s="142"/>
      <c r="R352" s="142"/>
      <c r="S352" s="141"/>
      <c r="T352" s="140"/>
      <c r="U352" s="143"/>
      <c r="V352" s="142"/>
      <c r="W352" s="142"/>
      <c r="X352"/>
    </row>
    <row r="353" spans="1:24" s="149" customFormat="1" ht="15.5">
      <c r="A353" s="138"/>
      <c r="B353" s="144"/>
      <c r="C353" s="145"/>
      <c r="D353" s="146"/>
      <c r="E353" s="146"/>
      <c r="F353" s="146"/>
      <c r="G353" s="146"/>
      <c r="H353" s="332"/>
      <c r="I353" s="146"/>
      <c r="J353" s="145"/>
      <c r="K353" s="146"/>
      <c r="L353" s="146"/>
      <c r="M353" s="332"/>
      <c r="N353" s="146"/>
      <c r="O353" s="145"/>
      <c r="P353" s="332"/>
      <c r="Q353" s="332"/>
      <c r="R353" s="332"/>
      <c r="S353" s="146"/>
      <c r="T353" s="145"/>
      <c r="U353" s="148"/>
      <c r="V353" s="332"/>
      <c r="W353" s="332"/>
      <c r="X353"/>
    </row>
    <row r="354" spans="1:24" ht="15.5">
      <c r="A354" s="138"/>
      <c r="B354" s="133"/>
      <c r="C354" s="134"/>
      <c r="D354" s="135"/>
      <c r="E354" s="135"/>
      <c r="F354" s="135"/>
      <c r="G354" s="135"/>
      <c r="H354" s="136"/>
      <c r="I354" s="135"/>
      <c r="J354" s="134"/>
      <c r="K354" s="135"/>
      <c r="L354" s="135"/>
      <c r="M354" s="136"/>
      <c r="N354" s="135"/>
      <c r="O354" s="134"/>
      <c r="P354" s="136"/>
      <c r="Q354" s="136"/>
      <c r="R354" s="136"/>
      <c r="S354" s="135"/>
      <c r="T354" s="134"/>
      <c r="U354" s="137"/>
      <c r="V354" s="136"/>
      <c r="W354" s="136"/>
      <c r="X354"/>
    </row>
    <row r="355" spans="1:24" ht="15.5">
      <c r="A355" s="138"/>
      <c r="B355" s="139"/>
      <c r="C355" s="140"/>
      <c r="D355" s="141"/>
      <c r="E355" s="141"/>
      <c r="F355" s="141"/>
      <c r="G355" s="141"/>
      <c r="H355" s="142"/>
      <c r="I355" s="141"/>
      <c r="J355" s="140"/>
      <c r="K355" s="141"/>
      <c r="L355" s="141"/>
      <c r="M355" s="142"/>
      <c r="N355" s="141"/>
      <c r="O355" s="140"/>
      <c r="P355" s="142"/>
      <c r="Q355" s="142"/>
      <c r="R355" s="142"/>
      <c r="S355" s="141"/>
      <c r="T355" s="140"/>
      <c r="U355" s="143"/>
      <c r="V355" s="142"/>
      <c r="W355" s="142"/>
      <c r="X355"/>
    </row>
    <row r="356" spans="1:24" s="149" customFormat="1" ht="15.5">
      <c r="A356" s="138"/>
      <c r="B356" s="144"/>
      <c r="C356" s="145"/>
      <c r="D356" s="146"/>
      <c r="E356" s="147"/>
      <c r="F356" s="146"/>
      <c r="G356" s="146"/>
      <c r="H356" s="332"/>
      <c r="I356" s="146"/>
      <c r="J356" s="145"/>
      <c r="K356" s="146"/>
      <c r="L356" s="146"/>
      <c r="M356" s="332"/>
      <c r="N356" s="146"/>
      <c r="O356" s="145"/>
      <c r="P356" s="332"/>
      <c r="Q356" s="332"/>
      <c r="R356" s="332"/>
      <c r="S356" s="146"/>
      <c r="T356" s="145"/>
      <c r="U356" s="148"/>
      <c r="V356" s="332"/>
      <c r="W356" s="332"/>
      <c r="X356"/>
    </row>
    <row r="357" spans="1:24" ht="15.5">
      <c r="A357" s="138"/>
      <c r="B357" s="133"/>
      <c r="C357" s="134"/>
      <c r="D357" s="135"/>
      <c r="E357" s="135"/>
      <c r="F357" s="135"/>
      <c r="G357" s="135"/>
      <c r="H357" s="136"/>
      <c r="I357" s="135"/>
      <c r="J357" s="134"/>
      <c r="K357" s="135"/>
      <c r="L357" s="135"/>
      <c r="M357" s="136"/>
      <c r="N357" s="135"/>
      <c r="O357" s="134"/>
      <c r="P357" s="136"/>
      <c r="Q357" s="136"/>
      <c r="R357" s="136"/>
      <c r="S357" s="135"/>
      <c r="T357" s="134"/>
      <c r="U357" s="137"/>
      <c r="V357" s="136"/>
      <c r="W357" s="136"/>
      <c r="X357"/>
    </row>
    <row r="358" spans="1:24" ht="15.5">
      <c r="A358" s="138"/>
      <c r="B358" s="139"/>
      <c r="C358" s="140"/>
      <c r="D358" s="141"/>
      <c r="E358" s="141"/>
      <c r="F358" s="141"/>
      <c r="G358" s="141"/>
      <c r="H358" s="142"/>
      <c r="I358" s="141"/>
      <c r="J358" s="140"/>
      <c r="K358" s="141"/>
      <c r="L358" s="141"/>
      <c r="M358" s="142"/>
      <c r="N358" s="141"/>
      <c r="O358" s="140"/>
      <c r="P358" s="142"/>
      <c r="Q358" s="142"/>
      <c r="R358" s="142"/>
      <c r="S358" s="141"/>
      <c r="T358" s="140"/>
      <c r="U358" s="143"/>
      <c r="V358" s="142"/>
      <c r="W358" s="142"/>
      <c r="X358"/>
    </row>
    <row r="359" spans="1:24" s="149" customFormat="1" ht="15.5">
      <c r="A359" s="138"/>
      <c r="B359" s="144"/>
      <c r="C359" s="145"/>
      <c r="D359" s="146"/>
      <c r="E359" s="146"/>
      <c r="F359" s="146"/>
      <c r="G359" s="146"/>
      <c r="H359" s="332"/>
      <c r="I359" s="146"/>
      <c r="J359" s="145"/>
      <c r="K359" s="146"/>
      <c r="L359" s="146"/>
      <c r="M359" s="332"/>
      <c r="N359" s="146"/>
      <c r="O359" s="145"/>
      <c r="P359" s="332"/>
      <c r="Q359" s="332"/>
      <c r="R359" s="332"/>
      <c r="S359" s="146"/>
      <c r="T359" s="145"/>
      <c r="U359" s="148"/>
      <c r="V359" s="332"/>
      <c r="W359" s="332"/>
      <c r="X359"/>
    </row>
    <row r="360" spans="1:24" ht="15.5">
      <c r="A360" s="138"/>
      <c r="B360" s="133"/>
      <c r="C360" s="134"/>
      <c r="D360" s="135"/>
      <c r="E360" s="135"/>
      <c r="F360" s="135"/>
      <c r="G360" s="135"/>
      <c r="H360" s="136"/>
      <c r="I360" s="135"/>
      <c r="J360" s="134"/>
      <c r="K360" s="135"/>
      <c r="L360" s="135"/>
      <c r="M360" s="136"/>
      <c r="N360" s="135"/>
      <c r="O360" s="134"/>
      <c r="P360" s="136"/>
      <c r="Q360" s="136"/>
      <c r="R360" s="136"/>
      <c r="S360" s="135"/>
      <c r="T360" s="134"/>
      <c r="U360" s="137"/>
      <c r="V360" s="136"/>
      <c r="W360" s="136"/>
      <c r="X360"/>
    </row>
    <row r="361" spans="1:24" ht="15.5">
      <c r="A361" s="138"/>
      <c r="B361" s="139"/>
      <c r="C361" s="140"/>
      <c r="D361" s="141"/>
      <c r="E361" s="141"/>
      <c r="F361" s="141"/>
      <c r="G361" s="141"/>
      <c r="H361" s="142"/>
      <c r="I361" s="141"/>
      <c r="J361" s="140"/>
      <c r="K361" s="141"/>
      <c r="L361" s="141"/>
      <c r="M361" s="142"/>
      <c r="N361" s="141"/>
      <c r="O361" s="140"/>
      <c r="P361" s="142"/>
      <c r="Q361" s="142"/>
      <c r="R361" s="142"/>
      <c r="S361" s="141"/>
      <c r="T361" s="140"/>
      <c r="U361" s="143"/>
      <c r="V361" s="142"/>
      <c r="W361" s="142"/>
      <c r="X361"/>
    </row>
    <row r="362" spans="1:24" s="149" customFormat="1" ht="15.5">
      <c r="A362" s="138"/>
      <c r="B362" s="144"/>
      <c r="C362" s="145"/>
      <c r="D362" s="146"/>
      <c r="E362" s="146"/>
      <c r="F362" s="146"/>
      <c r="G362" s="146"/>
      <c r="H362" s="332"/>
      <c r="I362" s="146"/>
      <c r="J362" s="145"/>
      <c r="K362" s="146"/>
      <c r="L362" s="146"/>
      <c r="M362" s="332"/>
      <c r="N362" s="146"/>
      <c r="O362" s="145"/>
      <c r="P362" s="332"/>
      <c r="Q362" s="332"/>
      <c r="R362" s="332"/>
      <c r="S362" s="146"/>
      <c r="T362" s="145"/>
      <c r="U362" s="148"/>
      <c r="V362" s="332"/>
      <c r="W362" s="332"/>
      <c r="X362"/>
    </row>
    <row r="363" spans="1:24" ht="15.5">
      <c r="A363" s="138"/>
      <c r="B363" s="133"/>
      <c r="C363" s="134"/>
      <c r="D363" s="135"/>
      <c r="E363" s="135"/>
      <c r="F363" s="135"/>
      <c r="G363" s="135"/>
      <c r="H363" s="136"/>
      <c r="I363" s="135"/>
      <c r="J363" s="134"/>
      <c r="K363" s="135"/>
      <c r="L363" s="135"/>
      <c r="M363" s="136"/>
      <c r="N363" s="135"/>
      <c r="O363" s="134"/>
      <c r="P363" s="136"/>
      <c r="Q363" s="136"/>
      <c r="R363" s="136"/>
      <c r="S363" s="135"/>
      <c r="T363" s="134"/>
      <c r="U363" s="137"/>
      <c r="V363" s="136"/>
      <c r="W363" s="136"/>
      <c r="X363"/>
    </row>
    <row r="364" spans="1:24" ht="15.5">
      <c r="A364" s="138"/>
      <c r="B364" s="139"/>
      <c r="C364" s="140"/>
      <c r="D364" s="141"/>
      <c r="E364" s="141"/>
      <c r="F364" s="141"/>
      <c r="G364" s="141"/>
      <c r="H364" s="142"/>
      <c r="I364" s="141"/>
      <c r="J364" s="140"/>
      <c r="K364" s="141"/>
      <c r="L364" s="141"/>
      <c r="M364" s="142"/>
      <c r="N364" s="141"/>
      <c r="O364" s="140"/>
      <c r="P364" s="142"/>
      <c r="Q364" s="142"/>
      <c r="R364" s="142"/>
      <c r="S364" s="141"/>
      <c r="T364" s="140"/>
      <c r="U364" s="143"/>
      <c r="V364" s="142"/>
      <c r="W364" s="142"/>
      <c r="X364"/>
    </row>
    <row r="365" spans="1:24" s="149" customFormat="1" ht="15.5">
      <c r="A365" s="138"/>
      <c r="B365" s="144"/>
      <c r="C365" s="145"/>
      <c r="D365" s="146"/>
      <c r="E365" s="146"/>
      <c r="F365" s="146"/>
      <c r="G365" s="146"/>
      <c r="H365" s="332"/>
      <c r="I365" s="146"/>
      <c r="J365" s="145"/>
      <c r="K365" s="146"/>
      <c r="L365" s="146"/>
      <c r="M365" s="332"/>
      <c r="N365" s="146"/>
      <c r="O365" s="145"/>
      <c r="P365" s="332"/>
      <c r="Q365" s="332"/>
      <c r="R365" s="332"/>
      <c r="S365" s="146"/>
      <c r="T365" s="145"/>
      <c r="U365" s="148"/>
      <c r="V365" s="332"/>
      <c r="W365" s="332"/>
      <c r="X365"/>
    </row>
    <row r="366" spans="1:24" ht="15.5">
      <c r="A366" s="138"/>
      <c r="B366" s="133"/>
      <c r="C366" s="134"/>
      <c r="D366" s="135"/>
      <c r="E366" s="135"/>
      <c r="F366" s="135"/>
      <c r="G366" s="135"/>
      <c r="H366" s="136"/>
      <c r="I366" s="135"/>
      <c r="J366" s="134"/>
      <c r="K366" s="135"/>
      <c r="L366" s="135"/>
      <c r="M366" s="136"/>
      <c r="N366" s="135"/>
      <c r="O366" s="134"/>
      <c r="P366" s="136"/>
      <c r="Q366" s="136"/>
      <c r="R366" s="136"/>
      <c r="S366" s="135"/>
      <c r="T366" s="134"/>
      <c r="U366" s="137"/>
      <c r="V366" s="136"/>
      <c r="W366" s="136"/>
      <c r="X366"/>
    </row>
    <row r="367" spans="1:24" ht="15.5">
      <c r="A367" s="138"/>
      <c r="B367" s="139"/>
      <c r="C367" s="140"/>
      <c r="D367" s="141"/>
      <c r="E367" s="141"/>
      <c r="F367" s="141"/>
      <c r="G367" s="141"/>
      <c r="H367" s="142"/>
      <c r="I367" s="141"/>
      <c r="J367" s="140"/>
      <c r="K367" s="141"/>
      <c r="L367" s="141"/>
      <c r="M367" s="142"/>
      <c r="N367" s="141"/>
      <c r="O367" s="140"/>
      <c r="P367" s="142"/>
      <c r="Q367" s="142"/>
      <c r="R367" s="142"/>
      <c r="S367" s="141"/>
      <c r="T367" s="140"/>
      <c r="U367" s="143"/>
      <c r="V367" s="142"/>
      <c r="W367" s="142"/>
      <c r="X367"/>
    </row>
    <row r="368" spans="1:24" s="149" customFormat="1" ht="15.5">
      <c r="A368" s="138"/>
      <c r="B368" s="144"/>
      <c r="C368" s="145"/>
      <c r="D368" s="146"/>
      <c r="E368" s="146"/>
      <c r="F368" s="146"/>
      <c r="G368" s="146"/>
      <c r="H368" s="332"/>
      <c r="I368" s="146"/>
      <c r="J368" s="145"/>
      <c r="K368" s="146"/>
      <c r="L368" s="146"/>
      <c r="M368" s="332"/>
      <c r="N368" s="146"/>
      <c r="O368" s="145"/>
      <c r="P368" s="332"/>
      <c r="Q368" s="332"/>
      <c r="R368" s="332"/>
      <c r="S368" s="146"/>
      <c r="T368" s="145"/>
      <c r="U368" s="148"/>
      <c r="V368" s="332"/>
      <c r="W368" s="332"/>
      <c r="X368"/>
    </row>
    <row r="369" spans="1:24" ht="15.5">
      <c r="A369" s="138"/>
      <c r="B369" s="133"/>
      <c r="C369" s="134"/>
      <c r="D369" s="135"/>
      <c r="E369" s="135"/>
      <c r="F369" s="135"/>
      <c r="G369" s="135"/>
      <c r="H369" s="136"/>
      <c r="I369" s="135"/>
      <c r="J369" s="134"/>
      <c r="K369" s="135"/>
      <c r="L369" s="135"/>
      <c r="M369" s="136"/>
      <c r="N369" s="135"/>
      <c r="O369" s="134"/>
      <c r="P369" s="136"/>
      <c r="Q369" s="136"/>
      <c r="R369" s="136"/>
      <c r="S369" s="135"/>
      <c r="T369" s="134"/>
      <c r="U369" s="137"/>
      <c r="V369" s="136"/>
      <c r="W369" s="136"/>
      <c r="X369"/>
    </row>
    <row r="370" spans="1:24" ht="15.5">
      <c r="A370" s="138"/>
      <c r="B370" s="139"/>
      <c r="C370" s="140"/>
      <c r="D370" s="141"/>
      <c r="E370" s="141"/>
      <c r="F370" s="141"/>
      <c r="G370" s="141"/>
      <c r="H370" s="142"/>
      <c r="I370" s="141"/>
      <c r="J370" s="140"/>
      <c r="K370" s="141"/>
      <c r="L370" s="141"/>
      <c r="M370" s="142"/>
      <c r="N370" s="141"/>
      <c r="O370" s="140"/>
      <c r="P370" s="142"/>
      <c r="Q370" s="142"/>
      <c r="R370" s="142"/>
      <c r="S370" s="141"/>
      <c r="T370" s="140"/>
      <c r="U370" s="143"/>
      <c r="V370" s="142"/>
      <c r="W370" s="142"/>
      <c r="X370"/>
    </row>
    <row r="371" spans="1:24" s="149" customFormat="1" ht="15.5">
      <c r="A371" s="138"/>
      <c r="B371" s="144"/>
      <c r="C371" s="145"/>
      <c r="D371" s="146"/>
      <c r="E371" s="146"/>
      <c r="F371" s="146"/>
      <c r="G371" s="146"/>
      <c r="H371" s="332"/>
      <c r="I371" s="146"/>
      <c r="J371" s="145"/>
      <c r="K371" s="146"/>
      <c r="L371" s="146"/>
      <c r="M371" s="332"/>
      <c r="N371" s="146"/>
      <c r="O371" s="145"/>
      <c r="P371" s="332"/>
      <c r="Q371" s="332"/>
      <c r="R371" s="332"/>
      <c r="S371" s="146"/>
      <c r="T371" s="145"/>
      <c r="U371" s="148"/>
      <c r="V371" s="332"/>
      <c r="W371" s="332"/>
      <c r="X371"/>
    </row>
    <row r="372" spans="1:24" ht="15.5">
      <c r="A372" s="138"/>
      <c r="B372" s="133"/>
      <c r="C372" s="134"/>
      <c r="D372" s="135"/>
      <c r="E372" s="135"/>
      <c r="F372" s="135"/>
      <c r="G372" s="135"/>
      <c r="H372" s="136"/>
      <c r="I372" s="135"/>
      <c r="J372" s="134"/>
      <c r="K372" s="135"/>
      <c r="L372" s="135"/>
      <c r="M372" s="136"/>
      <c r="N372" s="135"/>
      <c r="O372" s="134"/>
      <c r="P372" s="136"/>
      <c r="Q372" s="136"/>
      <c r="R372" s="136"/>
      <c r="S372" s="135"/>
      <c r="T372" s="134"/>
      <c r="U372" s="137"/>
      <c r="V372" s="136"/>
      <c r="W372" s="136"/>
      <c r="X372"/>
    </row>
    <row r="373" spans="1:24" ht="15.5">
      <c r="A373" s="138"/>
      <c r="B373" s="139"/>
      <c r="C373" s="140"/>
      <c r="D373" s="141"/>
      <c r="E373" s="141"/>
      <c r="F373" s="141"/>
      <c r="G373" s="141"/>
      <c r="H373" s="142"/>
      <c r="I373" s="141"/>
      <c r="J373" s="140"/>
      <c r="K373" s="141"/>
      <c r="L373" s="141"/>
      <c r="M373" s="142"/>
      <c r="N373" s="141"/>
      <c r="O373" s="140"/>
      <c r="P373" s="142"/>
      <c r="Q373" s="142"/>
      <c r="R373" s="142"/>
      <c r="S373" s="141"/>
      <c r="T373" s="140"/>
      <c r="U373" s="143"/>
      <c r="V373" s="142"/>
      <c r="W373" s="142"/>
      <c r="X373"/>
    </row>
    <row r="374" spans="1:24" s="149" customFormat="1" ht="15.5">
      <c r="A374" s="138"/>
      <c r="B374" s="144"/>
      <c r="C374" s="147"/>
      <c r="D374" s="147"/>
      <c r="E374" s="147"/>
      <c r="F374" s="146"/>
      <c r="G374" s="146"/>
      <c r="H374" s="332"/>
      <c r="I374" s="146"/>
      <c r="J374" s="145"/>
      <c r="K374" s="146"/>
      <c r="L374" s="146"/>
      <c r="M374" s="332"/>
      <c r="N374" s="146"/>
      <c r="O374" s="145"/>
      <c r="P374" s="332"/>
      <c r="Q374" s="332"/>
      <c r="R374" s="332"/>
      <c r="S374" s="146"/>
      <c r="T374" s="145"/>
      <c r="U374" s="148"/>
      <c r="V374" s="332"/>
      <c r="W374" s="332"/>
      <c r="X374"/>
    </row>
    <row r="375" spans="1:24" ht="15.5">
      <c r="A375" s="138"/>
      <c r="B375" s="133"/>
      <c r="C375" s="140"/>
      <c r="D375" s="135"/>
      <c r="E375" s="141"/>
      <c r="F375" s="135"/>
      <c r="G375" s="135"/>
      <c r="H375" s="136"/>
      <c r="I375" s="135"/>
      <c r="J375" s="134"/>
      <c r="K375" s="135"/>
      <c r="L375" s="135"/>
      <c r="M375" s="136"/>
      <c r="N375" s="135"/>
      <c r="O375" s="134"/>
      <c r="P375" s="136"/>
      <c r="Q375" s="136"/>
      <c r="R375" s="136"/>
      <c r="S375" s="135"/>
      <c r="T375" s="134"/>
      <c r="U375" s="137"/>
      <c r="V375" s="136"/>
      <c r="W375" s="136"/>
      <c r="X375"/>
    </row>
    <row r="376" spans="1:24" s="149" customFormat="1" ht="15.5">
      <c r="A376" s="153"/>
      <c r="B376" s="139"/>
      <c r="C376" s="140"/>
      <c r="D376" s="141"/>
      <c r="E376" s="141"/>
      <c r="F376" s="141"/>
      <c r="G376" s="141"/>
      <c r="H376" s="142"/>
      <c r="I376" s="141"/>
      <c r="J376" s="140"/>
      <c r="K376" s="141"/>
      <c r="L376" s="141"/>
      <c r="M376" s="142"/>
      <c r="N376" s="141"/>
      <c r="O376" s="140"/>
      <c r="P376" s="142"/>
      <c r="Q376" s="142"/>
      <c r="R376" s="142"/>
      <c r="S376" s="141"/>
      <c r="T376" s="140"/>
      <c r="U376" s="143"/>
      <c r="V376" s="142"/>
      <c r="W376" s="142"/>
      <c r="X376"/>
    </row>
    <row r="377" spans="1:24" ht="15.5">
      <c r="A377" s="132"/>
      <c r="B377" s="133"/>
      <c r="C377" s="134"/>
      <c r="D377" s="135"/>
      <c r="E377" s="135"/>
      <c r="F377" s="135"/>
      <c r="G377" s="135"/>
      <c r="H377" s="136"/>
      <c r="I377" s="135"/>
      <c r="J377" s="134"/>
      <c r="K377" s="135"/>
      <c r="L377" s="135"/>
      <c r="M377" s="136"/>
      <c r="N377" s="135"/>
      <c r="O377" s="134"/>
      <c r="P377" s="136"/>
      <c r="Q377" s="136"/>
      <c r="R377" s="136"/>
      <c r="S377" s="135"/>
      <c r="T377" s="134"/>
      <c r="U377" s="137"/>
      <c r="V377" s="136"/>
      <c r="W377" s="136"/>
      <c r="X377"/>
    </row>
    <row r="378" spans="1:24" ht="15.5">
      <c r="A378" s="138"/>
      <c r="B378" s="139"/>
      <c r="C378" s="140"/>
      <c r="D378" s="141"/>
      <c r="E378" s="141"/>
      <c r="F378" s="141"/>
      <c r="G378" s="141"/>
      <c r="H378" s="142"/>
      <c r="I378" s="141"/>
      <c r="J378" s="140"/>
      <c r="K378" s="141"/>
      <c r="L378" s="141"/>
      <c r="M378" s="142"/>
      <c r="N378" s="141"/>
      <c r="O378" s="140"/>
      <c r="P378" s="142"/>
      <c r="Q378" s="142"/>
      <c r="R378" s="142"/>
      <c r="S378" s="141"/>
      <c r="T378" s="140"/>
      <c r="U378" s="143"/>
      <c r="V378" s="142"/>
      <c r="W378" s="142"/>
      <c r="X378"/>
    </row>
    <row r="379" spans="1:24" s="149" customFormat="1" ht="15.5">
      <c r="A379" s="138"/>
      <c r="B379" s="144"/>
      <c r="C379" s="145"/>
      <c r="D379" s="146"/>
      <c r="E379" s="146"/>
      <c r="F379" s="146"/>
      <c r="G379" s="146"/>
      <c r="H379" s="332"/>
      <c r="I379" s="146"/>
      <c r="J379" s="145"/>
      <c r="K379" s="146"/>
      <c r="L379" s="146"/>
      <c r="M379" s="332"/>
      <c r="N379" s="146"/>
      <c r="O379" s="145"/>
      <c r="P379" s="332"/>
      <c r="Q379" s="332"/>
      <c r="R379" s="146"/>
      <c r="S379" s="148"/>
      <c r="T379" s="146"/>
      <c r="U379" s="148"/>
      <c r="V379" s="332"/>
      <c r="W379" s="332"/>
      <c r="X379"/>
    </row>
    <row r="380" spans="1:24" ht="15.5">
      <c r="A380" s="138"/>
      <c r="B380" s="133"/>
      <c r="C380" s="134"/>
      <c r="D380" s="141"/>
      <c r="E380" s="141"/>
      <c r="F380" s="135"/>
      <c r="G380" s="135"/>
      <c r="H380" s="136"/>
      <c r="I380" s="135"/>
      <c r="J380" s="134"/>
      <c r="K380" s="135"/>
      <c r="L380" s="141"/>
      <c r="M380" s="136"/>
      <c r="N380" s="135"/>
      <c r="O380" s="134"/>
      <c r="P380" s="136"/>
      <c r="Q380" s="136"/>
      <c r="R380" s="136"/>
      <c r="S380" s="141"/>
      <c r="T380" s="134"/>
      <c r="U380" s="137"/>
      <c r="V380" s="136"/>
      <c r="W380" s="136"/>
      <c r="X380"/>
    </row>
    <row r="381" spans="1:24" ht="15.5">
      <c r="A381" s="138"/>
      <c r="B381" s="139"/>
      <c r="C381" s="140"/>
      <c r="D381" s="141"/>
      <c r="E381" s="141"/>
      <c r="F381" s="141"/>
      <c r="G381" s="141"/>
      <c r="H381" s="142"/>
      <c r="I381" s="141"/>
      <c r="J381" s="140"/>
      <c r="K381" s="141"/>
      <c r="L381" s="141"/>
      <c r="M381" s="142"/>
      <c r="N381" s="141"/>
      <c r="O381" s="140"/>
      <c r="P381" s="142"/>
      <c r="Q381" s="142"/>
      <c r="R381" s="142"/>
      <c r="S381" s="141"/>
      <c r="T381" s="140"/>
      <c r="U381" s="143"/>
      <c r="V381" s="142"/>
      <c r="W381" s="142"/>
      <c r="X381"/>
    </row>
    <row r="382" spans="1:24" s="149" customFormat="1" ht="15.5">
      <c r="A382" s="138"/>
      <c r="B382" s="144"/>
      <c r="C382" s="152"/>
      <c r="D382" s="146"/>
      <c r="E382" s="146"/>
      <c r="F382" s="146"/>
      <c r="G382" s="146"/>
      <c r="H382" s="332"/>
      <c r="I382" s="146"/>
      <c r="J382" s="145"/>
      <c r="K382" s="146"/>
      <c r="L382" s="146"/>
      <c r="M382" s="332"/>
      <c r="N382" s="146"/>
      <c r="O382" s="145"/>
      <c r="P382" s="332"/>
      <c r="Q382" s="332"/>
      <c r="R382" s="332"/>
      <c r="S382" s="146"/>
      <c r="T382" s="145"/>
      <c r="U382" s="148"/>
      <c r="V382" s="332"/>
      <c r="W382" s="332"/>
      <c r="X382"/>
    </row>
    <row r="383" spans="1:24" ht="15.5">
      <c r="A383" s="138"/>
      <c r="B383" s="133"/>
      <c r="C383" s="134"/>
      <c r="D383" s="135"/>
      <c r="E383" s="135"/>
      <c r="F383" s="135"/>
      <c r="G383" s="135"/>
      <c r="H383" s="136"/>
      <c r="I383" s="135"/>
      <c r="J383" s="134"/>
      <c r="K383" s="135"/>
      <c r="L383" s="135"/>
      <c r="M383" s="136"/>
      <c r="N383" s="135"/>
      <c r="O383" s="134"/>
      <c r="P383" s="136"/>
      <c r="Q383" s="136"/>
      <c r="R383" s="136"/>
      <c r="S383" s="135"/>
      <c r="T383" s="134"/>
      <c r="U383" s="137"/>
      <c r="V383" s="136"/>
      <c r="W383" s="136"/>
      <c r="X383"/>
    </row>
    <row r="384" spans="1:24" ht="15.5">
      <c r="A384" s="138"/>
      <c r="B384" s="139"/>
      <c r="C384" s="140"/>
      <c r="D384" s="141"/>
      <c r="E384" s="141"/>
      <c r="F384" s="141"/>
      <c r="G384" s="141"/>
      <c r="H384" s="142"/>
      <c r="I384" s="141"/>
      <c r="J384" s="140"/>
      <c r="K384" s="141"/>
      <c r="L384" s="141"/>
      <c r="M384" s="142"/>
      <c r="N384" s="141"/>
      <c r="O384" s="140"/>
      <c r="P384" s="142"/>
      <c r="Q384" s="142"/>
      <c r="R384" s="142"/>
      <c r="S384" s="141"/>
      <c r="T384" s="140"/>
      <c r="U384" s="143"/>
      <c r="V384" s="142"/>
      <c r="W384" s="142"/>
      <c r="X384"/>
    </row>
    <row r="385" spans="1:24" s="149" customFormat="1" ht="15.5">
      <c r="A385" s="138"/>
      <c r="B385" s="144"/>
      <c r="C385" s="145"/>
      <c r="D385" s="146"/>
      <c r="E385" s="146"/>
      <c r="F385" s="146"/>
      <c r="G385" s="146"/>
      <c r="H385" s="332"/>
      <c r="I385" s="146"/>
      <c r="J385" s="145"/>
      <c r="K385" s="146"/>
      <c r="L385" s="146"/>
      <c r="M385" s="332"/>
      <c r="N385" s="146"/>
      <c r="O385" s="145"/>
      <c r="P385" s="332"/>
      <c r="Q385" s="332"/>
      <c r="R385" s="332"/>
      <c r="S385" s="147"/>
      <c r="T385" s="145"/>
      <c r="U385" s="148"/>
      <c r="V385" s="332"/>
      <c r="W385" s="332"/>
      <c r="X385"/>
    </row>
    <row r="386" spans="1:24" ht="15.5">
      <c r="A386" s="138"/>
      <c r="B386" s="133"/>
      <c r="C386" s="134"/>
      <c r="D386" s="135"/>
      <c r="E386" s="135"/>
      <c r="F386" s="135"/>
      <c r="G386" s="135"/>
      <c r="H386" s="136"/>
      <c r="I386" s="135"/>
      <c r="J386" s="134"/>
      <c r="K386" s="135"/>
      <c r="L386" s="135"/>
      <c r="M386" s="136"/>
      <c r="N386" s="135"/>
      <c r="O386" s="134"/>
      <c r="P386" s="136"/>
      <c r="Q386" s="136"/>
      <c r="R386" s="136"/>
      <c r="S386" s="135"/>
      <c r="T386" s="134"/>
      <c r="U386" s="137"/>
      <c r="V386" s="136"/>
      <c r="W386" s="136"/>
      <c r="X386"/>
    </row>
    <row r="387" spans="1:24" ht="15.5">
      <c r="A387" s="138"/>
      <c r="B387" s="139"/>
      <c r="C387" s="140"/>
      <c r="D387" s="141"/>
      <c r="E387" s="141"/>
      <c r="F387" s="141"/>
      <c r="G387" s="141"/>
      <c r="H387" s="142"/>
      <c r="I387" s="141"/>
      <c r="J387" s="140"/>
      <c r="K387" s="141"/>
      <c r="L387" s="141"/>
      <c r="M387" s="142"/>
      <c r="N387" s="141"/>
      <c r="O387" s="140"/>
      <c r="P387" s="142"/>
      <c r="Q387" s="142"/>
      <c r="R387" s="142"/>
      <c r="S387" s="141"/>
      <c r="T387" s="140"/>
      <c r="U387" s="143"/>
      <c r="V387" s="142"/>
      <c r="W387" s="142"/>
      <c r="X387"/>
    </row>
    <row r="388" spans="1:24" s="149" customFormat="1" ht="15.5">
      <c r="A388" s="138"/>
      <c r="B388" s="144"/>
      <c r="C388" s="145"/>
      <c r="D388" s="146"/>
      <c r="E388" s="146"/>
      <c r="F388" s="146"/>
      <c r="G388" s="146"/>
      <c r="H388" s="332"/>
      <c r="I388" s="146"/>
      <c r="J388" s="145"/>
      <c r="K388" s="146"/>
      <c r="L388" s="146"/>
      <c r="M388" s="332"/>
      <c r="N388" s="146"/>
      <c r="O388" s="145"/>
      <c r="P388" s="332"/>
      <c r="Q388" s="332"/>
      <c r="R388" s="332"/>
      <c r="S388" s="147"/>
      <c r="T388" s="145"/>
      <c r="U388" s="148"/>
      <c r="V388" s="332"/>
      <c r="W388" s="332"/>
      <c r="X388"/>
    </row>
    <row r="389" spans="1:24" ht="15.5">
      <c r="A389" s="138"/>
      <c r="B389" s="133"/>
      <c r="C389" s="134"/>
      <c r="D389" s="135"/>
      <c r="E389" s="135"/>
      <c r="F389" s="135"/>
      <c r="G389" s="135"/>
      <c r="H389" s="136"/>
      <c r="I389" s="135"/>
      <c r="J389" s="134"/>
      <c r="K389" s="135"/>
      <c r="L389" s="135"/>
      <c r="M389" s="136"/>
      <c r="N389" s="135"/>
      <c r="O389" s="134"/>
      <c r="P389" s="136"/>
      <c r="Q389" s="136"/>
      <c r="R389" s="136"/>
      <c r="S389" s="135"/>
      <c r="T389" s="134"/>
      <c r="U389" s="137"/>
      <c r="V389" s="136"/>
      <c r="W389" s="136"/>
      <c r="X389"/>
    </row>
    <row r="390" spans="1:24" ht="15.5">
      <c r="A390" s="138"/>
      <c r="B390" s="139"/>
      <c r="C390" s="140"/>
      <c r="D390" s="141"/>
      <c r="E390" s="141"/>
      <c r="F390" s="141"/>
      <c r="G390" s="141"/>
      <c r="H390" s="142"/>
      <c r="I390" s="141"/>
      <c r="J390" s="140"/>
      <c r="K390" s="141"/>
      <c r="L390" s="141"/>
      <c r="M390" s="142"/>
      <c r="N390" s="141"/>
      <c r="O390" s="140"/>
      <c r="P390" s="142"/>
      <c r="Q390" s="142"/>
      <c r="R390" s="142"/>
      <c r="S390" s="141"/>
      <c r="T390" s="140"/>
      <c r="U390" s="143"/>
      <c r="V390" s="142"/>
      <c r="W390" s="142"/>
      <c r="X390"/>
    </row>
    <row r="391" spans="1:24" s="149" customFormat="1" ht="15.5">
      <c r="A391" s="138"/>
      <c r="B391" s="144"/>
      <c r="C391" s="156"/>
      <c r="D391" s="154"/>
      <c r="E391" s="146"/>
      <c r="F391" s="147"/>
      <c r="G391" s="146"/>
      <c r="H391" s="332"/>
      <c r="I391" s="146"/>
      <c r="J391" s="145"/>
      <c r="K391" s="146"/>
      <c r="L391" s="146"/>
      <c r="M391" s="332"/>
      <c r="N391" s="146"/>
      <c r="O391" s="145"/>
      <c r="P391" s="332"/>
      <c r="Q391" s="332"/>
      <c r="R391" s="332"/>
      <c r="S391" s="146"/>
      <c r="T391" s="145"/>
      <c r="U391" s="148"/>
      <c r="V391" s="332"/>
      <c r="W391" s="332"/>
      <c r="X391"/>
    </row>
    <row r="392" spans="1:24" ht="15.5">
      <c r="A392" s="138"/>
      <c r="B392" s="133"/>
      <c r="C392" s="134"/>
      <c r="D392" s="135"/>
      <c r="E392" s="135"/>
      <c r="F392" s="135"/>
      <c r="G392" s="135"/>
      <c r="H392" s="136"/>
      <c r="I392" s="135"/>
      <c r="J392" s="134"/>
      <c r="K392" s="135"/>
      <c r="L392" s="135"/>
      <c r="M392" s="136"/>
      <c r="N392" s="135"/>
      <c r="O392" s="134"/>
      <c r="P392" s="136"/>
      <c r="Q392" s="136"/>
      <c r="R392" s="136"/>
      <c r="S392" s="135"/>
      <c r="T392" s="134"/>
      <c r="U392" s="137"/>
      <c r="V392" s="136"/>
      <c r="W392" s="136"/>
      <c r="X392"/>
    </row>
    <row r="393" spans="1:24" ht="15.5">
      <c r="A393" s="138"/>
      <c r="B393" s="139"/>
      <c r="C393" s="140"/>
      <c r="D393" s="141"/>
      <c r="E393" s="141"/>
      <c r="F393" s="141"/>
      <c r="G393" s="141"/>
      <c r="H393" s="142"/>
      <c r="I393" s="141"/>
      <c r="J393" s="140"/>
      <c r="K393" s="141"/>
      <c r="L393" s="141"/>
      <c r="M393" s="142"/>
      <c r="N393" s="141"/>
      <c r="O393" s="140"/>
      <c r="P393" s="142"/>
      <c r="Q393" s="142"/>
      <c r="R393" s="142"/>
      <c r="S393" s="141"/>
      <c r="T393" s="140"/>
      <c r="U393" s="143"/>
      <c r="V393" s="142"/>
      <c r="W393" s="142"/>
      <c r="X393"/>
    </row>
    <row r="394" spans="1:24" s="149" customFormat="1" ht="15.5">
      <c r="A394" s="138"/>
      <c r="B394" s="144"/>
      <c r="C394" s="145"/>
      <c r="D394" s="146"/>
      <c r="E394" s="146"/>
      <c r="F394" s="146"/>
      <c r="G394" s="146"/>
      <c r="H394" s="332"/>
      <c r="I394" s="146"/>
      <c r="J394" s="145"/>
      <c r="K394" s="146"/>
      <c r="L394" s="146"/>
      <c r="M394" s="332"/>
      <c r="N394" s="146"/>
      <c r="O394" s="145"/>
      <c r="P394" s="332"/>
      <c r="Q394" s="332"/>
      <c r="R394" s="332"/>
      <c r="S394" s="146"/>
      <c r="T394" s="145"/>
      <c r="U394" s="148"/>
      <c r="V394" s="332"/>
      <c r="W394" s="332"/>
      <c r="X394"/>
    </row>
    <row r="395" spans="1:24" ht="15.5">
      <c r="A395" s="138"/>
      <c r="B395" s="133"/>
      <c r="C395" s="134"/>
      <c r="D395" s="135"/>
      <c r="E395" s="135"/>
      <c r="F395" s="141"/>
      <c r="G395" s="135"/>
      <c r="H395" s="136"/>
      <c r="I395" s="135"/>
      <c r="J395" s="134"/>
      <c r="K395" s="135"/>
      <c r="L395" s="135"/>
      <c r="M395" s="136"/>
      <c r="N395" s="135"/>
      <c r="O395" s="134"/>
      <c r="P395" s="136"/>
      <c r="Q395" s="136"/>
      <c r="R395" s="136"/>
      <c r="S395" s="135"/>
      <c r="T395" s="134"/>
      <c r="U395" s="137"/>
      <c r="V395" s="136"/>
      <c r="W395" s="136"/>
      <c r="X395"/>
    </row>
    <row r="396" spans="1:24" ht="15.5">
      <c r="A396" s="138"/>
      <c r="B396" s="139"/>
      <c r="C396" s="140"/>
      <c r="D396" s="141"/>
      <c r="E396" s="141"/>
      <c r="F396" s="141"/>
      <c r="G396" s="141"/>
      <c r="H396" s="142"/>
      <c r="I396" s="141"/>
      <c r="J396" s="140"/>
      <c r="K396" s="141"/>
      <c r="L396" s="141"/>
      <c r="M396" s="142"/>
      <c r="N396" s="141"/>
      <c r="O396" s="140"/>
      <c r="P396" s="142"/>
      <c r="Q396" s="142"/>
      <c r="R396" s="142"/>
      <c r="S396" s="141"/>
      <c r="T396" s="140"/>
      <c r="U396" s="143"/>
      <c r="V396" s="142"/>
      <c r="W396" s="142"/>
      <c r="X396"/>
    </row>
    <row r="397" spans="1:24" s="149" customFormat="1" ht="15.5">
      <c r="A397" s="138"/>
      <c r="B397" s="144"/>
      <c r="C397" s="145"/>
      <c r="D397" s="146"/>
      <c r="E397" s="146"/>
      <c r="F397" s="147"/>
      <c r="G397" s="146"/>
      <c r="H397" s="332"/>
      <c r="I397" s="146"/>
      <c r="J397" s="145"/>
      <c r="K397" s="146"/>
      <c r="L397" s="146"/>
      <c r="M397" s="332"/>
      <c r="N397" s="146"/>
      <c r="O397" s="145"/>
      <c r="P397" s="332"/>
      <c r="Q397" s="332"/>
      <c r="R397" s="332"/>
      <c r="S397" s="147"/>
      <c r="T397" s="145"/>
      <c r="U397" s="148"/>
      <c r="V397" s="332"/>
      <c r="W397" s="332"/>
      <c r="X397"/>
    </row>
    <row r="398" spans="1:24" ht="15.5">
      <c r="A398" s="138"/>
      <c r="B398" s="133"/>
      <c r="C398" s="134"/>
      <c r="D398" s="135"/>
      <c r="E398" s="141"/>
      <c r="F398" s="135"/>
      <c r="G398" s="135"/>
      <c r="H398" s="136"/>
      <c r="I398" s="135"/>
      <c r="J398" s="134"/>
      <c r="K398" s="135"/>
      <c r="L398" s="135"/>
      <c r="M398" s="136"/>
      <c r="N398" s="135"/>
      <c r="O398" s="134"/>
      <c r="P398" s="136"/>
      <c r="Q398" s="136"/>
      <c r="R398" s="136"/>
      <c r="S398" s="135"/>
      <c r="T398" s="134"/>
      <c r="U398" s="137"/>
      <c r="V398" s="136"/>
      <c r="W398" s="136"/>
      <c r="X398"/>
    </row>
    <row r="399" spans="1:24" ht="15.5">
      <c r="A399" s="138"/>
      <c r="B399" s="139"/>
      <c r="C399" s="140"/>
      <c r="D399" s="141"/>
      <c r="E399" s="141"/>
      <c r="F399" s="141"/>
      <c r="G399" s="141"/>
      <c r="H399" s="142"/>
      <c r="I399" s="141"/>
      <c r="J399" s="140"/>
      <c r="K399" s="141"/>
      <c r="L399" s="141"/>
      <c r="M399" s="142"/>
      <c r="N399" s="141"/>
      <c r="O399" s="140"/>
      <c r="P399" s="142"/>
      <c r="Q399" s="142"/>
      <c r="R399" s="142"/>
      <c r="S399" s="141"/>
      <c r="T399" s="140"/>
      <c r="U399" s="143"/>
      <c r="V399" s="142"/>
      <c r="W399" s="142"/>
      <c r="X399"/>
    </row>
    <row r="400" spans="1:24" s="149" customFormat="1" ht="15.5">
      <c r="A400" s="138"/>
      <c r="B400" s="144"/>
      <c r="C400" s="145"/>
      <c r="D400" s="146"/>
      <c r="E400" s="146"/>
      <c r="F400" s="146"/>
      <c r="G400" s="146"/>
      <c r="H400" s="332"/>
      <c r="I400" s="146"/>
      <c r="J400" s="145"/>
      <c r="K400" s="146"/>
      <c r="L400" s="146"/>
      <c r="M400" s="332"/>
      <c r="N400" s="146"/>
      <c r="O400" s="145"/>
      <c r="P400" s="332"/>
      <c r="Q400" s="332"/>
      <c r="R400" s="332"/>
      <c r="S400" s="146"/>
      <c r="T400" s="145"/>
      <c r="U400" s="148"/>
      <c r="V400" s="332"/>
      <c r="W400" s="332"/>
      <c r="X400"/>
    </row>
    <row r="401" spans="1:24" ht="15.5">
      <c r="A401" s="138"/>
      <c r="B401" s="133"/>
      <c r="C401" s="134"/>
      <c r="D401" s="135"/>
      <c r="E401" s="135"/>
      <c r="F401" s="135"/>
      <c r="G401" s="135"/>
      <c r="H401" s="136"/>
      <c r="I401" s="135"/>
      <c r="J401" s="134"/>
      <c r="K401" s="135"/>
      <c r="L401" s="135"/>
      <c r="M401" s="136"/>
      <c r="N401" s="135"/>
      <c r="O401" s="134"/>
      <c r="P401" s="136"/>
      <c r="Q401" s="136"/>
      <c r="R401" s="136"/>
      <c r="S401" s="135"/>
      <c r="T401" s="134"/>
      <c r="U401" s="137"/>
      <c r="V401" s="136"/>
      <c r="W401" s="136"/>
      <c r="X401"/>
    </row>
    <row r="402" spans="1:24" ht="15.5">
      <c r="A402" s="138"/>
      <c r="B402" s="139"/>
      <c r="C402" s="140"/>
      <c r="D402" s="141"/>
      <c r="E402" s="141"/>
      <c r="F402" s="141"/>
      <c r="G402" s="141"/>
      <c r="H402" s="142"/>
      <c r="I402" s="141"/>
      <c r="J402" s="140"/>
      <c r="K402" s="141"/>
      <c r="L402" s="141"/>
      <c r="M402" s="142"/>
      <c r="N402" s="141"/>
      <c r="O402" s="140"/>
      <c r="P402" s="142"/>
      <c r="Q402" s="142"/>
      <c r="R402" s="142"/>
      <c r="S402" s="141"/>
      <c r="T402" s="140"/>
      <c r="U402" s="143"/>
      <c r="V402" s="142"/>
      <c r="W402" s="142"/>
      <c r="X402"/>
    </row>
    <row r="403" spans="1:24" s="149" customFormat="1" ht="15.5">
      <c r="A403" s="138"/>
      <c r="B403" s="144"/>
      <c r="C403" s="145"/>
      <c r="D403" s="146"/>
      <c r="E403" s="146"/>
      <c r="F403" s="146"/>
      <c r="G403" s="146"/>
      <c r="H403" s="332"/>
      <c r="I403" s="146"/>
      <c r="J403" s="145"/>
      <c r="K403" s="146"/>
      <c r="L403" s="146"/>
      <c r="M403" s="332"/>
      <c r="N403" s="146"/>
      <c r="O403" s="145"/>
      <c r="P403" s="332"/>
      <c r="Q403" s="332"/>
      <c r="R403" s="332"/>
      <c r="S403" s="146"/>
      <c r="T403" s="145"/>
      <c r="U403" s="148"/>
      <c r="V403" s="332"/>
      <c r="W403" s="332"/>
      <c r="X403"/>
    </row>
    <row r="404" spans="1:24" ht="15.5">
      <c r="A404" s="138"/>
      <c r="B404" s="133"/>
      <c r="C404" s="134"/>
      <c r="D404" s="135"/>
      <c r="E404" s="135"/>
      <c r="F404" s="135"/>
      <c r="G404" s="135"/>
      <c r="H404" s="136"/>
      <c r="I404" s="135"/>
      <c r="J404" s="134"/>
      <c r="K404" s="135"/>
      <c r="L404" s="135"/>
      <c r="M404" s="136"/>
      <c r="N404" s="135"/>
      <c r="O404" s="134"/>
      <c r="P404" s="136"/>
      <c r="Q404" s="136"/>
      <c r="R404" s="136"/>
      <c r="S404" s="135"/>
      <c r="T404" s="134"/>
      <c r="U404" s="137"/>
      <c r="V404" s="136"/>
      <c r="W404" s="136"/>
      <c r="X404"/>
    </row>
    <row r="405" spans="1:24" ht="15.5">
      <c r="A405" s="138"/>
      <c r="B405" s="139"/>
      <c r="C405" s="140"/>
      <c r="D405" s="141"/>
      <c r="E405" s="141"/>
      <c r="F405" s="141"/>
      <c r="G405" s="141"/>
      <c r="H405" s="142"/>
      <c r="I405" s="141"/>
      <c r="J405" s="140"/>
      <c r="K405" s="141"/>
      <c r="L405" s="141"/>
      <c r="M405" s="142"/>
      <c r="N405" s="141"/>
      <c r="O405" s="140"/>
      <c r="P405" s="142"/>
      <c r="Q405" s="142"/>
      <c r="R405" s="142"/>
      <c r="S405" s="141"/>
      <c r="T405" s="140"/>
      <c r="U405" s="143"/>
      <c r="V405" s="142"/>
      <c r="W405" s="142"/>
      <c r="X405"/>
    </row>
    <row r="406" spans="1:24" s="149" customFormat="1" ht="15.5">
      <c r="A406" s="138"/>
      <c r="B406" s="144"/>
      <c r="C406" s="145"/>
      <c r="D406" s="146"/>
      <c r="E406" s="146"/>
      <c r="F406" s="146"/>
      <c r="G406" s="146"/>
      <c r="H406" s="332"/>
      <c r="I406" s="146"/>
      <c r="J406" s="145"/>
      <c r="K406" s="146"/>
      <c r="L406" s="146"/>
      <c r="M406" s="332"/>
      <c r="N406" s="146"/>
      <c r="O406" s="145"/>
      <c r="P406" s="332"/>
      <c r="Q406" s="332"/>
      <c r="R406" s="332"/>
      <c r="S406" s="146"/>
      <c r="T406" s="145"/>
      <c r="U406" s="148"/>
      <c r="V406" s="332"/>
      <c r="W406" s="332"/>
      <c r="X406"/>
    </row>
    <row r="407" spans="1:24" ht="15.5">
      <c r="A407" s="138"/>
      <c r="B407" s="133"/>
      <c r="C407" s="134"/>
      <c r="D407" s="135"/>
      <c r="E407" s="135"/>
      <c r="F407" s="135"/>
      <c r="G407" s="135"/>
      <c r="H407" s="136"/>
      <c r="I407" s="135"/>
      <c r="J407" s="134"/>
      <c r="K407" s="135"/>
      <c r="L407" s="135"/>
      <c r="M407" s="136"/>
      <c r="N407" s="135"/>
      <c r="O407" s="134"/>
      <c r="P407" s="136"/>
      <c r="Q407" s="136"/>
      <c r="R407" s="136"/>
      <c r="S407" s="135"/>
      <c r="T407" s="134"/>
      <c r="U407" s="137"/>
      <c r="V407" s="136"/>
      <c r="W407" s="136"/>
      <c r="X407"/>
    </row>
    <row r="408" spans="1:24" ht="15.5">
      <c r="A408" s="138"/>
      <c r="B408" s="139"/>
      <c r="C408" s="140"/>
      <c r="D408" s="141"/>
      <c r="E408" s="141"/>
      <c r="F408" s="141"/>
      <c r="G408" s="141"/>
      <c r="H408" s="142"/>
      <c r="I408" s="141"/>
      <c r="J408" s="140"/>
      <c r="K408" s="141"/>
      <c r="L408" s="141"/>
      <c r="M408" s="142"/>
      <c r="N408" s="141"/>
      <c r="O408" s="140"/>
      <c r="P408" s="142"/>
      <c r="Q408" s="142"/>
      <c r="R408" s="142"/>
      <c r="S408" s="141"/>
      <c r="T408" s="140"/>
      <c r="U408" s="143"/>
      <c r="V408" s="142"/>
      <c r="W408" s="142"/>
      <c r="X408"/>
    </row>
    <row r="409" spans="1:24" s="149" customFormat="1" ht="15.5">
      <c r="A409" s="138"/>
      <c r="B409" s="144"/>
      <c r="C409" s="145"/>
      <c r="D409" s="146"/>
      <c r="E409" s="146"/>
      <c r="F409" s="146"/>
      <c r="G409" s="146"/>
      <c r="H409" s="332"/>
      <c r="I409" s="146"/>
      <c r="J409" s="145"/>
      <c r="K409" s="146"/>
      <c r="L409" s="146"/>
      <c r="M409" s="332"/>
      <c r="N409" s="146"/>
      <c r="O409" s="145"/>
      <c r="P409" s="332"/>
      <c r="Q409" s="332"/>
      <c r="R409" s="332"/>
      <c r="S409" s="146"/>
      <c r="T409" s="145"/>
      <c r="U409" s="148"/>
      <c r="V409" s="332"/>
      <c r="W409" s="332"/>
      <c r="X409"/>
    </row>
    <row r="410" spans="1:24" ht="15.5">
      <c r="A410" s="138"/>
      <c r="B410" s="133"/>
      <c r="C410" s="134"/>
      <c r="D410" s="135"/>
      <c r="E410" s="135"/>
      <c r="F410" s="135"/>
      <c r="G410" s="135"/>
      <c r="H410" s="136"/>
      <c r="I410" s="135"/>
      <c r="J410" s="134"/>
      <c r="K410" s="135"/>
      <c r="L410" s="135"/>
      <c r="M410" s="136"/>
      <c r="N410" s="135"/>
      <c r="O410" s="134"/>
      <c r="P410" s="136"/>
      <c r="Q410" s="136"/>
      <c r="R410" s="136"/>
      <c r="S410" s="135"/>
      <c r="T410" s="134"/>
      <c r="U410" s="137"/>
      <c r="V410" s="136"/>
      <c r="W410" s="136"/>
      <c r="X410"/>
    </row>
    <row r="411" spans="1:24" ht="15.5">
      <c r="A411" s="138"/>
      <c r="B411" s="139"/>
      <c r="C411" s="140"/>
      <c r="D411" s="141"/>
      <c r="E411" s="141"/>
      <c r="F411" s="141"/>
      <c r="G411" s="141"/>
      <c r="H411" s="142"/>
      <c r="I411" s="141"/>
      <c r="J411" s="140"/>
      <c r="K411" s="141"/>
      <c r="L411" s="141"/>
      <c r="M411" s="142"/>
      <c r="N411" s="141"/>
      <c r="O411" s="140"/>
      <c r="P411" s="142"/>
      <c r="Q411" s="142"/>
      <c r="R411" s="142"/>
      <c r="S411" s="141"/>
      <c r="T411" s="140"/>
      <c r="U411" s="143"/>
      <c r="V411" s="142"/>
      <c r="W411" s="142"/>
      <c r="X411"/>
    </row>
    <row r="412" spans="1:24" s="149" customFormat="1" ht="15.5">
      <c r="A412" s="138"/>
      <c r="B412" s="144"/>
      <c r="C412" s="145"/>
      <c r="D412" s="146"/>
      <c r="E412" s="146"/>
      <c r="F412" s="146"/>
      <c r="G412" s="146"/>
      <c r="H412" s="332"/>
      <c r="I412" s="146"/>
      <c r="J412" s="145"/>
      <c r="K412" s="146"/>
      <c r="L412" s="146"/>
      <c r="M412" s="332"/>
      <c r="N412" s="146"/>
      <c r="O412" s="145"/>
      <c r="P412" s="332"/>
      <c r="Q412" s="332"/>
      <c r="R412" s="332"/>
      <c r="S412" s="146"/>
      <c r="T412" s="145"/>
      <c r="U412" s="148"/>
      <c r="V412" s="332"/>
      <c r="W412" s="332"/>
      <c r="X412"/>
    </row>
    <row r="413" spans="1:24" ht="15.5">
      <c r="A413" s="138"/>
      <c r="B413" s="133"/>
      <c r="C413" s="134"/>
      <c r="D413" s="135"/>
      <c r="E413" s="135"/>
      <c r="F413" s="135"/>
      <c r="G413" s="135"/>
      <c r="H413" s="136"/>
      <c r="I413" s="135"/>
      <c r="J413" s="134"/>
      <c r="K413" s="135"/>
      <c r="L413" s="135"/>
      <c r="M413" s="136"/>
      <c r="N413" s="135"/>
      <c r="O413" s="134"/>
      <c r="P413" s="136"/>
      <c r="Q413" s="136"/>
      <c r="R413" s="136"/>
      <c r="S413" s="135"/>
      <c r="T413" s="134"/>
      <c r="U413" s="137"/>
      <c r="V413" s="136"/>
      <c r="W413" s="136"/>
      <c r="X413"/>
    </row>
    <row r="414" spans="1:24" ht="15.5">
      <c r="A414" s="138"/>
      <c r="B414" s="139"/>
      <c r="C414" s="140"/>
      <c r="D414" s="141"/>
      <c r="E414" s="141"/>
      <c r="F414" s="141"/>
      <c r="G414" s="141"/>
      <c r="H414" s="142"/>
      <c r="I414" s="141"/>
      <c r="J414" s="140"/>
      <c r="K414" s="141"/>
      <c r="L414" s="141"/>
      <c r="M414" s="142"/>
      <c r="N414" s="141"/>
      <c r="O414" s="140"/>
      <c r="P414" s="142"/>
      <c r="Q414" s="142"/>
      <c r="R414" s="142"/>
      <c r="S414" s="141"/>
      <c r="T414" s="140"/>
      <c r="U414" s="143"/>
      <c r="V414" s="142"/>
      <c r="W414" s="142"/>
      <c r="X414"/>
    </row>
    <row r="415" spans="1:24" s="149" customFormat="1" ht="15.5">
      <c r="A415" s="138"/>
      <c r="B415" s="144"/>
      <c r="C415" s="145"/>
      <c r="D415" s="146"/>
      <c r="E415" s="146"/>
      <c r="F415" s="146"/>
      <c r="G415" s="146"/>
      <c r="H415" s="332"/>
      <c r="I415" s="146"/>
      <c r="J415" s="145"/>
      <c r="K415" s="146"/>
      <c r="L415" s="146"/>
      <c r="M415" s="332"/>
      <c r="N415" s="146"/>
      <c r="O415" s="145"/>
      <c r="P415" s="332"/>
      <c r="Q415" s="332"/>
      <c r="R415" s="332"/>
      <c r="S415" s="146"/>
      <c r="T415" s="145"/>
      <c r="U415" s="148"/>
      <c r="V415" s="332"/>
      <c r="W415" s="332"/>
      <c r="X415"/>
    </row>
    <row r="416" spans="1:24" ht="15.5">
      <c r="A416" s="138"/>
      <c r="B416" s="133"/>
      <c r="C416" s="134"/>
      <c r="D416" s="135"/>
      <c r="E416" s="135"/>
      <c r="F416" s="135"/>
      <c r="G416" s="135"/>
      <c r="H416" s="136"/>
      <c r="I416" s="135"/>
      <c r="J416" s="134"/>
      <c r="K416" s="135"/>
      <c r="L416" s="135"/>
      <c r="M416" s="136"/>
      <c r="N416" s="135"/>
      <c r="O416" s="134"/>
      <c r="P416" s="136"/>
      <c r="Q416" s="136"/>
      <c r="R416" s="136"/>
      <c r="S416" s="135"/>
      <c r="T416" s="134"/>
      <c r="U416" s="137"/>
      <c r="V416" s="136"/>
      <c r="W416" s="136"/>
      <c r="X416"/>
    </row>
    <row r="417" spans="1:24" ht="15.5">
      <c r="A417" s="138"/>
      <c r="B417" s="139"/>
      <c r="C417" s="140"/>
      <c r="D417" s="141"/>
      <c r="E417" s="141"/>
      <c r="F417" s="141"/>
      <c r="G417" s="141"/>
      <c r="H417" s="142"/>
      <c r="I417" s="141"/>
      <c r="J417" s="140"/>
      <c r="K417" s="141"/>
      <c r="L417" s="141"/>
      <c r="M417" s="142"/>
      <c r="N417" s="141"/>
      <c r="O417" s="140"/>
      <c r="P417" s="142"/>
      <c r="Q417" s="142"/>
      <c r="R417" s="142"/>
      <c r="S417" s="141"/>
      <c r="T417" s="140"/>
      <c r="U417" s="143"/>
      <c r="V417" s="142"/>
      <c r="W417" s="142"/>
      <c r="X417"/>
    </row>
    <row r="418" spans="1:24" s="149" customFormat="1" ht="15.5">
      <c r="A418" s="138"/>
      <c r="B418" s="144"/>
      <c r="C418" s="145"/>
      <c r="D418" s="146"/>
      <c r="E418" s="146"/>
      <c r="F418" s="146"/>
      <c r="G418" s="146"/>
      <c r="H418" s="332"/>
      <c r="I418" s="146"/>
      <c r="J418" s="145"/>
      <c r="K418" s="146"/>
      <c r="L418" s="146"/>
      <c r="M418" s="332"/>
      <c r="N418" s="146"/>
      <c r="O418" s="145"/>
      <c r="P418" s="332"/>
      <c r="Q418" s="332"/>
      <c r="R418" s="332"/>
      <c r="S418" s="146"/>
      <c r="T418" s="145"/>
      <c r="U418" s="148"/>
      <c r="V418" s="332"/>
      <c r="W418" s="332"/>
      <c r="X418"/>
    </row>
    <row r="419" spans="1:24" ht="15.5">
      <c r="A419" s="138"/>
      <c r="B419" s="133"/>
      <c r="C419" s="134"/>
      <c r="D419" s="135"/>
      <c r="E419" s="135"/>
      <c r="F419" s="135"/>
      <c r="G419" s="135"/>
      <c r="H419" s="136"/>
      <c r="I419" s="135"/>
      <c r="J419" s="134"/>
      <c r="K419" s="135"/>
      <c r="L419" s="135"/>
      <c r="M419" s="136"/>
      <c r="N419" s="135"/>
      <c r="O419" s="134"/>
      <c r="P419" s="136"/>
      <c r="Q419" s="136"/>
      <c r="R419" s="136"/>
      <c r="S419" s="135"/>
      <c r="T419" s="134"/>
      <c r="U419" s="137"/>
      <c r="V419" s="136"/>
      <c r="W419" s="136"/>
      <c r="X419"/>
    </row>
    <row r="420" spans="1:24" ht="15.5">
      <c r="A420" s="138"/>
      <c r="B420" s="139"/>
      <c r="C420" s="140"/>
      <c r="D420" s="141"/>
      <c r="E420" s="141"/>
      <c r="F420" s="141"/>
      <c r="G420" s="141"/>
      <c r="H420" s="142"/>
      <c r="I420" s="141"/>
      <c r="J420" s="140"/>
      <c r="K420" s="141"/>
      <c r="L420" s="141"/>
      <c r="M420" s="142"/>
      <c r="N420" s="141"/>
      <c r="O420" s="140"/>
      <c r="P420" s="142"/>
      <c r="Q420" s="142"/>
      <c r="R420" s="142"/>
      <c r="S420" s="141"/>
      <c r="T420" s="140"/>
      <c r="U420" s="143"/>
      <c r="V420" s="142"/>
      <c r="W420" s="142"/>
      <c r="X420"/>
    </row>
    <row r="421" spans="1:24" s="149" customFormat="1" ht="15.5">
      <c r="A421" s="138"/>
      <c r="B421" s="144"/>
      <c r="C421" s="145"/>
      <c r="D421" s="146"/>
      <c r="E421" s="146"/>
      <c r="F421" s="146"/>
      <c r="G421" s="146"/>
      <c r="H421" s="332"/>
      <c r="I421" s="146"/>
      <c r="J421" s="145"/>
      <c r="K421" s="146"/>
      <c r="L421" s="146"/>
      <c r="M421" s="332"/>
      <c r="N421" s="146"/>
      <c r="O421" s="145"/>
      <c r="P421" s="332"/>
      <c r="Q421" s="332"/>
      <c r="R421" s="332"/>
      <c r="S421" s="146"/>
      <c r="T421" s="145"/>
      <c r="U421" s="148"/>
      <c r="V421" s="332"/>
      <c r="W421" s="332"/>
      <c r="X421"/>
    </row>
    <row r="422" spans="1:24" ht="15.5">
      <c r="A422" s="138"/>
      <c r="B422" s="133"/>
      <c r="C422" s="134"/>
      <c r="D422" s="135"/>
      <c r="E422" s="135"/>
      <c r="F422" s="135"/>
      <c r="G422" s="135"/>
      <c r="H422" s="136"/>
      <c r="I422" s="135"/>
      <c r="J422" s="134"/>
      <c r="K422" s="135"/>
      <c r="L422" s="135"/>
      <c r="M422" s="136"/>
      <c r="N422" s="135"/>
      <c r="O422" s="134"/>
      <c r="P422" s="136"/>
      <c r="Q422" s="136"/>
      <c r="R422" s="136"/>
      <c r="S422" s="135"/>
      <c r="T422" s="134"/>
      <c r="U422" s="137"/>
      <c r="V422" s="136"/>
      <c r="W422" s="136"/>
      <c r="X422"/>
    </row>
    <row r="423" spans="1:24" ht="15.5">
      <c r="A423" s="138"/>
      <c r="B423" s="139"/>
      <c r="C423" s="140"/>
      <c r="D423" s="141"/>
      <c r="E423" s="141"/>
      <c r="F423" s="141"/>
      <c r="G423" s="141"/>
      <c r="H423" s="142"/>
      <c r="I423" s="141"/>
      <c r="J423" s="140"/>
      <c r="K423" s="141"/>
      <c r="L423" s="141"/>
      <c r="M423" s="142"/>
      <c r="N423" s="141"/>
      <c r="O423" s="140"/>
      <c r="P423" s="142"/>
      <c r="Q423" s="142"/>
      <c r="R423" s="142"/>
      <c r="S423" s="141"/>
      <c r="T423" s="140"/>
      <c r="U423" s="143"/>
      <c r="V423" s="142"/>
      <c r="W423" s="142"/>
      <c r="X423"/>
    </row>
    <row r="424" spans="1:24" s="149" customFormat="1" ht="15.5">
      <c r="A424" s="138"/>
      <c r="B424" s="144"/>
      <c r="C424" s="145"/>
      <c r="D424" s="146"/>
      <c r="E424" s="146"/>
      <c r="F424" s="146"/>
      <c r="G424" s="146"/>
      <c r="H424" s="332"/>
      <c r="I424" s="146"/>
      <c r="J424" s="145"/>
      <c r="K424" s="146"/>
      <c r="L424" s="146"/>
      <c r="M424" s="332"/>
      <c r="N424" s="146"/>
      <c r="O424" s="145"/>
      <c r="P424" s="332"/>
      <c r="Q424" s="332"/>
      <c r="R424" s="332"/>
      <c r="S424" s="146"/>
      <c r="T424" s="145"/>
      <c r="U424" s="148"/>
      <c r="V424" s="332"/>
      <c r="W424" s="332"/>
      <c r="X424"/>
    </row>
    <row r="425" spans="1:24" ht="15.5">
      <c r="A425" s="138"/>
      <c r="B425" s="133"/>
      <c r="C425" s="134"/>
      <c r="D425" s="135"/>
      <c r="E425" s="135"/>
      <c r="F425" s="135"/>
      <c r="G425" s="135"/>
      <c r="H425" s="136"/>
      <c r="I425" s="135"/>
      <c r="J425" s="134"/>
      <c r="K425" s="135"/>
      <c r="L425" s="135"/>
      <c r="M425" s="136"/>
      <c r="N425" s="135"/>
      <c r="O425" s="134"/>
      <c r="P425" s="136"/>
      <c r="Q425" s="136"/>
      <c r="R425" s="136"/>
      <c r="S425" s="135"/>
      <c r="T425" s="134"/>
      <c r="U425" s="137"/>
      <c r="V425" s="136"/>
      <c r="W425" s="136"/>
      <c r="X425"/>
    </row>
    <row r="426" spans="1:24" ht="15.5">
      <c r="A426" s="138"/>
      <c r="B426" s="139"/>
      <c r="C426" s="140"/>
      <c r="D426" s="141"/>
      <c r="E426" s="141"/>
      <c r="F426" s="141"/>
      <c r="G426" s="141"/>
      <c r="H426" s="142"/>
      <c r="I426" s="141"/>
      <c r="J426" s="140"/>
      <c r="K426" s="141"/>
      <c r="L426" s="141"/>
      <c r="M426" s="142"/>
      <c r="N426" s="141"/>
      <c r="O426" s="140"/>
      <c r="P426" s="142"/>
      <c r="Q426" s="142"/>
      <c r="R426" s="142"/>
      <c r="S426" s="141"/>
      <c r="T426" s="140"/>
      <c r="U426" s="143"/>
      <c r="V426" s="142"/>
      <c r="W426" s="142"/>
      <c r="X426"/>
    </row>
    <row r="427" spans="1:24" s="149" customFormat="1" ht="15.5">
      <c r="A427" s="138"/>
      <c r="B427" s="144"/>
      <c r="C427" s="146"/>
      <c r="D427" s="146"/>
      <c r="E427" s="146"/>
      <c r="F427" s="146"/>
      <c r="G427" s="146"/>
      <c r="H427" s="332"/>
      <c r="I427" s="146"/>
      <c r="J427" s="145"/>
      <c r="K427" s="146"/>
      <c r="L427" s="146"/>
      <c r="M427" s="332"/>
      <c r="N427" s="146"/>
      <c r="O427" s="145"/>
      <c r="P427" s="332"/>
      <c r="Q427" s="332"/>
      <c r="R427" s="332"/>
      <c r="S427" s="146"/>
      <c r="T427" s="145"/>
      <c r="U427" s="148"/>
      <c r="V427" s="332"/>
      <c r="W427" s="332"/>
      <c r="X427"/>
    </row>
    <row r="428" spans="1:24" ht="15.5">
      <c r="A428" s="138"/>
      <c r="B428" s="133"/>
      <c r="C428" s="140"/>
      <c r="D428" s="135"/>
      <c r="E428" s="141"/>
      <c r="F428" s="135"/>
      <c r="G428" s="135"/>
      <c r="H428" s="136"/>
      <c r="I428" s="135"/>
      <c r="J428" s="134"/>
      <c r="K428" s="135"/>
      <c r="L428" s="135"/>
      <c r="M428" s="136"/>
      <c r="N428" s="135"/>
      <c r="O428" s="134"/>
      <c r="P428" s="136"/>
      <c r="Q428" s="136"/>
      <c r="R428" s="136"/>
      <c r="S428" s="135"/>
      <c r="T428" s="134"/>
      <c r="U428" s="137"/>
      <c r="V428" s="136"/>
      <c r="W428" s="136"/>
      <c r="X428"/>
    </row>
    <row r="429" spans="1:24" s="149" customFormat="1" ht="15.5">
      <c r="A429" s="153"/>
      <c r="B429" s="139"/>
      <c r="C429" s="140"/>
      <c r="D429" s="141"/>
      <c r="E429" s="141"/>
      <c r="F429" s="141"/>
      <c r="G429" s="141"/>
      <c r="H429" s="142"/>
      <c r="I429" s="141"/>
      <c r="J429" s="140"/>
      <c r="K429" s="141"/>
      <c r="L429" s="141"/>
      <c r="M429" s="142"/>
      <c r="N429" s="141"/>
      <c r="O429" s="140"/>
      <c r="P429" s="142"/>
      <c r="Q429" s="142"/>
      <c r="R429" s="142"/>
      <c r="S429" s="141"/>
      <c r="T429" s="140"/>
      <c r="U429" s="143"/>
      <c r="V429" s="142"/>
      <c r="W429" s="142"/>
      <c r="X429"/>
    </row>
    <row r="430" spans="1:24" ht="15.5">
      <c r="A430" s="132"/>
      <c r="B430" s="133"/>
      <c r="C430" s="134"/>
      <c r="D430" s="135"/>
      <c r="E430" s="135"/>
      <c r="F430" s="135"/>
      <c r="G430" s="135"/>
      <c r="H430" s="136"/>
      <c r="I430" s="135"/>
      <c r="J430" s="134"/>
      <c r="K430" s="135"/>
      <c r="L430" s="135"/>
      <c r="M430" s="136"/>
      <c r="N430" s="135"/>
      <c r="O430" s="134"/>
      <c r="P430" s="136"/>
      <c r="Q430" s="136"/>
      <c r="R430" s="136"/>
      <c r="S430" s="135"/>
      <c r="T430" s="134"/>
      <c r="U430" s="137"/>
      <c r="V430" s="136"/>
      <c r="W430" s="136"/>
      <c r="X430"/>
    </row>
    <row r="431" spans="1:24" ht="15.5">
      <c r="A431" s="138"/>
      <c r="B431" s="139"/>
      <c r="C431" s="140"/>
      <c r="D431" s="141"/>
      <c r="E431" s="141"/>
      <c r="F431" s="141"/>
      <c r="G431" s="141"/>
      <c r="H431" s="142"/>
      <c r="I431" s="141"/>
      <c r="J431" s="140"/>
      <c r="K431" s="141"/>
      <c r="L431" s="141"/>
      <c r="M431" s="142"/>
      <c r="N431" s="141"/>
      <c r="O431" s="140"/>
      <c r="P431" s="142"/>
      <c r="Q431" s="142"/>
      <c r="R431" s="142"/>
      <c r="S431" s="141"/>
      <c r="T431" s="140"/>
      <c r="U431" s="143"/>
      <c r="V431" s="142"/>
      <c r="W431" s="142"/>
      <c r="X431"/>
    </row>
    <row r="432" spans="1:24" s="149" customFormat="1" ht="15.5">
      <c r="A432" s="138"/>
      <c r="B432" s="144"/>
      <c r="C432" s="145"/>
      <c r="D432" s="146"/>
      <c r="E432" s="146"/>
      <c r="F432" s="146"/>
      <c r="G432" s="146"/>
      <c r="H432" s="332"/>
      <c r="I432" s="146"/>
      <c r="J432" s="145"/>
      <c r="K432" s="147"/>
      <c r="L432" s="146"/>
      <c r="M432" s="333"/>
      <c r="N432" s="146"/>
      <c r="O432" s="145"/>
      <c r="P432" s="332"/>
      <c r="Q432" s="332"/>
      <c r="R432" s="146"/>
      <c r="S432" s="148"/>
      <c r="T432" s="146"/>
      <c r="U432" s="148"/>
      <c r="V432" s="332"/>
      <c r="W432" s="332"/>
      <c r="X432"/>
    </row>
    <row r="433" spans="1:24" ht="15.5">
      <c r="A433" s="138"/>
      <c r="B433" s="133"/>
      <c r="C433" s="134"/>
      <c r="D433" s="141"/>
      <c r="E433" s="141"/>
      <c r="F433" s="135"/>
      <c r="G433" s="135"/>
      <c r="H433" s="136"/>
      <c r="I433" s="135"/>
      <c r="J433" s="134"/>
      <c r="K433" s="135"/>
      <c r="L433" s="141"/>
      <c r="M433" s="136"/>
      <c r="N433" s="135"/>
      <c r="O433" s="134"/>
      <c r="P433" s="136"/>
      <c r="Q433" s="136"/>
      <c r="R433" s="136"/>
      <c r="S433" s="141"/>
      <c r="T433" s="134"/>
      <c r="U433" s="137"/>
      <c r="V433" s="136"/>
      <c r="W433" s="136"/>
      <c r="X433"/>
    </row>
    <row r="434" spans="1:24" ht="15.5">
      <c r="A434" s="138"/>
      <c r="B434" s="139"/>
      <c r="C434" s="140"/>
      <c r="D434" s="141"/>
      <c r="E434" s="141"/>
      <c r="F434" s="141"/>
      <c r="G434" s="141"/>
      <c r="H434" s="142"/>
      <c r="I434" s="141"/>
      <c r="J434" s="140"/>
      <c r="K434" s="141"/>
      <c r="L434" s="141"/>
      <c r="M434" s="142"/>
      <c r="N434" s="141"/>
      <c r="O434" s="140"/>
      <c r="P434" s="142"/>
      <c r="Q434" s="142"/>
      <c r="R434" s="142"/>
      <c r="S434" s="141"/>
      <c r="T434" s="140"/>
      <c r="U434" s="143"/>
      <c r="V434" s="142"/>
      <c r="W434" s="142"/>
      <c r="X434"/>
    </row>
    <row r="435" spans="1:24" s="149" customFormat="1" ht="15.5">
      <c r="A435" s="138"/>
      <c r="B435" s="144"/>
      <c r="C435" s="145"/>
      <c r="D435" s="146"/>
      <c r="E435" s="146"/>
      <c r="F435" s="146"/>
      <c r="G435" s="146"/>
      <c r="H435" s="332"/>
      <c r="I435" s="146"/>
      <c r="J435" s="145"/>
      <c r="K435" s="146"/>
      <c r="L435" s="146"/>
      <c r="M435" s="332"/>
      <c r="N435" s="146"/>
      <c r="O435" s="145"/>
      <c r="P435" s="332"/>
      <c r="Q435" s="332"/>
      <c r="R435" s="332"/>
      <c r="S435" s="146"/>
      <c r="T435" s="145"/>
      <c r="U435" s="148"/>
      <c r="V435" s="332"/>
      <c r="W435" s="332"/>
      <c r="X435"/>
    </row>
    <row r="436" spans="1:24" ht="15.5">
      <c r="A436" s="138"/>
      <c r="B436" s="133"/>
      <c r="C436" s="134"/>
      <c r="D436" s="135"/>
      <c r="E436" s="135"/>
      <c r="F436" s="135"/>
      <c r="G436" s="135"/>
      <c r="H436" s="136"/>
      <c r="I436" s="135"/>
      <c r="J436" s="134"/>
      <c r="K436" s="135"/>
      <c r="L436" s="135"/>
      <c r="M436" s="136"/>
      <c r="N436" s="135"/>
      <c r="O436" s="134"/>
      <c r="P436" s="136"/>
      <c r="Q436" s="136"/>
      <c r="R436" s="136"/>
      <c r="S436" s="135"/>
      <c r="T436" s="134"/>
      <c r="U436" s="137"/>
      <c r="V436" s="136"/>
      <c r="W436" s="136"/>
      <c r="X436"/>
    </row>
    <row r="437" spans="1:24" ht="15.5">
      <c r="A437" s="138"/>
      <c r="B437" s="139"/>
      <c r="C437" s="140"/>
      <c r="D437" s="141"/>
      <c r="E437" s="141"/>
      <c r="F437" s="141"/>
      <c r="G437" s="141"/>
      <c r="H437" s="142"/>
      <c r="I437" s="141"/>
      <c r="J437" s="140"/>
      <c r="K437" s="141"/>
      <c r="L437" s="141"/>
      <c r="M437" s="142"/>
      <c r="N437" s="141"/>
      <c r="O437" s="140"/>
      <c r="P437" s="142"/>
      <c r="Q437" s="142"/>
      <c r="R437" s="142"/>
      <c r="S437" s="141"/>
      <c r="T437" s="140"/>
      <c r="U437" s="143"/>
      <c r="V437" s="142"/>
      <c r="W437" s="142"/>
      <c r="X437"/>
    </row>
    <row r="438" spans="1:24" s="149" customFormat="1" ht="15.5">
      <c r="A438" s="138"/>
      <c r="B438" s="144"/>
      <c r="C438" s="145"/>
      <c r="D438" s="146"/>
      <c r="E438" s="146"/>
      <c r="F438" s="147"/>
      <c r="G438" s="146"/>
      <c r="H438" s="332"/>
      <c r="I438" s="146"/>
      <c r="J438" s="145"/>
      <c r="K438" s="146"/>
      <c r="L438" s="146"/>
      <c r="M438" s="332"/>
      <c r="N438" s="146"/>
      <c r="O438" s="145"/>
      <c r="P438" s="332"/>
      <c r="Q438" s="332"/>
      <c r="R438" s="332"/>
      <c r="S438" s="146"/>
      <c r="T438" s="145"/>
      <c r="U438" s="148"/>
      <c r="V438" s="332"/>
      <c r="W438" s="332"/>
      <c r="X438"/>
    </row>
    <row r="439" spans="1:24" ht="15.5">
      <c r="A439" s="138"/>
      <c r="B439" s="133"/>
      <c r="C439" s="134"/>
      <c r="D439" s="135"/>
      <c r="E439" s="135"/>
      <c r="F439" s="135"/>
      <c r="G439" s="135"/>
      <c r="H439" s="136"/>
      <c r="I439" s="135"/>
      <c r="J439" s="134"/>
      <c r="K439" s="135"/>
      <c r="L439" s="135"/>
      <c r="M439" s="136"/>
      <c r="N439" s="135"/>
      <c r="O439" s="134"/>
      <c r="P439" s="136"/>
      <c r="Q439" s="136"/>
      <c r="R439" s="136"/>
      <c r="S439" s="135"/>
      <c r="T439" s="134"/>
      <c r="U439" s="137"/>
      <c r="V439" s="136"/>
      <c r="W439" s="136"/>
      <c r="X439"/>
    </row>
    <row r="440" spans="1:24" ht="15.5">
      <c r="A440" s="138"/>
      <c r="B440" s="139"/>
      <c r="C440" s="140"/>
      <c r="D440" s="141"/>
      <c r="E440" s="141"/>
      <c r="F440" s="141"/>
      <c r="G440" s="141"/>
      <c r="H440" s="142"/>
      <c r="I440" s="141"/>
      <c r="J440" s="140"/>
      <c r="K440" s="141"/>
      <c r="L440" s="141"/>
      <c r="M440" s="142"/>
      <c r="N440" s="141"/>
      <c r="O440" s="140"/>
      <c r="P440" s="142"/>
      <c r="Q440" s="142"/>
      <c r="R440" s="142"/>
      <c r="S440" s="141"/>
      <c r="T440" s="140"/>
      <c r="U440" s="143"/>
      <c r="V440" s="142"/>
      <c r="W440" s="142"/>
      <c r="X440"/>
    </row>
    <row r="441" spans="1:24" s="149" customFormat="1" ht="15.5">
      <c r="A441" s="138"/>
      <c r="B441" s="144"/>
      <c r="C441" s="145"/>
      <c r="D441" s="146"/>
      <c r="E441" s="146"/>
      <c r="F441" s="146"/>
      <c r="G441" s="146"/>
      <c r="H441" s="332"/>
      <c r="I441" s="146"/>
      <c r="J441" s="145"/>
      <c r="K441" s="146"/>
      <c r="L441" s="146"/>
      <c r="M441" s="332"/>
      <c r="N441" s="146"/>
      <c r="O441" s="145"/>
      <c r="P441" s="332"/>
      <c r="Q441" s="332"/>
      <c r="R441" s="332"/>
      <c r="S441" s="146"/>
      <c r="T441" s="145"/>
      <c r="U441" s="148"/>
      <c r="V441" s="332"/>
      <c r="W441" s="332"/>
      <c r="X441"/>
    </row>
    <row r="442" spans="1:24" ht="15.5">
      <c r="A442" s="138"/>
      <c r="B442" s="133"/>
      <c r="C442" s="134"/>
      <c r="D442" s="135"/>
      <c r="E442" s="135"/>
      <c r="F442" s="135"/>
      <c r="G442" s="135"/>
      <c r="H442" s="136"/>
      <c r="I442" s="135"/>
      <c r="J442" s="134"/>
      <c r="K442" s="135"/>
      <c r="L442" s="135"/>
      <c r="M442" s="136"/>
      <c r="N442" s="135"/>
      <c r="O442" s="134"/>
      <c r="P442" s="136"/>
      <c r="Q442" s="136"/>
      <c r="R442" s="136"/>
      <c r="S442" s="135"/>
      <c r="T442" s="134"/>
      <c r="U442" s="137"/>
      <c r="V442" s="136"/>
      <c r="W442" s="136"/>
      <c r="X442"/>
    </row>
    <row r="443" spans="1:24" ht="15.5">
      <c r="A443" s="138"/>
      <c r="B443" s="139"/>
      <c r="C443" s="140"/>
      <c r="D443" s="141"/>
      <c r="E443" s="141"/>
      <c r="F443" s="141"/>
      <c r="G443" s="141"/>
      <c r="H443" s="142"/>
      <c r="I443" s="141"/>
      <c r="J443" s="140"/>
      <c r="K443" s="141"/>
      <c r="L443" s="141"/>
      <c r="M443" s="142"/>
      <c r="N443" s="141"/>
      <c r="O443" s="140"/>
      <c r="P443" s="142"/>
      <c r="Q443" s="142"/>
      <c r="R443" s="142"/>
      <c r="S443" s="141"/>
      <c r="T443" s="140"/>
      <c r="U443" s="143"/>
      <c r="V443" s="142"/>
      <c r="W443" s="142"/>
      <c r="X443"/>
    </row>
    <row r="444" spans="1:24" s="149" customFormat="1" ht="15.5">
      <c r="A444" s="138"/>
      <c r="B444" s="144"/>
      <c r="C444" s="156"/>
      <c r="D444" s="151"/>
      <c r="E444" s="146"/>
      <c r="F444" s="146"/>
      <c r="G444" s="146"/>
      <c r="H444" s="332"/>
      <c r="I444" s="146"/>
      <c r="J444" s="145"/>
      <c r="K444" s="146"/>
      <c r="L444" s="146"/>
      <c r="M444" s="332"/>
      <c r="N444" s="146"/>
      <c r="O444" s="145"/>
      <c r="P444" s="332"/>
      <c r="Q444" s="332"/>
      <c r="R444" s="332"/>
      <c r="S444" s="146"/>
      <c r="T444" s="145"/>
      <c r="U444" s="148"/>
      <c r="V444" s="332"/>
      <c r="W444" s="332"/>
      <c r="X444"/>
    </row>
    <row r="445" spans="1:24" ht="15.5">
      <c r="A445" s="138"/>
      <c r="B445" s="133"/>
      <c r="C445" s="134"/>
      <c r="D445" s="135"/>
      <c r="E445" s="135"/>
      <c r="F445" s="135"/>
      <c r="G445" s="135"/>
      <c r="H445" s="136"/>
      <c r="I445" s="135"/>
      <c r="J445" s="134"/>
      <c r="K445" s="135"/>
      <c r="L445" s="135"/>
      <c r="M445" s="136"/>
      <c r="N445" s="135"/>
      <c r="O445" s="134"/>
      <c r="P445" s="136"/>
      <c r="Q445" s="136"/>
      <c r="R445" s="136"/>
      <c r="S445" s="135"/>
      <c r="T445" s="134"/>
      <c r="U445" s="137"/>
      <c r="V445" s="136"/>
      <c r="W445" s="136"/>
      <c r="X445"/>
    </row>
    <row r="446" spans="1:24" ht="15.5">
      <c r="A446" s="138"/>
      <c r="B446" s="139"/>
      <c r="C446" s="140"/>
      <c r="D446" s="141"/>
      <c r="E446" s="141"/>
      <c r="F446" s="141"/>
      <c r="G446" s="141"/>
      <c r="H446" s="142"/>
      <c r="I446" s="141"/>
      <c r="J446" s="140"/>
      <c r="K446" s="141"/>
      <c r="L446" s="141"/>
      <c r="M446" s="142"/>
      <c r="N446" s="141"/>
      <c r="O446" s="140"/>
      <c r="P446" s="142"/>
      <c r="Q446" s="142"/>
      <c r="R446" s="142"/>
      <c r="S446" s="141"/>
      <c r="T446" s="140"/>
      <c r="U446" s="143"/>
      <c r="V446" s="142"/>
      <c r="W446" s="142"/>
      <c r="X446"/>
    </row>
    <row r="447" spans="1:24" s="149" customFormat="1" ht="15.5">
      <c r="A447" s="138"/>
      <c r="B447" s="144"/>
      <c r="C447" s="145"/>
      <c r="D447" s="146"/>
      <c r="E447" s="146"/>
      <c r="F447" s="146"/>
      <c r="G447" s="146"/>
      <c r="H447" s="332"/>
      <c r="I447" s="146"/>
      <c r="J447" s="145"/>
      <c r="K447" s="146"/>
      <c r="L447" s="146"/>
      <c r="M447" s="332"/>
      <c r="N447" s="146"/>
      <c r="O447" s="145"/>
      <c r="P447" s="332"/>
      <c r="Q447" s="332"/>
      <c r="R447" s="332"/>
      <c r="S447" s="146"/>
      <c r="T447" s="145"/>
      <c r="U447" s="148"/>
      <c r="V447" s="332"/>
      <c r="W447" s="332"/>
      <c r="X447"/>
    </row>
    <row r="448" spans="1:24" ht="15.5">
      <c r="A448" s="138"/>
      <c r="B448" s="133"/>
      <c r="C448" s="134"/>
      <c r="D448" s="135"/>
      <c r="E448" s="135"/>
      <c r="F448" s="141"/>
      <c r="G448" s="135"/>
      <c r="H448" s="136"/>
      <c r="I448" s="135"/>
      <c r="J448" s="134"/>
      <c r="K448" s="135"/>
      <c r="L448" s="135"/>
      <c r="M448" s="136"/>
      <c r="N448" s="135"/>
      <c r="O448" s="134"/>
      <c r="P448" s="136"/>
      <c r="Q448" s="136"/>
      <c r="R448" s="136"/>
      <c r="S448" s="135"/>
      <c r="T448" s="134"/>
      <c r="U448" s="137"/>
      <c r="V448" s="136"/>
      <c r="W448" s="136"/>
      <c r="X448"/>
    </row>
    <row r="449" spans="1:24" ht="15.5">
      <c r="A449" s="138"/>
      <c r="B449" s="139"/>
      <c r="C449" s="140"/>
      <c r="D449" s="141"/>
      <c r="E449" s="141"/>
      <c r="F449" s="141"/>
      <c r="G449" s="141"/>
      <c r="H449" s="142"/>
      <c r="I449" s="141"/>
      <c r="J449" s="140"/>
      <c r="K449" s="141"/>
      <c r="L449" s="141"/>
      <c r="M449" s="142"/>
      <c r="N449" s="141"/>
      <c r="O449" s="140"/>
      <c r="P449" s="142"/>
      <c r="Q449" s="142"/>
      <c r="R449" s="142"/>
      <c r="S449" s="141"/>
      <c r="T449" s="140"/>
      <c r="U449" s="143"/>
      <c r="V449" s="142"/>
      <c r="W449" s="142"/>
      <c r="X449"/>
    </row>
    <row r="450" spans="1:24" s="149" customFormat="1" ht="15.5">
      <c r="A450" s="138"/>
      <c r="B450" s="144"/>
      <c r="C450" s="145"/>
      <c r="D450" s="146"/>
      <c r="E450" s="146"/>
      <c r="F450" s="147"/>
      <c r="G450" s="146"/>
      <c r="H450" s="332"/>
      <c r="I450" s="146"/>
      <c r="J450" s="145"/>
      <c r="K450" s="146"/>
      <c r="L450" s="146"/>
      <c r="M450" s="332"/>
      <c r="N450" s="146"/>
      <c r="O450" s="145"/>
      <c r="P450" s="332"/>
      <c r="Q450" s="332"/>
      <c r="R450" s="332"/>
      <c r="S450" s="146"/>
      <c r="T450" s="145"/>
      <c r="U450" s="148"/>
      <c r="V450" s="332"/>
      <c r="W450" s="332"/>
      <c r="X450"/>
    </row>
    <row r="451" spans="1:24" ht="15.5">
      <c r="A451" s="138"/>
      <c r="B451" s="133"/>
      <c r="C451" s="134"/>
      <c r="D451" s="135"/>
      <c r="E451" s="141"/>
      <c r="F451" s="135"/>
      <c r="G451" s="135"/>
      <c r="H451" s="136"/>
      <c r="I451" s="135"/>
      <c r="J451" s="134"/>
      <c r="K451" s="135"/>
      <c r="L451" s="135"/>
      <c r="M451" s="136"/>
      <c r="N451" s="135"/>
      <c r="O451" s="134"/>
      <c r="P451" s="136"/>
      <c r="Q451" s="136"/>
      <c r="R451" s="136"/>
      <c r="S451" s="135"/>
      <c r="T451" s="134"/>
      <c r="U451" s="137"/>
      <c r="V451" s="136"/>
      <c r="W451" s="136"/>
      <c r="X451"/>
    </row>
    <row r="452" spans="1:24" ht="15.5">
      <c r="A452" s="138"/>
      <c r="B452" s="139"/>
      <c r="C452" s="140"/>
      <c r="D452" s="141"/>
      <c r="E452" s="141"/>
      <c r="F452" s="141"/>
      <c r="G452" s="141"/>
      <c r="H452" s="142"/>
      <c r="I452" s="141"/>
      <c r="J452" s="140"/>
      <c r="K452" s="141"/>
      <c r="L452" s="141"/>
      <c r="M452" s="142"/>
      <c r="N452" s="141"/>
      <c r="O452" s="140"/>
      <c r="P452" s="142"/>
      <c r="Q452" s="142"/>
      <c r="R452" s="142"/>
      <c r="S452" s="141"/>
      <c r="T452" s="140"/>
      <c r="U452" s="143"/>
      <c r="V452" s="142"/>
      <c r="W452" s="142"/>
      <c r="X452"/>
    </row>
    <row r="453" spans="1:24" s="149" customFormat="1" ht="15.5">
      <c r="A453" s="138"/>
      <c r="B453" s="144"/>
      <c r="C453" s="145"/>
      <c r="D453" s="147"/>
      <c r="E453" s="146"/>
      <c r="F453" s="146"/>
      <c r="G453" s="146"/>
      <c r="H453" s="332"/>
      <c r="I453" s="146"/>
      <c r="J453" s="145"/>
      <c r="K453" s="146"/>
      <c r="L453" s="146"/>
      <c r="M453" s="332"/>
      <c r="N453" s="146"/>
      <c r="O453" s="145"/>
      <c r="P453" s="332"/>
      <c r="Q453" s="332"/>
      <c r="R453" s="332"/>
      <c r="S453" s="146"/>
      <c r="T453" s="145"/>
      <c r="U453" s="148"/>
      <c r="V453" s="332"/>
      <c r="W453" s="332"/>
      <c r="X453"/>
    </row>
    <row r="454" spans="1:24" ht="15.5">
      <c r="A454" s="138"/>
      <c r="B454" s="133"/>
      <c r="C454" s="134"/>
      <c r="D454" s="135"/>
      <c r="E454" s="135"/>
      <c r="F454" s="135"/>
      <c r="G454" s="135"/>
      <c r="H454" s="136"/>
      <c r="I454" s="135"/>
      <c r="J454" s="134"/>
      <c r="K454" s="135"/>
      <c r="L454" s="135"/>
      <c r="M454" s="136"/>
      <c r="N454" s="135"/>
      <c r="O454" s="134"/>
      <c r="P454" s="136"/>
      <c r="Q454" s="136"/>
      <c r="R454" s="136"/>
      <c r="S454" s="135"/>
      <c r="T454" s="134"/>
      <c r="U454" s="137"/>
      <c r="V454" s="136"/>
      <c r="W454" s="136"/>
      <c r="X454"/>
    </row>
    <row r="455" spans="1:24" ht="15.5">
      <c r="A455" s="138"/>
      <c r="B455" s="139"/>
      <c r="C455" s="140"/>
      <c r="D455" s="141"/>
      <c r="E455" s="141"/>
      <c r="F455" s="141"/>
      <c r="G455" s="141"/>
      <c r="H455" s="142"/>
      <c r="I455" s="141"/>
      <c r="J455" s="140"/>
      <c r="K455" s="141"/>
      <c r="L455" s="141"/>
      <c r="M455" s="142"/>
      <c r="N455" s="141"/>
      <c r="O455" s="140"/>
      <c r="P455" s="142"/>
      <c r="Q455" s="142"/>
      <c r="R455" s="142"/>
      <c r="S455" s="141"/>
      <c r="T455" s="140"/>
      <c r="U455" s="143"/>
      <c r="V455" s="142"/>
      <c r="W455" s="142"/>
      <c r="X455"/>
    </row>
    <row r="456" spans="1:24" s="149" customFormat="1" ht="15.5">
      <c r="A456" s="138"/>
      <c r="B456" s="144"/>
      <c r="C456" s="145"/>
      <c r="D456" s="146"/>
      <c r="E456" s="146"/>
      <c r="F456" s="146"/>
      <c r="G456" s="146"/>
      <c r="H456" s="332"/>
      <c r="I456" s="146"/>
      <c r="J456" s="145"/>
      <c r="K456" s="146"/>
      <c r="L456" s="146"/>
      <c r="M456" s="332"/>
      <c r="N456" s="146"/>
      <c r="O456" s="145"/>
      <c r="P456" s="332"/>
      <c r="Q456" s="332"/>
      <c r="R456" s="332"/>
      <c r="S456" s="146"/>
      <c r="T456" s="145"/>
      <c r="U456" s="148"/>
      <c r="V456" s="332"/>
      <c r="W456" s="332"/>
      <c r="X456"/>
    </row>
    <row r="457" spans="1:24" ht="15.5">
      <c r="A457" s="138"/>
      <c r="B457" s="133"/>
      <c r="C457" s="134"/>
      <c r="D457" s="135"/>
      <c r="E457" s="135"/>
      <c r="F457" s="135"/>
      <c r="G457" s="135"/>
      <c r="H457" s="136"/>
      <c r="I457" s="135"/>
      <c r="J457" s="134"/>
      <c r="K457" s="135"/>
      <c r="L457" s="135"/>
      <c r="M457" s="136"/>
      <c r="N457" s="135"/>
      <c r="O457" s="134"/>
      <c r="P457" s="136"/>
      <c r="Q457" s="136"/>
      <c r="R457" s="136"/>
      <c r="S457" s="135"/>
      <c r="T457" s="134"/>
      <c r="U457" s="137"/>
      <c r="V457" s="136"/>
      <c r="W457" s="136"/>
      <c r="X457"/>
    </row>
    <row r="458" spans="1:24" ht="15.5">
      <c r="A458" s="138"/>
      <c r="B458" s="139"/>
      <c r="C458" s="140"/>
      <c r="D458" s="141"/>
      <c r="E458" s="141"/>
      <c r="F458" s="141"/>
      <c r="G458" s="141"/>
      <c r="H458" s="142"/>
      <c r="I458" s="141"/>
      <c r="J458" s="140"/>
      <c r="K458" s="141"/>
      <c r="L458" s="141"/>
      <c r="M458" s="142"/>
      <c r="N458" s="141"/>
      <c r="O458" s="140"/>
      <c r="P458" s="142"/>
      <c r="Q458" s="142"/>
      <c r="R458" s="142"/>
      <c r="S458" s="141"/>
      <c r="T458" s="140"/>
      <c r="U458" s="143"/>
      <c r="V458" s="142"/>
      <c r="W458" s="142"/>
      <c r="X458"/>
    </row>
    <row r="459" spans="1:24" s="149" customFormat="1" ht="15.5">
      <c r="A459" s="138"/>
      <c r="B459" s="144"/>
      <c r="C459" s="145"/>
      <c r="D459" s="146"/>
      <c r="E459" s="146"/>
      <c r="F459" s="146"/>
      <c r="G459" s="146"/>
      <c r="H459" s="332"/>
      <c r="I459" s="146"/>
      <c r="J459" s="145"/>
      <c r="K459" s="146"/>
      <c r="L459" s="146"/>
      <c r="M459" s="332"/>
      <c r="N459" s="146"/>
      <c r="O459" s="145"/>
      <c r="P459" s="332"/>
      <c r="Q459" s="332"/>
      <c r="R459" s="332"/>
      <c r="S459" s="146"/>
      <c r="T459" s="145"/>
      <c r="U459" s="148"/>
      <c r="V459" s="332"/>
      <c r="W459" s="332"/>
      <c r="X459"/>
    </row>
    <row r="460" spans="1:24" ht="15.5">
      <c r="A460" s="138"/>
      <c r="B460" s="133"/>
      <c r="C460" s="134"/>
      <c r="D460" s="135"/>
      <c r="E460" s="135"/>
      <c r="F460" s="135"/>
      <c r="G460" s="135"/>
      <c r="H460" s="136"/>
      <c r="I460" s="135"/>
      <c r="J460" s="134"/>
      <c r="K460" s="135"/>
      <c r="L460" s="135"/>
      <c r="M460" s="136"/>
      <c r="N460" s="135"/>
      <c r="O460" s="134"/>
      <c r="P460" s="136"/>
      <c r="Q460" s="136"/>
      <c r="R460" s="136"/>
      <c r="S460" s="135"/>
      <c r="T460" s="134"/>
      <c r="U460" s="137"/>
      <c r="V460" s="136"/>
      <c r="W460" s="136"/>
      <c r="X460"/>
    </row>
    <row r="461" spans="1:24" ht="15.5">
      <c r="A461" s="138"/>
      <c r="B461" s="139"/>
      <c r="C461" s="140"/>
      <c r="D461" s="141"/>
      <c r="E461" s="141"/>
      <c r="F461" s="141"/>
      <c r="G461" s="141"/>
      <c r="H461" s="142"/>
      <c r="I461" s="141"/>
      <c r="J461" s="140"/>
      <c r="K461" s="141"/>
      <c r="L461" s="141"/>
      <c r="M461" s="142"/>
      <c r="N461" s="141"/>
      <c r="O461" s="140"/>
      <c r="P461" s="142"/>
      <c r="Q461" s="142"/>
      <c r="R461" s="142"/>
      <c r="S461" s="141"/>
      <c r="T461" s="140"/>
      <c r="U461" s="143"/>
      <c r="V461" s="142"/>
      <c r="W461" s="142"/>
      <c r="X461"/>
    </row>
    <row r="462" spans="1:24" s="149" customFormat="1" ht="15.5">
      <c r="A462" s="138"/>
      <c r="B462" s="144"/>
      <c r="C462" s="145"/>
      <c r="D462" s="147"/>
      <c r="E462" s="146"/>
      <c r="F462" s="146"/>
      <c r="G462" s="146"/>
      <c r="H462" s="332"/>
      <c r="I462" s="146"/>
      <c r="J462" s="145"/>
      <c r="K462" s="146"/>
      <c r="L462" s="146"/>
      <c r="M462" s="332"/>
      <c r="N462" s="146"/>
      <c r="O462" s="145"/>
      <c r="P462" s="332"/>
      <c r="Q462" s="332"/>
      <c r="R462" s="332"/>
      <c r="S462" s="146"/>
      <c r="T462" s="145"/>
      <c r="U462" s="148"/>
      <c r="V462" s="332"/>
      <c r="W462" s="332"/>
      <c r="X462"/>
    </row>
    <row r="463" spans="1:24" ht="15.5">
      <c r="A463" s="138"/>
      <c r="B463" s="133"/>
      <c r="C463" s="134"/>
      <c r="D463" s="135"/>
      <c r="E463" s="135"/>
      <c r="F463" s="135"/>
      <c r="G463" s="135"/>
      <c r="H463" s="136"/>
      <c r="I463" s="135"/>
      <c r="J463" s="134"/>
      <c r="K463" s="135"/>
      <c r="L463" s="135"/>
      <c r="M463" s="136"/>
      <c r="N463" s="135"/>
      <c r="O463" s="134"/>
      <c r="P463" s="136"/>
      <c r="Q463" s="136"/>
      <c r="R463" s="136"/>
      <c r="S463" s="135"/>
      <c r="T463" s="134"/>
      <c r="U463" s="137"/>
      <c r="V463" s="136"/>
      <c r="W463" s="136"/>
      <c r="X463"/>
    </row>
    <row r="464" spans="1:24" ht="15.5">
      <c r="A464" s="138"/>
      <c r="B464" s="139"/>
      <c r="C464" s="140"/>
      <c r="D464" s="141"/>
      <c r="E464" s="141"/>
      <c r="F464" s="141"/>
      <c r="G464" s="141"/>
      <c r="H464" s="142"/>
      <c r="I464" s="141"/>
      <c r="J464" s="140"/>
      <c r="K464" s="141"/>
      <c r="L464" s="141"/>
      <c r="M464" s="142"/>
      <c r="N464" s="141"/>
      <c r="O464" s="140"/>
      <c r="P464" s="142"/>
      <c r="Q464" s="142"/>
      <c r="R464" s="142"/>
      <c r="S464" s="141"/>
      <c r="T464" s="140"/>
      <c r="U464" s="143"/>
      <c r="V464" s="142"/>
      <c r="W464" s="142"/>
      <c r="X464"/>
    </row>
    <row r="465" spans="1:24" s="149" customFormat="1" ht="15.5">
      <c r="A465" s="138"/>
      <c r="B465" s="144"/>
      <c r="C465" s="145"/>
      <c r="D465" s="146"/>
      <c r="E465" s="146"/>
      <c r="F465" s="146"/>
      <c r="G465" s="146"/>
      <c r="H465" s="332"/>
      <c r="I465" s="146"/>
      <c r="J465" s="145"/>
      <c r="K465" s="146"/>
      <c r="L465" s="146"/>
      <c r="M465" s="332"/>
      <c r="N465" s="146"/>
      <c r="O465" s="145"/>
      <c r="P465" s="332"/>
      <c r="Q465" s="332"/>
      <c r="R465" s="332"/>
      <c r="S465" s="146"/>
      <c r="T465" s="145"/>
      <c r="U465" s="148"/>
      <c r="V465" s="332"/>
      <c r="W465" s="332"/>
      <c r="X465"/>
    </row>
    <row r="466" spans="1:24" ht="15.5">
      <c r="A466" s="138"/>
      <c r="B466" s="133"/>
      <c r="C466" s="134"/>
      <c r="D466" s="135"/>
      <c r="E466" s="135"/>
      <c r="F466" s="135"/>
      <c r="G466" s="135"/>
      <c r="H466" s="136"/>
      <c r="I466" s="135"/>
      <c r="J466" s="134"/>
      <c r="K466" s="135"/>
      <c r="L466" s="135"/>
      <c r="M466" s="136"/>
      <c r="N466" s="135"/>
      <c r="O466" s="134"/>
      <c r="P466" s="136"/>
      <c r="Q466" s="136"/>
      <c r="R466" s="136"/>
      <c r="S466" s="135"/>
      <c r="T466" s="134"/>
      <c r="U466" s="137"/>
      <c r="V466" s="136"/>
      <c r="W466" s="136"/>
      <c r="X466"/>
    </row>
    <row r="467" spans="1:24" ht="15.5">
      <c r="A467" s="138"/>
      <c r="B467" s="139"/>
      <c r="C467" s="140"/>
      <c r="D467" s="141"/>
      <c r="E467" s="141"/>
      <c r="F467" s="141"/>
      <c r="G467" s="141"/>
      <c r="H467" s="142"/>
      <c r="I467" s="141"/>
      <c r="J467" s="140"/>
      <c r="K467" s="141"/>
      <c r="L467" s="141"/>
      <c r="M467" s="142"/>
      <c r="N467" s="141"/>
      <c r="O467" s="140"/>
      <c r="P467" s="142"/>
      <c r="Q467" s="142"/>
      <c r="R467" s="142"/>
      <c r="S467" s="141"/>
      <c r="T467" s="140"/>
      <c r="U467" s="143"/>
      <c r="V467" s="142"/>
      <c r="W467" s="142"/>
      <c r="X467"/>
    </row>
    <row r="468" spans="1:24" s="149" customFormat="1" ht="15.5">
      <c r="A468" s="138"/>
      <c r="B468" s="144"/>
      <c r="C468" s="145"/>
      <c r="D468" s="146"/>
      <c r="E468" s="146"/>
      <c r="F468" s="146"/>
      <c r="G468" s="146"/>
      <c r="H468" s="332"/>
      <c r="I468" s="146"/>
      <c r="J468" s="145"/>
      <c r="K468" s="146"/>
      <c r="L468" s="146"/>
      <c r="M468" s="332"/>
      <c r="N468" s="146"/>
      <c r="O468" s="145"/>
      <c r="P468" s="332"/>
      <c r="Q468" s="332"/>
      <c r="R468" s="332"/>
      <c r="S468" s="146"/>
      <c r="T468" s="145"/>
      <c r="U468" s="148"/>
      <c r="V468" s="332"/>
      <c r="W468" s="332"/>
      <c r="X468"/>
    </row>
    <row r="469" spans="1:24" ht="15.5">
      <c r="A469" s="138"/>
      <c r="B469" s="133"/>
      <c r="C469" s="134"/>
      <c r="D469" s="135"/>
      <c r="E469" s="135"/>
      <c r="F469" s="135"/>
      <c r="G469" s="135"/>
      <c r="H469" s="136"/>
      <c r="I469" s="135"/>
      <c r="J469" s="134"/>
      <c r="K469" s="135"/>
      <c r="L469" s="135"/>
      <c r="M469" s="136"/>
      <c r="N469" s="135"/>
      <c r="O469" s="134"/>
      <c r="P469" s="136"/>
      <c r="Q469" s="136"/>
      <c r="R469" s="136"/>
      <c r="S469" s="135"/>
      <c r="T469" s="134"/>
      <c r="U469" s="137"/>
      <c r="V469" s="136"/>
      <c r="W469" s="136"/>
      <c r="X469"/>
    </row>
    <row r="470" spans="1:24" ht="15.5">
      <c r="A470" s="138"/>
      <c r="B470" s="139"/>
      <c r="C470" s="140"/>
      <c r="D470" s="141"/>
      <c r="E470" s="141"/>
      <c r="F470" s="141"/>
      <c r="G470" s="141"/>
      <c r="H470" s="142"/>
      <c r="I470" s="141"/>
      <c r="J470" s="140"/>
      <c r="K470" s="141"/>
      <c r="L470" s="141"/>
      <c r="M470" s="142"/>
      <c r="N470" s="141"/>
      <c r="O470" s="140"/>
      <c r="P470" s="142"/>
      <c r="Q470" s="142"/>
      <c r="R470" s="142"/>
      <c r="S470" s="141"/>
      <c r="T470" s="140"/>
      <c r="U470" s="143"/>
      <c r="V470" s="142"/>
      <c r="W470" s="142"/>
      <c r="X470"/>
    </row>
    <row r="471" spans="1:24" s="149" customFormat="1" ht="15.5">
      <c r="A471" s="138"/>
      <c r="B471" s="144"/>
      <c r="C471" s="145"/>
      <c r="D471" s="146"/>
      <c r="E471" s="146"/>
      <c r="F471" s="146"/>
      <c r="G471" s="146"/>
      <c r="H471" s="332"/>
      <c r="I471" s="146"/>
      <c r="J471" s="145"/>
      <c r="K471" s="146"/>
      <c r="L471" s="146"/>
      <c r="M471" s="332"/>
      <c r="N471" s="146"/>
      <c r="O471" s="145"/>
      <c r="P471" s="332"/>
      <c r="Q471" s="332"/>
      <c r="R471" s="332"/>
      <c r="S471" s="146"/>
      <c r="T471" s="145"/>
      <c r="U471" s="148"/>
      <c r="V471" s="332"/>
      <c r="W471" s="332"/>
      <c r="X471"/>
    </row>
    <row r="472" spans="1:24" ht="15.5">
      <c r="A472" s="138"/>
      <c r="B472" s="133"/>
      <c r="C472" s="134"/>
      <c r="D472" s="135"/>
      <c r="E472" s="135"/>
      <c r="F472" s="135"/>
      <c r="G472" s="135"/>
      <c r="H472" s="136"/>
      <c r="I472" s="135"/>
      <c r="J472" s="134"/>
      <c r="K472" s="135"/>
      <c r="L472" s="135"/>
      <c r="M472" s="136"/>
      <c r="N472" s="135"/>
      <c r="O472" s="134"/>
      <c r="P472" s="136"/>
      <c r="Q472" s="136"/>
      <c r="R472" s="136"/>
      <c r="S472" s="135"/>
      <c r="T472" s="134"/>
      <c r="U472" s="137"/>
      <c r="V472" s="136"/>
      <c r="W472" s="136"/>
      <c r="X472"/>
    </row>
    <row r="473" spans="1:24" ht="15.5">
      <c r="A473" s="138"/>
      <c r="B473" s="139"/>
      <c r="C473" s="140"/>
      <c r="D473" s="141"/>
      <c r="E473" s="141"/>
      <c r="F473" s="141"/>
      <c r="G473" s="141"/>
      <c r="H473" s="142"/>
      <c r="I473" s="141"/>
      <c r="J473" s="140"/>
      <c r="K473" s="141"/>
      <c r="L473" s="141"/>
      <c r="M473" s="142"/>
      <c r="N473" s="141"/>
      <c r="O473" s="140"/>
      <c r="P473" s="142"/>
      <c r="Q473" s="142"/>
      <c r="R473" s="142"/>
      <c r="S473" s="141"/>
      <c r="T473" s="140"/>
      <c r="U473" s="143"/>
      <c r="V473" s="142"/>
      <c r="W473" s="142"/>
      <c r="X473"/>
    </row>
    <row r="474" spans="1:24" s="149" customFormat="1" ht="15.5">
      <c r="A474" s="138"/>
      <c r="B474" s="144"/>
      <c r="C474" s="145"/>
      <c r="D474" s="146"/>
      <c r="E474" s="146"/>
      <c r="F474" s="146"/>
      <c r="G474" s="146"/>
      <c r="H474" s="332"/>
      <c r="I474" s="146"/>
      <c r="J474" s="145"/>
      <c r="K474" s="146"/>
      <c r="L474" s="146"/>
      <c r="M474" s="332"/>
      <c r="N474" s="146"/>
      <c r="O474" s="145"/>
      <c r="P474" s="332"/>
      <c r="Q474" s="332"/>
      <c r="R474" s="332"/>
      <c r="S474" s="146"/>
      <c r="T474" s="145"/>
      <c r="U474" s="148"/>
      <c r="V474" s="332"/>
      <c r="W474" s="332"/>
      <c r="X474"/>
    </row>
    <row r="475" spans="1:24" ht="15.5">
      <c r="A475" s="138"/>
      <c r="B475" s="133"/>
      <c r="C475" s="134"/>
      <c r="D475" s="135"/>
      <c r="E475" s="135"/>
      <c r="F475" s="135"/>
      <c r="G475" s="135"/>
      <c r="H475" s="136"/>
      <c r="I475" s="135"/>
      <c r="J475" s="134"/>
      <c r="K475" s="135"/>
      <c r="L475" s="135"/>
      <c r="M475" s="136"/>
      <c r="N475" s="135"/>
      <c r="O475" s="134"/>
      <c r="P475" s="136"/>
      <c r="Q475" s="136"/>
      <c r="R475" s="136"/>
      <c r="S475" s="135"/>
      <c r="T475" s="134"/>
      <c r="U475" s="137"/>
      <c r="V475" s="136"/>
      <c r="W475" s="136"/>
      <c r="X475"/>
    </row>
    <row r="476" spans="1:24" ht="15.5">
      <c r="A476" s="138"/>
      <c r="B476" s="139"/>
      <c r="C476" s="140"/>
      <c r="D476" s="141"/>
      <c r="E476" s="141"/>
      <c r="F476" s="141"/>
      <c r="G476" s="141"/>
      <c r="H476" s="142"/>
      <c r="I476" s="141"/>
      <c r="J476" s="140"/>
      <c r="K476" s="141"/>
      <c r="L476" s="141"/>
      <c r="M476" s="142"/>
      <c r="N476" s="141"/>
      <c r="O476" s="140"/>
      <c r="P476" s="142"/>
      <c r="Q476" s="142"/>
      <c r="R476" s="142"/>
      <c r="S476" s="141"/>
      <c r="T476" s="140"/>
      <c r="U476" s="143"/>
      <c r="V476" s="142"/>
      <c r="W476" s="142"/>
      <c r="X476"/>
    </row>
    <row r="477" spans="1:24" s="149" customFormat="1" ht="15.5">
      <c r="A477" s="138"/>
      <c r="B477" s="144"/>
      <c r="C477" s="145"/>
      <c r="D477" s="146"/>
      <c r="E477" s="146"/>
      <c r="F477" s="146"/>
      <c r="G477" s="146"/>
      <c r="H477" s="332"/>
      <c r="I477" s="146"/>
      <c r="J477" s="145"/>
      <c r="K477" s="146"/>
      <c r="L477" s="146"/>
      <c r="M477" s="332"/>
      <c r="N477" s="146"/>
      <c r="O477" s="145"/>
      <c r="P477" s="332"/>
      <c r="Q477" s="332"/>
      <c r="R477" s="332"/>
      <c r="S477" s="146"/>
      <c r="T477" s="145"/>
      <c r="U477" s="148"/>
      <c r="V477" s="332"/>
      <c r="W477" s="332"/>
      <c r="X477"/>
    </row>
    <row r="478" spans="1:24" ht="15.5">
      <c r="A478" s="138"/>
      <c r="B478" s="133"/>
      <c r="C478" s="134"/>
      <c r="D478" s="135"/>
      <c r="E478" s="135"/>
      <c r="F478" s="135"/>
      <c r="G478" s="135"/>
      <c r="H478" s="136"/>
      <c r="I478" s="135"/>
      <c r="J478" s="134"/>
      <c r="K478" s="135"/>
      <c r="L478" s="135"/>
      <c r="M478" s="136"/>
      <c r="N478" s="135"/>
      <c r="O478" s="134"/>
      <c r="P478" s="136"/>
      <c r="Q478" s="136"/>
      <c r="R478" s="136"/>
      <c r="S478" s="135"/>
      <c r="T478" s="134"/>
      <c r="U478" s="137"/>
      <c r="V478" s="136"/>
      <c r="W478" s="136"/>
      <c r="X478"/>
    </row>
    <row r="479" spans="1:24" ht="15.5">
      <c r="A479" s="138"/>
      <c r="B479" s="139"/>
      <c r="C479" s="140"/>
      <c r="D479" s="141"/>
      <c r="E479" s="141"/>
      <c r="F479" s="141"/>
      <c r="G479" s="141"/>
      <c r="H479" s="142"/>
      <c r="I479" s="141"/>
      <c r="J479" s="140"/>
      <c r="K479" s="141"/>
      <c r="L479" s="141"/>
      <c r="M479" s="142"/>
      <c r="N479" s="141"/>
      <c r="O479" s="140"/>
      <c r="P479" s="142"/>
      <c r="Q479" s="142"/>
      <c r="R479" s="142"/>
      <c r="S479" s="141"/>
      <c r="T479" s="140"/>
      <c r="U479" s="143"/>
      <c r="V479" s="142"/>
      <c r="W479" s="142"/>
      <c r="X479"/>
    </row>
    <row r="480" spans="1:24" s="149" customFormat="1" ht="15.5">
      <c r="A480" s="138"/>
      <c r="B480" s="144"/>
      <c r="C480" s="146"/>
      <c r="D480" s="146"/>
      <c r="E480" s="146"/>
      <c r="F480" s="146"/>
      <c r="G480" s="146"/>
      <c r="H480" s="332"/>
      <c r="I480" s="146"/>
      <c r="J480" s="145"/>
      <c r="K480" s="146"/>
      <c r="L480" s="146"/>
      <c r="M480" s="332"/>
      <c r="N480" s="146"/>
      <c r="O480" s="145"/>
      <c r="P480" s="332"/>
      <c r="Q480" s="332"/>
      <c r="R480" s="332"/>
      <c r="S480" s="146"/>
      <c r="T480" s="145"/>
      <c r="U480" s="148"/>
      <c r="V480" s="332"/>
      <c r="W480" s="332"/>
      <c r="X480"/>
    </row>
    <row r="481" spans="1:24" ht="15.5">
      <c r="A481" s="138"/>
      <c r="B481" s="133"/>
      <c r="C481" s="140"/>
      <c r="D481" s="135"/>
      <c r="E481" s="141"/>
      <c r="F481" s="135"/>
      <c r="G481" s="135"/>
      <c r="H481" s="136"/>
      <c r="I481" s="135"/>
      <c r="J481" s="134"/>
      <c r="K481" s="135"/>
      <c r="L481" s="135"/>
      <c r="M481" s="136"/>
      <c r="N481" s="135"/>
      <c r="O481" s="134"/>
      <c r="P481" s="136"/>
      <c r="Q481" s="136"/>
      <c r="R481" s="136"/>
      <c r="S481" s="135"/>
      <c r="T481" s="134"/>
      <c r="U481" s="137"/>
      <c r="V481" s="136"/>
      <c r="W481" s="136"/>
      <c r="X481"/>
    </row>
    <row r="482" spans="1:24" s="149" customFormat="1" ht="15.5">
      <c r="A482" s="153"/>
      <c r="B482" s="139"/>
      <c r="C482" s="140"/>
      <c r="D482" s="141"/>
      <c r="E482" s="141"/>
      <c r="F482" s="141"/>
      <c r="G482" s="141"/>
      <c r="H482" s="142"/>
      <c r="I482" s="141"/>
      <c r="J482" s="140"/>
      <c r="K482" s="141"/>
      <c r="L482" s="141"/>
      <c r="M482" s="142"/>
      <c r="N482" s="141"/>
      <c r="O482" s="140"/>
      <c r="P482" s="142"/>
      <c r="Q482" s="142"/>
      <c r="R482" s="142"/>
      <c r="S482" s="141"/>
      <c r="T482" s="140"/>
      <c r="U482" s="143"/>
      <c r="V482" s="142"/>
      <c r="W482" s="142"/>
      <c r="X482"/>
    </row>
    <row r="483" spans="1:24" ht="15.5">
      <c r="A483" s="132"/>
      <c r="B483" s="133"/>
      <c r="C483" s="134"/>
      <c r="D483" s="135"/>
      <c r="E483" s="135"/>
      <c r="F483" s="135"/>
      <c r="G483" s="135"/>
      <c r="H483" s="136"/>
      <c r="I483" s="135"/>
      <c r="J483" s="134"/>
      <c r="K483" s="135"/>
      <c r="L483" s="135"/>
      <c r="M483" s="136"/>
      <c r="N483" s="135"/>
      <c r="O483" s="134"/>
      <c r="P483" s="136"/>
      <c r="Q483" s="136"/>
      <c r="R483" s="136"/>
      <c r="S483" s="135"/>
      <c r="T483" s="134"/>
      <c r="U483" s="137"/>
      <c r="V483" s="136"/>
      <c r="W483" s="136"/>
      <c r="X483"/>
    </row>
    <row r="484" spans="1:24" ht="15.5">
      <c r="A484" s="138"/>
      <c r="B484" s="139"/>
      <c r="C484" s="140"/>
      <c r="D484" s="141"/>
      <c r="E484" s="141"/>
      <c r="F484" s="141"/>
      <c r="G484" s="141"/>
      <c r="H484" s="142"/>
      <c r="I484" s="141"/>
      <c r="J484" s="140"/>
      <c r="K484" s="141"/>
      <c r="L484" s="141"/>
      <c r="M484" s="142"/>
      <c r="N484" s="141"/>
      <c r="O484" s="140"/>
      <c r="P484" s="142"/>
      <c r="Q484" s="142"/>
      <c r="R484" s="142"/>
      <c r="S484" s="141"/>
      <c r="T484" s="140"/>
      <c r="U484" s="143"/>
      <c r="V484" s="142"/>
      <c r="W484" s="142"/>
      <c r="X484"/>
    </row>
    <row r="485" spans="1:24" s="149" customFormat="1" ht="15.5">
      <c r="A485" s="138"/>
      <c r="B485" s="144"/>
      <c r="C485" s="145"/>
      <c r="D485" s="146"/>
      <c r="E485" s="146"/>
      <c r="F485" s="146"/>
      <c r="G485" s="146"/>
      <c r="H485" s="332"/>
      <c r="I485" s="146"/>
      <c r="J485" s="145"/>
      <c r="K485" s="146"/>
      <c r="L485" s="147"/>
      <c r="M485" s="332"/>
      <c r="N485" s="146"/>
      <c r="O485" s="145"/>
      <c r="P485" s="332"/>
      <c r="Q485" s="332"/>
      <c r="R485" s="146"/>
      <c r="S485" s="148"/>
      <c r="T485" s="146"/>
      <c r="U485" s="148"/>
      <c r="V485" s="332"/>
      <c r="W485" s="332"/>
      <c r="X485"/>
    </row>
    <row r="486" spans="1:24" ht="15.5">
      <c r="A486" s="138"/>
      <c r="B486" s="133"/>
      <c r="C486" s="134"/>
      <c r="D486" s="141"/>
      <c r="E486" s="141"/>
      <c r="F486" s="135"/>
      <c r="G486" s="135"/>
      <c r="H486" s="136"/>
      <c r="I486" s="135"/>
      <c r="J486" s="134"/>
      <c r="K486" s="135"/>
      <c r="L486" s="141"/>
      <c r="M486" s="136"/>
      <c r="N486" s="135"/>
      <c r="O486" s="134"/>
      <c r="P486" s="136"/>
      <c r="Q486" s="136"/>
      <c r="R486" s="136"/>
      <c r="S486" s="141"/>
      <c r="T486" s="134"/>
      <c r="U486" s="137"/>
      <c r="V486" s="136"/>
      <c r="W486" s="136"/>
      <c r="X486"/>
    </row>
    <row r="487" spans="1:24" ht="15.5">
      <c r="A487" s="138"/>
      <c r="B487" s="139"/>
      <c r="C487" s="140"/>
      <c r="D487" s="141"/>
      <c r="E487" s="141"/>
      <c r="F487" s="141"/>
      <c r="G487" s="141"/>
      <c r="H487" s="142"/>
      <c r="I487" s="141"/>
      <c r="J487" s="140"/>
      <c r="K487" s="141"/>
      <c r="L487" s="141"/>
      <c r="M487" s="142"/>
      <c r="N487" s="141"/>
      <c r="O487" s="140"/>
      <c r="P487" s="142"/>
      <c r="Q487" s="142"/>
      <c r="R487" s="142"/>
      <c r="S487" s="141"/>
      <c r="T487" s="140"/>
      <c r="U487" s="143"/>
      <c r="V487" s="142"/>
      <c r="W487" s="142"/>
      <c r="X487"/>
    </row>
    <row r="488" spans="1:24" s="149" customFormat="1" ht="15.5">
      <c r="A488" s="138"/>
      <c r="B488" s="144"/>
      <c r="C488" s="145"/>
      <c r="D488" s="146"/>
      <c r="E488" s="146"/>
      <c r="F488" s="146"/>
      <c r="G488" s="146"/>
      <c r="H488" s="332"/>
      <c r="I488" s="146"/>
      <c r="J488" s="145"/>
      <c r="K488" s="146"/>
      <c r="L488" s="146"/>
      <c r="M488" s="332"/>
      <c r="N488" s="146"/>
      <c r="O488" s="145"/>
      <c r="P488" s="332"/>
      <c r="Q488" s="332"/>
      <c r="R488" s="332"/>
      <c r="S488" s="146"/>
      <c r="T488" s="145"/>
      <c r="U488" s="148"/>
      <c r="V488" s="332"/>
      <c r="W488" s="332"/>
      <c r="X488"/>
    </row>
    <row r="489" spans="1:24" ht="15.5">
      <c r="A489" s="138"/>
      <c r="B489" s="133"/>
      <c r="C489" s="134"/>
      <c r="D489" s="135"/>
      <c r="E489" s="135"/>
      <c r="F489" s="135"/>
      <c r="G489" s="135"/>
      <c r="H489" s="136"/>
      <c r="I489" s="135"/>
      <c r="J489" s="134"/>
      <c r="K489" s="135"/>
      <c r="L489" s="135"/>
      <c r="M489" s="136"/>
      <c r="N489" s="135"/>
      <c r="O489" s="134"/>
      <c r="P489" s="136"/>
      <c r="Q489" s="136"/>
      <c r="R489" s="136"/>
      <c r="S489" s="135"/>
      <c r="T489" s="134"/>
      <c r="U489" s="137"/>
      <c r="V489" s="136"/>
      <c r="W489" s="136"/>
      <c r="X489"/>
    </row>
    <row r="490" spans="1:24" ht="15.5">
      <c r="A490" s="138"/>
      <c r="B490" s="139"/>
      <c r="C490" s="140"/>
      <c r="D490" s="141"/>
      <c r="E490" s="141"/>
      <c r="F490" s="141"/>
      <c r="G490" s="141"/>
      <c r="H490" s="142"/>
      <c r="I490" s="141"/>
      <c r="J490" s="140"/>
      <c r="K490" s="141"/>
      <c r="L490" s="141"/>
      <c r="M490" s="142"/>
      <c r="N490" s="141"/>
      <c r="O490" s="140"/>
      <c r="P490" s="142"/>
      <c r="Q490" s="142"/>
      <c r="R490" s="142"/>
      <c r="S490" s="141"/>
      <c r="T490" s="140"/>
      <c r="U490" s="143"/>
      <c r="V490" s="142"/>
      <c r="W490" s="142"/>
      <c r="X490"/>
    </row>
    <row r="491" spans="1:24" s="149" customFormat="1" ht="15.5">
      <c r="A491" s="138"/>
      <c r="B491" s="144"/>
      <c r="C491" s="145"/>
      <c r="D491" s="146"/>
      <c r="E491" s="146"/>
      <c r="F491" s="146"/>
      <c r="G491" s="146"/>
      <c r="H491" s="332"/>
      <c r="I491" s="146"/>
      <c r="J491" s="145"/>
      <c r="K491" s="146"/>
      <c r="L491" s="146"/>
      <c r="M491" s="332"/>
      <c r="N491" s="146"/>
      <c r="O491" s="145"/>
      <c r="P491" s="332"/>
      <c r="Q491" s="332"/>
      <c r="R491" s="332"/>
      <c r="S491" s="146"/>
      <c r="T491" s="145"/>
      <c r="U491" s="148"/>
      <c r="V491" s="332"/>
      <c r="W491" s="332"/>
      <c r="X491"/>
    </row>
    <row r="492" spans="1:24" ht="15.5">
      <c r="A492" s="138"/>
      <c r="B492" s="133"/>
      <c r="C492" s="134"/>
      <c r="D492" s="135"/>
      <c r="E492" s="135"/>
      <c r="F492" s="135"/>
      <c r="G492" s="135"/>
      <c r="H492" s="136"/>
      <c r="I492" s="135"/>
      <c r="J492" s="134"/>
      <c r="K492" s="135"/>
      <c r="L492" s="135"/>
      <c r="M492" s="136"/>
      <c r="N492" s="135"/>
      <c r="O492" s="134"/>
      <c r="P492" s="136"/>
      <c r="Q492" s="136"/>
      <c r="R492" s="136"/>
      <c r="S492" s="135"/>
      <c r="T492" s="134"/>
      <c r="U492" s="137"/>
      <c r="V492" s="136"/>
      <c r="W492" s="136"/>
      <c r="X492"/>
    </row>
    <row r="493" spans="1:24" ht="15.5">
      <c r="A493" s="138"/>
      <c r="B493" s="139"/>
      <c r="C493" s="140"/>
      <c r="D493" s="141"/>
      <c r="E493" s="141"/>
      <c r="F493" s="141"/>
      <c r="G493" s="141"/>
      <c r="H493" s="142"/>
      <c r="I493" s="141"/>
      <c r="J493" s="140"/>
      <c r="K493" s="141"/>
      <c r="L493" s="141"/>
      <c r="M493" s="142"/>
      <c r="N493" s="141"/>
      <c r="O493" s="140"/>
      <c r="P493" s="142"/>
      <c r="Q493" s="142"/>
      <c r="R493" s="142"/>
      <c r="S493" s="141"/>
      <c r="T493" s="140"/>
      <c r="U493" s="143"/>
      <c r="V493" s="142"/>
      <c r="W493" s="142"/>
      <c r="X493"/>
    </row>
    <row r="494" spans="1:24" s="149" customFormat="1" ht="15.5">
      <c r="A494" s="138"/>
      <c r="B494" s="144"/>
      <c r="C494" s="145"/>
      <c r="D494" s="146"/>
      <c r="E494" s="146"/>
      <c r="F494" s="146"/>
      <c r="G494" s="146"/>
      <c r="H494" s="332"/>
      <c r="I494" s="146"/>
      <c r="J494" s="145"/>
      <c r="K494" s="146"/>
      <c r="L494" s="146"/>
      <c r="M494" s="332"/>
      <c r="N494" s="146"/>
      <c r="O494" s="145"/>
      <c r="P494" s="332"/>
      <c r="Q494" s="332"/>
      <c r="R494" s="332"/>
      <c r="S494" s="146"/>
      <c r="T494" s="145"/>
      <c r="U494" s="148"/>
      <c r="V494" s="332"/>
      <c r="W494" s="332"/>
      <c r="X494"/>
    </row>
    <row r="495" spans="1:24" ht="15.5">
      <c r="A495" s="138"/>
      <c r="B495" s="133"/>
      <c r="C495" s="134"/>
      <c r="D495" s="135"/>
      <c r="E495" s="135"/>
      <c r="F495" s="135"/>
      <c r="G495" s="135"/>
      <c r="H495" s="136"/>
      <c r="I495" s="135"/>
      <c r="J495" s="134"/>
      <c r="K495" s="135"/>
      <c r="L495" s="135"/>
      <c r="M495" s="136"/>
      <c r="N495" s="135"/>
      <c r="O495" s="134"/>
      <c r="P495" s="136"/>
      <c r="Q495" s="136"/>
      <c r="R495" s="136"/>
      <c r="S495" s="135"/>
      <c r="T495" s="134"/>
      <c r="U495" s="137"/>
      <c r="V495" s="136"/>
      <c r="W495" s="136"/>
      <c r="X495"/>
    </row>
    <row r="496" spans="1:24" ht="15.5">
      <c r="A496" s="138"/>
      <c r="B496" s="139"/>
      <c r="C496" s="140"/>
      <c r="D496" s="141"/>
      <c r="E496" s="141"/>
      <c r="F496" s="157"/>
      <c r="G496" s="141"/>
      <c r="H496" s="142"/>
      <c r="I496" s="141"/>
      <c r="J496" s="140"/>
      <c r="K496" s="141"/>
      <c r="L496" s="141"/>
      <c r="M496" s="142"/>
      <c r="N496" s="141"/>
      <c r="O496" s="140"/>
      <c r="P496" s="142"/>
      <c r="Q496" s="142"/>
      <c r="R496" s="142"/>
      <c r="S496" s="141"/>
      <c r="T496" s="140"/>
      <c r="U496" s="143"/>
      <c r="V496" s="142"/>
      <c r="W496" s="142"/>
      <c r="X496"/>
    </row>
    <row r="497" spans="1:24" s="149" customFormat="1" ht="15.5">
      <c r="A497" s="138"/>
      <c r="B497" s="144"/>
      <c r="C497" s="156"/>
      <c r="D497" s="154"/>
      <c r="E497" s="146"/>
      <c r="F497" s="146"/>
      <c r="G497" s="146"/>
      <c r="H497" s="332"/>
      <c r="I497" s="146"/>
      <c r="J497" s="145"/>
      <c r="K497" s="146"/>
      <c r="L497" s="146"/>
      <c r="M497" s="332"/>
      <c r="N497" s="146"/>
      <c r="O497" s="145"/>
      <c r="P497" s="332"/>
      <c r="Q497" s="332"/>
      <c r="R497" s="332"/>
      <c r="S497" s="146"/>
      <c r="T497" s="145"/>
      <c r="U497" s="148"/>
      <c r="V497" s="332"/>
      <c r="W497" s="332"/>
      <c r="X497"/>
    </row>
    <row r="498" spans="1:24" ht="15.5">
      <c r="A498" s="138"/>
      <c r="B498" s="133"/>
      <c r="C498" s="134"/>
      <c r="D498" s="135"/>
      <c r="E498" s="135"/>
      <c r="F498" s="135"/>
      <c r="G498" s="135"/>
      <c r="H498" s="136"/>
      <c r="I498" s="135"/>
      <c r="J498" s="134"/>
      <c r="K498" s="135"/>
      <c r="L498" s="135"/>
      <c r="M498" s="136"/>
      <c r="N498" s="135"/>
      <c r="O498" s="134"/>
      <c r="P498" s="136"/>
      <c r="Q498" s="136"/>
      <c r="R498" s="136"/>
      <c r="S498" s="135"/>
      <c r="T498" s="134"/>
      <c r="U498" s="137"/>
      <c r="V498" s="136"/>
      <c r="W498" s="136"/>
      <c r="X498"/>
    </row>
    <row r="499" spans="1:24" ht="15.5">
      <c r="A499" s="138"/>
      <c r="B499" s="139"/>
      <c r="C499" s="140"/>
      <c r="D499" s="141"/>
      <c r="E499" s="141"/>
      <c r="F499" s="141"/>
      <c r="G499" s="141"/>
      <c r="H499" s="142"/>
      <c r="I499" s="141"/>
      <c r="J499" s="140"/>
      <c r="K499" s="141"/>
      <c r="L499" s="141"/>
      <c r="M499" s="142"/>
      <c r="N499" s="141"/>
      <c r="O499" s="140"/>
      <c r="P499" s="142"/>
      <c r="Q499" s="142"/>
      <c r="R499" s="142"/>
      <c r="S499" s="141"/>
      <c r="T499" s="140"/>
      <c r="U499" s="143"/>
      <c r="V499" s="142"/>
      <c r="W499" s="142"/>
      <c r="X499"/>
    </row>
    <row r="500" spans="1:24" s="149" customFormat="1" ht="15.5">
      <c r="A500" s="138"/>
      <c r="B500" s="144"/>
      <c r="C500" s="145"/>
      <c r="D500" s="146"/>
      <c r="E500" s="146"/>
      <c r="F500" s="146"/>
      <c r="G500" s="146"/>
      <c r="H500" s="333"/>
      <c r="I500" s="146"/>
      <c r="J500" s="145"/>
      <c r="K500" s="146"/>
      <c r="L500" s="146"/>
      <c r="M500" s="332"/>
      <c r="N500" s="146"/>
      <c r="O500" s="145"/>
      <c r="P500" s="332"/>
      <c r="Q500" s="332"/>
      <c r="R500" s="332"/>
      <c r="S500" s="147"/>
      <c r="T500" s="145"/>
      <c r="U500" s="148"/>
      <c r="V500" s="332"/>
      <c r="W500" s="332"/>
      <c r="X500"/>
    </row>
    <row r="501" spans="1:24" ht="15.5">
      <c r="A501" s="138"/>
      <c r="B501" s="133"/>
      <c r="C501" s="134"/>
      <c r="D501" s="135"/>
      <c r="E501" s="135"/>
      <c r="F501" s="141"/>
      <c r="G501" s="135"/>
      <c r="H501" s="136"/>
      <c r="I501" s="135"/>
      <c r="J501" s="134"/>
      <c r="K501" s="135"/>
      <c r="L501" s="135"/>
      <c r="M501" s="136"/>
      <c r="N501" s="135"/>
      <c r="O501" s="134"/>
      <c r="P501" s="136"/>
      <c r="Q501" s="136"/>
      <c r="R501" s="136"/>
      <c r="S501" s="135"/>
      <c r="T501" s="134"/>
      <c r="U501" s="137"/>
      <c r="V501" s="136"/>
      <c r="W501" s="136"/>
      <c r="X501"/>
    </row>
    <row r="502" spans="1:24" ht="15.5">
      <c r="A502" s="138"/>
      <c r="B502" s="139"/>
      <c r="C502" s="140"/>
      <c r="D502" s="141"/>
      <c r="E502" s="141"/>
      <c r="F502" s="141"/>
      <c r="G502" s="141"/>
      <c r="H502" s="142"/>
      <c r="I502" s="141"/>
      <c r="J502" s="140"/>
      <c r="K502" s="141"/>
      <c r="L502" s="141"/>
      <c r="M502" s="142"/>
      <c r="N502" s="141"/>
      <c r="O502" s="140"/>
      <c r="P502" s="142"/>
      <c r="Q502" s="142"/>
      <c r="R502" s="142"/>
      <c r="S502" s="141"/>
      <c r="T502" s="140"/>
      <c r="U502" s="143"/>
      <c r="V502" s="142"/>
      <c r="W502" s="142"/>
      <c r="X502"/>
    </row>
    <row r="503" spans="1:24" s="149" customFormat="1" ht="15.5">
      <c r="A503" s="138"/>
      <c r="B503" s="144"/>
      <c r="C503" s="145"/>
      <c r="D503" s="147"/>
      <c r="E503" s="146"/>
      <c r="F503" s="146"/>
      <c r="G503" s="146"/>
      <c r="H503" s="332"/>
      <c r="I503" s="146"/>
      <c r="J503" s="145"/>
      <c r="K503" s="146"/>
      <c r="L503" s="146"/>
      <c r="M503" s="332"/>
      <c r="N503" s="146"/>
      <c r="O503" s="145"/>
      <c r="P503" s="332"/>
      <c r="Q503" s="332"/>
      <c r="R503" s="332"/>
      <c r="S503" s="146"/>
      <c r="T503" s="145"/>
      <c r="U503" s="148"/>
      <c r="V503" s="332"/>
      <c r="W503" s="332"/>
      <c r="X503"/>
    </row>
    <row r="504" spans="1:24" ht="15.5">
      <c r="A504" s="138"/>
      <c r="B504" s="133"/>
      <c r="C504" s="134"/>
      <c r="D504" s="135"/>
      <c r="E504" s="141"/>
      <c r="F504" s="135"/>
      <c r="G504" s="135"/>
      <c r="H504" s="136"/>
      <c r="I504" s="135"/>
      <c r="J504" s="134"/>
      <c r="K504" s="135"/>
      <c r="L504" s="135"/>
      <c r="M504" s="136"/>
      <c r="N504" s="135"/>
      <c r="O504" s="134"/>
      <c r="P504" s="136"/>
      <c r="Q504" s="136"/>
      <c r="R504" s="136"/>
      <c r="S504" s="135"/>
      <c r="T504" s="134"/>
      <c r="U504" s="137"/>
      <c r="V504" s="136"/>
      <c r="W504" s="136"/>
      <c r="X504"/>
    </row>
    <row r="505" spans="1:24" ht="15.5">
      <c r="A505" s="138"/>
      <c r="B505" s="139"/>
      <c r="C505" s="140"/>
      <c r="D505" s="141"/>
      <c r="E505" s="141"/>
      <c r="F505" s="141"/>
      <c r="G505" s="141"/>
      <c r="H505" s="142"/>
      <c r="I505" s="141"/>
      <c r="J505" s="140"/>
      <c r="K505" s="141"/>
      <c r="L505" s="141"/>
      <c r="M505" s="142"/>
      <c r="N505" s="141"/>
      <c r="O505" s="140"/>
      <c r="P505" s="142"/>
      <c r="Q505" s="142"/>
      <c r="R505" s="142"/>
      <c r="S505" s="141"/>
      <c r="T505" s="140"/>
      <c r="U505" s="143"/>
      <c r="V505" s="142"/>
      <c r="W505" s="142"/>
      <c r="X505"/>
    </row>
    <row r="506" spans="1:24" s="149" customFormat="1" ht="15.5">
      <c r="A506" s="138"/>
      <c r="B506" s="144"/>
      <c r="C506" s="145"/>
      <c r="D506" s="146"/>
      <c r="E506" s="147"/>
      <c r="F506" s="146"/>
      <c r="G506" s="146"/>
      <c r="H506" s="332"/>
      <c r="I506" s="146"/>
      <c r="J506" s="145"/>
      <c r="K506" s="146"/>
      <c r="L506" s="146"/>
      <c r="M506" s="332"/>
      <c r="N506" s="146"/>
      <c r="O506" s="145"/>
      <c r="P506" s="332"/>
      <c r="Q506" s="332"/>
      <c r="R506" s="332"/>
      <c r="S506" s="146"/>
      <c r="T506" s="145"/>
      <c r="U506" s="148"/>
      <c r="V506" s="332"/>
      <c r="W506" s="332"/>
      <c r="X506"/>
    </row>
    <row r="507" spans="1:24" ht="15.5">
      <c r="A507" s="138"/>
      <c r="B507" s="133"/>
      <c r="C507" s="134"/>
      <c r="D507" s="135"/>
      <c r="E507" s="135"/>
      <c r="F507" s="135"/>
      <c r="G507" s="135"/>
      <c r="H507" s="136"/>
      <c r="I507" s="135"/>
      <c r="J507" s="134"/>
      <c r="K507" s="135"/>
      <c r="L507" s="135"/>
      <c r="M507" s="136"/>
      <c r="N507" s="135"/>
      <c r="O507" s="134"/>
      <c r="P507" s="136"/>
      <c r="Q507" s="136"/>
      <c r="R507" s="136"/>
      <c r="S507" s="135"/>
      <c r="T507" s="134"/>
      <c r="U507" s="137"/>
      <c r="V507" s="136"/>
      <c r="W507" s="136"/>
      <c r="X507"/>
    </row>
    <row r="508" spans="1:24" ht="15.5">
      <c r="A508" s="138"/>
      <c r="B508" s="139"/>
      <c r="C508" s="140"/>
      <c r="D508" s="141"/>
      <c r="E508" s="141"/>
      <c r="F508" s="141"/>
      <c r="G508" s="141"/>
      <c r="H508" s="142"/>
      <c r="I508" s="141"/>
      <c r="J508" s="140"/>
      <c r="K508" s="141"/>
      <c r="L508" s="141"/>
      <c r="M508" s="142"/>
      <c r="N508" s="141"/>
      <c r="O508" s="140"/>
      <c r="P508" s="142"/>
      <c r="Q508" s="142"/>
      <c r="R508" s="142"/>
      <c r="S508" s="141"/>
      <c r="T508" s="140"/>
      <c r="U508" s="143"/>
      <c r="V508" s="142"/>
      <c r="W508" s="142"/>
      <c r="X508"/>
    </row>
    <row r="509" spans="1:24" s="149" customFormat="1" ht="15.5">
      <c r="A509" s="138"/>
      <c r="B509" s="144"/>
      <c r="C509" s="145"/>
      <c r="D509" s="146"/>
      <c r="E509" s="146"/>
      <c r="F509" s="146"/>
      <c r="G509" s="146"/>
      <c r="H509" s="332"/>
      <c r="I509" s="146"/>
      <c r="J509" s="145"/>
      <c r="K509" s="146"/>
      <c r="L509" s="146"/>
      <c r="M509" s="332"/>
      <c r="N509" s="146"/>
      <c r="O509" s="145"/>
      <c r="P509" s="332"/>
      <c r="Q509" s="332"/>
      <c r="R509" s="332"/>
      <c r="S509" s="146"/>
      <c r="T509" s="145"/>
      <c r="U509" s="148"/>
      <c r="V509" s="332"/>
      <c r="W509" s="332"/>
      <c r="X509"/>
    </row>
    <row r="510" spans="1:24" ht="15.5">
      <c r="A510" s="138"/>
      <c r="B510" s="133"/>
      <c r="C510" s="134"/>
      <c r="D510" s="135"/>
      <c r="E510" s="135"/>
      <c r="F510" s="135"/>
      <c r="G510" s="135"/>
      <c r="H510" s="136"/>
      <c r="I510" s="135"/>
      <c r="J510" s="134"/>
      <c r="K510" s="135"/>
      <c r="L510" s="135"/>
      <c r="M510" s="136"/>
      <c r="N510" s="135"/>
      <c r="O510" s="134"/>
      <c r="P510" s="136"/>
      <c r="Q510" s="136"/>
      <c r="R510" s="136"/>
      <c r="S510" s="135"/>
      <c r="T510" s="134"/>
      <c r="U510" s="137"/>
      <c r="V510" s="136"/>
      <c r="W510" s="136"/>
      <c r="X510"/>
    </row>
    <row r="511" spans="1:24" ht="15.5">
      <c r="A511" s="138"/>
      <c r="B511" s="139"/>
      <c r="C511" s="140"/>
      <c r="D511" s="157"/>
      <c r="E511" s="141"/>
      <c r="F511" s="141"/>
      <c r="G511" s="141"/>
      <c r="H511" s="142"/>
      <c r="I511" s="141"/>
      <c r="J511" s="140"/>
      <c r="K511" s="141"/>
      <c r="L511" s="141"/>
      <c r="M511" s="142"/>
      <c r="N511" s="141"/>
      <c r="O511" s="140"/>
      <c r="P511" s="142"/>
      <c r="Q511" s="142"/>
      <c r="R511" s="142"/>
      <c r="S511" s="141"/>
      <c r="T511" s="140"/>
      <c r="U511" s="143"/>
      <c r="V511" s="142"/>
      <c r="W511" s="142"/>
      <c r="X511"/>
    </row>
    <row r="512" spans="1:24" s="149" customFormat="1" ht="15.5">
      <c r="A512" s="138"/>
      <c r="B512" s="144"/>
      <c r="C512" s="145"/>
      <c r="D512" s="146"/>
      <c r="E512" s="146"/>
      <c r="F512" s="146"/>
      <c r="G512" s="146"/>
      <c r="H512" s="332"/>
      <c r="I512" s="146"/>
      <c r="J512" s="145"/>
      <c r="K512" s="146"/>
      <c r="L512" s="146"/>
      <c r="M512" s="332"/>
      <c r="N512" s="146"/>
      <c r="O512" s="145"/>
      <c r="P512" s="332"/>
      <c r="Q512" s="332"/>
      <c r="R512" s="332"/>
      <c r="S512" s="146"/>
      <c r="T512" s="145"/>
      <c r="U512" s="148"/>
      <c r="V512" s="332"/>
      <c r="W512" s="332"/>
      <c r="X512"/>
    </row>
    <row r="513" spans="1:24" ht="15.5">
      <c r="A513" s="138"/>
      <c r="B513" s="133"/>
      <c r="C513" s="134"/>
      <c r="D513" s="135"/>
      <c r="E513" s="135"/>
      <c r="F513" s="135"/>
      <c r="G513" s="135"/>
      <c r="H513" s="136"/>
      <c r="I513" s="135"/>
      <c r="J513" s="134"/>
      <c r="K513" s="135"/>
      <c r="L513" s="135"/>
      <c r="M513" s="136"/>
      <c r="N513" s="135"/>
      <c r="O513" s="134"/>
      <c r="P513" s="136"/>
      <c r="Q513" s="136"/>
      <c r="R513" s="136"/>
      <c r="S513" s="135"/>
      <c r="T513" s="134"/>
      <c r="U513" s="137"/>
      <c r="V513" s="136"/>
      <c r="W513" s="136"/>
      <c r="X513"/>
    </row>
    <row r="514" spans="1:24" ht="15.5">
      <c r="A514" s="138"/>
      <c r="B514" s="139"/>
      <c r="C514" s="140"/>
      <c r="D514" s="141"/>
      <c r="E514" s="141"/>
      <c r="F514" s="141"/>
      <c r="G514" s="141"/>
      <c r="H514" s="142"/>
      <c r="I514" s="141"/>
      <c r="J514" s="140"/>
      <c r="K514" s="141"/>
      <c r="L514" s="141"/>
      <c r="M514" s="142"/>
      <c r="N514" s="141"/>
      <c r="O514" s="140"/>
      <c r="P514" s="142"/>
      <c r="Q514" s="142"/>
      <c r="R514" s="142"/>
      <c r="S514" s="141"/>
      <c r="T514" s="140"/>
      <c r="U514" s="143"/>
      <c r="V514" s="142"/>
      <c r="W514" s="142"/>
      <c r="X514"/>
    </row>
    <row r="515" spans="1:24" s="149" customFormat="1" ht="15.5">
      <c r="A515" s="138"/>
      <c r="B515" s="144"/>
      <c r="C515" s="145"/>
      <c r="D515" s="146"/>
      <c r="E515" s="146"/>
      <c r="F515" s="146"/>
      <c r="G515" s="146"/>
      <c r="H515" s="332"/>
      <c r="I515" s="146"/>
      <c r="J515" s="145"/>
      <c r="K515" s="146"/>
      <c r="L515" s="146"/>
      <c r="M515" s="332"/>
      <c r="N515" s="146"/>
      <c r="O515" s="145"/>
      <c r="P515" s="332"/>
      <c r="Q515" s="332"/>
      <c r="R515" s="332"/>
      <c r="S515" s="146"/>
      <c r="T515" s="145"/>
      <c r="U515" s="148"/>
      <c r="V515" s="332"/>
      <c r="W515" s="332"/>
      <c r="X515"/>
    </row>
    <row r="516" spans="1:24" ht="15.5">
      <c r="A516" s="138"/>
      <c r="B516" s="133"/>
      <c r="C516" s="134"/>
      <c r="D516" s="135"/>
      <c r="E516" s="135"/>
      <c r="F516" s="135"/>
      <c r="G516" s="135"/>
      <c r="H516" s="136"/>
      <c r="I516" s="135"/>
      <c r="J516" s="134"/>
      <c r="K516" s="135"/>
      <c r="L516" s="135"/>
      <c r="M516" s="136"/>
      <c r="N516" s="135"/>
      <c r="O516" s="134"/>
      <c r="P516" s="136"/>
      <c r="Q516" s="136"/>
      <c r="R516" s="136"/>
      <c r="S516" s="135"/>
      <c r="T516" s="134"/>
      <c r="U516" s="137"/>
      <c r="V516" s="136"/>
      <c r="W516" s="136"/>
      <c r="X516"/>
    </row>
    <row r="517" spans="1:24" ht="15.5">
      <c r="A517" s="138"/>
      <c r="B517" s="139"/>
      <c r="C517" s="140"/>
      <c r="D517" s="141"/>
      <c r="E517" s="141"/>
      <c r="F517" s="141"/>
      <c r="G517" s="141"/>
      <c r="H517" s="142"/>
      <c r="I517" s="141"/>
      <c r="J517" s="140"/>
      <c r="K517" s="141"/>
      <c r="L517" s="141"/>
      <c r="M517" s="142"/>
      <c r="N517" s="141"/>
      <c r="O517" s="140"/>
      <c r="P517" s="142"/>
      <c r="Q517" s="142"/>
      <c r="R517" s="142"/>
      <c r="S517" s="141"/>
      <c r="T517" s="140"/>
      <c r="U517" s="143"/>
      <c r="V517" s="142"/>
      <c r="W517" s="142"/>
      <c r="X517"/>
    </row>
    <row r="518" spans="1:24" s="149" customFormat="1" ht="15.5">
      <c r="A518" s="138"/>
      <c r="B518" s="144"/>
      <c r="C518" s="145"/>
      <c r="D518" s="146"/>
      <c r="E518" s="146"/>
      <c r="F518" s="146"/>
      <c r="G518" s="146"/>
      <c r="H518" s="332"/>
      <c r="I518" s="146"/>
      <c r="J518" s="145"/>
      <c r="K518" s="146"/>
      <c r="L518" s="146"/>
      <c r="M518" s="332"/>
      <c r="N518" s="146"/>
      <c r="O518" s="145"/>
      <c r="P518" s="332"/>
      <c r="Q518" s="332"/>
      <c r="R518" s="332"/>
      <c r="S518" s="146"/>
      <c r="T518" s="145"/>
      <c r="U518" s="148"/>
      <c r="V518" s="332"/>
      <c r="W518" s="332"/>
      <c r="X518"/>
    </row>
    <row r="519" spans="1:24" ht="15.5">
      <c r="A519" s="138"/>
      <c r="B519" s="133"/>
      <c r="C519" s="134"/>
      <c r="D519" s="135"/>
      <c r="E519" s="135"/>
      <c r="F519" s="135"/>
      <c r="G519" s="135"/>
      <c r="H519" s="136"/>
      <c r="I519" s="135"/>
      <c r="J519" s="134"/>
      <c r="K519" s="135"/>
      <c r="L519" s="135"/>
      <c r="M519" s="136"/>
      <c r="N519" s="135"/>
      <c r="O519" s="134"/>
      <c r="P519" s="136"/>
      <c r="Q519" s="136"/>
      <c r="R519" s="136"/>
      <c r="S519" s="135"/>
      <c r="T519" s="134"/>
      <c r="U519" s="137"/>
      <c r="V519" s="136"/>
      <c r="W519" s="136"/>
      <c r="X519"/>
    </row>
    <row r="520" spans="1:24" ht="15.5">
      <c r="A520" s="138"/>
      <c r="B520" s="139"/>
      <c r="C520" s="140"/>
      <c r="D520" s="141"/>
      <c r="E520" s="141"/>
      <c r="F520" s="141"/>
      <c r="G520" s="141"/>
      <c r="H520" s="142"/>
      <c r="I520" s="141"/>
      <c r="J520" s="140"/>
      <c r="K520" s="141"/>
      <c r="L520" s="141"/>
      <c r="M520" s="142"/>
      <c r="N520" s="141"/>
      <c r="O520" s="140"/>
      <c r="P520" s="142"/>
      <c r="Q520" s="142"/>
      <c r="R520" s="142"/>
      <c r="S520" s="141"/>
      <c r="T520" s="140"/>
      <c r="U520" s="143"/>
      <c r="V520" s="142"/>
      <c r="W520" s="142"/>
      <c r="X520"/>
    </row>
    <row r="521" spans="1:24" s="149" customFormat="1" ht="15.5">
      <c r="A521" s="138"/>
      <c r="B521" s="144"/>
      <c r="C521" s="145"/>
      <c r="D521" s="146"/>
      <c r="E521" s="146"/>
      <c r="F521" s="146"/>
      <c r="G521" s="146"/>
      <c r="H521" s="332"/>
      <c r="I521" s="146"/>
      <c r="J521" s="145"/>
      <c r="K521" s="146"/>
      <c r="L521" s="146"/>
      <c r="M521" s="332"/>
      <c r="N521" s="146"/>
      <c r="O521" s="145"/>
      <c r="P521" s="332"/>
      <c r="Q521" s="332"/>
      <c r="R521" s="332"/>
      <c r="S521" s="146"/>
      <c r="T521" s="145"/>
      <c r="U521" s="148"/>
      <c r="V521" s="332"/>
      <c r="W521" s="332"/>
      <c r="X521"/>
    </row>
    <row r="522" spans="1:24" ht="15.5">
      <c r="A522" s="138"/>
      <c r="B522" s="133"/>
      <c r="C522" s="134"/>
      <c r="D522" s="135"/>
      <c r="E522" s="135"/>
      <c r="F522" s="135"/>
      <c r="G522" s="135"/>
      <c r="H522" s="136"/>
      <c r="I522" s="135"/>
      <c r="J522" s="134"/>
      <c r="K522" s="135"/>
      <c r="L522" s="135"/>
      <c r="M522" s="136"/>
      <c r="N522" s="135"/>
      <c r="O522" s="134"/>
      <c r="P522" s="136"/>
      <c r="Q522" s="136"/>
      <c r="R522" s="136"/>
      <c r="S522" s="135"/>
      <c r="T522" s="134"/>
      <c r="U522" s="137"/>
      <c r="V522" s="136"/>
      <c r="W522" s="136"/>
      <c r="X522"/>
    </row>
    <row r="523" spans="1:24" ht="15.5">
      <c r="A523" s="138"/>
      <c r="B523" s="139"/>
      <c r="C523" s="140"/>
      <c r="D523" s="141"/>
      <c r="E523" s="141"/>
      <c r="F523" s="141"/>
      <c r="G523" s="141"/>
      <c r="H523" s="142"/>
      <c r="I523" s="141"/>
      <c r="J523" s="140"/>
      <c r="K523" s="141"/>
      <c r="L523" s="141"/>
      <c r="M523" s="142"/>
      <c r="N523" s="141"/>
      <c r="O523" s="140"/>
      <c r="P523" s="142"/>
      <c r="Q523" s="142"/>
      <c r="R523" s="142"/>
      <c r="S523" s="141"/>
      <c r="T523" s="140"/>
      <c r="U523" s="143"/>
      <c r="V523" s="142"/>
      <c r="W523" s="142"/>
      <c r="X523"/>
    </row>
    <row r="524" spans="1:24" s="149" customFormat="1" ht="15.5">
      <c r="A524" s="138"/>
      <c r="B524" s="144"/>
      <c r="C524" s="145"/>
      <c r="D524" s="146"/>
      <c r="E524" s="146"/>
      <c r="F524" s="146"/>
      <c r="G524" s="146"/>
      <c r="H524" s="332"/>
      <c r="I524" s="146"/>
      <c r="J524" s="145"/>
      <c r="K524" s="146"/>
      <c r="L524" s="146"/>
      <c r="M524" s="332"/>
      <c r="N524" s="146"/>
      <c r="O524" s="145"/>
      <c r="P524" s="332"/>
      <c r="Q524" s="332"/>
      <c r="R524" s="332"/>
      <c r="S524" s="146"/>
      <c r="T524" s="145"/>
      <c r="U524" s="148"/>
      <c r="V524" s="332"/>
      <c r="W524" s="332"/>
      <c r="X524"/>
    </row>
    <row r="525" spans="1:24" ht="15.5">
      <c r="A525" s="138"/>
      <c r="B525" s="133"/>
      <c r="C525" s="134"/>
      <c r="D525" s="135"/>
      <c r="E525" s="135"/>
      <c r="F525" s="135"/>
      <c r="G525" s="135"/>
      <c r="H525" s="136"/>
      <c r="I525" s="135"/>
      <c r="J525" s="134"/>
      <c r="K525" s="135"/>
      <c r="L525" s="135"/>
      <c r="M525" s="136"/>
      <c r="N525" s="135"/>
      <c r="O525" s="134"/>
      <c r="P525" s="136"/>
      <c r="Q525" s="136"/>
      <c r="R525" s="136"/>
      <c r="S525" s="135"/>
      <c r="T525" s="134"/>
      <c r="U525" s="137"/>
      <c r="V525" s="136"/>
      <c r="W525" s="136"/>
      <c r="X525"/>
    </row>
    <row r="526" spans="1:24" ht="15.5">
      <c r="A526" s="138"/>
      <c r="B526" s="139"/>
      <c r="C526" s="140"/>
      <c r="D526" s="141"/>
      <c r="E526" s="141"/>
      <c r="F526" s="141"/>
      <c r="G526" s="141"/>
      <c r="H526" s="142"/>
      <c r="I526" s="141"/>
      <c r="J526" s="140"/>
      <c r="K526" s="141"/>
      <c r="L526" s="141"/>
      <c r="M526" s="142"/>
      <c r="N526" s="141"/>
      <c r="O526" s="140"/>
      <c r="P526" s="142"/>
      <c r="Q526" s="142"/>
      <c r="R526" s="142"/>
      <c r="S526" s="141"/>
      <c r="T526" s="140"/>
      <c r="U526" s="143"/>
      <c r="V526" s="142"/>
      <c r="W526" s="142"/>
      <c r="X526"/>
    </row>
    <row r="527" spans="1:24" s="149" customFormat="1" ht="15.5">
      <c r="A527" s="138"/>
      <c r="B527" s="144"/>
      <c r="C527" s="145"/>
      <c r="D527" s="146"/>
      <c r="E527" s="146"/>
      <c r="F527" s="146"/>
      <c r="G527" s="146"/>
      <c r="H527" s="332"/>
      <c r="I527" s="146"/>
      <c r="J527" s="145"/>
      <c r="K527" s="146"/>
      <c r="L527" s="146"/>
      <c r="M527" s="332"/>
      <c r="N527" s="146"/>
      <c r="O527" s="145"/>
      <c r="P527" s="332"/>
      <c r="Q527" s="332"/>
      <c r="R527" s="332"/>
      <c r="S527" s="146"/>
      <c r="T527" s="145"/>
      <c r="U527" s="148"/>
      <c r="V527" s="332"/>
      <c r="W527" s="332"/>
      <c r="X527"/>
    </row>
    <row r="528" spans="1:24" ht="15.5">
      <c r="A528" s="138"/>
      <c r="B528" s="133"/>
      <c r="C528" s="134"/>
      <c r="D528" s="135"/>
      <c r="E528" s="135"/>
      <c r="F528" s="135"/>
      <c r="G528" s="135"/>
      <c r="H528" s="136"/>
      <c r="I528" s="135"/>
      <c r="J528" s="134"/>
      <c r="K528" s="135"/>
      <c r="L528" s="135"/>
      <c r="M528" s="136"/>
      <c r="N528" s="135"/>
      <c r="O528" s="134"/>
      <c r="P528" s="136"/>
      <c r="Q528" s="136"/>
      <c r="R528" s="136"/>
      <c r="S528" s="135"/>
      <c r="T528" s="134"/>
      <c r="U528" s="137"/>
      <c r="V528" s="136"/>
      <c r="W528" s="136"/>
      <c r="X528"/>
    </row>
    <row r="529" spans="1:24" ht="15.5">
      <c r="A529" s="138"/>
      <c r="B529" s="139"/>
      <c r="C529" s="140"/>
      <c r="D529" s="141"/>
      <c r="E529" s="141"/>
      <c r="F529" s="141"/>
      <c r="G529" s="141"/>
      <c r="H529" s="142"/>
      <c r="I529" s="141"/>
      <c r="J529" s="140"/>
      <c r="K529" s="141"/>
      <c r="L529" s="141"/>
      <c r="M529" s="142"/>
      <c r="N529" s="141"/>
      <c r="O529" s="140"/>
      <c r="P529" s="142"/>
      <c r="Q529" s="142"/>
      <c r="R529" s="142"/>
      <c r="S529" s="141"/>
      <c r="T529" s="140"/>
      <c r="U529" s="143"/>
      <c r="V529" s="142"/>
      <c r="W529" s="142"/>
      <c r="X529"/>
    </row>
    <row r="530" spans="1:24" s="149" customFormat="1" ht="15.5">
      <c r="A530" s="138"/>
      <c r="B530" s="144"/>
      <c r="C530" s="145"/>
      <c r="D530" s="146"/>
      <c r="E530" s="146"/>
      <c r="F530" s="146"/>
      <c r="G530" s="146"/>
      <c r="H530" s="332"/>
      <c r="I530" s="146"/>
      <c r="J530" s="145"/>
      <c r="K530" s="146"/>
      <c r="L530" s="146"/>
      <c r="M530" s="332"/>
      <c r="N530" s="146"/>
      <c r="O530" s="145"/>
      <c r="P530" s="332"/>
      <c r="Q530" s="332"/>
      <c r="R530" s="332"/>
      <c r="S530" s="146"/>
      <c r="T530" s="145"/>
      <c r="U530" s="148"/>
      <c r="V530" s="332"/>
      <c r="W530" s="332"/>
      <c r="X530"/>
    </row>
    <row r="531" spans="1:24" ht="15.5">
      <c r="A531" s="138"/>
      <c r="B531" s="133"/>
      <c r="C531" s="134"/>
      <c r="D531" s="135"/>
      <c r="E531" s="135"/>
      <c r="F531" s="135"/>
      <c r="G531" s="135"/>
      <c r="H531" s="136"/>
      <c r="I531" s="135"/>
      <c r="J531" s="134"/>
      <c r="K531" s="135"/>
      <c r="L531" s="135"/>
      <c r="M531" s="136"/>
      <c r="N531" s="135"/>
      <c r="O531" s="134"/>
      <c r="P531" s="136"/>
      <c r="Q531" s="136"/>
      <c r="R531" s="136"/>
      <c r="S531" s="135"/>
      <c r="T531" s="134"/>
      <c r="U531" s="137"/>
      <c r="V531" s="136"/>
      <c r="W531" s="136"/>
      <c r="X531"/>
    </row>
    <row r="532" spans="1:24" ht="15.5">
      <c r="A532" s="138"/>
      <c r="B532" s="139"/>
      <c r="C532" s="140"/>
      <c r="D532" s="141"/>
      <c r="E532" s="141"/>
      <c r="F532" s="141"/>
      <c r="G532" s="141"/>
      <c r="H532" s="142"/>
      <c r="I532" s="141"/>
      <c r="J532" s="140"/>
      <c r="K532" s="141"/>
      <c r="L532" s="141"/>
      <c r="M532" s="142"/>
      <c r="N532" s="141"/>
      <c r="O532" s="140"/>
      <c r="P532" s="142"/>
      <c r="Q532" s="142"/>
      <c r="R532" s="142"/>
      <c r="S532" s="141"/>
      <c r="T532" s="140"/>
      <c r="U532" s="143"/>
      <c r="V532" s="142"/>
      <c r="W532" s="142"/>
      <c r="X532"/>
    </row>
    <row r="533" spans="1:24" s="149" customFormat="1" ht="15.5">
      <c r="A533" s="138"/>
      <c r="B533" s="144"/>
      <c r="C533" s="147"/>
      <c r="D533" s="146"/>
      <c r="E533" s="147"/>
      <c r="F533" s="146"/>
      <c r="G533" s="146"/>
      <c r="H533" s="332"/>
      <c r="I533" s="146"/>
      <c r="J533" s="145"/>
      <c r="K533" s="146"/>
      <c r="L533" s="146"/>
      <c r="M533" s="332"/>
      <c r="N533" s="146"/>
      <c r="O533" s="145"/>
      <c r="P533" s="332"/>
      <c r="Q533" s="332"/>
      <c r="R533" s="332"/>
      <c r="S533" s="146"/>
      <c r="T533" s="145"/>
      <c r="U533" s="148"/>
      <c r="V533" s="332"/>
      <c r="W533" s="332"/>
      <c r="X533"/>
    </row>
    <row r="534" spans="1:24" ht="15.5">
      <c r="A534" s="138"/>
      <c r="B534" s="133"/>
      <c r="C534" s="140"/>
      <c r="D534" s="135"/>
      <c r="E534" s="141"/>
      <c r="F534" s="135"/>
      <c r="G534" s="135"/>
      <c r="H534" s="136"/>
      <c r="I534" s="135"/>
      <c r="J534" s="134"/>
      <c r="K534" s="135"/>
      <c r="L534" s="135"/>
      <c r="M534" s="136"/>
      <c r="N534" s="135"/>
      <c r="O534" s="134"/>
      <c r="P534" s="136"/>
      <c r="Q534" s="136"/>
      <c r="R534" s="136"/>
      <c r="S534" s="135"/>
      <c r="T534" s="134"/>
      <c r="U534" s="137"/>
      <c r="V534" s="136"/>
      <c r="W534" s="136"/>
      <c r="X534"/>
    </row>
    <row r="535" spans="1:24" s="149" customFormat="1" ht="15.5">
      <c r="A535" s="153"/>
      <c r="B535" s="139"/>
      <c r="C535" s="140"/>
      <c r="D535" s="141"/>
      <c r="E535" s="141"/>
      <c r="F535" s="141"/>
      <c r="G535" s="141"/>
      <c r="H535" s="142"/>
      <c r="I535" s="141"/>
      <c r="J535" s="140"/>
      <c r="K535" s="141"/>
      <c r="L535" s="141"/>
      <c r="M535" s="142"/>
      <c r="N535" s="141"/>
      <c r="O535" s="140"/>
      <c r="P535" s="142"/>
      <c r="Q535" s="142"/>
      <c r="R535" s="142"/>
      <c r="S535" s="141"/>
      <c r="T535" s="140"/>
      <c r="U535" s="143"/>
      <c r="V535" s="142"/>
      <c r="W535" s="142"/>
      <c r="X535"/>
    </row>
    <row r="536" spans="1:24" ht="15.5">
      <c r="A536" s="132"/>
      <c r="B536" s="133"/>
      <c r="C536" s="134"/>
      <c r="D536" s="135"/>
      <c r="E536" s="135"/>
      <c r="F536" s="159"/>
      <c r="G536" s="135"/>
      <c r="H536" s="136"/>
      <c r="I536" s="135"/>
      <c r="J536" s="134"/>
      <c r="K536" s="135"/>
      <c r="L536" s="135"/>
      <c r="M536" s="136"/>
      <c r="N536" s="135"/>
      <c r="O536" s="134"/>
      <c r="P536" s="136"/>
      <c r="Q536" s="136"/>
      <c r="R536" s="136"/>
      <c r="S536" s="135"/>
      <c r="T536" s="134"/>
      <c r="U536" s="137"/>
      <c r="V536" s="136"/>
      <c r="W536" s="136"/>
      <c r="X536"/>
    </row>
    <row r="537" spans="1:24" ht="15.5">
      <c r="A537" s="138"/>
      <c r="B537" s="139"/>
      <c r="C537" s="140"/>
      <c r="D537" s="141"/>
      <c r="E537" s="141"/>
      <c r="F537" s="141"/>
      <c r="G537" s="141"/>
      <c r="H537" s="142"/>
      <c r="I537" s="141"/>
      <c r="J537" s="140"/>
      <c r="K537" s="141"/>
      <c r="L537" s="141"/>
      <c r="M537" s="142"/>
      <c r="N537" s="141"/>
      <c r="O537" s="140"/>
      <c r="P537" s="142"/>
      <c r="Q537" s="142"/>
      <c r="R537" s="142"/>
      <c r="S537" s="141"/>
      <c r="T537" s="140"/>
      <c r="U537" s="143"/>
      <c r="V537" s="142"/>
      <c r="W537" s="142"/>
      <c r="X537"/>
    </row>
    <row r="538" spans="1:24" s="149" customFormat="1" ht="15.5">
      <c r="A538" s="138"/>
      <c r="B538" s="144"/>
      <c r="C538" s="152"/>
      <c r="D538" s="146"/>
      <c r="E538" s="146"/>
      <c r="F538" s="147"/>
      <c r="G538" s="146"/>
      <c r="H538" s="332"/>
      <c r="I538" s="146"/>
      <c r="J538" s="152"/>
      <c r="K538" s="147"/>
      <c r="L538" s="147"/>
      <c r="M538" s="333"/>
      <c r="N538" s="146"/>
      <c r="O538" s="145"/>
      <c r="P538" s="332"/>
      <c r="Q538" s="332"/>
      <c r="R538" s="146"/>
      <c r="S538" s="148"/>
      <c r="T538" s="146"/>
      <c r="U538" s="148"/>
      <c r="V538" s="332"/>
      <c r="W538" s="332"/>
      <c r="X538"/>
    </row>
    <row r="539" spans="1:24" ht="15.5">
      <c r="A539" s="138"/>
      <c r="B539" s="133"/>
      <c r="C539" s="134"/>
      <c r="D539" s="141"/>
      <c r="E539" s="141"/>
      <c r="F539" s="135"/>
      <c r="G539" s="135"/>
      <c r="H539" s="136"/>
      <c r="I539" s="135"/>
      <c r="J539" s="134"/>
      <c r="K539" s="135"/>
      <c r="L539" s="141"/>
      <c r="M539" s="136"/>
      <c r="N539" s="135"/>
      <c r="O539" s="134"/>
      <c r="P539" s="136"/>
      <c r="Q539" s="136"/>
      <c r="R539" s="136"/>
      <c r="S539" s="141"/>
      <c r="T539" s="134"/>
      <c r="U539" s="137"/>
      <c r="V539" s="136"/>
      <c r="W539" s="136"/>
      <c r="X539"/>
    </row>
    <row r="540" spans="1:24" ht="15.5">
      <c r="A540" s="138"/>
      <c r="B540" s="139"/>
      <c r="C540" s="140"/>
      <c r="D540" s="141"/>
      <c r="E540" s="141"/>
      <c r="F540" s="141"/>
      <c r="G540" s="141"/>
      <c r="H540" s="142"/>
      <c r="I540" s="141"/>
      <c r="J540" s="140"/>
      <c r="K540" s="141"/>
      <c r="L540" s="141"/>
      <c r="M540" s="142"/>
      <c r="N540" s="141"/>
      <c r="O540" s="140"/>
      <c r="P540" s="142"/>
      <c r="Q540" s="142"/>
      <c r="R540" s="142"/>
      <c r="S540" s="141"/>
      <c r="T540" s="140"/>
      <c r="U540" s="143"/>
      <c r="V540" s="142"/>
      <c r="W540" s="142"/>
      <c r="X540"/>
    </row>
    <row r="541" spans="1:24" s="149" customFormat="1" ht="15.5">
      <c r="A541" s="138"/>
      <c r="B541" s="144"/>
      <c r="C541" s="145"/>
      <c r="D541" s="146"/>
      <c r="E541" s="146"/>
      <c r="F541" s="146"/>
      <c r="G541" s="146"/>
      <c r="H541" s="332"/>
      <c r="I541" s="146"/>
      <c r="J541" s="145"/>
      <c r="K541" s="146"/>
      <c r="L541" s="146"/>
      <c r="M541" s="332"/>
      <c r="N541" s="146"/>
      <c r="O541" s="152"/>
      <c r="P541" s="333"/>
      <c r="Q541" s="332"/>
      <c r="R541" s="332"/>
      <c r="S541" s="146"/>
      <c r="T541" s="145"/>
      <c r="U541" s="148"/>
      <c r="V541" s="332"/>
      <c r="W541" s="332"/>
      <c r="X541"/>
    </row>
    <row r="542" spans="1:24" ht="15.5">
      <c r="A542" s="138"/>
      <c r="B542" s="133"/>
      <c r="C542" s="134"/>
      <c r="D542" s="135"/>
      <c r="E542" s="135"/>
      <c r="F542" s="135"/>
      <c r="G542" s="135"/>
      <c r="H542" s="136"/>
      <c r="I542" s="135"/>
      <c r="J542" s="134"/>
      <c r="K542" s="135"/>
      <c r="L542" s="135"/>
      <c r="M542" s="136"/>
      <c r="N542" s="135"/>
      <c r="O542" s="134"/>
      <c r="P542" s="136"/>
      <c r="Q542" s="136"/>
      <c r="R542" s="136"/>
      <c r="S542" s="135"/>
      <c r="T542" s="134"/>
      <c r="U542" s="137"/>
      <c r="V542" s="136"/>
      <c r="W542" s="136"/>
      <c r="X542"/>
    </row>
    <row r="543" spans="1:24" ht="15.5">
      <c r="A543" s="138"/>
      <c r="B543" s="139"/>
      <c r="C543" s="140"/>
      <c r="D543" s="141"/>
      <c r="E543" s="141"/>
      <c r="F543" s="141"/>
      <c r="G543" s="141"/>
      <c r="H543" s="142"/>
      <c r="I543" s="141"/>
      <c r="J543" s="140"/>
      <c r="K543" s="141"/>
      <c r="L543" s="141"/>
      <c r="M543" s="142"/>
      <c r="N543" s="141"/>
      <c r="O543" s="140"/>
      <c r="P543" s="142"/>
      <c r="Q543" s="142"/>
      <c r="R543" s="142"/>
      <c r="S543" s="141"/>
      <c r="T543" s="140"/>
      <c r="U543" s="143"/>
      <c r="V543" s="142"/>
      <c r="W543" s="142"/>
      <c r="X543"/>
    </row>
    <row r="544" spans="1:24" s="149" customFormat="1" ht="15.5">
      <c r="A544" s="138"/>
      <c r="B544" s="144"/>
      <c r="C544" s="145"/>
      <c r="D544" s="146"/>
      <c r="E544" s="147"/>
      <c r="F544" s="146"/>
      <c r="G544" s="147"/>
      <c r="H544" s="332"/>
      <c r="I544" s="146"/>
      <c r="J544" s="145"/>
      <c r="K544" s="146"/>
      <c r="L544" s="146"/>
      <c r="M544" s="332"/>
      <c r="N544" s="146"/>
      <c r="O544" s="145"/>
      <c r="P544" s="332"/>
      <c r="Q544" s="332"/>
      <c r="R544" s="332"/>
      <c r="S544" s="146"/>
      <c r="T544" s="145"/>
      <c r="U544" s="148"/>
      <c r="V544" s="332"/>
      <c r="W544" s="332"/>
      <c r="X544"/>
    </row>
    <row r="545" spans="1:24" ht="15.5">
      <c r="A545" s="138"/>
      <c r="B545" s="133"/>
      <c r="C545" s="134"/>
      <c r="D545" s="135"/>
      <c r="E545" s="135"/>
      <c r="F545" s="135"/>
      <c r="G545" s="135"/>
      <c r="H545" s="136"/>
      <c r="I545" s="135"/>
      <c r="J545" s="134"/>
      <c r="K545" s="135"/>
      <c r="L545" s="135"/>
      <c r="M545" s="136"/>
      <c r="N545" s="135"/>
      <c r="O545" s="134"/>
      <c r="P545" s="136"/>
      <c r="Q545" s="136"/>
      <c r="R545" s="136"/>
      <c r="S545" s="135"/>
      <c r="T545" s="134"/>
      <c r="U545" s="137"/>
      <c r="V545" s="136"/>
      <c r="W545" s="136"/>
      <c r="X545"/>
    </row>
    <row r="546" spans="1:24" ht="15.5">
      <c r="A546" s="138"/>
      <c r="B546" s="139"/>
      <c r="C546" s="140"/>
      <c r="D546" s="141"/>
      <c r="E546" s="141"/>
      <c r="F546" s="141"/>
      <c r="G546" s="141"/>
      <c r="H546" s="142"/>
      <c r="I546" s="141"/>
      <c r="J546" s="140"/>
      <c r="K546" s="141"/>
      <c r="L546" s="141"/>
      <c r="M546" s="142"/>
      <c r="N546" s="141"/>
      <c r="O546" s="140"/>
      <c r="P546" s="142"/>
      <c r="Q546" s="142"/>
      <c r="R546" s="142"/>
      <c r="S546" s="141"/>
      <c r="T546" s="140"/>
      <c r="U546" s="143"/>
      <c r="V546" s="142"/>
      <c r="W546" s="142"/>
      <c r="X546"/>
    </row>
    <row r="547" spans="1:24" s="149" customFormat="1" ht="15.5">
      <c r="A547" s="138"/>
      <c r="B547" s="144"/>
      <c r="C547" s="145"/>
      <c r="D547" s="146"/>
      <c r="E547" s="146"/>
      <c r="F547" s="146"/>
      <c r="G547" s="146"/>
      <c r="H547" s="332"/>
      <c r="I547" s="146"/>
      <c r="J547" s="145"/>
      <c r="K547" s="146"/>
      <c r="L547" s="146"/>
      <c r="M547" s="332"/>
      <c r="N547" s="146"/>
      <c r="O547" s="145"/>
      <c r="P547" s="332"/>
      <c r="Q547" s="332"/>
      <c r="R547" s="332"/>
      <c r="S547" s="146"/>
      <c r="T547" s="145"/>
      <c r="U547" s="148"/>
      <c r="V547" s="332"/>
      <c r="W547" s="332"/>
      <c r="X547"/>
    </row>
    <row r="548" spans="1:24" ht="15.5">
      <c r="A548" s="138"/>
      <c r="B548" s="133"/>
      <c r="C548" s="134"/>
      <c r="D548" s="135"/>
      <c r="E548" s="135"/>
      <c r="F548" s="135"/>
      <c r="G548" s="135"/>
      <c r="H548" s="136"/>
      <c r="I548" s="135"/>
      <c r="J548" s="134"/>
      <c r="K548" s="135"/>
      <c r="L548" s="135"/>
      <c r="M548" s="136"/>
      <c r="N548" s="135"/>
      <c r="O548" s="134"/>
      <c r="P548" s="136"/>
      <c r="Q548" s="136"/>
      <c r="R548" s="136"/>
      <c r="S548" s="135"/>
      <c r="T548" s="134"/>
      <c r="U548" s="137"/>
      <c r="V548" s="136"/>
      <c r="W548" s="136"/>
      <c r="X548"/>
    </row>
    <row r="549" spans="1:24" ht="15.5">
      <c r="A549" s="138"/>
      <c r="B549" s="139"/>
      <c r="C549" s="140"/>
      <c r="D549" s="141"/>
      <c r="E549" s="141"/>
      <c r="F549" s="141"/>
      <c r="G549" s="141"/>
      <c r="H549" s="142"/>
      <c r="I549" s="141"/>
      <c r="J549" s="140"/>
      <c r="K549" s="141"/>
      <c r="L549" s="141"/>
      <c r="M549" s="142"/>
      <c r="N549" s="141"/>
      <c r="O549" s="140"/>
      <c r="P549" s="142"/>
      <c r="Q549" s="142"/>
      <c r="R549" s="142"/>
      <c r="S549" s="141"/>
      <c r="T549" s="140"/>
      <c r="U549" s="143"/>
      <c r="V549" s="142"/>
      <c r="W549" s="142"/>
      <c r="X549"/>
    </row>
    <row r="550" spans="1:24" s="149" customFormat="1" ht="15.5">
      <c r="A550" s="138"/>
      <c r="B550" s="144"/>
      <c r="C550" s="156"/>
      <c r="D550" s="151"/>
      <c r="E550" s="146"/>
      <c r="F550" s="146"/>
      <c r="G550" s="146"/>
      <c r="H550" s="332"/>
      <c r="I550" s="146"/>
      <c r="J550" s="145"/>
      <c r="K550" s="146"/>
      <c r="L550" s="146"/>
      <c r="M550" s="332"/>
      <c r="N550" s="146"/>
      <c r="O550" s="145"/>
      <c r="P550" s="332"/>
      <c r="Q550" s="332"/>
      <c r="R550" s="332"/>
      <c r="S550" s="146"/>
      <c r="T550" s="145"/>
      <c r="U550" s="148"/>
      <c r="V550" s="332"/>
      <c r="W550" s="332"/>
      <c r="X550"/>
    </row>
    <row r="551" spans="1:24" ht="15.5">
      <c r="A551" s="138"/>
      <c r="B551" s="133"/>
      <c r="C551" s="134"/>
      <c r="D551" s="135"/>
      <c r="E551" s="135"/>
      <c r="F551" s="135"/>
      <c r="G551" s="135"/>
      <c r="H551" s="136"/>
      <c r="I551" s="135"/>
      <c r="J551" s="134"/>
      <c r="K551" s="135"/>
      <c r="L551" s="135"/>
      <c r="M551" s="136"/>
      <c r="N551" s="135"/>
      <c r="O551" s="134"/>
      <c r="P551" s="136"/>
      <c r="Q551" s="136"/>
      <c r="R551" s="136"/>
      <c r="S551" s="135"/>
      <c r="T551" s="134"/>
      <c r="U551" s="137"/>
      <c r="V551" s="136"/>
      <c r="W551" s="136"/>
      <c r="X551"/>
    </row>
    <row r="552" spans="1:24" ht="15.5">
      <c r="A552" s="138"/>
      <c r="B552" s="139"/>
      <c r="C552" s="140"/>
      <c r="D552" s="141"/>
      <c r="E552" s="141"/>
      <c r="F552" s="141"/>
      <c r="G552" s="141"/>
      <c r="H552" s="142"/>
      <c r="I552" s="141"/>
      <c r="J552" s="140"/>
      <c r="K552" s="141"/>
      <c r="L552" s="141"/>
      <c r="M552" s="142"/>
      <c r="N552" s="141"/>
      <c r="O552" s="140"/>
      <c r="P552" s="142"/>
      <c r="Q552" s="142"/>
      <c r="R552" s="142"/>
      <c r="S552" s="141"/>
      <c r="T552" s="140"/>
      <c r="U552" s="143"/>
      <c r="V552" s="142"/>
      <c r="W552" s="142"/>
      <c r="X552"/>
    </row>
    <row r="553" spans="1:24" s="149" customFormat="1" ht="15.5">
      <c r="A553" s="138"/>
      <c r="B553" s="144"/>
      <c r="C553" s="145"/>
      <c r="D553" s="146"/>
      <c r="E553" s="146"/>
      <c r="F553" s="146"/>
      <c r="G553" s="147"/>
      <c r="H553" s="332"/>
      <c r="I553" s="146"/>
      <c r="J553" s="145"/>
      <c r="K553" s="146"/>
      <c r="L553" s="146"/>
      <c r="M553" s="332"/>
      <c r="N553" s="146"/>
      <c r="O553" s="145"/>
      <c r="P553" s="332"/>
      <c r="Q553" s="332"/>
      <c r="R553" s="332"/>
      <c r="S553" s="146"/>
      <c r="T553" s="145"/>
      <c r="U553" s="148"/>
      <c r="V553" s="332"/>
      <c r="W553" s="332"/>
      <c r="X553"/>
    </row>
    <row r="554" spans="1:24" ht="15.5">
      <c r="A554" s="138"/>
      <c r="B554" s="133"/>
      <c r="C554" s="134"/>
      <c r="D554" s="135"/>
      <c r="E554" s="135"/>
      <c r="F554" s="141"/>
      <c r="G554" s="135"/>
      <c r="H554" s="136"/>
      <c r="I554" s="135"/>
      <c r="J554" s="134"/>
      <c r="K554" s="135"/>
      <c r="L554" s="135"/>
      <c r="M554" s="136"/>
      <c r="N554" s="135"/>
      <c r="O554" s="134"/>
      <c r="P554" s="136"/>
      <c r="Q554" s="136"/>
      <c r="R554" s="136"/>
      <c r="S554" s="135"/>
      <c r="T554" s="134"/>
      <c r="U554" s="137"/>
      <c r="V554" s="136"/>
      <c r="W554" s="136"/>
      <c r="X554"/>
    </row>
    <row r="555" spans="1:24" ht="15.5">
      <c r="A555" s="138"/>
      <c r="B555" s="139"/>
      <c r="C555" s="140"/>
      <c r="D555" s="141"/>
      <c r="E555" s="141"/>
      <c r="F555" s="141"/>
      <c r="G555" s="141"/>
      <c r="H555" s="142"/>
      <c r="I555" s="141"/>
      <c r="J555" s="140"/>
      <c r="K555" s="141"/>
      <c r="L555" s="141"/>
      <c r="M555" s="142"/>
      <c r="N555" s="141"/>
      <c r="O555" s="140"/>
      <c r="P555" s="142"/>
      <c r="Q555" s="142"/>
      <c r="R555" s="142"/>
      <c r="S555" s="141"/>
      <c r="T555" s="140"/>
      <c r="U555" s="143"/>
      <c r="V555" s="142"/>
      <c r="W555" s="142"/>
      <c r="X555"/>
    </row>
    <row r="556" spans="1:24" s="149" customFormat="1" ht="15.5">
      <c r="A556" s="138"/>
      <c r="B556" s="144"/>
      <c r="C556" s="145"/>
      <c r="D556" s="146"/>
      <c r="E556" s="146"/>
      <c r="F556" s="146"/>
      <c r="G556" s="146"/>
      <c r="H556" s="332"/>
      <c r="I556" s="146"/>
      <c r="J556" s="145"/>
      <c r="K556" s="146"/>
      <c r="L556" s="146"/>
      <c r="M556" s="332"/>
      <c r="N556" s="146"/>
      <c r="O556" s="145"/>
      <c r="P556" s="332"/>
      <c r="Q556" s="332"/>
      <c r="R556" s="332"/>
      <c r="S556" s="146"/>
      <c r="T556" s="145"/>
      <c r="U556" s="148"/>
      <c r="V556" s="332"/>
      <c r="W556" s="332"/>
      <c r="X556"/>
    </row>
    <row r="557" spans="1:24" ht="15.5">
      <c r="A557" s="138"/>
      <c r="B557" s="133"/>
      <c r="C557" s="134"/>
      <c r="D557" s="135"/>
      <c r="E557" s="141"/>
      <c r="F557" s="135"/>
      <c r="G557" s="135"/>
      <c r="H557" s="136"/>
      <c r="I557" s="135"/>
      <c r="J557" s="134"/>
      <c r="K557" s="135"/>
      <c r="L557" s="135"/>
      <c r="M557" s="136"/>
      <c r="N557" s="135"/>
      <c r="O557" s="134"/>
      <c r="P557" s="136"/>
      <c r="Q557" s="136"/>
      <c r="R557" s="136"/>
      <c r="S557" s="135"/>
      <c r="T557" s="134"/>
      <c r="U557" s="137"/>
      <c r="V557" s="136"/>
      <c r="W557" s="136"/>
      <c r="X557"/>
    </row>
    <row r="558" spans="1:24" ht="15.5">
      <c r="A558" s="138"/>
      <c r="B558" s="139"/>
      <c r="C558" s="140"/>
      <c r="D558" s="141"/>
      <c r="E558" s="141"/>
      <c r="F558" s="141"/>
      <c r="G558" s="141"/>
      <c r="H558" s="142"/>
      <c r="I558" s="141"/>
      <c r="J558" s="140"/>
      <c r="K558" s="141"/>
      <c r="L558" s="141"/>
      <c r="M558" s="142"/>
      <c r="N558" s="141"/>
      <c r="O558" s="140"/>
      <c r="P558" s="142"/>
      <c r="Q558" s="142"/>
      <c r="R558" s="142"/>
      <c r="S558" s="141"/>
      <c r="T558" s="140"/>
      <c r="U558" s="143"/>
      <c r="V558" s="142"/>
      <c r="W558" s="142"/>
      <c r="X558"/>
    </row>
    <row r="559" spans="1:24" s="149" customFormat="1" ht="15.5">
      <c r="A559" s="138"/>
      <c r="B559" s="144"/>
      <c r="C559" s="145"/>
      <c r="D559" s="146"/>
      <c r="E559" s="146"/>
      <c r="F559" s="146"/>
      <c r="G559" s="146"/>
      <c r="H559" s="332"/>
      <c r="I559" s="146"/>
      <c r="J559" s="145"/>
      <c r="K559" s="146"/>
      <c r="L559" s="146"/>
      <c r="M559" s="332"/>
      <c r="N559" s="146"/>
      <c r="O559" s="145"/>
      <c r="P559" s="332"/>
      <c r="Q559" s="332"/>
      <c r="R559" s="332"/>
      <c r="S559" s="146"/>
      <c r="T559" s="145"/>
      <c r="U559" s="148"/>
      <c r="V559" s="332"/>
      <c r="W559" s="332"/>
      <c r="X559"/>
    </row>
    <row r="560" spans="1:24" ht="15.5">
      <c r="A560" s="138"/>
      <c r="B560" s="133"/>
      <c r="C560" s="134"/>
      <c r="D560" s="135"/>
      <c r="E560" s="135"/>
      <c r="F560" s="135"/>
      <c r="G560" s="135"/>
      <c r="H560" s="136"/>
      <c r="I560" s="135"/>
      <c r="J560" s="134"/>
      <c r="K560" s="135"/>
      <c r="L560" s="135"/>
      <c r="M560" s="136"/>
      <c r="N560" s="135"/>
      <c r="O560" s="134"/>
      <c r="P560" s="136"/>
      <c r="Q560" s="136"/>
      <c r="R560" s="136"/>
      <c r="S560" s="135"/>
      <c r="T560" s="134"/>
      <c r="U560" s="137"/>
      <c r="V560" s="136"/>
      <c r="W560" s="136"/>
      <c r="X560"/>
    </row>
    <row r="561" spans="1:24" ht="15.5">
      <c r="A561" s="138"/>
      <c r="B561" s="139"/>
      <c r="C561" s="140"/>
      <c r="D561" s="141"/>
      <c r="E561" s="141"/>
      <c r="F561" s="141"/>
      <c r="G561" s="141"/>
      <c r="H561" s="142"/>
      <c r="I561" s="141"/>
      <c r="J561" s="140"/>
      <c r="K561" s="141"/>
      <c r="L561" s="141"/>
      <c r="M561" s="142"/>
      <c r="N561" s="141"/>
      <c r="O561" s="140"/>
      <c r="P561" s="142"/>
      <c r="Q561" s="142"/>
      <c r="R561" s="142"/>
      <c r="S561" s="141"/>
      <c r="T561" s="140"/>
      <c r="U561" s="143"/>
      <c r="V561" s="142"/>
      <c r="W561" s="142"/>
      <c r="X561"/>
    </row>
    <row r="562" spans="1:24" s="149" customFormat="1" ht="15.5">
      <c r="A562" s="138"/>
      <c r="B562" s="144"/>
      <c r="C562" s="145"/>
      <c r="D562" s="146"/>
      <c r="E562" s="146"/>
      <c r="F562" s="146"/>
      <c r="G562" s="146"/>
      <c r="H562" s="332"/>
      <c r="I562" s="146"/>
      <c r="J562" s="145"/>
      <c r="K562" s="146"/>
      <c r="L562" s="146"/>
      <c r="M562" s="332"/>
      <c r="N562" s="146"/>
      <c r="O562" s="145"/>
      <c r="P562" s="332"/>
      <c r="Q562" s="332"/>
      <c r="R562" s="332"/>
      <c r="S562" s="146"/>
      <c r="T562" s="145"/>
      <c r="U562" s="148"/>
      <c r="V562" s="332"/>
      <c r="W562" s="332"/>
      <c r="X562"/>
    </row>
    <row r="563" spans="1:24" ht="15.5">
      <c r="A563" s="138"/>
      <c r="B563" s="133"/>
      <c r="C563" s="134"/>
      <c r="D563" s="135"/>
      <c r="E563" s="135"/>
      <c r="F563" s="135"/>
      <c r="G563" s="135"/>
      <c r="H563" s="136"/>
      <c r="I563" s="135"/>
      <c r="J563" s="134"/>
      <c r="K563" s="135"/>
      <c r="L563" s="135"/>
      <c r="M563" s="136"/>
      <c r="N563" s="135"/>
      <c r="O563" s="134"/>
      <c r="P563" s="136"/>
      <c r="Q563" s="136"/>
      <c r="R563" s="136"/>
      <c r="S563" s="135"/>
      <c r="T563" s="134"/>
      <c r="U563" s="137"/>
      <c r="V563" s="136"/>
      <c r="W563" s="136"/>
      <c r="X563"/>
    </row>
    <row r="564" spans="1:24" ht="15.5">
      <c r="A564" s="138"/>
      <c r="B564" s="139"/>
      <c r="C564" s="140"/>
      <c r="D564" s="141"/>
      <c r="E564" s="141"/>
      <c r="F564" s="141"/>
      <c r="G564" s="141"/>
      <c r="H564" s="142"/>
      <c r="I564" s="141"/>
      <c r="J564" s="140"/>
      <c r="K564" s="141"/>
      <c r="L564" s="141"/>
      <c r="M564" s="142"/>
      <c r="N564" s="141"/>
      <c r="O564" s="140"/>
      <c r="P564" s="142"/>
      <c r="Q564" s="142"/>
      <c r="R564" s="142"/>
      <c r="S564" s="141"/>
      <c r="T564" s="140"/>
      <c r="U564" s="143"/>
      <c r="V564" s="142"/>
      <c r="W564" s="142"/>
      <c r="X564"/>
    </row>
    <row r="565" spans="1:24" s="149" customFormat="1" ht="15.5">
      <c r="A565" s="138"/>
      <c r="B565" s="144"/>
      <c r="C565" s="145"/>
      <c r="D565" s="146"/>
      <c r="E565" s="146"/>
      <c r="F565" s="146"/>
      <c r="G565" s="146"/>
      <c r="H565" s="332"/>
      <c r="I565" s="146"/>
      <c r="J565" s="145"/>
      <c r="K565" s="146"/>
      <c r="L565" s="146"/>
      <c r="M565" s="332"/>
      <c r="N565" s="146"/>
      <c r="O565" s="145"/>
      <c r="P565" s="332"/>
      <c r="Q565" s="332"/>
      <c r="R565" s="332"/>
      <c r="S565" s="146"/>
      <c r="T565" s="145"/>
      <c r="U565" s="148"/>
      <c r="V565" s="332"/>
      <c r="W565" s="332"/>
      <c r="X565"/>
    </row>
    <row r="566" spans="1:24" ht="15.5">
      <c r="A566" s="138"/>
      <c r="B566" s="133"/>
      <c r="C566" s="134"/>
      <c r="D566" s="135"/>
      <c r="E566" s="135"/>
      <c r="F566" s="135"/>
      <c r="G566" s="135"/>
      <c r="H566" s="136"/>
      <c r="I566" s="135"/>
      <c r="J566" s="134"/>
      <c r="K566" s="135"/>
      <c r="L566" s="135"/>
      <c r="M566" s="136"/>
      <c r="N566" s="135"/>
      <c r="O566" s="134"/>
      <c r="P566" s="136"/>
      <c r="Q566" s="136"/>
      <c r="R566" s="136"/>
      <c r="S566" s="135"/>
      <c r="T566" s="134"/>
      <c r="U566" s="137"/>
      <c r="V566" s="136"/>
      <c r="W566" s="136"/>
      <c r="X566"/>
    </row>
    <row r="567" spans="1:24" ht="15.5">
      <c r="A567" s="138"/>
      <c r="B567" s="139"/>
      <c r="C567" s="140"/>
      <c r="D567" s="141"/>
      <c r="E567" s="141"/>
      <c r="F567" s="141"/>
      <c r="G567" s="141"/>
      <c r="H567" s="142"/>
      <c r="I567" s="141"/>
      <c r="J567" s="140"/>
      <c r="K567" s="141"/>
      <c r="L567" s="141"/>
      <c r="M567" s="142"/>
      <c r="N567" s="141"/>
      <c r="O567" s="140"/>
      <c r="P567" s="142"/>
      <c r="Q567" s="142"/>
      <c r="R567" s="142"/>
      <c r="S567" s="141"/>
      <c r="T567" s="140"/>
      <c r="U567" s="143"/>
      <c r="V567" s="142"/>
      <c r="W567" s="142"/>
      <c r="X567"/>
    </row>
    <row r="568" spans="1:24" s="149" customFormat="1" ht="15.5">
      <c r="A568" s="138"/>
      <c r="B568" s="144"/>
      <c r="C568" s="145"/>
      <c r="D568" s="146"/>
      <c r="E568" s="146"/>
      <c r="F568" s="146"/>
      <c r="G568" s="146"/>
      <c r="H568" s="332"/>
      <c r="I568" s="146"/>
      <c r="J568" s="145"/>
      <c r="K568" s="146"/>
      <c r="L568" s="146"/>
      <c r="M568" s="332"/>
      <c r="N568" s="146"/>
      <c r="O568" s="145"/>
      <c r="P568" s="332"/>
      <c r="Q568" s="332"/>
      <c r="R568" s="332"/>
      <c r="S568" s="146"/>
      <c r="T568" s="145"/>
      <c r="U568" s="148"/>
      <c r="V568" s="332"/>
      <c r="W568" s="332"/>
      <c r="X568"/>
    </row>
    <row r="569" spans="1:24" ht="15.5">
      <c r="A569" s="138"/>
      <c r="B569" s="133"/>
      <c r="C569" s="134"/>
      <c r="D569" s="135"/>
      <c r="E569" s="135"/>
      <c r="F569" s="135"/>
      <c r="G569" s="135"/>
      <c r="H569" s="136"/>
      <c r="I569" s="135"/>
      <c r="J569" s="134"/>
      <c r="K569" s="135"/>
      <c r="L569" s="135"/>
      <c r="M569" s="136"/>
      <c r="N569" s="135"/>
      <c r="O569" s="134"/>
      <c r="P569" s="136"/>
      <c r="Q569" s="136"/>
      <c r="R569" s="136"/>
      <c r="S569" s="135"/>
      <c r="T569" s="134"/>
      <c r="U569" s="137"/>
      <c r="V569" s="136"/>
      <c r="W569" s="136"/>
      <c r="X569"/>
    </row>
    <row r="570" spans="1:24" ht="15.5">
      <c r="A570" s="138"/>
      <c r="B570" s="139"/>
      <c r="C570" s="140"/>
      <c r="D570" s="141"/>
      <c r="E570" s="141"/>
      <c r="F570" s="141"/>
      <c r="G570" s="141"/>
      <c r="H570" s="142"/>
      <c r="I570" s="141"/>
      <c r="J570" s="140"/>
      <c r="K570" s="141"/>
      <c r="L570" s="141"/>
      <c r="M570" s="142"/>
      <c r="N570" s="141"/>
      <c r="O570" s="140"/>
      <c r="P570" s="142"/>
      <c r="Q570" s="142"/>
      <c r="R570" s="142"/>
      <c r="S570" s="141"/>
      <c r="T570" s="140"/>
      <c r="U570" s="143"/>
      <c r="V570" s="142"/>
      <c r="W570" s="142"/>
      <c r="X570"/>
    </row>
    <row r="571" spans="1:24" s="149" customFormat="1" ht="15.5">
      <c r="A571" s="138"/>
      <c r="B571" s="144"/>
      <c r="C571" s="145"/>
      <c r="D571" s="146"/>
      <c r="E571" s="146"/>
      <c r="F571" s="146"/>
      <c r="G571" s="146"/>
      <c r="H571" s="332"/>
      <c r="I571" s="146"/>
      <c r="J571" s="145"/>
      <c r="K571" s="146"/>
      <c r="L571" s="146"/>
      <c r="M571" s="332"/>
      <c r="N571" s="146"/>
      <c r="O571" s="145"/>
      <c r="P571" s="332"/>
      <c r="Q571" s="332"/>
      <c r="R571" s="332"/>
      <c r="S571" s="146"/>
      <c r="T571" s="145"/>
      <c r="U571" s="148"/>
      <c r="V571" s="332"/>
      <c r="W571" s="332"/>
      <c r="X571"/>
    </row>
    <row r="572" spans="1:24" ht="15.5">
      <c r="A572" s="138"/>
      <c r="B572" s="133"/>
      <c r="C572" s="134"/>
      <c r="D572" s="135"/>
      <c r="E572" s="135"/>
      <c r="F572" s="135"/>
      <c r="G572" s="135"/>
      <c r="H572" s="136"/>
      <c r="I572" s="135"/>
      <c r="J572" s="134"/>
      <c r="K572" s="135"/>
      <c r="L572" s="135"/>
      <c r="M572" s="136"/>
      <c r="N572" s="135"/>
      <c r="O572" s="134"/>
      <c r="P572" s="136"/>
      <c r="Q572" s="136"/>
      <c r="R572" s="136"/>
      <c r="S572" s="135"/>
      <c r="T572" s="134"/>
      <c r="U572" s="137"/>
      <c r="V572" s="136"/>
      <c r="W572" s="136"/>
      <c r="X572"/>
    </row>
    <row r="573" spans="1:24" ht="15.5">
      <c r="A573" s="138"/>
      <c r="B573" s="139"/>
      <c r="C573" s="140"/>
      <c r="D573" s="141"/>
      <c r="E573" s="141"/>
      <c r="F573" s="141"/>
      <c r="G573" s="141"/>
      <c r="H573" s="142"/>
      <c r="I573" s="141"/>
      <c r="J573" s="140"/>
      <c r="K573" s="141"/>
      <c r="L573" s="141"/>
      <c r="M573" s="142"/>
      <c r="N573" s="141"/>
      <c r="O573" s="140"/>
      <c r="P573" s="142"/>
      <c r="Q573" s="142"/>
      <c r="R573" s="142"/>
      <c r="S573" s="141"/>
      <c r="T573" s="140"/>
      <c r="U573" s="143"/>
      <c r="V573" s="142"/>
      <c r="W573" s="142"/>
      <c r="X573"/>
    </row>
    <row r="574" spans="1:24" s="149" customFormat="1" ht="15.5">
      <c r="A574" s="138"/>
      <c r="B574" s="144"/>
      <c r="C574" s="145"/>
      <c r="D574" s="146"/>
      <c r="E574" s="146"/>
      <c r="F574" s="146"/>
      <c r="G574" s="146"/>
      <c r="H574" s="332"/>
      <c r="I574" s="146"/>
      <c r="J574" s="145"/>
      <c r="K574" s="146"/>
      <c r="L574" s="146"/>
      <c r="M574" s="332"/>
      <c r="N574" s="146"/>
      <c r="O574" s="145"/>
      <c r="P574" s="332"/>
      <c r="Q574" s="332"/>
      <c r="R574" s="332"/>
      <c r="S574" s="146"/>
      <c r="T574" s="145"/>
      <c r="U574" s="148"/>
      <c r="V574" s="332"/>
      <c r="W574" s="332"/>
      <c r="X574"/>
    </row>
    <row r="575" spans="1:24" ht="15.5">
      <c r="A575" s="138"/>
      <c r="B575" s="133"/>
      <c r="C575" s="134"/>
      <c r="D575" s="135"/>
      <c r="E575" s="135"/>
      <c r="F575" s="135"/>
      <c r="G575" s="135"/>
      <c r="H575" s="136"/>
      <c r="I575" s="135"/>
      <c r="J575" s="134"/>
      <c r="K575" s="135"/>
      <c r="L575" s="135"/>
      <c r="M575" s="136"/>
      <c r="N575" s="135"/>
      <c r="O575" s="134"/>
      <c r="P575" s="136"/>
      <c r="Q575" s="136"/>
      <c r="R575" s="136"/>
      <c r="S575" s="135"/>
      <c r="T575" s="134"/>
      <c r="U575" s="137"/>
      <c r="V575" s="136"/>
      <c r="W575" s="136"/>
      <c r="X575"/>
    </row>
    <row r="576" spans="1:24" ht="15.5">
      <c r="A576" s="138"/>
      <c r="B576" s="139"/>
      <c r="C576" s="140"/>
      <c r="D576" s="141"/>
      <c r="E576" s="141"/>
      <c r="F576" s="141"/>
      <c r="G576" s="141"/>
      <c r="H576" s="142"/>
      <c r="I576" s="141"/>
      <c r="J576" s="140"/>
      <c r="K576" s="141"/>
      <c r="L576" s="141"/>
      <c r="M576" s="142"/>
      <c r="N576" s="141"/>
      <c r="O576" s="140"/>
      <c r="P576" s="142"/>
      <c r="Q576" s="142"/>
      <c r="R576" s="142"/>
      <c r="S576" s="141"/>
      <c r="T576" s="140"/>
      <c r="U576" s="143"/>
      <c r="V576" s="142"/>
      <c r="W576" s="142"/>
      <c r="X576"/>
    </row>
    <row r="577" spans="1:24" s="149" customFormat="1" ht="15.5">
      <c r="A577" s="138"/>
      <c r="B577" s="144"/>
      <c r="C577" s="145"/>
      <c r="D577" s="146"/>
      <c r="E577" s="146"/>
      <c r="F577" s="146"/>
      <c r="G577" s="146"/>
      <c r="H577" s="332"/>
      <c r="I577" s="146"/>
      <c r="J577" s="145"/>
      <c r="K577" s="146"/>
      <c r="L577" s="146"/>
      <c r="M577" s="332"/>
      <c r="N577" s="146"/>
      <c r="O577" s="145"/>
      <c r="P577" s="332"/>
      <c r="Q577" s="332"/>
      <c r="R577" s="332"/>
      <c r="S577" s="146"/>
      <c r="T577" s="145"/>
      <c r="U577" s="148"/>
      <c r="V577" s="332"/>
      <c r="W577" s="332"/>
      <c r="X577"/>
    </row>
    <row r="578" spans="1:24" ht="15.5">
      <c r="A578" s="138"/>
      <c r="B578" s="133"/>
      <c r="C578" s="134"/>
      <c r="D578" s="135"/>
      <c r="E578" s="135"/>
      <c r="F578" s="135"/>
      <c r="G578" s="135"/>
      <c r="H578" s="136"/>
      <c r="I578" s="135"/>
      <c r="J578" s="134"/>
      <c r="K578" s="135"/>
      <c r="L578" s="135"/>
      <c r="M578" s="136"/>
      <c r="N578" s="135"/>
      <c r="O578" s="134"/>
      <c r="P578" s="136"/>
      <c r="Q578" s="136"/>
      <c r="R578" s="136"/>
      <c r="S578" s="135"/>
      <c r="T578" s="134"/>
      <c r="U578" s="137"/>
      <c r="V578" s="136"/>
      <c r="W578" s="136"/>
      <c r="X578"/>
    </row>
    <row r="579" spans="1:24" ht="15.5">
      <c r="A579" s="138"/>
      <c r="B579" s="139"/>
      <c r="C579" s="140"/>
      <c r="D579" s="141"/>
      <c r="E579" s="141"/>
      <c r="F579" s="141"/>
      <c r="G579" s="141"/>
      <c r="H579" s="142"/>
      <c r="I579" s="141"/>
      <c r="J579" s="140"/>
      <c r="K579" s="141"/>
      <c r="L579" s="141"/>
      <c r="M579" s="142"/>
      <c r="N579" s="141"/>
      <c r="O579" s="140"/>
      <c r="P579" s="142"/>
      <c r="Q579" s="142"/>
      <c r="R579" s="142"/>
      <c r="S579" s="141"/>
      <c r="T579" s="140"/>
      <c r="U579" s="143"/>
      <c r="V579" s="142"/>
      <c r="W579" s="142"/>
      <c r="X579"/>
    </row>
    <row r="580" spans="1:24" s="149" customFormat="1" ht="15.5">
      <c r="A580" s="138"/>
      <c r="B580" s="144"/>
      <c r="C580" s="145"/>
      <c r="D580" s="146"/>
      <c r="E580" s="146"/>
      <c r="F580" s="146"/>
      <c r="G580" s="146"/>
      <c r="H580" s="332"/>
      <c r="I580" s="146"/>
      <c r="J580" s="145"/>
      <c r="K580" s="146"/>
      <c r="L580" s="146"/>
      <c r="M580" s="332"/>
      <c r="N580" s="146"/>
      <c r="O580" s="145"/>
      <c r="P580" s="332"/>
      <c r="Q580" s="332"/>
      <c r="R580" s="332"/>
      <c r="S580" s="146"/>
      <c r="T580" s="145"/>
      <c r="U580" s="148"/>
      <c r="V580" s="332"/>
      <c r="W580" s="332"/>
      <c r="X580"/>
    </row>
    <row r="581" spans="1:24" ht="15.5">
      <c r="A581" s="138"/>
      <c r="B581" s="133"/>
      <c r="C581" s="134"/>
      <c r="D581" s="135"/>
      <c r="E581" s="135"/>
      <c r="F581" s="135"/>
      <c r="G581" s="135"/>
      <c r="H581" s="136"/>
      <c r="I581" s="135"/>
      <c r="J581" s="134"/>
      <c r="K581" s="135"/>
      <c r="L581" s="135"/>
      <c r="M581" s="136"/>
      <c r="N581" s="135"/>
      <c r="O581" s="134"/>
      <c r="P581" s="136"/>
      <c r="Q581" s="136"/>
      <c r="R581" s="136"/>
      <c r="S581" s="135"/>
      <c r="T581" s="134"/>
      <c r="U581" s="137"/>
      <c r="V581" s="136"/>
      <c r="W581" s="136"/>
      <c r="X581"/>
    </row>
    <row r="582" spans="1:24" ht="15.5">
      <c r="A582" s="138"/>
      <c r="B582" s="139"/>
      <c r="C582" s="140"/>
      <c r="D582" s="141"/>
      <c r="E582" s="141"/>
      <c r="F582" s="141"/>
      <c r="G582" s="141"/>
      <c r="H582" s="142"/>
      <c r="I582" s="141"/>
      <c r="J582" s="140"/>
      <c r="K582" s="141"/>
      <c r="L582" s="141"/>
      <c r="M582" s="142"/>
      <c r="N582" s="141"/>
      <c r="O582" s="140"/>
      <c r="P582" s="142"/>
      <c r="Q582" s="142"/>
      <c r="R582" s="142"/>
      <c r="S582" s="141"/>
      <c r="T582" s="140"/>
      <c r="U582" s="143"/>
      <c r="V582" s="142"/>
      <c r="W582" s="142"/>
      <c r="X582"/>
    </row>
    <row r="583" spans="1:24" s="149" customFormat="1" ht="15.5">
      <c r="A583" s="138"/>
      <c r="B583" s="144"/>
      <c r="C583" s="145"/>
      <c r="D583" s="146"/>
      <c r="E583" s="146"/>
      <c r="F583" s="146"/>
      <c r="G583" s="146"/>
      <c r="H583" s="332"/>
      <c r="I583" s="146"/>
      <c r="J583" s="145"/>
      <c r="K583" s="146"/>
      <c r="L583" s="146"/>
      <c r="M583" s="332"/>
      <c r="N583" s="146"/>
      <c r="O583" s="145"/>
      <c r="P583" s="332"/>
      <c r="Q583" s="332"/>
      <c r="R583" s="332"/>
      <c r="S583" s="146"/>
      <c r="T583" s="145"/>
      <c r="U583" s="148"/>
      <c r="V583" s="332"/>
      <c r="W583" s="332"/>
      <c r="X583"/>
    </row>
    <row r="584" spans="1:24" ht="15.5">
      <c r="A584" s="138"/>
      <c r="B584" s="133"/>
      <c r="C584" s="134"/>
      <c r="D584" s="135"/>
      <c r="E584" s="135"/>
      <c r="F584" s="135"/>
      <c r="G584" s="135"/>
      <c r="H584" s="136"/>
      <c r="I584" s="135"/>
      <c r="J584" s="134"/>
      <c r="K584" s="135"/>
      <c r="L584" s="135"/>
      <c r="M584" s="136"/>
      <c r="N584" s="135"/>
      <c r="O584" s="134"/>
      <c r="P584" s="136"/>
      <c r="Q584" s="136"/>
      <c r="R584" s="136"/>
      <c r="S584" s="135"/>
      <c r="T584" s="134"/>
      <c r="U584" s="137"/>
      <c r="V584" s="136"/>
      <c r="W584" s="136"/>
      <c r="X584"/>
    </row>
    <row r="585" spans="1:24" ht="15.5">
      <c r="A585" s="138"/>
      <c r="B585" s="139"/>
      <c r="C585" s="140"/>
      <c r="D585" s="141"/>
      <c r="E585" s="141"/>
      <c r="F585" s="141"/>
      <c r="G585" s="141"/>
      <c r="H585" s="142"/>
      <c r="I585" s="141"/>
      <c r="J585" s="140"/>
      <c r="K585" s="141"/>
      <c r="L585" s="141"/>
      <c r="M585" s="142"/>
      <c r="N585" s="141"/>
      <c r="O585" s="140"/>
      <c r="P585" s="142"/>
      <c r="Q585" s="142"/>
      <c r="R585" s="142"/>
      <c r="S585" s="141"/>
      <c r="T585" s="140"/>
      <c r="U585" s="143"/>
      <c r="V585" s="142"/>
      <c r="W585" s="142"/>
      <c r="X585"/>
    </row>
    <row r="586" spans="1:24" s="149" customFormat="1" ht="15.5">
      <c r="A586" s="138"/>
      <c r="B586" s="144"/>
      <c r="C586" s="146"/>
      <c r="D586" s="146"/>
      <c r="E586" s="146"/>
      <c r="F586" s="146"/>
      <c r="G586" s="146"/>
      <c r="H586" s="332"/>
      <c r="I586" s="146"/>
      <c r="J586" s="145"/>
      <c r="K586" s="146"/>
      <c r="L586" s="146"/>
      <c r="M586" s="332"/>
      <c r="N586" s="146"/>
      <c r="O586" s="145"/>
      <c r="P586" s="332"/>
      <c r="Q586" s="332"/>
      <c r="R586" s="332"/>
      <c r="S586" s="146"/>
      <c r="T586" s="145"/>
      <c r="U586" s="148"/>
      <c r="V586" s="332"/>
      <c r="W586" s="332"/>
      <c r="X586"/>
    </row>
    <row r="587" spans="1:24" ht="15.5">
      <c r="A587" s="138"/>
      <c r="B587" s="133"/>
      <c r="C587" s="140"/>
      <c r="D587" s="135"/>
      <c r="E587" s="141"/>
      <c r="F587" s="135"/>
      <c r="G587" s="135"/>
      <c r="H587" s="136"/>
      <c r="I587" s="135"/>
      <c r="J587" s="134"/>
      <c r="K587" s="135"/>
      <c r="L587" s="135"/>
      <c r="M587" s="136"/>
      <c r="N587" s="135"/>
      <c r="O587" s="134"/>
      <c r="P587" s="136"/>
      <c r="Q587" s="136"/>
      <c r="R587" s="136"/>
      <c r="S587" s="135"/>
      <c r="T587" s="134"/>
      <c r="U587" s="137"/>
      <c r="V587" s="136"/>
      <c r="W587" s="136"/>
      <c r="X587"/>
    </row>
    <row r="588" spans="1:24" s="149" customFormat="1" ht="15.5">
      <c r="A588" s="153"/>
      <c r="B588" s="139"/>
      <c r="C588" s="140"/>
      <c r="D588" s="141"/>
      <c r="E588" s="141"/>
      <c r="F588" s="141"/>
      <c r="G588" s="141"/>
      <c r="H588" s="142"/>
      <c r="I588" s="141"/>
      <c r="J588" s="140"/>
      <c r="K588" s="141"/>
      <c r="L588" s="141"/>
      <c r="M588" s="142"/>
      <c r="N588" s="141"/>
      <c r="O588" s="140"/>
      <c r="P588" s="142"/>
      <c r="Q588" s="142"/>
      <c r="R588" s="142"/>
      <c r="S588" s="141"/>
      <c r="T588" s="140"/>
      <c r="U588" s="143"/>
      <c r="V588" s="142"/>
      <c r="W588" s="142"/>
      <c r="X588"/>
    </row>
    <row r="589" spans="1:24" ht="15.5">
      <c r="A589" s="132"/>
      <c r="B589" s="133"/>
      <c r="C589" s="134"/>
      <c r="D589" s="135"/>
      <c r="E589" s="135"/>
      <c r="F589" s="135"/>
      <c r="G589" s="135"/>
      <c r="H589" s="136"/>
      <c r="I589" s="135"/>
      <c r="J589" s="134"/>
      <c r="K589" s="135"/>
      <c r="L589" s="135"/>
      <c r="M589" s="136"/>
      <c r="N589" s="135"/>
      <c r="O589" s="134"/>
      <c r="P589" s="136"/>
      <c r="Q589" s="136"/>
      <c r="R589" s="136"/>
      <c r="S589" s="135"/>
      <c r="T589" s="134"/>
      <c r="U589" s="137"/>
      <c r="V589" s="136"/>
      <c r="W589" s="136"/>
      <c r="X589"/>
    </row>
    <row r="590" spans="1:24" ht="15.5">
      <c r="A590" s="138"/>
      <c r="B590" s="139"/>
      <c r="C590" s="140"/>
      <c r="D590" s="141"/>
      <c r="E590" s="141"/>
      <c r="F590" s="141"/>
      <c r="G590" s="141"/>
      <c r="H590" s="142"/>
      <c r="I590" s="141"/>
      <c r="J590" s="140"/>
      <c r="K590" s="141"/>
      <c r="L590" s="141"/>
      <c r="M590" s="142"/>
      <c r="N590" s="141"/>
      <c r="O590" s="140"/>
      <c r="P590" s="142"/>
      <c r="Q590" s="142"/>
      <c r="R590" s="142"/>
      <c r="S590" s="141"/>
      <c r="T590" s="140"/>
      <c r="U590" s="143"/>
      <c r="V590" s="142"/>
      <c r="W590" s="142"/>
      <c r="X590"/>
    </row>
    <row r="591" spans="1:24" s="149" customFormat="1" ht="15.5">
      <c r="A591" s="138"/>
      <c r="B591" s="144"/>
      <c r="C591" s="152"/>
      <c r="D591" s="146"/>
      <c r="E591" s="146"/>
      <c r="F591" s="146"/>
      <c r="G591" s="146"/>
      <c r="H591" s="332"/>
      <c r="I591" s="146"/>
      <c r="J591" s="145"/>
      <c r="K591" s="146"/>
      <c r="L591" s="146"/>
      <c r="M591" s="332"/>
      <c r="N591" s="146"/>
      <c r="O591" s="145"/>
      <c r="P591" s="332"/>
      <c r="Q591" s="332"/>
      <c r="R591" s="146"/>
      <c r="S591" s="148"/>
      <c r="T591" s="146"/>
      <c r="U591" s="148"/>
      <c r="V591" s="332"/>
      <c r="W591" s="332"/>
      <c r="X591"/>
    </row>
    <row r="592" spans="1:24" ht="15.5">
      <c r="A592" s="138"/>
      <c r="B592" s="133"/>
      <c r="C592" s="134"/>
      <c r="D592" s="141"/>
      <c r="E592" s="141"/>
      <c r="F592" s="135"/>
      <c r="G592" s="135"/>
      <c r="H592" s="136"/>
      <c r="I592" s="135"/>
      <c r="J592" s="134"/>
      <c r="K592" s="135"/>
      <c r="L592" s="141"/>
      <c r="M592" s="136"/>
      <c r="N592" s="135"/>
      <c r="O592" s="134"/>
      <c r="P592" s="136"/>
      <c r="Q592" s="136"/>
      <c r="R592" s="136"/>
      <c r="S592" s="141"/>
      <c r="T592" s="134"/>
      <c r="U592" s="137"/>
      <c r="V592" s="136"/>
      <c r="W592" s="136"/>
      <c r="X592"/>
    </row>
    <row r="593" spans="1:24" ht="15.5">
      <c r="A593" s="138"/>
      <c r="B593" s="139"/>
      <c r="C593" s="140"/>
      <c r="D593" s="141"/>
      <c r="E593" s="141"/>
      <c r="F593" s="141"/>
      <c r="G593" s="141"/>
      <c r="H593" s="142"/>
      <c r="I593" s="141"/>
      <c r="J593" s="140"/>
      <c r="K593" s="141"/>
      <c r="L593" s="141"/>
      <c r="M593" s="142"/>
      <c r="N593" s="141"/>
      <c r="O593" s="140"/>
      <c r="P593" s="142"/>
      <c r="Q593" s="142"/>
      <c r="R593" s="142"/>
      <c r="S593" s="141"/>
      <c r="T593" s="140"/>
      <c r="U593" s="143"/>
      <c r="V593" s="142"/>
      <c r="W593" s="142"/>
      <c r="X593"/>
    </row>
    <row r="594" spans="1:24" s="149" customFormat="1" ht="15.5">
      <c r="A594" s="138"/>
      <c r="B594" s="144"/>
      <c r="C594" s="152"/>
      <c r="D594" s="146"/>
      <c r="E594" s="146"/>
      <c r="F594" s="146"/>
      <c r="G594" s="146"/>
      <c r="H594" s="332"/>
      <c r="I594" s="146"/>
      <c r="J594" s="145"/>
      <c r="K594" s="146"/>
      <c r="L594" s="146"/>
      <c r="M594" s="332"/>
      <c r="N594" s="146"/>
      <c r="O594" s="145"/>
      <c r="P594" s="332"/>
      <c r="Q594" s="332"/>
      <c r="R594" s="332"/>
      <c r="S594" s="146"/>
      <c r="T594" s="145"/>
      <c r="U594" s="148"/>
      <c r="V594" s="332"/>
      <c r="W594" s="332"/>
      <c r="X594"/>
    </row>
    <row r="595" spans="1:24" ht="15.5">
      <c r="A595" s="138"/>
      <c r="B595" s="133"/>
      <c r="C595" s="134"/>
      <c r="D595" s="135"/>
      <c r="E595" s="135"/>
      <c r="F595" s="135"/>
      <c r="G595" s="135"/>
      <c r="H595" s="136"/>
      <c r="I595" s="135"/>
      <c r="J595" s="134"/>
      <c r="K595" s="135"/>
      <c r="L595" s="135"/>
      <c r="M595" s="136"/>
      <c r="N595" s="135"/>
      <c r="O595" s="134"/>
      <c r="P595" s="136"/>
      <c r="Q595" s="136"/>
      <c r="R595" s="136"/>
      <c r="S595" s="135"/>
      <c r="T595" s="134"/>
      <c r="U595" s="137"/>
      <c r="V595" s="136"/>
      <c r="W595" s="136"/>
      <c r="X595"/>
    </row>
    <row r="596" spans="1:24" ht="15.5">
      <c r="A596" s="138"/>
      <c r="B596" s="139"/>
      <c r="C596" s="140"/>
      <c r="D596" s="141"/>
      <c r="E596" s="141"/>
      <c r="F596" s="141"/>
      <c r="G596" s="141"/>
      <c r="H596" s="142"/>
      <c r="I596" s="141"/>
      <c r="J596" s="140"/>
      <c r="K596" s="141"/>
      <c r="L596" s="141"/>
      <c r="M596" s="142"/>
      <c r="N596" s="141"/>
      <c r="O596" s="140"/>
      <c r="P596" s="142"/>
      <c r="Q596" s="142"/>
      <c r="R596" s="142"/>
      <c r="S596" s="141"/>
      <c r="T596" s="140"/>
      <c r="U596" s="143"/>
      <c r="V596" s="142"/>
      <c r="W596" s="142"/>
      <c r="X596"/>
    </row>
    <row r="597" spans="1:24" s="149" customFormat="1" ht="15.5">
      <c r="A597" s="138"/>
      <c r="B597" s="144"/>
      <c r="C597" s="145"/>
      <c r="D597" s="146"/>
      <c r="E597" s="146"/>
      <c r="F597" s="146"/>
      <c r="G597" s="146"/>
      <c r="H597" s="332"/>
      <c r="I597" s="146"/>
      <c r="J597" s="145"/>
      <c r="K597" s="146"/>
      <c r="L597" s="146"/>
      <c r="M597" s="332"/>
      <c r="N597" s="146"/>
      <c r="O597" s="145"/>
      <c r="P597" s="332"/>
      <c r="Q597" s="332"/>
      <c r="R597" s="332"/>
      <c r="S597" s="146"/>
      <c r="T597" s="145"/>
      <c r="U597" s="148"/>
      <c r="V597" s="332"/>
      <c r="W597" s="332"/>
      <c r="X597"/>
    </row>
    <row r="598" spans="1:24" ht="15.5">
      <c r="A598" s="138"/>
      <c r="B598" s="133"/>
      <c r="C598" s="134"/>
      <c r="D598" s="135"/>
      <c r="E598" s="135"/>
      <c r="F598" s="135"/>
      <c r="G598" s="135"/>
      <c r="H598" s="136"/>
      <c r="I598" s="135"/>
      <c r="J598" s="134"/>
      <c r="K598" s="135"/>
      <c r="L598" s="135"/>
      <c r="M598" s="136"/>
      <c r="N598" s="135"/>
      <c r="O598" s="134"/>
      <c r="P598" s="136"/>
      <c r="Q598" s="136"/>
      <c r="R598" s="136"/>
      <c r="S598" s="135"/>
      <c r="T598" s="134"/>
      <c r="U598" s="137"/>
      <c r="V598" s="136"/>
      <c r="W598" s="136"/>
      <c r="X598"/>
    </row>
    <row r="599" spans="1:24" ht="15.5">
      <c r="A599" s="138"/>
      <c r="B599" s="139"/>
      <c r="C599" s="140"/>
      <c r="D599" s="141"/>
      <c r="E599" s="141"/>
      <c r="F599" s="141"/>
      <c r="G599" s="141"/>
      <c r="H599" s="142"/>
      <c r="I599" s="141"/>
      <c r="J599" s="140"/>
      <c r="K599" s="141"/>
      <c r="L599" s="141"/>
      <c r="M599" s="142"/>
      <c r="N599" s="141"/>
      <c r="O599" s="140"/>
      <c r="P599" s="142"/>
      <c r="Q599" s="142"/>
      <c r="R599" s="142"/>
      <c r="S599" s="141"/>
      <c r="T599" s="140"/>
      <c r="U599" s="143"/>
      <c r="V599" s="142"/>
      <c r="W599" s="142"/>
      <c r="X599"/>
    </row>
    <row r="600" spans="1:24" s="149" customFormat="1" ht="15.5">
      <c r="A600" s="138"/>
      <c r="B600" s="144"/>
      <c r="C600" s="145"/>
      <c r="D600" s="146"/>
      <c r="E600" s="146"/>
      <c r="F600" s="146"/>
      <c r="G600" s="146"/>
      <c r="H600" s="332"/>
      <c r="I600" s="146"/>
      <c r="J600" s="145"/>
      <c r="K600" s="146"/>
      <c r="L600" s="146"/>
      <c r="M600" s="332"/>
      <c r="N600" s="146"/>
      <c r="O600" s="145"/>
      <c r="P600" s="332"/>
      <c r="Q600" s="332"/>
      <c r="R600" s="332"/>
      <c r="S600" s="146"/>
      <c r="T600" s="145"/>
      <c r="U600" s="148"/>
      <c r="V600" s="332"/>
      <c r="W600" s="332"/>
      <c r="X600"/>
    </row>
    <row r="601" spans="1:24" ht="15.5">
      <c r="A601" s="138"/>
      <c r="B601" s="133"/>
      <c r="C601" s="134"/>
      <c r="D601" s="135"/>
      <c r="E601" s="135"/>
      <c r="F601" s="135"/>
      <c r="G601" s="135"/>
      <c r="H601" s="136"/>
      <c r="I601" s="135"/>
      <c r="J601" s="134"/>
      <c r="K601" s="135"/>
      <c r="L601" s="135"/>
      <c r="M601" s="136"/>
      <c r="N601" s="135"/>
      <c r="O601" s="134"/>
      <c r="P601" s="136"/>
      <c r="Q601" s="136"/>
      <c r="R601" s="136"/>
      <c r="S601" s="135"/>
      <c r="T601" s="134"/>
      <c r="U601" s="137"/>
      <c r="V601" s="136"/>
      <c r="W601" s="136"/>
      <c r="X601"/>
    </row>
    <row r="602" spans="1:24" ht="15.5">
      <c r="A602" s="138"/>
      <c r="B602" s="139"/>
      <c r="C602" s="140"/>
      <c r="D602" s="141"/>
      <c r="E602" s="141"/>
      <c r="F602" s="141"/>
      <c r="G602" s="157"/>
      <c r="H602" s="142"/>
      <c r="I602" s="141"/>
      <c r="J602" s="140"/>
      <c r="K602" s="141"/>
      <c r="L602" s="141"/>
      <c r="M602" s="142"/>
      <c r="N602" s="141"/>
      <c r="O602" s="140"/>
      <c r="P602" s="142"/>
      <c r="Q602" s="142"/>
      <c r="R602" s="142"/>
      <c r="S602" s="141"/>
      <c r="T602" s="140"/>
      <c r="U602" s="143"/>
      <c r="V602" s="142"/>
      <c r="W602" s="142"/>
      <c r="X602"/>
    </row>
    <row r="603" spans="1:24" s="149" customFormat="1" ht="15.5">
      <c r="A603" s="138"/>
      <c r="B603" s="144"/>
      <c r="C603" s="150"/>
      <c r="D603" s="151"/>
      <c r="E603" s="147"/>
      <c r="F603" s="146"/>
      <c r="G603" s="146"/>
      <c r="H603" s="333"/>
      <c r="I603" s="146"/>
      <c r="J603" s="145"/>
      <c r="K603" s="146"/>
      <c r="L603" s="146"/>
      <c r="M603" s="332"/>
      <c r="N603" s="146"/>
      <c r="O603" s="145"/>
      <c r="P603" s="332"/>
      <c r="Q603" s="332"/>
      <c r="R603" s="332"/>
      <c r="S603" s="146"/>
      <c r="T603" s="145"/>
      <c r="U603" s="148"/>
      <c r="V603" s="332"/>
      <c r="W603" s="332"/>
      <c r="X603"/>
    </row>
    <row r="604" spans="1:24" ht="15.5">
      <c r="A604" s="138"/>
      <c r="B604" s="133"/>
      <c r="C604" s="134"/>
      <c r="D604" s="135"/>
      <c r="E604" s="135"/>
      <c r="F604" s="135"/>
      <c r="G604" s="135"/>
      <c r="H604" s="136"/>
      <c r="I604" s="135"/>
      <c r="J604" s="134"/>
      <c r="K604" s="135"/>
      <c r="L604" s="135"/>
      <c r="M604" s="136"/>
      <c r="N604" s="135"/>
      <c r="O604" s="134"/>
      <c r="P604" s="136"/>
      <c r="Q604" s="136"/>
      <c r="R604" s="136"/>
      <c r="S604" s="135"/>
      <c r="T604" s="134"/>
      <c r="U604" s="137"/>
      <c r="V604" s="136"/>
      <c r="W604" s="136"/>
      <c r="X604"/>
    </row>
    <row r="605" spans="1:24" ht="15.5">
      <c r="A605" s="138"/>
      <c r="B605" s="139"/>
      <c r="C605" s="140"/>
      <c r="D605" s="141"/>
      <c r="E605" s="141"/>
      <c r="F605" s="141"/>
      <c r="G605" s="141"/>
      <c r="H605" s="142"/>
      <c r="I605" s="141"/>
      <c r="J605" s="140"/>
      <c r="K605" s="141"/>
      <c r="L605" s="141"/>
      <c r="M605" s="142"/>
      <c r="N605" s="141"/>
      <c r="O605" s="140"/>
      <c r="P605" s="142"/>
      <c r="Q605" s="142"/>
      <c r="R605" s="142"/>
      <c r="S605" s="141"/>
      <c r="T605" s="140"/>
      <c r="U605" s="143"/>
      <c r="V605" s="142"/>
      <c r="W605" s="142"/>
      <c r="X605"/>
    </row>
    <row r="606" spans="1:24" s="149" customFormat="1" ht="15.5">
      <c r="A606" s="138"/>
      <c r="B606" s="144"/>
      <c r="C606" s="145"/>
      <c r="D606" s="146"/>
      <c r="E606" s="146"/>
      <c r="F606" s="146"/>
      <c r="G606" s="146"/>
      <c r="H606" s="332"/>
      <c r="I606" s="146"/>
      <c r="J606" s="145"/>
      <c r="K606" s="146"/>
      <c r="L606" s="146"/>
      <c r="M606" s="332"/>
      <c r="N606" s="146"/>
      <c r="O606" s="145"/>
      <c r="P606" s="332"/>
      <c r="Q606" s="332"/>
      <c r="R606" s="332"/>
      <c r="S606" s="146"/>
      <c r="T606" s="145"/>
      <c r="U606" s="148"/>
      <c r="V606" s="332"/>
      <c r="W606" s="332"/>
      <c r="X606"/>
    </row>
    <row r="607" spans="1:24" ht="15.5">
      <c r="A607" s="138"/>
      <c r="B607" s="133"/>
      <c r="C607" s="134"/>
      <c r="D607" s="135"/>
      <c r="E607" s="135"/>
      <c r="F607" s="141"/>
      <c r="G607" s="135"/>
      <c r="H607" s="136"/>
      <c r="I607" s="135"/>
      <c r="J607" s="134"/>
      <c r="K607" s="135"/>
      <c r="L607" s="135"/>
      <c r="M607" s="136"/>
      <c r="N607" s="135"/>
      <c r="O607" s="134"/>
      <c r="P607" s="136"/>
      <c r="Q607" s="136"/>
      <c r="R607" s="136"/>
      <c r="S607" s="135"/>
      <c r="T607" s="134"/>
      <c r="U607" s="137"/>
      <c r="V607" s="136"/>
      <c r="W607" s="136"/>
      <c r="X607"/>
    </row>
    <row r="608" spans="1:24" ht="15.5">
      <c r="A608" s="138"/>
      <c r="B608" s="139"/>
      <c r="C608" s="140"/>
      <c r="D608" s="141"/>
      <c r="E608" s="141"/>
      <c r="F608" s="141"/>
      <c r="G608" s="141"/>
      <c r="H608" s="142"/>
      <c r="I608" s="141"/>
      <c r="J608" s="140"/>
      <c r="K608" s="141"/>
      <c r="L608" s="141"/>
      <c r="M608" s="142"/>
      <c r="N608" s="141"/>
      <c r="O608" s="140"/>
      <c r="P608" s="142"/>
      <c r="Q608" s="142"/>
      <c r="R608" s="142"/>
      <c r="S608" s="141"/>
      <c r="T608" s="140"/>
      <c r="U608" s="143"/>
      <c r="V608" s="142"/>
      <c r="W608" s="142"/>
      <c r="X608"/>
    </row>
    <row r="609" spans="1:24" s="149" customFormat="1" ht="15.5">
      <c r="A609" s="138"/>
      <c r="B609" s="144"/>
      <c r="C609" s="145"/>
      <c r="D609" s="146"/>
      <c r="E609" s="146"/>
      <c r="F609" s="146"/>
      <c r="G609" s="147"/>
      <c r="H609" s="332"/>
      <c r="I609" s="146"/>
      <c r="J609" s="145"/>
      <c r="K609" s="146"/>
      <c r="L609" s="146"/>
      <c r="M609" s="332"/>
      <c r="N609" s="146"/>
      <c r="O609" s="145"/>
      <c r="P609" s="332"/>
      <c r="Q609" s="332"/>
      <c r="R609" s="332"/>
      <c r="S609" s="146"/>
      <c r="T609" s="145"/>
      <c r="U609" s="148"/>
      <c r="V609" s="332"/>
      <c r="W609" s="332"/>
      <c r="X609"/>
    </row>
    <row r="610" spans="1:24" ht="15.5">
      <c r="A610" s="138"/>
      <c r="B610" s="133"/>
      <c r="C610" s="134"/>
      <c r="D610" s="135"/>
      <c r="E610" s="141"/>
      <c r="F610" s="135"/>
      <c r="G610" s="135"/>
      <c r="H610" s="136"/>
      <c r="I610" s="135"/>
      <c r="J610" s="134"/>
      <c r="K610" s="135"/>
      <c r="L610" s="135"/>
      <c r="M610" s="136"/>
      <c r="N610" s="135"/>
      <c r="O610" s="134"/>
      <c r="P610" s="136"/>
      <c r="Q610" s="136"/>
      <c r="R610" s="136"/>
      <c r="S610" s="135"/>
      <c r="T610" s="134"/>
      <c r="U610" s="137"/>
      <c r="V610" s="136"/>
      <c r="W610" s="136"/>
      <c r="X610"/>
    </row>
    <row r="611" spans="1:24" ht="15.5">
      <c r="A611" s="138"/>
      <c r="B611" s="139"/>
      <c r="C611" s="140"/>
      <c r="D611" s="141"/>
      <c r="E611" s="141"/>
      <c r="F611" s="141"/>
      <c r="G611" s="141"/>
      <c r="H611" s="142"/>
      <c r="I611" s="141"/>
      <c r="J611" s="140"/>
      <c r="K611" s="141"/>
      <c r="L611" s="141"/>
      <c r="M611" s="142"/>
      <c r="N611" s="141"/>
      <c r="O611" s="140"/>
      <c r="P611" s="142"/>
      <c r="Q611" s="142"/>
      <c r="R611" s="142"/>
      <c r="S611" s="141"/>
      <c r="T611" s="140"/>
      <c r="U611" s="143"/>
      <c r="V611" s="142"/>
      <c r="W611" s="142"/>
      <c r="X611"/>
    </row>
    <row r="612" spans="1:24" s="149" customFormat="1" ht="15.5">
      <c r="A612" s="138"/>
      <c r="B612" s="144"/>
      <c r="C612" s="145"/>
      <c r="D612" s="146"/>
      <c r="E612" s="146"/>
      <c r="F612" s="146"/>
      <c r="G612" s="146"/>
      <c r="H612" s="332"/>
      <c r="I612" s="146"/>
      <c r="J612" s="145"/>
      <c r="K612" s="146"/>
      <c r="L612" s="146"/>
      <c r="M612" s="332"/>
      <c r="N612" s="146"/>
      <c r="O612" s="145"/>
      <c r="P612" s="332"/>
      <c r="Q612" s="332"/>
      <c r="R612" s="332"/>
      <c r="S612" s="146"/>
      <c r="T612" s="145"/>
      <c r="U612" s="148"/>
      <c r="V612" s="332"/>
      <c r="W612" s="332"/>
      <c r="X612"/>
    </row>
    <row r="613" spans="1:24" ht="15.5">
      <c r="A613" s="138"/>
      <c r="B613" s="133"/>
      <c r="C613" s="134"/>
      <c r="D613" s="135"/>
      <c r="E613" s="135"/>
      <c r="F613" s="135"/>
      <c r="G613" s="135"/>
      <c r="H613" s="136"/>
      <c r="I613" s="135"/>
      <c r="J613" s="134"/>
      <c r="K613" s="135"/>
      <c r="L613" s="135"/>
      <c r="M613" s="136"/>
      <c r="N613" s="135"/>
      <c r="O613" s="134"/>
      <c r="P613" s="136"/>
      <c r="Q613" s="136"/>
      <c r="R613" s="136"/>
      <c r="S613" s="135"/>
      <c r="T613" s="134"/>
      <c r="U613" s="137"/>
      <c r="V613" s="136"/>
      <c r="W613" s="136"/>
      <c r="X613"/>
    </row>
    <row r="614" spans="1:24" ht="15.5">
      <c r="A614" s="138"/>
      <c r="B614" s="139"/>
      <c r="C614" s="140"/>
      <c r="D614" s="141"/>
      <c r="E614" s="141"/>
      <c r="F614" s="141"/>
      <c r="G614" s="141"/>
      <c r="H614" s="142"/>
      <c r="I614" s="141"/>
      <c r="J614" s="140"/>
      <c r="K614" s="141"/>
      <c r="L614" s="141"/>
      <c r="M614" s="142"/>
      <c r="N614" s="141"/>
      <c r="O614" s="140"/>
      <c r="P614" s="142"/>
      <c r="Q614" s="142"/>
      <c r="R614" s="142"/>
      <c r="S614" s="141"/>
      <c r="T614" s="140"/>
      <c r="U614" s="143"/>
      <c r="V614" s="142"/>
      <c r="W614" s="142"/>
      <c r="X614"/>
    </row>
    <row r="615" spans="1:24" s="149" customFormat="1" ht="15.5">
      <c r="A615" s="138"/>
      <c r="B615" s="144"/>
      <c r="C615" s="145"/>
      <c r="D615" s="146"/>
      <c r="E615" s="146"/>
      <c r="F615" s="146"/>
      <c r="G615" s="146"/>
      <c r="H615" s="332"/>
      <c r="I615" s="146"/>
      <c r="J615" s="145"/>
      <c r="K615" s="146"/>
      <c r="L615" s="146"/>
      <c r="M615" s="332"/>
      <c r="N615" s="146"/>
      <c r="O615" s="145"/>
      <c r="P615" s="332"/>
      <c r="Q615" s="332"/>
      <c r="R615" s="332"/>
      <c r="S615" s="146"/>
      <c r="T615" s="145"/>
      <c r="U615" s="148"/>
      <c r="V615" s="332"/>
      <c r="W615" s="332"/>
      <c r="X615"/>
    </row>
    <row r="616" spans="1:24" ht="15.5">
      <c r="A616" s="138"/>
      <c r="B616" s="133"/>
      <c r="C616" s="134"/>
      <c r="D616" s="135"/>
      <c r="E616" s="135"/>
      <c r="F616" s="135"/>
      <c r="G616" s="135"/>
      <c r="H616" s="136"/>
      <c r="I616" s="135"/>
      <c r="J616" s="134"/>
      <c r="K616" s="135"/>
      <c r="L616" s="135"/>
      <c r="M616" s="136"/>
      <c r="N616" s="135"/>
      <c r="O616" s="134"/>
      <c r="P616" s="136"/>
      <c r="Q616" s="136"/>
      <c r="R616" s="136"/>
      <c r="S616" s="135"/>
      <c r="T616" s="134"/>
      <c r="U616" s="137"/>
      <c r="V616" s="136"/>
      <c r="W616" s="136"/>
      <c r="X616"/>
    </row>
    <row r="617" spans="1:24" ht="15.5">
      <c r="A617" s="138"/>
      <c r="B617" s="139"/>
      <c r="C617" s="140"/>
      <c r="D617" s="141"/>
      <c r="E617" s="141"/>
      <c r="F617" s="141"/>
      <c r="G617" s="141"/>
      <c r="H617" s="142"/>
      <c r="I617" s="141"/>
      <c r="J617" s="140"/>
      <c r="K617" s="141"/>
      <c r="L617" s="141"/>
      <c r="M617" s="142"/>
      <c r="N617" s="141"/>
      <c r="O617" s="140"/>
      <c r="P617" s="142"/>
      <c r="Q617" s="142"/>
      <c r="R617" s="142"/>
      <c r="S617" s="141"/>
      <c r="T617" s="140"/>
      <c r="U617" s="143"/>
      <c r="V617" s="142"/>
      <c r="W617" s="142"/>
      <c r="X617"/>
    </row>
    <row r="618" spans="1:24" s="149" customFormat="1" ht="15.5">
      <c r="A618" s="138"/>
      <c r="B618" s="144"/>
      <c r="C618" s="145"/>
      <c r="D618" s="146"/>
      <c r="E618" s="146"/>
      <c r="F618" s="146"/>
      <c r="G618" s="146"/>
      <c r="H618" s="332"/>
      <c r="I618" s="146"/>
      <c r="J618" s="145"/>
      <c r="K618" s="146"/>
      <c r="L618" s="146"/>
      <c r="M618" s="332"/>
      <c r="N618" s="146"/>
      <c r="O618" s="145"/>
      <c r="P618" s="332"/>
      <c r="Q618" s="332"/>
      <c r="R618" s="332"/>
      <c r="S618" s="146"/>
      <c r="T618" s="145"/>
      <c r="U618" s="148"/>
      <c r="V618" s="332"/>
      <c r="W618" s="332"/>
      <c r="X618"/>
    </row>
    <row r="619" spans="1:24" ht="15.5">
      <c r="A619" s="138"/>
      <c r="B619" s="133"/>
      <c r="C619" s="134"/>
      <c r="D619" s="135"/>
      <c r="E619" s="135"/>
      <c r="F619" s="135"/>
      <c r="G619" s="135"/>
      <c r="H619" s="136"/>
      <c r="I619" s="135"/>
      <c r="J619" s="134"/>
      <c r="K619" s="135"/>
      <c r="L619" s="135"/>
      <c r="M619" s="136"/>
      <c r="N619" s="135"/>
      <c r="O619" s="134"/>
      <c r="P619" s="136"/>
      <c r="Q619" s="136"/>
      <c r="R619" s="136"/>
      <c r="S619" s="135"/>
      <c r="T619" s="134"/>
      <c r="U619" s="137"/>
      <c r="V619" s="136"/>
      <c r="W619" s="136"/>
      <c r="X619"/>
    </row>
    <row r="620" spans="1:24" ht="15.5">
      <c r="A620" s="138"/>
      <c r="B620" s="139"/>
      <c r="C620" s="140"/>
      <c r="D620" s="141"/>
      <c r="E620" s="141"/>
      <c r="F620" s="141"/>
      <c r="G620" s="141"/>
      <c r="H620" s="142"/>
      <c r="I620" s="141"/>
      <c r="J620" s="140"/>
      <c r="K620" s="141"/>
      <c r="L620" s="141"/>
      <c r="M620" s="142"/>
      <c r="N620" s="141"/>
      <c r="O620" s="140"/>
      <c r="P620" s="142"/>
      <c r="Q620" s="142"/>
      <c r="R620" s="142"/>
      <c r="S620" s="141"/>
      <c r="T620" s="140"/>
      <c r="U620" s="143"/>
      <c r="V620" s="142"/>
      <c r="W620" s="142"/>
      <c r="X620"/>
    </row>
    <row r="621" spans="1:24" s="149" customFormat="1" ht="15.5">
      <c r="A621" s="138"/>
      <c r="B621" s="144"/>
      <c r="C621" s="145"/>
      <c r="D621" s="146"/>
      <c r="E621" s="146"/>
      <c r="F621" s="146"/>
      <c r="G621" s="146"/>
      <c r="H621" s="332"/>
      <c r="I621" s="146"/>
      <c r="J621" s="145"/>
      <c r="K621" s="146"/>
      <c r="L621" s="146"/>
      <c r="M621" s="332"/>
      <c r="N621" s="146"/>
      <c r="O621" s="145"/>
      <c r="P621" s="332"/>
      <c r="Q621" s="332"/>
      <c r="R621" s="332"/>
      <c r="S621" s="146"/>
      <c r="T621" s="145"/>
      <c r="U621" s="148"/>
      <c r="V621" s="332"/>
      <c r="W621" s="332"/>
      <c r="X621"/>
    </row>
    <row r="622" spans="1:24" ht="15.5">
      <c r="A622" s="138"/>
      <c r="B622" s="133"/>
      <c r="C622" s="134"/>
      <c r="D622" s="135"/>
      <c r="E622" s="135"/>
      <c r="F622" s="135"/>
      <c r="G622" s="135"/>
      <c r="H622" s="136"/>
      <c r="I622" s="135"/>
      <c r="J622" s="134"/>
      <c r="K622" s="135"/>
      <c r="L622" s="135"/>
      <c r="M622" s="136"/>
      <c r="N622" s="135"/>
      <c r="O622" s="134"/>
      <c r="P622" s="136"/>
      <c r="Q622" s="136"/>
      <c r="R622" s="136"/>
      <c r="S622" s="135"/>
      <c r="T622" s="134"/>
      <c r="U622" s="137"/>
      <c r="V622" s="136"/>
      <c r="W622" s="136"/>
      <c r="X622"/>
    </row>
    <row r="623" spans="1:24" ht="15.5">
      <c r="A623" s="138"/>
      <c r="B623" s="139"/>
      <c r="C623" s="140"/>
      <c r="D623" s="141"/>
      <c r="E623" s="141"/>
      <c r="F623" s="141"/>
      <c r="G623" s="141"/>
      <c r="H623" s="142"/>
      <c r="I623" s="141"/>
      <c r="J623" s="140"/>
      <c r="K623" s="141"/>
      <c r="L623" s="141"/>
      <c r="M623" s="142"/>
      <c r="N623" s="141"/>
      <c r="O623" s="140"/>
      <c r="P623" s="142"/>
      <c r="Q623" s="142"/>
      <c r="R623" s="142"/>
      <c r="S623" s="141"/>
      <c r="T623" s="140"/>
      <c r="U623" s="143"/>
      <c r="V623" s="142"/>
      <c r="W623" s="142"/>
      <c r="X623"/>
    </row>
    <row r="624" spans="1:24" s="149" customFormat="1" ht="15.5">
      <c r="A624" s="138"/>
      <c r="B624" s="144"/>
      <c r="C624" s="145"/>
      <c r="D624" s="146"/>
      <c r="E624" s="146"/>
      <c r="F624" s="146"/>
      <c r="G624" s="146"/>
      <c r="H624" s="332"/>
      <c r="I624" s="146"/>
      <c r="J624" s="145"/>
      <c r="K624" s="146"/>
      <c r="L624" s="146"/>
      <c r="M624" s="332"/>
      <c r="N624" s="146"/>
      <c r="O624" s="145"/>
      <c r="P624" s="332"/>
      <c r="Q624" s="332"/>
      <c r="R624" s="332"/>
      <c r="S624" s="146"/>
      <c r="T624" s="145"/>
      <c r="U624" s="148"/>
      <c r="V624" s="332"/>
      <c r="W624" s="332"/>
      <c r="X624"/>
    </row>
    <row r="625" spans="1:24" ht="15.5">
      <c r="A625" s="138"/>
      <c r="B625" s="133"/>
      <c r="C625" s="134"/>
      <c r="D625" s="135"/>
      <c r="E625" s="135"/>
      <c r="F625" s="135"/>
      <c r="G625" s="135"/>
      <c r="H625" s="136"/>
      <c r="I625" s="135"/>
      <c r="J625" s="134"/>
      <c r="K625" s="135"/>
      <c r="L625" s="135"/>
      <c r="M625" s="136"/>
      <c r="N625" s="135"/>
      <c r="O625" s="134"/>
      <c r="P625" s="136"/>
      <c r="Q625" s="136"/>
      <c r="R625" s="136"/>
      <c r="S625" s="135"/>
      <c r="T625" s="134"/>
      <c r="U625" s="137"/>
      <c r="V625" s="136"/>
      <c r="W625" s="136"/>
      <c r="X625"/>
    </row>
    <row r="626" spans="1:24" ht="15.5">
      <c r="A626" s="138"/>
      <c r="B626" s="139"/>
      <c r="C626" s="140"/>
      <c r="D626" s="141"/>
      <c r="E626" s="141"/>
      <c r="F626" s="141"/>
      <c r="G626" s="141"/>
      <c r="H626" s="142"/>
      <c r="I626" s="141"/>
      <c r="J626" s="140"/>
      <c r="K626" s="141"/>
      <c r="L626" s="141"/>
      <c r="M626" s="142"/>
      <c r="N626" s="141"/>
      <c r="O626" s="140"/>
      <c r="P626" s="142"/>
      <c r="Q626" s="142"/>
      <c r="R626" s="142"/>
      <c r="S626" s="141"/>
      <c r="T626" s="140"/>
      <c r="U626" s="143"/>
      <c r="V626" s="142"/>
      <c r="W626" s="142"/>
      <c r="X626"/>
    </row>
    <row r="627" spans="1:24" s="149" customFormat="1" ht="15.5">
      <c r="A627" s="138"/>
      <c r="B627" s="144"/>
      <c r="C627" s="145"/>
      <c r="D627" s="146"/>
      <c r="E627" s="146"/>
      <c r="F627" s="146"/>
      <c r="G627" s="146"/>
      <c r="H627" s="332"/>
      <c r="I627" s="146"/>
      <c r="J627" s="145"/>
      <c r="K627" s="146"/>
      <c r="L627" s="146"/>
      <c r="M627" s="332"/>
      <c r="N627" s="146"/>
      <c r="O627" s="145"/>
      <c r="P627" s="332"/>
      <c r="Q627" s="332"/>
      <c r="R627" s="332"/>
      <c r="S627" s="146"/>
      <c r="T627" s="145"/>
      <c r="U627" s="148"/>
      <c r="V627" s="332"/>
      <c r="W627" s="332"/>
      <c r="X627"/>
    </row>
    <row r="628" spans="1:24" ht="15.5">
      <c r="A628" s="138"/>
      <c r="B628" s="133"/>
      <c r="C628" s="134"/>
      <c r="D628" s="135"/>
      <c r="E628" s="135"/>
      <c r="F628" s="135"/>
      <c r="G628" s="135"/>
      <c r="H628" s="136"/>
      <c r="I628" s="135"/>
      <c r="J628" s="134"/>
      <c r="K628" s="135"/>
      <c r="L628" s="135"/>
      <c r="M628" s="136"/>
      <c r="N628" s="135"/>
      <c r="O628" s="134"/>
      <c r="P628" s="136"/>
      <c r="Q628" s="136"/>
      <c r="R628" s="136"/>
      <c r="S628" s="135"/>
      <c r="T628" s="134"/>
      <c r="U628" s="137"/>
      <c r="V628" s="136"/>
      <c r="W628" s="136"/>
      <c r="X628"/>
    </row>
    <row r="629" spans="1:24" ht="15.5">
      <c r="A629" s="138"/>
      <c r="B629" s="139"/>
      <c r="C629" s="140"/>
      <c r="D629" s="141"/>
      <c r="E629" s="141"/>
      <c r="F629" s="141"/>
      <c r="G629" s="141"/>
      <c r="H629" s="142"/>
      <c r="I629" s="141"/>
      <c r="J629" s="140"/>
      <c r="K629" s="141"/>
      <c r="L629" s="141"/>
      <c r="M629" s="142"/>
      <c r="N629" s="141"/>
      <c r="O629" s="140"/>
      <c r="P629" s="142"/>
      <c r="Q629" s="142"/>
      <c r="R629" s="142"/>
      <c r="S629" s="141"/>
      <c r="T629" s="140"/>
      <c r="U629" s="143"/>
      <c r="V629" s="142"/>
      <c r="W629" s="142"/>
      <c r="X629"/>
    </row>
    <row r="630" spans="1:24" s="149" customFormat="1" ht="15.5">
      <c r="A630" s="138"/>
      <c r="B630" s="144"/>
      <c r="C630" s="145"/>
      <c r="D630" s="146"/>
      <c r="E630" s="146"/>
      <c r="F630" s="146"/>
      <c r="G630" s="146"/>
      <c r="H630" s="332"/>
      <c r="I630" s="146"/>
      <c r="J630" s="145"/>
      <c r="K630" s="146"/>
      <c r="L630" s="146"/>
      <c r="M630" s="332"/>
      <c r="N630" s="146"/>
      <c r="O630" s="145"/>
      <c r="P630" s="332"/>
      <c r="Q630" s="332"/>
      <c r="R630" s="332"/>
      <c r="S630" s="146"/>
      <c r="T630" s="145"/>
      <c r="U630" s="148"/>
      <c r="V630" s="332"/>
      <c r="W630" s="332"/>
      <c r="X630"/>
    </row>
    <row r="631" spans="1:24" ht="15.5">
      <c r="A631" s="138"/>
      <c r="B631" s="133"/>
      <c r="C631" s="134"/>
      <c r="D631" s="135"/>
      <c r="E631" s="135"/>
      <c r="F631" s="135"/>
      <c r="G631" s="135"/>
      <c r="H631" s="136"/>
      <c r="I631" s="135"/>
      <c r="J631" s="134"/>
      <c r="K631" s="135"/>
      <c r="L631" s="135"/>
      <c r="M631" s="136"/>
      <c r="N631" s="135"/>
      <c r="O631" s="134"/>
      <c r="P631" s="136"/>
      <c r="Q631" s="136"/>
      <c r="R631" s="136"/>
      <c r="S631" s="135"/>
      <c r="T631" s="134"/>
      <c r="U631" s="137"/>
      <c r="V631" s="136"/>
      <c r="W631" s="136"/>
      <c r="X631"/>
    </row>
    <row r="632" spans="1:24" ht="15.5">
      <c r="A632" s="138"/>
      <c r="B632" s="139"/>
      <c r="C632" s="140"/>
      <c r="D632" s="141"/>
      <c r="E632" s="141"/>
      <c r="F632" s="141"/>
      <c r="G632" s="141"/>
      <c r="H632" s="142"/>
      <c r="I632" s="141"/>
      <c r="J632" s="140"/>
      <c r="K632" s="141"/>
      <c r="L632" s="141"/>
      <c r="M632" s="142"/>
      <c r="N632" s="141"/>
      <c r="O632" s="140"/>
      <c r="P632" s="142"/>
      <c r="Q632" s="142"/>
      <c r="R632" s="142"/>
      <c r="S632" s="141"/>
      <c r="T632" s="140"/>
      <c r="U632" s="143"/>
      <c r="V632" s="142"/>
      <c r="W632" s="142"/>
      <c r="X632"/>
    </row>
    <row r="633" spans="1:24" s="149" customFormat="1" ht="15.5">
      <c r="A633" s="138"/>
      <c r="B633" s="144"/>
      <c r="C633" s="145"/>
      <c r="D633" s="146"/>
      <c r="E633" s="146"/>
      <c r="F633" s="146"/>
      <c r="G633" s="146"/>
      <c r="H633" s="332"/>
      <c r="I633" s="146"/>
      <c r="J633" s="145"/>
      <c r="K633" s="146"/>
      <c r="L633" s="146"/>
      <c r="M633" s="332"/>
      <c r="N633" s="146"/>
      <c r="O633" s="145"/>
      <c r="P633" s="332"/>
      <c r="Q633" s="332"/>
      <c r="R633" s="332"/>
      <c r="S633" s="146"/>
      <c r="T633" s="145"/>
      <c r="U633" s="148"/>
      <c r="V633" s="332"/>
      <c r="W633" s="332"/>
      <c r="X633"/>
    </row>
    <row r="634" spans="1:24" ht="15.5">
      <c r="A634" s="138"/>
      <c r="B634" s="133"/>
      <c r="C634" s="134"/>
      <c r="D634" s="135"/>
      <c r="E634" s="135"/>
      <c r="F634" s="135"/>
      <c r="G634" s="135"/>
      <c r="H634" s="136"/>
      <c r="I634" s="135"/>
      <c r="J634" s="134"/>
      <c r="K634" s="135"/>
      <c r="L634" s="135"/>
      <c r="M634" s="136"/>
      <c r="N634" s="135"/>
      <c r="O634" s="134"/>
      <c r="P634" s="136"/>
      <c r="Q634" s="136"/>
      <c r="R634" s="136"/>
      <c r="S634" s="135"/>
      <c r="T634" s="134"/>
      <c r="U634" s="137"/>
      <c r="V634" s="136"/>
      <c r="W634" s="136"/>
      <c r="X634"/>
    </row>
    <row r="635" spans="1:24" ht="15.5">
      <c r="A635" s="138"/>
      <c r="B635" s="139"/>
      <c r="C635" s="140"/>
      <c r="D635" s="141"/>
      <c r="E635" s="141"/>
      <c r="F635" s="141"/>
      <c r="G635" s="141"/>
      <c r="H635" s="142"/>
      <c r="I635" s="141"/>
      <c r="J635" s="140"/>
      <c r="K635" s="141"/>
      <c r="L635" s="141"/>
      <c r="M635" s="142"/>
      <c r="N635" s="141"/>
      <c r="O635" s="140"/>
      <c r="P635" s="142"/>
      <c r="Q635" s="142"/>
      <c r="R635" s="142"/>
      <c r="S635" s="141"/>
      <c r="T635" s="140"/>
      <c r="U635" s="143"/>
      <c r="V635" s="142"/>
      <c r="W635" s="142"/>
      <c r="X635"/>
    </row>
    <row r="636" spans="1:24" s="149" customFormat="1" ht="15.5">
      <c r="A636" s="138"/>
      <c r="B636" s="144"/>
      <c r="C636" s="145"/>
      <c r="D636" s="146"/>
      <c r="E636" s="146"/>
      <c r="F636" s="146"/>
      <c r="G636" s="146"/>
      <c r="H636" s="332"/>
      <c r="I636" s="146"/>
      <c r="J636" s="145"/>
      <c r="K636" s="146"/>
      <c r="L636" s="146"/>
      <c r="M636" s="332"/>
      <c r="N636" s="146"/>
      <c r="O636" s="145"/>
      <c r="P636" s="332"/>
      <c r="Q636" s="332"/>
      <c r="R636" s="332"/>
      <c r="S636" s="146"/>
      <c r="T636" s="145"/>
      <c r="U636" s="148"/>
      <c r="V636" s="332"/>
      <c r="W636" s="332"/>
      <c r="X636"/>
    </row>
    <row r="637" spans="1:24" ht="15.5">
      <c r="A637" s="138"/>
      <c r="B637" s="133"/>
      <c r="C637" s="134"/>
      <c r="D637" s="135"/>
      <c r="E637" s="135"/>
      <c r="F637" s="135"/>
      <c r="G637" s="135"/>
      <c r="H637" s="136"/>
      <c r="I637" s="135"/>
      <c r="J637" s="134"/>
      <c r="K637" s="135"/>
      <c r="L637" s="135"/>
      <c r="M637" s="136"/>
      <c r="N637" s="135"/>
      <c r="O637" s="134"/>
      <c r="P637" s="136"/>
      <c r="Q637" s="136"/>
      <c r="R637" s="136"/>
      <c r="S637" s="135"/>
      <c r="T637" s="134"/>
      <c r="U637" s="137"/>
      <c r="V637" s="136"/>
      <c r="W637" s="136"/>
      <c r="X637"/>
    </row>
    <row r="638" spans="1:24" ht="15.5">
      <c r="A638" s="138"/>
      <c r="B638" s="139"/>
      <c r="C638" s="140"/>
      <c r="D638" s="141"/>
      <c r="E638" s="141"/>
      <c r="F638" s="141"/>
      <c r="G638" s="141"/>
      <c r="H638" s="142"/>
      <c r="I638" s="141"/>
      <c r="J638" s="140"/>
      <c r="K638" s="141"/>
      <c r="L638" s="141"/>
      <c r="M638" s="142"/>
      <c r="N638" s="141"/>
      <c r="O638" s="140"/>
      <c r="P638" s="142"/>
      <c r="Q638" s="142"/>
      <c r="R638" s="142"/>
      <c r="S638" s="141"/>
      <c r="T638" s="140"/>
      <c r="U638" s="143"/>
      <c r="V638" s="142"/>
      <c r="W638" s="142"/>
      <c r="X638"/>
    </row>
    <row r="639" spans="1:24" s="149" customFormat="1" ht="15.5">
      <c r="A639" s="138"/>
      <c r="B639" s="144"/>
      <c r="C639" s="146"/>
      <c r="D639" s="146"/>
      <c r="E639" s="146"/>
      <c r="F639" s="146"/>
      <c r="G639" s="146"/>
      <c r="H639" s="332"/>
      <c r="I639" s="146"/>
      <c r="J639" s="145"/>
      <c r="K639" s="146"/>
      <c r="L639" s="146"/>
      <c r="M639" s="332"/>
      <c r="N639" s="146"/>
      <c r="O639" s="145"/>
      <c r="P639" s="332"/>
      <c r="Q639" s="332"/>
      <c r="R639" s="332"/>
      <c r="S639" s="146"/>
      <c r="T639" s="145"/>
      <c r="U639" s="148"/>
      <c r="V639" s="332"/>
      <c r="W639" s="332"/>
      <c r="X639"/>
    </row>
    <row r="640" spans="1:24" ht="15.5">
      <c r="A640" s="138"/>
      <c r="B640" s="133"/>
      <c r="C640" s="140"/>
      <c r="D640" s="135"/>
      <c r="E640" s="141"/>
      <c r="F640" s="135"/>
      <c r="G640" s="135"/>
      <c r="H640" s="136"/>
      <c r="I640" s="135"/>
      <c r="J640" s="134"/>
      <c r="K640" s="135"/>
      <c r="L640" s="135"/>
      <c r="M640" s="136"/>
      <c r="N640" s="135"/>
      <c r="O640" s="134"/>
      <c r="P640" s="136"/>
      <c r="Q640" s="136"/>
      <c r="R640" s="136"/>
      <c r="S640" s="135"/>
      <c r="T640" s="134"/>
      <c r="U640" s="137"/>
      <c r="V640" s="136"/>
      <c r="W640" s="136"/>
      <c r="X640"/>
    </row>
    <row r="641" spans="1:24" s="149" customFormat="1" ht="15.5">
      <c r="A641" s="153"/>
      <c r="B641" s="139"/>
      <c r="C641" s="140"/>
      <c r="D641" s="141"/>
      <c r="E641" s="141"/>
      <c r="F641" s="141"/>
      <c r="G641" s="141"/>
      <c r="H641" s="142"/>
      <c r="I641" s="141"/>
      <c r="J641" s="140"/>
      <c r="K641" s="141"/>
      <c r="L641" s="141"/>
      <c r="M641" s="142"/>
      <c r="N641" s="141"/>
      <c r="O641" s="140"/>
      <c r="P641" s="142"/>
      <c r="Q641" s="142"/>
      <c r="R641" s="142"/>
      <c r="S641" s="141"/>
      <c r="T641" s="140"/>
      <c r="U641" s="143"/>
      <c r="V641" s="142"/>
      <c r="W641" s="142"/>
      <c r="X641"/>
    </row>
    <row r="642" spans="1:24" ht="15.5">
      <c r="A642" s="132"/>
      <c r="B642" s="133"/>
      <c r="C642" s="134"/>
      <c r="D642" s="135"/>
      <c r="E642" s="135"/>
      <c r="F642" s="135"/>
      <c r="G642" s="135"/>
      <c r="H642" s="136"/>
      <c r="I642" s="135"/>
      <c r="J642" s="134"/>
      <c r="K642" s="135"/>
      <c r="L642" s="135"/>
      <c r="M642" s="136"/>
      <c r="N642" s="135"/>
      <c r="O642" s="134"/>
      <c r="P642" s="136"/>
      <c r="Q642" s="136"/>
      <c r="R642" s="136"/>
      <c r="S642" s="135"/>
      <c r="T642" s="134"/>
      <c r="U642" s="137"/>
      <c r="V642" s="136"/>
      <c r="W642" s="136"/>
      <c r="X642"/>
    </row>
    <row r="643" spans="1:24" ht="15.5">
      <c r="A643" s="138"/>
      <c r="B643" s="139"/>
      <c r="C643" s="140"/>
      <c r="D643" s="141"/>
      <c r="E643" s="141"/>
      <c r="F643" s="141"/>
      <c r="G643" s="141"/>
      <c r="H643" s="142"/>
      <c r="I643" s="141"/>
      <c r="J643" s="140"/>
      <c r="K643" s="141"/>
      <c r="L643" s="141"/>
      <c r="M643" s="142"/>
      <c r="N643" s="141"/>
      <c r="O643" s="140"/>
      <c r="P643" s="142"/>
      <c r="Q643" s="142"/>
      <c r="R643" s="142"/>
      <c r="S643" s="141"/>
      <c r="T643" s="140"/>
      <c r="U643" s="143"/>
      <c r="V643" s="142"/>
      <c r="W643" s="142"/>
      <c r="X643"/>
    </row>
    <row r="644" spans="1:24" s="149" customFormat="1" ht="15.5">
      <c r="A644" s="138"/>
      <c r="B644" s="144"/>
      <c r="C644" s="145"/>
      <c r="D644" s="146"/>
      <c r="E644" s="146"/>
      <c r="F644" s="146"/>
      <c r="G644" s="146"/>
      <c r="H644" s="332"/>
      <c r="I644" s="146"/>
      <c r="J644" s="145"/>
      <c r="K644" s="146"/>
      <c r="L644" s="146"/>
      <c r="M644" s="332"/>
      <c r="N644" s="146"/>
      <c r="O644" s="145"/>
      <c r="P644" s="332"/>
      <c r="Q644" s="332"/>
      <c r="R644" s="146"/>
      <c r="S644" s="148"/>
      <c r="T644" s="146"/>
      <c r="U644" s="148"/>
      <c r="V644" s="332"/>
      <c r="W644" s="332"/>
      <c r="X644"/>
    </row>
    <row r="645" spans="1:24" ht="15.5">
      <c r="A645" s="138"/>
      <c r="B645" s="133"/>
      <c r="C645" s="134"/>
      <c r="D645" s="141"/>
      <c r="E645" s="141"/>
      <c r="F645" s="135"/>
      <c r="G645" s="135"/>
      <c r="H645" s="136"/>
      <c r="I645" s="135"/>
      <c r="J645" s="134"/>
      <c r="K645" s="135"/>
      <c r="L645" s="141"/>
      <c r="M645" s="136"/>
      <c r="N645" s="135"/>
      <c r="O645" s="134"/>
      <c r="P645" s="136"/>
      <c r="Q645" s="136"/>
      <c r="R645" s="136"/>
      <c r="S645" s="141"/>
      <c r="T645" s="134"/>
      <c r="U645" s="137"/>
      <c r="V645" s="136"/>
      <c r="W645" s="136"/>
      <c r="X645"/>
    </row>
    <row r="646" spans="1:24" ht="15.5">
      <c r="A646" s="138"/>
      <c r="B646" s="139"/>
      <c r="C646" s="140"/>
      <c r="D646" s="141"/>
      <c r="E646" s="141"/>
      <c r="F646" s="141"/>
      <c r="G646" s="141"/>
      <c r="H646" s="142"/>
      <c r="I646" s="141"/>
      <c r="J646" s="140"/>
      <c r="K646" s="141"/>
      <c r="L646" s="141"/>
      <c r="M646" s="142"/>
      <c r="N646" s="141"/>
      <c r="O646" s="140"/>
      <c r="P646" s="142"/>
      <c r="Q646" s="142"/>
      <c r="R646" s="142"/>
      <c r="S646" s="141"/>
      <c r="T646" s="140"/>
      <c r="U646" s="143"/>
      <c r="V646" s="142"/>
      <c r="W646" s="142"/>
      <c r="X646"/>
    </row>
    <row r="647" spans="1:24" s="149" customFormat="1" ht="15.5">
      <c r="A647" s="138"/>
      <c r="B647" s="144"/>
      <c r="C647" s="145"/>
      <c r="D647" s="146"/>
      <c r="E647" s="146"/>
      <c r="F647" s="146"/>
      <c r="G647" s="146"/>
      <c r="H647" s="332"/>
      <c r="I647" s="146"/>
      <c r="J647" s="145"/>
      <c r="K647" s="146"/>
      <c r="L647" s="146"/>
      <c r="M647" s="332"/>
      <c r="N647" s="146"/>
      <c r="O647" s="145"/>
      <c r="P647" s="332"/>
      <c r="Q647" s="332"/>
      <c r="R647" s="332"/>
      <c r="S647" s="146"/>
      <c r="T647" s="145"/>
      <c r="U647" s="148"/>
      <c r="V647" s="332"/>
      <c r="W647" s="332"/>
      <c r="X647"/>
    </row>
    <row r="648" spans="1:24" ht="15.5">
      <c r="A648" s="138"/>
      <c r="B648" s="133"/>
      <c r="C648" s="134"/>
      <c r="D648" s="135"/>
      <c r="E648" s="135"/>
      <c r="F648" s="135"/>
      <c r="G648" s="135"/>
      <c r="H648" s="136"/>
      <c r="I648" s="135"/>
      <c r="J648" s="134"/>
      <c r="K648" s="135"/>
      <c r="L648" s="135"/>
      <c r="M648" s="136"/>
      <c r="N648" s="135"/>
      <c r="O648" s="134"/>
      <c r="P648" s="136"/>
      <c r="Q648" s="136"/>
      <c r="R648" s="136"/>
      <c r="S648" s="135"/>
      <c r="T648" s="134"/>
      <c r="U648" s="137"/>
      <c r="V648" s="136"/>
      <c r="W648" s="136"/>
      <c r="X648"/>
    </row>
    <row r="649" spans="1:24" ht="15.5">
      <c r="A649" s="138"/>
      <c r="B649" s="139"/>
      <c r="C649" s="140"/>
      <c r="D649" s="141"/>
      <c r="E649" s="141"/>
      <c r="F649" s="141"/>
      <c r="G649" s="141"/>
      <c r="H649" s="142"/>
      <c r="I649" s="141"/>
      <c r="J649" s="140"/>
      <c r="K649" s="141"/>
      <c r="L649" s="141"/>
      <c r="M649" s="142"/>
      <c r="N649" s="141"/>
      <c r="O649" s="140"/>
      <c r="P649" s="142"/>
      <c r="Q649" s="142"/>
      <c r="R649" s="142"/>
      <c r="S649" s="141"/>
      <c r="T649" s="140"/>
      <c r="U649" s="143"/>
      <c r="V649" s="142"/>
      <c r="W649" s="142"/>
      <c r="X649"/>
    </row>
    <row r="650" spans="1:24" s="149" customFormat="1" ht="15.5">
      <c r="A650" s="138"/>
      <c r="B650" s="144"/>
      <c r="C650" s="145"/>
      <c r="D650" s="146"/>
      <c r="E650" s="146"/>
      <c r="F650" s="146"/>
      <c r="G650" s="146"/>
      <c r="H650" s="332"/>
      <c r="I650" s="146"/>
      <c r="J650" s="145"/>
      <c r="K650" s="146"/>
      <c r="L650" s="146"/>
      <c r="M650" s="332"/>
      <c r="N650" s="146"/>
      <c r="O650" s="145"/>
      <c r="P650" s="332"/>
      <c r="Q650" s="332"/>
      <c r="R650" s="332"/>
      <c r="S650" s="146"/>
      <c r="T650" s="145"/>
      <c r="U650" s="148"/>
      <c r="V650" s="332"/>
      <c r="W650" s="332"/>
      <c r="X650"/>
    </row>
    <row r="651" spans="1:24" ht="15.5">
      <c r="A651" s="138"/>
      <c r="B651" s="133"/>
      <c r="C651" s="134"/>
      <c r="D651" s="135"/>
      <c r="E651" s="135"/>
      <c r="F651" s="135"/>
      <c r="G651" s="135"/>
      <c r="H651" s="136"/>
      <c r="I651" s="135"/>
      <c r="J651" s="134"/>
      <c r="K651" s="135"/>
      <c r="L651" s="135"/>
      <c r="M651" s="136"/>
      <c r="N651" s="135"/>
      <c r="O651" s="134"/>
      <c r="P651" s="136"/>
      <c r="Q651" s="136"/>
      <c r="R651" s="136"/>
      <c r="S651" s="135"/>
      <c r="T651" s="134"/>
      <c r="U651" s="137"/>
      <c r="V651" s="136"/>
      <c r="W651" s="136"/>
      <c r="X651"/>
    </row>
    <row r="652" spans="1:24" ht="15.5">
      <c r="A652" s="138"/>
      <c r="B652" s="139"/>
      <c r="C652" s="140"/>
      <c r="D652" s="141"/>
      <c r="E652" s="141"/>
      <c r="F652" s="141"/>
      <c r="G652" s="141"/>
      <c r="H652" s="142"/>
      <c r="I652" s="141"/>
      <c r="J652" s="140"/>
      <c r="K652" s="141"/>
      <c r="L652" s="141"/>
      <c r="M652" s="142"/>
      <c r="N652" s="141"/>
      <c r="O652" s="140"/>
      <c r="P652" s="142"/>
      <c r="Q652" s="142"/>
      <c r="R652" s="142"/>
      <c r="S652" s="141"/>
      <c r="T652" s="140"/>
      <c r="U652" s="143"/>
      <c r="V652" s="142"/>
      <c r="W652" s="142"/>
      <c r="X652"/>
    </row>
    <row r="653" spans="1:24" s="149" customFormat="1" ht="15.5">
      <c r="A653" s="138"/>
      <c r="B653" s="144"/>
      <c r="C653" s="145"/>
      <c r="D653" s="146"/>
      <c r="E653" s="146"/>
      <c r="F653" s="146"/>
      <c r="G653" s="146"/>
      <c r="H653" s="332"/>
      <c r="I653" s="146"/>
      <c r="J653" s="145"/>
      <c r="K653" s="146"/>
      <c r="L653" s="146"/>
      <c r="M653" s="332"/>
      <c r="N653" s="146"/>
      <c r="O653" s="145"/>
      <c r="P653" s="332"/>
      <c r="Q653" s="332"/>
      <c r="R653" s="332"/>
      <c r="S653" s="147"/>
      <c r="T653" s="145"/>
      <c r="U653" s="148"/>
      <c r="V653" s="332"/>
      <c r="W653" s="332"/>
      <c r="X653"/>
    </row>
    <row r="654" spans="1:24" ht="15.5">
      <c r="A654" s="138"/>
      <c r="B654" s="133"/>
      <c r="C654" s="134"/>
      <c r="D654" s="135"/>
      <c r="E654" s="135"/>
      <c r="F654" s="135"/>
      <c r="G654" s="135"/>
      <c r="H654" s="136"/>
      <c r="I654" s="135"/>
      <c r="J654" s="134"/>
      <c r="K654" s="135"/>
      <c r="L654" s="135"/>
      <c r="M654" s="136"/>
      <c r="N654" s="135"/>
      <c r="O654" s="134"/>
      <c r="P654" s="136"/>
      <c r="Q654" s="136"/>
      <c r="R654" s="136"/>
      <c r="S654" s="135"/>
      <c r="T654" s="134"/>
      <c r="U654" s="137"/>
      <c r="V654" s="136"/>
      <c r="W654" s="136"/>
      <c r="X654"/>
    </row>
    <row r="655" spans="1:24" ht="15.5">
      <c r="A655" s="138"/>
      <c r="B655" s="139"/>
      <c r="C655" s="140"/>
      <c r="D655" s="141"/>
      <c r="E655" s="141"/>
      <c r="F655" s="141"/>
      <c r="G655" s="141"/>
      <c r="H655" s="142"/>
      <c r="I655" s="141"/>
      <c r="J655" s="140"/>
      <c r="K655" s="141"/>
      <c r="L655" s="141"/>
      <c r="M655" s="142"/>
      <c r="N655" s="141"/>
      <c r="O655" s="140"/>
      <c r="P655" s="142"/>
      <c r="Q655" s="142"/>
      <c r="R655" s="142"/>
      <c r="S655" s="141"/>
      <c r="T655" s="140"/>
      <c r="U655" s="143"/>
      <c r="V655" s="142"/>
      <c r="W655" s="142"/>
      <c r="X655"/>
    </row>
    <row r="656" spans="1:24" s="149" customFormat="1" ht="15.5">
      <c r="A656" s="138"/>
      <c r="B656" s="144"/>
      <c r="C656" s="156"/>
      <c r="D656" s="151"/>
      <c r="E656" s="146"/>
      <c r="F656" s="146"/>
      <c r="G656" s="146"/>
      <c r="H656" s="332"/>
      <c r="I656" s="146"/>
      <c r="J656" s="145"/>
      <c r="K656" s="146"/>
      <c r="L656" s="146"/>
      <c r="M656" s="332"/>
      <c r="N656" s="146"/>
      <c r="O656" s="145"/>
      <c r="P656" s="332"/>
      <c r="Q656" s="332"/>
      <c r="R656" s="332"/>
      <c r="S656" s="146"/>
      <c r="T656" s="145"/>
      <c r="U656" s="148"/>
      <c r="V656" s="332"/>
      <c r="W656" s="332"/>
      <c r="X656"/>
    </row>
    <row r="657" spans="1:24" ht="15.5">
      <c r="A657" s="138"/>
      <c r="B657" s="133"/>
      <c r="C657" s="134"/>
      <c r="D657" s="135"/>
      <c r="E657" s="135"/>
      <c r="F657" s="135"/>
      <c r="G657" s="135"/>
      <c r="H657" s="136"/>
      <c r="I657" s="135"/>
      <c r="J657" s="134"/>
      <c r="K657" s="135"/>
      <c r="L657" s="135"/>
      <c r="M657" s="136"/>
      <c r="N657" s="135"/>
      <c r="O657" s="134"/>
      <c r="P657" s="136"/>
      <c r="Q657" s="136"/>
      <c r="R657" s="136"/>
      <c r="S657" s="135"/>
      <c r="T657" s="134"/>
      <c r="U657" s="137"/>
      <c r="V657" s="136"/>
      <c r="W657" s="136"/>
      <c r="X657"/>
    </row>
    <row r="658" spans="1:24" ht="15.5">
      <c r="A658" s="138"/>
      <c r="B658" s="139"/>
      <c r="C658" s="140"/>
      <c r="D658" s="141"/>
      <c r="E658" s="141"/>
      <c r="F658" s="141"/>
      <c r="G658" s="141"/>
      <c r="H658" s="142"/>
      <c r="I658" s="141"/>
      <c r="J658" s="140"/>
      <c r="K658" s="141"/>
      <c r="L658" s="141"/>
      <c r="M658" s="142"/>
      <c r="N658" s="141"/>
      <c r="O658" s="140"/>
      <c r="P658" s="142"/>
      <c r="Q658" s="142"/>
      <c r="R658" s="142"/>
      <c r="S658" s="141"/>
      <c r="T658" s="140"/>
      <c r="U658" s="143"/>
      <c r="V658" s="142"/>
      <c r="W658" s="142"/>
      <c r="X658"/>
    </row>
    <row r="659" spans="1:24" s="149" customFormat="1" ht="15.5">
      <c r="A659" s="138"/>
      <c r="B659" s="144"/>
      <c r="C659" s="145"/>
      <c r="D659" s="146"/>
      <c r="E659" s="146"/>
      <c r="F659" s="146"/>
      <c r="G659" s="146"/>
      <c r="H659" s="332"/>
      <c r="I659" s="146"/>
      <c r="J659" s="145"/>
      <c r="K659" s="146"/>
      <c r="L659" s="146"/>
      <c r="M659" s="332"/>
      <c r="N659" s="146"/>
      <c r="O659" s="145"/>
      <c r="P659" s="332"/>
      <c r="Q659" s="332"/>
      <c r="R659" s="332"/>
      <c r="S659" s="146"/>
      <c r="T659" s="145"/>
      <c r="U659" s="148"/>
      <c r="V659" s="332"/>
      <c r="W659" s="332"/>
      <c r="X659"/>
    </row>
    <row r="660" spans="1:24" ht="15.5">
      <c r="A660" s="138"/>
      <c r="B660" s="133"/>
      <c r="C660" s="134"/>
      <c r="D660" s="135"/>
      <c r="E660" s="135"/>
      <c r="F660" s="141"/>
      <c r="G660" s="135"/>
      <c r="H660" s="136"/>
      <c r="I660" s="135"/>
      <c r="J660" s="134"/>
      <c r="K660" s="135"/>
      <c r="L660" s="135"/>
      <c r="M660" s="136"/>
      <c r="N660" s="135"/>
      <c r="O660" s="134"/>
      <c r="P660" s="136"/>
      <c r="Q660" s="136"/>
      <c r="R660" s="136"/>
      <c r="S660" s="135"/>
      <c r="T660" s="134"/>
      <c r="U660" s="137"/>
      <c r="V660" s="136"/>
      <c r="W660" s="136"/>
      <c r="X660"/>
    </row>
    <row r="661" spans="1:24" ht="15.5">
      <c r="A661" s="138"/>
      <c r="B661" s="139"/>
      <c r="C661" s="140"/>
      <c r="D661" s="141"/>
      <c r="E661" s="141"/>
      <c r="F661" s="141"/>
      <c r="G661" s="141"/>
      <c r="H661" s="142"/>
      <c r="I661" s="141"/>
      <c r="J661" s="140"/>
      <c r="K661" s="141"/>
      <c r="L661" s="141"/>
      <c r="M661" s="142"/>
      <c r="N661" s="141"/>
      <c r="O661" s="140"/>
      <c r="P661" s="142"/>
      <c r="Q661" s="142"/>
      <c r="R661" s="142"/>
      <c r="S661" s="141"/>
      <c r="T661" s="140"/>
      <c r="U661" s="143"/>
      <c r="V661" s="142"/>
      <c r="W661" s="142"/>
      <c r="X661"/>
    </row>
    <row r="662" spans="1:24" s="149" customFormat="1" ht="15.5">
      <c r="A662" s="138"/>
      <c r="B662" s="144"/>
      <c r="C662" s="145"/>
      <c r="D662" s="146"/>
      <c r="E662" s="146"/>
      <c r="F662" s="146"/>
      <c r="G662" s="146"/>
      <c r="H662" s="332"/>
      <c r="I662" s="146"/>
      <c r="J662" s="145"/>
      <c r="K662" s="146"/>
      <c r="L662" s="146"/>
      <c r="M662" s="332"/>
      <c r="N662" s="146"/>
      <c r="O662" s="145"/>
      <c r="P662" s="332"/>
      <c r="Q662" s="332"/>
      <c r="R662" s="332"/>
      <c r="S662" s="146"/>
      <c r="T662" s="145"/>
      <c r="U662" s="148"/>
      <c r="V662" s="332"/>
      <c r="W662" s="332"/>
      <c r="X662"/>
    </row>
    <row r="663" spans="1:24" ht="15.5">
      <c r="A663" s="138"/>
      <c r="B663" s="133"/>
      <c r="C663" s="134"/>
      <c r="D663" s="135"/>
      <c r="E663" s="141"/>
      <c r="F663" s="135"/>
      <c r="G663" s="135"/>
      <c r="H663" s="136"/>
      <c r="I663" s="135"/>
      <c r="J663" s="134"/>
      <c r="K663" s="135"/>
      <c r="L663" s="135"/>
      <c r="M663" s="136"/>
      <c r="N663" s="135"/>
      <c r="O663" s="134"/>
      <c r="P663" s="136"/>
      <c r="Q663" s="136"/>
      <c r="R663" s="136"/>
      <c r="S663" s="135"/>
      <c r="T663" s="134"/>
      <c r="U663" s="137"/>
      <c r="V663" s="136"/>
      <c r="W663" s="136"/>
      <c r="X663"/>
    </row>
    <row r="664" spans="1:24" ht="15.5">
      <c r="A664" s="138"/>
      <c r="B664" s="139"/>
      <c r="C664" s="140"/>
      <c r="D664" s="141"/>
      <c r="E664" s="141"/>
      <c r="F664" s="141"/>
      <c r="G664" s="141"/>
      <c r="H664" s="142"/>
      <c r="I664" s="141"/>
      <c r="J664" s="140"/>
      <c r="K664" s="141"/>
      <c r="L664" s="141"/>
      <c r="M664" s="142"/>
      <c r="N664" s="141"/>
      <c r="O664" s="140"/>
      <c r="P664" s="142"/>
      <c r="Q664" s="142"/>
      <c r="R664" s="142"/>
      <c r="S664" s="141"/>
      <c r="T664" s="140"/>
      <c r="U664" s="143"/>
      <c r="V664" s="142"/>
      <c r="W664" s="142"/>
      <c r="X664"/>
    </row>
    <row r="665" spans="1:24" s="149" customFormat="1" ht="15.5">
      <c r="A665" s="138"/>
      <c r="B665" s="144"/>
      <c r="C665" s="145"/>
      <c r="D665" s="146"/>
      <c r="E665" s="146"/>
      <c r="F665" s="146"/>
      <c r="G665" s="146"/>
      <c r="H665" s="332"/>
      <c r="I665" s="146"/>
      <c r="J665" s="145"/>
      <c r="K665" s="146"/>
      <c r="L665" s="146"/>
      <c r="M665" s="332"/>
      <c r="N665" s="146"/>
      <c r="O665" s="145"/>
      <c r="P665" s="332"/>
      <c r="Q665" s="332"/>
      <c r="R665" s="332"/>
      <c r="S665" s="146"/>
      <c r="T665" s="145"/>
      <c r="U665" s="148"/>
      <c r="V665" s="332"/>
      <c r="W665" s="332"/>
      <c r="X665"/>
    </row>
    <row r="666" spans="1:24" ht="15.5">
      <c r="A666" s="138"/>
      <c r="B666" s="133"/>
      <c r="C666" s="134"/>
      <c r="D666" s="135"/>
      <c r="E666" s="135"/>
      <c r="F666" s="135"/>
      <c r="G666" s="135"/>
      <c r="H666" s="136"/>
      <c r="I666" s="135"/>
      <c r="J666" s="134"/>
      <c r="K666" s="135"/>
      <c r="L666" s="135"/>
      <c r="M666" s="136"/>
      <c r="N666" s="135"/>
      <c r="O666" s="134"/>
      <c r="P666" s="136"/>
      <c r="Q666" s="136"/>
      <c r="R666" s="136"/>
      <c r="S666" s="135"/>
      <c r="T666" s="134"/>
      <c r="U666" s="137"/>
      <c r="V666" s="136"/>
      <c r="W666" s="136"/>
      <c r="X666"/>
    </row>
    <row r="667" spans="1:24" ht="15.5">
      <c r="A667" s="138"/>
      <c r="B667" s="139"/>
      <c r="C667" s="140"/>
      <c r="D667" s="141"/>
      <c r="E667" s="141"/>
      <c r="F667" s="141"/>
      <c r="G667" s="141"/>
      <c r="H667" s="142"/>
      <c r="I667" s="141"/>
      <c r="J667" s="140"/>
      <c r="K667" s="141"/>
      <c r="L667" s="141"/>
      <c r="M667" s="142"/>
      <c r="N667" s="141"/>
      <c r="O667" s="140"/>
      <c r="P667" s="142"/>
      <c r="Q667" s="142"/>
      <c r="R667" s="142"/>
      <c r="S667" s="141"/>
      <c r="T667" s="140"/>
      <c r="U667" s="143"/>
      <c r="V667" s="142"/>
      <c r="W667" s="142"/>
      <c r="X667"/>
    </row>
    <row r="668" spans="1:24" s="149" customFormat="1" ht="15.5">
      <c r="A668" s="138"/>
      <c r="B668" s="144"/>
      <c r="C668" s="145"/>
      <c r="D668" s="146"/>
      <c r="E668" s="146"/>
      <c r="F668" s="146"/>
      <c r="G668" s="146"/>
      <c r="H668" s="332"/>
      <c r="I668" s="146"/>
      <c r="J668" s="145"/>
      <c r="K668" s="146"/>
      <c r="L668" s="146"/>
      <c r="M668" s="332"/>
      <c r="N668" s="146"/>
      <c r="O668" s="145"/>
      <c r="P668" s="332"/>
      <c r="Q668" s="332"/>
      <c r="R668" s="332"/>
      <c r="S668" s="146"/>
      <c r="T668" s="145"/>
      <c r="U668" s="148"/>
      <c r="V668" s="332"/>
      <c r="W668" s="332"/>
      <c r="X668"/>
    </row>
    <row r="669" spans="1:24" ht="15.5">
      <c r="A669" s="138"/>
      <c r="B669" s="133"/>
      <c r="C669" s="134"/>
      <c r="D669" s="135"/>
      <c r="E669" s="135"/>
      <c r="F669" s="135"/>
      <c r="G669" s="135"/>
      <c r="H669" s="136"/>
      <c r="I669" s="135"/>
      <c r="J669" s="134"/>
      <c r="K669" s="135"/>
      <c r="L669" s="135"/>
      <c r="M669" s="136"/>
      <c r="N669" s="135"/>
      <c r="O669" s="134"/>
      <c r="P669" s="136"/>
      <c r="Q669" s="136"/>
      <c r="R669" s="136"/>
      <c r="S669" s="135"/>
      <c r="T669" s="134"/>
      <c r="U669" s="137"/>
      <c r="V669" s="136"/>
      <c r="W669" s="136"/>
      <c r="X669"/>
    </row>
    <row r="670" spans="1:24" ht="15.5">
      <c r="A670" s="138"/>
      <c r="B670" s="139"/>
      <c r="C670" s="140"/>
      <c r="D670" s="141"/>
      <c r="E670" s="141"/>
      <c r="F670" s="141"/>
      <c r="G670" s="141"/>
      <c r="H670" s="142"/>
      <c r="I670" s="141"/>
      <c r="J670" s="140"/>
      <c r="K670" s="141"/>
      <c r="L670" s="141"/>
      <c r="M670" s="142"/>
      <c r="N670" s="141"/>
      <c r="O670" s="140"/>
      <c r="P670" s="142"/>
      <c r="Q670" s="142"/>
      <c r="R670" s="142"/>
      <c r="S670" s="141"/>
      <c r="T670" s="140"/>
      <c r="U670" s="143"/>
      <c r="V670" s="142"/>
      <c r="W670" s="142"/>
      <c r="X670"/>
    </row>
    <row r="671" spans="1:24" s="149" customFormat="1" ht="15.5">
      <c r="A671" s="138"/>
      <c r="B671" s="144"/>
      <c r="C671" s="145"/>
      <c r="D671" s="146"/>
      <c r="E671" s="146"/>
      <c r="F671" s="146"/>
      <c r="G671" s="146"/>
      <c r="H671" s="332"/>
      <c r="I671" s="146"/>
      <c r="J671" s="145"/>
      <c r="K671" s="146"/>
      <c r="L671" s="146"/>
      <c r="M671" s="332"/>
      <c r="N671" s="146"/>
      <c r="O671" s="145"/>
      <c r="P671" s="332"/>
      <c r="Q671" s="332"/>
      <c r="R671" s="332"/>
      <c r="S671" s="146"/>
      <c r="T671" s="145"/>
      <c r="U671" s="148"/>
      <c r="V671" s="332"/>
      <c r="W671" s="332"/>
      <c r="X671"/>
    </row>
    <row r="672" spans="1:24" ht="15.5">
      <c r="A672" s="138"/>
      <c r="B672" s="133"/>
      <c r="C672" s="134"/>
      <c r="D672" s="135"/>
      <c r="E672" s="135"/>
      <c r="F672" s="135"/>
      <c r="G672" s="135"/>
      <c r="H672" s="136"/>
      <c r="I672" s="135"/>
      <c r="J672" s="134"/>
      <c r="K672" s="135"/>
      <c r="L672" s="135"/>
      <c r="M672" s="136"/>
      <c r="N672" s="135"/>
      <c r="O672" s="134"/>
      <c r="P672" s="136"/>
      <c r="Q672" s="136"/>
      <c r="R672" s="136"/>
      <c r="S672" s="135"/>
      <c r="T672" s="134"/>
      <c r="U672" s="137"/>
      <c r="V672" s="136"/>
      <c r="W672" s="136"/>
      <c r="X672"/>
    </row>
    <row r="673" spans="1:24" ht="15.5">
      <c r="A673" s="138"/>
      <c r="B673" s="139"/>
      <c r="C673" s="140"/>
      <c r="D673" s="141"/>
      <c r="E673" s="141"/>
      <c r="F673" s="141"/>
      <c r="G673" s="141"/>
      <c r="H673" s="142"/>
      <c r="I673" s="141"/>
      <c r="J673" s="140"/>
      <c r="K673" s="141"/>
      <c r="L673" s="141"/>
      <c r="M673" s="142"/>
      <c r="N673" s="141"/>
      <c r="O673" s="140"/>
      <c r="P673" s="142"/>
      <c r="Q673" s="142"/>
      <c r="R673" s="142"/>
      <c r="S673" s="141"/>
      <c r="T673" s="140"/>
      <c r="U673" s="143"/>
      <c r="V673" s="142"/>
      <c r="W673" s="142"/>
      <c r="X673"/>
    </row>
    <row r="674" spans="1:24" s="149" customFormat="1" ht="15.5">
      <c r="A674" s="138"/>
      <c r="B674" s="144"/>
      <c r="C674" s="145"/>
      <c r="D674" s="146"/>
      <c r="E674" s="146"/>
      <c r="F674" s="146"/>
      <c r="G674" s="146"/>
      <c r="H674" s="332"/>
      <c r="I674" s="146"/>
      <c r="J674" s="145"/>
      <c r="K674" s="146"/>
      <c r="L674" s="146"/>
      <c r="M674" s="332"/>
      <c r="N674" s="146"/>
      <c r="O674" s="145"/>
      <c r="P674" s="332"/>
      <c r="Q674" s="332"/>
      <c r="R674" s="332"/>
      <c r="S674" s="147"/>
      <c r="T674" s="145"/>
      <c r="U674" s="148"/>
      <c r="V674" s="332"/>
      <c r="W674" s="332"/>
      <c r="X674"/>
    </row>
    <row r="675" spans="1:24" ht="15.5">
      <c r="A675" s="138"/>
      <c r="B675" s="133"/>
      <c r="C675" s="134"/>
      <c r="D675" s="135"/>
      <c r="E675" s="135"/>
      <c r="F675" s="135"/>
      <c r="G675" s="135"/>
      <c r="H675" s="136"/>
      <c r="I675" s="135"/>
      <c r="J675" s="134"/>
      <c r="K675" s="135"/>
      <c r="L675" s="135"/>
      <c r="M675" s="136"/>
      <c r="N675" s="135"/>
      <c r="O675" s="134"/>
      <c r="P675" s="136"/>
      <c r="Q675" s="136"/>
      <c r="R675" s="136"/>
      <c r="S675" s="135"/>
      <c r="T675" s="134"/>
      <c r="U675" s="137"/>
      <c r="V675" s="136"/>
      <c r="W675" s="136"/>
      <c r="X675"/>
    </row>
    <row r="676" spans="1:24" ht="15.5">
      <c r="A676" s="138"/>
      <c r="B676" s="139"/>
      <c r="C676" s="140"/>
      <c r="D676" s="141"/>
      <c r="E676" s="141"/>
      <c r="F676" s="141"/>
      <c r="G676" s="141"/>
      <c r="H676" s="142"/>
      <c r="I676" s="141"/>
      <c r="J676" s="140"/>
      <c r="K676" s="141"/>
      <c r="L676" s="141"/>
      <c r="M676" s="142"/>
      <c r="N676" s="141"/>
      <c r="O676" s="140"/>
      <c r="P676" s="142"/>
      <c r="Q676" s="142"/>
      <c r="R676" s="142"/>
      <c r="S676" s="141"/>
      <c r="T676" s="140"/>
      <c r="U676" s="143"/>
      <c r="V676" s="142"/>
      <c r="W676" s="142"/>
      <c r="X676"/>
    </row>
    <row r="677" spans="1:24" s="149" customFormat="1" ht="15.5">
      <c r="A677" s="138"/>
      <c r="B677" s="144"/>
      <c r="C677" s="145"/>
      <c r="D677" s="146"/>
      <c r="E677" s="146"/>
      <c r="F677" s="146"/>
      <c r="G677" s="146"/>
      <c r="H677" s="332"/>
      <c r="I677" s="146"/>
      <c r="J677" s="145"/>
      <c r="K677" s="146"/>
      <c r="L677" s="146"/>
      <c r="M677" s="332"/>
      <c r="N677" s="146"/>
      <c r="O677" s="145"/>
      <c r="P677" s="332"/>
      <c r="Q677" s="332"/>
      <c r="R677" s="332"/>
      <c r="S677" s="146"/>
      <c r="T677" s="145"/>
      <c r="U677" s="148"/>
      <c r="V677" s="332"/>
      <c r="W677" s="332"/>
      <c r="X677"/>
    </row>
    <row r="678" spans="1:24" ht="15.5">
      <c r="A678" s="138"/>
      <c r="B678" s="133"/>
      <c r="C678" s="134"/>
      <c r="D678" s="135"/>
      <c r="E678" s="135"/>
      <c r="F678" s="135"/>
      <c r="G678" s="135"/>
      <c r="H678" s="136"/>
      <c r="I678" s="135"/>
      <c r="J678" s="134"/>
      <c r="K678" s="135"/>
      <c r="L678" s="135"/>
      <c r="M678" s="136"/>
      <c r="N678" s="135"/>
      <c r="O678" s="134"/>
      <c r="P678" s="136"/>
      <c r="Q678" s="136"/>
      <c r="R678" s="136"/>
      <c r="S678" s="135"/>
      <c r="T678" s="134"/>
      <c r="U678" s="137"/>
      <c r="V678" s="136"/>
      <c r="W678" s="136"/>
      <c r="X678"/>
    </row>
    <row r="679" spans="1:24" ht="15.5">
      <c r="A679" s="138"/>
      <c r="B679" s="139"/>
      <c r="C679" s="140"/>
      <c r="D679" s="141"/>
      <c r="E679" s="141"/>
      <c r="F679" s="141"/>
      <c r="G679" s="141"/>
      <c r="H679" s="142"/>
      <c r="I679" s="141"/>
      <c r="J679" s="140"/>
      <c r="K679" s="141"/>
      <c r="L679" s="141"/>
      <c r="M679" s="142"/>
      <c r="N679" s="141"/>
      <c r="O679" s="140"/>
      <c r="P679" s="142"/>
      <c r="Q679" s="142"/>
      <c r="R679" s="142"/>
      <c r="S679" s="141"/>
      <c r="T679" s="140"/>
      <c r="U679" s="143"/>
      <c r="V679" s="142"/>
      <c r="W679" s="142"/>
      <c r="X679"/>
    </row>
    <row r="680" spans="1:24" s="149" customFormat="1" ht="15.5">
      <c r="A680" s="138"/>
      <c r="B680" s="144"/>
      <c r="C680" s="145"/>
      <c r="D680" s="146"/>
      <c r="E680" s="146"/>
      <c r="F680" s="146"/>
      <c r="G680" s="146"/>
      <c r="H680" s="332"/>
      <c r="I680" s="146"/>
      <c r="J680" s="145"/>
      <c r="K680" s="146"/>
      <c r="L680" s="146"/>
      <c r="M680" s="332"/>
      <c r="N680" s="146"/>
      <c r="O680" s="145"/>
      <c r="P680" s="332"/>
      <c r="Q680" s="332"/>
      <c r="R680" s="332"/>
      <c r="S680" s="146"/>
      <c r="T680" s="145"/>
      <c r="U680" s="148"/>
      <c r="V680" s="332"/>
      <c r="W680" s="332"/>
      <c r="X680"/>
    </row>
    <row r="681" spans="1:24" ht="15.5">
      <c r="A681" s="138"/>
      <c r="B681" s="133"/>
      <c r="C681" s="134"/>
      <c r="D681" s="135"/>
      <c r="E681" s="135"/>
      <c r="F681" s="135"/>
      <c r="G681" s="135"/>
      <c r="H681" s="136"/>
      <c r="I681" s="135"/>
      <c r="J681" s="134"/>
      <c r="K681" s="135"/>
      <c r="L681" s="135"/>
      <c r="M681" s="136"/>
      <c r="N681" s="135"/>
      <c r="O681" s="134"/>
      <c r="P681" s="136"/>
      <c r="Q681" s="136"/>
      <c r="R681" s="136"/>
      <c r="S681" s="135"/>
      <c r="T681" s="134"/>
      <c r="U681" s="137"/>
      <c r="V681" s="136"/>
      <c r="W681" s="136"/>
      <c r="X681"/>
    </row>
    <row r="682" spans="1:24" ht="15.5">
      <c r="A682" s="138"/>
      <c r="B682" s="139"/>
      <c r="C682" s="140"/>
      <c r="D682" s="141"/>
      <c r="E682" s="141"/>
      <c r="F682" s="141"/>
      <c r="G682" s="141"/>
      <c r="H682" s="142"/>
      <c r="I682" s="141"/>
      <c r="J682" s="140"/>
      <c r="K682" s="141"/>
      <c r="L682" s="141"/>
      <c r="M682" s="142"/>
      <c r="N682" s="141"/>
      <c r="O682" s="140"/>
      <c r="P682" s="142"/>
      <c r="Q682" s="142"/>
      <c r="R682" s="142"/>
      <c r="S682" s="141"/>
      <c r="T682" s="140"/>
      <c r="U682" s="143"/>
      <c r="V682" s="142"/>
      <c r="W682" s="142"/>
      <c r="X682"/>
    </row>
    <row r="683" spans="1:24" s="149" customFormat="1" ht="15.5">
      <c r="A683" s="138"/>
      <c r="B683" s="144"/>
      <c r="C683" s="145"/>
      <c r="D683" s="146"/>
      <c r="E683" s="146"/>
      <c r="F683" s="146"/>
      <c r="G683" s="146"/>
      <c r="H683" s="332"/>
      <c r="I683" s="146"/>
      <c r="J683" s="145"/>
      <c r="K683" s="146"/>
      <c r="L683" s="146"/>
      <c r="M683" s="332"/>
      <c r="N683" s="146"/>
      <c r="O683" s="145"/>
      <c r="P683" s="332"/>
      <c r="Q683" s="332"/>
      <c r="R683" s="332"/>
      <c r="S683" s="146"/>
      <c r="T683" s="145"/>
      <c r="U683" s="148"/>
      <c r="V683" s="332"/>
      <c r="W683" s="332"/>
      <c r="X683"/>
    </row>
    <row r="684" spans="1:24" ht="15.5">
      <c r="A684" s="138"/>
      <c r="B684" s="133"/>
      <c r="C684" s="134"/>
      <c r="D684" s="135"/>
      <c r="E684" s="135"/>
      <c r="F684" s="135"/>
      <c r="G684" s="135"/>
      <c r="H684" s="136"/>
      <c r="I684" s="135"/>
      <c r="J684" s="134"/>
      <c r="K684" s="135"/>
      <c r="L684" s="135"/>
      <c r="M684" s="136"/>
      <c r="N684" s="135"/>
      <c r="O684" s="134"/>
      <c r="P684" s="136"/>
      <c r="Q684" s="136"/>
      <c r="R684" s="136"/>
      <c r="S684" s="135"/>
      <c r="T684" s="134"/>
      <c r="U684" s="137"/>
      <c r="V684" s="136"/>
      <c r="W684" s="136"/>
      <c r="X684"/>
    </row>
    <row r="685" spans="1:24" ht="15.5">
      <c r="A685" s="138"/>
      <c r="B685" s="139"/>
      <c r="C685" s="140"/>
      <c r="D685" s="141"/>
      <c r="E685" s="141"/>
      <c r="F685" s="141"/>
      <c r="G685" s="141"/>
      <c r="H685" s="142"/>
      <c r="I685" s="141"/>
      <c r="J685" s="140"/>
      <c r="K685" s="141"/>
      <c r="L685" s="141"/>
      <c r="M685" s="142"/>
      <c r="N685" s="141"/>
      <c r="O685" s="140"/>
      <c r="P685" s="142"/>
      <c r="Q685" s="142"/>
      <c r="R685" s="142"/>
      <c r="S685" s="141"/>
      <c r="T685" s="140"/>
      <c r="U685" s="143"/>
      <c r="V685" s="142"/>
      <c r="W685" s="142"/>
      <c r="X685"/>
    </row>
    <row r="686" spans="1:24" s="149" customFormat="1" ht="15.5">
      <c r="A686" s="138"/>
      <c r="B686" s="144"/>
      <c r="C686" s="145"/>
      <c r="D686" s="146"/>
      <c r="E686" s="146"/>
      <c r="F686" s="146"/>
      <c r="G686" s="146"/>
      <c r="H686" s="332"/>
      <c r="I686" s="146"/>
      <c r="J686" s="145"/>
      <c r="K686" s="146"/>
      <c r="L686" s="146"/>
      <c r="M686" s="332"/>
      <c r="N686" s="146"/>
      <c r="O686" s="145"/>
      <c r="P686" s="332"/>
      <c r="Q686" s="332"/>
      <c r="R686" s="332"/>
      <c r="S686" s="146"/>
      <c r="T686" s="145"/>
      <c r="U686" s="148"/>
      <c r="V686" s="332"/>
      <c r="W686" s="332"/>
      <c r="X686"/>
    </row>
    <row r="687" spans="1:24" ht="15.5">
      <c r="A687" s="138"/>
      <c r="B687" s="133"/>
      <c r="C687" s="134"/>
      <c r="D687" s="135"/>
      <c r="E687" s="135"/>
      <c r="F687" s="135"/>
      <c r="G687" s="135"/>
      <c r="H687" s="136"/>
      <c r="I687" s="135"/>
      <c r="J687" s="134"/>
      <c r="K687" s="135"/>
      <c r="L687" s="135"/>
      <c r="M687" s="136"/>
      <c r="N687" s="135"/>
      <c r="O687" s="134"/>
      <c r="P687" s="136"/>
      <c r="Q687" s="136"/>
      <c r="R687" s="136"/>
      <c r="S687" s="135"/>
      <c r="T687" s="134"/>
      <c r="U687" s="137"/>
      <c r="V687" s="136"/>
      <c r="W687" s="136"/>
      <c r="X687"/>
    </row>
    <row r="688" spans="1:24" ht="15.5">
      <c r="A688" s="138"/>
      <c r="B688" s="139"/>
      <c r="C688" s="140"/>
      <c r="D688" s="141"/>
      <c r="E688" s="141"/>
      <c r="F688" s="141"/>
      <c r="G688" s="141"/>
      <c r="H688" s="142"/>
      <c r="I688" s="141"/>
      <c r="J688" s="140"/>
      <c r="K688" s="141"/>
      <c r="L688" s="141"/>
      <c r="M688" s="142"/>
      <c r="N688" s="141"/>
      <c r="O688" s="140"/>
      <c r="P688" s="142"/>
      <c r="Q688" s="142"/>
      <c r="R688" s="142"/>
      <c r="S688" s="141"/>
      <c r="T688" s="140"/>
      <c r="U688" s="143"/>
      <c r="V688" s="142"/>
      <c r="W688" s="142"/>
      <c r="X688"/>
    </row>
    <row r="689" spans="1:24" s="149" customFormat="1" ht="15.5">
      <c r="A689" s="138"/>
      <c r="B689" s="144"/>
      <c r="C689" s="145"/>
      <c r="D689" s="146"/>
      <c r="E689" s="146"/>
      <c r="F689" s="146"/>
      <c r="G689" s="146"/>
      <c r="H689" s="332"/>
      <c r="I689" s="146"/>
      <c r="J689" s="145"/>
      <c r="K689" s="146"/>
      <c r="L689" s="146"/>
      <c r="M689" s="332"/>
      <c r="N689" s="146"/>
      <c r="O689" s="145"/>
      <c r="P689" s="332"/>
      <c r="Q689" s="332"/>
      <c r="R689" s="332"/>
      <c r="S689" s="146"/>
      <c r="T689" s="145"/>
      <c r="U689" s="148"/>
      <c r="V689" s="332"/>
      <c r="W689" s="332"/>
      <c r="X689"/>
    </row>
    <row r="690" spans="1:24" ht="15.5">
      <c r="A690" s="138"/>
      <c r="B690" s="133"/>
      <c r="C690" s="134"/>
      <c r="D690" s="135"/>
      <c r="E690" s="135"/>
      <c r="F690" s="135"/>
      <c r="G690" s="135"/>
      <c r="H690" s="136"/>
      <c r="I690" s="135"/>
      <c r="J690" s="134"/>
      <c r="K690" s="135"/>
      <c r="L690" s="135"/>
      <c r="M690" s="136"/>
      <c r="N690" s="135"/>
      <c r="O690" s="134"/>
      <c r="P690" s="136"/>
      <c r="Q690" s="136"/>
      <c r="R690" s="136"/>
      <c r="S690" s="135"/>
      <c r="T690" s="134"/>
      <c r="U690" s="137"/>
      <c r="V690" s="136"/>
      <c r="W690" s="136"/>
      <c r="X690"/>
    </row>
    <row r="691" spans="1:24" ht="15.5">
      <c r="A691" s="138"/>
      <c r="B691" s="139"/>
      <c r="C691" s="140"/>
      <c r="D691" s="141"/>
      <c r="E691" s="141"/>
      <c r="F691" s="141"/>
      <c r="G691" s="141"/>
      <c r="H691" s="142"/>
      <c r="I691" s="141"/>
      <c r="J691" s="140"/>
      <c r="K691" s="141"/>
      <c r="L691" s="141"/>
      <c r="M691" s="142"/>
      <c r="N691" s="141"/>
      <c r="O691" s="140"/>
      <c r="P691" s="142"/>
      <c r="Q691" s="142"/>
      <c r="R691" s="142"/>
      <c r="S691" s="141"/>
      <c r="T691" s="140"/>
      <c r="U691" s="143"/>
      <c r="V691" s="142"/>
      <c r="W691" s="142"/>
      <c r="X691"/>
    </row>
    <row r="692" spans="1:24" s="149" customFormat="1" ht="15.5">
      <c r="A692" s="138"/>
      <c r="B692" s="144"/>
      <c r="C692" s="146"/>
      <c r="D692" s="146"/>
      <c r="E692" s="146"/>
      <c r="F692" s="146"/>
      <c r="G692" s="146"/>
      <c r="H692" s="332"/>
      <c r="I692" s="146"/>
      <c r="J692" s="145"/>
      <c r="K692" s="146"/>
      <c r="L692" s="146"/>
      <c r="M692" s="332"/>
      <c r="N692" s="146"/>
      <c r="O692" s="145"/>
      <c r="P692" s="332"/>
      <c r="Q692" s="332"/>
      <c r="R692" s="332"/>
      <c r="S692" s="146"/>
      <c r="T692" s="145"/>
      <c r="U692" s="148"/>
      <c r="V692" s="332"/>
      <c r="W692" s="332"/>
      <c r="X692"/>
    </row>
    <row r="693" spans="1:24" ht="15.5">
      <c r="A693" s="138"/>
      <c r="B693" s="133"/>
      <c r="C693" s="140"/>
      <c r="D693" s="135"/>
      <c r="E693" s="141"/>
      <c r="F693" s="135"/>
      <c r="G693" s="135"/>
      <c r="H693" s="136"/>
      <c r="I693" s="135"/>
      <c r="J693" s="134"/>
      <c r="K693" s="135"/>
      <c r="L693" s="135"/>
      <c r="M693" s="136"/>
      <c r="N693" s="135"/>
      <c r="O693" s="134"/>
      <c r="P693" s="136"/>
      <c r="Q693" s="136"/>
      <c r="R693" s="136"/>
      <c r="S693" s="135"/>
      <c r="T693" s="134"/>
      <c r="U693" s="137"/>
      <c r="V693" s="136"/>
      <c r="W693" s="136"/>
      <c r="X693"/>
    </row>
    <row r="694" spans="1:24" s="149" customFormat="1" ht="15.5">
      <c r="A694" s="153"/>
      <c r="B694" s="139"/>
      <c r="C694" s="140"/>
      <c r="D694" s="141"/>
      <c r="E694" s="141"/>
      <c r="F694" s="141"/>
      <c r="G694" s="141"/>
      <c r="H694" s="142"/>
      <c r="I694" s="141"/>
      <c r="J694" s="140"/>
      <c r="K694" s="141"/>
      <c r="L694" s="141"/>
      <c r="M694" s="142"/>
      <c r="N694" s="141"/>
      <c r="O694" s="140"/>
      <c r="P694" s="142"/>
      <c r="Q694" s="142"/>
      <c r="R694" s="142"/>
      <c r="S694" s="141"/>
      <c r="T694" s="140"/>
      <c r="U694" s="143"/>
      <c r="V694" s="142"/>
      <c r="W694" s="142"/>
      <c r="X694"/>
    </row>
    <row r="695" spans="1:24" ht="15.5">
      <c r="A695" s="132"/>
      <c r="B695" s="133"/>
      <c r="C695" s="134"/>
      <c r="D695" s="135"/>
      <c r="E695" s="135"/>
      <c r="F695" s="135"/>
      <c r="G695" s="135"/>
      <c r="H695" s="136"/>
      <c r="I695" s="135"/>
      <c r="J695" s="134"/>
      <c r="K695" s="135"/>
      <c r="L695" s="135"/>
      <c r="M695" s="136"/>
      <c r="N695" s="135"/>
      <c r="O695" s="134"/>
      <c r="P695" s="136"/>
      <c r="Q695" s="136"/>
      <c r="R695" s="136"/>
      <c r="S695" s="135"/>
      <c r="T695" s="134"/>
      <c r="U695" s="137"/>
      <c r="V695" s="136"/>
      <c r="W695" s="136"/>
      <c r="X695"/>
    </row>
    <row r="696" spans="1:24" ht="15.5">
      <c r="A696" s="138"/>
      <c r="B696" s="139"/>
      <c r="C696" s="140"/>
      <c r="D696" s="141"/>
      <c r="E696" s="141"/>
      <c r="F696" s="141"/>
      <c r="G696" s="141"/>
      <c r="H696" s="142"/>
      <c r="I696" s="141"/>
      <c r="J696" s="140"/>
      <c r="K696" s="141"/>
      <c r="L696" s="141"/>
      <c r="M696" s="142"/>
      <c r="N696" s="141"/>
      <c r="O696" s="140"/>
      <c r="P696" s="142"/>
      <c r="Q696" s="142"/>
      <c r="R696" s="142"/>
      <c r="S696" s="141"/>
      <c r="T696" s="140"/>
      <c r="U696" s="143"/>
      <c r="V696" s="142"/>
      <c r="W696" s="142"/>
      <c r="X696"/>
    </row>
    <row r="697" spans="1:24" s="149" customFormat="1" ht="15.5">
      <c r="A697" s="138"/>
      <c r="B697" s="144"/>
      <c r="C697" s="145"/>
      <c r="D697" s="146"/>
      <c r="E697" s="146"/>
      <c r="F697" s="146"/>
      <c r="G697" s="146"/>
      <c r="H697" s="332"/>
      <c r="I697" s="146"/>
      <c r="J697" s="145"/>
      <c r="K697" s="147"/>
      <c r="L697" s="146"/>
      <c r="M697" s="332"/>
      <c r="N697" s="146"/>
      <c r="O697" s="145"/>
      <c r="P697" s="332"/>
      <c r="Q697" s="332"/>
      <c r="R697" s="146"/>
      <c r="S697" s="148"/>
      <c r="T697" s="146"/>
      <c r="U697" s="148"/>
      <c r="V697" s="332"/>
      <c r="W697" s="332"/>
      <c r="X697"/>
    </row>
    <row r="698" spans="1:24" ht="15.5">
      <c r="A698" s="138"/>
      <c r="B698" s="133"/>
      <c r="C698" s="134"/>
      <c r="D698" s="141"/>
      <c r="E698" s="141"/>
      <c r="F698" s="135"/>
      <c r="G698" s="135"/>
      <c r="H698" s="136"/>
      <c r="I698" s="135"/>
      <c r="J698" s="134"/>
      <c r="K698" s="135"/>
      <c r="L698" s="141"/>
      <c r="M698" s="136"/>
      <c r="N698" s="135"/>
      <c r="O698" s="134"/>
      <c r="P698" s="136"/>
      <c r="Q698" s="136"/>
      <c r="R698" s="136"/>
      <c r="S698" s="141"/>
      <c r="T698" s="134"/>
      <c r="U698" s="137"/>
      <c r="V698" s="136"/>
      <c r="W698" s="136"/>
      <c r="X698"/>
    </row>
    <row r="699" spans="1:24" ht="15.5">
      <c r="A699" s="138"/>
      <c r="B699" s="139"/>
      <c r="C699" s="140"/>
      <c r="D699" s="141"/>
      <c r="E699" s="141"/>
      <c r="F699" s="141"/>
      <c r="G699" s="141"/>
      <c r="H699" s="142"/>
      <c r="I699" s="141"/>
      <c r="J699" s="140"/>
      <c r="K699" s="141"/>
      <c r="L699" s="141"/>
      <c r="M699" s="142"/>
      <c r="N699" s="141"/>
      <c r="O699" s="140"/>
      <c r="P699" s="142"/>
      <c r="Q699" s="142"/>
      <c r="R699" s="142"/>
      <c r="S699" s="141"/>
      <c r="T699" s="140"/>
      <c r="U699" s="143"/>
      <c r="V699" s="142"/>
      <c r="W699" s="142"/>
      <c r="X699"/>
    </row>
    <row r="700" spans="1:24" s="149" customFormat="1" ht="15.5">
      <c r="A700" s="138"/>
      <c r="B700" s="144"/>
      <c r="C700" s="145"/>
      <c r="D700" s="146"/>
      <c r="E700" s="146"/>
      <c r="F700" s="146"/>
      <c r="G700" s="146"/>
      <c r="H700" s="332"/>
      <c r="I700" s="146"/>
      <c r="J700" s="145"/>
      <c r="K700" s="146"/>
      <c r="L700" s="146"/>
      <c r="M700" s="332"/>
      <c r="N700" s="146"/>
      <c r="O700" s="145"/>
      <c r="P700" s="332"/>
      <c r="Q700" s="332"/>
      <c r="R700" s="332"/>
      <c r="S700" s="146"/>
      <c r="T700" s="145"/>
      <c r="U700" s="148"/>
      <c r="V700" s="332"/>
      <c r="W700" s="332"/>
      <c r="X700"/>
    </row>
    <row r="701" spans="1:24" ht="15.5">
      <c r="A701" s="138"/>
      <c r="B701" s="133"/>
      <c r="C701" s="134"/>
      <c r="D701" s="135"/>
      <c r="E701" s="135"/>
      <c r="F701" s="135"/>
      <c r="G701" s="135"/>
      <c r="H701" s="136"/>
      <c r="I701" s="135"/>
      <c r="J701" s="134"/>
      <c r="K701" s="135"/>
      <c r="L701" s="135"/>
      <c r="M701" s="136"/>
      <c r="N701" s="135"/>
      <c r="O701" s="134"/>
      <c r="P701" s="136"/>
      <c r="Q701" s="136"/>
      <c r="R701" s="136"/>
      <c r="S701" s="135"/>
      <c r="T701" s="134"/>
      <c r="U701" s="137"/>
      <c r="V701" s="136"/>
      <c r="W701" s="136"/>
      <c r="X701"/>
    </row>
    <row r="702" spans="1:24" ht="15.5">
      <c r="A702" s="138"/>
      <c r="B702" s="139"/>
      <c r="C702" s="140"/>
      <c r="D702" s="141"/>
      <c r="E702" s="141"/>
      <c r="F702" s="141"/>
      <c r="G702" s="141"/>
      <c r="H702" s="142"/>
      <c r="I702" s="141"/>
      <c r="J702" s="140"/>
      <c r="K702" s="141"/>
      <c r="L702" s="141"/>
      <c r="M702" s="142"/>
      <c r="N702" s="141"/>
      <c r="O702" s="140"/>
      <c r="P702" s="142"/>
      <c r="Q702" s="142"/>
      <c r="R702" s="142"/>
      <c r="S702" s="141"/>
      <c r="T702" s="140"/>
      <c r="U702" s="143"/>
      <c r="V702" s="142"/>
      <c r="W702" s="142"/>
      <c r="X702"/>
    </row>
    <row r="703" spans="1:24" s="149" customFormat="1" ht="15.5">
      <c r="A703" s="138"/>
      <c r="B703" s="144"/>
      <c r="C703" s="145"/>
      <c r="D703" s="146"/>
      <c r="E703" s="147"/>
      <c r="F703" s="146"/>
      <c r="G703" s="146"/>
      <c r="H703" s="332"/>
      <c r="I703" s="146"/>
      <c r="J703" s="145"/>
      <c r="K703" s="147"/>
      <c r="L703" s="146"/>
      <c r="M703" s="332"/>
      <c r="N703" s="146"/>
      <c r="O703" s="145"/>
      <c r="P703" s="332"/>
      <c r="Q703" s="332"/>
      <c r="R703" s="332"/>
      <c r="S703" s="146"/>
      <c r="T703" s="145"/>
      <c r="U703" s="148"/>
      <c r="V703" s="332"/>
      <c r="W703" s="332"/>
      <c r="X703"/>
    </row>
    <row r="704" spans="1:24" ht="15.5">
      <c r="A704" s="138"/>
      <c r="B704" s="133"/>
      <c r="C704" s="134"/>
      <c r="D704" s="135"/>
      <c r="E704" s="135"/>
      <c r="F704" s="135"/>
      <c r="G704" s="135"/>
      <c r="H704" s="136"/>
      <c r="I704" s="135"/>
      <c r="J704" s="134"/>
      <c r="K704" s="135"/>
      <c r="L704" s="135"/>
      <c r="M704" s="136"/>
      <c r="N704" s="135"/>
      <c r="O704" s="134"/>
      <c r="P704" s="136"/>
      <c r="Q704" s="136"/>
      <c r="R704" s="136"/>
      <c r="S704" s="135"/>
      <c r="T704" s="134"/>
      <c r="U704" s="137"/>
      <c r="V704" s="136"/>
      <c r="W704" s="136"/>
      <c r="X704"/>
    </row>
    <row r="705" spans="1:24" ht="15.5">
      <c r="A705" s="138"/>
      <c r="B705" s="139"/>
      <c r="C705" s="140"/>
      <c r="D705" s="141"/>
      <c r="E705" s="141"/>
      <c r="F705" s="141"/>
      <c r="G705" s="141"/>
      <c r="H705" s="142"/>
      <c r="I705" s="141"/>
      <c r="J705" s="140"/>
      <c r="K705" s="141"/>
      <c r="L705" s="141"/>
      <c r="M705" s="142"/>
      <c r="N705" s="141"/>
      <c r="O705" s="140"/>
      <c r="P705" s="142"/>
      <c r="Q705" s="142"/>
      <c r="R705" s="142"/>
      <c r="S705" s="141"/>
      <c r="T705" s="140"/>
      <c r="U705" s="143"/>
      <c r="V705" s="142"/>
      <c r="W705" s="142"/>
      <c r="X705"/>
    </row>
    <row r="706" spans="1:24" s="149" customFormat="1" ht="15.5">
      <c r="A706" s="138"/>
      <c r="B706" s="144"/>
      <c r="C706" s="145"/>
      <c r="D706" s="146"/>
      <c r="E706" s="146"/>
      <c r="F706" s="146"/>
      <c r="G706" s="146"/>
      <c r="H706" s="332"/>
      <c r="I706" s="146"/>
      <c r="J706" s="145"/>
      <c r="K706" s="146"/>
      <c r="L706" s="146"/>
      <c r="M706" s="332"/>
      <c r="N706" s="146"/>
      <c r="O706" s="145"/>
      <c r="P706" s="332"/>
      <c r="Q706" s="332"/>
      <c r="R706" s="332"/>
      <c r="S706" s="146"/>
      <c r="T706" s="145"/>
      <c r="U706" s="148"/>
      <c r="V706" s="332"/>
      <c r="W706" s="332"/>
      <c r="X706"/>
    </row>
    <row r="707" spans="1:24" ht="15.5">
      <c r="A707" s="138"/>
      <c r="B707" s="133"/>
      <c r="C707" s="134"/>
      <c r="D707" s="135"/>
      <c r="E707" s="135"/>
      <c r="F707" s="135"/>
      <c r="G707" s="135"/>
      <c r="H707" s="136"/>
      <c r="I707" s="135"/>
      <c r="J707" s="134"/>
      <c r="K707" s="135"/>
      <c r="L707" s="135"/>
      <c r="M707" s="136"/>
      <c r="N707" s="135"/>
      <c r="O707" s="134"/>
      <c r="P707" s="136"/>
      <c r="Q707" s="136"/>
      <c r="R707" s="136"/>
      <c r="S707" s="135"/>
      <c r="T707" s="134"/>
      <c r="U707" s="137"/>
      <c r="V707" s="136"/>
      <c r="W707" s="136"/>
      <c r="X707"/>
    </row>
    <row r="708" spans="1:24" ht="15.5">
      <c r="A708" s="138"/>
      <c r="B708" s="139"/>
      <c r="C708" s="140"/>
      <c r="D708" s="141"/>
      <c r="E708" s="141"/>
      <c r="F708" s="141"/>
      <c r="G708" s="141"/>
      <c r="H708" s="142"/>
      <c r="I708" s="141"/>
      <c r="J708" s="140"/>
      <c r="K708" s="141"/>
      <c r="L708" s="141"/>
      <c r="M708" s="142"/>
      <c r="N708" s="141"/>
      <c r="O708" s="140"/>
      <c r="P708" s="142"/>
      <c r="Q708" s="142"/>
      <c r="R708" s="142"/>
      <c r="S708" s="141"/>
      <c r="T708" s="140"/>
      <c r="U708" s="143"/>
      <c r="V708" s="142"/>
      <c r="W708" s="142"/>
      <c r="X708"/>
    </row>
    <row r="709" spans="1:24" s="149" customFormat="1" ht="15.5">
      <c r="A709" s="138"/>
      <c r="B709" s="144"/>
      <c r="C709" s="156"/>
      <c r="D709" s="151"/>
      <c r="E709" s="146"/>
      <c r="F709" s="146"/>
      <c r="G709" s="146"/>
      <c r="H709" s="332"/>
      <c r="I709" s="146"/>
      <c r="J709" s="145"/>
      <c r="K709" s="146"/>
      <c r="L709" s="146"/>
      <c r="M709" s="332"/>
      <c r="N709" s="146"/>
      <c r="O709" s="145"/>
      <c r="P709" s="332"/>
      <c r="Q709" s="332"/>
      <c r="R709" s="332"/>
      <c r="S709" s="146"/>
      <c r="T709" s="145"/>
      <c r="U709" s="148"/>
      <c r="V709" s="332"/>
      <c r="W709" s="332"/>
      <c r="X709"/>
    </row>
    <row r="710" spans="1:24" ht="15.5">
      <c r="A710" s="138"/>
      <c r="B710" s="133"/>
      <c r="C710" s="134"/>
      <c r="D710" s="135"/>
      <c r="E710" s="135"/>
      <c r="F710" s="135"/>
      <c r="G710" s="135"/>
      <c r="H710" s="136"/>
      <c r="I710" s="135"/>
      <c r="J710" s="134"/>
      <c r="K710" s="135"/>
      <c r="L710" s="135"/>
      <c r="M710" s="136"/>
      <c r="N710" s="135"/>
      <c r="O710" s="134"/>
      <c r="P710" s="136"/>
      <c r="Q710" s="136"/>
      <c r="R710" s="136"/>
      <c r="S710" s="135"/>
      <c r="T710" s="134"/>
      <c r="U710" s="137"/>
      <c r="V710" s="136"/>
      <c r="W710" s="136"/>
      <c r="X710"/>
    </row>
    <row r="711" spans="1:24" ht="15.5">
      <c r="A711" s="138"/>
      <c r="B711" s="139"/>
      <c r="C711" s="140"/>
      <c r="D711" s="141"/>
      <c r="E711" s="141"/>
      <c r="F711" s="141"/>
      <c r="G711" s="141"/>
      <c r="H711" s="142"/>
      <c r="I711" s="141"/>
      <c r="J711" s="140"/>
      <c r="K711" s="141"/>
      <c r="L711" s="141"/>
      <c r="M711" s="142"/>
      <c r="N711" s="141"/>
      <c r="O711" s="140"/>
      <c r="P711" s="142"/>
      <c r="Q711" s="142"/>
      <c r="R711" s="142"/>
      <c r="S711" s="141"/>
      <c r="T711" s="140"/>
      <c r="U711" s="143"/>
      <c r="V711" s="142"/>
      <c r="W711" s="142"/>
      <c r="X711"/>
    </row>
    <row r="712" spans="1:24" s="149" customFormat="1" ht="15.5">
      <c r="A712" s="138"/>
      <c r="B712" s="144"/>
      <c r="C712" s="145"/>
      <c r="D712" s="146"/>
      <c r="E712" s="147"/>
      <c r="F712" s="146"/>
      <c r="G712" s="146"/>
      <c r="H712" s="332"/>
      <c r="I712" s="146"/>
      <c r="J712" s="145"/>
      <c r="K712" s="146"/>
      <c r="L712" s="146"/>
      <c r="M712" s="332"/>
      <c r="N712" s="146"/>
      <c r="O712" s="145"/>
      <c r="P712" s="332"/>
      <c r="Q712" s="332"/>
      <c r="R712" s="332"/>
      <c r="S712" s="146"/>
      <c r="T712" s="145"/>
      <c r="U712" s="148"/>
      <c r="V712" s="332"/>
      <c r="W712" s="332"/>
      <c r="X712"/>
    </row>
    <row r="713" spans="1:24" ht="15.5">
      <c r="A713" s="138"/>
      <c r="B713" s="133"/>
      <c r="C713" s="134"/>
      <c r="D713" s="135"/>
      <c r="E713" s="135"/>
      <c r="F713" s="141"/>
      <c r="G713" s="135"/>
      <c r="H713" s="136"/>
      <c r="I713" s="135"/>
      <c r="J713" s="134"/>
      <c r="K713" s="135"/>
      <c r="L713" s="135"/>
      <c r="M713" s="136"/>
      <c r="N713" s="135"/>
      <c r="O713" s="134"/>
      <c r="P713" s="136"/>
      <c r="Q713" s="136"/>
      <c r="R713" s="136"/>
      <c r="S713" s="135"/>
      <c r="T713" s="134"/>
      <c r="U713" s="137"/>
      <c r="V713" s="136"/>
      <c r="W713" s="136"/>
      <c r="X713"/>
    </row>
    <row r="714" spans="1:24" ht="15.5">
      <c r="A714" s="138"/>
      <c r="B714" s="139"/>
      <c r="C714" s="140"/>
      <c r="D714" s="141"/>
      <c r="E714" s="141"/>
      <c r="F714" s="141"/>
      <c r="G714" s="141"/>
      <c r="H714" s="142"/>
      <c r="I714" s="141"/>
      <c r="J714" s="140"/>
      <c r="K714" s="141"/>
      <c r="L714" s="141"/>
      <c r="M714" s="142"/>
      <c r="N714" s="141"/>
      <c r="O714" s="140"/>
      <c r="P714" s="142"/>
      <c r="Q714" s="142"/>
      <c r="R714" s="142"/>
      <c r="S714" s="141"/>
      <c r="T714" s="140"/>
      <c r="U714" s="143"/>
      <c r="V714" s="142"/>
      <c r="W714" s="142"/>
      <c r="X714"/>
    </row>
    <row r="715" spans="1:24" s="149" customFormat="1" ht="15.5">
      <c r="A715" s="138"/>
      <c r="B715" s="144"/>
      <c r="C715" s="145"/>
      <c r="D715" s="146"/>
      <c r="E715" s="146"/>
      <c r="F715" s="146"/>
      <c r="G715" s="146"/>
      <c r="H715" s="332"/>
      <c r="I715" s="146"/>
      <c r="J715" s="145"/>
      <c r="K715" s="146"/>
      <c r="L715" s="146"/>
      <c r="M715" s="332"/>
      <c r="N715" s="146"/>
      <c r="O715" s="145"/>
      <c r="P715" s="332"/>
      <c r="Q715" s="332"/>
      <c r="R715" s="332"/>
      <c r="S715" s="146"/>
      <c r="T715" s="145"/>
      <c r="U715" s="148"/>
      <c r="V715" s="332"/>
      <c r="W715" s="332"/>
      <c r="X715"/>
    </row>
    <row r="716" spans="1:24" ht="15.5">
      <c r="A716" s="138"/>
      <c r="B716" s="133"/>
      <c r="C716" s="134"/>
      <c r="D716" s="135"/>
      <c r="E716" s="141"/>
      <c r="F716" s="135"/>
      <c r="G716" s="135"/>
      <c r="H716" s="136"/>
      <c r="I716" s="135"/>
      <c r="J716" s="134"/>
      <c r="K716" s="135"/>
      <c r="L716" s="135"/>
      <c r="M716" s="136"/>
      <c r="N716" s="135"/>
      <c r="O716" s="134"/>
      <c r="P716" s="136"/>
      <c r="Q716" s="136"/>
      <c r="R716" s="136"/>
      <c r="S716" s="135"/>
      <c r="T716" s="134"/>
      <c r="U716" s="137"/>
      <c r="V716" s="136"/>
      <c r="W716" s="136"/>
      <c r="X716"/>
    </row>
    <row r="717" spans="1:24" ht="15.5">
      <c r="A717" s="138"/>
      <c r="B717" s="139"/>
      <c r="C717" s="140"/>
      <c r="D717" s="141"/>
      <c r="E717" s="141"/>
      <c r="F717" s="141"/>
      <c r="G717" s="141"/>
      <c r="H717" s="142"/>
      <c r="I717" s="141"/>
      <c r="J717" s="140"/>
      <c r="K717" s="141"/>
      <c r="L717" s="141"/>
      <c r="M717" s="142"/>
      <c r="N717" s="141"/>
      <c r="O717" s="140"/>
      <c r="P717" s="142"/>
      <c r="Q717" s="142"/>
      <c r="R717" s="142"/>
      <c r="S717" s="141"/>
      <c r="T717" s="140"/>
      <c r="U717" s="143"/>
      <c r="V717" s="142"/>
      <c r="W717" s="142"/>
      <c r="X717"/>
    </row>
    <row r="718" spans="1:24" s="149" customFormat="1" ht="15.5">
      <c r="A718" s="138"/>
      <c r="B718" s="144"/>
      <c r="C718" s="152"/>
      <c r="D718" s="146"/>
      <c r="E718" s="147"/>
      <c r="F718" s="146"/>
      <c r="G718" s="146"/>
      <c r="H718" s="332"/>
      <c r="I718" s="147"/>
      <c r="J718" s="145"/>
      <c r="K718" s="146"/>
      <c r="L718" s="146"/>
      <c r="M718" s="332"/>
      <c r="N718" s="146"/>
      <c r="O718" s="145"/>
      <c r="P718" s="332"/>
      <c r="Q718" s="332"/>
      <c r="R718" s="332"/>
      <c r="S718" s="146"/>
      <c r="T718" s="145"/>
      <c r="U718" s="148"/>
      <c r="V718" s="332"/>
      <c r="W718" s="332"/>
      <c r="X718"/>
    </row>
    <row r="719" spans="1:24" ht="15.5">
      <c r="A719" s="138"/>
      <c r="B719" s="133"/>
      <c r="C719" s="134"/>
      <c r="D719" s="135"/>
      <c r="E719" s="135"/>
      <c r="F719" s="135"/>
      <c r="G719" s="135"/>
      <c r="H719" s="136"/>
      <c r="I719" s="135"/>
      <c r="J719" s="134"/>
      <c r="K719" s="135"/>
      <c r="L719" s="135"/>
      <c r="M719" s="136"/>
      <c r="N719" s="135"/>
      <c r="O719" s="134"/>
      <c r="P719" s="136"/>
      <c r="Q719" s="136"/>
      <c r="R719" s="136"/>
      <c r="S719" s="135"/>
      <c r="T719" s="134"/>
      <c r="U719" s="137"/>
      <c r="V719" s="136"/>
      <c r="W719" s="136"/>
      <c r="X719"/>
    </row>
    <row r="720" spans="1:24" ht="15.5">
      <c r="A720" s="138"/>
      <c r="B720" s="139"/>
      <c r="C720" s="140"/>
      <c r="D720" s="141"/>
      <c r="E720" s="141"/>
      <c r="F720" s="141"/>
      <c r="G720" s="141"/>
      <c r="H720" s="142"/>
      <c r="I720" s="141"/>
      <c r="J720" s="140"/>
      <c r="K720" s="141"/>
      <c r="L720" s="141"/>
      <c r="M720" s="142"/>
      <c r="N720" s="141"/>
      <c r="O720" s="140"/>
      <c r="P720" s="142"/>
      <c r="Q720" s="142"/>
      <c r="R720" s="142"/>
      <c r="S720" s="141"/>
      <c r="T720" s="140"/>
      <c r="U720" s="143"/>
      <c r="V720" s="142"/>
      <c r="W720" s="142"/>
      <c r="X720"/>
    </row>
    <row r="721" spans="1:24" s="149" customFormat="1" ht="15.5">
      <c r="A721" s="138"/>
      <c r="B721" s="144"/>
      <c r="C721" s="145"/>
      <c r="D721" s="146"/>
      <c r="E721" s="146"/>
      <c r="F721" s="146"/>
      <c r="G721" s="146"/>
      <c r="H721" s="332"/>
      <c r="I721" s="146"/>
      <c r="J721" s="145"/>
      <c r="K721" s="146"/>
      <c r="L721" s="146"/>
      <c r="M721" s="332"/>
      <c r="N721" s="146"/>
      <c r="O721" s="145"/>
      <c r="P721" s="332"/>
      <c r="Q721" s="332"/>
      <c r="R721" s="332"/>
      <c r="S721" s="147"/>
      <c r="T721" s="152"/>
      <c r="U721" s="148"/>
      <c r="V721" s="332"/>
      <c r="W721" s="332"/>
      <c r="X721"/>
    </row>
    <row r="722" spans="1:24" ht="15.5">
      <c r="A722" s="138"/>
      <c r="B722" s="133"/>
      <c r="C722" s="134"/>
      <c r="D722" s="135"/>
      <c r="E722" s="135"/>
      <c r="F722" s="135"/>
      <c r="G722" s="135"/>
      <c r="H722" s="136"/>
      <c r="I722" s="135"/>
      <c r="J722" s="134"/>
      <c r="K722" s="135"/>
      <c r="L722" s="135"/>
      <c r="M722" s="136"/>
      <c r="N722" s="135"/>
      <c r="O722" s="134"/>
      <c r="P722" s="136"/>
      <c r="Q722" s="136"/>
      <c r="R722" s="136"/>
      <c r="S722" s="135"/>
      <c r="T722" s="134"/>
      <c r="U722" s="137"/>
      <c r="V722" s="136"/>
      <c r="W722" s="136"/>
      <c r="X722"/>
    </row>
    <row r="723" spans="1:24" ht="15.5">
      <c r="A723" s="138"/>
      <c r="B723" s="139"/>
      <c r="C723" s="140"/>
      <c r="D723" s="141"/>
      <c r="E723" s="141"/>
      <c r="F723" s="141"/>
      <c r="G723" s="141"/>
      <c r="H723" s="142"/>
      <c r="I723" s="141"/>
      <c r="J723" s="140"/>
      <c r="K723" s="141"/>
      <c r="L723" s="141"/>
      <c r="M723" s="142"/>
      <c r="N723" s="141"/>
      <c r="O723" s="140"/>
      <c r="P723" s="142"/>
      <c r="Q723" s="142"/>
      <c r="R723" s="142"/>
      <c r="S723" s="141"/>
      <c r="T723" s="140"/>
      <c r="U723" s="143"/>
      <c r="V723" s="142"/>
      <c r="W723" s="142"/>
      <c r="X723"/>
    </row>
    <row r="724" spans="1:24" s="149" customFormat="1" ht="15.5">
      <c r="A724" s="138"/>
      <c r="B724" s="144"/>
      <c r="C724" s="145"/>
      <c r="D724" s="146"/>
      <c r="E724" s="146"/>
      <c r="F724" s="146"/>
      <c r="G724" s="146"/>
      <c r="H724" s="332"/>
      <c r="I724" s="146"/>
      <c r="J724" s="145"/>
      <c r="K724" s="146"/>
      <c r="L724" s="146"/>
      <c r="M724" s="332"/>
      <c r="N724" s="146"/>
      <c r="O724" s="145"/>
      <c r="P724" s="332"/>
      <c r="Q724" s="332"/>
      <c r="R724" s="332"/>
      <c r="S724" s="147"/>
      <c r="T724" s="152"/>
      <c r="U724" s="148"/>
      <c r="V724" s="332"/>
      <c r="W724" s="332"/>
      <c r="X724"/>
    </row>
    <row r="725" spans="1:24" ht="15.5">
      <c r="A725" s="138"/>
      <c r="B725" s="133"/>
      <c r="C725" s="134"/>
      <c r="D725" s="135"/>
      <c r="E725" s="135"/>
      <c r="F725" s="135"/>
      <c r="G725" s="135"/>
      <c r="H725" s="136"/>
      <c r="I725" s="135"/>
      <c r="J725" s="134"/>
      <c r="K725" s="135"/>
      <c r="L725" s="135"/>
      <c r="M725" s="136"/>
      <c r="N725" s="135"/>
      <c r="O725" s="134"/>
      <c r="P725" s="136"/>
      <c r="Q725" s="136"/>
      <c r="R725" s="136"/>
      <c r="S725" s="135"/>
      <c r="T725" s="134"/>
      <c r="U725" s="137"/>
      <c r="V725" s="136"/>
      <c r="W725" s="136"/>
      <c r="X725"/>
    </row>
    <row r="726" spans="1:24" ht="15.5">
      <c r="A726" s="138"/>
      <c r="B726" s="139"/>
      <c r="C726" s="140"/>
      <c r="D726" s="141"/>
      <c r="E726" s="141"/>
      <c r="F726" s="141"/>
      <c r="G726" s="141"/>
      <c r="H726" s="142"/>
      <c r="I726" s="141"/>
      <c r="J726" s="140"/>
      <c r="K726" s="141"/>
      <c r="L726" s="141"/>
      <c r="M726" s="142"/>
      <c r="N726" s="141"/>
      <c r="O726" s="140"/>
      <c r="P726" s="142"/>
      <c r="Q726" s="142"/>
      <c r="R726" s="142"/>
      <c r="S726" s="141"/>
      <c r="T726" s="140"/>
      <c r="U726" s="143"/>
      <c r="V726" s="142"/>
      <c r="W726" s="142"/>
      <c r="X726"/>
    </row>
    <row r="727" spans="1:24" s="149" customFormat="1" ht="15.5">
      <c r="A727" s="138"/>
      <c r="B727" s="144"/>
      <c r="C727" s="152"/>
      <c r="D727" s="146"/>
      <c r="E727" s="147"/>
      <c r="F727" s="146"/>
      <c r="G727" s="146"/>
      <c r="H727" s="332"/>
      <c r="I727" s="147"/>
      <c r="J727" s="145"/>
      <c r="K727" s="146"/>
      <c r="L727" s="146"/>
      <c r="M727" s="332"/>
      <c r="N727" s="146"/>
      <c r="O727" s="145"/>
      <c r="P727" s="332"/>
      <c r="Q727" s="332"/>
      <c r="R727" s="332"/>
      <c r="S727" s="147"/>
      <c r="T727" s="152"/>
      <c r="U727" s="148"/>
      <c r="V727" s="332"/>
      <c r="W727" s="332"/>
      <c r="X727"/>
    </row>
    <row r="728" spans="1:24" ht="15.5">
      <c r="A728" s="138"/>
      <c r="B728" s="133"/>
      <c r="C728" s="134"/>
      <c r="D728" s="135"/>
      <c r="E728" s="135"/>
      <c r="F728" s="135"/>
      <c r="G728" s="135"/>
      <c r="H728" s="136"/>
      <c r="I728" s="135"/>
      <c r="J728" s="134"/>
      <c r="K728" s="135"/>
      <c r="L728" s="135"/>
      <c r="M728" s="136"/>
      <c r="N728" s="135"/>
      <c r="O728" s="134"/>
      <c r="P728" s="136"/>
      <c r="Q728" s="136"/>
      <c r="R728" s="136"/>
      <c r="S728" s="135"/>
      <c r="T728" s="134"/>
      <c r="U728" s="137"/>
      <c r="V728" s="136"/>
      <c r="W728" s="136"/>
      <c r="X728"/>
    </row>
    <row r="729" spans="1:24" ht="15.5">
      <c r="A729" s="138"/>
      <c r="B729" s="139"/>
      <c r="C729" s="140"/>
      <c r="D729" s="141"/>
      <c r="E729" s="141"/>
      <c r="F729" s="141"/>
      <c r="G729" s="141"/>
      <c r="H729" s="142"/>
      <c r="I729" s="141"/>
      <c r="J729" s="140"/>
      <c r="K729" s="141"/>
      <c r="L729" s="141"/>
      <c r="M729" s="142"/>
      <c r="N729" s="141"/>
      <c r="O729" s="140"/>
      <c r="P729" s="142"/>
      <c r="Q729" s="142"/>
      <c r="R729" s="142"/>
      <c r="S729" s="141"/>
      <c r="T729" s="140"/>
      <c r="U729" s="143"/>
      <c r="V729" s="142"/>
      <c r="W729" s="142"/>
      <c r="X729"/>
    </row>
    <row r="730" spans="1:24" s="149" customFormat="1" ht="15.5">
      <c r="A730" s="138"/>
      <c r="B730" s="144"/>
      <c r="C730" s="145"/>
      <c r="D730" s="146"/>
      <c r="E730" s="146"/>
      <c r="F730" s="146"/>
      <c r="G730" s="146"/>
      <c r="H730" s="332"/>
      <c r="I730" s="146"/>
      <c r="J730" s="145"/>
      <c r="K730" s="146"/>
      <c r="L730" s="146"/>
      <c r="M730" s="332"/>
      <c r="N730" s="146"/>
      <c r="O730" s="145"/>
      <c r="P730" s="332"/>
      <c r="Q730" s="332"/>
      <c r="R730" s="332"/>
      <c r="S730" s="146"/>
      <c r="T730" s="145"/>
      <c r="U730" s="148"/>
      <c r="V730" s="332"/>
      <c r="W730" s="332"/>
      <c r="X730"/>
    </row>
    <row r="731" spans="1:24" ht="15.5">
      <c r="A731" s="138"/>
      <c r="B731" s="133"/>
      <c r="C731" s="134"/>
      <c r="D731" s="135"/>
      <c r="E731" s="135"/>
      <c r="F731" s="135"/>
      <c r="G731" s="135"/>
      <c r="H731" s="136"/>
      <c r="I731" s="135"/>
      <c r="J731" s="134"/>
      <c r="K731" s="135"/>
      <c r="L731" s="135"/>
      <c r="M731" s="136"/>
      <c r="N731" s="135"/>
      <c r="O731" s="134"/>
      <c r="P731" s="136"/>
      <c r="Q731" s="136"/>
      <c r="R731" s="136"/>
      <c r="S731" s="135"/>
      <c r="T731" s="134"/>
      <c r="U731" s="137"/>
      <c r="V731" s="136"/>
      <c r="W731" s="136"/>
      <c r="X731"/>
    </row>
    <row r="732" spans="1:24" ht="15.5">
      <c r="A732" s="138"/>
      <c r="B732" s="139"/>
      <c r="C732" s="140"/>
      <c r="D732" s="141"/>
      <c r="E732" s="141"/>
      <c r="F732" s="141"/>
      <c r="G732" s="141"/>
      <c r="H732" s="142"/>
      <c r="I732" s="141"/>
      <c r="J732" s="140"/>
      <c r="K732" s="141"/>
      <c r="L732" s="141"/>
      <c r="M732" s="142"/>
      <c r="N732" s="141"/>
      <c r="O732" s="140"/>
      <c r="P732" s="142"/>
      <c r="Q732" s="142"/>
      <c r="R732" s="142"/>
      <c r="S732" s="141"/>
      <c r="T732" s="140"/>
      <c r="U732" s="143"/>
      <c r="V732" s="142"/>
      <c r="W732" s="142"/>
      <c r="X732"/>
    </row>
    <row r="733" spans="1:24" s="149" customFormat="1" ht="15.5">
      <c r="A733" s="138"/>
      <c r="B733" s="144"/>
      <c r="C733" s="152"/>
      <c r="D733" s="146"/>
      <c r="E733" s="146"/>
      <c r="F733" s="146"/>
      <c r="G733" s="146"/>
      <c r="H733" s="332"/>
      <c r="I733" s="147"/>
      <c r="J733" s="145"/>
      <c r="K733" s="146"/>
      <c r="L733" s="146"/>
      <c r="M733" s="332"/>
      <c r="N733" s="146"/>
      <c r="O733" s="145"/>
      <c r="P733" s="332"/>
      <c r="Q733" s="332"/>
      <c r="R733" s="332"/>
      <c r="S733" s="146"/>
      <c r="T733" s="145"/>
      <c r="U733" s="148"/>
      <c r="V733" s="332"/>
      <c r="W733" s="332"/>
      <c r="X733"/>
    </row>
    <row r="734" spans="1:24" ht="15.5">
      <c r="A734" s="138"/>
      <c r="B734" s="133"/>
      <c r="C734" s="134"/>
      <c r="D734" s="135"/>
      <c r="E734" s="135"/>
      <c r="F734" s="135"/>
      <c r="G734" s="135"/>
      <c r="H734" s="136"/>
      <c r="I734" s="135"/>
      <c r="J734" s="134"/>
      <c r="K734" s="135"/>
      <c r="L734" s="135"/>
      <c r="M734" s="136"/>
      <c r="N734" s="135"/>
      <c r="O734" s="134"/>
      <c r="P734" s="136"/>
      <c r="Q734" s="136"/>
      <c r="R734" s="136"/>
      <c r="S734" s="135"/>
      <c r="T734" s="134"/>
      <c r="U734" s="137"/>
      <c r="V734" s="136"/>
      <c r="W734" s="136"/>
      <c r="X734"/>
    </row>
    <row r="735" spans="1:24" ht="15.5">
      <c r="A735" s="138"/>
      <c r="B735" s="139"/>
      <c r="C735" s="140"/>
      <c r="D735" s="141"/>
      <c r="E735" s="141"/>
      <c r="F735" s="141"/>
      <c r="G735" s="141"/>
      <c r="H735" s="142"/>
      <c r="I735" s="141"/>
      <c r="J735" s="140"/>
      <c r="K735" s="141"/>
      <c r="L735" s="141"/>
      <c r="M735" s="142"/>
      <c r="N735" s="141"/>
      <c r="O735" s="140"/>
      <c r="P735" s="142"/>
      <c r="Q735" s="142"/>
      <c r="R735" s="142"/>
      <c r="S735" s="141"/>
      <c r="T735" s="140"/>
      <c r="U735" s="143"/>
      <c r="V735" s="142"/>
      <c r="W735" s="142"/>
      <c r="X735"/>
    </row>
    <row r="736" spans="1:24" s="149" customFormat="1" ht="15.5">
      <c r="A736" s="138"/>
      <c r="B736" s="144"/>
      <c r="C736" s="145"/>
      <c r="D736" s="146"/>
      <c r="E736" s="146"/>
      <c r="F736" s="146"/>
      <c r="G736" s="146"/>
      <c r="H736" s="332"/>
      <c r="I736" s="146"/>
      <c r="J736" s="145"/>
      <c r="K736" s="146"/>
      <c r="L736" s="146"/>
      <c r="M736" s="332"/>
      <c r="N736" s="146"/>
      <c r="O736" s="145"/>
      <c r="P736" s="332"/>
      <c r="Q736" s="332"/>
      <c r="R736" s="332"/>
      <c r="S736" s="147"/>
      <c r="T736" s="152"/>
      <c r="U736" s="148"/>
      <c r="V736" s="332"/>
      <c r="W736" s="332"/>
      <c r="X736"/>
    </row>
    <row r="737" spans="1:24" ht="15.5">
      <c r="A737" s="138"/>
      <c r="B737" s="133"/>
      <c r="C737" s="134"/>
      <c r="D737" s="135"/>
      <c r="E737" s="135"/>
      <c r="F737" s="135"/>
      <c r="G737" s="135"/>
      <c r="H737" s="136"/>
      <c r="I737" s="135"/>
      <c r="J737" s="134"/>
      <c r="K737" s="135"/>
      <c r="L737" s="135"/>
      <c r="M737" s="136"/>
      <c r="N737" s="135"/>
      <c r="O737" s="134"/>
      <c r="P737" s="136"/>
      <c r="Q737" s="136"/>
      <c r="R737" s="136"/>
      <c r="S737" s="135"/>
      <c r="T737" s="134"/>
      <c r="U737" s="137"/>
      <c r="V737" s="136"/>
      <c r="W737" s="136"/>
      <c r="X737"/>
    </row>
    <row r="738" spans="1:24" ht="15.5">
      <c r="A738" s="138"/>
      <c r="B738" s="139"/>
      <c r="C738" s="140"/>
      <c r="D738" s="141"/>
      <c r="E738" s="141"/>
      <c r="F738" s="141"/>
      <c r="G738" s="141"/>
      <c r="H738" s="142"/>
      <c r="I738" s="141"/>
      <c r="J738" s="140"/>
      <c r="K738" s="141"/>
      <c r="L738" s="141"/>
      <c r="M738" s="142"/>
      <c r="N738" s="141"/>
      <c r="O738" s="140"/>
      <c r="P738" s="142"/>
      <c r="Q738" s="142"/>
      <c r="R738" s="142"/>
      <c r="S738" s="141"/>
      <c r="T738" s="140"/>
      <c r="U738" s="143"/>
      <c r="V738" s="142"/>
      <c r="W738" s="142"/>
      <c r="X738"/>
    </row>
    <row r="739" spans="1:24" s="149" customFormat="1" ht="15.5">
      <c r="A739" s="138"/>
      <c r="B739" s="144"/>
      <c r="C739" s="145"/>
      <c r="D739" s="146"/>
      <c r="E739" s="146"/>
      <c r="F739" s="146"/>
      <c r="G739" s="146"/>
      <c r="H739" s="332"/>
      <c r="I739" s="146"/>
      <c r="J739" s="145"/>
      <c r="K739" s="146"/>
      <c r="L739" s="146"/>
      <c r="M739" s="332"/>
      <c r="N739" s="146"/>
      <c r="O739" s="145"/>
      <c r="P739" s="332"/>
      <c r="Q739" s="332"/>
      <c r="R739" s="332"/>
      <c r="S739" s="146"/>
      <c r="T739" s="145"/>
      <c r="U739" s="148"/>
      <c r="V739" s="332"/>
      <c r="W739" s="332"/>
      <c r="X739"/>
    </row>
    <row r="740" spans="1:24" ht="15.5">
      <c r="A740" s="138"/>
      <c r="B740" s="133"/>
      <c r="C740" s="134"/>
      <c r="D740" s="135"/>
      <c r="E740" s="135"/>
      <c r="F740" s="135"/>
      <c r="G740" s="135"/>
      <c r="H740" s="136"/>
      <c r="I740" s="135"/>
      <c r="J740" s="134"/>
      <c r="K740" s="135"/>
      <c r="L740" s="135"/>
      <c r="M740" s="136"/>
      <c r="N740" s="135"/>
      <c r="O740" s="134"/>
      <c r="P740" s="136"/>
      <c r="Q740" s="136"/>
      <c r="R740" s="136"/>
      <c r="S740" s="135"/>
      <c r="T740" s="134"/>
      <c r="U740" s="137"/>
      <c r="V740" s="136"/>
      <c r="W740" s="136"/>
      <c r="X740"/>
    </row>
    <row r="741" spans="1:24" ht="15.5">
      <c r="A741" s="138"/>
      <c r="B741" s="139"/>
      <c r="C741" s="140"/>
      <c r="D741" s="141"/>
      <c r="E741" s="141"/>
      <c r="F741" s="141"/>
      <c r="G741" s="141"/>
      <c r="H741" s="142"/>
      <c r="I741" s="141"/>
      <c r="J741" s="140"/>
      <c r="K741" s="141"/>
      <c r="L741" s="141"/>
      <c r="M741" s="142"/>
      <c r="N741" s="141"/>
      <c r="O741" s="140"/>
      <c r="P741" s="142"/>
      <c r="Q741" s="142"/>
      <c r="R741" s="142"/>
      <c r="S741" s="141"/>
      <c r="T741" s="140"/>
      <c r="U741" s="143"/>
      <c r="V741" s="142"/>
      <c r="W741" s="142"/>
      <c r="X741"/>
    </row>
    <row r="742" spans="1:24" s="149" customFormat="1" ht="15.5">
      <c r="A742" s="138"/>
      <c r="B742" s="144"/>
      <c r="C742" s="145"/>
      <c r="D742" s="146"/>
      <c r="E742" s="146"/>
      <c r="F742" s="146"/>
      <c r="G742" s="146"/>
      <c r="H742" s="332"/>
      <c r="I742" s="146"/>
      <c r="J742" s="145"/>
      <c r="K742" s="146"/>
      <c r="L742" s="146"/>
      <c r="M742" s="332"/>
      <c r="N742" s="146"/>
      <c r="O742" s="145"/>
      <c r="P742" s="332"/>
      <c r="Q742" s="332"/>
      <c r="R742" s="332"/>
      <c r="S742" s="146"/>
      <c r="T742" s="145"/>
      <c r="U742" s="148"/>
      <c r="V742" s="332"/>
      <c r="W742" s="332"/>
      <c r="X742"/>
    </row>
    <row r="743" spans="1:24" ht="15.5">
      <c r="A743" s="138"/>
      <c r="B743" s="133"/>
      <c r="C743" s="134"/>
      <c r="D743" s="135"/>
      <c r="E743" s="135"/>
      <c r="F743" s="135"/>
      <c r="G743" s="135"/>
      <c r="H743" s="136"/>
      <c r="I743" s="135"/>
      <c r="J743" s="134"/>
      <c r="K743" s="135"/>
      <c r="L743" s="135"/>
      <c r="M743" s="136"/>
      <c r="N743" s="135"/>
      <c r="O743" s="134"/>
      <c r="P743" s="136"/>
      <c r="Q743" s="136"/>
      <c r="R743" s="136"/>
      <c r="S743" s="135"/>
      <c r="T743" s="134"/>
      <c r="U743" s="137"/>
      <c r="V743" s="136"/>
      <c r="W743" s="136"/>
      <c r="X743"/>
    </row>
    <row r="744" spans="1:24" ht="15.5">
      <c r="A744" s="138"/>
      <c r="B744" s="139"/>
      <c r="C744" s="140"/>
      <c r="D744" s="141"/>
      <c r="E744" s="141"/>
      <c r="F744" s="141"/>
      <c r="G744" s="141"/>
      <c r="H744" s="142"/>
      <c r="I744" s="141"/>
      <c r="J744" s="140"/>
      <c r="K744" s="141"/>
      <c r="L744" s="141"/>
      <c r="M744" s="142"/>
      <c r="N744" s="141"/>
      <c r="O744" s="140"/>
      <c r="P744" s="142"/>
      <c r="Q744" s="142"/>
      <c r="R744" s="142"/>
      <c r="S744" s="141"/>
      <c r="T744" s="140"/>
      <c r="U744" s="143"/>
      <c r="V744" s="142"/>
      <c r="W744" s="142"/>
      <c r="X744"/>
    </row>
    <row r="745" spans="1:24" s="149" customFormat="1" ht="15.5">
      <c r="A745" s="138"/>
      <c r="B745" s="144"/>
      <c r="C745" s="147"/>
      <c r="D745" s="146"/>
      <c r="E745" s="146"/>
      <c r="F745" s="146"/>
      <c r="G745" s="146"/>
      <c r="H745" s="332"/>
      <c r="I745" s="146"/>
      <c r="J745" s="145"/>
      <c r="K745" s="146"/>
      <c r="L745" s="146"/>
      <c r="M745" s="332"/>
      <c r="N745" s="146"/>
      <c r="O745" s="145"/>
      <c r="P745" s="332"/>
      <c r="Q745" s="332"/>
      <c r="R745" s="332"/>
      <c r="S745" s="146"/>
      <c r="T745" s="145"/>
      <c r="U745" s="148"/>
      <c r="V745" s="332"/>
      <c r="W745" s="332"/>
      <c r="X745"/>
    </row>
    <row r="746" spans="1:24" ht="15.5">
      <c r="A746" s="138"/>
      <c r="B746" s="133"/>
      <c r="C746" s="140"/>
      <c r="D746" s="135"/>
      <c r="E746" s="141"/>
      <c r="F746" s="135"/>
      <c r="G746" s="135"/>
      <c r="H746" s="136"/>
      <c r="I746" s="135"/>
      <c r="J746" s="134"/>
      <c r="K746" s="135"/>
      <c r="L746" s="135"/>
      <c r="M746" s="136"/>
      <c r="N746" s="135"/>
      <c r="O746" s="134"/>
      <c r="P746" s="136"/>
      <c r="Q746" s="136"/>
      <c r="R746" s="136"/>
      <c r="S746" s="135"/>
      <c r="T746" s="134"/>
      <c r="U746" s="137"/>
      <c r="V746" s="136"/>
      <c r="W746" s="136"/>
      <c r="X746"/>
    </row>
    <row r="747" spans="1:24" s="149" customFormat="1" ht="15.5">
      <c r="A747" s="153"/>
      <c r="B747" s="139"/>
      <c r="C747" s="140"/>
      <c r="D747" s="141"/>
      <c r="E747" s="141"/>
      <c r="F747" s="141"/>
      <c r="G747" s="141"/>
      <c r="H747" s="142"/>
      <c r="I747" s="141"/>
      <c r="J747" s="140"/>
      <c r="K747" s="141"/>
      <c r="L747" s="141"/>
      <c r="M747" s="142"/>
      <c r="N747" s="141"/>
      <c r="O747" s="140"/>
      <c r="P747" s="142"/>
      <c r="Q747" s="142"/>
      <c r="R747" s="142"/>
      <c r="S747" s="141"/>
      <c r="T747" s="140"/>
      <c r="U747" s="143"/>
      <c r="V747" s="142"/>
      <c r="W747" s="142"/>
      <c r="X747"/>
    </row>
    <row r="748" spans="1:24" ht="15.5">
      <c r="A748" s="132"/>
      <c r="B748" s="133"/>
      <c r="C748" s="134"/>
      <c r="D748" s="135"/>
      <c r="E748" s="135"/>
      <c r="F748" s="135"/>
      <c r="G748" s="135"/>
      <c r="H748" s="136"/>
      <c r="I748" s="135"/>
      <c r="J748" s="134"/>
      <c r="K748" s="135"/>
      <c r="L748" s="135"/>
      <c r="M748" s="136"/>
      <c r="N748" s="135"/>
      <c r="O748" s="134"/>
      <c r="P748" s="136"/>
      <c r="Q748" s="136"/>
      <c r="R748" s="136"/>
      <c r="S748" s="135"/>
      <c r="T748" s="134"/>
      <c r="U748" s="137"/>
      <c r="V748" s="136"/>
      <c r="W748" s="136"/>
      <c r="X748"/>
    </row>
    <row r="749" spans="1:24" ht="15.5">
      <c r="A749" s="138"/>
      <c r="B749" s="139"/>
      <c r="C749" s="140"/>
      <c r="D749" s="141"/>
      <c r="E749" s="141"/>
      <c r="F749" s="141"/>
      <c r="G749" s="141"/>
      <c r="H749" s="142"/>
      <c r="I749" s="141"/>
      <c r="J749" s="140"/>
      <c r="K749" s="141"/>
      <c r="L749" s="141"/>
      <c r="M749" s="142"/>
      <c r="N749" s="141"/>
      <c r="O749" s="140"/>
      <c r="P749" s="142"/>
      <c r="Q749" s="142"/>
      <c r="R749" s="142"/>
      <c r="S749" s="141"/>
      <c r="T749" s="140"/>
      <c r="U749" s="143"/>
      <c r="V749" s="142"/>
      <c r="W749" s="142"/>
      <c r="X749"/>
    </row>
    <row r="750" spans="1:24" s="149" customFormat="1" ht="15.5">
      <c r="A750" s="138"/>
      <c r="B750" s="144"/>
      <c r="C750" s="145"/>
      <c r="D750" s="146"/>
      <c r="E750" s="146"/>
      <c r="F750" s="146"/>
      <c r="G750" s="146"/>
      <c r="H750" s="332"/>
      <c r="I750" s="146"/>
      <c r="J750" s="145"/>
      <c r="K750" s="146"/>
      <c r="L750" s="146"/>
      <c r="M750" s="332"/>
      <c r="N750" s="146"/>
      <c r="O750" s="145"/>
      <c r="P750" s="332"/>
      <c r="Q750" s="332"/>
      <c r="R750" s="146"/>
      <c r="S750" s="148"/>
      <c r="T750" s="146"/>
      <c r="U750" s="148"/>
      <c r="V750" s="332"/>
      <c r="W750" s="332"/>
      <c r="X750"/>
    </row>
    <row r="751" spans="1:24" ht="15.5">
      <c r="A751" s="138"/>
      <c r="B751" s="133"/>
      <c r="C751" s="134"/>
      <c r="D751" s="141"/>
      <c r="E751" s="141"/>
      <c r="F751" s="135"/>
      <c r="G751" s="135"/>
      <c r="H751" s="136"/>
      <c r="I751" s="135"/>
      <c r="J751" s="134"/>
      <c r="K751" s="135"/>
      <c r="L751" s="141"/>
      <c r="M751" s="136"/>
      <c r="N751" s="135"/>
      <c r="O751" s="134"/>
      <c r="P751" s="136"/>
      <c r="Q751" s="136"/>
      <c r="R751" s="136"/>
      <c r="S751" s="141"/>
      <c r="T751" s="134"/>
      <c r="U751" s="137"/>
      <c r="V751" s="136"/>
      <c r="W751" s="136"/>
      <c r="X751"/>
    </row>
    <row r="752" spans="1:24" ht="15.5">
      <c r="A752" s="138"/>
      <c r="B752" s="139"/>
      <c r="C752" s="140"/>
      <c r="D752" s="141"/>
      <c r="E752" s="141"/>
      <c r="F752" s="141"/>
      <c r="G752" s="141"/>
      <c r="H752" s="142"/>
      <c r="I752" s="141"/>
      <c r="J752" s="140"/>
      <c r="K752" s="141"/>
      <c r="L752" s="141"/>
      <c r="M752" s="142"/>
      <c r="N752" s="141"/>
      <c r="O752" s="140"/>
      <c r="P752" s="142"/>
      <c r="Q752" s="142"/>
      <c r="R752" s="142"/>
      <c r="S752" s="141"/>
      <c r="T752" s="140"/>
      <c r="U752" s="143"/>
      <c r="V752" s="142"/>
      <c r="W752" s="142"/>
      <c r="X752"/>
    </row>
    <row r="753" spans="1:24" s="149" customFormat="1" ht="15.5">
      <c r="A753" s="138"/>
      <c r="B753" s="144"/>
      <c r="C753" s="145"/>
      <c r="D753" s="146"/>
      <c r="E753" s="146"/>
      <c r="F753" s="146"/>
      <c r="G753" s="146"/>
      <c r="H753" s="332"/>
      <c r="I753" s="146"/>
      <c r="J753" s="145"/>
      <c r="K753" s="146"/>
      <c r="L753" s="146"/>
      <c r="M753" s="332"/>
      <c r="N753" s="146"/>
      <c r="O753" s="145"/>
      <c r="P753" s="332"/>
      <c r="Q753" s="332"/>
      <c r="R753" s="332"/>
      <c r="S753" s="146"/>
      <c r="T753" s="145"/>
      <c r="U753" s="148"/>
      <c r="V753" s="332"/>
      <c r="W753" s="332"/>
      <c r="X753"/>
    </row>
    <row r="754" spans="1:24" ht="15.5">
      <c r="A754" s="138"/>
      <c r="B754" s="133"/>
      <c r="C754" s="134"/>
      <c r="D754" s="135"/>
      <c r="E754" s="135"/>
      <c r="F754" s="135"/>
      <c r="G754" s="135"/>
      <c r="H754" s="136"/>
      <c r="I754" s="135"/>
      <c r="J754" s="134"/>
      <c r="K754" s="135"/>
      <c r="L754" s="135"/>
      <c r="M754" s="136"/>
      <c r="N754" s="135"/>
      <c r="O754" s="134"/>
      <c r="P754" s="136"/>
      <c r="Q754" s="136"/>
      <c r="R754" s="136"/>
      <c r="S754" s="135"/>
      <c r="T754" s="134"/>
      <c r="U754" s="137"/>
      <c r="V754" s="136"/>
      <c r="W754" s="136"/>
      <c r="X754"/>
    </row>
    <row r="755" spans="1:24" ht="15.5">
      <c r="A755" s="138"/>
      <c r="B755" s="139"/>
      <c r="C755" s="140"/>
      <c r="D755" s="141"/>
      <c r="E755" s="141"/>
      <c r="F755" s="141"/>
      <c r="G755" s="141"/>
      <c r="H755" s="142"/>
      <c r="I755" s="141"/>
      <c r="J755" s="140"/>
      <c r="K755" s="141"/>
      <c r="L755" s="141"/>
      <c r="M755" s="142"/>
      <c r="N755" s="141"/>
      <c r="O755" s="140"/>
      <c r="P755" s="142"/>
      <c r="Q755" s="142"/>
      <c r="R755" s="142"/>
      <c r="S755" s="141"/>
      <c r="T755" s="140"/>
      <c r="U755" s="143"/>
      <c r="V755" s="142"/>
      <c r="W755" s="142"/>
      <c r="X755"/>
    </row>
    <row r="756" spans="1:24" s="149" customFormat="1" ht="15.5">
      <c r="A756" s="138"/>
      <c r="B756" s="144"/>
      <c r="C756" s="145"/>
      <c r="D756" s="146"/>
      <c r="E756" s="147"/>
      <c r="F756" s="146"/>
      <c r="G756" s="146"/>
      <c r="H756" s="332"/>
      <c r="I756" s="146"/>
      <c r="J756" s="145"/>
      <c r="K756" s="146"/>
      <c r="L756" s="146"/>
      <c r="M756" s="332"/>
      <c r="N756" s="146"/>
      <c r="O756" s="145"/>
      <c r="P756" s="332"/>
      <c r="Q756" s="332"/>
      <c r="R756" s="332"/>
      <c r="S756" s="146"/>
      <c r="T756" s="145"/>
      <c r="U756" s="148"/>
      <c r="V756" s="332"/>
      <c r="W756" s="332"/>
      <c r="X756"/>
    </row>
    <row r="757" spans="1:24" ht="15.5">
      <c r="A757" s="138"/>
      <c r="B757" s="133"/>
      <c r="C757" s="134"/>
      <c r="D757" s="135"/>
      <c r="E757" s="135"/>
      <c r="F757" s="135"/>
      <c r="G757" s="135"/>
      <c r="H757" s="136"/>
      <c r="I757" s="135"/>
      <c r="J757" s="134"/>
      <c r="K757" s="135"/>
      <c r="L757" s="135"/>
      <c r="M757" s="136"/>
      <c r="N757" s="135"/>
      <c r="O757" s="134"/>
      <c r="P757" s="136"/>
      <c r="Q757" s="136"/>
      <c r="R757" s="136"/>
      <c r="S757" s="135"/>
      <c r="T757" s="134"/>
      <c r="U757" s="137"/>
      <c r="V757" s="136"/>
      <c r="W757" s="136"/>
      <c r="X757"/>
    </row>
    <row r="758" spans="1:24" ht="15.5">
      <c r="A758" s="138"/>
      <c r="B758" s="139"/>
      <c r="C758" s="140"/>
      <c r="D758" s="141"/>
      <c r="E758" s="141"/>
      <c r="F758" s="141"/>
      <c r="G758" s="141"/>
      <c r="H758" s="142"/>
      <c r="I758" s="141"/>
      <c r="J758" s="140"/>
      <c r="K758" s="141"/>
      <c r="L758" s="141"/>
      <c r="M758" s="142"/>
      <c r="N758" s="141"/>
      <c r="O758" s="140"/>
      <c r="P758" s="142"/>
      <c r="Q758" s="142"/>
      <c r="R758" s="142"/>
      <c r="S758" s="141"/>
      <c r="T758" s="140"/>
      <c r="U758" s="143"/>
      <c r="V758" s="142"/>
      <c r="W758" s="142"/>
      <c r="X758"/>
    </row>
    <row r="759" spans="1:24" s="149" customFormat="1" ht="15.5">
      <c r="A759" s="138"/>
      <c r="B759" s="144"/>
      <c r="C759" s="145"/>
      <c r="D759" s="146"/>
      <c r="E759" s="146"/>
      <c r="F759" s="146"/>
      <c r="G759" s="146"/>
      <c r="H759" s="332"/>
      <c r="I759" s="146"/>
      <c r="J759" s="145"/>
      <c r="K759" s="146"/>
      <c r="L759" s="146"/>
      <c r="M759" s="332"/>
      <c r="N759" s="146"/>
      <c r="O759" s="145"/>
      <c r="P759" s="332"/>
      <c r="Q759" s="332"/>
      <c r="R759" s="332"/>
      <c r="S759" s="146"/>
      <c r="T759" s="145"/>
      <c r="U759" s="148"/>
      <c r="V759" s="332"/>
      <c r="W759" s="332"/>
      <c r="X759"/>
    </row>
    <row r="760" spans="1:24" ht="15.5">
      <c r="A760" s="138"/>
      <c r="B760" s="133"/>
      <c r="C760" s="134"/>
      <c r="D760" s="135"/>
      <c r="E760" s="135"/>
      <c r="F760" s="135"/>
      <c r="G760" s="135"/>
      <c r="H760" s="136"/>
      <c r="I760" s="135"/>
      <c r="J760" s="134"/>
      <c r="K760" s="135"/>
      <c r="L760" s="135"/>
      <c r="M760" s="136"/>
      <c r="N760" s="135"/>
      <c r="O760" s="134"/>
      <c r="P760" s="136"/>
      <c r="Q760" s="136"/>
      <c r="R760" s="136"/>
      <c r="S760" s="135"/>
      <c r="T760" s="134"/>
      <c r="U760" s="137"/>
      <c r="V760" s="136"/>
      <c r="W760" s="136"/>
      <c r="X760"/>
    </row>
    <row r="761" spans="1:24" ht="15.5">
      <c r="A761" s="138"/>
      <c r="B761" s="139"/>
      <c r="C761" s="140"/>
      <c r="D761" s="141"/>
      <c r="E761" s="141"/>
      <c r="F761" s="141"/>
      <c r="G761" s="141"/>
      <c r="H761" s="142"/>
      <c r="I761" s="141"/>
      <c r="J761" s="140"/>
      <c r="K761" s="141"/>
      <c r="L761" s="141"/>
      <c r="M761" s="142"/>
      <c r="N761" s="141"/>
      <c r="O761" s="140"/>
      <c r="P761" s="142"/>
      <c r="Q761" s="142"/>
      <c r="R761" s="142"/>
      <c r="S761" s="141"/>
      <c r="T761" s="140"/>
      <c r="U761" s="143"/>
      <c r="V761" s="142"/>
      <c r="W761" s="142"/>
      <c r="X761"/>
    </row>
    <row r="762" spans="1:24" s="149" customFormat="1" ht="15.5">
      <c r="A762" s="138"/>
      <c r="B762" s="144"/>
      <c r="C762" s="150"/>
      <c r="D762" s="151"/>
      <c r="E762" s="147"/>
      <c r="F762" s="146"/>
      <c r="G762" s="146"/>
      <c r="H762" s="332"/>
      <c r="I762" s="146"/>
      <c r="J762" s="145"/>
      <c r="K762" s="146"/>
      <c r="L762" s="146"/>
      <c r="M762" s="332"/>
      <c r="N762" s="146"/>
      <c r="O762" s="145"/>
      <c r="P762" s="332"/>
      <c r="Q762" s="332"/>
      <c r="R762" s="332"/>
      <c r="S762" s="146"/>
      <c r="T762" s="145"/>
      <c r="U762" s="148"/>
      <c r="V762" s="332"/>
      <c r="W762" s="332"/>
      <c r="X762"/>
    </row>
    <row r="763" spans="1:24" ht="15.5">
      <c r="A763" s="138"/>
      <c r="B763" s="133"/>
      <c r="C763" s="134"/>
      <c r="D763" s="135"/>
      <c r="E763" s="135"/>
      <c r="F763" s="135"/>
      <c r="G763" s="135"/>
      <c r="H763" s="136"/>
      <c r="I763" s="135"/>
      <c r="J763" s="134"/>
      <c r="K763" s="135"/>
      <c r="L763" s="135"/>
      <c r="M763" s="136"/>
      <c r="N763" s="135"/>
      <c r="O763" s="134"/>
      <c r="P763" s="136"/>
      <c r="Q763" s="136"/>
      <c r="R763" s="136"/>
      <c r="S763" s="135"/>
      <c r="T763" s="134"/>
      <c r="U763" s="137"/>
      <c r="V763" s="136"/>
      <c r="W763" s="136"/>
      <c r="X763"/>
    </row>
    <row r="764" spans="1:24" ht="15.5">
      <c r="A764" s="138"/>
      <c r="B764" s="139"/>
      <c r="C764" s="140"/>
      <c r="D764" s="141"/>
      <c r="E764" s="141"/>
      <c r="F764" s="141"/>
      <c r="G764" s="141"/>
      <c r="H764" s="142"/>
      <c r="I764" s="141"/>
      <c r="J764" s="140"/>
      <c r="K764" s="141"/>
      <c r="L764" s="141"/>
      <c r="M764" s="142"/>
      <c r="N764" s="141"/>
      <c r="O764" s="140"/>
      <c r="P764" s="142"/>
      <c r="Q764" s="142"/>
      <c r="R764" s="142"/>
      <c r="S764" s="141"/>
      <c r="T764" s="140"/>
      <c r="U764" s="143"/>
      <c r="V764" s="142"/>
      <c r="W764" s="142"/>
      <c r="X764"/>
    </row>
    <row r="765" spans="1:24" s="149" customFormat="1" ht="15.5">
      <c r="A765" s="138"/>
      <c r="B765" s="144"/>
      <c r="C765" s="145"/>
      <c r="D765" s="146"/>
      <c r="E765" s="146"/>
      <c r="F765" s="146"/>
      <c r="G765" s="146"/>
      <c r="H765" s="332"/>
      <c r="I765" s="146"/>
      <c r="J765" s="145"/>
      <c r="K765" s="146"/>
      <c r="L765" s="146"/>
      <c r="M765" s="332"/>
      <c r="N765" s="146"/>
      <c r="O765" s="145"/>
      <c r="P765" s="332"/>
      <c r="Q765" s="332"/>
      <c r="R765" s="332"/>
      <c r="S765" s="146"/>
      <c r="T765" s="145"/>
      <c r="U765" s="148"/>
      <c r="V765" s="332"/>
      <c r="W765" s="332"/>
      <c r="X765"/>
    </row>
    <row r="766" spans="1:24" ht="15.5">
      <c r="A766" s="138"/>
      <c r="B766" s="133"/>
      <c r="C766" s="134"/>
      <c r="D766" s="135"/>
      <c r="E766" s="135"/>
      <c r="F766" s="141"/>
      <c r="G766" s="135"/>
      <c r="H766" s="136"/>
      <c r="I766" s="135"/>
      <c r="J766" s="134"/>
      <c r="K766" s="135"/>
      <c r="L766" s="135"/>
      <c r="M766" s="136"/>
      <c r="N766" s="135"/>
      <c r="O766" s="134"/>
      <c r="P766" s="136"/>
      <c r="Q766" s="136"/>
      <c r="R766" s="136"/>
      <c r="S766" s="135"/>
      <c r="T766" s="134"/>
      <c r="U766" s="137"/>
      <c r="V766" s="136"/>
      <c r="W766" s="136"/>
      <c r="X766"/>
    </row>
    <row r="767" spans="1:24" ht="15.5">
      <c r="A767" s="138"/>
      <c r="B767" s="139"/>
      <c r="C767" s="140"/>
      <c r="D767" s="141"/>
      <c r="E767" s="141"/>
      <c r="F767" s="141"/>
      <c r="G767" s="141"/>
      <c r="H767" s="142"/>
      <c r="I767" s="141"/>
      <c r="J767" s="140"/>
      <c r="K767" s="141"/>
      <c r="L767" s="141"/>
      <c r="M767" s="142"/>
      <c r="N767" s="141"/>
      <c r="O767" s="140"/>
      <c r="P767" s="142"/>
      <c r="Q767" s="142"/>
      <c r="R767" s="142"/>
      <c r="S767" s="141"/>
      <c r="T767" s="140"/>
      <c r="U767" s="143"/>
      <c r="V767" s="142"/>
      <c r="W767" s="142"/>
      <c r="X767"/>
    </row>
    <row r="768" spans="1:24" s="149" customFormat="1" ht="15.5">
      <c r="A768" s="138"/>
      <c r="B768" s="144"/>
      <c r="C768" s="145"/>
      <c r="D768" s="146"/>
      <c r="E768" s="147"/>
      <c r="F768" s="146"/>
      <c r="G768" s="146"/>
      <c r="H768" s="332"/>
      <c r="I768" s="146"/>
      <c r="J768" s="145"/>
      <c r="K768" s="146"/>
      <c r="L768" s="146"/>
      <c r="M768" s="332"/>
      <c r="N768" s="146"/>
      <c r="O768" s="145"/>
      <c r="P768" s="332"/>
      <c r="Q768" s="332"/>
      <c r="R768" s="332"/>
      <c r="S768" s="146"/>
      <c r="T768" s="145"/>
      <c r="U768" s="148"/>
      <c r="V768" s="332"/>
      <c r="W768" s="332"/>
      <c r="X768"/>
    </row>
    <row r="769" spans="1:24" ht="15.5">
      <c r="A769" s="138"/>
      <c r="B769" s="133"/>
      <c r="C769" s="134"/>
      <c r="D769" s="135"/>
      <c r="E769" s="141"/>
      <c r="F769" s="135"/>
      <c r="G769" s="135"/>
      <c r="H769" s="136"/>
      <c r="I769" s="135"/>
      <c r="J769" s="134"/>
      <c r="K769" s="135"/>
      <c r="L769" s="135"/>
      <c r="M769" s="136"/>
      <c r="N769" s="135"/>
      <c r="O769" s="134"/>
      <c r="P769" s="136"/>
      <c r="Q769" s="136"/>
      <c r="R769" s="136"/>
      <c r="S769" s="135"/>
      <c r="T769" s="134"/>
      <c r="U769" s="137"/>
      <c r="V769" s="136"/>
      <c r="W769" s="136"/>
      <c r="X769"/>
    </row>
    <row r="770" spans="1:24" ht="15.5">
      <c r="A770" s="138"/>
      <c r="B770" s="139"/>
      <c r="C770" s="140"/>
      <c r="D770" s="141"/>
      <c r="E770" s="141"/>
      <c r="F770" s="141"/>
      <c r="G770" s="141"/>
      <c r="H770" s="142"/>
      <c r="I770" s="141"/>
      <c r="J770" s="140"/>
      <c r="K770" s="141"/>
      <c r="L770" s="141"/>
      <c r="M770" s="142"/>
      <c r="N770" s="141"/>
      <c r="O770" s="140"/>
      <c r="P770" s="142"/>
      <c r="Q770" s="142"/>
      <c r="R770" s="142"/>
      <c r="S770" s="141"/>
      <c r="T770" s="140"/>
      <c r="U770" s="143"/>
      <c r="V770" s="142"/>
      <c r="W770" s="142"/>
      <c r="X770"/>
    </row>
    <row r="771" spans="1:24" s="149" customFormat="1" ht="15.5">
      <c r="A771" s="138"/>
      <c r="B771" s="144"/>
      <c r="C771" s="145"/>
      <c r="D771" s="146"/>
      <c r="E771" s="146"/>
      <c r="F771" s="146"/>
      <c r="G771" s="146"/>
      <c r="H771" s="332"/>
      <c r="I771" s="146"/>
      <c r="J771" s="145"/>
      <c r="K771" s="146"/>
      <c r="L771" s="146"/>
      <c r="M771" s="332"/>
      <c r="N771" s="146"/>
      <c r="O771" s="145"/>
      <c r="P771" s="332"/>
      <c r="Q771" s="332"/>
      <c r="R771" s="332"/>
      <c r="S771" s="146"/>
      <c r="T771" s="145"/>
      <c r="U771" s="148"/>
      <c r="V771" s="332"/>
      <c r="W771" s="332"/>
      <c r="X771"/>
    </row>
    <row r="772" spans="1:24" ht="15.5">
      <c r="A772" s="138"/>
      <c r="B772" s="133"/>
      <c r="C772" s="134"/>
      <c r="D772" s="135"/>
      <c r="E772" s="135"/>
      <c r="F772" s="135"/>
      <c r="G772" s="135"/>
      <c r="H772" s="136"/>
      <c r="I772" s="135"/>
      <c r="J772" s="134"/>
      <c r="K772" s="135"/>
      <c r="L772" s="135"/>
      <c r="M772" s="136"/>
      <c r="N772" s="135"/>
      <c r="O772" s="134"/>
      <c r="P772" s="136"/>
      <c r="Q772" s="136"/>
      <c r="R772" s="136"/>
      <c r="S772" s="135"/>
      <c r="T772" s="134"/>
      <c r="U772" s="137"/>
      <c r="V772" s="136"/>
      <c r="W772" s="136"/>
      <c r="X772"/>
    </row>
    <row r="773" spans="1:24" ht="15.5">
      <c r="A773" s="138"/>
      <c r="B773" s="139"/>
      <c r="C773" s="140"/>
      <c r="D773" s="141"/>
      <c r="E773" s="141"/>
      <c r="F773" s="141"/>
      <c r="G773" s="141"/>
      <c r="H773" s="142"/>
      <c r="I773" s="141"/>
      <c r="J773" s="140"/>
      <c r="K773" s="141"/>
      <c r="L773" s="141"/>
      <c r="M773" s="142"/>
      <c r="N773" s="141"/>
      <c r="O773" s="140"/>
      <c r="P773" s="142"/>
      <c r="Q773" s="142"/>
      <c r="R773" s="142"/>
      <c r="S773" s="141"/>
      <c r="T773" s="140"/>
      <c r="U773" s="143"/>
      <c r="V773" s="142"/>
      <c r="W773" s="142"/>
      <c r="X773"/>
    </row>
    <row r="774" spans="1:24" s="149" customFormat="1" ht="15.5">
      <c r="A774" s="138"/>
      <c r="B774" s="144"/>
      <c r="C774" s="145"/>
      <c r="D774" s="146"/>
      <c r="E774" s="146"/>
      <c r="F774" s="146"/>
      <c r="G774" s="146"/>
      <c r="H774" s="332"/>
      <c r="I774" s="146"/>
      <c r="J774" s="145"/>
      <c r="K774" s="146"/>
      <c r="L774" s="146"/>
      <c r="M774" s="332"/>
      <c r="N774" s="146"/>
      <c r="O774" s="145"/>
      <c r="P774" s="332"/>
      <c r="Q774" s="332"/>
      <c r="R774" s="332"/>
      <c r="S774" s="146"/>
      <c r="T774" s="145"/>
      <c r="U774" s="148"/>
      <c r="V774" s="332"/>
      <c r="W774" s="332"/>
      <c r="X774"/>
    </row>
    <row r="775" spans="1:24" ht="15.5">
      <c r="A775" s="138"/>
      <c r="B775" s="133"/>
      <c r="C775" s="134"/>
      <c r="D775" s="135"/>
      <c r="E775" s="135"/>
      <c r="F775" s="135"/>
      <c r="G775" s="135"/>
      <c r="H775" s="136"/>
      <c r="I775" s="135"/>
      <c r="J775" s="134"/>
      <c r="K775" s="135"/>
      <c r="L775" s="135"/>
      <c r="M775" s="136"/>
      <c r="N775" s="135"/>
      <c r="O775" s="134"/>
      <c r="P775" s="136"/>
      <c r="Q775" s="136"/>
      <c r="R775" s="136"/>
      <c r="S775" s="135"/>
      <c r="T775" s="134"/>
      <c r="U775" s="137"/>
      <c r="V775" s="136"/>
      <c r="W775" s="136"/>
      <c r="X775"/>
    </row>
    <row r="776" spans="1:24" ht="15.5">
      <c r="A776" s="138"/>
      <c r="B776" s="139"/>
      <c r="C776" s="140"/>
      <c r="D776" s="141"/>
      <c r="E776" s="141"/>
      <c r="F776" s="141"/>
      <c r="G776" s="141"/>
      <c r="H776" s="142"/>
      <c r="I776" s="141"/>
      <c r="J776" s="140"/>
      <c r="K776" s="141"/>
      <c r="L776" s="141"/>
      <c r="M776" s="142"/>
      <c r="N776" s="141"/>
      <c r="O776" s="140"/>
      <c r="P776" s="142"/>
      <c r="Q776" s="142"/>
      <c r="R776" s="142"/>
      <c r="S776" s="141"/>
      <c r="T776" s="140"/>
      <c r="U776" s="143"/>
      <c r="V776" s="142"/>
      <c r="W776" s="142"/>
      <c r="X776"/>
    </row>
    <row r="777" spans="1:24" s="149" customFormat="1" ht="15.5">
      <c r="A777" s="138"/>
      <c r="B777" s="144"/>
      <c r="C777" s="145"/>
      <c r="D777" s="146"/>
      <c r="E777" s="146"/>
      <c r="F777" s="146"/>
      <c r="G777" s="146"/>
      <c r="H777" s="332"/>
      <c r="I777" s="146"/>
      <c r="J777" s="145"/>
      <c r="K777" s="146"/>
      <c r="L777" s="146"/>
      <c r="M777" s="332"/>
      <c r="N777" s="146"/>
      <c r="O777" s="145"/>
      <c r="P777" s="332"/>
      <c r="Q777" s="332"/>
      <c r="R777" s="332"/>
      <c r="S777" s="146"/>
      <c r="T777" s="145"/>
      <c r="U777" s="148"/>
      <c r="V777" s="332"/>
      <c r="W777" s="332"/>
      <c r="X777"/>
    </row>
    <row r="778" spans="1:24" ht="15.5">
      <c r="A778" s="138"/>
      <c r="B778" s="133"/>
      <c r="C778" s="134"/>
      <c r="D778" s="135"/>
      <c r="E778" s="135"/>
      <c r="F778" s="135"/>
      <c r="G778" s="135"/>
      <c r="H778" s="136"/>
      <c r="I778" s="135"/>
      <c r="J778" s="134"/>
      <c r="K778" s="135"/>
      <c r="L778" s="135"/>
      <c r="M778" s="136"/>
      <c r="N778" s="135"/>
      <c r="O778" s="134"/>
      <c r="P778" s="136"/>
      <c r="Q778" s="136"/>
      <c r="R778" s="136"/>
      <c r="S778" s="135"/>
      <c r="T778" s="134"/>
      <c r="U778" s="137"/>
      <c r="V778" s="136"/>
      <c r="W778" s="136"/>
      <c r="X778"/>
    </row>
    <row r="779" spans="1:24" ht="15.5">
      <c r="A779" s="138"/>
      <c r="B779" s="139"/>
      <c r="C779" s="140"/>
      <c r="D779" s="141"/>
      <c r="E779" s="141"/>
      <c r="F779" s="141"/>
      <c r="G779" s="141"/>
      <c r="H779" s="142"/>
      <c r="I779" s="141"/>
      <c r="J779" s="140"/>
      <c r="K779" s="141"/>
      <c r="L779" s="141"/>
      <c r="M779" s="142"/>
      <c r="N779" s="141"/>
      <c r="O779" s="140"/>
      <c r="P779" s="142"/>
      <c r="Q779" s="142"/>
      <c r="R779" s="142"/>
      <c r="S779" s="141"/>
      <c r="T779" s="140"/>
      <c r="U779" s="143"/>
      <c r="V779" s="142"/>
      <c r="W779" s="142"/>
      <c r="X779"/>
    </row>
    <row r="780" spans="1:24" s="149" customFormat="1" ht="15.5">
      <c r="A780" s="138"/>
      <c r="B780" s="144"/>
      <c r="C780" s="145"/>
      <c r="D780" s="146"/>
      <c r="E780" s="146"/>
      <c r="F780" s="146"/>
      <c r="G780" s="146"/>
      <c r="H780" s="332"/>
      <c r="I780" s="146"/>
      <c r="J780" s="145"/>
      <c r="K780" s="146"/>
      <c r="L780" s="146"/>
      <c r="M780" s="332"/>
      <c r="N780" s="146"/>
      <c r="O780" s="145"/>
      <c r="P780" s="332"/>
      <c r="Q780" s="332"/>
      <c r="R780" s="332"/>
      <c r="S780" s="146"/>
      <c r="T780" s="145"/>
      <c r="U780" s="148"/>
      <c r="V780" s="332"/>
      <c r="W780" s="332"/>
      <c r="X780"/>
    </row>
    <row r="781" spans="1:24" ht="15.5">
      <c r="A781" s="138"/>
      <c r="B781" s="133"/>
      <c r="C781" s="134"/>
      <c r="D781" s="135"/>
      <c r="E781" s="135"/>
      <c r="F781" s="135"/>
      <c r="G781" s="135"/>
      <c r="H781" s="136"/>
      <c r="I781" s="135"/>
      <c r="J781" s="134"/>
      <c r="K781" s="135"/>
      <c r="L781" s="135"/>
      <c r="M781" s="136"/>
      <c r="N781" s="135"/>
      <c r="O781" s="134"/>
      <c r="P781" s="136"/>
      <c r="Q781" s="136"/>
      <c r="R781" s="136"/>
      <c r="S781" s="135"/>
      <c r="T781" s="134"/>
      <c r="U781" s="137"/>
      <c r="V781" s="136"/>
      <c r="W781" s="136"/>
      <c r="X781"/>
    </row>
    <row r="782" spans="1:24" ht="15.5">
      <c r="A782" s="138"/>
      <c r="B782" s="139"/>
      <c r="C782" s="140"/>
      <c r="D782" s="141"/>
      <c r="E782" s="141"/>
      <c r="F782" s="141"/>
      <c r="G782" s="141"/>
      <c r="H782" s="142"/>
      <c r="I782" s="141"/>
      <c r="J782" s="140"/>
      <c r="K782" s="141"/>
      <c r="L782" s="141"/>
      <c r="M782" s="142"/>
      <c r="N782" s="141"/>
      <c r="O782" s="140"/>
      <c r="P782" s="142"/>
      <c r="Q782" s="142"/>
      <c r="R782" s="142"/>
      <c r="S782" s="141"/>
      <c r="T782" s="140"/>
      <c r="U782" s="143"/>
      <c r="V782" s="142"/>
      <c r="W782" s="142"/>
      <c r="X782"/>
    </row>
    <row r="783" spans="1:24" s="149" customFormat="1" ht="15.5">
      <c r="A783" s="138"/>
      <c r="B783" s="144"/>
      <c r="C783" s="145"/>
      <c r="D783" s="146"/>
      <c r="E783" s="146"/>
      <c r="F783" s="146"/>
      <c r="G783" s="146"/>
      <c r="H783" s="332"/>
      <c r="I783" s="146"/>
      <c r="J783" s="145"/>
      <c r="K783" s="146"/>
      <c r="L783" s="146"/>
      <c r="M783" s="332"/>
      <c r="N783" s="146"/>
      <c r="O783" s="145"/>
      <c r="P783" s="332"/>
      <c r="Q783" s="332"/>
      <c r="R783" s="332"/>
      <c r="S783" s="146"/>
      <c r="T783" s="145"/>
      <c r="U783" s="148"/>
      <c r="V783" s="332"/>
      <c r="W783" s="332"/>
      <c r="X783"/>
    </row>
    <row r="784" spans="1:24" ht="15.5">
      <c r="A784" s="138"/>
      <c r="B784" s="133"/>
      <c r="C784" s="134"/>
      <c r="D784" s="135"/>
      <c r="E784" s="135"/>
      <c r="F784" s="135"/>
      <c r="G784" s="135"/>
      <c r="H784" s="136"/>
      <c r="I784" s="135"/>
      <c r="J784" s="134"/>
      <c r="K784" s="135"/>
      <c r="L784" s="135"/>
      <c r="M784" s="136"/>
      <c r="N784" s="135"/>
      <c r="O784" s="134"/>
      <c r="P784" s="136"/>
      <c r="Q784" s="136"/>
      <c r="R784" s="136"/>
      <c r="S784" s="135"/>
      <c r="T784" s="134"/>
      <c r="U784" s="137"/>
      <c r="V784" s="136"/>
      <c r="W784" s="136"/>
      <c r="X784"/>
    </row>
    <row r="785" spans="1:24" ht="15.5">
      <c r="A785" s="138"/>
      <c r="B785" s="139"/>
      <c r="C785" s="140"/>
      <c r="D785" s="141"/>
      <c r="E785" s="141"/>
      <c r="F785" s="141"/>
      <c r="G785" s="141"/>
      <c r="H785" s="142"/>
      <c r="I785" s="141"/>
      <c r="J785" s="140"/>
      <c r="K785" s="141"/>
      <c r="L785" s="141"/>
      <c r="M785" s="142"/>
      <c r="N785" s="141"/>
      <c r="O785" s="140"/>
      <c r="P785" s="142"/>
      <c r="Q785" s="142"/>
      <c r="R785" s="142"/>
      <c r="S785" s="141"/>
      <c r="T785" s="140"/>
      <c r="U785" s="143"/>
      <c r="V785" s="142"/>
      <c r="W785" s="142"/>
      <c r="X785"/>
    </row>
    <row r="786" spans="1:24" s="149" customFormat="1" ht="15.5">
      <c r="A786" s="138"/>
      <c r="B786" s="144"/>
      <c r="C786" s="145"/>
      <c r="D786" s="146"/>
      <c r="E786" s="146"/>
      <c r="F786" s="146"/>
      <c r="G786" s="146"/>
      <c r="H786" s="332"/>
      <c r="I786" s="146"/>
      <c r="J786" s="145"/>
      <c r="K786" s="146"/>
      <c r="L786" s="146"/>
      <c r="M786" s="332"/>
      <c r="N786" s="146"/>
      <c r="O786" s="145"/>
      <c r="P786" s="332"/>
      <c r="Q786" s="332"/>
      <c r="R786" s="332"/>
      <c r="S786" s="146"/>
      <c r="T786" s="145"/>
      <c r="U786" s="148"/>
      <c r="V786" s="332"/>
      <c r="W786" s="332"/>
      <c r="X786"/>
    </row>
    <row r="787" spans="1:24" ht="15.5">
      <c r="A787" s="138"/>
      <c r="B787" s="133"/>
      <c r="C787" s="134"/>
      <c r="D787" s="135"/>
      <c r="E787" s="135"/>
      <c r="F787" s="135"/>
      <c r="G787" s="135"/>
      <c r="H787" s="136"/>
      <c r="I787" s="135"/>
      <c r="J787" s="134"/>
      <c r="K787" s="135"/>
      <c r="L787" s="135"/>
      <c r="M787" s="136"/>
      <c r="N787" s="135"/>
      <c r="O787" s="134"/>
      <c r="P787" s="136"/>
      <c r="Q787" s="136"/>
      <c r="R787" s="136"/>
      <c r="S787" s="135"/>
      <c r="T787" s="134"/>
      <c r="U787" s="137"/>
      <c r="V787" s="136"/>
      <c r="W787" s="136"/>
      <c r="X787"/>
    </row>
    <row r="788" spans="1:24" ht="15.5">
      <c r="A788" s="138"/>
      <c r="B788" s="139"/>
      <c r="C788" s="140"/>
      <c r="D788" s="141"/>
      <c r="E788" s="141"/>
      <c r="F788" s="141"/>
      <c r="G788" s="141"/>
      <c r="H788" s="142"/>
      <c r="I788" s="141"/>
      <c r="J788" s="140"/>
      <c r="K788" s="141"/>
      <c r="L788" s="141"/>
      <c r="M788" s="142"/>
      <c r="N788" s="141"/>
      <c r="O788" s="140"/>
      <c r="P788" s="142"/>
      <c r="Q788" s="142"/>
      <c r="R788" s="142"/>
      <c r="S788" s="141"/>
      <c r="T788" s="140"/>
      <c r="U788" s="143"/>
      <c r="V788" s="142"/>
      <c r="W788" s="142"/>
      <c r="X788"/>
    </row>
    <row r="789" spans="1:24" s="149" customFormat="1" ht="15.5">
      <c r="A789" s="138"/>
      <c r="B789" s="144"/>
      <c r="C789" s="145"/>
      <c r="D789" s="146"/>
      <c r="E789" s="146"/>
      <c r="F789" s="146"/>
      <c r="G789" s="146"/>
      <c r="H789" s="332"/>
      <c r="I789" s="146"/>
      <c r="J789" s="145"/>
      <c r="K789" s="146"/>
      <c r="L789" s="146"/>
      <c r="M789" s="332"/>
      <c r="N789" s="146"/>
      <c r="O789" s="145"/>
      <c r="P789" s="332"/>
      <c r="Q789" s="332"/>
      <c r="R789" s="332"/>
      <c r="S789" s="146"/>
      <c r="T789" s="145"/>
      <c r="U789" s="148"/>
      <c r="V789" s="332"/>
      <c r="W789" s="332"/>
      <c r="X789"/>
    </row>
    <row r="790" spans="1:24" ht="15.5">
      <c r="A790" s="138"/>
      <c r="B790" s="133"/>
      <c r="C790" s="134"/>
      <c r="D790" s="135"/>
      <c r="E790" s="135"/>
      <c r="F790" s="135"/>
      <c r="G790" s="135"/>
      <c r="H790" s="136"/>
      <c r="I790" s="135"/>
      <c r="J790" s="134"/>
      <c r="K790" s="135"/>
      <c r="L790" s="135"/>
      <c r="M790" s="136"/>
      <c r="N790" s="135"/>
      <c r="O790" s="134"/>
      <c r="P790" s="136"/>
      <c r="Q790" s="136"/>
      <c r="R790" s="136"/>
      <c r="S790" s="135"/>
      <c r="T790" s="134"/>
      <c r="U790" s="137"/>
      <c r="V790" s="136"/>
      <c r="W790" s="136"/>
      <c r="X790"/>
    </row>
    <row r="791" spans="1:24" ht="15.5">
      <c r="A791" s="138"/>
      <c r="B791" s="139"/>
      <c r="C791" s="140"/>
      <c r="D791" s="141"/>
      <c r="E791" s="141"/>
      <c r="F791" s="141"/>
      <c r="G791" s="141"/>
      <c r="H791" s="142"/>
      <c r="I791" s="141"/>
      <c r="J791" s="140"/>
      <c r="K791" s="141"/>
      <c r="L791" s="141"/>
      <c r="M791" s="142"/>
      <c r="N791" s="141"/>
      <c r="O791" s="140"/>
      <c r="P791" s="142"/>
      <c r="Q791" s="142"/>
      <c r="R791" s="142"/>
      <c r="S791" s="141"/>
      <c r="T791" s="140"/>
      <c r="U791" s="143"/>
      <c r="V791" s="142"/>
      <c r="W791" s="142"/>
      <c r="X791"/>
    </row>
    <row r="792" spans="1:24" s="149" customFormat="1" ht="15.5">
      <c r="A792" s="138"/>
      <c r="B792" s="144"/>
      <c r="C792" s="145"/>
      <c r="D792" s="146"/>
      <c r="E792" s="146"/>
      <c r="F792" s="146"/>
      <c r="G792" s="146"/>
      <c r="H792" s="332"/>
      <c r="I792" s="146"/>
      <c r="J792" s="145"/>
      <c r="K792" s="146"/>
      <c r="L792" s="146"/>
      <c r="M792" s="332"/>
      <c r="N792" s="146"/>
      <c r="O792" s="145"/>
      <c r="P792" s="332"/>
      <c r="Q792" s="332"/>
      <c r="R792" s="332"/>
      <c r="S792" s="146"/>
      <c r="T792" s="145"/>
      <c r="U792" s="148"/>
      <c r="V792" s="332"/>
      <c r="W792" s="332"/>
      <c r="X792"/>
    </row>
    <row r="793" spans="1:24" ht="15.5">
      <c r="A793" s="138"/>
      <c r="B793" s="133"/>
      <c r="C793" s="134"/>
      <c r="D793" s="135"/>
      <c r="E793" s="135"/>
      <c r="F793" s="135"/>
      <c r="G793" s="135"/>
      <c r="H793" s="136"/>
      <c r="I793" s="135"/>
      <c r="J793" s="134"/>
      <c r="K793" s="135"/>
      <c r="L793" s="135"/>
      <c r="M793" s="136"/>
      <c r="N793" s="135"/>
      <c r="O793" s="134"/>
      <c r="P793" s="136"/>
      <c r="Q793" s="136"/>
      <c r="R793" s="136"/>
      <c r="S793" s="135"/>
      <c r="T793" s="134"/>
      <c r="U793" s="137"/>
      <c r="V793" s="136"/>
      <c r="W793" s="136"/>
      <c r="X793"/>
    </row>
    <row r="794" spans="1:24" ht="15.5">
      <c r="A794" s="138"/>
      <c r="B794" s="139"/>
      <c r="C794" s="140"/>
      <c r="D794" s="141"/>
      <c r="E794" s="141"/>
      <c r="F794" s="141"/>
      <c r="G794" s="141"/>
      <c r="H794" s="142"/>
      <c r="I794" s="141"/>
      <c r="J794" s="140"/>
      <c r="K794" s="141"/>
      <c r="L794" s="141"/>
      <c r="M794" s="142"/>
      <c r="N794" s="141"/>
      <c r="O794" s="140"/>
      <c r="P794" s="142"/>
      <c r="Q794" s="142"/>
      <c r="R794" s="142"/>
      <c r="S794" s="141"/>
      <c r="T794" s="140"/>
      <c r="U794" s="143"/>
      <c r="V794" s="142"/>
      <c r="W794" s="142"/>
      <c r="X794"/>
    </row>
    <row r="795" spans="1:24" s="149" customFormat="1" ht="15.5">
      <c r="A795" s="138"/>
      <c r="B795" s="144"/>
      <c r="C795" s="145"/>
      <c r="D795" s="146"/>
      <c r="E795" s="146"/>
      <c r="F795" s="146"/>
      <c r="G795" s="146"/>
      <c r="H795" s="332"/>
      <c r="I795" s="146"/>
      <c r="J795" s="145"/>
      <c r="K795" s="146"/>
      <c r="L795" s="146"/>
      <c r="M795" s="332"/>
      <c r="N795" s="146"/>
      <c r="O795" s="145"/>
      <c r="P795" s="332"/>
      <c r="Q795" s="332"/>
      <c r="R795" s="332"/>
      <c r="S795" s="146"/>
      <c r="T795" s="145"/>
      <c r="U795" s="148"/>
      <c r="V795" s="332"/>
      <c r="W795" s="332"/>
      <c r="X795"/>
    </row>
    <row r="796" spans="1:24" ht="15.5">
      <c r="A796" s="138"/>
      <c r="B796" s="133"/>
      <c r="C796" s="134"/>
      <c r="D796" s="135"/>
      <c r="E796" s="135"/>
      <c r="F796" s="135"/>
      <c r="G796" s="135"/>
      <c r="H796" s="136"/>
      <c r="I796" s="135"/>
      <c r="J796" s="134"/>
      <c r="K796" s="135"/>
      <c r="L796" s="135"/>
      <c r="M796" s="136"/>
      <c r="N796" s="135"/>
      <c r="O796" s="134"/>
      <c r="P796" s="136"/>
      <c r="Q796" s="136"/>
      <c r="R796" s="136"/>
      <c r="S796" s="135"/>
      <c r="T796" s="134"/>
      <c r="U796" s="137"/>
      <c r="V796" s="136"/>
      <c r="W796" s="136"/>
      <c r="X796"/>
    </row>
    <row r="797" spans="1:24" ht="15.5">
      <c r="A797" s="138"/>
      <c r="B797" s="139"/>
      <c r="C797" s="140"/>
      <c r="D797" s="141"/>
      <c r="E797" s="141"/>
      <c r="F797" s="141"/>
      <c r="G797" s="141"/>
      <c r="H797" s="142"/>
      <c r="I797" s="141"/>
      <c r="J797" s="140"/>
      <c r="K797" s="141"/>
      <c r="L797" s="141"/>
      <c r="M797" s="142"/>
      <c r="N797" s="141"/>
      <c r="O797" s="140"/>
      <c r="P797" s="142"/>
      <c r="Q797" s="142"/>
      <c r="R797" s="142"/>
      <c r="S797" s="141"/>
      <c r="T797" s="140"/>
      <c r="U797" s="143"/>
      <c r="V797" s="142"/>
      <c r="W797" s="142"/>
      <c r="X797"/>
    </row>
    <row r="798" spans="1:24" s="149" customFormat="1" ht="15.5">
      <c r="A798" s="138"/>
      <c r="B798" s="144"/>
      <c r="C798" s="146"/>
      <c r="D798" s="146"/>
      <c r="E798" s="146"/>
      <c r="F798" s="146"/>
      <c r="G798" s="146"/>
      <c r="H798" s="332"/>
      <c r="I798" s="146"/>
      <c r="J798" s="145"/>
      <c r="K798" s="146"/>
      <c r="L798" s="146"/>
      <c r="M798" s="332"/>
      <c r="N798" s="146"/>
      <c r="O798" s="145"/>
      <c r="P798" s="332"/>
      <c r="Q798" s="332"/>
      <c r="R798" s="332"/>
      <c r="S798" s="146"/>
      <c r="T798" s="145"/>
      <c r="U798" s="148"/>
      <c r="V798" s="332"/>
      <c r="W798" s="332"/>
      <c r="X798"/>
    </row>
    <row r="799" spans="1:24" ht="15.5">
      <c r="A799" s="138"/>
      <c r="B799" s="133"/>
      <c r="C799" s="140"/>
      <c r="D799" s="135"/>
      <c r="E799" s="141"/>
      <c r="F799" s="135"/>
      <c r="G799" s="135"/>
      <c r="H799" s="136"/>
      <c r="I799" s="135"/>
      <c r="J799" s="134"/>
      <c r="K799" s="135"/>
      <c r="L799" s="135"/>
      <c r="M799" s="136"/>
      <c r="N799" s="135"/>
      <c r="O799" s="134"/>
      <c r="P799" s="136"/>
      <c r="Q799" s="136"/>
      <c r="R799" s="136"/>
      <c r="S799" s="135"/>
      <c r="T799" s="134"/>
      <c r="U799" s="137"/>
      <c r="V799" s="136"/>
      <c r="W799" s="136"/>
      <c r="X799"/>
    </row>
    <row r="800" spans="1:24" s="149" customFormat="1" ht="15.5">
      <c r="A800" s="153"/>
      <c r="B800" s="139"/>
      <c r="C800" s="140"/>
      <c r="D800" s="141"/>
      <c r="E800" s="141"/>
      <c r="F800" s="141"/>
      <c r="G800" s="141"/>
      <c r="H800" s="142"/>
      <c r="I800" s="141"/>
      <c r="J800" s="140"/>
      <c r="K800" s="141"/>
      <c r="L800" s="141"/>
      <c r="M800" s="142"/>
      <c r="N800" s="141"/>
      <c r="O800" s="140"/>
      <c r="P800" s="142"/>
      <c r="Q800" s="142"/>
      <c r="R800" s="142"/>
      <c r="S800" s="141"/>
      <c r="T800" s="140"/>
      <c r="U800" s="143"/>
      <c r="V800" s="142"/>
      <c r="W800" s="142"/>
      <c r="X800"/>
    </row>
    <row r="801" spans="1:24" ht="15.5">
      <c r="A801" s="132"/>
      <c r="B801" s="133"/>
      <c r="C801" s="134"/>
      <c r="D801" s="135"/>
      <c r="E801" s="135"/>
      <c r="F801" s="135"/>
      <c r="G801" s="135"/>
      <c r="H801" s="136"/>
      <c r="I801" s="135"/>
      <c r="J801" s="134"/>
      <c r="K801" s="135"/>
      <c r="L801" s="135"/>
      <c r="M801" s="136"/>
      <c r="N801" s="135"/>
      <c r="O801" s="134"/>
      <c r="P801" s="136"/>
      <c r="Q801" s="136"/>
      <c r="R801" s="136"/>
      <c r="S801" s="135"/>
      <c r="T801" s="134"/>
      <c r="U801" s="137"/>
      <c r="V801" s="136"/>
      <c r="W801" s="136"/>
      <c r="X801"/>
    </row>
    <row r="802" spans="1:24" ht="15.5">
      <c r="A802" s="138"/>
      <c r="B802" s="139"/>
      <c r="C802" s="140"/>
      <c r="D802" s="141"/>
      <c r="E802" s="141"/>
      <c r="F802" s="141"/>
      <c r="G802" s="141"/>
      <c r="H802" s="142"/>
      <c r="I802" s="141"/>
      <c r="J802" s="140"/>
      <c r="K802" s="141"/>
      <c r="L802" s="141"/>
      <c r="M802" s="142"/>
      <c r="N802" s="141"/>
      <c r="O802" s="140"/>
      <c r="P802" s="142"/>
      <c r="Q802" s="142"/>
      <c r="R802" s="142"/>
      <c r="S802" s="141"/>
      <c r="T802" s="140"/>
      <c r="U802" s="143"/>
      <c r="V802" s="142"/>
      <c r="W802" s="142"/>
      <c r="X802"/>
    </row>
    <row r="803" spans="1:24" s="149" customFormat="1" ht="15.5">
      <c r="A803" s="138"/>
      <c r="B803" s="144"/>
      <c r="C803" s="145"/>
      <c r="D803" s="146"/>
      <c r="E803" s="146"/>
      <c r="F803" s="146"/>
      <c r="G803" s="146"/>
      <c r="H803" s="333"/>
      <c r="I803" s="146"/>
      <c r="J803" s="145"/>
      <c r="K803" s="146"/>
      <c r="L803" s="146"/>
      <c r="M803" s="333"/>
      <c r="N803" s="146"/>
      <c r="O803" s="145"/>
      <c r="P803" s="332"/>
      <c r="Q803" s="332"/>
      <c r="R803" s="146"/>
      <c r="S803" s="148"/>
      <c r="T803" s="146"/>
      <c r="U803" s="148"/>
      <c r="V803" s="332"/>
      <c r="W803" s="332"/>
      <c r="X803"/>
    </row>
    <row r="804" spans="1:24" ht="15.5">
      <c r="A804" s="138"/>
      <c r="B804" s="133"/>
      <c r="C804" s="134"/>
      <c r="D804" s="141"/>
      <c r="E804" s="141"/>
      <c r="F804" s="135"/>
      <c r="G804" s="135"/>
      <c r="H804" s="136"/>
      <c r="I804" s="135"/>
      <c r="J804" s="134"/>
      <c r="K804" s="135"/>
      <c r="L804" s="141"/>
      <c r="M804" s="136"/>
      <c r="N804" s="135"/>
      <c r="O804" s="134"/>
      <c r="P804" s="136"/>
      <c r="Q804" s="136"/>
      <c r="R804" s="136"/>
      <c r="S804" s="141"/>
      <c r="T804" s="134"/>
      <c r="U804" s="137"/>
      <c r="V804" s="136"/>
      <c r="W804" s="136"/>
      <c r="X804"/>
    </row>
    <row r="805" spans="1:24" ht="15.5">
      <c r="A805" s="138"/>
      <c r="B805" s="139"/>
      <c r="C805" s="140"/>
      <c r="D805" s="141"/>
      <c r="E805" s="141"/>
      <c r="F805" s="141"/>
      <c r="G805" s="141"/>
      <c r="H805" s="142"/>
      <c r="I805" s="141"/>
      <c r="J805" s="140"/>
      <c r="K805" s="141"/>
      <c r="L805" s="141"/>
      <c r="M805" s="142"/>
      <c r="N805" s="141"/>
      <c r="O805" s="140"/>
      <c r="P805" s="142"/>
      <c r="Q805" s="142"/>
      <c r="R805" s="142"/>
      <c r="S805" s="141"/>
      <c r="T805" s="140"/>
      <c r="U805" s="143"/>
      <c r="V805" s="142"/>
      <c r="W805" s="142"/>
      <c r="X805"/>
    </row>
    <row r="806" spans="1:24" s="149" customFormat="1" ht="15.5">
      <c r="A806" s="138"/>
      <c r="B806" s="144"/>
      <c r="C806" s="145"/>
      <c r="D806" s="146"/>
      <c r="E806" s="146"/>
      <c r="F806" s="146"/>
      <c r="G806" s="146"/>
      <c r="H806" s="332"/>
      <c r="I806" s="146"/>
      <c r="J806" s="145"/>
      <c r="K806" s="146"/>
      <c r="L806" s="146"/>
      <c r="M806" s="332"/>
      <c r="N806" s="146"/>
      <c r="O806" s="145"/>
      <c r="P806" s="332"/>
      <c r="Q806" s="332"/>
      <c r="R806" s="332"/>
      <c r="S806" s="146"/>
      <c r="T806" s="145"/>
      <c r="U806" s="148"/>
      <c r="V806" s="332"/>
      <c r="W806" s="332"/>
      <c r="X806"/>
    </row>
    <row r="807" spans="1:24" ht="15.5">
      <c r="A807" s="138"/>
      <c r="B807" s="133"/>
      <c r="C807" s="134"/>
      <c r="D807" s="135"/>
      <c r="E807" s="135"/>
      <c r="F807" s="135"/>
      <c r="G807" s="135"/>
      <c r="H807" s="136"/>
      <c r="I807" s="135"/>
      <c r="J807" s="134"/>
      <c r="K807" s="135"/>
      <c r="L807" s="135"/>
      <c r="M807" s="136"/>
      <c r="N807" s="135"/>
      <c r="O807" s="134"/>
      <c r="P807" s="136"/>
      <c r="Q807" s="136"/>
      <c r="R807" s="136"/>
      <c r="S807" s="135"/>
      <c r="T807" s="134"/>
      <c r="U807" s="137"/>
      <c r="V807" s="136"/>
      <c r="W807" s="136"/>
      <c r="X807"/>
    </row>
    <row r="808" spans="1:24" ht="15.5">
      <c r="A808" s="138"/>
      <c r="B808" s="139"/>
      <c r="C808" s="140"/>
      <c r="D808" s="141"/>
      <c r="E808" s="141"/>
      <c r="F808" s="141"/>
      <c r="G808" s="141"/>
      <c r="H808" s="142"/>
      <c r="I808" s="141"/>
      <c r="J808" s="140"/>
      <c r="K808" s="141"/>
      <c r="L808" s="141"/>
      <c r="M808" s="142"/>
      <c r="N808" s="141"/>
      <c r="O808" s="140"/>
      <c r="P808" s="142"/>
      <c r="Q808" s="142"/>
      <c r="R808" s="142"/>
      <c r="S808" s="141"/>
      <c r="T808" s="140"/>
      <c r="U808" s="143"/>
      <c r="V808" s="142"/>
      <c r="W808" s="142"/>
      <c r="X808"/>
    </row>
    <row r="809" spans="1:24" s="149" customFormat="1" ht="15.5">
      <c r="A809" s="138"/>
      <c r="B809" s="144"/>
      <c r="C809" s="145"/>
      <c r="D809" s="146"/>
      <c r="E809" s="146"/>
      <c r="F809" s="146"/>
      <c r="G809" s="147"/>
      <c r="H809" s="333"/>
      <c r="I809" s="146"/>
      <c r="J809" s="145"/>
      <c r="K809" s="146"/>
      <c r="L809" s="146"/>
      <c r="M809" s="332"/>
      <c r="N809" s="146"/>
      <c r="O809" s="145"/>
      <c r="P809" s="332"/>
      <c r="Q809" s="332"/>
      <c r="R809" s="332"/>
      <c r="S809" s="146"/>
      <c r="T809" s="145"/>
      <c r="U809" s="148"/>
      <c r="V809" s="332"/>
      <c r="W809" s="332"/>
      <c r="X809"/>
    </row>
    <row r="810" spans="1:24" ht="15.5">
      <c r="A810" s="138"/>
      <c r="B810" s="133"/>
      <c r="C810" s="134"/>
      <c r="D810" s="135"/>
      <c r="E810" s="135"/>
      <c r="F810" s="135"/>
      <c r="G810" s="135"/>
      <c r="H810" s="136"/>
      <c r="I810" s="135"/>
      <c r="J810" s="134"/>
      <c r="K810" s="135"/>
      <c r="L810" s="135"/>
      <c r="M810" s="136"/>
      <c r="N810" s="135"/>
      <c r="O810" s="134"/>
      <c r="P810" s="136"/>
      <c r="Q810" s="136"/>
      <c r="R810" s="136"/>
      <c r="S810" s="135"/>
      <c r="T810" s="134"/>
      <c r="U810" s="137"/>
      <c r="V810" s="136"/>
      <c r="W810" s="136"/>
      <c r="X810"/>
    </row>
    <row r="811" spans="1:24" ht="15.5">
      <c r="A811" s="138"/>
      <c r="B811" s="139"/>
      <c r="C811" s="140"/>
      <c r="D811" s="141"/>
      <c r="E811" s="141"/>
      <c r="F811" s="141"/>
      <c r="G811" s="141"/>
      <c r="H811" s="142"/>
      <c r="I811" s="141"/>
      <c r="J811" s="140"/>
      <c r="K811" s="141"/>
      <c r="L811" s="141"/>
      <c r="M811" s="142"/>
      <c r="N811" s="141"/>
      <c r="O811" s="140"/>
      <c r="P811" s="142"/>
      <c r="Q811" s="142"/>
      <c r="R811" s="142"/>
      <c r="S811" s="141"/>
      <c r="T811" s="140"/>
      <c r="U811" s="143"/>
      <c r="V811" s="142"/>
      <c r="W811" s="142"/>
      <c r="X811"/>
    </row>
    <row r="812" spans="1:24" s="149" customFormat="1" ht="15.5">
      <c r="A812" s="138"/>
      <c r="B812" s="144"/>
      <c r="C812" s="145"/>
      <c r="D812" s="146"/>
      <c r="E812" s="146"/>
      <c r="F812" s="146"/>
      <c r="G812" s="146"/>
      <c r="H812" s="332"/>
      <c r="I812" s="146"/>
      <c r="J812" s="152"/>
      <c r="K812" s="146"/>
      <c r="L812" s="146"/>
      <c r="M812" s="332"/>
      <c r="N812" s="146"/>
      <c r="O812" s="145"/>
      <c r="P812" s="332"/>
      <c r="Q812" s="332"/>
      <c r="R812" s="332"/>
      <c r="S812" s="146"/>
      <c r="T812" s="145"/>
      <c r="U812" s="148"/>
      <c r="V812" s="332"/>
      <c r="W812" s="332"/>
      <c r="X812"/>
    </row>
    <row r="813" spans="1:24" ht="15.5">
      <c r="A813" s="138"/>
      <c r="B813" s="133"/>
      <c r="C813" s="134"/>
      <c r="D813" s="135"/>
      <c r="E813" s="135"/>
      <c r="F813" s="135"/>
      <c r="G813" s="135"/>
      <c r="H813" s="136"/>
      <c r="I813" s="135"/>
      <c r="J813" s="134"/>
      <c r="K813" s="135"/>
      <c r="L813" s="135"/>
      <c r="M813" s="136"/>
      <c r="N813" s="135"/>
      <c r="O813" s="134"/>
      <c r="P813" s="136"/>
      <c r="Q813" s="136"/>
      <c r="R813" s="136"/>
      <c r="S813" s="135"/>
      <c r="T813" s="134"/>
      <c r="U813" s="137"/>
      <c r="V813" s="136"/>
      <c r="W813" s="136"/>
      <c r="X813"/>
    </row>
    <row r="814" spans="1:24" ht="15.5">
      <c r="A814" s="138"/>
      <c r="B814" s="139"/>
      <c r="C814" s="140"/>
      <c r="D814" s="141"/>
      <c r="E814" s="141"/>
      <c r="F814" s="141"/>
      <c r="G814" s="141"/>
      <c r="H814" s="142"/>
      <c r="I814" s="141"/>
      <c r="J814" s="140"/>
      <c r="K814" s="141"/>
      <c r="L814" s="141"/>
      <c r="M814" s="142"/>
      <c r="N814" s="141"/>
      <c r="O814" s="140"/>
      <c r="P814" s="142"/>
      <c r="Q814" s="142"/>
      <c r="R814" s="142"/>
      <c r="S814" s="141"/>
      <c r="T814" s="140"/>
      <c r="U814" s="143"/>
      <c r="V814" s="142"/>
      <c r="W814" s="142"/>
      <c r="X814"/>
    </row>
    <row r="815" spans="1:24" s="149" customFormat="1" ht="15.5">
      <c r="A815" s="138"/>
      <c r="B815" s="144"/>
      <c r="C815" s="156"/>
      <c r="D815" s="151"/>
      <c r="E815" s="146"/>
      <c r="F815" s="146"/>
      <c r="G815" s="146"/>
      <c r="H815" s="332"/>
      <c r="I815" s="146"/>
      <c r="J815" s="145"/>
      <c r="K815" s="146"/>
      <c r="L815" s="146"/>
      <c r="M815" s="332"/>
      <c r="N815" s="146"/>
      <c r="O815" s="145"/>
      <c r="P815" s="332"/>
      <c r="Q815" s="332"/>
      <c r="R815" s="332"/>
      <c r="S815" s="146"/>
      <c r="T815" s="145"/>
      <c r="U815" s="148"/>
      <c r="V815" s="332"/>
      <c r="W815" s="332"/>
      <c r="X815"/>
    </row>
    <row r="816" spans="1:24" ht="15.5">
      <c r="A816" s="138"/>
      <c r="B816" s="133"/>
      <c r="C816" s="134"/>
      <c r="D816" s="135"/>
      <c r="E816" s="135"/>
      <c r="F816" s="135"/>
      <c r="G816" s="135"/>
      <c r="H816" s="136"/>
      <c r="I816" s="135"/>
      <c r="J816" s="134"/>
      <c r="K816" s="135"/>
      <c r="L816" s="135"/>
      <c r="M816" s="136"/>
      <c r="N816" s="135"/>
      <c r="O816" s="134"/>
      <c r="P816" s="136"/>
      <c r="Q816" s="136"/>
      <c r="R816" s="136"/>
      <c r="S816" s="135"/>
      <c r="T816" s="134"/>
      <c r="U816" s="137"/>
      <c r="V816" s="136"/>
      <c r="W816" s="136"/>
      <c r="X816"/>
    </row>
    <row r="817" spans="1:24" ht="15.5">
      <c r="A817" s="138"/>
      <c r="B817" s="139"/>
      <c r="C817" s="140"/>
      <c r="D817" s="141"/>
      <c r="E817" s="141"/>
      <c r="F817" s="141"/>
      <c r="G817" s="141"/>
      <c r="H817" s="142"/>
      <c r="I817" s="141"/>
      <c r="J817" s="140"/>
      <c r="K817" s="141"/>
      <c r="L817" s="141"/>
      <c r="M817" s="142"/>
      <c r="N817" s="141"/>
      <c r="O817" s="140"/>
      <c r="P817" s="142"/>
      <c r="Q817" s="142"/>
      <c r="R817" s="142"/>
      <c r="S817" s="141"/>
      <c r="T817" s="140"/>
      <c r="U817" s="143"/>
      <c r="V817" s="142"/>
      <c r="W817" s="142"/>
      <c r="X817"/>
    </row>
    <row r="818" spans="1:24" s="149" customFormat="1" ht="15.5">
      <c r="A818" s="138"/>
      <c r="B818" s="144"/>
      <c r="C818" s="145"/>
      <c r="D818" s="146"/>
      <c r="E818" s="146"/>
      <c r="F818" s="146"/>
      <c r="G818" s="146"/>
      <c r="H818" s="332"/>
      <c r="I818" s="146"/>
      <c r="J818" s="145"/>
      <c r="K818" s="146"/>
      <c r="L818" s="146"/>
      <c r="M818" s="332"/>
      <c r="N818" s="146"/>
      <c r="O818" s="145"/>
      <c r="P818" s="332"/>
      <c r="Q818" s="332"/>
      <c r="R818" s="332"/>
      <c r="S818" s="146"/>
      <c r="T818" s="145"/>
      <c r="U818" s="148"/>
      <c r="V818" s="332"/>
      <c r="W818" s="332"/>
      <c r="X818"/>
    </row>
    <row r="819" spans="1:24" ht="15.5">
      <c r="A819" s="138"/>
      <c r="B819" s="133"/>
      <c r="C819" s="134"/>
      <c r="D819" s="135"/>
      <c r="E819" s="135"/>
      <c r="F819" s="141"/>
      <c r="G819" s="135"/>
      <c r="H819" s="136"/>
      <c r="I819" s="135"/>
      <c r="J819" s="134"/>
      <c r="K819" s="135"/>
      <c r="L819" s="135"/>
      <c r="M819" s="136"/>
      <c r="N819" s="135"/>
      <c r="O819" s="134"/>
      <c r="P819" s="136"/>
      <c r="Q819" s="136"/>
      <c r="R819" s="136"/>
      <c r="S819" s="135"/>
      <c r="T819" s="134"/>
      <c r="U819" s="137"/>
      <c r="V819" s="136"/>
      <c r="W819" s="136"/>
      <c r="X819"/>
    </row>
    <row r="820" spans="1:24" ht="15.5">
      <c r="A820" s="138"/>
      <c r="B820" s="139"/>
      <c r="C820" s="140"/>
      <c r="D820" s="141"/>
      <c r="E820" s="141"/>
      <c r="F820" s="141"/>
      <c r="G820" s="141"/>
      <c r="H820" s="142"/>
      <c r="I820" s="141"/>
      <c r="J820" s="140"/>
      <c r="K820" s="141"/>
      <c r="L820" s="141"/>
      <c r="M820" s="142"/>
      <c r="N820" s="141"/>
      <c r="O820" s="140"/>
      <c r="P820" s="142"/>
      <c r="Q820" s="142"/>
      <c r="R820" s="142"/>
      <c r="S820" s="141"/>
      <c r="T820" s="140"/>
      <c r="U820" s="143"/>
      <c r="V820" s="142"/>
      <c r="W820" s="142"/>
      <c r="X820"/>
    </row>
    <row r="821" spans="1:24" s="149" customFormat="1" ht="15.5">
      <c r="A821" s="138"/>
      <c r="B821" s="144"/>
      <c r="C821" s="152"/>
      <c r="D821" s="146"/>
      <c r="E821" s="147"/>
      <c r="F821" s="146"/>
      <c r="G821" s="146"/>
      <c r="H821" s="332"/>
      <c r="I821" s="146"/>
      <c r="J821" s="145"/>
      <c r="K821" s="146"/>
      <c r="L821" s="146"/>
      <c r="M821" s="332"/>
      <c r="N821" s="146"/>
      <c r="O821" s="145"/>
      <c r="P821" s="332"/>
      <c r="Q821" s="332"/>
      <c r="R821" s="332"/>
      <c r="S821" s="146"/>
      <c r="T821" s="145"/>
      <c r="U821" s="148"/>
      <c r="V821" s="332"/>
      <c r="W821" s="332"/>
      <c r="X821"/>
    </row>
    <row r="822" spans="1:24" ht="15.5">
      <c r="A822" s="138"/>
      <c r="B822" s="133"/>
      <c r="C822" s="134"/>
      <c r="D822" s="135"/>
      <c r="E822" s="141"/>
      <c r="F822" s="135"/>
      <c r="G822" s="135"/>
      <c r="H822" s="136"/>
      <c r="I822" s="135"/>
      <c r="J822" s="134"/>
      <c r="K822" s="135"/>
      <c r="L822" s="135"/>
      <c r="M822" s="136"/>
      <c r="N822" s="135"/>
      <c r="O822" s="134"/>
      <c r="P822" s="136"/>
      <c r="Q822" s="136"/>
      <c r="R822" s="136"/>
      <c r="S822" s="135"/>
      <c r="T822" s="134"/>
      <c r="U822" s="137"/>
      <c r="V822" s="136"/>
      <c r="W822" s="136"/>
      <c r="X822"/>
    </row>
    <row r="823" spans="1:24" ht="15.5">
      <c r="A823" s="138"/>
      <c r="B823" s="139"/>
      <c r="C823" s="140"/>
      <c r="D823" s="141"/>
      <c r="E823" s="141"/>
      <c r="F823" s="141"/>
      <c r="G823" s="141"/>
      <c r="H823" s="142"/>
      <c r="I823" s="141"/>
      <c r="J823" s="140"/>
      <c r="K823" s="141"/>
      <c r="L823" s="141"/>
      <c r="M823" s="142"/>
      <c r="N823" s="141"/>
      <c r="O823" s="140"/>
      <c r="P823" s="142"/>
      <c r="Q823" s="142"/>
      <c r="R823" s="142"/>
      <c r="S823" s="141"/>
      <c r="T823" s="140"/>
      <c r="U823" s="143"/>
      <c r="V823" s="142"/>
      <c r="W823" s="142"/>
      <c r="X823"/>
    </row>
    <row r="824" spans="1:24" s="149" customFormat="1" ht="15.5">
      <c r="A824" s="138"/>
      <c r="B824" s="144"/>
      <c r="C824" s="145"/>
      <c r="D824" s="146"/>
      <c r="E824" s="146"/>
      <c r="F824" s="146"/>
      <c r="G824" s="146"/>
      <c r="H824" s="332"/>
      <c r="I824" s="146"/>
      <c r="J824" s="145"/>
      <c r="K824" s="146"/>
      <c r="L824" s="146"/>
      <c r="M824" s="332"/>
      <c r="N824" s="146"/>
      <c r="O824" s="145"/>
      <c r="P824" s="332"/>
      <c r="Q824" s="332"/>
      <c r="R824" s="332"/>
      <c r="S824" s="146"/>
      <c r="T824" s="145"/>
      <c r="U824" s="148"/>
      <c r="V824" s="332"/>
      <c r="W824" s="332"/>
      <c r="X824"/>
    </row>
    <row r="825" spans="1:24" ht="15.5">
      <c r="A825" s="138"/>
      <c r="B825" s="133"/>
      <c r="C825" s="134"/>
      <c r="D825" s="135"/>
      <c r="E825" s="135"/>
      <c r="F825" s="135"/>
      <c r="G825" s="135"/>
      <c r="H825" s="136"/>
      <c r="I825" s="135"/>
      <c r="J825" s="134"/>
      <c r="K825" s="135"/>
      <c r="L825" s="135"/>
      <c r="M825" s="136"/>
      <c r="N825" s="135"/>
      <c r="O825" s="134"/>
      <c r="P825" s="136"/>
      <c r="Q825" s="136"/>
      <c r="R825" s="136"/>
      <c r="S825" s="135"/>
      <c r="T825" s="134"/>
      <c r="U825" s="137"/>
      <c r="V825" s="136"/>
      <c r="W825" s="136"/>
      <c r="X825"/>
    </row>
    <row r="826" spans="1:24" ht="15.5">
      <c r="A826" s="138"/>
      <c r="B826" s="139"/>
      <c r="C826" s="140"/>
      <c r="D826" s="141"/>
      <c r="E826" s="141"/>
      <c r="F826" s="141"/>
      <c r="G826" s="141"/>
      <c r="H826" s="142"/>
      <c r="I826" s="141"/>
      <c r="J826" s="140"/>
      <c r="K826" s="141"/>
      <c r="L826" s="141"/>
      <c r="M826" s="142"/>
      <c r="N826" s="141"/>
      <c r="O826" s="140"/>
      <c r="P826" s="142"/>
      <c r="Q826" s="142"/>
      <c r="R826" s="142"/>
      <c r="S826" s="141"/>
      <c r="T826" s="140"/>
      <c r="U826" s="143"/>
      <c r="V826" s="142"/>
      <c r="W826" s="142"/>
      <c r="X826"/>
    </row>
    <row r="827" spans="1:24" s="149" customFormat="1" ht="15.5">
      <c r="A827" s="138"/>
      <c r="B827" s="144"/>
      <c r="C827" s="152"/>
      <c r="D827" s="146"/>
      <c r="E827" s="146"/>
      <c r="F827" s="146"/>
      <c r="G827" s="146"/>
      <c r="H827" s="332"/>
      <c r="I827" s="146"/>
      <c r="J827" s="145"/>
      <c r="K827" s="146"/>
      <c r="L827" s="146"/>
      <c r="M827" s="332"/>
      <c r="N827" s="146"/>
      <c r="O827" s="145"/>
      <c r="P827" s="332"/>
      <c r="Q827" s="332"/>
      <c r="R827" s="332"/>
      <c r="S827" s="146"/>
      <c r="T827" s="145"/>
      <c r="U827" s="148"/>
      <c r="V827" s="332"/>
      <c r="W827" s="332"/>
      <c r="X827"/>
    </row>
    <row r="828" spans="1:24" ht="15.5">
      <c r="A828" s="138"/>
      <c r="B828" s="133"/>
      <c r="C828" s="134"/>
      <c r="D828" s="135"/>
      <c r="E828" s="135"/>
      <c r="F828" s="135"/>
      <c r="G828" s="135"/>
      <c r="H828" s="136"/>
      <c r="I828" s="135"/>
      <c r="J828" s="134"/>
      <c r="K828" s="135"/>
      <c r="L828" s="135"/>
      <c r="M828" s="136"/>
      <c r="N828" s="135"/>
      <c r="O828" s="134"/>
      <c r="P828" s="136"/>
      <c r="Q828" s="136"/>
      <c r="R828" s="136"/>
      <c r="S828" s="135"/>
      <c r="T828" s="134"/>
      <c r="U828" s="137"/>
      <c r="V828" s="136"/>
      <c r="W828" s="136"/>
      <c r="X828"/>
    </row>
    <row r="829" spans="1:24" ht="15.5">
      <c r="A829" s="138"/>
      <c r="B829" s="139"/>
      <c r="C829" s="140"/>
      <c r="D829" s="141"/>
      <c r="E829" s="141"/>
      <c r="F829" s="141"/>
      <c r="G829" s="141"/>
      <c r="H829" s="142"/>
      <c r="I829" s="141"/>
      <c r="J829" s="140"/>
      <c r="K829" s="141"/>
      <c r="L829" s="141"/>
      <c r="M829" s="142"/>
      <c r="N829" s="141"/>
      <c r="O829" s="140"/>
      <c r="P829" s="142"/>
      <c r="Q829" s="142"/>
      <c r="R829" s="142"/>
      <c r="S829" s="141"/>
      <c r="T829" s="140"/>
      <c r="U829" s="143"/>
      <c r="V829" s="142"/>
      <c r="W829" s="142"/>
      <c r="X829"/>
    </row>
    <row r="830" spans="1:24" s="149" customFormat="1" ht="15.5">
      <c r="A830" s="138"/>
      <c r="B830" s="144"/>
      <c r="C830" s="145"/>
      <c r="D830" s="146"/>
      <c r="E830" s="146"/>
      <c r="F830" s="146"/>
      <c r="G830" s="146"/>
      <c r="H830" s="332"/>
      <c r="I830" s="146"/>
      <c r="J830" s="145"/>
      <c r="K830" s="146"/>
      <c r="L830" s="146"/>
      <c r="M830" s="332"/>
      <c r="N830" s="146"/>
      <c r="O830" s="145"/>
      <c r="P830" s="332"/>
      <c r="Q830" s="332"/>
      <c r="R830" s="332"/>
      <c r="S830" s="146"/>
      <c r="T830" s="145"/>
      <c r="U830" s="148"/>
      <c r="V830" s="332"/>
      <c r="W830" s="332"/>
      <c r="X830"/>
    </row>
    <row r="831" spans="1:24" ht="15.5">
      <c r="A831" s="138"/>
      <c r="B831" s="133"/>
      <c r="C831" s="134"/>
      <c r="D831" s="135"/>
      <c r="E831" s="135"/>
      <c r="F831" s="135"/>
      <c r="G831" s="135"/>
      <c r="H831" s="136"/>
      <c r="I831" s="135"/>
      <c r="J831" s="134"/>
      <c r="K831" s="135"/>
      <c r="L831" s="135"/>
      <c r="M831" s="136"/>
      <c r="N831" s="135"/>
      <c r="O831" s="134"/>
      <c r="P831" s="136"/>
      <c r="Q831" s="136"/>
      <c r="R831" s="136"/>
      <c r="S831" s="135"/>
      <c r="T831" s="134"/>
      <c r="U831" s="137"/>
      <c r="V831" s="136"/>
      <c r="W831" s="136"/>
      <c r="X831"/>
    </row>
    <row r="832" spans="1:24" ht="15.5">
      <c r="A832" s="138"/>
      <c r="B832" s="139"/>
      <c r="C832" s="140"/>
      <c r="D832" s="141"/>
      <c r="E832" s="141"/>
      <c r="F832" s="141"/>
      <c r="G832" s="141"/>
      <c r="H832" s="142"/>
      <c r="I832" s="141"/>
      <c r="J832" s="140"/>
      <c r="K832" s="141"/>
      <c r="L832" s="141"/>
      <c r="M832" s="142"/>
      <c r="N832" s="141"/>
      <c r="O832" s="140"/>
      <c r="P832" s="142"/>
      <c r="Q832" s="142"/>
      <c r="R832" s="142"/>
      <c r="S832" s="141"/>
      <c r="T832" s="140"/>
      <c r="U832" s="143"/>
      <c r="V832" s="142"/>
      <c r="W832" s="142"/>
      <c r="X832"/>
    </row>
    <row r="833" spans="1:24" s="149" customFormat="1" ht="15.5">
      <c r="A833" s="138"/>
      <c r="B833" s="144"/>
      <c r="C833" s="145"/>
      <c r="D833" s="146"/>
      <c r="E833" s="146"/>
      <c r="F833" s="146"/>
      <c r="G833" s="146"/>
      <c r="H833" s="332"/>
      <c r="I833" s="146"/>
      <c r="J833" s="145"/>
      <c r="K833" s="146"/>
      <c r="L833" s="146"/>
      <c r="M833" s="332"/>
      <c r="N833" s="146"/>
      <c r="O833" s="145"/>
      <c r="P833" s="332"/>
      <c r="Q833" s="332"/>
      <c r="R833" s="332"/>
      <c r="S833" s="146"/>
      <c r="T833" s="145"/>
      <c r="U833" s="148"/>
      <c r="V833" s="332"/>
      <c r="W833" s="332"/>
      <c r="X833"/>
    </row>
    <row r="834" spans="1:24" ht="15.5">
      <c r="A834" s="138"/>
      <c r="B834" s="133"/>
      <c r="C834" s="134"/>
      <c r="D834" s="135"/>
      <c r="E834" s="135"/>
      <c r="F834" s="135"/>
      <c r="G834" s="135"/>
      <c r="H834" s="136"/>
      <c r="I834" s="135"/>
      <c r="J834" s="134"/>
      <c r="K834" s="135"/>
      <c r="L834" s="135"/>
      <c r="M834" s="136"/>
      <c r="N834" s="135"/>
      <c r="O834" s="134"/>
      <c r="P834" s="136"/>
      <c r="Q834" s="136"/>
      <c r="R834" s="136"/>
      <c r="S834" s="135"/>
      <c r="T834" s="134"/>
      <c r="U834" s="137"/>
      <c r="V834" s="136"/>
      <c r="W834" s="136"/>
      <c r="X834"/>
    </row>
    <row r="835" spans="1:24" ht="15.5">
      <c r="A835" s="138"/>
      <c r="B835" s="139"/>
      <c r="C835" s="140"/>
      <c r="D835" s="141"/>
      <c r="E835" s="141"/>
      <c r="F835" s="141"/>
      <c r="G835" s="141"/>
      <c r="H835" s="142"/>
      <c r="I835" s="141"/>
      <c r="J835" s="140"/>
      <c r="K835" s="141"/>
      <c r="L835" s="141"/>
      <c r="M835" s="142"/>
      <c r="N835" s="141"/>
      <c r="O835" s="140"/>
      <c r="P835" s="142"/>
      <c r="Q835" s="142"/>
      <c r="R835" s="142"/>
      <c r="S835" s="141"/>
      <c r="T835" s="140"/>
      <c r="U835" s="143"/>
      <c r="V835" s="142"/>
      <c r="W835" s="142"/>
      <c r="X835"/>
    </row>
    <row r="836" spans="1:24" s="149" customFormat="1" ht="15.5">
      <c r="A836" s="138"/>
      <c r="B836" s="144"/>
      <c r="C836" s="145"/>
      <c r="D836" s="146"/>
      <c r="E836" s="146"/>
      <c r="F836" s="146"/>
      <c r="G836" s="146"/>
      <c r="H836" s="332"/>
      <c r="I836" s="146"/>
      <c r="J836" s="145"/>
      <c r="K836" s="146"/>
      <c r="L836" s="146"/>
      <c r="M836" s="332"/>
      <c r="N836" s="146"/>
      <c r="O836" s="145"/>
      <c r="P836" s="332"/>
      <c r="Q836" s="332"/>
      <c r="R836" s="332"/>
      <c r="S836" s="146"/>
      <c r="T836" s="145"/>
      <c r="U836" s="148"/>
      <c r="V836" s="332"/>
      <c r="W836" s="332"/>
      <c r="X836"/>
    </row>
    <row r="837" spans="1:24" ht="15.5">
      <c r="A837" s="138"/>
      <c r="B837" s="133"/>
      <c r="C837" s="134"/>
      <c r="D837" s="135"/>
      <c r="E837" s="135"/>
      <c r="F837" s="135"/>
      <c r="G837" s="135"/>
      <c r="H837" s="136"/>
      <c r="I837" s="135"/>
      <c r="J837" s="134"/>
      <c r="K837" s="135"/>
      <c r="L837" s="135"/>
      <c r="M837" s="136"/>
      <c r="N837" s="135"/>
      <c r="O837" s="134"/>
      <c r="P837" s="136"/>
      <c r="Q837" s="136"/>
      <c r="R837" s="136"/>
      <c r="S837" s="135"/>
      <c r="T837" s="134"/>
      <c r="U837" s="137"/>
      <c r="V837" s="136"/>
      <c r="W837" s="136"/>
      <c r="X837"/>
    </row>
    <row r="838" spans="1:24" ht="15.5">
      <c r="A838" s="138"/>
      <c r="B838" s="139"/>
      <c r="C838" s="140"/>
      <c r="D838" s="141"/>
      <c r="E838" s="141"/>
      <c r="F838" s="141"/>
      <c r="G838" s="141"/>
      <c r="H838" s="142"/>
      <c r="I838" s="141"/>
      <c r="J838" s="140"/>
      <c r="K838" s="141"/>
      <c r="L838" s="141"/>
      <c r="M838" s="142"/>
      <c r="N838" s="141"/>
      <c r="O838" s="140"/>
      <c r="P838" s="142"/>
      <c r="Q838" s="142"/>
      <c r="R838" s="142"/>
      <c r="S838" s="141"/>
      <c r="T838" s="140"/>
      <c r="U838" s="143"/>
      <c r="V838" s="142"/>
      <c r="W838" s="142"/>
      <c r="X838"/>
    </row>
    <row r="839" spans="1:24" s="149" customFormat="1" ht="15.5">
      <c r="A839" s="138"/>
      <c r="B839" s="144"/>
      <c r="C839" s="145"/>
      <c r="D839" s="146"/>
      <c r="E839" s="146"/>
      <c r="F839" s="146"/>
      <c r="G839" s="146"/>
      <c r="H839" s="332"/>
      <c r="I839" s="146"/>
      <c r="J839" s="145"/>
      <c r="K839" s="146"/>
      <c r="L839" s="146"/>
      <c r="M839" s="332"/>
      <c r="N839" s="146"/>
      <c r="O839" s="145"/>
      <c r="P839" s="332"/>
      <c r="Q839" s="332"/>
      <c r="R839" s="332"/>
      <c r="S839" s="146"/>
      <c r="T839" s="145"/>
      <c r="U839" s="148"/>
      <c r="V839" s="332"/>
      <c r="W839" s="332"/>
      <c r="X839"/>
    </row>
    <row r="840" spans="1:24" ht="15.5">
      <c r="A840" s="138"/>
      <c r="B840" s="133"/>
      <c r="C840" s="134"/>
      <c r="D840" s="135"/>
      <c r="E840" s="135"/>
      <c r="F840" s="135"/>
      <c r="G840" s="135"/>
      <c r="H840" s="136"/>
      <c r="I840" s="135"/>
      <c r="J840" s="134"/>
      <c r="K840" s="135"/>
      <c r="L840" s="135"/>
      <c r="M840" s="136"/>
      <c r="N840" s="135"/>
      <c r="O840" s="134"/>
      <c r="P840" s="136"/>
      <c r="Q840" s="136"/>
      <c r="R840" s="136"/>
      <c r="S840" s="135"/>
      <c r="T840" s="134"/>
      <c r="U840" s="137"/>
      <c r="V840" s="136"/>
      <c r="W840" s="136"/>
      <c r="X840"/>
    </row>
    <row r="841" spans="1:24" ht="15.5">
      <c r="A841" s="138"/>
      <c r="B841" s="139"/>
      <c r="C841" s="140"/>
      <c r="D841" s="141"/>
      <c r="E841" s="141"/>
      <c r="F841" s="141"/>
      <c r="G841" s="141"/>
      <c r="H841" s="142"/>
      <c r="I841" s="141"/>
      <c r="J841" s="140"/>
      <c r="K841" s="141"/>
      <c r="L841" s="141"/>
      <c r="M841" s="142"/>
      <c r="N841" s="141"/>
      <c r="O841" s="140"/>
      <c r="P841" s="142"/>
      <c r="Q841" s="142"/>
      <c r="R841" s="142"/>
      <c r="S841" s="141"/>
      <c r="T841" s="140"/>
      <c r="U841" s="143"/>
      <c r="V841" s="142"/>
      <c r="W841" s="142"/>
      <c r="X841"/>
    </row>
    <row r="842" spans="1:24" s="149" customFormat="1" ht="15.5">
      <c r="A842" s="138"/>
      <c r="B842" s="144"/>
      <c r="C842" s="145"/>
      <c r="D842" s="146"/>
      <c r="E842" s="146"/>
      <c r="F842" s="146"/>
      <c r="G842" s="146"/>
      <c r="H842" s="332"/>
      <c r="I842" s="146"/>
      <c r="J842" s="145"/>
      <c r="K842" s="146"/>
      <c r="L842" s="146"/>
      <c r="M842" s="332"/>
      <c r="N842" s="146"/>
      <c r="O842" s="145"/>
      <c r="P842" s="332"/>
      <c r="Q842" s="332"/>
      <c r="R842" s="332"/>
      <c r="S842" s="146"/>
      <c r="T842" s="145"/>
      <c r="U842" s="148"/>
      <c r="V842" s="332"/>
      <c r="W842" s="332"/>
      <c r="X842"/>
    </row>
    <row r="843" spans="1:24" ht="15.5">
      <c r="A843" s="138"/>
      <c r="B843" s="133"/>
      <c r="C843" s="134"/>
      <c r="D843" s="135"/>
      <c r="E843" s="135"/>
      <c r="F843" s="135"/>
      <c r="G843" s="135"/>
      <c r="H843" s="136"/>
      <c r="I843" s="135"/>
      <c r="J843" s="134"/>
      <c r="K843" s="135"/>
      <c r="L843" s="135"/>
      <c r="M843" s="136"/>
      <c r="N843" s="135"/>
      <c r="O843" s="134"/>
      <c r="P843" s="136"/>
      <c r="Q843" s="136"/>
      <c r="R843" s="136"/>
      <c r="S843" s="135"/>
      <c r="T843" s="134"/>
      <c r="U843" s="137"/>
      <c r="V843" s="136"/>
      <c r="W843" s="136"/>
      <c r="X843"/>
    </row>
    <row r="844" spans="1:24" ht="15.5">
      <c r="A844" s="138"/>
      <c r="B844" s="139"/>
      <c r="C844" s="140"/>
      <c r="D844" s="141"/>
      <c r="E844" s="141"/>
      <c r="F844" s="141"/>
      <c r="G844" s="141"/>
      <c r="H844" s="142"/>
      <c r="I844" s="141"/>
      <c r="J844" s="140"/>
      <c r="K844" s="141"/>
      <c r="L844" s="141"/>
      <c r="M844" s="142"/>
      <c r="N844" s="141"/>
      <c r="O844" s="140"/>
      <c r="P844" s="142"/>
      <c r="Q844" s="142"/>
      <c r="R844" s="142"/>
      <c r="S844" s="141"/>
      <c r="T844" s="140"/>
      <c r="U844" s="143"/>
      <c r="V844" s="142"/>
      <c r="W844" s="142"/>
      <c r="X844"/>
    </row>
    <row r="845" spans="1:24" s="149" customFormat="1" ht="15.5">
      <c r="A845" s="138"/>
      <c r="B845" s="144"/>
      <c r="C845" s="145"/>
      <c r="D845" s="146"/>
      <c r="E845" s="146"/>
      <c r="F845" s="146"/>
      <c r="G845" s="146"/>
      <c r="H845" s="332"/>
      <c r="I845" s="146"/>
      <c r="J845" s="145"/>
      <c r="K845" s="146"/>
      <c r="L845" s="146"/>
      <c r="M845" s="332"/>
      <c r="N845" s="146"/>
      <c r="O845" s="145"/>
      <c r="P845" s="332"/>
      <c r="Q845" s="332"/>
      <c r="R845" s="332"/>
      <c r="S845" s="146"/>
      <c r="T845" s="145"/>
      <c r="U845" s="148"/>
      <c r="V845" s="332"/>
      <c r="W845" s="332"/>
      <c r="X845"/>
    </row>
    <row r="846" spans="1:24" ht="15.5">
      <c r="A846" s="138"/>
      <c r="B846" s="133"/>
      <c r="C846" s="134"/>
      <c r="D846" s="135"/>
      <c r="E846" s="135"/>
      <c r="F846" s="135"/>
      <c r="G846" s="135"/>
      <c r="H846" s="136"/>
      <c r="I846" s="135"/>
      <c r="J846" s="134"/>
      <c r="K846" s="135"/>
      <c r="L846" s="135"/>
      <c r="M846" s="136"/>
      <c r="N846" s="135"/>
      <c r="O846" s="134"/>
      <c r="P846" s="136"/>
      <c r="Q846" s="136"/>
      <c r="R846" s="136"/>
      <c r="S846" s="135"/>
      <c r="T846" s="134"/>
      <c r="U846" s="137"/>
      <c r="V846" s="136"/>
      <c r="W846" s="136"/>
      <c r="X846"/>
    </row>
    <row r="847" spans="1:24" ht="15.5">
      <c r="A847" s="138"/>
      <c r="B847" s="139"/>
      <c r="C847" s="140"/>
      <c r="D847" s="141"/>
      <c r="E847" s="141"/>
      <c r="F847" s="141"/>
      <c r="G847" s="141"/>
      <c r="H847" s="142"/>
      <c r="I847" s="141"/>
      <c r="J847" s="140"/>
      <c r="K847" s="141"/>
      <c r="L847" s="141"/>
      <c r="M847" s="142"/>
      <c r="N847" s="141"/>
      <c r="O847" s="140"/>
      <c r="P847" s="142"/>
      <c r="Q847" s="142"/>
      <c r="R847" s="142"/>
      <c r="S847" s="141"/>
      <c r="T847" s="140"/>
      <c r="U847" s="143"/>
      <c r="V847" s="142"/>
      <c r="W847" s="142"/>
      <c r="X847"/>
    </row>
    <row r="848" spans="1:24" s="149" customFormat="1" ht="15.5">
      <c r="A848" s="138"/>
      <c r="B848" s="144"/>
      <c r="C848" s="145"/>
      <c r="D848" s="146"/>
      <c r="E848" s="146"/>
      <c r="F848" s="146"/>
      <c r="G848" s="146"/>
      <c r="H848" s="332"/>
      <c r="I848" s="146"/>
      <c r="J848" s="145"/>
      <c r="K848" s="146"/>
      <c r="L848" s="146"/>
      <c r="M848" s="332"/>
      <c r="N848" s="146"/>
      <c r="O848" s="145"/>
      <c r="P848" s="332"/>
      <c r="Q848" s="332"/>
      <c r="R848" s="332"/>
      <c r="S848" s="146"/>
      <c r="T848" s="145"/>
      <c r="U848" s="148"/>
      <c r="V848" s="332"/>
      <c r="W848" s="332"/>
      <c r="X848"/>
    </row>
    <row r="849" spans="1:24" ht="15.5">
      <c r="A849" s="138"/>
      <c r="B849" s="133"/>
      <c r="C849" s="134"/>
      <c r="D849" s="135"/>
      <c r="E849" s="135"/>
      <c r="F849" s="135"/>
      <c r="G849" s="135"/>
      <c r="H849" s="136"/>
      <c r="I849" s="135"/>
      <c r="J849" s="134"/>
      <c r="K849" s="135"/>
      <c r="L849" s="135"/>
      <c r="M849" s="136"/>
      <c r="N849" s="135"/>
      <c r="O849" s="134"/>
      <c r="P849" s="136"/>
      <c r="Q849" s="136"/>
      <c r="R849" s="136"/>
      <c r="S849" s="135"/>
      <c r="T849" s="134"/>
      <c r="U849" s="137"/>
      <c r="V849" s="136"/>
      <c r="W849" s="136"/>
      <c r="X849"/>
    </row>
    <row r="850" spans="1:24" ht="15.5">
      <c r="A850" s="138"/>
      <c r="B850" s="139"/>
      <c r="C850" s="140"/>
      <c r="D850" s="141"/>
      <c r="E850" s="141"/>
      <c r="F850" s="141"/>
      <c r="G850" s="141"/>
      <c r="H850" s="142"/>
      <c r="I850" s="141"/>
      <c r="J850" s="140"/>
      <c r="K850" s="141"/>
      <c r="L850" s="141"/>
      <c r="M850" s="142"/>
      <c r="N850" s="141"/>
      <c r="O850" s="140"/>
      <c r="P850" s="142"/>
      <c r="Q850" s="142"/>
      <c r="R850" s="142"/>
      <c r="S850" s="141"/>
      <c r="T850" s="140"/>
      <c r="U850" s="143"/>
      <c r="V850" s="142"/>
      <c r="W850" s="142"/>
      <c r="X850"/>
    </row>
    <row r="851" spans="1:24" s="149" customFormat="1" ht="15.5">
      <c r="A851" s="138"/>
      <c r="B851" s="144"/>
      <c r="C851" s="146"/>
      <c r="D851" s="146"/>
      <c r="E851" s="146"/>
      <c r="F851" s="146"/>
      <c r="G851" s="146"/>
      <c r="H851" s="332"/>
      <c r="I851" s="146"/>
      <c r="J851" s="145"/>
      <c r="K851" s="146"/>
      <c r="L851" s="146"/>
      <c r="M851" s="332"/>
      <c r="N851" s="146"/>
      <c r="O851" s="145"/>
      <c r="P851" s="332"/>
      <c r="Q851" s="332"/>
      <c r="R851" s="332"/>
      <c r="S851" s="146"/>
      <c r="T851" s="145"/>
      <c r="U851" s="148"/>
      <c r="V851" s="332"/>
      <c r="W851" s="332"/>
      <c r="X851"/>
    </row>
    <row r="852" spans="1:24" ht="15.5">
      <c r="A852" s="138"/>
      <c r="B852" s="133"/>
      <c r="C852" s="140"/>
      <c r="D852" s="135"/>
      <c r="E852" s="141"/>
      <c r="F852" s="135"/>
      <c r="G852" s="135"/>
      <c r="H852" s="136"/>
      <c r="I852" s="135"/>
      <c r="J852" s="134"/>
      <c r="K852" s="135"/>
      <c r="L852" s="135"/>
      <c r="M852" s="136"/>
      <c r="N852" s="135"/>
      <c r="O852" s="134"/>
      <c r="P852" s="136"/>
      <c r="Q852" s="136"/>
      <c r="R852" s="136"/>
      <c r="S852" s="135"/>
      <c r="T852" s="134"/>
      <c r="U852" s="137"/>
      <c r="V852" s="136"/>
      <c r="W852" s="136"/>
      <c r="X852"/>
    </row>
    <row r="853" spans="1:24" s="149" customFormat="1" ht="15.5">
      <c r="A853" s="153"/>
      <c r="B853" s="139"/>
      <c r="C853" s="140"/>
      <c r="D853" s="141"/>
      <c r="E853" s="141"/>
      <c r="F853" s="141"/>
      <c r="G853" s="141"/>
      <c r="H853" s="142"/>
      <c r="I853" s="141"/>
      <c r="J853" s="140"/>
      <c r="K853" s="141"/>
      <c r="L853" s="141"/>
      <c r="M853" s="142"/>
      <c r="N853" s="141"/>
      <c r="O853" s="140"/>
      <c r="P853" s="142"/>
      <c r="Q853" s="142"/>
      <c r="R853" s="142"/>
      <c r="S853" s="141"/>
      <c r="T853" s="140"/>
      <c r="U853" s="143"/>
      <c r="V853" s="142"/>
      <c r="W853" s="142"/>
      <c r="X853"/>
    </row>
    <row r="854" spans="1:24" s="149" customFormat="1" ht="15.5">
      <c r="A854" s="133"/>
      <c r="B854" s="133"/>
      <c r="C854" s="135"/>
      <c r="D854" s="135"/>
      <c r="E854" s="135"/>
      <c r="F854" s="135"/>
      <c r="G854" s="135"/>
      <c r="H854" s="136"/>
      <c r="I854" s="135"/>
      <c r="J854" s="134"/>
      <c r="K854" s="135"/>
      <c r="L854" s="135"/>
      <c r="M854" s="136"/>
      <c r="N854" s="135"/>
      <c r="O854" s="134"/>
      <c r="P854" s="136"/>
      <c r="Q854" s="136"/>
      <c r="R854" s="136"/>
      <c r="S854" s="135"/>
      <c r="T854" s="134"/>
      <c r="U854" s="137"/>
      <c r="V854" s="134"/>
      <c r="W854" s="134"/>
      <c r="X854"/>
    </row>
    <row r="855" spans="1:24" ht="15.5">
      <c r="A855" s="139"/>
      <c r="B855" s="139"/>
      <c r="C855" s="141"/>
      <c r="D855" s="141"/>
      <c r="E855" s="141"/>
      <c r="F855" s="141"/>
      <c r="G855" s="141"/>
      <c r="H855" s="142"/>
      <c r="I855" s="141"/>
      <c r="J855" s="140"/>
      <c r="K855" s="141"/>
      <c r="L855" s="141"/>
      <c r="M855" s="142"/>
      <c r="N855" s="141"/>
      <c r="O855" s="140"/>
      <c r="P855" s="142"/>
      <c r="Q855" s="142"/>
      <c r="R855" s="142"/>
      <c r="S855" s="141"/>
      <c r="T855" s="140"/>
      <c r="U855" s="143"/>
      <c r="V855" s="140"/>
      <c r="W855" s="140"/>
      <c r="X855"/>
    </row>
    <row r="856" spans="1:24" ht="15.5">
      <c r="A856" s="160"/>
      <c r="B856" s="144"/>
      <c r="C856" s="146"/>
      <c r="D856" s="146"/>
      <c r="E856" s="146"/>
      <c r="F856" s="146"/>
      <c r="G856" s="146"/>
      <c r="H856" s="332"/>
      <c r="I856" s="146"/>
      <c r="J856" s="145"/>
      <c r="K856" s="146"/>
      <c r="L856" s="146"/>
      <c r="M856" s="332"/>
      <c r="N856" s="146"/>
      <c r="O856" s="145"/>
      <c r="P856" s="332"/>
      <c r="Q856" s="332"/>
      <c r="R856" s="332"/>
      <c r="S856" s="146"/>
      <c r="T856" s="145"/>
      <c r="U856" s="148"/>
      <c r="V856" s="145"/>
      <c r="W856" s="145"/>
      <c r="X856"/>
    </row>
    <row r="857" spans="1:24" s="149" customFormat="1" ht="15.5">
      <c r="A857" s="133"/>
      <c r="B857" s="133"/>
      <c r="C857" s="135"/>
      <c r="D857" s="135"/>
      <c r="E857" s="135"/>
      <c r="F857" s="135"/>
      <c r="G857" s="135"/>
      <c r="H857" s="136"/>
      <c r="I857" s="135"/>
      <c r="J857" s="134"/>
      <c r="K857" s="135"/>
      <c r="L857" s="135"/>
      <c r="M857" s="136"/>
      <c r="N857" s="135"/>
      <c r="O857" s="134"/>
      <c r="P857" s="136"/>
      <c r="Q857" s="136"/>
      <c r="R857" s="136"/>
      <c r="S857" s="135"/>
      <c r="T857" s="134"/>
      <c r="U857" s="137"/>
      <c r="V857" s="134"/>
      <c r="W857" s="134"/>
      <c r="X857"/>
    </row>
    <row r="858" spans="1:24" ht="15.5">
      <c r="A858" s="139"/>
      <c r="B858" s="139"/>
      <c r="C858" s="141"/>
      <c r="D858" s="141"/>
      <c r="E858" s="141"/>
      <c r="F858" s="141"/>
      <c r="G858" s="141"/>
      <c r="H858" s="142"/>
      <c r="I858" s="141"/>
      <c r="J858" s="140"/>
      <c r="K858" s="141"/>
      <c r="L858" s="141"/>
      <c r="M858" s="142"/>
      <c r="N858" s="141"/>
      <c r="O858" s="140"/>
      <c r="P858" s="142"/>
      <c r="Q858" s="142"/>
      <c r="R858" s="142"/>
      <c r="S858" s="141"/>
      <c r="T858" s="140"/>
      <c r="U858" s="143"/>
      <c r="V858" s="140"/>
      <c r="W858" s="140"/>
      <c r="X858"/>
    </row>
    <row r="859" spans="1:24" ht="15.5">
      <c r="A859" s="160"/>
      <c r="B859" s="144"/>
      <c r="C859" s="146"/>
      <c r="D859" s="146"/>
      <c r="E859" s="146"/>
      <c r="F859" s="146"/>
      <c r="G859" s="146"/>
      <c r="H859" s="332"/>
      <c r="I859" s="146"/>
      <c r="J859" s="145"/>
      <c r="K859" s="146"/>
      <c r="L859" s="146"/>
      <c r="M859" s="332"/>
      <c r="N859" s="146"/>
      <c r="O859" s="145"/>
      <c r="P859" s="332"/>
      <c r="Q859" s="332"/>
      <c r="R859" s="332"/>
      <c r="S859" s="146"/>
      <c r="T859" s="145"/>
      <c r="U859" s="148"/>
      <c r="V859" s="145"/>
      <c r="W859" s="145"/>
      <c r="X859"/>
    </row>
    <row r="860" spans="1:24" s="149" customFormat="1" ht="15.5">
      <c r="A860" s="133"/>
      <c r="B860" s="133"/>
      <c r="C860" s="135"/>
      <c r="D860" s="135"/>
      <c r="E860" s="135"/>
      <c r="F860" s="135"/>
      <c r="G860" s="135"/>
      <c r="H860" s="136"/>
      <c r="I860" s="135"/>
      <c r="J860" s="134"/>
      <c r="K860" s="135"/>
      <c r="L860" s="135"/>
      <c r="M860" s="136"/>
      <c r="N860" s="135"/>
      <c r="O860" s="134"/>
      <c r="P860" s="136"/>
      <c r="Q860" s="136"/>
      <c r="R860" s="136"/>
      <c r="S860" s="135"/>
      <c r="T860" s="134"/>
      <c r="U860" s="137"/>
      <c r="V860" s="134"/>
      <c r="W860" s="134"/>
      <c r="X860"/>
    </row>
    <row r="861" spans="1:24" ht="15.5">
      <c r="A861" s="139"/>
      <c r="B861" s="139"/>
      <c r="C861" s="141"/>
      <c r="D861" s="141"/>
      <c r="E861" s="141"/>
      <c r="F861" s="141"/>
      <c r="G861" s="141"/>
      <c r="H861" s="142"/>
      <c r="I861" s="141"/>
      <c r="J861" s="140"/>
      <c r="K861" s="141"/>
      <c r="L861" s="141"/>
      <c r="M861" s="142"/>
      <c r="N861" s="141"/>
      <c r="O861" s="140"/>
      <c r="P861" s="142"/>
      <c r="Q861" s="142"/>
      <c r="R861" s="142"/>
      <c r="S861" s="141"/>
      <c r="T861" s="140"/>
      <c r="U861" s="143"/>
      <c r="V861" s="140"/>
      <c r="W861" s="140"/>
      <c r="X861"/>
    </row>
    <row r="862" spans="1:24" ht="15.5">
      <c r="A862" s="160"/>
      <c r="B862" s="144"/>
      <c r="C862" s="146"/>
      <c r="D862" s="146"/>
      <c r="E862" s="146"/>
      <c r="F862" s="146"/>
      <c r="G862" s="146"/>
      <c r="H862" s="332"/>
      <c r="I862" s="146"/>
      <c r="J862" s="145"/>
      <c r="K862" s="146"/>
      <c r="L862" s="146"/>
      <c r="M862" s="332"/>
      <c r="N862" s="146"/>
      <c r="O862" s="145"/>
      <c r="P862" s="332"/>
      <c r="Q862" s="332"/>
      <c r="R862" s="332"/>
      <c r="S862" s="146"/>
      <c r="T862" s="145"/>
      <c r="U862" s="148"/>
      <c r="V862" s="145"/>
      <c r="W862" s="145"/>
      <c r="X862"/>
    </row>
    <row r="863" spans="1:24" s="149" customFormat="1" ht="15.5">
      <c r="A863" s="133"/>
      <c r="B863" s="133"/>
      <c r="C863" s="135"/>
      <c r="D863" s="135"/>
      <c r="E863" s="135"/>
      <c r="F863" s="135"/>
      <c r="G863" s="135"/>
      <c r="H863" s="136"/>
      <c r="I863" s="135"/>
      <c r="J863" s="134"/>
      <c r="K863" s="135"/>
      <c r="L863" s="135"/>
      <c r="M863" s="136"/>
      <c r="N863" s="135"/>
      <c r="O863" s="134"/>
      <c r="P863" s="136"/>
      <c r="Q863" s="136"/>
      <c r="R863" s="136"/>
      <c r="S863" s="135"/>
      <c r="T863" s="134"/>
      <c r="U863" s="137"/>
      <c r="V863" s="134"/>
      <c r="W863" s="134"/>
      <c r="X863"/>
    </row>
    <row r="864" spans="1:24" ht="15.5">
      <c r="A864" s="139"/>
      <c r="B864" s="139"/>
      <c r="C864" s="141"/>
      <c r="D864" s="141"/>
      <c r="E864" s="141"/>
      <c r="F864" s="141"/>
      <c r="G864" s="141"/>
      <c r="H864" s="142"/>
      <c r="I864" s="141"/>
      <c r="J864" s="140"/>
      <c r="K864" s="141"/>
      <c r="L864" s="141"/>
      <c r="M864" s="142"/>
      <c r="N864" s="141"/>
      <c r="O864" s="140"/>
      <c r="P864" s="142"/>
      <c r="Q864" s="142"/>
      <c r="R864" s="142"/>
      <c r="S864" s="141"/>
      <c r="T864" s="140"/>
      <c r="U864" s="143"/>
      <c r="V864" s="140"/>
      <c r="W864" s="140"/>
      <c r="X864"/>
    </row>
    <row r="865" spans="1:24" ht="15.5">
      <c r="A865" s="160"/>
      <c r="B865" s="144"/>
      <c r="C865" s="146"/>
      <c r="D865" s="146"/>
      <c r="E865" s="146"/>
      <c r="F865" s="146"/>
      <c r="G865" s="146"/>
      <c r="H865" s="332"/>
      <c r="I865" s="146"/>
      <c r="J865" s="145"/>
      <c r="K865" s="146"/>
      <c r="L865" s="146"/>
      <c r="M865" s="332"/>
      <c r="N865" s="146"/>
      <c r="O865" s="145"/>
      <c r="P865" s="332"/>
      <c r="Q865" s="332"/>
      <c r="R865" s="332"/>
      <c r="S865" s="146"/>
      <c r="T865" s="145"/>
      <c r="U865" s="148"/>
      <c r="V865" s="145"/>
      <c r="W865" s="145"/>
      <c r="X865"/>
    </row>
    <row r="866" spans="1:24" s="149" customFormat="1" ht="15.5">
      <c r="A866" s="133"/>
      <c r="B866" s="133"/>
      <c r="C866" s="135"/>
      <c r="D866" s="135"/>
      <c r="E866" s="135"/>
      <c r="F866" s="135"/>
      <c r="G866" s="135"/>
      <c r="H866" s="136"/>
      <c r="I866" s="135"/>
      <c r="J866" s="134"/>
      <c r="K866" s="135"/>
      <c r="L866" s="135"/>
      <c r="M866" s="136"/>
      <c r="N866" s="135"/>
      <c r="O866" s="134"/>
      <c r="P866" s="136"/>
      <c r="Q866" s="136"/>
      <c r="R866" s="136"/>
      <c r="S866" s="135"/>
      <c r="T866" s="134"/>
      <c r="U866" s="137"/>
      <c r="V866" s="134"/>
      <c r="W866" s="134"/>
      <c r="X866"/>
    </row>
    <row r="867" spans="1:24" ht="15.5">
      <c r="A867" s="139"/>
      <c r="B867" s="139"/>
      <c r="C867" s="141"/>
      <c r="D867" s="141"/>
      <c r="E867" s="141"/>
      <c r="F867" s="141"/>
      <c r="G867" s="141"/>
      <c r="H867" s="142"/>
      <c r="I867" s="141"/>
      <c r="J867" s="140"/>
      <c r="K867" s="141"/>
      <c r="L867" s="141"/>
      <c r="M867" s="142"/>
      <c r="N867" s="141"/>
      <c r="O867" s="140"/>
      <c r="P867" s="142"/>
      <c r="Q867" s="142"/>
      <c r="R867" s="142"/>
      <c r="S867" s="141"/>
      <c r="T867" s="140"/>
      <c r="U867" s="143"/>
      <c r="V867" s="140"/>
      <c r="W867" s="140"/>
      <c r="X867"/>
    </row>
    <row r="868" spans="1:24" ht="15.5">
      <c r="A868" s="160"/>
      <c r="B868" s="144"/>
      <c r="C868" s="146"/>
      <c r="D868" s="146"/>
      <c r="E868" s="146"/>
      <c r="F868" s="146"/>
      <c r="G868" s="146"/>
      <c r="H868" s="332"/>
      <c r="I868" s="146"/>
      <c r="J868" s="145"/>
      <c r="K868" s="146"/>
      <c r="L868" s="146"/>
      <c r="M868" s="332"/>
      <c r="N868" s="146"/>
      <c r="O868" s="145"/>
      <c r="P868" s="332"/>
      <c r="Q868" s="332"/>
      <c r="R868" s="332"/>
      <c r="S868" s="146"/>
      <c r="T868" s="145"/>
      <c r="U868" s="148"/>
      <c r="V868" s="145"/>
      <c r="W868" s="145"/>
      <c r="X868"/>
    </row>
    <row r="869" spans="1:24" s="149" customFormat="1" ht="15.5">
      <c r="A869" s="133"/>
      <c r="B869" s="133"/>
      <c r="C869" s="135"/>
      <c r="D869" s="135"/>
      <c r="E869" s="135"/>
      <c r="F869" s="135"/>
      <c r="G869" s="135"/>
      <c r="H869" s="136"/>
      <c r="I869" s="135"/>
      <c r="J869" s="134"/>
      <c r="K869" s="135"/>
      <c r="L869" s="135"/>
      <c r="M869" s="136"/>
      <c r="N869" s="135"/>
      <c r="O869" s="134"/>
      <c r="P869" s="136"/>
      <c r="Q869" s="136"/>
      <c r="R869" s="136"/>
      <c r="S869" s="135"/>
      <c r="T869" s="134"/>
      <c r="U869" s="137"/>
      <c r="V869" s="134"/>
      <c r="W869" s="134"/>
      <c r="X869"/>
    </row>
    <row r="870" spans="1:24" ht="15.5">
      <c r="A870" s="139"/>
      <c r="B870" s="139"/>
      <c r="C870" s="141"/>
      <c r="D870" s="141"/>
      <c r="E870" s="141"/>
      <c r="F870" s="141"/>
      <c r="G870" s="141"/>
      <c r="H870" s="142"/>
      <c r="I870" s="141"/>
      <c r="J870" s="140"/>
      <c r="K870" s="141"/>
      <c r="L870" s="141"/>
      <c r="M870" s="142"/>
      <c r="N870" s="141"/>
      <c r="O870" s="140"/>
      <c r="P870" s="142"/>
      <c r="Q870" s="142"/>
      <c r="R870" s="142"/>
      <c r="S870" s="141"/>
      <c r="T870" s="140"/>
      <c r="U870" s="143"/>
      <c r="V870" s="140"/>
      <c r="W870" s="140"/>
      <c r="X870"/>
    </row>
    <row r="871" spans="1:24" ht="15.5">
      <c r="A871" s="160"/>
      <c r="B871" s="144"/>
      <c r="C871" s="146"/>
      <c r="D871" s="146"/>
      <c r="E871" s="146"/>
      <c r="F871" s="146"/>
      <c r="G871" s="146"/>
      <c r="H871" s="332"/>
      <c r="I871" s="146"/>
      <c r="J871" s="145"/>
      <c r="K871" s="146"/>
      <c r="L871" s="146"/>
      <c r="M871" s="332"/>
      <c r="N871" s="146"/>
      <c r="O871" s="145"/>
      <c r="P871" s="332"/>
      <c r="Q871" s="332"/>
      <c r="R871" s="332"/>
      <c r="S871" s="146"/>
      <c r="T871" s="145"/>
      <c r="U871" s="148"/>
      <c r="V871" s="145"/>
      <c r="W871" s="145"/>
      <c r="X871"/>
    </row>
    <row r="872" spans="1:24" s="149" customFormat="1" ht="15.5">
      <c r="A872" s="133"/>
      <c r="B872" s="133"/>
      <c r="C872" s="135"/>
      <c r="D872" s="135"/>
      <c r="E872" s="135"/>
      <c r="F872" s="135"/>
      <c r="G872" s="135"/>
      <c r="H872" s="136"/>
      <c r="I872" s="135"/>
      <c r="J872" s="134"/>
      <c r="K872" s="135"/>
      <c r="L872" s="135"/>
      <c r="M872" s="136"/>
      <c r="N872" s="135"/>
      <c r="O872" s="134"/>
      <c r="P872" s="136"/>
      <c r="Q872" s="136"/>
      <c r="R872" s="136"/>
      <c r="S872" s="135"/>
      <c r="T872" s="134"/>
      <c r="U872" s="137"/>
      <c r="V872" s="134"/>
      <c r="W872" s="134"/>
      <c r="X872"/>
    </row>
    <row r="873" spans="1:24">
      <c r="A873" s="139"/>
      <c r="B873" s="139"/>
      <c r="C873" s="141"/>
      <c r="D873" s="141"/>
      <c r="E873" s="141"/>
      <c r="F873" s="141"/>
      <c r="G873" s="141"/>
      <c r="H873" s="142"/>
      <c r="I873" s="141"/>
      <c r="J873" s="140"/>
      <c r="K873" s="141"/>
      <c r="L873" s="141"/>
      <c r="M873" s="142"/>
      <c r="N873" s="141"/>
      <c r="O873" s="140"/>
      <c r="P873" s="142"/>
      <c r="Q873" s="142"/>
      <c r="R873" s="142"/>
      <c r="S873" s="141"/>
      <c r="T873" s="140"/>
      <c r="U873" s="143"/>
      <c r="V873" s="140"/>
      <c r="W873" s="140"/>
    </row>
    <row r="874" spans="1:24" ht="13">
      <c r="A874" s="160"/>
      <c r="B874" s="144"/>
      <c r="C874" s="146"/>
      <c r="D874" s="146"/>
      <c r="E874" s="146"/>
      <c r="F874" s="146"/>
      <c r="G874" s="146"/>
      <c r="H874" s="332"/>
      <c r="I874" s="146"/>
      <c r="J874" s="145"/>
      <c r="K874" s="146"/>
      <c r="L874" s="146"/>
      <c r="M874" s="332"/>
      <c r="N874" s="146"/>
      <c r="O874" s="145"/>
      <c r="P874" s="332"/>
      <c r="Q874" s="332"/>
      <c r="R874" s="332"/>
      <c r="S874" s="146"/>
      <c r="T874" s="145"/>
      <c r="U874" s="148"/>
      <c r="V874" s="145"/>
      <c r="W874" s="145"/>
    </row>
    <row r="875" spans="1:24">
      <c r="A875" s="133"/>
      <c r="B875" s="133"/>
      <c r="C875" s="135"/>
      <c r="D875" s="135"/>
      <c r="E875" s="135"/>
      <c r="F875" s="135"/>
      <c r="G875" s="135"/>
      <c r="H875" s="136"/>
      <c r="I875" s="135"/>
      <c r="J875" s="134"/>
      <c r="K875" s="135"/>
      <c r="L875" s="135"/>
      <c r="M875" s="136"/>
      <c r="N875" s="135"/>
      <c r="O875" s="134"/>
      <c r="P875" s="136"/>
      <c r="Q875" s="136"/>
      <c r="R875" s="136"/>
      <c r="S875" s="135"/>
      <c r="T875" s="134"/>
      <c r="U875" s="137"/>
      <c r="V875" s="134"/>
      <c r="W875" s="134"/>
    </row>
    <row r="876" spans="1:24">
      <c r="A876" s="139"/>
      <c r="B876" s="139"/>
      <c r="C876" s="141"/>
      <c r="D876" s="141"/>
      <c r="E876" s="141"/>
      <c r="F876" s="141"/>
      <c r="G876" s="141"/>
      <c r="H876" s="142"/>
      <c r="I876" s="141"/>
      <c r="J876" s="140"/>
      <c r="K876" s="141"/>
      <c r="L876" s="141"/>
      <c r="M876" s="142"/>
      <c r="N876" s="141"/>
      <c r="O876" s="140"/>
      <c r="P876" s="142"/>
      <c r="Q876" s="142"/>
      <c r="R876" s="142"/>
      <c r="S876" s="141"/>
      <c r="T876" s="140"/>
      <c r="U876" s="143"/>
      <c r="V876" s="140"/>
      <c r="W876" s="140"/>
    </row>
    <row r="877" spans="1:24" ht="13">
      <c r="A877" s="160"/>
      <c r="B877" s="144"/>
      <c r="C877" s="146"/>
      <c r="D877" s="146"/>
      <c r="E877" s="146"/>
      <c r="F877" s="146"/>
      <c r="G877" s="146"/>
      <c r="H877" s="332"/>
      <c r="I877" s="146"/>
      <c r="J877" s="145"/>
      <c r="K877" s="146"/>
      <c r="L877" s="146"/>
      <c r="M877" s="332"/>
      <c r="N877" s="146"/>
      <c r="O877" s="145"/>
      <c r="P877" s="332"/>
      <c r="Q877" s="332"/>
      <c r="R877" s="332"/>
      <c r="S877" s="146"/>
      <c r="T877" s="145"/>
      <c r="U877" s="148"/>
      <c r="V877" s="145"/>
      <c r="W877" s="145"/>
    </row>
    <row r="878" spans="1:24">
      <c r="A878" s="133"/>
      <c r="B878" s="133"/>
      <c r="C878" s="135"/>
      <c r="D878" s="135"/>
      <c r="E878" s="135"/>
      <c r="F878" s="135"/>
      <c r="G878" s="135"/>
      <c r="H878" s="136"/>
      <c r="I878" s="135"/>
      <c r="J878" s="134"/>
      <c r="K878" s="135"/>
      <c r="L878" s="135"/>
      <c r="M878" s="136"/>
      <c r="N878" s="135"/>
      <c r="O878" s="134"/>
      <c r="P878" s="136"/>
      <c r="Q878" s="136"/>
      <c r="R878" s="136"/>
      <c r="S878" s="135"/>
      <c r="T878" s="134"/>
      <c r="U878" s="137"/>
      <c r="V878" s="134"/>
      <c r="W878" s="134"/>
    </row>
    <row r="879" spans="1:24">
      <c r="A879" s="139"/>
      <c r="B879" s="139"/>
      <c r="C879" s="141"/>
      <c r="D879" s="141"/>
      <c r="E879" s="141"/>
      <c r="F879" s="141"/>
      <c r="G879" s="141"/>
      <c r="H879" s="142"/>
      <c r="I879" s="141"/>
      <c r="J879" s="140"/>
      <c r="K879" s="141"/>
      <c r="L879" s="141"/>
      <c r="M879" s="142"/>
      <c r="N879" s="141"/>
      <c r="O879" s="140"/>
      <c r="P879" s="142"/>
      <c r="Q879" s="142"/>
      <c r="R879" s="142"/>
      <c r="S879" s="141"/>
      <c r="T879" s="140"/>
      <c r="U879" s="143"/>
      <c r="V879" s="140"/>
      <c r="W879" s="140"/>
    </row>
    <row r="880" spans="1:24" ht="13">
      <c r="A880" s="160"/>
      <c r="B880" s="144"/>
      <c r="C880" s="146"/>
      <c r="D880" s="146"/>
      <c r="E880" s="146"/>
      <c r="F880" s="146"/>
      <c r="G880" s="146"/>
      <c r="H880" s="332"/>
      <c r="I880" s="146"/>
      <c r="J880" s="145"/>
      <c r="K880" s="146"/>
      <c r="L880" s="146"/>
      <c r="M880" s="332"/>
      <c r="N880" s="146"/>
      <c r="O880" s="145"/>
      <c r="P880" s="332"/>
      <c r="Q880" s="332"/>
      <c r="R880" s="332"/>
      <c r="S880" s="146"/>
      <c r="T880" s="145"/>
      <c r="U880" s="148"/>
      <c r="V880" s="145"/>
      <c r="W880" s="145"/>
    </row>
    <row r="881" spans="1:23">
      <c r="A881" s="133"/>
      <c r="B881" s="133"/>
      <c r="C881" s="135"/>
      <c r="D881" s="135"/>
      <c r="E881" s="135"/>
      <c r="F881" s="135"/>
      <c r="G881" s="135"/>
      <c r="H881" s="136"/>
      <c r="I881" s="135"/>
      <c r="J881" s="134"/>
      <c r="K881" s="135"/>
      <c r="L881" s="135"/>
      <c r="M881" s="136"/>
      <c r="N881" s="135"/>
      <c r="O881" s="134"/>
      <c r="P881" s="136"/>
      <c r="Q881" s="136"/>
      <c r="R881" s="136"/>
      <c r="S881" s="135"/>
      <c r="T881" s="134"/>
      <c r="U881" s="137"/>
      <c r="V881" s="134"/>
      <c r="W881" s="134"/>
    </row>
    <row r="882" spans="1:23">
      <c r="A882" s="139"/>
      <c r="B882" s="139"/>
      <c r="C882" s="141"/>
      <c r="D882" s="141"/>
      <c r="E882" s="141"/>
      <c r="F882" s="141"/>
      <c r="G882" s="141"/>
      <c r="H882" s="142"/>
      <c r="I882" s="141"/>
      <c r="J882" s="140"/>
      <c r="K882" s="141"/>
      <c r="L882" s="141"/>
      <c r="M882" s="142"/>
      <c r="N882" s="141"/>
      <c r="O882" s="140"/>
      <c r="P882" s="142"/>
      <c r="Q882" s="142"/>
      <c r="R882" s="142"/>
      <c r="S882" s="141"/>
      <c r="T882" s="140"/>
      <c r="U882" s="143"/>
      <c r="V882" s="140"/>
      <c r="W882" s="140"/>
    </row>
    <row r="883" spans="1:23" ht="13">
      <c r="A883" s="160"/>
      <c r="B883" s="144"/>
      <c r="C883" s="146"/>
      <c r="D883" s="146"/>
      <c r="E883" s="146"/>
      <c r="F883" s="146"/>
      <c r="G883" s="146"/>
      <c r="H883" s="332"/>
      <c r="I883" s="146"/>
      <c r="J883" s="145"/>
      <c r="K883" s="146"/>
      <c r="L883" s="146"/>
      <c r="M883" s="332"/>
      <c r="N883" s="146"/>
      <c r="O883" s="145"/>
      <c r="P883" s="332"/>
      <c r="Q883" s="332"/>
      <c r="R883" s="332"/>
      <c r="S883" s="146"/>
      <c r="T883" s="145"/>
      <c r="U883" s="148"/>
      <c r="V883" s="145"/>
      <c r="W883" s="145"/>
    </row>
    <row r="884" spans="1:23">
      <c r="A884" s="133"/>
      <c r="B884" s="133"/>
      <c r="C884" s="135"/>
      <c r="D884" s="135"/>
      <c r="E884" s="135"/>
      <c r="F884" s="135"/>
      <c r="G884" s="135"/>
      <c r="H884" s="136"/>
      <c r="I884" s="135"/>
      <c r="J884" s="134"/>
      <c r="K884" s="135"/>
      <c r="L884" s="135"/>
      <c r="M884" s="136"/>
      <c r="N884" s="135"/>
      <c r="O884" s="134"/>
      <c r="P884" s="136"/>
      <c r="Q884" s="136"/>
      <c r="R884" s="136"/>
      <c r="S884" s="135"/>
      <c r="T884" s="134"/>
      <c r="U884" s="137"/>
      <c r="V884" s="134"/>
      <c r="W884" s="134"/>
    </row>
    <row r="885" spans="1:23">
      <c r="A885" s="139"/>
      <c r="B885" s="139"/>
      <c r="C885" s="141"/>
      <c r="D885" s="141"/>
      <c r="E885" s="141"/>
      <c r="F885" s="141"/>
      <c r="G885" s="141"/>
      <c r="H885" s="142"/>
      <c r="I885" s="141"/>
      <c r="J885" s="140"/>
      <c r="K885" s="141"/>
      <c r="L885" s="141"/>
      <c r="M885" s="142"/>
      <c r="N885" s="141"/>
      <c r="O885" s="140"/>
      <c r="P885" s="142"/>
      <c r="Q885" s="142"/>
      <c r="R885" s="142"/>
      <c r="S885" s="141"/>
      <c r="T885" s="140"/>
      <c r="U885" s="143"/>
      <c r="V885" s="140"/>
      <c r="W885" s="140"/>
    </row>
    <row r="886" spans="1:23" ht="13">
      <c r="A886" s="160"/>
      <c r="B886" s="144"/>
      <c r="C886" s="146"/>
      <c r="D886" s="146"/>
      <c r="E886" s="146"/>
      <c r="F886" s="146"/>
      <c r="G886" s="146"/>
      <c r="H886" s="332"/>
      <c r="I886" s="146"/>
      <c r="J886" s="145"/>
      <c r="K886" s="146"/>
      <c r="L886" s="146"/>
      <c r="M886" s="332"/>
      <c r="N886" s="146"/>
      <c r="O886" s="145"/>
      <c r="P886" s="332"/>
      <c r="Q886" s="332"/>
      <c r="R886" s="332"/>
      <c r="S886" s="146"/>
      <c r="T886" s="145"/>
      <c r="U886" s="148"/>
      <c r="V886" s="145"/>
      <c r="W886" s="145"/>
    </row>
    <row r="887" spans="1:23">
      <c r="A887" s="133"/>
      <c r="B887" s="133"/>
      <c r="C887" s="135"/>
      <c r="D887" s="135"/>
      <c r="E887" s="135"/>
      <c r="F887" s="135"/>
      <c r="G887" s="135"/>
      <c r="H887" s="136"/>
      <c r="I887" s="135"/>
      <c r="J887" s="134"/>
      <c r="K887" s="135"/>
      <c r="L887" s="135"/>
      <c r="M887" s="136"/>
      <c r="N887" s="135"/>
      <c r="O887" s="134"/>
      <c r="P887" s="136"/>
      <c r="Q887" s="136"/>
      <c r="R887" s="136"/>
      <c r="S887" s="135"/>
      <c r="T887" s="134"/>
      <c r="U887" s="137"/>
      <c r="V887" s="134"/>
      <c r="W887" s="134"/>
    </row>
    <row r="888" spans="1:23">
      <c r="A888" s="139"/>
      <c r="B888" s="139"/>
      <c r="C888" s="141"/>
      <c r="D888" s="141"/>
      <c r="E888" s="141"/>
      <c r="F888" s="141"/>
      <c r="G888" s="141"/>
      <c r="H888" s="142"/>
      <c r="I888" s="141"/>
      <c r="J888" s="140"/>
      <c r="K888" s="141"/>
      <c r="L888" s="141"/>
      <c r="M888" s="142"/>
      <c r="N888" s="141"/>
      <c r="O888" s="140"/>
      <c r="P888" s="142"/>
      <c r="Q888" s="142"/>
      <c r="R888" s="142"/>
      <c r="S888" s="141"/>
      <c r="T888" s="140"/>
      <c r="U888" s="143"/>
      <c r="V888" s="140"/>
      <c r="W888" s="140"/>
    </row>
    <row r="889" spans="1:23" ht="13">
      <c r="A889" s="160"/>
      <c r="B889" s="144"/>
      <c r="C889" s="146"/>
      <c r="D889" s="146"/>
      <c r="E889" s="146"/>
      <c r="F889" s="146"/>
      <c r="G889" s="146"/>
      <c r="H889" s="332"/>
      <c r="I889" s="146"/>
      <c r="J889" s="145"/>
      <c r="K889" s="146"/>
      <c r="L889" s="146"/>
      <c r="M889" s="332"/>
      <c r="N889" s="146"/>
      <c r="O889" s="145"/>
      <c r="P889" s="332"/>
      <c r="Q889" s="332"/>
      <c r="R889" s="332"/>
      <c r="S889" s="146"/>
      <c r="T889" s="145"/>
      <c r="U889" s="148"/>
      <c r="V889" s="145"/>
      <c r="W889" s="145"/>
    </row>
    <row r="890" spans="1:23">
      <c r="A890" s="133"/>
      <c r="B890" s="133"/>
      <c r="C890" s="135"/>
      <c r="D890" s="135"/>
      <c r="E890" s="135"/>
      <c r="F890" s="135"/>
      <c r="G890" s="135"/>
      <c r="H890" s="136"/>
      <c r="I890" s="135"/>
      <c r="J890" s="134"/>
      <c r="K890" s="135"/>
      <c r="L890" s="135"/>
      <c r="M890" s="136"/>
      <c r="N890" s="135"/>
      <c r="O890" s="134"/>
      <c r="P890" s="136"/>
      <c r="Q890" s="136"/>
      <c r="R890" s="136"/>
      <c r="S890" s="135"/>
      <c r="T890" s="134"/>
      <c r="U890" s="137"/>
      <c r="V890" s="134"/>
      <c r="W890" s="134"/>
    </row>
    <row r="891" spans="1:23">
      <c r="A891" s="139"/>
      <c r="B891" s="139"/>
      <c r="C891" s="141"/>
      <c r="D891" s="141"/>
      <c r="E891" s="141"/>
      <c r="F891" s="141"/>
      <c r="G891" s="141"/>
      <c r="H891" s="142"/>
      <c r="I891" s="141"/>
      <c r="J891" s="140"/>
      <c r="K891" s="141"/>
      <c r="L891" s="141"/>
      <c r="M891" s="142"/>
      <c r="N891" s="141"/>
      <c r="O891" s="140"/>
      <c r="P891" s="142"/>
      <c r="Q891" s="142"/>
      <c r="R891" s="142"/>
      <c r="S891" s="141"/>
      <c r="T891" s="140"/>
      <c r="U891" s="143"/>
      <c r="V891" s="140"/>
      <c r="W891" s="140"/>
    </row>
    <row r="892" spans="1:23" ht="13">
      <c r="A892" s="160"/>
      <c r="B892" s="144"/>
      <c r="C892" s="146"/>
      <c r="D892" s="146"/>
      <c r="E892" s="146"/>
      <c r="F892" s="146"/>
      <c r="G892" s="146"/>
      <c r="H892" s="332"/>
      <c r="I892" s="146"/>
      <c r="J892" s="145"/>
      <c r="K892" s="146"/>
      <c r="L892" s="146"/>
      <c r="M892" s="332"/>
      <c r="N892" s="146"/>
      <c r="O892" s="145"/>
      <c r="P892" s="332"/>
      <c r="Q892" s="332"/>
      <c r="R892" s="332"/>
      <c r="S892" s="146"/>
      <c r="T892" s="145"/>
      <c r="U892" s="148"/>
      <c r="V892" s="145"/>
      <c r="W892" s="145"/>
    </row>
    <row r="893" spans="1:23">
      <c r="A893" s="133"/>
      <c r="B893" s="133"/>
      <c r="C893" s="135"/>
      <c r="D893" s="135"/>
      <c r="E893" s="135"/>
      <c r="F893" s="135"/>
      <c r="G893" s="135"/>
      <c r="H893" s="136"/>
      <c r="I893" s="135"/>
      <c r="J893" s="134"/>
      <c r="K893" s="135"/>
      <c r="L893" s="135"/>
      <c r="M893" s="136"/>
      <c r="N893" s="135"/>
      <c r="O893" s="134"/>
      <c r="P893" s="136"/>
      <c r="Q893" s="136"/>
      <c r="R893" s="136"/>
      <c r="S893" s="135"/>
      <c r="T893" s="134"/>
      <c r="U893" s="137"/>
      <c r="V893" s="134"/>
      <c r="W893" s="134"/>
    </row>
    <row r="894" spans="1:23">
      <c r="A894" s="139"/>
      <c r="B894" s="139"/>
      <c r="C894" s="141"/>
      <c r="D894" s="141"/>
      <c r="E894" s="141"/>
      <c r="F894" s="141"/>
      <c r="G894" s="141"/>
      <c r="H894" s="142"/>
      <c r="I894" s="141"/>
      <c r="J894" s="140"/>
      <c r="K894" s="141"/>
      <c r="L894" s="141"/>
      <c r="M894" s="142"/>
      <c r="N894" s="141"/>
      <c r="O894" s="140"/>
      <c r="P894" s="142"/>
      <c r="Q894" s="142"/>
      <c r="R894" s="142"/>
      <c r="S894" s="141"/>
      <c r="T894" s="140"/>
      <c r="U894" s="143"/>
      <c r="V894" s="140"/>
      <c r="W894" s="140"/>
    </row>
    <row r="895" spans="1:23" ht="13">
      <c r="A895" s="160"/>
      <c r="B895" s="144"/>
      <c r="C895" s="146"/>
      <c r="D895" s="146"/>
      <c r="E895" s="146"/>
      <c r="F895" s="146"/>
      <c r="G895" s="146"/>
      <c r="H895" s="332"/>
      <c r="I895" s="146"/>
      <c r="J895" s="145"/>
      <c r="K895" s="146"/>
      <c r="L895" s="146"/>
      <c r="M895" s="332"/>
      <c r="N895" s="146"/>
      <c r="O895" s="145"/>
      <c r="P895" s="332"/>
      <c r="Q895" s="332"/>
      <c r="R895" s="332"/>
      <c r="S895" s="146"/>
      <c r="T895" s="145"/>
      <c r="U895" s="148"/>
      <c r="V895" s="145"/>
      <c r="W895" s="145"/>
    </row>
    <row r="896" spans="1:23">
      <c r="A896" s="133"/>
      <c r="B896" s="133"/>
      <c r="C896" s="135"/>
      <c r="D896" s="135"/>
      <c r="E896" s="135"/>
      <c r="F896" s="135"/>
      <c r="G896" s="135"/>
      <c r="H896" s="136"/>
      <c r="I896" s="135"/>
      <c r="J896" s="134"/>
      <c r="K896" s="135"/>
      <c r="L896" s="135"/>
      <c r="M896" s="136"/>
      <c r="N896" s="135"/>
      <c r="O896" s="134"/>
      <c r="P896" s="136"/>
      <c r="Q896" s="136"/>
      <c r="R896" s="136"/>
      <c r="S896" s="135"/>
      <c r="T896" s="134"/>
      <c r="U896" s="137"/>
      <c r="V896" s="134"/>
      <c r="W896" s="134"/>
    </row>
    <row r="897" spans="1:23">
      <c r="A897" s="139"/>
      <c r="B897" s="139"/>
      <c r="C897" s="141"/>
      <c r="D897" s="141"/>
      <c r="E897" s="141"/>
      <c r="F897" s="141"/>
      <c r="G897" s="141"/>
      <c r="H897" s="142"/>
      <c r="I897" s="141"/>
      <c r="J897" s="140"/>
      <c r="K897" s="141"/>
      <c r="L897" s="141"/>
      <c r="M897" s="142"/>
      <c r="N897" s="141"/>
      <c r="O897" s="140"/>
      <c r="P897" s="142"/>
      <c r="Q897" s="142"/>
      <c r="R897" s="142"/>
      <c r="S897" s="141"/>
      <c r="T897" s="140"/>
      <c r="U897" s="143"/>
      <c r="V897" s="140"/>
      <c r="W897" s="140"/>
    </row>
    <row r="898" spans="1:23" ht="13">
      <c r="A898" s="160"/>
      <c r="B898" s="144"/>
      <c r="C898" s="146"/>
      <c r="D898" s="146"/>
      <c r="E898" s="146"/>
      <c r="F898" s="146"/>
      <c r="G898" s="146"/>
      <c r="H898" s="332"/>
      <c r="I898" s="146"/>
      <c r="J898" s="145"/>
      <c r="K898" s="146"/>
      <c r="L898" s="146"/>
      <c r="M898" s="332"/>
      <c r="N898" s="146"/>
      <c r="O898" s="145"/>
      <c r="P898" s="332"/>
      <c r="Q898" s="332"/>
      <c r="R898" s="332"/>
      <c r="S898" s="146"/>
      <c r="T898" s="145"/>
      <c r="U898" s="148"/>
      <c r="V898" s="145"/>
      <c r="W898" s="145"/>
    </row>
    <row r="899" spans="1:23">
      <c r="A899" s="133"/>
      <c r="B899" s="133"/>
      <c r="C899" s="135"/>
      <c r="D899" s="135"/>
      <c r="E899" s="135"/>
      <c r="F899" s="135"/>
      <c r="G899" s="135"/>
      <c r="H899" s="136"/>
      <c r="I899" s="135"/>
      <c r="J899" s="134"/>
      <c r="K899" s="135"/>
      <c r="L899" s="135"/>
      <c r="M899" s="136"/>
      <c r="N899" s="135"/>
      <c r="O899" s="134"/>
      <c r="P899" s="136"/>
      <c r="Q899" s="136"/>
      <c r="R899" s="136"/>
      <c r="S899" s="135"/>
      <c r="T899" s="134"/>
      <c r="U899" s="137"/>
      <c r="V899" s="134"/>
      <c r="W899" s="134"/>
    </row>
    <row r="900" spans="1:23">
      <c r="A900" s="139"/>
      <c r="B900" s="139"/>
      <c r="C900" s="141"/>
      <c r="D900" s="141"/>
      <c r="E900" s="141"/>
      <c r="F900" s="141"/>
      <c r="G900" s="141"/>
      <c r="H900" s="142"/>
      <c r="I900" s="141"/>
      <c r="J900" s="140"/>
      <c r="K900" s="141"/>
      <c r="L900" s="141"/>
      <c r="M900" s="142"/>
      <c r="N900" s="141"/>
      <c r="O900" s="140"/>
      <c r="P900" s="142"/>
      <c r="Q900" s="142"/>
      <c r="R900" s="142"/>
      <c r="S900" s="141"/>
      <c r="T900" s="140"/>
      <c r="U900" s="143"/>
      <c r="V900" s="140"/>
      <c r="W900" s="140"/>
    </row>
    <row r="901" spans="1:23" ht="13">
      <c r="A901" s="160"/>
      <c r="B901" s="144"/>
      <c r="C901" s="146"/>
      <c r="D901" s="146"/>
      <c r="E901" s="146"/>
      <c r="F901" s="146"/>
      <c r="G901" s="146"/>
      <c r="H901" s="332"/>
      <c r="I901" s="146"/>
      <c r="J901" s="145"/>
      <c r="K901" s="146"/>
      <c r="L901" s="146"/>
      <c r="M901" s="332"/>
      <c r="N901" s="146"/>
      <c r="O901" s="145"/>
      <c r="P901" s="332"/>
      <c r="Q901" s="332"/>
      <c r="R901" s="332"/>
      <c r="S901" s="146"/>
      <c r="T901" s="145"/>
      <c r="U901" s="148"/>
      <c r="V901" s="145"/>
      <c r="W901" s="145"/>
    </row>
    <row r="902" spans="1:23">
      <c r="A902" s="133"/>
      <c r="B902" s="133"/>
      <c r="C902" s="135"/>
      <c r="D902" s="135"/>
      <c r="E902" s="135"/>
      <c r="F902" s="135"/>
      <c r="G902" s="135"/>
      <c r="H902" s="136"/>
      <c r="I902" s="135"/>
      <c r="J902" s="134"/>
      <c r="K902" s="135"/>
      <c r="L902" s="135"/>
      <c r="M902" s="136"/>
      <c r="N902" s="135"/>
      <c r="O902" s="134"/>
      <c r="P902" s="136"/>
      <c r="Q902" s="136"/>
      <c r="R902" s="136"/>
      <c r="S902" s="135"/>
      <c r="T902" s="134"/>
      <c r="U902" s="137"/>
      <c r="V902" s="134"/>
      <c r="W902" s="134"/>
    </row>
    <row r="903" spans="1:23">
      <c r="A903" s="139"/>
      <c r="B903" s="139"/>
      <c r="C903" s="141"/>
      <c r="D903" s="141"/>
      <c r="E903" s="141"/>
      <c r="F903" s="141"/>
      <c r="G903" s="141"/>
      <c r="H903" s="142"/>
      <c r="I903" s="141"/>
      <c r="J903" s="140"/>
      <c r="K903" s="141"/>
      <c r="L903" s="141"/>
      <c r="M903" s="142"/>
      <c r="N903" s="141"/>
      <c r="O903" s="140"/>
      <c r="P903" s="142"/>
      <c r="Q903" s="142"/>
      <c r="R903" s="142"/>
      <c r="S903" s="141"/>
      <c r="T903" s="140"/>
      <c r="U903" s="143"/>
      <c r="V903" s="140"/>
      <c r="W903" s="140"/>
    </row>
    <row r="904" spans="1:23" ht="13">
      <c r="A904" s="160"/>
      <c r="B904" s="144"/>
      <c r="C904" s="146"/>
      <c r="D904" s="146"/>
      <c r="E904" s="146"/>
      <c r="F904" s="146"/>
      <c r="G904" s="146"/>
      <c r="H904" s="332"/>
      <c r="I904" s="146"/>
      <c r="J904" s="145"/>
      <c r="K904" s="146"/>
      <c r="L904" s="146"/>
      <c r="M904" s="332"/>
      <c r="N904" s="146"/>
      <c r="O904" s="145"/>
      <c r="P904" s="332"/>
      <c r="Q904" s="332"/>
      <c r="R904" s="332"/>
      <c r="S904" s="146"/>
      <c r="T904" s="145"/>
      <c r="U904" s="148"/>
      <c r="V904" s="145"/>
      <c r="W904" s="145"/>
    </row>
    <row r="905" spans="1:23">
      <c r="A905" s="133"/>
      <c r="B905" s="133"/>
      <c r="C905" s="135"/>
      <c r="D905" s="135"/>
      <c r="E905" s="135"/>
      <c r="F905" s="135"/>
      <c r="G905" s="135"/>
      <c r="H905" s="136"/>
      <c r="I905" s="135"/>
      <c r="J905" s="134"/>
      <c r="K905" s="135"/>
      <c r="L905" s="135"/>
      <c r="M905" s="136"/>
      <c r="N905" s="135"/>
      <c r="O905" s="134"/>
      <c r="P905" s="136"/>
      <c r="Q905" s="136"/>
      <c r="R905" s="136"/>
      <c r="S905" s="135"/>
      <c r="T905" s="134"/>
      <c r="U905" s="137"/>
      <c r="V905" s="134"/>
      <c r="W905" s="134"/>
    </row>
    <row r="906" spans="1:23">
      <c r="A906" s="139"/>
      <c r="B906" s="139"/>
      <c r="C906" s="141"/>
      <c r="D906" s="141"/>
      <c r="E906" s="141"/>
      <c r="F906" s="141"/>
      <c r="G906" s="141"/>
      <c r="H906" s="142"/>
      <c r="I906" s="141"/>
      <c r="J906" s="140"/>
      <c r="K906" s="141"/>
      <c r="L906" s="141"/>
      <c r="M906" s="142"/>
      <c r="N906" s="141"/>
      <c r="O906" s="140"/>
      <c r="P906" s="142"/>
      <c r="Q906" s="142"/>
      <c r="R906" s="142"/>
      <c r="S906" s="141"/>
      <c r="T906" s="140"/>
      <c r="U906" s="143"/>
      <c r="V906" s="140"/>
      <c r="W906" s="140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10F4C-ABCB-4982-AC72-F0C5BAC775AA}">
  <sheetPr codeName="Sheet8">
    <tabColor rgb="FFFFFF00"/>
  </sheetPr>
  <dimension ref="A3:Y17011"/>
  <sheetViews>
    <sheetView topLeftCell="A3" workbookViewId="0">
      <selection sqref="A1:XFD1048576"/>
    </sheetView>
  </sheetViews>
  <sheetFormatPr defaultColWidth="9" defaultRowHeight="12.5"/>
  <cols>
    <col min="1" max="1" width="6.84375" style="161" customWidth="1"/>
    <col min="2" max="2" width="27.07421875" style="65" customWidth="1"/>
    <col min="3" max="3" width="11.765625" style="65" customWidth="1"/>
    <col min="4" max="4" width="11.765625" style="130" customWidth="1"/>
    <col min="5" max="8" width="11.765625" style="65" customWidth="1"/>
    <col min="9" max="9" width="12.765625" style="65" customWidth="1"/>
    <col min="10" max="13" width="9.84375" style="65" customWidth="1"/>
    <col min="14" max="14" width="12.4609375" style="65" customWidth="1"/>
    <col min="15" max="17" width="9.765625" style="65" customWidth="1"/>
    <col min="18" max="18" width="12.3046875" style="65" customWidth="1"/>
    <col min="19" max="19" width="11.07421875" style="65" customWidth="1"/>
    <col min="20" max="20" width="13.84375" style="65" customWidth="1"/>
    <col min="21" max="21" width="8.69140625" style="65" customWidth="1"/>
    <col min="22" max="22" width="11.23046875" style="65" customWidth="1"/>
    <col min="23" max="23" width="9.69140625" style="65" customWidth="1"/>
    <col min="24" max="25" width="11" style="65" customWidth="1"/>
    <col min="26" max="26" width="7.765625" style="65" customWidth="1"/>
    <col min="27" max="27" width="7.4609375" style="65" customWidth="1"/>
    <col min="28" max="28" width="7.765625" style="65" customWidth="1"/>
    <col min="29" max="29" width="9.4609375" style="65" customWidth="1"/>
    <col min="30" max="30" width="7.765625" style="65" customWidth="1"/>
    <col min="31" max="31" width="29" style="65" bestFit="1" customWidth="1"/>
    <col min="32" max="32" width="29.765625" style="65" bestFit="1" customWidth="1"/>
    <col min="33" max="33" width="27.84375" style="65" bestFit="1" customWidth="1"/>
    <col min="34" max="34" width="28.4609375" style="65" bestFit="1" customWidth="1"/>
    <col min="35" max="35" width="17.84375" style="65" bestFit="1" customWidth="1"/>
    <col min="36" max="36" width="18.4609375" style="65" bestFit="1" customWidth="1"/>
    <col min="37" max="37" width="16.4609375" style="65" bestFit="1" customWidth="1"/>
    <col min="38" max="80" width="3.4609375" style="65" bestFit="1" customWidth="1"/>
    <col min="81" max="314" width="4.4609375" style="65" bestFit="1" customWidth="1"/>
    <col min="315" max="337" width="5.4609375" style="65" bestFit="1" customWidth="1"/>
    <col min="338" max="338" width="6.69140625" style="65" bestFit="1" customWidth="1"/>
    <col min="339" max="339" width="11" style="65" bestFit="1" customWidth="1"/>
    <col min="340" max="16384" width="9" style="65"/>
  </cols>
  <sheetData>
    <row r="3" spans="1:25" ht="15.5">
      <c r="B3" s="161"/>
      <c r="D3" s="65"/>
      <c r="Y3"/>
    </row>
    <row r="4" spans="1:25" ht="15.5">
      <c r="B4" s="161"/>
      <c r="D4" s="65"/>
      <c r="T4" s="131"/>
      <c r="V4" s="112"/>
      <c r="W4" s="162"/>
      <c r="Y4"/>
    </row>
    <row r="5" spans="1:25" ht="15.5">
      <c r="D5" s="65"/>
      <c r="T5" s="131"/>
      <c r="V5" s="112"/>
      <c r="W5" s="162"/>
      <c r="Y5"/>
    </row>
    <row r="6" spans="1:25" ht="15.5">
      <c r="A6" s="163"/>
      <c r="B6" s="164"/>
      <c r="C6" s="165"/>
      <c r="D6" s="166"/>
      <c r="E6" s="166"/>
      <c r="F6" s="166"/>
      <c r="G6" s="166"/>
      <c r="H6" s="166"/>
      <c r="I6" s="166"/>
      <c r="J6" s="166"/>
      <c r="K6" s="166"/>
      <c r="L6" s="166"/>
      <c r="M6" s="166"/>
      <c r="N6" s="166"/>
      <c r="O6" s="166"/>
      <c r="P6" s="166"/>
      <c r="Q6" s="166"/>
      <c r="R6" s="166"/>
      <c r="S6" s="166"/>
      <c r="T6" s="166"/>
      <c r="U6" s="166"/>
      <c r="V6" s="166"/>
      <c r="W6" s="167"/>
      <c r="Y6"/>
    </row>
    <row r="7" spans="1:25" ht="15.5">
      <c r="A7" s="168"/>
      <c r="B7" s="169"/>
      <c r="C7" s="170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171"/>
      <c r="P7" s="171"/>
      <c r="Q7" s="171"/>
      <c r="R7" s="171"/>
      <c r="S7" s="171"/>
      <c r="T7" s="171"/>
      <c r="U7" s="171"/>
      <c r="V7" s="171"/>
      <c r="W7" s="334"/>
      <c r="Y7"/>
    </row>
    <row r="8" spans="1:25" s="149" customFormat="1" ht="15.5">
      <c r="A8" s="168"/>
      <c r="B8" s="148"/>
      <c r="C8" s="145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6"/>
      <c r="S8" s="146"/>
      <c r="T8" s="146"/>
      <c r="U8" s="146"/>
      <c r="V8" s="146"/>
      <c r="W8" s="332"/>
      <c r="X8" s="65"/>
      <c r="Y8"/>
    </row>
    <row r="9" spans="1:25" ht="15.5">
      <c r="A9" s="168"/>
      <c r="B9" s="164"/>
      <c r="C9" s="165"/>
      <c r="D9" s="166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166"/>
      <c r="P9" s="166"/>
      <c r="Q9" s="166"/>
      <c r="R9" s="166"/>
      <c r="S9" s="166"/>
      <c r="T9" s="166"/>
      <c r="U9" s="166"/>
      <c r="V9" s="166"/>
      <c r="W9" s="167"/>
      <c r="Y9"/>
    </row>
    <row r="10" spans="1:25" ht="15.5">
      <c r="A10" s="168"/>
      <c r="B10" s="169"/>
      <c r="C10" s="170"/>
      <c r="D10" s="172"/>
      <c r="E10" s="171"/>
      <c r="F10" s="171"/>
      <c r="G10" s="171"/>
      <c r="H10" s="172"/>
      <c r="I10" s="171"/>
      <c r="J10" s="171"/>
      <c r="K10" s="171"/>
      <c r="L10" s="171"/>
      <c r="M10" s="171"/>
      <c r="N10" s="171"/>
      <c r="O10" s="171"/>
      <c r="P10" s="171"/>
      <c r="Q10" s="171"/>
      <c r="R10" s="171"/>
      <c r="S10" s="171"/>
      <c r="T10" s="171"/>
      <c r="U10" s="171"/>
      <c r="V10" s="171"/>
      <c r="W10" s="334"/>
      <c r="Y10"/>
    </row>
    <row r="11" spans="1:25" s="149" customFormat="1" ht="15.5">
      <c r="A11" s="168"/>
      <c r="B11" s="148"/>
      <c r="C11" s="145"/>
      <c r="D11" s="146"/>
      <c r="E11" s="146"/>
      <c r="F11" s="146"/>
      <c r="G11" s="146"/>
      <c r="H11" s="146"/>
      <c r="I11" s="146"/>
      <c r="J11" s="146"/>
      <c r="K11" s="146"/>
      <c r="L11" s="146"/>
      <c r="M11" s="146"/>
      <c r="N11" s="146"/>
      <c r="O11" s="146"/>
      <c r="P11" s="146"/>
      <c r="Q11" s="146"/>
      <c r="R11" s="146"/>
      <c r="S11" s="146"/>
      <c r="T11" s="146"/>
      <c r="U11" s="146"/>
      <c r="V11" s="146"/>
      <c r="W11" s="332"/>
      <c r="X11" s="65"/>
      <c r="Y11"/>
    </row>
    <row r="12" spans="1:25" ht="15.5">
      <c r="A12" s="168"/>
      <c r="B12" s="164"/>
      <c r="C12" s="165"/>
      <c r="D12" s="172"/>
      <c r="E12" s="166"/>
      <c r="F12" s="166"/>
      <c r="G12" s="166"/>
      <c r="H12" s="172"/>
      <c r="I12" s="166"/>
      <c r="J12" s="166"/>
      <c r="K12" s="166"/>
      <c r="L12" s="166"/>
      <c r="M12" s="166"/>
      <c r="N12" s="166"/>
      <c r="O12" s="166"/>
      <c r="P12" s="166"/>
      <c r="Q12" s="166"/>
      <c r="R12" s="166"/>
      <c r="S12" s="166"/>
      <c r="T12" s="166"/>
      <c r="U12" s="166"/>
      <c r="V12" s="166"/>
      <c r="W12" s="167"/>
      <c r="Y12"/>
    </row>
    <row r="13" spans="1:25" ht="15.5">
      <c r="A13" s="168"/>
      <c r="B13" s="169"/>
      <c r="C13" s="170"/>
      <c r="D13" s="171"/>
      <c r="E13" s="171"/>
      <c r="F13" s="171"/>
      <c r="G13" s="171"/>
      <c r="H13" s="171"/>
      <c r="I13" s="171"/>
      <c r="J13" s="171"/>
      <c r="K13" s="171"/>
      <c r="L13" s="171"/>
      <c r="M13" s="171"/>
      <c r="N13" s="171"/>
      <c r="O13" s="171"/>
      <c r="P13" s="171"/>
      <c r="Q13" s="171"/>
      <c r="R13" s="171"/>
      <c r="S13" s="171"/>
      <c r="T13" s="171"/>
      <c r="U13" s="171"/>
      <c r="V13" s="171"/>
      <c r="W13" s="334"/>
      <c r="Y13"/>
    </row>
    <row r="14" spans="1:25" s="149" customFormat="1" ht="15.5">
      <c r="A14" s="168"/>
      <c r="B14" s="148"/>
      <c r="C14" s="145"/>
      <c r="D14" s="146"/>
      <c r="E14" s="146"/>
      <c r="F14" s="146"/>
      <c r="G14" s="146"/>
      <c r="H14" s="146"/>
      <c r="I14" s="146"/>
      <c r="J14" s="146"/>
      <c r="K14" s="146"/>
      <c r="L14" s="146"/>
      <c r="M14" s="146"/>
      <c r="N14" s="146"/>
      <c r="O14" s="146"/>
      <c r="P14" s="146"/>
      <c r="Q14" s="146"/>
      <c r="R14" s="146"/>
      <c r="S14" s="146"/>
      <c r="T14" s="146"/>
      <c r="U14" s="146"/>
      <c r="V14" s="146"/>
      <c r="W14" s="332"/>
      <c r="X14" s="65"/>
      <c r="Y14"/>
    </row>
    <row r="15" spans="1:25" ht="15.5">
      <c r="A15" s="168"/>
      <c r="B15" s="164"/>
      <c r="C15" s="165"/>
      <c r="D15" s="166"/>
      <c r="E15" s="166"/>
      <c r="F15" s="166"/>
      <c r="G15" s="166"/>
      <c r="H15" s="166"/>
      <c r="I15" s="166"/>
      <c r="J15" s="166"/>
      <c r="K15" s="166"/>
      <c r="L15" s="166"/>
      <c r="M15" s="166"/>
      <c r="N15" s="166"/>
      <c r="O15" s="166"/>
      <c r="P15" s="166"/>
      <c r="Q15" s="166"/>
      <c r="R15" s="166"/>
      <c r="S15" s="166"/>
      <c r="T15" s="166"/>
      <c r="U15" s="166"/>
      <c r="V15" s="166"/>
      <c r="W15" s="167"/>
      <c r="Y15"/>
    </row>
    <row r="16" spans="1:25" ht="15.5">
      <c r="A16" s="168"/>
      <c r="B16" s="169"/>
      <c r="C16" s="170"/>
      <c r="D16" s="172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71"/>
      <c r="P16" s="171"/>
      <c r="Q16" s="171"/>
      <c r="R16" s="171"/>
      <c r="S16" s="171"/>
      <c r="T16" s="171"/>
      <c r="U16" s="171"/>
      <c r="V16" s="171"/>
      <c r="W16" s="334"/>
      <c r="Y16"/>
    </row>
    <row r="17" spans="1:25" s="149" customFormat="1" ht="15.5">
      <c r="A17" s="168"/>
      <c r="B17" s="148"/>
      <c r="C17" s="145"/>
      <c r="D17" s="146"/>
      <c r="E17" s="146"/>
      <c r="F17" s="146"/>
      <c r="G17" s="146"/>
      <c r="H17" s="146"/>
      <c r="I17" s="146"/>
      <c r="J17" s="146"/>
      <c r="K17" s="146"/>
      <c r="L17" s="146"/>
      <c r="M17" s="146"/>
      <c r="N17" s="146"/>
      <c r="O17" s="146"/>
      <c r="P17" s="146"/>
      <c r="Q17" s="146"/>
      <c r="R17" s="146"/>
      <c r="S17" s="146"/>
      <c r="T17" s="146"/>
      <c r="U17" s="146"/>
      <c r="V17" s="146"/>
      <c r="W17" s="332"/>
      <c r="X17" s="65"/>
      <c r="Y17"/>
    </row>
    <row r="18" spans="1:25" ht="15.5">
      <c r="A18" s="168"/>
      <c r="B18" s="164"/>
      <c r="C18" s="165"/>
      <c r="D18" s="172"/>
      <c r="E18" s="166"/>
      <c r="F18" s="166"/>
      <c r="G18" s="166"/>
      <c r="H18" s="166"/>
      <c r="I18" s="166"/>
      <c r="J18" s="166"/>
      <c r="K18" s="166"/>
      <c r="L18" s="166"/>
      <c r="M18" s="166"/>
      <c r="N18" s="166"/>
      <c r="O18" s="166"/>
      <c r="P18" s="166"/>
      <c r="Q18" s="166"/>
      <c r="R18" s="166"/>
      <c r="S18" s="166"/>
      <c r="T18" s="166"/>
      <c r="U18" s="166"/>
      <c r="V18" s="166"/>
      <c r="W18" s="167"/>
      <c r="Y18"/>
    </row>
    <row r="19" spans="1:25" ht="15.5">
      <c r="A19" s="168"/>
      <c r="B19" s="169"/>
      <c r="C19" s="170"/>
      <c r="D19" s="171"/>
      <c r="E19" s="171"/>
      <c r="F19" s="171"/>
      <c r="G19" s="171"/>
      <c r="H19" s="171"/>
      <c r="I19" s="171"/>
      <c r="J19" s="171"/>
      <c r="K19" s="171"/>
      <c r="L19" s="171"/>
      <c r="M19" s="171"/>
      <c r="N19" s="171"/>
      <c r="O19" s="171"/>
      <c r="P19" s="171"/>
      <c r="Q19" s="171"/>
      <c r="R19" s="171"/>
      <c r="S19" s="171"/>
      <c r="T19" s="171"/>
      <c r="U19" s="171"/>
      <c r="V19" s="171"/>
      <c r="W19" s="334"/>
      <c r="Y19"/>
    </row>
    <row r="20" spans="1:25" s="149" customFormat="1" ht="15.5">
      <c r="A20" s="173"/>
      <c r="B20" s="174"/>
      <c r="C20" s="175"/>
      <c r="D20" s="176"/>
      <c r="E20" s="176"/>
      <c r="F20" s="176"/>
      <c r="G20" s="176"/>
      <c r="H20" s="176"/>
      <c r="I20" s="176"/>
      <c r="J20" s="176"/>
      <c r="K20" s="176"/>
      <c r="L20" s="176"/>
      <c r="M20" s="176"/>
      <c r="N20" s="176"/>
      <c r="O20" s="176"/>
      <c r="P20" s="176"/>
      <c r="Q20" s="176"/>
      <c r="R20" s="176"/>
      <c r="S20" s="176"/>
      <c r="T20" s="176"/>
      <c r="U20" s="176"/>
      <c r="V20" s="176"/>
      <c r="W20" s="335"/>
      <c r="X20" s="65"/>
      <c r="Y20"/>
    </row>
    <row r="21" spans="1:25" ht="15.5">
      <c r="A21" s="163"/>
      <c r="B21" s="164"/>
      <c r="C21" s="165"/>
      <c r="D21" s="166"/>
      <c r="E21" s="166"/>
      <c r="F21" s="166"/>
      <c r="G21" s="166"/>
      <c r="H21" s="166"/>
      <c r="I21" s="166"/>
      <c r="J21" s="166"/>
      <c r="K21" s="166"/>
      <c r="L21" s="166"/>
      <c r="M21" s="166"/>
      <c r="N21" s="166"/>
      <c r="O21" s="166"/>
      <c r="P21" s="166"/>
      <c r="Q21" s="166"/>
      <c r="R21" s="166"/>
      <c r="S21" s="166"/>
      <c r="T21" s="166"/>
      <c r="U21" s="166"/>
      <c r="V21" s="166"/>
      <c r="W21" s="167"/>
      <c r="Y21"/>
    </row>
    <row r="22" spans="1:25" ht="15.5">
      <c r="A22" s="168"/>
      <c r="B22" s="169"/>
      <c r="C22" s="170"/>
      <c r="D22" s="171"/>
      <c r="E22" s="171"/>
      <c r="F22" s="171"/>
      <c r="G22" s="172"/>
      <c r="H22" s="171"/>
      <c r="I22" s="171"/>
      <c r="J22" s="171"/>
      <c r="K22" s="171"/>
      <c r="L22" s="171"/>
      <c r="M22" s="171"/>
      <c r="N22" s="171"/>
      <c r="O22" s="171"/>
      <c r="P22" s="171"/>
      <c r="Q22" s="171"/>
      <c r="R22" s="171"/>
      <c r="S22" s="171"/>
      <c r="T22" s="171"/>
      <c r="U22" s="171"/>
      <c r="V22" s="171"/>
      <c r="W22" s="334"/>
      <c r="Y22"/>
    </row>
    <row r="23" spans="1:25" s="149" customFormat="1" ht="15.5">
      <c r="A23" s="168"/>
      <c r="B23" s="148"/>
      <c r="C23" s="145"/>
      <c r="D23" s="146"/>
      <c r="E23" s="146"/>
      <c r="F23" s="146"/>
      <c r="G23" s="146"/>
      <c r="H23" s="146"/>
      <c r="I23" s="146"/>
      <c r="J23" s="146"/>
      <c r="K23" s="146"/>
      <c r="L23" s="146"/>
      <c r="M23" s="146"/>
      <c r="N23" s="146"/>
      <c r="O23" s="146"/>
      <c r="P23" s="146"/>
      <c r="Q23" s="146"/>
      <c r="R23" s="146"/>
      <c r="S23" s="146"/>
      <c r="T23" s="146"/>
      <c r="U23" s="146"/>
      <c r="V23" s="146"/>
      <c r="W23" s="332"/>
      <c r="X23" s="65"/>
      <c r="Y23"/>
    </row>
    <row r="24" spans="1:25" ht="15.5">
      <c r="A24" s="168"/>
      <c r="B24" s="164"/>
      <c r="C24" s="165"/>
      <c r="D24" s="166"/>
      <c r="E24" s="166"/>
      <c r="F24" s="166"/>
      <c r="G24" s="172"/>
      <c r="H24" s="166"/>
      <c r="I24" s="166"/>
      <c r="J24" s="166"/>
      <c r="K24" s="166"/>
      <c r="L24" s="166"/>
      <c r="M24" s="166"/>
      <c r="N24" s="166"/>
      <c r="O24" s="166"/>
      <c r="P24" s="166"/>
      <c r="Q24" s="166"/>
      <c r="R24" s="166"/>
      <c r="S24" s="166"/>
      <c r="T24" s="166"/>
      <c r="U24" s="166"/>
      <c r="V24" s="166"/>
      <c r="W24" s="167"/>
      <c r="Y24"/>
    </row>
    <row r="25" spans="1:25" ht="15.5">
      <c r="A25" s="168"/>
      <c r="B25" s="169"/>
      <c r="C25" s="170"/>
      <c r="D25" s="171"/>
      <c r="E25" s="171"/>
      <c r="F25" s="171"/>
      <c r="G25" s="172"/>
      <c r="H25" s="172"/>
      <c r="I25" s="171"/>
      <c r="J25" s="171"/>
      <c r="K25" s="171"/>
      <c r="L25" s="171"/>
      <c r="M25" s="171"/>
      <c r="N25" s="171"/>
      <c r="O25" s="171"/>
      <c r="P25" s="171"/>
      <c r="Q25" s="171"/>
      <c r="R25" s="171"/>
      <c r="S25" s="171"/>
      <c r="T25" s="171"/>
      <c r="U25" s="171"/>
      <c r="V25" s="171"/>
      <c r="W25" s="334"/>
      <c r="Y25"/>
    </row>
    <row r="26" spans="1:25" s="149" customFormat="1" ht="15.5">
      <c r="A26" s="168"/>
      <c r="B26" s="148"/>
      <c r="C26" s="145"/>
      <c r="D26" s="146"/>
      <c r="E26" s="146"/>
      <c r="F26" s="146"/>
      <c r="G26" s="146"/>
      <c r="H26" s="146"/>
      <c r="I26" s="146"/>
      <c r="J26" s="146"/>
      <c r="K26" s="146"/>
      <c r="L26" s="146"/>
      <c r="M26" s="146"/>
      <c r="N26" s="146"/>
      <c r="O26" s="146"/>
      <c r="P26" s="146"/>
      <c r="Q26" s="146"/>
      <c r="R26" s="146"/>
      <c r="S26" s="146"/>
      <c r="T26" s="146"/>
      <c r="U26" s="146"/>
      <c r="V26" s="146"/>
      <c r="W26" s="332"/>
      <c r="X26" s="65"/>
      <c r="Y26"/>
    </row>
    <row r="27" spans="1:25" ht="15.5">
      <c r="A27" s="168"/>
      <c r="B27" s="164"/>
      <c r="C27" s="165"/>
      <c r="D27" s="166"/>
      <c r="E27" s="166"/>
      <c r="F27" s="166"/>
      <c r="G27" s="172"/>
      <c r="H27" s="172"/>
      <c r="I27" s="166"/>
      <c r="J27" s="166"/>
      <c r="K27" s="166"/>
      <c r="L27" s="166"/>
      <c r="M27" s="166"/>
      <c r="N27" s="166"/>
      <c r="O27" s="166"/>
      <c r="P27" s="166"/>
      <c r="Q27" s="166"/>
      <c r="R27" s="166"/>
      <c r="S27" s="166"/>
      <c r="T27" s="166"/>
      <c r="U27" s="166"/>
      <c r="V27" s="166"/>
      <c r="W27" s="167"/>
      <c r="Y27"/>
    </row>
    <row r="28" spans="1:25" ht="15.5">
      <c r="A28" s="168"/>
      <c r="B28" s="169"/>
      <c r="C28" s="170"/>
      <c r="D28" s="171"/>
      <c r="E28" s="171"/>
      <c r="F28" s="171"/>
      <c r="G28" s="171"/>
      <c r="H28" s="171"/>
      <c r="I28" s="171"/>
      <c r="J28" s="171"/>
      <c r="K28" s="171"/>
      <c r="L28" s="171"/>
      <c r="M28" s="171"/>
      <c r="N28" s="171"/>
      <c r="O28" s="171"/>
      <c r="P28" s="171"/>
      <c r="Q28" s="171"/>
      <c r="R28" s="171"/>
      <c r="S28" s="171"/>
      <c r="T28" s="171"/>
      <c r="U28" s="171"/>
      <c r="V28" s="171"/>
      <c r="W28" s="334"/>
      <c r="Y28"/>
    </row>
    <row r="29" spans="1:25" s="149" customFormat="1" ht="15.5">
      <c r="A29" s="168"/>
      <c r="B29" s="148"/>
      <c r="C29" s="145"/>
      <c r="D29" s="146"/>
      <c r="E29" s="146"/>
      <c r="F29" s="146"/>
      <c r="G29" s="146"/>
      <c r="H29" s="146"/>
      <c r="I29" s="146"/>
      <c r="J29" s="146"/>
      <c r="K29" s="146"/>
      <c r="L29" s="146"/>
      <c r="M29" s="146"/>
      <c r="N29" s="146"/>
      <c r="O29" s="146"/>
      <c r="P29" s="146"/>
      <c r="Q29" s="146"/>
      <c r="R29" s="146"/>
      <c r="S29" s="146"/>
      <c r="T29" s="146"/>
      <c r="U29" s="146"/>
      <c r="V29" s="146"/>
      <c r="W29" s="332"/>
      <c r="X29" s="65"/>
      <c r="Y29"/>
    </row>
    <row r="30" spans="1:25" ht="15.5">
      <c r="A30" s="168"/>
      <c r="B30" s="164"/>
      <c r="C30" s="165"/>
      <c r="D30" s="166"/>
      <c r="E30" s="166"/>
      <c r="F30" s="166"/>
      <c r="G30" s="166"/>
      <c r="H30" s="166"/>
      <c r="I30" s="166"/>
      <c r="J30" s="166"/>
      <c r="K30" s="166"/>
      <c r="L30" s="166"/>
      <c r="M30" s="166"/>
      <c r="N30" s="166"/>
      <c r="O30" s="166"/>
      <c r="P30" s="166"/>
      <c r="Q30" s="166"/>
      <c r="R30" s="166"/>
      <c r="S30" s="166"/>
      <c r="T30" s="166"/>
      <c r="U30" s="166"/>
      <c r="V30" s="166"/>
      <c r="W30" s="167"/>
      <c r="Y30"/>
    </row>
    <row r="31" spans="1:25" ht="15.5">
      <c r="A31" s="168"/>
      <c r="B31" s="169"/>
      <c r="C31" s="170"/>
      <c r="D31" s="171"/>
      <c r="E31" s="171"/>
      <c r="F31" s="171"/>
      <c r="G31" s="171"/>
      <c r="H31" s="171"/>
      <c r="I31" s="171"/>
      <c r="J31" s="171"/>
      <c r="K31" s="171"/>
      <c r="L31" s="171"/>
      <c r="M31" s="171"/>
      <c r="N31" s="171"/>
      <c r="O31" s="171"/>
      <c r="P31" s="171"/>
      <c r="Q31" s="171"/>
      <c r="R31" s="171"/>
      <c r="S31" s="171"/>
      <c r="T31" s="171"/>
      <c r="U31" s="171"/>
      <c r="V31" s="171"/>
      <c r="W31" s="334"/>
      <c r="Y31"/>
    </row>
    <row r="32" spans="1:25" s="149" customFormat="1" ht="15.5">
      <c r="A32" s="168"/>
      <c r="B32" s="148"/>
      <c r="C32" s="145"/>
      <c r="D32" s="146"/>
      <c r="E32" s="146"/>
      <c r="F32" s="146"/>
      <c r="G32" s="146"/>
      <c r="H32" s="146"/>
      <c r="I32" s="146"/>
      <c r="J32" s="146"/>
      <c r="K32" s="146"/>
      <c r="L32" s="146"/>
      <c r="M32" s="146"/>
      <c r="N32" s="146"/>
      <c r="O32" s="146"/>
      <c r="P32" s="146"/>
      <c r="Q32" s="146"/>
      <c r="R32" s="146"/>
      <c r="S32" s="146"/>
      <c r="T32" s="146"/>
      <c r="U32" s="146"/>
      <c r="V32" s="146"/>
      <c r="W32" s="332"/>
      <c r="X32" s="65"/>
      <c r="Y32"/>
    </row>
    <row r="33" spans="1:25" ht="15.5">
      <c r="A33" s="168"/>
      <c r="B33" s="164"/>
      <c r="C33" s="165"/>
      <c r="D33" s="166"/>
      <c r="E33" s="166"/>
      <c r="F33" s="166"/>
      <c r="G33" s="166"/>
      <c r="H33" s="166"/>
      <c r="I33" s="166"/>
      <c r="J33" s="166"/>
      <c r="K33" s="166"/>
      <c r="L33" s="166"/>
      <c r="M33" s="166"/>
      <c r="N33" s="166"/>
      <c r="O33" s="166"/>
      <c r="P33" s="166"/>
      <c r="Q33" s="166"/>
      <c r="R33" s="166"/>
      <c r="S33" s="166"/>
      <c r="T33" s="166"/>
      <c r="U33" s="166"/>
      <c r="V33" s="166"/>
      <c r="W33" s="167"/>
      <c r="Y33"/>
    </row>
    <row r="34" spans="1:25" ht="15.5">
      <c r="A34" s="168"/>
      <c r="B34" s="169"/>
      <c r="C34" s="170"/>
      <c r="D34" s="171"/>
      <c r="E34" s="171"/>
      <c r="F34" s="171"/>
      <c r="G34" s="171"/>
      <c r="H34" s="171"/>
      <c r="I34" s="171"/>
      <c r="J34" s="171"/>
      <c r="K34" s="171"/>
      <c r="L34" s="171"/>
      <c r="M34" s="171"/>
      <c r="N34" s="171"/>
      <c r="O34" s="171"/>
      <c r="P34" s="171"/>
      <c r="Q34" s="171"/>
      <c r="R34" s="171"/>
      <c r="S34" s="171"/>
      <c r="T34" s="171"/>
      <c r="U34" s="171"/>
      <c r="V34" s="171"/>
      <c r="W34" s="334"/>
      <c r="Y34"/>
    </row>
    <row r="35" spans="1:25" s="149" customFormat="1" ht="15.5">
      <c r="A35" s="173"/>
      <c r="B35" s="174"/>
      <c r="C35" s="175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  <c r="Q35" s="176"/>
      <c r="R35" s="176"/>
      <c r="S35" s="176"/>
      <c r="T35" s="176"/>
      <c r="U35" s="176"/>
      <c r="V35" s="176"/>
      <c r="W35" s="335"/>
      <c r="X35" s="65"/>
      <c r="Y35"/>
    </row>
    <row r="36" spans="1:25" ht="15.5">
      <c r="A36" s="163"/>
      <c r="B36" s="164"/>
      <c r="C36" s="165"/>
      <c r="D36" s="166"/>
      <c r="E36" s="166"/>
      <c r="F36" s="166"/>
      <c r="G36" s="166"/>
      <c r="H36" s="166"/>
      <c r="I36" s="166"/>
      <c r="J36" s="166"/>
      <c r="K36" s="166"/>
      <c r="L36" s="166"/>
      <c r="M36" s="166"/>
      <c r="N36" s="166"/>
      <c r="O36" s="166"/>
      <c r="P36" s="166"/>
      <c r="Q36" s="166"/>
      <c r="R36" s="166"/>
      <c r="S36" s="166"/>
      <c r="T36" s="166"/>
      <c r="U36" s="166"/>
      <c r="V36" s="166"/>
      <c r="W36" s="167"/>
      <c r="Y36"/>
    </row>
    <row r="37" spans="1:25" ht="15.5">
      <c r="A37" s="168"/>
      <c r="B37" s="169"/>
      <c r="C37" s="170"/>
      <c r="D37" s="171"/>
      <c r="E37" s="171"/>
      <c r="F37" s="171"/>
      <c r="G37" s="171"/>
      <c r="H37" s="171"/>
      <c r="I37" s="171"/>
      <c r="J37" s="171"/>
      <c r="K37" s="171"/>
      <c r="L37" s="171"/>
      <c r="M37" s="171"/>
      <c r="N37" s="171"/>
      <c r="O37" s="171"/>
      <c r="P37" s="171"/>
      <c r="Q37" s="171"/>
      <c r="R37" s="171"/>
      <c r="S37" s="171"/>
      <c r="T37" s="171"/>
      <c r="U37" s="171"/>
      <c r="V37" s="171"/>
      <c r="W37" s="334"/>
      <c r="Y37"/>
    </row>
    <row r="38" spans="1:25" s="149" customFormat="1" ht="15.5">
      <c r="A38" s="168"/>
      <c r="B38" s="148"/>
      <c r="C38" s="145"/>
      <c r="D38" s="146"/>
      <c r="E38" s="146"/>
      <c r="F38" s="146"/>
      <c r="G38" s="146"/>
      <c r="H38" s="146"/>
      <c r="I38" s="146"/>
      <c r="J38" s="146"/>
      <c r="K38" s="146"/>
      <c r="L38" s="146"/>
      <c r="M38" s="146"/>
      <c r="N38" s="146"/>
      <c r="O38" s="146"/>
      <c r="P38" s="146"/>
      <c r="Q38" s="146"/>
      <c r="R38" s="146"/>
      <c r="S38" s="146"/>
      <c r="T38" s="146"/>
      <c r="U38" s="146"/>
      <c r="V38" s="146"/>
      <c r="W38" s="332"/>
      <c r="X38" s="65"/>
      <c r="Y38"/>
    </row>
    <row r="39" spans="1:25" ht="15.5">
      <c r="A39" s="168"/>
      <c r="B39" s="164"/>
      <c r="C39" s="165"/>
      <c r="D39" s="166"/>
      <c r="E39" s="166"/>
      <c r="F39" s="166"/>
      <c r="G39" s="166"/>
      <c r="H39" s="166"/>
      <c r="I39" s="166"/>
      <c r="J39" s="166"/>
      <c r="K39" s="166"/>
      <c r="L39" s="166"/>
      <c r="M39" s="166"/>
      <c r="N39" s="166"/>
      <c r="O39" s="166"/>
      <c r="P39" s="166"/>
      <c r="Q39" s="166"/>
      <c r="R39" s="166"/>
      <c r="S39" s="166"/>
      <c r="T39" s="166"/>
      <c r="U39" s="166"/>
      <c r="V39" s="166"/>
      <c r="W39" s="167"/>
      <c r="Y39"/>
    </row>
    <row r="40" spans="1:25" ht="15.5">
      <c r="A40" s="168"/>
      <c r="B40" s="169"/>
      <c r="C40" s="170"/>
      <c r="D40" s="171"/>
      <c r="E40" s="171"/>
      <c r="F40" s="171"/>
      <c r="G40" s="171"/>
      <c r="H40" s="171"/>
      <c r="I40" s="171"/>
      <c r="J40" s="171"/>
      <c r="K40" s="171"/>
      <c r="L40" s="171"/>
      <c r="M40" s="171"/>
      <c r="N40" s="171"/>
      <c r="O40" s="171"/>
      <c r="P40" s="171"/>
      <c r="Q40" s="171"/>
      <c r="R40" s="171"/>
      <c r="S40" s="171"/>
      <c r="T40" s="171"/>
      <c r="U40" s="171"/>
      <c r="V40" s="171"/>
      <c r="W40" s="334"/>
      <c r="Y40"/>
    </row>
    <row r="41" spans="1:25" s="149" customFormat="1" ht="15.5">
      <c r="A41" s="168"/>
      <c r="B41" s="148"/>
      <c r="C41" s="145"/>
      <c r="D41" s="146"/>
      <c r="E41" s="146"/>
      <c r="F41" s="146"/>
      <c r="G41" s="146"/>
      <c r="H41" s="146"/>
      <c r="I41" s="146"/>
      <c r="J41" s="146"/>
      <c r="K41" s="146"/>
      <c r="L41" s="146"/>
      <c r="M41" s="146"/>
      <c r="N41" s="146"/>
      <c r="O41" s="146"/>
      <c r="P41" s="146"/>
      <c r="Q41" s="146"/>
      <c r="R41" s="146"/>
      <c r="S41" s="146"/>
      <c r="T41" s="146"/>
      <c r="U41" s="146"/>
      <c r="V41" s="146"/>
      <c r="W41" s="332"/>
      <c r="X41" s="65"/>
      <c r="Y41"/>
    </row>
    <row r="42" spans="1:25" ht="15.5">
      <c r="A42" s="168"/>
      <c r="B42" s="164"/>
      <c r="C42" s="165"/>
      <c r="D42" s="166"/>
      <c r="E42" s="166"/>
      <c r="F42" s="166"/>
      <c r="G42" s="166"/>
      <c r="H42" s="166"/>
      <c r="I42" s="166"/>
      <c r="J42" s="166"/>
      <c r="K42" s="166"/>
      <c r="L42" s="166"/>
      <c r="M42" s="166"/>
      <c r="N42" s="166"/>
      <c r="O42" s="166"/>
      <c r="P42" s="166"/>
      <c r="Q42" s="166"/>
      <c r="R42" s="166"/>
      <c r="S42" s="166"/>
      <c r="T42" s="166"/>
      <c r="U42" s="166"/>
      <c r="V42" s="166"/>
      <c r="W42" s="167"/>
      <c r="Y42"/>
    </row>
    <row r="43" spans="1:25" ht="15.5">
      <c r="A43" s="168"/>
      <c r="B43" s="169"/>
      <c r="C43" s="170"/>
      <c r="D43" s="171"/>
      <c r="E43" s="171"/>
      <c r="F43" s="171"/>
      <c r="G43" s="171"/>
      <c r="H43" s="171"/>
      <c r="I43" s="171"/>
      <c r="J43" s="171"/>
      <c r="K43" s="171"/>
      <c r="L43" s="171"/>
      <c r="M43" s="171"/>
      <c r="N43" s="171"/>
      <c r="O43" s="171"/>
      <c r="P43" s="171"/>
      <c r="Q43" s="171"/>
      <c r="R43" s="171"/>
      <c r="S43" s="171"/>
      <c r="T43" s="171"/>
      <c r="U43" s="171"/>
      <c r="V43" s="171"/>
      <c r="W43" s="334"/>
      <c r="Y43"/>
    </row>
    <row r="44" spans="1:25" s="149" customFormat="1" ht="15.5">
      <c r="A44" s="168"/>
      <c r="B44" s="148"/>
      <c r="C44" s="145"/>
      <c r="D44" s="146"/>
      <c r="E44" s="146"/>
      <c r="F44" s="146"/>
      <c r="G44" s="146"/>
      <c r="H44" s="146"/>
      <c r="I44" s="146"/>
      <c r="J44" s="146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332"/>
      <c r="X44" s="65"/>
      <c r="Y44"/>
    </row>
    <row r="45" spans="1:25" ht="15.5">
      <c r="A45" s="168"/>
      <c r="B45" s="164"/>
      <c r="C45" s="165"/>
      <c r="D45" s="166"/>
      <c r="E45" s="166"/>
      <c r="F45" s="166"/>
      <c r="G45" s="166"/>
      <c r="H45" s="166"/>
      <c r="I45" s="166"/>
      <c r="J45" s="166"/>
      <c r="K45" s="166"/>
      <c r="L45" s="166"/>
      <c r="M45" s="166"/>
      <c r="N45" s="166"/>
      <c r="O45" s="166"/>
      <c r="P45" s="166"/>
      <c r="Q45" s="166"/>
      <c r="R45" s="166"/>
      <c r="S45" s="166"/>
      <c r="T45" s="166"/>
      <c r="U45" s="166"/>
      <c r="V45" s="166"/>
      <c r="W45" s="167"/>
      <c r="Y45"/>
    </row>
    <row r="46" spans="1:25" ht="15.5">
      <c r="A46" s="168"/>
      <c r="B46" s="169"/>
      <c r="C46" s="170"/>
      <c r="D46" s="171"/>
      <c r="E46" s="171"/>
      <c r="F46" s="171"/>
      <c r="G46" s="171"/>
      <c r="H46" s="171"/>
      <c r="I46" s="171"/>
      <c r="J46" s="171"/>
      <c r="K46" s="171"/>
      <c r="L46" s="171"/>
      <c r="M46" s="171"/>
      <c r="N46" s="171"/>
      <c r="O46" s="171"/>
      <c r="P46" s="171"/>
      <c r="Q46" s="171"/>
      <c r="R46" s="171"/>
      <c r="S46" s="171"/>
      <c r="T46" s="171"/>
      <c r="U46" s="171"/>
      <c r="V46" s="171"/>
      <c r="W46" s="334"/>
      <c r="Y46"/>
    </row>
    <row r="47" spans="1:25" s="149" customFormat="1" ht="15.5">
      <c r="A47" s="168"/>
      <c r="B47" s="148"/>
      <c r="C47" s="145"/>
      <c r="D47" s="146"/>
      <c r="E47" s="146"/>
      <c r="F47" s="146"/>
      <c r="G47" s="146"/>
      <c r="H47" s="146"/>
      <c r="I47" s="146"/>
      <c r="J47" s="146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332"/>
      <c r="X47" s="65"/>
      <c r="Y47"/>
    </row>
    <row r="48" spans="1:25" ht="15.5">
      <c r="A48" s="168"/>
      <c r="B48" s="164"/>
      <c r="C48" s="165"/>
      <c r="D48" s="166"/>
      <c r="E48" s="166"/>
      <c r="F48" s="166"/>
      <c r="G48" s="166"/>
      <c r="H48" s="166"/>
      <c r="I48" s="166"/>
      <c r="J48" s="166"/>
      <c r="K48" s="166"/>
      <c r="L48" s="166"/>
      <c r="M48" s="166"/>
      <c r="N48" s="166"/>
      <c r="O48" s="166"/>
      <c r="P48" s="166"/>
      <c r="Q48" s="166"/>
      <c r="R48" s="166"/>
      <c r="S48" s="166"/>
      <c r="T48" s="166"/>
      <c r="U48" s="166"/>
      <c r="V48" s="166"/>
      <c r="W48" s="167"/>
      <c r="Y48"/>
    </row>
    <row r="49" spans="1:25" ht="15.5">
      <c r="A49" s="168"/>
      <c r="B49" s="169"/>
      <c r="C49" s="170"/>
      <c r="D49" s="171"/>
      <c r="E49" s="171"/>
      <c r="F49" s="171"/>
      <c r="G49" s="171"/>
      <c r="H49" s="171"/>
      <c r="I49" s="171"/>
      <c r="J49" s="171"/>
      <c r="K49" s="171"/>
      <c r="L49" s="171"/>
      <c r="M49" s="171"/>
      <c r="N49" s="171"/>
      <c r="O49" s="171"/>
      <c r="P49" s="171"/>
      <c r="Q49" s="171"/>
      <c r="R49" s="171"/>
      <c r="S49" s="171"/>
      <c r="T49" s="171"/>
      <c r="U49" s="171"/>
      <c r="V49" s="171"/>
      <c r="W49" s="334"/>
      <c r="Y49"/>
    </row>
    <row r="50" spans="1:25" s="149" customFormat="1" ht="15.5">
      <c r="A50" s="173"/>
      <c r="B50" s="174"/>
      <c r="C50" s="175"/>
      <c r="D50" s="176"/>
      <c r="E50" s="176"/>
      <c r="F50" s="176"/>
      <c r="G50" s="176"/>
      <c r="H50" s="176"/>
      <c r="I50" s="176"/>
      <c r="J50" s="176"/>
      <c r="K50" s="176"/>
      <c r="L50" s="176"/>
      <c r="M50" s="176"/>
      <c r="N50" s="176"/>
      <c r="O50" s="176"/>
      <c r="P50" s="176"/>
      <c r="Q50" s="176"/>
      <c r="R50" s="176"/>
      <c r="S50" s="176"/>
      <c r="T50" s="176"/>
      <c r="U50" s="176"/>
      <c r="V50" s="176"/>
      <c r="W50" s="335"/>
      <c r="X50" s="65"/>
      <c r="Y50"/>
    </row>
    <row r="51" spans="1:25" ht="15.5">
      <c r="A51" s="163"/>
      <c r="B51" s="164"/>
      <c r="C51" s="165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  <c r="Q51" s="166"/>
      <c r="R51" s="166"/>
      <c r="S51" s="166"/>
      <c r="T51" s="166"/>
      <c r="U51" s="166"/>
      <c r="V51" s="166"/>
      <c r="W51" s="167"/>
      <c r="Y51"/>
    </row>
    <row r="52" spans="1:25" ht="15.5">
      <c r="A52" s="168"/>
      <c r="B52" s="169"/>
      <c r="C52" s="170"/>
      <c r="D52" s="171"/>
      <c r="E52" s="171"/>
      <c r="F52" s="171"/>
      <c r="G52" s="171"/>
      <c r="H52" s="171"/>
      <c r="I52" s="171"/>
      <c r="J52" s="172"/>
      <c r="K52" s="172"/>
      <c r="L52" s="171"/>
      <c r="M52" s="171"/>
      <c r="N52" s="171"/>
      <c r="O52" s="171"/>
      <c r="P52" s="171"/>
      <c r="Q52" s="171"/>
      <c r="R52" s="171"/>
      <c r="S52" s="171"/>
      <c r="T52" s="171"/>
      <c r="U52" s="171"/>
      <c r="V52" s="171"/>
      <c r="W52" s="334"/>
      <c r="Y52"/>
    </row>
    <row r="53" spans="1:25" s="149" customFormat="1" ht="15.5">
      <c r="A53" s="168"/>
      <c r="B53" s="148"/>
      <c r="C53" s="145"/>
      <c r="D53" s="146"/>
      <c r="E53" s="146"/>
      <c r="F53" s="146"/>
      <c r="G53" s="146"/>
      <c r="H53" s="146"/>
      <c r="I53" s="146"/>
      <c r="J53" s="146"/>
      <c r="K53" s="146"/>
      <c r="L53" s="146"/>
      <c r="M53" s="146"/>
      <c r="N53" s="146"/>
      <c r="O53" s="146"/>
      <c r="P53" s="146"/>
      <c r="Q53" s="146"/>
      <c r="R53" s="146"/>
      <c r="S53" s="146"/>
      <c r="T53" s="146"/>
      <c r="U53" s="146"/>
      <c r="V53" s="146"/>
      <c r="W53" s="332"/>
      <c r="X53" s="65"/>
      <c r="Y53"/>
    </row>
    <row r="54" spans="1:25" ht="15.5">
      <c r="A54" s="168"/>
      <c r="B54" s="164"/>
      <c r="C54" s="165"/>
      <c r="D54" s="166"/>
      <c r="E54" s="166"/>
      <c r="F54" s="166"/>
      <c r="G54" s="166"/>
      <c r="H54" s="166"/>
      <c r="I54" s="166"/>
      <c r="J54" s="172"/>
      <c r="K54" s="172"/>
      <c r="L54" s="166"/>
      <c r="M54" s="166"/>
      <c r="N54" s="166"/>
      <c r="O54" s="166"/>
      <c r="P54" s="166"/>
      <c r="Q54" s="166"/>
      <c r="R54" s="166"/>
      <c r="S54" s="166"/>
      <c r="T54" s="166"/>
      <c r="U54" s="166"/>
      <c r="V54" s="166"/>
      <c r="W54" s="167"/>
      <c r="Y54"/>
    </row>
    <row r="55" spans="1:25" ht="15.5">
      <c r="A55" s="168"/>
      <c r="B55" s="169"/>
      <c r="C55" s="170"/>
      <c r="D55" s="171"/>
      <c r="E55" s="171"/>
      <c r="F55" s="171"/>
      <c r="G55" s="171"/>
      <c r="H55" s="171"/>
      <c r="I55" s="171"/>
      <c r="J55" s="171"/>
      <c r="K55" s="171"/>
      <c r="L55" s="171"/>
      <c r="M55" s="171"/>
      <c r="N55" s="171"/>
      <c r="O55" s="171"/>
      <c r="P55" s="171"/>
      <c r="Q55" s="171"/>
      <c r="R55" s="171"/>
      <c r="S55" s="171"/>
      <c r="T55" s="171"/>
      <c r="U55" s="171"/>
      <c r="V55" s="171"/>
      <c r="W55" s="334"/>
      <c r="Y55"/>
    </row>
    <row r="56" spans="1:25" s="149" customFormat="1" ht="15.5">
      <c r="A56" s="168"/>
      <c r="B56" s="148"/>
      <c r="C56" s="145"/>
      <c r="D56" s="146"/>
      <c r="E56" s="146"/>
      <c r="F56" s="146"/>
      <c r="G56" s="146"/>
      <c r="H56" s="146"/>
      <c r="I56" s="146"/>
      <c r="J56" s="146"/>
      <c r="K56" s="146"/>
      <c r="L56" s="146"/>
      <c r="M56" s="146"/>
      <c r="N56" s="146"/>
      <c r="O56" s="146"/>
      <c r="P56" s="146"/>
      <c r="Q56" s="146"/>
      <c r="R56" s="146"/>
      <c r="S56" s="146"/>
      <c r="T56" s="146"/>
      <c r="U56" s="146"/>
      <c r="V56" s="146"/>
      <c r="W56" s="332"/>
      <c r="X56" s="65"/>
      <c r="Y56"/>
    </row>
    <row r="57" spans="1:25" ht="15.5">
      <c r="A57" s="168"/>
      <c r="B57" s="164"/>
      <c r="C57" s="165"/>
      <c r="D57" s="166"/>
      <c r="E57" s="166"/>
      <c r="F57" s="166"/>
      <c r="G57" s="166"/>
      <c r="H57" s="166"/>
      <c r="I57" s="166"/>
      <c r="J57" s="166"/>
      <c r="K57" s="166"/>
      <c r="L57" s="166"/>
      <c r="M57" s="166"/>
      <c r="N57" s="166"/>
      <c r="O57" s="166"/>
      <c r="P57" s="166"/>
      <c r="Q57" s="166"/>
      <c r="R57" s="166"/>
      <c r="S57" s="166"/>
      <c r="T57" s="166"/>
      <c r="U57" s="166"/>
      <c r="V57" s="166"/>
      <c r="W57" s="167"/>
      <c r="Y57"/>
    </row>
    <row r="58" spans="1:25" ht="15.5">
      <c r="A58" s="168"/>
      <c r="B58" s="169"/>
      <c r="C58" s="170"/>
      <c r="D58" s="171"/>
      <c r="E58" s="171"/>
      <c r="F58" s="171"/>
      <c r="G58" s="171"/>
      <c r="H58" s="171"/>
      <c r="I58" s="171"/>
      <c r="J58" s="171"/>
      <c r="K58" s="171"/>
      <c r="L58" s="171"/>
      <c r="M58" s="171"/>
      <c r="N58" s="171"/>
      <c r="O58" s="171"/>
      <c r="P58" s="171"/>
      <c r="Q58" s="171"/>
      <c r="R58" s="171"/>
      <c r="S58" s="171"/>
      <c r="T58" s="171"/>
      <c r="U58" s="171"/>
      <c r="V58" s="171"/>
      <c r="W58" s="334"/>
      <c r="Y58"/>
    </row>
    <row r="59" spans="1:25" s="149" customFormat="1" ht="15.5">
      <c r="A59" s="168"/>
      <c r="B59" s="148"/>
      <c r="C59" s="145"/>
      <c r="D59" s="146"/>
      <c r="E59" s="146"/>
      <c r="F59" s="146"/>
      <c r="G59" s="146"/>
      <c r="H59" s="146"/>
      <c r="I59" s="146"/>
      <c r="J59" s="146"/>
      <c r="K59" s="146"/>
      <c r="L59" s="146"/>
      <c r="M59" s="146"/>
      <c r="N59" s="146"/>
      <c r="O59" s="146"/>
      <c r="P59" s="146"/>
      <c r="Q59" s="146"/>
      <c r="R59" s="146"/>
      <c r="S59" s="146"/>
      <c r="T59" s="146"/>
      <c r="U59" s="146"/>
      <c r="V59" s="146"/>
      <c r="W59" s="332"/>
      <c r="X59" s="65"/>
      <c r="Y59"/>
    </row>
    <row r="60" spans="1:25" ht="15.5">
      <c r="A60" s="168"/>
      <c r="B60" s="164"/>
      <c r="C60" s="165"/>
      <c r="D60" s="166"/>
      <c r="E60" s="166"/>
      <c r="F60" s="166"/>
      <c r="G60" s="166"/>
      <c r="H60" s="166"/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66"/>
      <c r="T60" s="166"/>
      <c r="U60" s="166"/>
      <c r="V60" s="166"/>
      <c r="W60" s="167"/>
      <c r="Y60"/>
    </row>
    <row r="61" spans="1:25" ht="15.5">
      <c r="A61" s="168"/>
      <c r="B61" s="169"/>
      <c r="C61" s="170"/>
      <c r="D61" s="171"/>
      <c r="E61" s="171"/>
      <c r="F61" s="171"/>
      <c r="G61" s="171"/>
      <c r="H61" s="171"/>
      <c r="I61" s="171"/>
      <c r="J61" s="171"/>
      <c r="K61" s="171"/>
      <c r="L61" s="171"/>
      <c r="M61" s="171"/>
      <c r="N61" s="171"/>
      <c r="O61" s="171"/>
      <c r="P61" s="171"/>
      <c r="Q61" s="171"/>
      <c r="R61" s="171"/>
      <c r="S61" s="171"/>
      <c r="T61" s="171"/>
      <c r="U61" s="171"/>
      <c r="V61" s="171"/>
      <c r="W61" s="334"/>
      <c r="Y61"/>
    </row>
    <row r="62" spans="1:25" s="149" customFormat="1" ht="15.5">
      <c r="A62" s="168"/>
      <c r="B62" s="148"/>
      <c r="C62" s="145"/>
      <c r="D62" s="146"/>
      <c r="E62" s="146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332"/>
      <c r="X62" s="65"/>
      <c r="Y62"/>
    </row>
    <row r="63" spans="1:25" ht="15.5">
      <c r="A63" s="168"/>
      <c r="B63" s="164"/>
      <c r="C63" s="165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7"/>
      <c r="Y63"/>
    </row>
    <row r="64" spans="1:25" ht="15.5">
      <c r="A64" s="168"/>
      <c r="B64" s="169"/>
      <c r="C64" s="170"/>
      <c r="D64" s="171"/>
      <c r="E64" s="171"/>
      <c r="F64" s="171"/>
      <c r="G64" s="171"/>
      <c r="H64" s="171"/>
      <c r="I64" s="171"/>
      <c r="J64" s="171"/>
      <c r="K64" s="171"/>
      <c r="L64" s="171"/>
      <c r="M64" s="171"/>
      <c r="N64" s="171"/>
      <c r="O64" s="171"/>
      <c r="P64" s="171"/>
      <c r="Q64" s="171"/>
      <c r="R64" s="171"/>
      <c r="S64" s="171"/>
      <c r="T64" s="171"/>
      <c r="U64" s="171"/>
      <c r="V64" s="171"/>
      <c r="W64" s="334"/>
      <c r="Y64"/>
    </row>
    <row r="65" spans="1:25" s="149" customFormat="1" ht="15.5">
      <c r="A65" s="173"/>
      <c r="B65" s="174"/>
      <c r="C65" s="175"/>
      <c r="D65" s="176"/>
      <c r="E65" s="176"/>
      <c r="F65" s="176"/>
      <c r="G65" s="176"/>
      <c r="H65" s="176"/>
      <c r="I65" s="176"/>
      <c r="J65" s="176"/>
      <c r="K65" s="176"/>
      <c r="L65" s="176"/>
      <c r="M65" s="176"/>
      <c r="N65" s="176"/>
      <c r="O65" s="176"/>
      <c r="P65" s="176"/>
      <c r="Q65" s="176"/>
      <c r="R65" s="176"/>
      <c r="S65" s="176"/>
      <c r="T65" s="176"/>
      <c r="U65" s="176"/>
      <c r="V65" s="176"/>
      <c r="W65" s="335"/>
      <c r="X65" s="65"/>
      <c r="Y65"/>
    </row>
    <row r="66" spans="1:25" ht="15.5">
      <c r="A66" s="163"/>
      <c r="B66" s="164"/>
      <c r="C66" s="165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7"/>
      <c r="Y66"/>
    </row>
    <row r="67" spans="1:25" ht="15.5">
      <c r="A67" s="168"/>
      <c r="B67" s="169"/>
      <c r="C67" s="170"/>
      <c r="D67" s="171"/>
      <c r="E67" s="171"/>
      <c r="F67" s="171"/>
      <c r="G67" s="171"/>
      <c r="H67" s="172"/>
      <c r="I67" s="171"/>
      <c r="J67" s="172"/>
      <c r="K67" s="171"/>
      <c r="L67" s="171"/>
      <c r="M67" s="171"/>
      <c r="N67" s="171"/>
      <c r="O67" s="171"/>
      <c r="P67" s="171"/>
      <c r="Q67" s="171"/>
      <c r="R67" s="171"/>
      <c r="S67" s="171"/>
      <c r="T67" s="171"/>
      <c r="U67" s="171"/>
      <c r="V67" s="171"/>
      <c r="W67" s="334"/>
      <c r="Y67"/>
    </row>
    <row r="68" spans="1:25" s="149" customFormat="1" ht="15.5">
      <c r="A68" s="168"/>
      <c r="B68" s="148"/>
      <c r="C68" s="145"/>
      <c r="D68" s="146"/>
      <c r="E68" s="146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332"/>
      <c r="X68" s="65"/>
      <c r="Y68"/>
    </row>
    <row r="69" spans="1:25" ht="15.5">
      <c r="A69" s="168"/>
      <c r="B69" s="164"/>
      <c r="C69" s="165"/>
      <c r="D69" s="166"/>
      <c r="E69" s="166"/>
      <c r="F69" s="166"/>
      <c r="G69" s="166"/>
      <c r="H69" s="172"/>
      <c r="I69" s="166"/>
      <c r="J69" s="172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7"/>
      <c r="Y69"/>
    </row>
    <row r="70" spans="1:25" ht="15.5">
      <c r="A70" s="168"/>
      <c r="B70" s="169"/>
      <c r="C70" s="170"/>
      <c r="D70" s="171"/>
      <c r="E70" s="171"/>
      <c r="F70" s="171"/>
      <c r="G70" s="171"/>
      <c r="H70" s="171"/>
      <c r="I70" s="171"/>
      <c r="J70" s="171"/>
      <c r="K70" s="171"/>
      <c r="L70" s="171"/>
      <c r="M70" s="171"/>
      <c r="N70" s="171"/>
      <c r="O70" s="171"/>
      <c r="P70" s="171"/>
      <c r="Q70" s="171"/>
      <c r="R70" s="171"/>
      <c r="S70" s="171"/>
      <c r="T70" s="171"/>
      <c r="U70" s="171"/>
      <c r="V70" s="171"/>
      <c r="W70" s="334"/>
      <c r="Y70"/>
    </row>
    <row r="71" spans="1:25" s="149" customFormat="1" ht="15.5">
      <c r="A71" s="168"/>
      <c r="B71" s="148"/>
      <c r="C71" s="145"/>
      <c r="D71" s="146"/>
      <c r="E71" s="146"/>
      <c r="F71" s="146"/>
      <c r="G71" s="146"/>
      <c r="H71" s="146"/>
      <c r="I71" s="146"/>
      <c r="J71" s="146"/>
      <c r="K71" s="146"/>
      <c r="L71" s="146"/>
      <c r="M71" s="146"/>
      <c r="N71" s="146"/>
      <c r="O71" s="146"/>
      <c r="P71" s="146"/>
      <c r="Q71" s="146"/>
      <c r="R71" s="146"/>
      <c r="S71" s="146"/>
      <c r="T71" s="146"/>
      <c r="U71" s="146"/>
      <c r="V71" s="146"/>
      <c r="W71" s="332"/>
      <c r="X71" s="65"/>
      <c r="Y71"/>
    </row>
    <row r="72" spans="1:25" ht="15.5">
      <c r="A72" s="168"/>
      <c r="B72" s="164"/>
      <c r="C72" s="165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7"/>
      <c r="Y72"/>
    </row>
    <row r="73" spans="1:25" ht="15.5">
      <c r="A73" s="168"/>
      <c r="B73" s="169"/>
      <c r="C73" s="170"/>
      <c r="D73" s="171"/>
      <c r="E73" s="171"/>
      <c r="F73" s="171"/>
      <c r="G73" s="171"/>
      <c r="H73" s="171"/>
      <c r="I73" s="171"/>
      <c r="J73" s="171"/>
      <c r="K73" s="171"/>
      <c r="L73" s="171"/>
      <c r="M73" s="171"/>
      <c r="N73" s="171"/>
      <c r="O73" s="171"/>
      <c r="P73" s="171"/>
      <c r="Q73" s="171"/>
      <c r="R73" s="171"/>
      <c r="S73" s="171"/>
      <c r="T73" s="171"/>
      <c r="U73" s="171"/>
      <c r="V73" s="171"/>
      <c r="W73" s="334"/>
      <c r="Y73"/>
    </row>
    <row r="74" spans="1:25" s="149" customFormat="1" ht="15.5">
      <c r="A74" s="168"/>
      <c r="B74" s="148"/>
      <c r="C74" s="145"/>
      <c r="D74" s="146"/>
      <c r="E74" s="146"/>
      <c r="F74" s="146"/>
      <c r="G74" s="146"/>
      <c r="H74" s="146"/>
      <c r="I74" s="146"/>
      <c r="J74" s="146"/>
      <c r="K74" s="146"/>
      <c r="L74" s="146"/>
      <c r="M74" s="146"/>
      <c r="N74" s="146"/>
      <c r="O74" s="146"/>
      <c r="P74" s="146"/>
      <c r="Q74" s="146"/>
      <c r="R74" s="146"/>
      <c r="S74" s="146"/>
      <c r="T74" s="146"/>
      <c r="U74" s="146"/>
      <c r="V74" s="146"/>
      <c r="W74" s="332"/>
      <c r="X74" s="65"/>
      <c r="Y74"/>
    </row>
    <row r="75" spans="1:25" ht="15.5">
      <c r="A75" s="168"/>
      <c r="B75" s="164"/>
      <c r="C75" s="165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7"/>
      <c r="Y75"/>
    </row>
    <row r="76" spans="1:25" ht="15.5">
      <c r="A76" s="168"/>
      <c r="B76" s="169"/>
      <c r="C76" s="170"/>
      <c r="D76" s="171"/>
      <c r="E76" s="171"/>
      <c r="F76" s="171"/>
      <c r="G76" s="171"/>
      <c r="H76" s="171"/>
      <c r="I76" s="171"/>
      <c r="J76" s="171"/>
      <c r="K76" s="171"/>
      <c r="L76" s="171"/>
      <c r="M76" s="171"/>
      <c r="N76" s="171"/>
      <c r="O76" s="171"/>
      <c r="P76" s="171"/>
      <c r="Q76" s="171"/>
      <c r="R76" s="171"/>
      <c r="S76" s="171"/>
      <c r="T76" s="171"/>
      <c r="U76" s="171"/>
      <c r="V76" s="171"/>
      <c r="W76" s="334"/>
      <c r="Y76"/>
    </row>
    <row r="77" spans="1:25" s="149" customFormat="1" ht="15.5">
      <c r="A77" s="168"/>
      <c r="B77" s="148"/>
      <c r="C77" s="145"/>
      <c r="D77" s="146"/>
      <c r="E77" s="146"/>
      <c r="F77" s="146"/>
      <c r="G77" s="146"/>
      <c r="H77" s="146"/>
      <c r="I77" s="146"/>
      <c r="J77" s="146"/>
      <c r="K77" s="146"/>
      <c r="L77" s="146"/>
      <c r="M77" s="146"/>
      <c r="N77" s="146"/>
      <c r="O77" s="146"/>
      <c r="P77" s="146"/>
      <c r="Q77" s="146"/>
      <c r="R77" s="146"/>
      <c r="S77" s="146"/>
      <c r="T77" s="146"/>
      <c r="U77" s="146"/>
      <c r="V77" s="146"/>
      <c r="W77" s="332"/>
      <c r="X77" s="65"/>
      <c r="Y77"/>
    </row>
    <row r="78" spans="1:25" ht="15.5">
      <c r="A78" s="168"/>
      <c r="B78" s="164"/>
      <c r="C78" s="165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7"/>
      <c r="Y78"/>
    </row>
    <row r="79" spans="1:25" ht="15.5">
      <c r="A79" s="168"/>
      <c r="B79" s="169"/>
      <c r="C79" s="170"/>
      <c r="D79" s="171"/>
      <c r="E79" s="171"/>
      <c r="F79" s="171"/>
      <c r="G79" s="171"/>
      <c r="H79" s="171"/>
      <c r="I79" s="171"/>
      <c r="J79" s="171"/>
      <c r="K79" s="171"/>
      <c r="L79" s="171"/>
      <c r="M79" s="171"/>
      <c r="N79" s="171"/>
      <c r="O79" s="171"/>
      <c r="P79" s="171"/>
      <c r="Q79" s="171"/>
      <c r="R79" s="171"/>
      <c r="S79" s="171"/>
      <c r="T79" s="171"/>
      <c r="U79" s="171"/>
      <c r="V79" s="171"/>
      <c r="W79" s="334"/>
      <c r="Y79"/>
    </row>
    <row r="80" spans="1:25" s="149" customFormat="1" ht="15.5">
      <c r="A80" s="173"/>
      <c r="B80" s="174"/>
      <c r="C80" s="175"/>
      <c r="D80" s="176"/>
      <c r="E80" s="176"/>
      <c r="F80" s="176"/>
      <c r="G80" s="176"/>
      <c r="H80" s="176"/>
      <c r="I80" s="176"/>
      <c r="J80" s="176"/>
      <c r="K80" s="176"/>
      <c r="L80" s="176"/>
      <c r="M80" s="176"/>
      <c r="N80" s="176"/>
      <c r="O80" s="176"/>
      <c r="P80" s="176"/>
      <c r="Q80" s="176"/>
      <c r="R80" s="176"/>
      <c r="S80" s="176"/>
      <c r="T80" s="176"/>
      <c r="U80" s="176"/>
      <c r="V80" s="176"/>
      <c r="W80" s="335"/>
      <c r="X80" s="65"/>
      <c r="Y80"/>
    </row>
    <row r="81" spans="1:25" ht="15.5">
      <c r="A81" s="163"/>
      <c r="B81" s="164"/>
      <c r="C81" s="165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7"/>
      <c r="Y81"/>
    </row>
    <row r="82" spans="1:25" ht="15.5">
      <c r="A82" s="168"/>
      <c r="B82" s="169"/>
      <c r="C82" s="170"/>
      <c r="D82" s="171"/>
      <c r="E82" s="171"/>
      <c r="F82" s="171"/>
      <c r="G82" s="171"/>
      <c r="H82" s="171"/>
      <c r="I82" s="171"/>
      <c r="J82" s="171"/>
      <c r="K82" s="171"/>
      <c r="L82" s="171"/>
      <c r="M82" s="171"/>
      <c r="N82" s="171"/>
      <c r="O82" s="171"/>
      <c r="P82" s="171"/>
      <c r="Q82" s="171"/>
      <c r="R82" s="171"/>
      <c r="S82" s="171"/>
      <c r="T82" s="171"/>
      <c r="U82" s="171"/>
      <c r="V82" s="171"/>
      <c r="W82" s="334"/>
      <c r="Y82"/>
    </row>
    <row r="83" spans="1:25" s="149" customFormat="1" ht="15.5">
      <c r="A83" s="168"/>
      <c r="B83" s="148"/>
      <c r="C83" s="145"/>
      <c r="D83" s="146"/>
      <c r="E83" s="146"/>
      <c r="F83" s="146"/>
      <c r="G83" s="146"/>
      <c r="H83" s="146"/>
      <c r="I83" s="146"/>
      <c r="J83" s="146"/>
      <c r="K83" s="146"/>
      <c r="L83" s="146"/>
      <c r="M83" s="146"/>
      <c r="N83" s="146"/>
      <c r="O83" s="146"/>
      <c r="P83" s="146"/>
      <c r="Q83" s="146"/>
      <c r="R83" s="146"/>
      <c r="S83" s="146"/>
      <c r="T83" s="146"/>
      <c r="U83" s="146"/>
      <c r="V83" s="146"/>
      <c r="W83" s="332"/>
      <c r="X83" s="65"/>
      <c r="Y83"/>
    </row>
    <row r="84" spans="1:25" ht="15.5">
      <c r="A84" s="168"/>
      <c r="B84" s="164"/>
      <c r="C84" s="165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7"/>
      <c r="Y84"/>
    </row>
    <row r="85" spans="1:25" ht="15.5">
      <c r="A85" s="168"/>
      <c r="B85" s="169"/>
      <c r="C85" s="170"/>
      <c r="D85" s="171"/>
      <c r="E85" s="171"/>
      <c r="F85" s="171"/>
      <c r="G85" s="171"/>
      <c r="H85" s="171"/>
      <c r="I85" s="171"/>
      <c r="J85" s="171"/>
      <c r="K85" s="171"/>
      <c r="L85" s="171"/>
      <c r="M85" s="171"/>
      <c r="N85" s="171"/>
      <c r="O85" s="171"/>
      <c r="P85" s="171"/>
      <c r="Q85" s="171"/>
      <c r="R85" s="171"/>
      <c r="S85" s="171"/>
      <c r="T85" s="171"/>
      <c r="U85" s="171"/>
      <c r="V85" s="171"/>
      <c r="W85" s="334"/>
      <c r="Y85"/>
    </row>
    <row r="86" spans="1:25" s="149" customFormat="1" ht="15.5">
      <c r="A86" s="168"/>
      <c r="B86" s="148"/>
      <c r="C86" s="145"/>
      <c r="D86" s="146"/>
      <c r="E86" s="146"/>
      <c r="F86" s="146"/>
      <c r="G86" s="146"/>
      <c r="H86" s="146"/>
      <c r="I86" s="146"/>
      <c r="J86" s="146"/>
      <c r="K86" s="146"/>
      <c r="L86" s="146"/>
      <c r="M86" s="146"/>
      <c r="N86" s="146"/>
      <c r="O86" s="146"/>
      <c r="P86" s="146"/>
      <c r="Q86" s="146"/>
      <c r="R86" s="146"/>
      <c r="S86" s="146"/>
      <c r="T86" s="146"/>
      <c r="U86" s="146"/>
      <c r="V86" s="146"/>
      <c r="W86" s="332"/>
      <c r="X86" s="65"/>
      <c r="Y86"/>
    </row>
    <row r="87" spans="1:25" ht="15.5">
      <c r="A87" s="168"/>
      <c r="B87" s="164"/>
      <c r="C87" s="165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7"/>
      <c r="Y87"/>
    </row>
    <row r="88" spans="1:25" ht="15.5">
      <c r="A88" s="168"/>
      <c r="B88" s="169"/>
      <c r="C88" s="170"/>
      <c r="D88" s="171"/>
      <c r="E88" s="171"/>
      <c r="F88" s="171"/>
      <c r="G88" s="171"/>
      <c r="H88" s="171"/>
      <c r="I88" s="171"/>
      <c r="J88" s="171"/>
      <c r="K88" s="171"/>
      <c r="L88" s="171"/>
      <c r="M88" s="171"/>
      <c r="N88" s="171"/>
      <c r="O88" s="171"/>
      <c r="P88" s="171"/>
      <c r="Q88" s="171"/>
      <c r="R88" s="171"/>
      <c r="S88" s="171"/>
      <c r="T88" s="171"/>
      <c r="U88" s="171"/>
      <c r="V88" s="171"/>
      <c r="W88" s="334"/>
      <c r="Y88"/>
    </row>
    <row r="89" spans="1:25" s="149" customFormat="1" ht="15.5">
      <c r="A89" s="168"/>
      <c r="B89" s="148"/>
      <c r="C89" s="145"/>
      <c r="D89" s="146"/>
      <c r="E89" s="146"/>
      <c r="F89" s="146"/>
      <c r="G89" s="146"/>
      <c r="H89" s="146"/>
      <c r="I89" s="146"/>
      <c r="J89" s="146"/>
      <c r="K89" s="146"/>
      <c r="L89" s="146"/>
      <c r="M89" s="146"/>
      <c r="N89" s="146"/>
      <c r="O89" s="146"/>
      <c r="P89" s="146"/>
      <c r="Q89" s="146"/>
      <c r="R89" s="146"/>
      <c r="S89" s="146"/>
      <c r="T89" s="146"/>
      <c r="U89" s="146"/>
      <c r="V89" s="146"/>
      <c r="W89" s="332"/>
      <c r="X89" s="65"/>
      <c r="Y89"/>
    </row>
    <row r="90" spans="1:25" ht="15.5">
      <c r="A90" s="168"/>
      <c r="B90" s="164"/>
      <c r="C90" s="165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7"/>
      <c r="Y90"/>
    </row>
    <row r="91" spans="1:25" ht="15.5">
      <c r="A91" s="168"/>
      <c r="B91" s="169"/>
      <c r="C91" s="170"/>
      <c r="D91" s="171"/>
      <c r="E91" s="171"/>
      <c r="F91" s="171"/>
      <c r="G91" s="171"/>
      <c r="H91" s="171"/>
      <c r="I91" s="171"/>
      <c r="J91" s="171"/>
      <c r="K91" s="171"/>
      <c r="L91" s="171"/>
      <c r="M91" s="171"/>
      <c r="N91" s="171"/>
      <c r="O91" s="171"/>
      <c r="P91" s="171"/>
      <c r="Q91" s="171"/>
      <c r="R91" s="171"/>
      <c r="S91" s="171"/>
      <c r="T91" s="171"/>
      <c r="U91" s="171"/>
      <c r="V91" s="171"/>
      <c r="W91" s="334"/>
      <c r="Y91"/>
    </row>
    <row r="92" spans="1:25" s="149" customFormat="1" ht="15.5">
      <c r="A92" s="168"/>
      <c r="B92" s="148"/>
      <c r="C92" s="145"/>
      <c r="D92" s="146"/>
      <c r="E92" s="146"/>
      <c r="F92" s="146"/>
      <c r="G92" s="146"/>
      <c r="H92" s="146"/>
      <c r="I92" s="146"/>
      <c r="J92" s="146"/>
      <c r="K92" s="146"/>
      <c r="L92" s="146"/>
      <c r="M92" s="146"/>
      <c r="N92" s="146"/>
      <c r="O92" s="146"/>
      <c r="P92" s="146"/>
      <c r="Q92" s="146"/>
      <c r="R92" s="146"/>
      <c r="S92" s="146"/>
      <c r="T92" s="146"/>
      <c r="U92" s="146"/>
      <c r="V92" s="146"/>
      <c r="W92" s="332"/>
      <c r="X92" s="65"/>
      <c r="Y92"/>
    </row>
    <row r="93" spans="1:25" ht="15.5">
      <c r="A93" s="168"/>
      <c r="B93" s="164"/>
      <c r="C93" s="165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7"/>
      <c r="Y93"/>
    </row>
    <row r="94" spans="1:25" ht="15.5">
      <c r="A94" s="168"/>
      <c r="B94" s="169"/>
      <c r="C94" s="170"/>
      <c r="D94" s="171"/>
      <c r="E94" s="171"/>
      <c r="F94" s="171"/>
      <c r="G94" s="171"/>
      <c r="H94" s="171"/>
      <c r="I94" s="171"/>
      <c r="J94" s="171"/>
      <c r="K94" s="171"/>
      <c r="L94" s="171"/>
      <c r="M94" s="171"/>
      <c r="N94" s="171"/>
      <c r="O94" s="171"/>
      <c r="P94" s="171"/>
      <c r="Q94" s="171"/>
      <c r="R94" s="171"/>
      <c r="S94" s="171"/>
      <c r="T94" s="171"/>
      <c r="U94" s="171"/>
      <c r="V94" s="171"/>
      <c r="W94" s="334"/>
      <c r="Y94"/>
    </row>
    <row r="95" spans="1:25" s="149" customFormat="1" ht="15.5">
      <c r="A95" s="173"/>
      <c r="B95" s="174"/>
      <c r="C95" s="175"/>
      <c r="D95" s="176"/>
      <c r="E95" s="176"/>
      <c r="F95" s="176"/>
      <c r="G95" s="176"/>
      <c r="H95" s="176"/>
      <c r="I95" s="176"/>
      <c r="J95" s="176"/>
      <c r="K95" s="176"/>
      <c r="L95" s="176"/>
      <c r="M95" s="176"/>
      <c r="N95" s="176"/>
      <c r="O95" s="176"/>
      <c r="P95" s="176"/>
      <c r="Q95" s="176"/>
      <c r="R95" s="176"/>
      <c r="S95" s="176"/>
      <c r="T95" s="176"/>
      <c r="U95" s="176"/>
      <c r="V95" s="176"/>
      <c r="W95" s="335"/>
      <c r="X95" s="65"/>
      <c r="Y95"/>
    </row>
    <row r="96" spans="1:25" ht="15.5">
      <c r="A96" s="163"/>
      <c r="B96" s="164"/>
      <c r="C96" s="165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7"/>
      <c r="Y96"/>
    </row>
    <row r="97" spans="1:25" ht="15.5">
      <c r="A97" s="168"/>
      <c r="B97" s="169"/>
      <c r="C97" s="170"/>
      <c r="D97" s="171"/>
      <c r="E97" s="171"/>
      <c r="F97" s="171"/>
      <c r="G97" s="171"/>
      <c r="H97" s="171"/>
      <c r="I97" s="171"/>
      <c r="J97" s="171"/>
      <c r="K97" s="171"/>
      <c r="L97" s="171"/>
      <c r="M97" s="171"/>
      <c r="N97" s="171"/>
      <c r="O97" s="171"/>
      <c r="P97" s="171"/>
      <c r="Q97" s="171"/>
      <c r="R97" s="171"/>
      <c r="S97" s="171"/>
      <c r="T97" s="171"/>
      <c r="U97" s="171"/>
      <c r="V97" s="171"/>
      <c r="W97" s="334"/>
      <c r="Y97"/>
    </row>
    <row r="98" spans="1:25" s="149" customFormat="1" ht="15.5">
      <c r="A98" s="168"/>
      <c r="B98" s="148"/>
      <c r="C98" s="145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  <c r="S98" s="146"/>
      <c r="T98" s="146"/>
      <c r="U98" s="146"/>
      <c r="V98" s="146"/>
      <c r="W98" s="332"/>
      <c r="X98" s="65"/>
      <c r="Y98"/>
    </row>
    <row r="99" spans="1:25" ht="15.5">
      <c r="A99" s="168"/>
      <c r="B99" s="164"/>
      <c r="C99" s="165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7"/>
      <c r="Y99"/>
    </row>
    <row r="100" spans="1:25" ht="15.5">
      <c r="A100" s="168"/>
      <c r="B100" s="169"/>
      <c r="C100" s="170"/>
      <c r="D100" s="171"/>
      <c r="E100" s="171"/>
      <c r="F100" s="171"/>
      <c r="G100" s="171"/>
      <c r="H100" s="171"/>
      <c r="I100" s="171"/>
      <c r="J100" s="171"/>
      <c r="K100" s="171"/>
      <c r="L100" s="171"/>
      <c r="M100" s="171"/>
      <c r="N100" s="171"/>
      <c r="O100" s="171"/>
      <c r="P100" s="171"/>
      <c r="Q100" s="171"/>
      <c r="R100" s="171"/>
      <c r="S100" s="171"/>
      <c r="T100" s="171"/>
      <c r="U100" s="171"/>
      <c r="V100" s="171"/>
      <c r="W100" s="334"/>
      <c r="Y100"/>
    </row>
    <row r="101" spans="1:25" s="149" customFormat="1" ht="15.5">
      <c r="A101" s="168"/>
      <c r="B101" s="148"/>
      <c r="C101" s="145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  <c r="S101" s="146"/>
      <c r="T101" s="146"/>
      <c r="U101" s="146"/>
      <c r="V101" s="146"/>
      <c r="W101" s="332"/>
      <c r="X101" s="65"/>
      <c r="Y101"/>
    </row>
    <row r="102" spans="1:25" ht="15.5">
      <c r="A102" s="168"/>
      <c r="B102" s="164"/>
      <c r="C102" s="165"/>
      <c r="D102" s="166"/>
      <c r="E102" s="166"/>
      <c r="F102" s="166"/>
      <c r="G102" s="166"/>
      <c r="H102" s="166"/>
      <c r="I102" s="166"/>
      <c r="J102" s="166"/>
      <c r="K102" s="166"/>
      <c r="L102" s="166"/>
      <c r="M102" s="166"/>
      <c r="N102" s="166"/>
      <c r="O102" s="166"/>
      <c r="P102" s="166"/>
      <c r="Q102" s="166"/>
      <c r="R102" s="166"/>
      <c r="S102" s="166"/>
      <c r="T102" s="166"/>
      <c r="U102" s="166"/>
      <c r="V102" s="166"/>
      <c r="W102" s="167"/>
      <c r="Y102"/>
    </row>
    <row r="103" spans="1:25" ht="15.5">
      <c r="A103" s="168"/>
      <c r="B103" s="169"/>
      <c r="C103" s="170"/>
      <c r="D103" s="171"/>
      <c r="E103" s="171"/>
      <c r="F103" s="171"/>
      <c r="G103" s="171"/>
      <c r="H103" s="171"/>
      <c r="I103" s="171"/>
      <c r="J103" s="171"/>
      <c r="K103" s="171"/>
      <c r="L103" s="171"/>
      <c r="M103" s="171"/>
      <c r="N103" s="171"/>
      <c r="O103" s="171"/>
      <c r="P103" s="171"/>
      <c r="Q103" s="171"/>
      <c r="R103" s="171"/>
      <c r="S103" s="171"/>
      <c r="T103" s="171"/>
      <c r="U103" s="171"/>
      <c r="V103" s="171"/>
      <c r="W103" s="334"/>
      <c r="Y103"/>
    </row>
    <row r="104" spans="1:25" s="149" customFormat="1" ht="15.5">
      <c r="A104" s="168"/>
      <c r="B104" s="148"/>
      <c r="C104" s="145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  <c r="S104" s="146"/>
      <c r="T104" s="146"/>
      <c r="U104" s="146"/>
      <c r="V104" s="146"/>
      <c r="W104" s="332"/>
      <c r="X104" s="65"/>
      <c r="Y104"/>
    </row>
    <row r="105" spans="1:25" ht="15.5">
      <c r="A105" s="168"/>
      <c r="B105" s="164"/>
      <c r="C105" s="165"/>
      <c r="D105" s="166"/>
      <c r="E105" s="166"/>
      <c r="F105" s="166"/>
      <c r="G105" s="166"/>
      <c r="H105" s="166"/>
      <c r="I105" s="166"/>
      <c r="J105" s="166"/>
      <c r="K105" s="166"/>
      <c r="L105" s="166"/>
      <c r="M105" s="166"/>
      <c r="N105" s="166"/>
      <c r="O105" s="166"/>
      <c r="P105" s="166"/>
      <c r="Q105" s="166"/>
      <c r="R105" s="166"/>
      <c r="S105" s="166"/>
      <c r="T105" s="166"/>
      <c r="U105" s="166"/>
      <c r="V105" s="166"/>
      <c r="W105" s="167"/>
      <c r="Y105"/>
    </row>
    <row r="106" spans="1:25" ht="15.5">
      <c r="A106" s="168"/>
      <c r="B106" s="169"/>
      <c r="C106" s="170"/>
      <c r="D106" s="171"/>
      <c r="E106" s="171"/>
      <c r="F106" s="171"/>
      <c r="G106" s="171"/>
      <c r="H106" s="171"/>
      <c r="I106" s="171"/>
      <c r="J106" s="171"/>
      <c r="K106" s="171"/>
      <c r="L106" s="171"/>
      <c r="M106" s="171"/>
      <c r="N106" s="171"/>
      <c r="O106" s="171"/>
      <c r="P106" s="171"/>
      <c r="Q106" s="171"/>
      <c r="R106" s="171"/>
      <c r="S106" s="171"/>
      <c r="T106" s="171"/>
      <c r="U106" s="171"/>
      <c r="V106" s="171"/>
      <c r="W106" s="334"/>
      <c r="Y106"/>
    </row>
    <row r="107" spans="1:25" s="149" customFormat="1" ht="15.5">
      <c r="A107" s="168"/>
      <c r="B107" s="148"/>
      <c r="C107" s="145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  <c r="S107" s="146"/>
      <c r="T107" s="146"/>
      <c r="U107" s="146"/>
      <c r="V107" s="146"/>
      <c r="W107" s="332"/>
      <c r="X107" s="65"/>
      <c r="Y107"/>
    </row>
    <row r="108" spans="1:25" ht="15.5">
      <c r="A108" s="168"/>
      <c r="B108" s="164"/>
      <c r="C108" s="165"/>
      <c r="D108" s="166"/>
      <c r="E108" s="166"/>
      <c r="F108" s="166"/>
      <c r="G108" s="166"/>
      <c r="H108" s="166"/>
      <c r="I108" s="166"/>
      <c r="J108" s="166"/>
      <c r="K108" s="166"/>
      <c r="L108" s="166"/>
      <c r="M108" s="166"/>
      <c r="N108" s="166"/>
      <c r="O108" s="166"/>
      <c r="P108" s="166"/>
      <c r="Q108" s="166"/>
      <c r="R108" s="166"/>
      <c r="S108" s="166"/>
      <c r="T108" s="166"/>
      <c r="U108" s="166"/>
      <c r="V108" s="166"/>
      <c r="W108" s="167"/>
      <c r="Y108"/>
    </row>
    <row r="109" spans="1:25" ht="15.5">
      <c r="A109" s="168"/>
      <c r="B109" s="169"/>
      <c r="C109" s="170"/>
      <c r="D109" s="171"/>
      <c r="E109" s="171"/>
      <c r="F109" s="171"/>
      <c r="G109" s="171"/>
      <c r="H109" s="171"/>
      <c r="I109" s="171"/>
      <c r="J109" s="171"/>
      <c r="K109" s="171"/>
      <c r="L109" s="171"/>
      <c r="M109" s="171"/>
      <c r="N109" s="171"/>
      <c r="O109" s="171"/>
      <c r="P109" s="171"/>
      <c r="Q109" s="171"/>
      <c r="R109" s="171"/>
      <c r="S109" s="171"/>
      <c r="T109" s="171"/>
      <c r="U109" s="171"/>
      <c r="V109" s="171"/>
      <c r="W109" s="334"/>
      <c r="Y109"/>
    </row>
    <row r="110" spans="1:25" s="149" customFormat="1" ht="15.5">
      <c r="A110" s="173"/>
      <c r="B110" s="174"/>
      <c r="C110" s="175"/>
      <c r="D110" s="176"/>
      <c r="E110" s="176"/>
      <c r="F110" s="176"/>
      <c r="G110" s="176"/>
      <c r="H110" s="176"/>
      <c r="I110" s="176"/>
      <c r="J110" s="176"/>
      <c r="K110" s="176"/>
      <c r="L110" s="176"/>
      <c r="M110" s="176"/>
      <c r="N110" s="176"/>
      <c r="O110" s="176"/>
      <c r="P110" s="176"/>
      <c r="Q110" s="176"/>
      <c r="R110" s="176"/>
      <c r="S110" s="176"/>
      <c r="T110" s="176"/>
      <c r="U110" s="176"/>
      <c r="V110" s="176"/>
      <c r="W110" s="335"/>
      <c r="X110" s="65"/>
      <c r="Y110"/>
    </row>
    <row r="111" spans="1:25" ht="15.5">
      <c r="A111" s="163"/>
      <c r="B111" s="164"/>
      <c r="C111" s="165"/>
      <c r="D111" s="166"/>
      <c r="E111" s="166"/>
      <c r="F111" s="166"/>
      <c r="G111" s="166"/>
      <c r="H111" s="166"/>
      <c r="I111" s="166"/>
      <c r="J111" s="166"/>
      <c r="K111" s="166"/>
      <c r="L111" s="166"/>
      <c r="M111" s="166"/>
      <c r="N111" s="166"/>
      <c r="O111" s="166"/>
      <c r="P111" s="166"/>
      <c r="Q111" s="166"/>
      <c r="R111" s="166"/>
      <c r="S111" s="166"/>
      <c r="T111" s="166"/>
      <c r="U111" s="166"/>
      <c r="V111" s="166"/>
      <c r="W111" s="167"/>
      <c r="Y111"/>
    </row>
    <row r="112" spans="1:25" ht="15.5">
      <c r="A112" s="168"/>
      <c r="B112" s="169"/>
      <c r="C112" s="170"/>
      <c r="D112" s="171"/>
      <c r="E112" s="171"/>
      <c r="F112" s="171"/>
      <c r="G112" s="171"/>
      <c r="H112" s="171"/>
      <c r="I112" s="171"/>
      <c r="J112" s="171"/>
      <c r="K112" s="171"/>
      <c r="L112" s="171"/>
      <c r="M112" s="171"/>
      <c r="N112" s="171"/>
      <c r="O112" s="171"/>
      <c r="P112" s="171"/>
      <c r="Q112" s="171"/>
      <c r="R112" s="171"/>
      <c r="S112" s="171"/>
      <c r="T112" s="171"/>
      <c r="U112" s="171"/>
      <c r="V112" s="171"/>
      <c r="W112" s="334"/>
      <c r="Y112"/>
    </row>
    <row r="113" spans="1:25" s="149" customFormat="1" ht="15.5">
      <c r="A113" s="168"/>
      <c r="B113" s="148"/>
      <c r="C113" s="145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  <c r="S113" s="146"/>
      <c r="T113" s="146"/>
      <c r="U113" s="146"/>
      <c r="V113" s="146"/>
      <c r="W113" s="332"/>
      <c r="X113" s="65"/>
      <c r="Y113"/>
    </row>
    <row r="114" spans="1:25" ht="15.5">
      <c r="A114" s="168"/>
      <c r="B114" s="164"/>
      <c r="C114" s="165"/>
      <c r="D114" s="166"/>
      <c r="E114" s="166"/>
      <c r="F114" s="166"/>
      <c r="G114" s="166"/>
      <c r="H114" s="166"/>
      <c r="I114" s="166"/>
      <c r="J114" s="166"/>
      <c r="K114" s="166"/>
      <c r="L114" s="166"/>
      <c r="M114" s="166"/>
      <c r="N114" s="166"/>
      <c r="O114" s="166"/>
      <c r="P114" s="166"/>
      <c r="Q114" s="166"/>
      <c r="R114" s="166"/>
      <c r="S114" s="166"/>
      <c r="T114" s="166"/>
      <c r="U114" s="166"/>
      <c r="V114" s="166"/>
      <c r="W114" s="167"/>
      <c r="Y114"/>
    </row>
    <row r="115" spans="1:25" ht="15.5">
      <c r="A115" s="168"/>
      <c r="B115" s="169"/>
      <c r="C115" s="170"/>
      <c r="D115" s="171"/>
      <c r="E115" s="171"/>
      <c r="F115" s="172"/>
      <c r="G115" s="171"/>
      <c r="H115" s="171"/>
      <c r="I115" s="171"/>
      <c r="J115" s="171"/>
      <c r="K115" s="171"/>
      <c r="L115" s="171"/>
      <c r="M115" s="171"/>
      <c r="N115" s="171"/>
      <c r="O115" s="171"/>
      <c r="P115" s="171"/>
      <c r="Q115" s="171"/>
      <c r="R115" s="171"/>
      <c r="S115" s="171"/>
      <c r="T115" s="171"/>
      <c r="U115" s="171"/>
      <c r="V115" s="171"/>
      <c r="W115" s="334"/>
      <c r="Y115"/>
    </row>
    <row r="116" spans="1:25" s="149" customFormat="1" ht="15.5">
      <c r="A116" s="168"/>
      <c r="B116" s="148"/>
      <c r="C116" s="145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332"/>
      <c r="X116" s="65"/>
      <c r="Y116"/>
    </row>
    <row r="117" spans="1:25" ht="15.5">
      <c r="A117" s="168"/>
      <c r="B117" s="164"/>
      <c r="C117" s="165"/>
      <c r="D117" s="166"/>
      <c r="E117" s="166"/>
      <c r="F117" s="172"/>
      <c r="G117" s="166"/>
      <c r="H117" s="166"/>
      <c r="I117" s="166"/>
      <c r="J117" s="166"/>
      <c r="K117" s="166"/>
      <c r="L117" s="166"/>
      <c r="M117" s="166"/>
      <c r="N117" s="166"/>
      <c r="O117" s="166"/>
      <c r="P117" s="166"/>
      <c r="Q117" s="166"/>
      <c r="R117" s="166"/>
      <c r="S117" s="166"/>
      <c r="T117" s="166"/>
      <c r="U117" s="166"/>
      <c r="V117" s="166"/>
      <c r="W117" s="167"/>
      <c r="Y117"/>
    </row>
    <row r="118" spans="1:25" ht="15.5">
      <c r="A118" s="168"/>
      <c r="B118" s="169"/>
      <c r="C118" s="170"/>
      <c r="D118" s="171"/>
      <c r="E118" s="171"/>
      <c r="F118" s="171"/>
      <c r="G118" s="171"/>
      <c r="H118" s="171"/>
      <c r="I118" s="171"/>
      <c r="J118" s="171"/>
      <c r="K118" s="171"/>
      <c r="L118" s="171"/>
      <c r="M118" s="171"/>
      <c r="N118" s="171"/>
      <c r="O118" s="171"/>
      <c r="P118" s="171"/>
      <c r="Q118" s="171"/>
      <c r="R118" s="171"/>
      <c r="S118" s="171"/>
      <c r="T118" s="171"/>
      <c r="U118" s="171"/>
      <c r="V118" s="171"/>
      <c r="W118" s="334"/>
      <c r="Y118"/>
    </row>
    <row r="119" spans="1:25" s="149" customFormat="1" ht="15.5">
      <c r="A119" s="168"/>
      <c r="B119" s="148"/>
      <c r="C119" s="145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332"/>
      <c r="X119" s="65"/>
      <c r="Y119"/>
    </row>
    <row r="120" spans="1:25" ht="15.5">
      <c r="A120" s="168"/>
      <c r="B120" s="164"/>
      <c r="C120" s="165"/>
      <c r="D120" s="166"/>
      <c r="E120" s="166"/>
      <c r="F120" s="166"/>
      <c r="G120" s="166"/>
      <c r="H120" s="166"/>
      <c r="I120" s="166"/>
      <c r="J120" s="166"/>
      <c r="K120" s="166"/>
      <c r="L120" s="166"/>
      <c r="M120" s="166"/>
      <c r="N120" s="166"/>
      <c r="O120" s="166"/>
      <c r="P120" s="166"/>
      <c r="Q120" s="166"/>
      <c r="R120" s="166"/>
      <c r="S120" s="166"/>
      <c r="T120" s="166"/>
      <c r="U120" s="166"/>
      <c r="V120" s="166"/>
      <c r="W120" s="167"/>
      <c r="Y120"/>
    </row>
    <row r="121" spans="1:25" ht="15.5">
      <c r="A121" s="168"/>
      <c r="B121" s="169"/>
      <c r="C121" s="170"/>
      <c r="D121" s="171"/>
      <c r="E121" s="171"/>
      <c r="F121" s="171"/>
      <c r="G121" s="171"/>
      <c r="H121" s="171"/>
      <c r="I121" s="171"/>
      <c r="J121" s="171"/>
      <c r="K121" s="171"/>
      <c r="L121" s="171"/>
      <c r="M121" s="171"/>
      <c r="N121" s="171"/>
      <c r="O121" s="171"/>
      <c r="P121" s="171"/>
      <c r="Q121" s="171"/>
      <c r="R121" s="171"/>
      <c r="S121" s="171"/>
      <c r="T121" s="171"/>
      <c r="U121" s="171"/>
      <c r="V121" s="171"/>
      <c r="W121" s="334"/>
      <c r="Y121"/>
    </row>
    <row r="122" spans="1:25" s="149" customFormat="1" ht="15.5">
      <c r="A122" s="168"/>
      <c r="B122" s="148"/>
      <c r="C122" s="145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332"/>
      <c r="X122" s="65"/>
      <c r="Y122"/>
    </row>
    <row r="123" spans="1:25" ht="15.5">
      <c r="A123" s="168"/>
      <c r="B123" s="164"/>
      <c r="C123" s="165"/>
      <c r="D123" s="166"/>
      <c r="E123" s="166"/>
      <c r="F123" s="166"/>
      <c r="G123" s="166"/>
      <c r="H123" s="166"/>
      <c r="I123" s="166"/>
      <c r="J123" s="166"/>
      <c r="K123" s="166"/>
      <c r="L123" s="166"/>
      <c r="M123" s="166"/>
      <c r="N123" s="166"/>
      <c r="O123" s="166"/>
      <c r="P123" s="166"/>
      <c r="Q123" s="166"/>
      <c r="R123" s="166"/>
      <c r="S123" s="166"/>
      <c r="T123" s="166"/>
      <c r="U123" s="166"/>
      <c r="V123" s="166"/>
      <c r="W123" s="167"/>
      <c r="Y123"/>
    </row>
    <row r="124" spans="1:25" ht="15.5">
      <c r="A124" s="168"/>
      <c r="B124" s="169"/>
      <c r="C124" s="170"/>
      <c r="D124" s="171"/>
      <c r="E124" s="171"/>
      <c r="F124" s="171"/>
      <c r="G124" s="171"/>
      <c r="H124" s="171"/>
      <c r="I124" s="171"/>
      <c r="J124" s="171"/>
      <c r="K124" s="171"/>
      <c r="L124" s="171"/>
      <c r="M124" s="171"/>
      <c r="N124" s="171"/>
      <c r="O124" s="171"/>
      <c r="P124" s="171"/>
      <c r="Q124" s="171"/>
      <c r="R124" s="171"/>
      <c r="S124" s="171"/>
      <c r="T124" s="171"/>
      <c r="U124" s="171"/>
      <c r="V124" s="171"/>
      <c r="W124" s="334"/>
      <c r="Y124"/>
    </row>
    <row r="125" spans="1:25" s="149" customFormat="1" ht="15.5">
      <c r="A125" s="173"/>
      <c r="B125" s="174"/>
      <c r="C125" s="175"/>
      <c r="D125" s="176"/>
      <c r="E125" s="176"/>
      <c r="F125" s="176"/>
      <c r="G125" s="176"/>
      <c r="H125" s="176"/>
      <c r="I125" s="176"/>
      <c r="J125" s="176"/>
      <c r="K125" s="176"/>
      <c r="L125" s="176"/>
      <c r="M125" s="176"/>
      <c r="N125" s="176"/>
      <c r="O125" s="176"/>
      <c r="P125" s="176"/>
      <c r="Q125" s="176"/>
      <c r="R125" s="176"/>
      <c r="S125" s="176"/>
      <c r="T125" s="176"/>
      <c r="U125" s="176"/>
      <c r="V125" s="176"/>
      <c r="W125" s="335"/>
      <c r="X125" s="65"/>
      <c r="Y125"/>
    </row>
    <row r="126" spans="1:25" ht="15.5">
      <c r="A126" s="163"/>
      <c r="B126" s="164"/>
      <c r="C126" s="165"/>
      <c r="D126" s="166"/>
      <c r="E126" s="166"/>
      <c r="F126" s="166"/>
      <c r="G126" s="166"/>
      <c r="H126" s="166"/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6"/>
      <c r="T126" s="166"/>
      <c r="U126" s="166"/>
      <c r="V126" s="166"/>
      <c r="W126" s="167"/>
      <c r="Y126"/>
    </row>
    <row r="127" spans="1:25" ht="15.5">
      <c r="A127" s="168"/>
      <c r="B127" s="169"/>
      <c r="C127" s="170"/>
      <c r="D127" s="171"/>
      <c r="E127" s="171"/>
      <c r="F127" s="171"/>
      <c r="G127" s="172"/>
      <c r="H127" s="171"/>
      <c r="I127" s="171"/>
      <c r="J127" s="171"/>
      <c r="K127" s="171"/>
      <c r="L127" s="171"/>
      <c r="M127" s="171"/>
      <c r="N127" s="171"/>
      <c r="O127" s="171"/>
      <c r="P127" s="171"/>
      <c r="Q127" s="171"/>
      <c r="R127" s="171"/>
      <c r="S127" s="171"/>
      <c r="T127" s="171"/>
      <c r="U127" s="171"/>
      <c r="V127" s="171"/>
      <c r="W127" s="334"/>
      <c r="Y127"/>
    </row>
    <row r="128" spans="1:25" s="149" customFormat="1" ht="15.5">
      <c r="A128" s="168"/>
      <c r="B128" s="148"/>
      <c r="C128" s="145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332"/>
      <c r="X128" s="65"/>
      <c r="Y128"/>
    </row>
    <row r="129" spans="1:25" ht="15.5">
      <c r="A129" s="168"/>
      <c r="B129" s="164"/>
      <c r="C129" s="165"/>
      <c r="D129" s="166"/>
      <c r="E129" s="166"/>
      <c r="F129" s="166"/>
      <c r="G129" s="172"/>
      <c r="H129" s="166"/>
      <c r="I129" s="166"/>
      <c r="J129" s="166"/>
      <c r="K129" s="166"/>
      <c r="L129" s="166"/>
      <c r="M129" s="166"/>
      <c r="N129" s="166"/>
      <c r="O129" s="166"/>
      <c r="P129" s="166"/>
      <c r="Q129" s="166"/>
      <c r="R129" s="166"/>
      <c r="S129" s="166"/>
      <c r="T129" s="166"/>
      <c r="U129" s="166"/>
      <c r="V129" s="166"/>
      <c r="W129" s="167"/>
      <c r="Y129"/>
    </row>
    <row r="130" spans="1:25" ht="15.5">
      <c r="A130" s="168"/>
      <c r="B130" s="169"/>
      <c r="C130" s="170"/>
      <c r="D130" s="171"/>
      <c r="E130" s="171"/>
      <c r="F130" s="171"/>
      <c r="G130" s="171"/>
      <c r="H130" s="171"/>
      <c r="I130" s="171"/>
      <c r="J130" s="171"/>
      <c r="K130" s="171"/>
      <c r="L130" s="171"/>
      <c r="M130" s="171"/>
      <c r="N130" s="171"/>
      <c r="O130" s="171"/>
      <c r="P130" s="171"/>
      <c r="Q130" s="171"/>
      <c r="R130" s="171"/>
      <c r="S130" s="171"/>
      <c r="T130" s="171"/>
      <c r="U130" s="171"/>
      <c r="V130" s="171"/>
      <c r="W130" s="334"/>
      <c r="Y130"/>
    </row>
    <row r="131" spans="1:25" s="149" customFormat="1" ht="15.5">
      <c r="A131" s="168"/>
      <c r="B131" s="148"/>
      <c r="C131" s="145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332"/>
      <c r="X131" s="65"/>
      <c r="Y131"/>
    </row>
    <row r="132" spans="1:25" ht="15.5">
      <c r="A132" s="168"/>
      <c r="B132" s="164"/>
      <c r="C132" s="165"/>
      <c r="D132" s="166"/>
      <c r="E132" s="166"/>
      <c r="F132" s="166"/>
      <c r="G132" s="166"/>
      <c r="H132" s="166"/>
      <c r="I132" s="166"/>
      <c r="J132" s="166"/>
      <c r="K132" s="166"/>
      <c r="L132" s="166"/>
      <c r="M132" s="166"/>
      <c r="N132" s="166"/>
      <c r="O132" s="166"/>
      <c r="P132" s="166"/>
      <c r="Q132" s="166"/>
      <c r="R132" s="166"/>
      <c r="S132" s="166"/>
      <c r="T132" s="166"/>
      <c r="U132" s="166"/>
      <c r="V132" s="166"/>
      <c r="W132" s="167"/>
      <c r="Y132"/>
    </row>
    <row r="133" spans="1:25" ht="15.5">
      <c r="A133" s="168"/>
      <c r="B133" s="169"/>
      <c r="C133" s="170"/>
      <c r="D133" s="171"/>
      <c r="E133" s="171"/>
      <c r="F133" s="171"/>
      <c r="G133" s="171"/>
      <c r="H133" s="171"/>
      <c r="I133" s="171"/>
      <c r="J133" s="171"/>
      <c r="K133" s="171"/>
      <c r="L133" s="171"/>
      <c r="M133" s="171"/>
      <c r="N133" s="171"/>
      <c r="O133" s="171"/>
      <c r="P133" s="171"/>
      <c r="Q133" s="171"/>
      <c r="R133" s="171"/>
      <c r="S133" s="171"/>
      <c r="T133" s="171"/>
      <c r="U133" s="171"/>
      <c r="V133" s="171"/>
      <c r="W133" s="334"/>
      <c r="Y133"/>
    </row>
    <row r="134" spans="1:25" s="149" customFormat="1" ht="15.5">
      <c r="A134" s="168"/>
      <c r="B134" s="148"/>
      <c r="C134" s="145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332"/>
      <c r="X134" s="65"/>
      <c r="Y134"/>
    </row>
    <row r="135" spans="1:25" ht="15.5">
      <c r="A135" s="168"/>
      <c r="B135" s="164"/>
      <c r="C135" s="165"/>
      <c r="D135" s="166"/>
      <c r="E135" s="166"/>
      <c r="F135" s="166"/>
      <c r="G135" s="166"/>
      <c r="H135" s="166"/>
      <c r="I135" s="166"/>
      <c r="J135" s="166"/>
      <c r="K135" s="166"/>
      <c r="L135" s="166"/>
      <c r="M135" s="166"/>
      <c r="N135" s="166"/>
      <c r="O135" s="166"/>
      <c r="P135" s="166"/>
      <c r="Q135" s="166"/>
      <c r="R135" s="166"/>
      <c r="S135" s="166"/>
      <c r="T135" s="166"/>
      <c r="U135" s="166"/>
      <c r="V135" s="166"/>
      <c r="W135" s="167"/>
      <c r="Y135"/>
    </row>
    <row r="136" spans="1:25" ht="15.5">
      <c r="A136" s="168"/>
      <c r="B136" s="169"/>
      <c r="C136" s="170"/>
      <c r="D136" s="171"/>
      <c r="E136" s="171"/>
      <c r="F136" s="171"/>
      <c r="G136" s="171"/>
      <c r="H136" s="171"/>
      <c r="I136" s="171"/>
      <c r="J136" s="171"/>
      <c r="K136" s="171"/>
      <c r="L136" s="171"/>
      <c r="M136" s="171"/>
      <c r="N136" s="171"/>
      <c r="O136" s="171"/>
      <c r="P136" s="171"/>
      <c r="Q136" s="171"/>
      <c r="R136" s="171"/>
      <c r="S136" s="171"/>
      <c r="T136" s="171"/>
      <c r="U136" s="171"/>
      <c r="V136" s="171"/>
      <c r="W136" s="334"/>
      <c r="Y136"/>
    </row>
    <row r="137" spans="1:25" s="149" customFormat="1" ht="15.5">
      <c r="A137" s="168"/>
      <c r="B137" s="148"/>
      <c r="C137" s="145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332"/>
      <c r="X137" s="65"/>
      <c r="Y137"/>
    </row>
    <row r="138" spans="1:25" ht="15.5">
      <c r="A138" s="168"/>
      <c r="B138" s="164"/>
      <c r="C138" s="165"/>
      <c r="D138" s="166"/>
      <c r="E138" s="166"/>
      <c r="F138" s="166"/>
      <c r="G138" s="166"/>
      <c r="H138" s="166"/>
      <c r="I138" s="166"/>
      <c r="J138" s="166"/>
      <c r="K138" s="166"/>
      <c r="L138" s="166"/>
      <c r="M138" s="166"/>
      <c r="N138" s="166"/>
      <c r="O138" s="166"/>
      <c r="P138" s="166"/>
      <c r="Q138" s="166"/>
      <c r="R138" s="166"/>
      <c r="S138" s="166"/>
      <c r="T138" s="166"/>
      <c r="U138" s="166"/>
      <c r="V138" s="166"/>
      <c r="W138" s="167"/>
      <c r="Y138"/>
    </row>
    <row r="139" spans="1:25" ht="15.5">
      <c r="A139" s="168"/>
      <c r="B139" s="169"/>
      <c r="C139" s="170"/>
      <c r="D139" s="171"/>
      <c r="E139" s="171"/>
      <c r="F139" s="171"/>
      <c r="G139" s="171"/>
      <c r="H139" s="171"/>
      <c r="I139" s="171"/>
      <c r="J139" s="171"/>
      <c r="K139" s="171"/>
      <c r="L139" s="171"/>
      <c r="M139" s="171"/>
      <c r="N139" s="171"/>
      <c r="O139" s="171"/>
      <c r="P139" s="171"/>
      <c r="Q139" s="171"/>
      <c r="R139" s="171"/>
      <c r="S139" s="171"/>
      <c r="T139" s="171"/>
      <c r="U139" s="171"/>
      <c r="V139" s="171"/>
      <c r="W139" s="334"/>
      <c r="Y139"/>
    </row>
    <row r="140" spans="1:25" s="149" customFormat="1" ht="15.5">
      <c r="A140" s="173"/>
      <c r="B140" s="174"/>
      <c r="C140" s="175"/>
      <c r="D140" s="176"/>
      <c r="E140" s="176"/>
      <c r="F140" s="176"/>
      <c r="G140" s="176"/>
      <c r="H140" s="176"/>
      <c r="I140" s="176"/>
      <c r="J140" s="176"/>
      <c r="K140" s="176"/>
      <c r="L140" s="176"/>
      <c r="M140" s="176"/>
      <c r="N140" s="176"/>
      <c r="O140" s="176"/>
      <c r="P140" s="176"/>
      <c r="Q140" s="176"/>
      <c r="R140" s="176"/>
      <c r="S140" s="176"/>
      <c r="T140" s="176"/>
      <c r="U140" s="176"/>
      <c r="V140" s="176"/>
      <c r="W140" s="335"/>
      <c r="X140" s="65"/>
      <c r="Y140"/>
    </row>
    <row r="141" spans="1:25" ht="15.5">
      <c r="A141" s="163"/>
      <c r="B141" s="164"/>
      <c r="C141" s="165"/>
      <c r="D141" s="166"/>
      <c r="E141" s="166"/>
      <c r="F141" s="166"/>
      <c r="G141" s="166"/>
      <c r="H141" s="166"/>
      <c r="I141" s="166"/>
      <c r="J141" s="166"/>
      <c r="K141" s="166"/>
      <c r="L141" s="166"/>
      <c r="M141" s="166"/>
      <c r="N141" s="166"/>
      <c r="O141" s="166"/>
      <c r="P141" s="166"/>
      <c r="Q141" s="166"/>
      <c r="R141" s="166"/>
      <c r="S141" s="166"/>
      <c r="T141" s="166"/>
      <c r="U141" s="166"/>
      <c r="V141" s="166"/>
      <c r="W141" s="167"/>
      <c r="Y141"/>
    </row>
    <row r="142" spans="1:25" ht="15.5">
      <c r="A142" s="168"/>
      <c r="B142" s="169"/>
      <c r="C142" s="170"/>
      <c r="D142" s="171"/>
      <c r="E142" s="171"/>
      <c r="F142" s="171"/>
      <c r="G142" s="171"/>
      <c r="H142" s="171"/>
      <c r="I142" s="171"/>
      <c r="J142" s="171"/>
      <c r="K142" s="171"/>
      <c r="L142" s="171"/>
      <c r="M142" s="171"/>
      <c r="N142" s="171"/>
      <c r="O142" s="171"/>
      <c r="P142" s="171"/>
      <c r="Q142" s="171"/>
      <c r="R142" s="171"/>
      <c r="S142" s="171"/>
      <c r="T142" s="171"/>
      <c r="U142" s="171"/>
      <c r="V142" s="171"/>
      <c r="W142" s="334"/>
      <c r="Y142"/>
    </row>
    <row r="143" spans="1:25" s="149" customFormat="1" ht="15.5">
      <c r="A143" s="168"/>
      <c r="B143" s="148"/>
      <c r="C143" s="145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332"/>
      <c r="X143" s="65"/>
      <c r="Y143"/>
    </row>
    <row r="144" spans="1:25" ht="15.5">
      <c r="A144" s="168"/>
      <c r="B144" s="164"/>
      <c r="C144" s="165"/>
      <c r="D144" s="166"/>
      <c r="E144" s="166"/>
      <c r="F144" s="166"/>
      <c r="G144" s="166"/>
      <c r="H144" s="166"/>
      <c r="I144" s="166"/>
      <c r="J144" s="166"/>
      <c r="K144" s="166"/>
      <c r="L144" s="166"/>
      <c r="M144" s="166"/>
      <c r="N144" s="166"/>
      <c r="O144" s="166"/>
      <c r="P144" s="166"/>
      <c r="Q144" s="166"/>
      <c r="R144" s="166"/>
      <c r="S144" s="166"/>
      <c r="T144" s="166"/>
      <c r="U144" s="166"/>
      <c r="V144" s="166"/>
      <c r="W144" s="167"/>
      <c r="Y144"/>
    </row>
    <row r="145" spans="1:25" ht="15.5">
      <c r="A145" s="168"/>
      <c r="B145" s="169"/>
      <c r="C145" s="170"/>
      <c r="D145" s="171"/>
      <c r="E145" s="171"/>
      <c r="F145" s="171"/>
      <c r="G145" s="171"/>
      <c r="H145" s="171"/>
      <c r="I145" s="171"/>
      <c r="J145" s="171"/>
      <c r="K145" s="171"/>
      <c r="L145" s="171"/>
      <c r="M145" s="171"/>
      <c r="N145" s="171"/>
      <c r="O145" s="171"/>
      <c r="P145" s="171"/>
      <c r="Q145" s="171"/>
      <c r="R145" s="171"/>
      <c r="S145" s="171"/>
      <c r="T145" s="171"/>
      <c r="U145" s="171"/>
      <c r="V145" s="171"/>
      <c r="W145" s="334"/>
      <c r="Y145"/>
    </row>
    <row r="146" spans="1:25" s="149" customFormat="1" ht="15.5">
      <c r="A146" s="168"/>
      <c r="B146" s="148"/>
      <c r="C146" s="145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332"/>
      <c r="X146" s="65"/>
      <c r="Y146"/>
    </row>
    <row r="147" spans="1:25" ht="15.5">
      <c r="A147" s="168"/>
      <c r="B147" s="164"/>
      <c r="C147" s="165"/>
      <c r="D147" s="166"/>
      <c r="E147" s="166"/>
      <c r="F147" s="166"/>
      <c r="G147" s="166"/>
      <c r="H147" s="166"/>
      <c r="I147" s="166"/>
      <c r="J147" s="166"/>
      <c r="K147" s="166"/>
      <c r="L147" s="166"/>
      <c r="M147" s="166"/>
      <c r="N147" s="166"/>
      <c r="O147" s="166"/>
      <c r="P147" s="166"/>
      <c r="Q147" s="166"/>
      <c r="R147" s="166"/>
      <c r="S147" s="166"/>
      <c r="T147" s="166"/>
      <c r="U147" s="166"/>
      <c r="V147" s="166"/>
      <c r="W147" s="167"/>
      <c r="Y147"/>
    </row>
    <row r="148" spans="1:25" ht="15.5">
      <c r="A148" s="168"/>
      <c r="B148" s="169"/>
      <c r="C148" s="177"/>
      <c r="D148" s="171"/>
      <c r="E148" s="171"/>
      <c r="F148" s="171"/>
      <c r="G148" s="171"/>
      <c r="H148" s="171"/>
      <c r="I148" s="171"/>
      <c r="J148" s="171"/>
      <c r="K148" s="171"/>
      <c r="L148" s="171"/>
      <c r="M148" s="171"/>
      <c r="N148" s="171"/>
      <c r="O148" s="171"/>
      <c r="P148" s="171"/>
      <c r="Q148" s="171"/>
      <c r="R148" s="171"/>
      <c r="S148" s="171"/>
      <c r="T148" s="171"/>
      <c r="U148" s="171"/>
      <c r="V148" s="171"/>
      <c r="W148" s="334"/>
      <c r="Y148"/>
    </row>
    <row r="149" spans="1:25" s="149" customFormat="1" ht="15.5">
      <c r="A149" s="168"/>
      <c r="B149" s="145"/>
      <c r="C149" s="145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332"/>
      <c r="X149" s="65"/>
      <c r="Y149"/>
    </row>
    <row r="150" spans="1:25" ht="15.5">
      <c r="A150" s="168"/>
      <c r="B150" s="164"/>
      <c r="C150" s="177"/>
      <c r="D150" s="166"/>
      <c r="E150" s="166"/>
      <c r="F150" s="166"/>
      <c r="G150" s="166"/>
      <c r="H150" s="166"/>
      <c r="I150" s="166"/>
      <c r="J150" s="166"/>
      <c r="K150" s="166"/>
      <c r="L150" s="166"/>
      <c r="M150" s="166"/>
      <c r="N150" s="166"/>
      <c r="O150" s="166"/>
      <c r="P150" s="166"/>
      <c r="Q150" s="166"/>
      <c r="R150" s="166"/>
      <c r="S150" s="166"/>
      <c r="T150" s="166"/>
      <c r="U150" s="166"/>
      <c r="V150" s="166"/>
      <c r="W150" s="167"/>
      <c r="Y150"/>
    </row>
    <row r="151" spans="1:25" ht="15.5">
      <c r="A151" s="168"/>
      <c r="B151" s="169"/>
      <c r="C151" s="170"/>
      <c r="D151" s="171"/>
      <c r="E151" s="171"/>
      <c r="F151" s="171"/>
      <c r="G151" s="171"/>
      <c r="H151" s="171"/>
      <c r="I151" s="171"/>
      <c r="J151" s="171"/>
      <c r="K151" s="171"/>
      <c r="L151" s="171"/>
      <c r="M151" s="171"/>
      <c r="N151" s="171"/>
      <c r="O151" s="171"/>
      <c r="P151" s="171"/>
      <c r="Q151" s="171"/>
      <c r="R151" s="171"/>
      <c r="S151" s="171"/>
      <c r="T151" s="171"/>
      <c r="U151" s="171"/>
      <c r="V151" s="171"/>
      <c r="W151" s="334"/>
      <c r="Y151"/>
    </row>
    <row r="152" spans="1:25" s="149" customFormat="1" ht="15.5">
      <c r="A152" s="168"/>
      <c r="B152" s="148"/>
      <c r="C152" s="145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332"/>
      <c r="X152" s="65"/>
      <c r="Y152"/>
    </row>
    <row r="153" spans="1:25" ht="15.5">
      <c r="A153" s="168"/>
      <c r="B153" s="164"/>
      <c r="C153" s="165"/>
      <c r="D153" s="166"/>
      <c r="E153" s="166"/>
      <c r="F153" s="166"/>
      <c r="G153" s="166"/>
      <c r="H153" s="166"/>
      <c r="I153" s="166"/>
      <c r="J153" s="166"/>
      <c r="K153" s="166"/>
      <c r="L153" s="166"/>
      <c r="M153" s="166"/>
      <c r="N153" s="166"/>
      <c r="O153" s="166"/>
      <c r="P153" s="166"/>
      <c r="Q153" s="166"/>
      <c r="R153" s="166"/>
      <c r="S153" s="166"/>
      <c r="T153" s="166"/>
      <c r="U153" s="166"/>
      <c r="V153" s="166"/>
      <c r="W153" s="167"/>
      <c r="Y153"/>
    </row>
    <row r="154" spans="1:25" ht="15.5">
      <c r="A154" s="168"/>
      <c r="B154" s="169"/>
      <c r="C154" s="170"/>
      <c r="D154" s="171"/>
      <c r="E154" s="171"/>
      <c r="F154" s="171"/>
      <c r="G154" s="171"/>
      <c r="H154" s="171"/>
      <c r="I154" s="171"/>
      <c r="J154" s="171"/>
      <c r="K154" s="171"/>
      <c r="L154" s="171"/>
      <c r="M154" s="171"/>
      <c r="N154" s="171"/>
      <c r="O154" s="171"/>
      <c r="P154" s="171"/>
      <c r="Q154" s="171"/>
      <c r="R154" s="171"/>
      <c r="S154" s="171"/>
      <c r="T154" s="171"/>
      <c r="U154" s="171"/>
      <c r="V154" s="171"/>
      <c r="W154" s="334"/>
      <c r="Y154"/>
    </row>
    <row r="155" spans="1:25" s="149" customFormat="1" ht="15.5">
      <c r="A155" s="173"/>
      <c r="B155" s="174"/>
      <c r="C155" s="175"/>
      <c r="D155" s="176"/>
      <c r="E155" s="176"/>
      <c r="F155" s="176"/>
      <c r="G155" s="176"/>
      <c r="H155" s="176"/>
      <c r="I155" s="176"/>
      <c r="J155" s="176"/>
      <c r="K155" s="176"/>
      <c r="L155" s="176"/>
      <c r="M155" s="176"/>
      <c r="N155" s="176"/>
      <c r="O155" s="176"/>
      <c r="P155" s="176"/>
      <c r="Q155" s="176"/>
      <c r="R155" s="176"/>
      <c r="S155" s="176"/>
      <c r="T155" s="176"/>
      <c r="U155" s="176"/>
      <c r="V155" s="176"/>
      <c r="W155" s="335"/>
      <c r="X155" s="65"/>
      <c r="Y155"/>
    </row>
    <row r="156" spans="1:25" ht="15.5">
      <c r="A156" s="163"/>
      <c r="B156" s="164"/>
      <c r="C156" s="165"/>
      <c r="D156" s="166"/>
      <c r="E156" s="166"/>
      <c r="F156" s="166"/>
      <c r="G156" s="166"/>
      <c r="H156" s="166"/>
      <c r="I156" s="166"/>
      <c r="J156" s="166"/>
      <c r="K156" s="166"/>
      <c r="L156" s="166"/>
      <c r="M156" s="166"/>
      <c r="N156" s="166"/>
      <c r="O156" s="166"/>
      <c r="P156" s="166"/>
      <c r="Q156" s="166"/>
      <c r="R156" s="166"/>
      <c r="S156" s="166"/>
      <c r="T156" s="166"/>
      <c r="U156" s="166"/>
      <c r="V156" s="166"/>
      <c r="W156" s="167"/>
      <c r="Y156"/>
    </row>
    <row r="157" spans="1:25" ht="15.5">
      <c r="A157" s="168"/>
      <c r="B157" s="169"/>
      <c r="C157" s="170"/>
      <c r="D157" s="171"/>
      <c r="E157" s="171"/>
      <c r="F157" s="171"/>
      <c r="G157" s="171"/>
      <c r="H157" s="171"/>
      <c r="I157" s="171"/>
      <c r="J157" s="171"/>
      <c r="K157" s="171"/>
      <c r="L157" s="171"/>
      <c r="M157" s="171"/>
      <c r="N157" s="171"/>
      <c r="O157" s="171"/>
      <c r="P157" s="171"/>
      <c r="Q157" s="171"/>
      <c r="R157" s="171"/>
      <c r="S157" s="171"/>
      <c r="T157" s="171"/>
      <c r="U157" s="171"/>
      <c r="V157" s="171"/>
      <c r="W157" s="334"/>
      <c r="Y157"/>
    </row>
    <row r="158" spans="1:25" s="149" customFormat="1" ht="15.5">
      <c r="A158" s="168"/>
      <c r="B158" s="148"/>
      <c r="C158" s="145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332"/>
      <c r="X158" s="65"/>
      <c r="Y158"/>
    </row>
    <row r="159" spans="1:25" ht="15.5">
      <c r="A159" s="168"/>
      <c r="B159" s="164"/>
      <c r="C159" s="165"/>
      <c r="D159" s="166"/>
      <c r="E159" s="166"/>
      <c r="F159" s="166"/>
      <c r="G159" s="166"/>
      <c r="H159" s="166"/>
      <c r="I159" s="166"/>
      <c r="J159" s="166"/>
      <c r="K159" s="166"/>
      <c r="L159" s="166"/>
      <c r="M159" s="166"/>
      <c r="N159" s="166"/>
      <c r="O159" s="166"/>
      <c r="P159" s="166"/>
      <c r="Q159" s="166"/>
      <c r="R159" s="166"/>
      <c r="S159" s="166"/>
      <c r="T159" s="166"/>
      <c r="U159" s="166"/>
      <c r="V159" s="166"/>
      <c r="W159" s="167"/>
      <c r="Y159"/>
    </row>
    <row r="160" spans="1:25" ht="15.5">
      <c r="A160" s="168"/>
      <c r="B160" s="169"/>
      <c r="C160" s="177"/>
      <c r="D160" s="171"/>
      <c r="E160" s="172"/>
      <c r="F160" s="172"/>
      <c r="G160" s="171"/>
      <c r="H160" s="172"/>
      <c r="I160" s="171"/>
      <c r="J160" s="171"/>
      <c r="K160" s="171"/>
      <c r="L160" s="171"/>
      <c r="M160" s="171"/>
      <c r="N160" s="171"/>
      <c r="O160" s="171"/>
      <c r="P160" s="171"/>
      <c r="Q160" s="171"/>
      <c r="R160" s="171"/>
      <c r="S160" s="171"/>
      <c r="T160" s="171"/>
      <c r="U160" s="171"/>
      <c r="V160" s="171"/>
      <c r="W160" s="334"/>
      <c r="Y160"/>
    </row>
    <row r="161" spans="1:25" s="149" customFormat="1" ht="15.5">
      <c r="A161" s="168"/>
      <c r="B161" s="145"/>
      <c r="C161" s="145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332"/>
      <c r="X161" s="65"/>
      <c r="Y161"/>
    </row>
    <row r="162" spans="1:25" ht="15.5">
      <c r="A162" s="168"/>
      <c r="B162" s="164"/>
      <c r="C162" s="177"/>
      <c r="D162" s="166"/>
      <c r="E162" s="172"/>
      <c r="F162" s="172"/>
      <c r="G162" s="166"/>
      <c r="H162" s="172"/>
      <c r="I162" s="166"/>
      <c r="J162" s="166"/>
      <c r="K162" s="166"/>
      <c r="L162" s="166"/>
      <c r="M162" s="166"/>
      <c r="N162" s="166"/>
      <c r="O162" s="166"/>
      <c r="P162" s="166"/>
      <c r="Q162" s="166"/>
      <c r="R162" s="166"/>
      <c r="S162" s="166"/>
      <c r="T162" s="166"/>
      <c r="U162" s="166"/>
      <c r="V162" s="166"/>
      <c r="W162" s="167"/>
      <c r="Y162"/>
    </row>
    <row r="163" spans="1:25" ht="15.5">
      <c r="A163" s="168"/>
      <c r="B163" s="169"/>
      <c r="C163" s="170"/>
      <c r="D163" s="171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1"/>
      <c r="R163" s="171"/>
      <c r="S163" s="171"/>
      <c r="T163" s="171"/>
      <c r="U163" s="171"/>
      <c r="V163" s="171"/>
      <c r="W163" s="334"/>
      <c r="Y163"/>
    </row>
    <row r="164" spans="1:25" s="149" customFormat="1" ht="15.5">
      <c r="A164" s="168"/>
      <c r="B164" s="148"/>
      <c r="C164" s="145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332"/>
      <c r="X164" s="65"/>
      <c r="Y164"/>
    </row>
    <row r="165" spans="1:25" ht="15.5">
      <c r="A165" s="168"/>
      <c r="B165" s="164"/>
      <c r="C165" s="165"/>
      <c r="D165" s="166"/>
      <c r="E165" s="166"/>
      <c r="F165" s="166"/>
      <c r="G165" s="166"/>
      <c r="H165" s="166"/>
      <c r="I165" s="166"/>
      <c r="J165" s="166"/>
      <c r="K165" s="166"/>
      <c r="L165" s="166"/>
      <c r="M165" s="166"/>
      <c r="N165" s="166"/>
      <c r="O165" s="166"/>
      <c r="P165" s="166"/>
      <c r="Q165" s="166"/>
      <c r="R165" s="166"/>
      <c r="S165" s="166"/>
      <c r="T165" s="166"/>
      <c r="U165" s="166"/>
      <c r="V165" s="166"/>
      <c r="W165" s="167"/>
      <c r="Y165"/>
    </row>
    <row r="166" spans="1:25" ht="15.5">
      <c r="A166" s="168"/>
      <c r="B166" s="169"/>
      <c r="C166" s="170"/>
      <c r="D166" s="171"/>
      <c r="E166" s="171"/>
      <c r="F166" s="171"/>
      <c r="G166" s="171"/>
      <c r="H166" s="171"/>
      <c r="I166" s="171"/>
      <c r="J166" s="171"/>
      <c r="K166" s="171"/>
      <c r="L166" s="171"/>
      <c r="M166" s="171"/>
      <c r="N166" s="171"/>
      <c r="O166" s="171"/>
      <c r="P166" s="171"/>
      <c r="Q166" s="171"/>
      <c r="R166" s="171"/>
      <c r="S166" s="171"/>
      <c r="T166" s="171"/>
      <c r="U166" s="171"/>
      <c r="V166" s="171"/>
      <c r="W166" s="334"/>
      <c r="Y166"/>
    </row>
    <row r="167" spans="1:25" s="149" customFormat="1" ht="15.5">
      <c r="A167" s="168"/>
      <c r="B167" s="148"/>
      <c r="C167" s="145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332"/>
      <c r="X167" s="65"/>
      <c r="Y167"/>
    </row>
    <row r="168" spans="1:25" ht="15.5">
      <c r="A168" s="168"/>
      <c r="B168" s="164"/>
      <c r="C168" s="165"/>
      <c r="D168" s="166"/>
      <c r="E168" s="166"/>
      <c r="F168" s="166"/>
      <c r="G168" s="166"/>
      <c r="H168" s="166"/>
      <c r="I168" s="166"/>
      <c r="J168" s="166"/>
      <c r="K168" s="166"/>
      <c r="L168" s="166"/>
      <c r="M168" s="166"/>
      <c r="N168" s="166"/>
      <c r="O168" s="166"/>
      <c r="P168" s="166"/>
      <c r="Q168" s="166"/>
      <c r="R168" s="166"/>
      <c r="S168" s="166"/>
      <c r="T168" s="166"/>
      <c r="U168" s="166"/>
      <c r="V168" s="166"/>
      <c r="W168" s="167"/>
      <c r="Y168"/>
    </row>
    <row r="169" spans="1:25" ht="15.5">
      <c r="A169" s="168"/>
      <c r="B169" s="169"/>
      <c r="C169" s="170"/>
      <c r="D169" s="171"/>
      <c r="E169" s="171"/>
      <c r="F169" s="171"/>
      <c r="G169" s="171"/>
      <c r="H169" s="171"/>
      <c r="I169" s="171"/>
      <c r="J169" s="171"/>
      <c r="K169" s="171"/>
      <c r="L169" s="171"/>
      <c r="M169" s="171"/>
      <c r="N169" s="171"/>
      <c r="O169" s="171"/>
      <c r="P169" s="171"/>
      <c r="Q169" s="171"/>
      <c r="R169" s="171"/>
      <c r="S169" s="171"/>
      <c r="T169" s="171"/>
      <c r="U169" s="171"/>
      <c r="V169" s="171"/>
      <c r="W169" s="334"/>
      <c r="Y169"/>
    </row>
    <row r="170" spans="1:25" s="149" customFormat="1" ht="15.5">
      <c r="A170" s="173"/>
      <c r="B170" s="174"/>
      <c r="C170" s="175"/>
      <c r="D170" s="176"/>
      <c r="E170" s="176"/>
      <c r="F170" s="176"/>
      <c r="G170" s="176"/>
      <c r="H170" s="176"/>
      <c r="I170" s="176"/>
      <c r="J170" s="176"/>
      <c r="K170" s="176"/>
      <c r="L170" s="176"/>
      <c r="M170" s="176"/>
      <c r="N170" s="176"/>
      <c r="O170" s="176"/>
      <c r="P170" s="176"/>
      <c r="Q170" s="176"/>
      <c r="R170" s="176"/>
      <c r="S170" s="176"/>
      <c r="T170" s="176"/>
      <c r="U170" s="176"/>
      <c r="V170" s="176"/>
      <c r="W170" s="335"/>
      <c r="X170" s="65"/>
      <c r="Y170"/>
    </row>
    <row r="171" spans="1:25" ht="15.5">
      <c r="A171" s="163"/>
      <c r="B171" s="164"/>
      <c r="C171" s="165"/>
      <c r="D171" s="166"/>
      <c r="E171" s="166"/>
      <c r="F171" s="166"/>
      <c r="G171" s="166"/>
      <c r="H171" s="166"/>
      <c r="I171" s="166"/>
      <c r="J171" s="166"/>
      <c r="K171" s="166"/>
      <c r="L171" s="166"/>
      <c r="M171" s="166"/>
      <c r="N171" s="166"/>
      <c r="O171" s="166"/>
      <c r="P171" s="166"/>
      <c r="Q171" s="166"/>
      <c r="R171" s="166"/>
      <c r="S171" s="166"/>
      <c r="T171" s="166"/>
      <c r="U171" s="166"/>
      <c r="V171" s="166"/>
      <c r="W171" s="167"/>
      <c r="Y171"/>
    </row>
    <row r="172" spans="1:25" ht="15.5">
      <c r="A172" s="168"/>
      <c r="B172" s="169"/>
      <c r="C172" s="170"/>
      <c r="D172" s="171"/>
      <c r="E172" s="171"/>
      <c r="F172" s="171"/>
      <c r="G172" s="171"/>
      <c r="H172" s="171"/>
      <c r="I172" s="171"/>
      <c r="J172" s="171"/>
      <c r="K172" s="171"/>
      <c r="L172" s="171"/>
      <c r="M172" s="171"/>
      <c r="N172" s="171"/>
      <c r="O172" s="171"/>
      <c r="P172" s="171"/>
      <c r="Q172" s="171"/>
      <c r="R172" s="171"/>
      <c r="S172" s="171"/>
      <c r="T172" s="171"/>
      <c r="U172" s="171"/>
      <c r="V172" s="171"/>
      <c r="W172" s="334"/>
      <c r="Y172"/>
    </row>
    <row r="173" spans="1:25" s="149" customFormat="1" ht="15.5">
      <c r="A173" s="168"/>
      <c r="B173" s="148"/>
      <c r="C173" s="145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332"/>
      <c r="X173" s="65"/>
      <c r="Y173"/>
    </row>
    <row r="174" spans="1:25" ht="15.5">
      <c r="A174" s="168"/>
      <c r="B174" s="164"/>
      <c r="C174" s="165"/>
      <c r="D174" s="166"/>
      <c r="E174" s="166"/>
      <c r="F174" s="166"/>
      <c r="G174" s="166"/>
      <c r="H174" s="166"/>
      <c r="I174" s="166"/>
      <c r="J174" s="166"/>
      <c r="K174" s="166"/>
      <c r="L174" s="166"/>
      <c r="M174" s="166"/>
      <c r="N174" s="166"/>
      <c r="O174" s="166"/>
      <c r="P174" s="166"/>
      <c r="Q174" s="166"/>
      <c r="R174" s="166"/>
      <c r="S174" s="166"/>
      <c r="T174" s="166"/>
      <c r="U174" s="166"/>
      <c r="V174" s="166"/>
      <c r="W174" s="167"/>
      <c r="Y174"/>
    </row>
    <row r="175" spans="1:25" ht="15.5">
      <c r="A175" s="168"/>
      <c r="B175" s="169"/>
      <c r="C175" s="170"/>
      <c r="D175" s="171"/>
      <c r="E175" s="171"/>
      <c r="F175" s="171"/>
      <c r="G175" s="171"/>
      <c r="H175" s="171"/>
      <c r="I175" s="171"/>
      <c r="J175" s="171"/>
      <c r="K175" s="171"/>
      <c r="L175" s="171"/>
      <c r="M175" s="171"/>
      <c r="N175" s="171"/>
      <c r="O175" s="171"/>
      <c r="P175" s="171"/>
      <c r="Q175" s="171"/>
      <c r="R175" s="171"/>
      <c r="S175" s="171"/>
      <c r="T175" s="171"/>
      <c r="U175" s="171"/>
      <c r="V175" s="171"/>
      <c r="W175" s="334"/>
      <c r="Y175"/>
    </row>
    <row r="176" spans="1:25" s="149" customFormat="1" ht="15.5">
      <c r="A176" s="168"/>
      <c r="B176" s="148"/>
      <c r="C176" s="145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332"/>
      <c r="X176" s="65"/>
      <c r="Y176"/>
    </row>
    <row r="177" spans="1:25" ht="15.5">
      <c r="A177" s="168"/>
      <c r="B177" s="164"/>
      <c r="C177" s="165"/>
      <c r="D177" s="166"/>
      <c r="E177" s="166"/>
      <c r="F177" s="166"/>
      <c r="G177" s="166"/>
      <c r="H177" s="166"/>
      <c r="I177" s="166"/>
      <c r="J177" s="166"/>
      <c r="K177" s="166"/>
      <c r="L177" s="166"/>
      <c r="M177" s="166"/>
      <c r="N177" s="166"/>
      <c r="O177" s="166"/>
      <c r="P177" s="166"/>
      <c r="Q177" s="166"/>
      <c r="R177" s="166"/>
      <c r="S177" s="166"/>
      <c r="T177" s="166"/>
      <c r="U177" s="166"/>
      <c r="V177" s="166"/>
      <c r="W177" s="167"/>
      <c r="Y177"/>
    </row>
    <row r="178" spans="1:25" ht="15.5">
      <c r="A178" s="168"/>
      <c r="B178" s="169"/>
      <c r="C178" s="170"/>
      <c r="D178" s="171"/>
      <c r="E178" s="171"/>
      <c r="F178" s="171"/>
      <c r="G178" s="171"/>
      <c r="H178" s="171"/>
      <c r="I178" s="171"/>
      <c r="J178" s="171"/>
      <c r="K178" s="171"/>
      <c r="L178" s="171"/>
      <c r="M178" s="171"/>
      <c r="N178" s="171"/>
      <c r="O178" s="171"/>
      <c r="P178" s="171"/>
      <c r="Q178" s="171"/>
      <c r="R178" s="171"/>
      <c r="S178" s="171"/>
      <c r="T178" s="171"/>
      <c r="U178" s="171"/>
      <c r="V178" s="171"/>
      <c r="W178" s="334"/>
      <c r="Y178"/>
    </row>
    <row r="179" spans="1:25" s="149" customFormat="1" ht="15.5">
      <c r="A179" s="168"/>
      <c r="B179" s="148"/>
      <c r="C179" s="145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332"/>
      <c r="X179" s="65"/>
      <c r="Y179"/>
    </row>
    <row r="180" spans="1:25" ht="15.5">
      <c r="A180" s="168"/>
      <c r="B180" s="164"/>
      <c r="C180" s="165"/>
      <c r="D180" s="166"/>
      <c r="E180" s="166"/>
      <c r="F180" s="166"/>
      <c r="G180" s="166"/>
      <c r="H180" s="166"/>
      <c r="I180" s="166"/>
      <c r="J180" s="166"/>
      <c r="K180" s="166"/>
      <c r="L180" s="166"/>
      <c r="M180" s="166"/>
      <c r="N180" s="166"/>
      <c r="O180" s="166"/>
      <c r="P180" s="166"/>
      <c r="Q180" s="166"/>
      <c r="R180" s="166"/>
      <c r="S180" s="166"/>
      <c r="T180" s="166"/>
      <c r="U180" s="166"/>
      <c r="V180" s="166"/>
      <c r="W180" s="167"/>
      <c r="Y180"/>
    </row>
    <row r="181" spans="1:25" ht="15.5">
      <c r="A181" s="168"/>
      <c r="B181" s="169"/>
      <c r="C181" s="170"/>
      <c r="D181" s="171"/>
      <c r="E181" s="172"/>
      <c r="F181" s="171"/>
      <c r="G181" s="171"/>
      <c r="H181" s="171"/>
      <c r="I181" s="171"/>
      <c r="J181" s="171"/>
      <c r="K181" s="171"/>
      <c r="L181" s="171"/>
      <c r="M181" s="171"/>
      <c r="N181" s="171"/>
      <c r="O181" s="171"/>
      <c r="P181" s="171"/>
      <c r="Q181" s="171"/>
      <c r="R181" s="171"/>
      <c r="S181" s="171"/>
      <c r="T181" s="171"/>
      <c r="U181" s="171"/>
      <c r="V181" s="171"/>
      <c r="W181" s="334"/>
      <c r="Y181"/>
    </row>
    <row r="182" spans="1:25" s="149" customFormat="1" ht="15.5">
      <c r="A182" s="168"/>
      <c r="B182" s="148"/>
      <c r="C182" s="145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332"/>
      <c r="X182" s="65"/>
      <c r="Y182"/>
    </row>
    <row r="183" spans="1:25" ht="15.5">
      <c r="A183" s="168"/>
      <c r="B183" s="164"/>
      <c r="C183" s="165"/>
      <c r="D183" s="166"/>
      <c r="E183" s="172"/>
      <c r="F183" s="166"/>
      <c r="G183" s="166"/>
      <c r="H183" s="166"/>
      <c r="I183" s="166"/>
      <c r="J183" s="166"/>
      <c r="K183" s="166"/>
      <c r="L183" s="166"/>
      <c r="M183" s="166"/>
      <c r="N183" s="166"/>
      <c r="O183" s="166"/>
      <c r="P183" s="166"/>
      <c r="Q183" s="166"/>
      <c r="R183" s="166"/>
      <c r="S183" s="166"/>
      <c r="T183" s="166"/>
      <c r="U183" s="166"/>
      <c r="V183" s="166"/>
      <c r="W183" s="167"/>
      <c r="Y183"/>
    </row>
    <row r="184" spans="1:25" ht="15.5">
      <c r="A184" s="168"/>
      <c r="B184" s="169"/>
      <c r="C184" s="170"/>
      <c r="D184" s="171"/>
      <c r="E184" s="171"/>
      <c r="F184" s="171"/>
      <c r="G184" s="171"/>
      <c r="H184" s="171"/>
      <c r="I184" s="171"/>
      <c r="J184" s="171"/>
      <c r="K184" s="171"/>
      <c r="L184" s="171"/>
      <c r="M184" s="171"/>
      <c r="N184" s="171"/>
      <c r="O184" s="171"/>
      <c r="P184" s="171"/>
      <c r="Q184" s="171"/>
      <c r="R184" s="171"/>
      <c r="S184" s="171"/>
      <c r="T184" s="171"/>
      <c r="U184" s="171"/>
      <c r="V184" s="171"/>
      <c r="W184" s="334"/>
      <c r="Y184"/>
    </row>
    <row r="185" spans="1:25" s="149" customFormat="1" ht="15.5">
      <c r="A185" s="173"/>
      <c r="B185" s="174"/>
      <c r="C185" s="175"/>
      <c r="D185" s="176"/>
      <c r="E185" s="176"/>
      <c r="F185" s="176"/>
      <c r="G185" s="176"/>
      <c r="H185" s="176"/>
      <c r="I185" s="176"/>
      <c r="J185" s="176"/>
      <c r="K185" s="176"/>
      <c r="L185" s="176"/>
      <c r="M185" s="176"/>
      <c r="N185" s="176"/>
      <c r="O185" s="176"/>
      <c r="P185" s="176"/>
      <c r="Q185" s="176"/>
      <c r="R185" s="176"/>
      <c r="S185" s="176"/>
      <c r="T185" s="176"/>
      <c r="U185" s="176"/>
      <c r="V185" s="176"/>
      <c r="W185" s="335"/>
      <c r="X185" s="65"/>
      <c r="Y185"/>
    </row>
    <row r="186" spans="1:25" ht="15.5">
      <c r="A186" s="163"/>
      <c r="B186" s="164"/>
      <c r="C186" s="165"/>
      <c r="D186" s="166"/>
      <c r="E186" s="166"/>
      <c r="F186" s="166"/>
      <c r="G186" s="166"/>
      <c r="H186" s="166"/>
      <c r="I186" s="166"/>
      <c r="J186" s="166"/>
      <c r="K186" s="166"/>
      <c r="L186" s="166"/>
      <c r="M186" s="166"/>
      <c r="N186" s="166"/>
      <c r="O186" s="166"/>
      <c r="P186" s="166"/>
      <c r="Q186" s="166"/>
      <c r="R186" s="166"/>
      <c r="S186" s="166"/>
      <c r="T186" s="166"/>
      <c r="U186" s="166"/>
      <c r="V186" s="166"/>
      <c r="W186" s="167"/>
      <c r="Y186"/>
    </row>
    <row r="187" spans="1:25" ht="15.5">
      <c r="A187" s="168"/>
      <c r="B187" s="169"/>
      <c r="C187" s="170"/>
      <c r="D187" s="171"/>
      <c r="E187" s="171"/>
      <c r="F187" s="171"/>
      <c r="G187" s="171"/>
      <c r="H187" s="171"/>
      <c r="I187" s="171"/>
      <c r="J187" s="171"/>
      <c r="K187" s="171"/>
      <c r="L187" s="171"/>
      <c r="M187" s="171"/>
      <c r="N187" s="171"/>
      <c r="O187" s="171"/>
      <c r="P187" s="171"/>
      <c r="Q187" s="171"/>
      <c r="R187" s="171"/>
      <c r="S187" s="171"/>
      <c r="T187" s="171"/>
      <c r="U187" s="171"/>
      <c r="V187" s="171"/>
      <c r="W187" s="334"/>
      <c r="Y187"/>
    </row>
    <row r="188" spans="1:25" s="149" customFormat="1" ht="15.5">
      <c r="A188" s="168"/>
      <c r="B188" s="148"/>
      <c r="C188" s="145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332"/>
      <c r="X188" s="65"/>
      <c r="Y188"/>
    </row>
    <row r="189" spans="1:25" ht="15.5">
      <c r="A189" s="168"/>
      <c r="B189" s="164"/>
      <c r="C189" s="165"/>
      <c r="D189" s="166"/>
      <c r="E189" s="166"/>
      <c r="F189" s="166"/>
      <c r="G189" s="166"/>
      <c r="H189" s="166"/>
      <c r="I189" s="166"/>
      <c r="J189" s="166"/>
      <c r="K189" s="166"/>
      <c r="L189" s="166"/>
      <c r="M189" s="166"/>
      <c r="N189" s="166"/>
      <c r="O189" s="166"/>
      <c r="P189" s="166"/>
      <c r="Q189" s="166"/>
      <c r="R189" s="166"/>
      <c r="S189" s="166"/>
      <c r="T189" s="166"/>
      <c r="U189" s="166"/>
      <c r="V189" s="166"/>
      <c r="W189" s="167"/>
      <c r="Y189"/>
    </row>
    <row r="190" spans="1:25" ht="15.5">
      <c r="A190" s="168"/>
      <c r="B190" s="169"/>
      <c r="C190" s="170"/>
      <c r="D190" s="171"/>
      <c r="E190" s="171"/>
      <c r="F190" s="171"/>
      <c r="G190" s="171"/>
      <c r="H190" s="171"/>
      <c r="I190" s="171"/>
      <c r="J190" s="171"/>
      <c r="K190" s="171"/>
      <c r="L190" s="171"/>
      <c r="M190" s="171"/>
      <c r="N190" s="171"/>
      <c r="O190" s="171"/>
      <c r="P190" s="171"/>
      <c r="Q190" s="171"/>
      <c r="R190" s="171"/>
      <c r="S190" s="171"/>
      <c r="T190" s="171"/>
      <c r="U190" s="171"/>
      <c r="V190" s="171"/>
      <c r="W190" s="334"/>
      <c r="Y190"/>
    </row>
    <row r="191" spans="1:25" s="149" customFormat="1" ht="15.5">
      <c r="A191" s="168"/>
      <c r="B191" s="148"/>
      <c r="C191" s="145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332"/>
      <c r="X191" s="65"/>
      <c r="Y191"/>
    </row>
    <row r="192" spans="1:25" ht="15.5">
      <c r="A192" s="168"/>
      <c r="B192" s="164"/>
      <c r="C192" s="165"/>
      <c r="D192" s="166"/>
      <c r="E192" s="166"/>
      <c r="F192" s="166"/>
      <c r="G192" s="166"/>
      <c r="H192" s="166"/>
      <c r="I192" s="166"/>
      <c r="J192" s="166"/>
      <c r="K192" s="166"/>
      <c r="L192" s="166"/>
      <c r="M192" s="166"/>
      <c r="N192" s="166"/>
      <c r="O192" s="166"/>
      <c r="P192" s="166"/>
      <c r="Q192" s="166"/>
      <c r="R192" s="166"/>
      <c r="S192" s="166"/>
      <c r="T192" s="166"/>
      <c r="U192" s="166"/>
      <c r="V192" s="166"/>
      <c r="W192" s="167"/>
      <c r="Y192"/>
    </row>
    <row r="193" spans="1:25" ht="15.5">
      <c r="A193" s="168"/>
      <c r="B193" s="169"/>
      <c r="C193" s="170"/>
      <c r="D193" s="171"/>
      <c r="E193" s="171"/>
      <c r="F193" s="171"/>
      <c r="G193" s="171"/>
      <c r="H193" s="171"/>
      <c r="I193" s="171"/>
      <c r="J193" s="171"/>
      <c r="K193" s="171"/>
      <c r="L193" s="171"/>
      <c r="M193" s="171"/>
      <c r="N193" s="171"/>
      <c r="O193" s="171"/>
      <c r="P193" s="171"/>
      <c r="Q193" s="171"/>
      <c r="R193" s="171"/>
      <c r="S193" s="171"/>
      <c r="T193" s="171"/>
      <c r="U193" s="171"/>
      <c r="V193" s="171"/>
      <c r="W193" s="334"/>
      <c r="Y193"/>
    </row>
    <row r="194" spans="1:25" s="149" customFormat="1" ht="15.5">
      <c r="A194" s="168"/>
      <c r="B194" s="148"/>
      <c r="C194" s="145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332"/>
      <c r="X194" s="65"/>
      <c r="Y194"/>
    </row>
    <row r="195" spans="1:25" ht="15.5">
      <c r="A195" s="168"/>
      <c r="B195" s="164"/>
      <c r="C195" s="165"/>
      <c r="D195" s="166"/>
      <c r="E195" s="166"/>
      <c r="F195" s="166"/>
      <c r="G195" s="166"/>
      <c r="H195" s="166"/>
      <c r="I195" s="166"/>
      <c r="J195" s="166"/>
      <c r="K195" s="166"/>
      <c r="L195" s="166"/>
      <c r="M195" s="166"/>
      <c r="N195" s="166"/>
      <c r="O195" s="166"/>
      <c r="P195" s="166"/>
      <c r="Q195" s="166"/>
      <c r="R195" s="166"/>
      <c r="S195" s="166"/>
      <c r="T195" s="166"/>
      <c r="U195" s="166"/>
      <c r="V195" s="166"/>
      <c r="W195" s="167"/>
      <c r="Y195"/>
    </row>
    <row r="196" spans="1:25" ht="15.5">
      <c r="A196" s="168"/>
      <c r="B196" s="169"/>
      <c r="C196" s="170"/>
      <c r="D196" s="171"/>
      <c r="E196" s="171"/>
      <c r="F196" s="171"/>
      <c r="G196" s="171"/>
      <c r="H196" s="171"/>
      <c r="I196" s="171"/>
      <c r="J196" s="171"/>
      <c r="K196" s="171"/>
      <c r="L196" s="171"/>
      <c r="M196" s="171"/>
      <c r="N196" s="171"/>
      <c r="O196" s="171"/>
      <c r="P196" s="171"/>
      <c r="Q196" s="171"/>
      <c r="R196" s="171"/>
      <c r="S196" s="171"/>
      <c r="T196" s="171"/>
      <c r="U196" s="171"/>
      <c r="V196" s="171"/>
      <c r="W196" s="334"/>
      <c r="Y196"/>
    </row>
    <row r="197" spans="1:25" s="149" customFormat="1" ht="15.5">
      <c r="A197" s="168"/>
      <c r="B197" s="148"/>
      <c r="C197" s="145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332"/>
      <c r="X197" s="65"/>
      <c r="Y197"/>
    </row>
    <row r="198" spans="1:25" ht="15.5">
      <c r="A198" s="168"/>
      <c r="B198" s="164"/>
      <c r="C198" s="165"/>
      <c r="D198" s="166"/>
      <c r="E198" s="166"/>
      <c r="F198" s="166"/>
      <c r="G198" s="166"/>
      <c r="H198" s="166"/>
      <c r="I198" s="166"/>
      <c r="J198" s="166"/>
      <c r="K198" s="166"/>
      <c r="L198" s="166"/>
      <c r="M198" s="166"/>
      <c r="N198" s="166"/>
      <c r="O198" s="166"/>
      <c r="P198" s="166"/>
      <c r="Q198" s="166"/>
      <c r="R198" s="166"/>
      <c r="S198" s="166"/>
      <c r="T198" s="166"/>
      <c r="U198" s="166"/>
      <c r="V198" s="166"/>
      <c r="W198" s="167"/>
      <c r="Y198"/>
    </row>
    <row r="199" spans="1:25" ht="15.5">
      <c r="A199" s="168"/>
      <c r="B199" s="169"/>
      <c r="C199" s="170"/>
      <c r="D199" s="171"/>
      <c r="E199" s="171"/>
      <c r="F199" s="171"/>
      <c r="G199" s="171"/>
      <c r="H199" s="171"/>
      <c r="I199" s="171"/>
      <c r="J199" s="171"/>
      <c r="K199" s="171"/>
      <c r="L199" s="171"/>
      <c r="M199" s="171"/>
      <c r="N199" s="171"/>
      <c r="O199" s="171"/>
      <c r="P199" s="171"/>
      <c r="Q199" s="171"/>
      <c r="R199" s="171"/>
      <c r="S199" s="171"/>
      <c r="T199" s="171"/>
      <c r="U199" s="171"/>
      <c r="V199" s="171"/>
      <c r="W199" s="334"/>
      <c r="Y199"/>
    </row>
    <row r="200" spans="1:25" s="149" customFormat="1" ht="15.5">
      <c r="A200" s="173"/>
      <c r="B200" s="174"/>
      <c r="C200" s="175"/>
      <c r="D200" s="176"/>
      <c r="E200" s="176"/>
      <c r="F200" s="176"/>
      <c r="G200" s="176"/>
      <c r="H200" s="176"/>
      <c r="I200" s="176"/>
      <c r="J200" s="176"/>
      <c r="K200" s="176"/>
      <c r="L200" s="176"/>
      <c r="M200" s="176"/>
      <c r="N200" s="176"/>
      <c r="O200" s="176"/>
      <c r="P200" s="176"/>
      <c r="Q200" s="176"/>
      <c r="R200" s="176"/>
      <c r="S200" s="176"/>
      <c r="T200" s="176"/>
      <c r="U200" s="176"/>
      <c r="V200" s="176"/>
      <c r="W200" s="335"/>
      <c r="X200" s="65"/>
      <c r="Y200"/>
    </row>
    <row r="201" spans="1:25" ht="15.5">
      <c r="A201" s="163"/>
      <c r="B201" s="164"/>
      <c r="C201" s="165"/>
      <c r="D201" s="166"/>
      <c r="E201" s="166"/>
      <c r="F201" s="166"/>
      <c r="G201" s="166"/>
      <c r="H201" s="166"/>
      <c r="I201" s="166"/>
      <c r="J201" s="166"/>
      <c r="K201" s="166"/>
      <c r="L201" s="166"/>
      <c r="M201" s="166"/>
      <c r="N201" s="166"/>
      <c r="O201" s="166"/>
      <c r="P201" s="166"/>
      <c r="Q201" s="166"/>
      <c r="R201" s="166"/>
      <c r="S201" s="166"/>
      <c r="T201" s="166"/>
      <c r="U201" s="166"/>
      <c r="V201" s="166"/>
      <c r="W201" s="167"/>
      <c r="Y201"/>
    </row>
    <row r="202" spans="1:25" ht="15.5">
      <c r="A202" s="168"/>
      <c r="B202" s="169"/>
      <c r="C202" s="170"/>
      <c r="D202" s="171"/>
      <c r="E202" s="171"/>
      <c r="F202" s="171"/>
      <c r="G202" s="171"/>
      <c r="H202" s="171"/>
      <c r="I202" s="171"/>
      <c r="J202" s="172"/>
      <c r="K202" s="171"/>
      <c r="L202" s="171"/>
      <c r="M202" s="171"/>
      <c r="N202" s="171"/>
      <c r="O202" s="171"/>
      <c r="P202" s="171"/>
      <c r="Q202" s="171"/>
      <c r="R202" s="171"/>
      <c r="S202" s="171"/>
      <c r="T202" s="171"/>
      <c r="U202" s="171"/>
      <c r="V202" s="171"/>
      <c r="W202" s="334"/>
      <c r="Y202"/>
    </row>
    <row r="203" spans="1:25" s="149" customFormat="1" ht="15.5">
      <c r="A203" s="168"/>
      <c r="B203" s="148"/>
      <c r="C203" s="145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332"/>
      <c r="X203" s="65"/>
      <c r="Y203"/>
    </row>
    <row r="204" spans="1:25" ht="15.5">
      <c r="A204" s="168"/>
      <c r="B204" s="164"/>
      <c r="C204" s="165"/>
      <c r="D204" s="166"/>
      <c r="E204" s="166"/>
      <c r="F204" s="166"/>
      <c r="G204" s="166"/>
      <c r="H204" s="166"/>
      <c r="I204" s="166"/>
      <c r="J204" s="172"/>
      <c r="K204" s="166"/>
      <c r="L204" s="166"/>
      <c r="M204" s="166"/>
      <c r="N204" s="166"/>
      <c r="O204" s="166"/>
      <c r="P204" s="166"/>
      <c r="Q204" s="166"/>
      <c r="R204" s="166"/>
      <c r="S204" s="166"/>
      <c r="T204" s="166"/>
      <c r="U204" s="166"/>
      <c r="V204" s="166"/>
      <c r="W204" s="167"/>
      <c r="Y204"/>
    </row>
    <row r="205" spans="1:25" ht="15.5">
      <c r="A205" s="168"/>
      <c r="B205" s="169"/>
      <c r="C205" s="170"/>
      <c r="D205" s="171"/>
      <c r="E205" s="171"/>
      <c r="F205" s="171"/>
      <c r="G205" s="171"/>
      <c r="H205" s="171"/>
      <c r="I205" s="171"/>
      <c r="J205" s="171"/>
      <c r="K205" s="171"/>
      <c r="L205" s="171"/>
      <c r="M205" s="171"/>
      <c r="N205" s="171"/>
      <c r="O205" s="171"/>
      <c r="P205" s="171"/>
      <c r="Q205" s="171"/>
      <c r="R205" s="171"/>
      <c r="S205" s="171"/>
      <c r="T205" s="171"/>
      <c r="U205" s="171"/>
      <c r="V205" s="171"/>
      <c r="W205" s="334"/>
      <c r="Y205"/>
    </row>
    <row r="206" spans="1:25" s="149" customFormat="1" ht="15.5">
      <c r="A206" s="168"/>
      <c r="B206" s="148"/>
      <c r="C206" s="145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332"/>
      <c r="X206" s="65"/>
      <c r="Y206"/>
    </row>
    <row r="207" spans="1:25" ht="15.5">
      <c r="A207" s="168"/>
      <c r="B207" s="164"/>
      <c r="C207" s="165"/>
      <c r="D207" s="166"/>
      <c r="E207" s="166"/>
      <c r="F207" s="166"/>
      <c r="G207" s="166"/>
      <c r="H207" s="166"/>
      <c r="I207" s="166"/>
      <c r="J207" s="166"/>
      <c r="K207" s="166"/>
      <c r="L207" s="166"/>
      <c r="M207" s="166"/>
      <c r="N207" s="166"/>
      <c r="O207" s="166"/>
      <c r="P207" s="166"/>
      <c r="Q207" s="166"/>
      <c r="R207" s="166"/>
      <c r="S207" s="166"/>
      <c r="T207" s="166"/>
      <c r="U207" s="166"/>
      <c r="V207" s="166"/>
      <c r="W207" s="167"/>
      <c r="Y207"/>
    </row>
    <row r="208" spans="1:25" ht="15.5">
      <c r="A208" s="168"/>
      <c r="B208" s="169"/>
      <c r="C208" s="170"/>
      <c r="D208" s="171"/>
      <c r="E208" s="171"/>
      <c r="F208" s="171"/>
      <c r="G208" s="171"/>
      <c r="H208" s="171"/>
      <c r="I208" s="171"/>
      <c r="J208" s="171"/>
      <c r="K208" s="171"/>
      <c r="L208" s="171"/>
      <c r="M208" s="171"/>
      <c r="N208" s="171"/>
      <c r="O208" s="171"/>
      <c r="P208" s="171"/>
      <c r="Q208" s="171"/>
      <c r="R208" s="171"/>
      <c r="S208" s="171"/>
      <c r="T208" s="171"/>
      <c r="U208" s="171"/>
      <c r="V208" s="171"/>
      <c r="W208" s="334"/>
      <c r="Y208"/>
    </row>
    <row r="209" spans="1:25" s="149" customFormat="1" ht="15.5">
      <c r="A209" s="168"/>
      <c r="B209" s="148"/>
      <c r="C209" s="145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332"/>
      <c r="X209" s="65"/>
      <c r="Y209"/>
    </row>
    <row r="210" spans="1:25" ht="15.5">
      <c r="A210" s="168"/>
      <c r="B210" s="164"/>
      <c r="C210" s="165"/>
      <c r="D210" s="166"/>
      <c r="E210" s="166"/>
      <c r="F210" s="166"/>
      <c r="G210" s="166"/>
      <c r="H210" s="166"/>
      <c r="I210" s="166"/>
      <c r="J210" s="166"/>
      <c r="K210" s="166"/>
      <c r="L210" s="166"/>
      <c r="M210" s="166"/>
      <c r="N210" s="166"/>
      <c r="O210" s="166"/>
      <c r="P210" s="166"/>
      <c r="Q210" s="166"/>
      <c r="R210" s="166"/>
      <c r="S210" s="166"/>
      <c r="T210" s="166"/>
      <c r="U210" s="166"/>
      <c r="V210" s="166"/>
      <c r="W210" s="167"/>
      <c r="Y210"/>
    </row>
    <row r="211" spans="1:25" ht="15.5">
      <c r="A211" s="168"/>
      <c r="B211" s="169"/>
      <c r="C211" s="170"/>
      <c r="D211" s="171"/>
      <c r="E211" s="171"/>
      <c r="F211" s="171"/>
      <c r="G211" s="171"/>
      <c r="H211" s="171"/>
      <c r="I211" s="171"/>
      <c r="J211" s="171"/>
      <c r="K211" s="171"/>
      <c r="L211" s="171"/>
      <c r="M211" s="171"/>
      <c r="N211" s="171"/>
      <c r="O211" s="171"/>
      <c r="P211" s="171"/>
      <c r="Q211" s="171"/>
      <c r="R211" s="171"/>
      <c r="S211" s="171"/>
      <c r="T211" s="171"/>
      <c r="U211" s="171"/>
      <c r="V211" s="171"/>
      <c r="W211" s="334"/>
      <c r="Y211"/>
    </row>
    <row r="212" spans="1:25" s="149" customFormat="1" ht="15.5">
      <c r="A212" s="168"/>
      <c r="B212" s="148"/>
      <c r="C212" s="145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332"/>
      <c r="X212" s="65"/>
      <c r="Y212"/>
    </row>
    <row r="213" spans="1:25" ht="15.5">
      <c r="A213" s="168"/>
      <c r="B213" s="164"/>
      <c r="C213" s="165"/>
      <c r="D213" s="166"/>
      <c r="E213" s="166"/>
      <c r="F213" s="166"/>
      <c r="G213" s="166"/>
      <c r="H213" s="166"/>
      <c r="I213" s="166"/>
      <c r="J213" s="166"/>
      <c r="K213" s="166"/>
      <c r="L213" s="166"/>
      <c r="M213" s="166"/>
      <c r="N213" s="166"/>
      <c r="O213" s="166"/>
      <c r="P213" s="166"/>
      <c r="Q213" s="166"/>
      <c r="R213" s="166"/>
      <c r="S213" s="166"/>
      <c r="T213" s="166"/>
      <c r="U213" s="166"/>
      <c r="V213" s="166"/>
      <c r="W213" s="167"/>
      <c r="Y213"/>
    </row>
    <row r="214" spans="1:25" ht="15.5">
      <c r="A214" s="168"/>
      <c r="B214" s="169"/>
      <c r="C214" s="170"/>
      <c r="D214" s="171"/>
      <c r="E214" s="171"/>
      <c r="F214" s="171"/>
      <c r="G214" s="171"/>
      <c r="H214" s="171"/>
      <c r="I214" s="171"/>
      <c r="J214" s="171"/>
      <c r="K214" s="171"/>
      <c r="L214" s="171"/>
      <c r="M214" s="171"/>
      <c r="N214" s="171"/>
      <c r="O214" s="171"/>
      <c r="P214" s="171"/>
      <c r="Q214" s="171"/>
      <c r="R214" s="171"/>
      <c r="S214" s="171"/>
      <c r="T214" s="171"/>
      <c r="U214" s="171"/>
      <c r="V214" s="171"/>
      <c r="W214" s="334"/>
      <c r="Y214"/>
    </row>
    <row r="215" spans="1:25" s="149" customFormat="1" ht="15.5">
      <c r="A215" s="173"/>
      <c r="B215" s="174"/>
      <c r="C215" s="175"/>
      <c r="D215" s="176"/>
      <c r="E215" s="176"/>
      <c r="F215" s="176"/>
      <c r="G215" s="176"/>
      <c r="H215" s="176"/>
      <c r="I215" s="176"/>
      <c r="J215" s="176"/>
      <c r="K215" s="176"/>
      <c r="L215" s="176"/>
      <c r="M215" s="176"/>
      <c r="N215" s="176"/>
      <c r="O215" s="176"/>
      <c r="P215" s="176"/>
      <c r="Q215" s="176"/>
      <c r="R215" s="176"/>
      <c r="S215" s="176"/>
      <c r="T215" s="176"/>
      <c r="U215" s="176"/>
      <c r="V215" s="176"/>
      <c r="W215" s="335"/>
      <c r="X215" s="65"/>
      <c r="Y215"/>
    </row>
    <row r="216" spans="1:25" ht="15.5">
      <c r="A216" s="163"/>
      <c r="B216" s="164"/>
      <c r="C216" s="165"/>
      <c r="D216" s="166"/>
      <c r="E216" s="166"/>
      <c r="F216" s="166"/>
      <c r="G216" s="166"/>
      <c r="H216" s="166"/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66"/>
      <c r="T216" s="166"/>
      <c r="U216" s="166"/>
      <c r="V216" s="166"/>
      <c r="W216" s="167"/>
      <c r="Y216"/>
    </row>
    <row r="217" spans="1:25" ht="15.5">
      <c r="A217" s="168"/>
      <c r="B217" s="169"/>
      <c r="C217" s="170"/>
      <c r="D217" s="171"/>
      <c r="E217" s="171"/>
      <c r="F217" s="171"/>
      <c r="G217" s="171"/>
      <c r="H217" s="171"/>
      <c r="I217" s="171"/>
      <c r="J217" s="171"/>
      <c r="K217" s="171"/>
      <c r="L217" s="171"/>
      <c r="M217" s="171"/>
      <c r="N217" s="171"/>
      <c r="O217" s="171"/>
      <c r="P217" s="171"/>
      <c r="Q217" s="171"/>
      <c r="R217" s="171"/>
      <c r="S217" s="172"/>
      <c r="T217" s="171"/>
      <c r="U217" s="171"/>
      <c r="V217" s="171"/>
      <c r="W217" s="334"/>
      <c r="Y217"/>
    </row>
    <row r="218" spans="1:25" s="149" customFormat="1" ht="15.5">
      <c r="A218" s="168"/>
      <c r="B218" s="148"/>
      <c r="C218" s="145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332"/>
      <c r="X218" s="65"/>
      <c r="Y218"/>
    </row>
    <row r="219" spans="1:25" ht="15.5">
      <c r="A219" s="168"/>
      <c r="B219" s="164"/>
      <c r="C219" s="165"/>
      <c r="D219" s="166"/>
      <c r="E219" s="166"/>
      <c r="F219" s="166"/>
      <c r="G219" s="166"/>
      <c r="H219" s="166"/>
      <c r="I219" s="166"/>
      <c r="J219" s="166"/>
      <c r="K219" s="166"/>
      <c r="L219" s="166"/>
      <c r="M219" s="166"/>
      <c r="N219" s="166"/>
      <c r="O219" s="166"/>
      <c r="P219" s="166"/>
      <c r="Q219" s="166"/>
      <c r="R219" s="166"/>
      <c r="S219" s="172"/>
      <c r="T219" s="166"/>
      <c r="U219" s="166"/>
      <c r="V219" s="166"/>
      <c r="W219" s="167"/>
      <c r="Y219"/>
    </row>
    <row r="220" spans="1:25" ht="15.5">
      <c r="A220" s="168"/>
      <c r="B220" s="169"/>
      <c r="C220" s="170"/>
      <c r="D220" s="171"/>
      <c r="E220" s="171"/>
      <c r="F220" s="171"/>
      <c r="G220" s="171"/>
      <c r="H220" s="171"/>
      <c r="I220" s="171"/>
      <c r="J220" s="171"/>
      <c r="K220" s="171"/>
      <c r="L220" s="171"/>
      <c r="M220" s="171"/>
      <c r="N220" s="171"/>
      <c r="O220" s="171"/>
      <c r="P220" s="171"/>
      <c r="Q220" s="171"/>
      <c r="R220" s="171"/>
      <c r="S220" s="171"/>
      <c r="T220" s="171"/>
      <c r="U220" s="171"/>
      <c r="V220" s="171"/>
      <c r="W220" s="334"/>
      <c r="Y220"/>
    </row>
    <row r="221" spans="1:25" s="149" customFormat="1" ht="15.5">
      <c r="A221" s="168"/>
      <c r="B221" s="148"/>
      <c r="C221" s="145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332"/>
      <c r="X221" s="65"/>
      <c r="Y221"/>
    </row>
    <row r="222" spans="1:25" ht="15.5">
      <c r="A222" s="168"/>
      <c r="B222" s="164"/>
      <c r="C222" s="165"/>
      <c r="D222" s="166"/>
      <c r="E222" s="166"/>
      <c r="F222" s="166"/>
      <c r="G222" s="166"/>
      <c r="H222" s="166"/>
      <c r="I222" s="166"/>
      <c r="J222" s="166"/>
      <c r="K222" s="166"/>
      <c r="L222" s="166"/>
      <c r="M222" s="166"/>
      <c r="N222" s="166"/>
      <c r="O222" s="166"/>
      <c r="P222" s="166"/>
      <c r="Q222" s="166"/>
      <c r="R222" s="166"/>
      <c r="S222" s="166"/>
      <c r="T222" s="166"/>
      <c r="U222" s="166"/>
      <c r="V222" s="166"/>
      <c r="W222" s="167"/>
      <c r="Y222"/>
    </row>
    <row r="223" spans="1:25" ht="15.5">
      <c r="A223" s="168"/>
      <c r="B223" s="169"/>
      <c r="C223" s="170"/>
      <c r="D223" s="171"/>
      <c r="E223" s="171"/>
      <c r="F223" s="171"/>
      <c r="G223" s="171"/>
      <c r="H223" s="171"/>
      <c r="I223" s="171"/>
      <c r="J223" s="171"/>
      <c r="K223" s="171"/>
      <c r="L223" s="171"/>
      <c r="M223" s="171"/>
      <c r="N223" s="171"/>
      <c r="O223" s="171"/>
      <c r="P223" s="171"/>
      <c r="Q223" s="171"/>
      <c r="R223" s="171"/>
      <c r="S223" s="171"/>
      <c r="T223" s="171"/>
      <c r="U223" s="171"/>
      <c r="V223" s="171"/>
      <c r="W223" s="334"/>
      <c r="Y223"/>
    </row>
    <row r="224" spans="1:25" s="149" customFormat="1" ht="15.5">
      <c r="A224" s="168"/>
      <c r="B224" s="148"/>
      <c r="C224" s="145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332"/>
      <c r="X224" s="65"/>
      <c r="Y224"/>
    </row>
    <row r="225" spans="1:25" ht="15.5">
      <c r="A225" s="168"/>
      <c r="B225" s="164"/>
      <c r="C225" s="165"/>
      <c r="D225" s="166"/>
      <c r="E225" s="166"/>
      <c r="F225" s="166"/>
      <c r="G225" s="166"/>
      <c r="H225" s="166"/>
      <c r="I225" s="166"/>
      <c r="J225" s="166"/>
      <c r="K225" s="166"/>
      <c r="L225" s="166"/>
      <c r="M225" s="166"/>
      <c r="N225" s="166"/>
      <c r="O225" s="166"/>
      <c r="P225" s="166"/>
      <c r="Q225" s="166"/>
      <c r="R225" s="166"/>
      <c r="S225" s="166"/>
      <c r="T225" s="166"/>
      <c r="U225" s="166"/>
      <c r="V225" s="166"/>
      <c r="W225" s="167"/>
      <c r="Y225"/>
    </row>
    <row r="226" spans="1:25" ht="15.5">
      <c r="A226" s="168"/>
      <c r="B226" s="169"/>
      <c r="C226" s="170"/>
      <c r="D226" s="171"/>
      <c r="E226" s="171"/>
      <c r="F226" s="171"/>
      <c r="G226" s="171"/>
      <c r="H226" s="171"/>
      <c r="I226" s="171"/>
      <c r="J226" s="171"/>
      <c r="K226" s="171"/>
      <c r="L226" s="171"/>
      <c r="M226" s="171"/>
      <c r="N226" s="171"/>
      <c r="O226" s="171"/>
      <c r="P226" s="171"/>
      <c r="Q226" s="171"/>
      <c r="R226" s="171"/>
      <c r="S226" s="171"/>
      <c r="T226" s="171"/>
      <c r="U226" s="171"/>
      <c r="V226" s="171"/>
      <c r="W226" s="334"/>
      <c r="Y226"/>
    </row>
    <row r="227" spans="1:25" s="149" customFormat="1" ht="15.5">
      <c r="A227" s="168"/>
      <c r="B227" s="148"/>
      <c r="C227" s="145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332"/>
      <c r="X227" s="65"/>
      <c r="Y227"/>
    </row>
    <row r="228" spans="1:25" ht="15.5">
      <c r="A228" s="168"/>
      <c r="B228" s="164"/>
      <c r="C228" s="165"/>
      <c r="D228" s="166"/>
      <c r="E228" s="166"/>
      <c r="F228" s="166"/>
      <c r="G228" s="166"/>
      <c r="H228" s="166"/>
      <c r="I228" s="166"/>
      <c r="J228" s="166"/>
      <c r="K228" s="166"/>
      <c r="L228" s="166"/>
      <c r="M228" s="166"/>
      <c r="N228" s="166"/>
      <c r="O228" s="166"/>
      <c r="P228" s="166"/>
      <c r="Q228" s="166"/>
      <c r="R228" s="166"/>
      <c r="S228" s="166"/>
      <c r="T228" s="166"/>
      <c r="U228" s="166"/>
      <c r="V228" s="166"/>
      <c r="W228" s="167"/>
      <c r="Y228"/>
    </row>
    <row r="229" spans="1:25" ht="15.5">
      <c r="A229" s="168"/>
      <c r="B229" s="169"/>
      <c r="C229" s="170"/>
      <c r="D229" s="171"/>
      <c r="E229" s="171"/>
      <c r="F229" s="171"/>
      <c r="G229" s="171"/>
      <c r="H229" s="171"/>
      <c r="I229" s="171"/>
      <c r="J229" s="171"/>
      <c r="K229" s="171"/>
      <c r="L229" s="171"/>
      <c r="M229" s="171"/>
      <c r="N229" s="171"/>
      <c r="O229" s="171"/>
      <c r="P229" s="171"/>
      <c r="Q229" s="171"/>
      <c r="R229" s="171"/>
      <c r="S229" s="171"/>
      <c r="T229" s="171"/>
      <c r="U229" s="171"/>
      <c r="V229" s="171"/>
      <c r="W229" s="334"/>
      <c r="Y229"/>
    </row>
    <row r="230" spans="1:25" s="149" customFormat="1" ht="15.5">
      <c r="A230" s="173"/>
      <c r="B230" s="174"/>
      <c r="C230" s="175"/>
      <c r="D230" s="176"/>
      <c r="E230" s="176"/>
      <c r="F230" s="176"/>
      <c r="G230" s="176"/>
      <c r="H230" s="176"/>
      <c r="I230" s="176"/>
      <c r="J230" s="176"/>
      <c r="K230" s="176"/>
      <c r="L230" s="176"/>
      <c r="M230" s="176"/>
      <c r="N230" s="176"/>
      <c r="O230" s="176"/>
      <c r="P230" s="176"/>
      <c r="Q230" s="176"/>
      <c r="R230" s="176"/>
      <c r="S230" s="176"/>
      <c r="T230" s="176"/>
      <c r="U230" s="176"/>
      <c r="V230" s="176"/>
      <c r="W230" s="335"/>
      <c r="X230" s="65"/>
      <c r="Y230"/>
    </row>
    <row r="231" spans="1:25" ht="15.5">
      <c r="A231" s="163"/>
      <c r="B231" s="164"/>
      <c r="C231" s="165"/>
      <c r="D231" s="166"/>
      <c r="E231" s="166"/>
      <c r="F231" s="166"/>
      <c r="G231" s="166"/>
      <c r="H231" s="166"/>
      <c r="I231" s="166"/>
      <c r="J231" s="166"/>
      <c r="K231" s="166"/>
      <c r="L231" s="166"/>
      <c r="M231" s="166"/>
      <c r="N231" s="166"/>
      <c r="O231" s="166"/>
      <c r="P231" s="166"/>
      <c r="Q231" s="166"/>
      <c r="R231" s="166"/>
      <c r="S231" s="166"/>
      <c r="T231" s="166"/>
      <c r="U231" s="166"/>
      <c r="V231" s="166"/>
      <c r="W231" s="167"/>
      <c r="Y231"/>
    </row>
    <row r="232" spans="1:25" ht="15.5">
      <c r="A232" s="168"/>
      <c r="B232" s="169"/>
      <c r="C232" s="170"/>
      <c r="D232" s="171"/>
      <c r="E232" s="171"/>
      <c r="F232" s="171"/>
      <c r="G232" s="171"/>
      <c r="H232" s="171"/>
      <c r="I232" s="171"/>
      <c r="J232" s="171"/>
      <c r="K232" s="171"/>
      <c r="L232" s="171"/>
      <c r="M232" s="171"/>
      <c r="N232" s="171"/>
      <c r="O232" s="171"/>
      <c r="P232" s="171"/>
      <c r="Q232" s="171"/>
      <c r="R232" s="171"/>
      <c r="S232" s="171"/>
      <c r="T232" s="171"/>
      <c r="U232" s="171"/>
      <c r="V232" s="171"/>
      <c r="W232" s="334"/>
      <c r="Y232"/>
    </row>
    <row r="233" spans="1:25" s="149" customFormat="1" ht="15.5">
      <c r="A233" s="168"/>
      <c r="B233" s="148"/>
      <c r="C233" s="145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332"/>
      <c r="X233" s="65"/>
      <c r="Y233"/>
    </row>
    <row r="234" spans="1:25" ht="15.5">
      <c r="A234" s="168"/>
      <c r="B234" s="164"/>
      <c r="C234" s="165"/>
      <c r="D234" s="166"/>
      <c r="E234" s="166"/>
      <c r="F234" s="166"/>
      <c r="G234" s="166"/>
      <c r="H234" s="166"/>
      <c r="I234" s="166"/>
      <c r="J234" s="166"/>
      <c r="K234" s="166"/>
      <c r="L234" s="166"/>
      <c r="M234" s="166"/>
      <c r="N234" s="166"/>
      <c r="O234" s="166"/>
      <c r="P234" s="166"/>
      <c r="Q234" s="166"/>
      <c r="R234" s="166"/>
      <c r="S234" s="166"/>
      <c r="T234" s="166"/>
      <c r="U234" s="166"/>
      <c r="V234" s="166"/>
      <c r="W234" s="167"/>
      <c r="Y234"/>
    </row>
    <row r="235" spans="1:25" ht="15.5">
      <c r="A235" s="168"/>
      <c r="B235" s="169"/>
      <c r="C235" s="170"/>
      <c r="D235" s="171"/>
      <c r="E235" s="172"/>
      <c r="F235" s="171"/>
      <c r="G235" s="172"/>
      <c r="H235" s="171"/>
      <c r="I235" s="171"/>
      <c r="J235" s="171"/>
      <c r="K235" s="171"/>
      <c r="L235" s="171"/>
      <c r="M235" s="171"/>
      <c r="N235" s="171"/>
      <c r="O235" s="171"/>
      <c r="P235" s="171"/>
      <c r="Q235" s="171"/>
      <c r="R235" s="171"/>
      <c r="S235" s="171"/>
      <c r="T235" s="171"/>
      <c r="U235" s="171"/>
      <c r="V235" s="171"/>
      <c r="W235" s="334"/>
      <c r="Y235"/>
    </row>
    <row r="236" spans="1:25" s="149" customFormat="1" ht="15.5">
      <c r="A236" s="168"/>
      <c r="B236" s="148"/>
      <c r="C236" s="145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332"/>
      <c r="X236" s="65"/>
      <c r="Y236"/>
    </row>
    <row r="237" spans="1:25" ht="15.5">
      <c r="A237" s="168"/>
      <c r="B237" s="164"/>
      <c r="C237" s="165"/>
      <c r="D237" s="166"/>
      <c r="E237" s="172"/>
      <c r="F237" s="166"/>
      <c r="G237" s="172"/>
      <c r="H237" s="166"/>
      <c r="I237" s="166"/>
      <c r="J237" s="166"/>
      <c r="K237" s="166"/>
      <c r="L237" s="166"/>
      <c r="M237" s="166"/>
      <c r="N237" s="166"/>
      <c r="O237" s="166"/>
      <c r="P237" s="166"/>
      <c r="Q237" s="166"/>
      <c r="R237" s="166"/>
      <c r="S237" s="166"/>
      <c r="T237" s="166"/>
      <c r="U237" s="166"/>
      <c r="V237" s="166"/>
      <c r="W237" s="167"/>
      <c r="Y237"/>
    </row>
    <row r="238" spans="1:25" ht="15.5">
      <c r="A238" s="168"/>
      <c r="B238" s="169"/>
      <c r="C238" s="170"/>
      <c r="D238" s="171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1"/>
      <c r="R238" s="171"/>
      <c r="S238" s="171"/>
      <c r="T238" s="171"/>
      <c r="U238" s="171"/>
      <c r="V238" s="171"/>
      <c r="W238" s="334"/>
      <c r="Y238"/>
    </row>
    <row r="239" spans="1:25" s="149" customFormat="1" ht="15.5">
      <c r="A239" s="168"/>
      <c r="B239" s="148"/>
      <c r="C239" s="145"/>
      <c r="D239" s="146"/>
      <c r="E239" s="146"/>
      <c r="F239" s="146"/>
      <c r="G239" s="146"/>
      <c r="H239" s="146"/>
      <c r="I239" s="146"/>
      <c r="J239" s="146"/>
      <c r="K239" s="146"/>
      <c r="L239" s="146"/>
      <c r="M239" s="146"/>
      <c r="N239" s="146"/>
      <c r="O239" s="146"/>
      <c r="P239" s="146"/>
      <c r="Q239" s="146"/>
      <c r="R239" s="146"/>
      <c r="S239" s="146"/>
      <c r="T239" s="146"/>
      <c r="U239" s="146"/>
      <c r="V239" s="146"/>
      <c r="W239" s="332"/>
      <c r="X239" s="65"/>
      <c r="Y239"/>
    </row>
    <row r="240" spans="1:25" ht="15.5">
      <c r="A240" s="168"/>
      <c r="B240" s="164"/>
      <c r="C240" s="165"/>
      <c r="D240" s="166"/>
      <c r="E240" s="166"/>
      <c r="F240" s="166"/>
      <c r="G240" s="166"/>
      <c r="H240" s="166"/>
      <c r="I240" s="166"/>
      <c r="J240" s="166"/>
      <c r="K240" s="166"/>
      <c r="L240" s="166"/>
      <c r="M240" s="166"/>
      <c r="N240" s="166"/>
      <c r="O240" s="166"/>
      <c r="P240" s="166"/>
      <c r="Q240" s="166"/>
      <c r="R240" s="166"/>
      <c r="S240" s="166"/>
      <c r="T240" s="166"/>
      <c r="U240" s="166"/>
      <c r="V240" s="166"/>
      <c r="W240" s="167"/>
      <c r="Y240"/>
    </row>
    <row r="241" spans="1:25" ht="15.5">
      <c r="A241" s="168"/>
      <c r="B241" s="169"/>
      <c r="C241" s="170"/>
      <c r="D241" s="171"/>
      <c r="E241" s="171"/>
      <c r="F241" s="171"/>
      <c r="G241" s="171"/>
      <c r="H241" s="171"/>
      <c r="I241" s="171"/>
      <c r="J241" s="171"/>
      <c r="K241" s="171"/>
      <c r="L241" s="171"/>
      <c r="M241" s="171"/>
      <c r="N241" s="171"/>
      <c r="O241" s="171"/>
      <c r="P241" s="171"/>
      <c r="Q241" s="171"/>
      <c r="R241" s="171"/>
      <c r="S241" s="171"/>
      <c r="T241" s="171"/>
      <c r="U241" s="171"/>
      <c r="V241" s="171"/>
      <c r="W241" s="334"/>
      <c r="Y241"/>
    </row>
    <row r="242" spans="1:25" s="149" customFormat="1" ht="15.5">
      <c r="A242" s="168"/>
      <c r="B242" s="148"/>
      <c r="C242" s="145"/>
      <c r="D242" s="146"/>
      <c r="E242" s="146"/>
      <c r="F242" s="146"/>
      <c r="G242" s="146"/>
      <c r="H242" s="146"/>
      <c r="I242" s="146"/>
      <c r="J242" s="146"/>
      <c r="K242" s="146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332"/>
      <c r="X242" s="65"/>
      <c r="Y242"/>
    </row>
    <row r="243" spans="1:25" ht="15.5">
      <c r="A243" s="168"/>
      <c r="B243" s="164"/>
      <c r="C243" s="165"/>
      <c r="D243" s="166"/>
      <c r="E243" s="166"/>
      <c r="F243" s="166"/>
      <c r="G243" s="166"/>
      <c r="H243" s="166"/>
      <c r="I243" s="166"/>
      <c r="J243" s="166"/>
      <c r="K243" s="166"/>
      <c r="L243" s="166"/>
      <c r="M243" s="166"/>
      <c r="N243" s="166"/>
      <c r="O243" s="166"/>
      <c r="P243" s="166"/>
      <c r="Q243" s="166"/>
      <c r="R243" s="166"/>
      <c r="S243" s="166"/>
      <c r="T243" s="166"/>
      <c r="U243" s="166"/>
      <c r="V243" s="166"/>
      <c r="W243" s="167"/>
      <c r="Y243"/>
    </row>
    <row r="244" spans="1:25" ht="15.5">
      <c r="A244" s="168"/>
      <c r="B244" s="169"/>
      <c r="C244" s="170"/>
      <c r="D244" s="171"/>
      <c r="E244" s="171"/>
      <c r="F244" s="171"/>
      <c r="G244" s="171"/>
      <c r="H244" s="171"/>
      <c r="I244" s="171"/>
      <c r="J244" s="171"/>
      <c r="K244" s="171"/>
      <c r="L244" s="171"/>
      <c r="M244" s="171"/>
      <c r="N244" s="171"/>
      <c r="O244" s="171"/>
      <c r="P244" s="171"/>
      <c r="Q244" s="171"/>
      <c r="R244" s="171"/>
      <c r="S244" s="171"/>
      <c r="T244" s="171"/>
      <c r="U244" s="171"/>
      <c r="V244" s="171"/>
      <c r="W244" s="334"/>
      <c r="Y244"/>
    </row>
    <row r="245" spans="1:25" s="149" customFormat="1" ht="15.5">
      <c r="A245" s="173"/>
      <c r="B245" s="174"/>
      <c r="C245" s="175"/>
      <c r="D245" s="176"/>
      <c r="E245" s="176"/>
      <c r="F245" s="176"/>
      <c r="G245" s="176"/>
      <c r="H245" s="176"/>
      <c r="I245" s="176"/>
      <c r="J245" s="176"/>
      <c r="K245" s="176"/>
      <c r="L245" s="176"/>
      <c r="M245" s="176"/>
      <c r="N245" s="176"/>
      <c r="O245" s="176"/>
      <c r="P245" s="176"/>
      <c r="Q245" s="176"/>
      <c r="R245" s="176"/>
      <c r="S245" s="176"/>
      <c r="T245" s="176"/>
      <c r="U245" s="176"/>
      <c r="V245" s="176"/>
      <c r="W245" s="335"/>
      <c r="X245" s="65"/>
      <c r="Y245"/>
    </row>
    <row r="246" spans="1:25" ht="15.5">
      <c r="A246" s="163"/>
      <c r="B246" s="164"/>
      <c r="C246" s="165"/>
      <c r="D246" s="166"/>
      <c r="E246" s="166"/>
      <c r="F246" s="166"/>
      <c r="G246" s="166"/>
      <c r="H246" s="166"/>
      <c r="I246" s="166"/>
      <c r="J246" s="166"/>
      <c r="K246" s="166"/>
      <c r="L246" s="166"/>
      <c r="M246" s="166"/>
      <c r="N246" s="166"/>
      <c r="O246" s="166"/>
      <c r="P246" s="166"/>
      <c r="Q246" s="166"/>
      <c r="R246" s="166"/>
      <c r="S246" s="166"/>
      <c r="T246" s="166"/>
      <c r="U246" s="166"/>
      <c r="V246" s="166"/>
      <c r="W246" s="167"/>
      <c r="Y246"/>
    </row>
    <row r="247" spans="1:25" ht="15.5">
      <c r="A247" s="168"/>
      <c r="B247" s="169"/>
      <c r="C247" s="170"/>
      <c r="D247" s="171"/>
      <c r="E247" s="171"/>
      <c r="F247" s="171"/>
      <c r="G247" s="171"/>
      <c r="H247" s="171"/>
      <c r="I247" s="171"/>
      <c r="J247" s="171"/>
      <c r="K247" s="171"/>
      <c r="L247" s="171"/>
      <c r="M247" s="171"/>
      <c r="N247" s="171"/>
      <c r="O247" s="171"/>
      <c r="P247" s="171"/>
      <c r="Q247" s="171"/>
      <c r="R247" s="171"/>
      <c r="S247" s="171"/>
      <c r="T247" s="171"/>
      <c r="U247" s="171"/>
      <c r="V247" s="171"/>
      <c r="W247" s="334"/>
      <c r="Y247"/>
    </row>
    <row r="248" spans="1:25" s="149" customFormat="1" ht="15.5">
      <c r="A248" s="168"/>
      <c r="B248" s="148"/>
      <c r="C248" s="145"/>
      <c r="D248" s="146"/>
      <c r="E248" s="146"/>
      <c r="F248" s="146"/>
      <c r="G248" s="146"/>
      <c r="H248" s="146"/>
      <c r="I248" s="146"/>
      <c r="J248" s="146"/>
      <c r="K248" s="146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332"/>
      <c r="X248" s="65"/>
      <c r="Y248"/>
    </row>
    <row r="249" spans="1:25" ht="15.5">
      <c r="A249" s="168"/>
      <c r="B249" s="164"/>
      <c r="C249" s="165"/>
      <c r="D249" s="166"/>
      <c r="E249" s="166"/>
      <c r="F249" s="166"/>
      <c r="G249" s="166"/>
      <c r="H249" s="166"/>
      <c r="I249" s="166"/>
      <c r="J249" s="166"/>
      <c r="K249" s="166"/>
      <c r="L249" s="166"/>
      <c r="M249" s="166"/>
      <c r="N249" s="166"/>
      <c r="O249" s="166"/>
      <c r="P249" s="166"/>
      <c r="Q249" s="166"/>
      <c r="R249" s="166"/>
      <c r="S249" s="166"/>
      <c r="T249" s="166"/>
      <c r="U249" s="166"/>
      <c r="V249" s="166"/>
      <c r="W249" s="167"/>
      <c r="Y249"/>
    </row>
    <row r="250" spans="1:25" ht="15.5">
      <c r="A250" s="168"/>
      <c r="B250" s="169"/>
      <c r="C250" s="170"/>
      <c r="D250" s="171"/>
      <c r="E250" s="171"/>
      <c r="F250" s="171"/>
      <c r="G250" s="171"/>
      <c r="H250" s="171"/>
      <c r="I250" s="171"/>
      <c r="J250" s="171"/>
      <c r="K250" s="171"/>
      <c r="L250" s="171"/>
      <c r="M250" s="171"/>
      <c r="N250" s="171"/>
      <c r="O250" s="171"/>
      <c r="P250" s="171"/>
      <c r="Q250" s="171"/>
      <c r="R250" s="171"/>
      <c r="S250" s="171"/>
      <c r="T250" s="171"/>
      <c r="U250" s="171"/>
      <c r="V250" s="171"/>
      <c r="W250" s="334"/>
      <c r="Y250"/>
    </row>
    <row r="251" spans="1:25" s="149" customFormat="1" ht="15.5">
      <c r="A251" s="168"/>
      <c r="B251" s="148"/>
      <c r="C251" s="145"/>
      <c r="D251" s="146"/>
      <c r="E251" s="146"/>
      <c r="F251" s="146"/>
      <c r="G251" s="146"/>
      <c r="H251" s="146"/>
      <c r="I251" s="146"/>
      <c r="J251" s="146"/>
      <c r="K251" s="146"/>
      <c r="L251" s="146"/>
      <c r="M251" s="146"/>
      <c r="N251" s="146"/>
      <c r="O251" s="146"/>
      <c r="P251" s="146"/>
      <c r="Q251" s="146"/>
      <c r="R251" s="146"/>
      <c r="S251" s="146"/>
      <c r="T251" s="146"/>
      <c r="U251" s="146"/>
      <c r="V251" s="146"/>
      <c r="W251" s="332"/>
      <c r="X251" s="65"/>
      <c r="Y251"/>
    </row>
    <row r="252" spans="1:25" ht="15.5">
      <c r="A252" s="168"/>
      <c r="B252" s="164"/>
      <c r="C252" s="165"/>
      <c r="D252" s="166"/>
      <c r="E252" s="166"/>
      <c r="F252" s="166"/>
      <c r="G252" s="166"/>
      <c r="H252" s="166"/>
      <c r="I252" s="166"/>
      <c r="J252" s="166"/>
      <c r="K252" s="166"/>
      <c r="L252" s="166"/>
      <c r="M252" s="166"/>
      <c r="N252" s="166"/>
      <c r="O252" s="166"/>
      <c r="P252" s="166"/>
      <c r="Q252" s="166"/>
      <c r="R252" s="166"/>
      <c r="S252" s="166"/>
      <c r="T252" s="166"/>
      <c r="U252" s="166"/>
      <c r="V252" s="166"/>
      <c r="W252" s="167"/>
      <c r="Y252"/>
    </row>
    <row r="253" spans="1:25" ht="15.5">
      <c r="A253" s="168"/>
      <c r="B253" s="169"/>
      <c r="C253" s="170"/>
      <c r="D253" s="171"/>
      <c r="E253" s="171"/>
      <c r="F253" s="171"/>
      <c r="G253" s="171"/>
      <c r="H253" s="171"/>
      <c r="I253" s="171"/>
      <c r="J253" s="171"/>
      <c r="K253" s="171"/>
      <c r="L253" s="171"/>
      <c r="M253" s="171"/>
      <c r="N253" s="171"/>
      <c r="O253" s="171"/>
      <c r="P253" s="171"/>
      <c r="Q253" s="171"/>
      <c r="R253" s="171"/>
      <c r="S253" s="171"/>
      <c r="T253" s="171"/>
      <c r="U253" s="171"/>
      <c r="V253" s="171"/>
      <c r="W253" s="334"/>
      <c r="Y253"/>
    </row>
    <row r="254" spans="1:25" s="149" customFormat="1" ht="15.5">
      <c r="A254" s="168"/>
      <c r="B254" s="148"/>
      <c r="C254" s="145"/>
      <c r="D254" s="146"/>
      <c r="E254" s="146"/>
      <c r="F254" s="146"/>
      <c r="G254" s="146"/>
      <c r="H254" s="146"/>
      <c r="I254" s="146"/>
      <c r="J254" s="146"/>
      <c r="K254" s="146"/>
      <c r="L254" s="146"/>
      <c r="M254" s="146"/>
      <c r="N254" s="146"/>
      <c r="O254" s="146"/>
      <c r="P254" s="146"/>
      <c r="Q254" s="146"/>
      <c r="R254" s="146"/>
      <c r="S254" s="146"/>
      <c r="T254" s="146"/>
      <c r="U254" s="146"/>
      <c r="V254" s="146"/>
      <c r="W254" s="332"/>
      <c r="X254" s="65"/>
      <c r="Y254"/>
    </row>
    <row r="255" spans="1:25" ht="15.5">
      <c r="A255" s="168"/>
      <c r="B255" s="164"/>
      <c r="C255" s="165"/>
      <c r="D255" s="166"/>
      <c r="E255" s="166"/>
      <c r="F255" s="166"/>
      <c r="G255" s="166"/>
      <c r="H255" s="166"/>
      <c r="I255" s="166"/>
      <c r="J255" s="166"/>
      <c r="K255" s="166"/>
      <c r="L255" s="166"/>
      <c r="M255" s="166"/>
      <c r="N255" s="166"/>
      <c r="O255" s="166"/>
      <c r="P255" s="166"/>
      <c r="Q255" s="166"/>
      <c r="R255" s="166"/>
      <c r="S255" s="166"/>
      <c r="T255" s="166"/>
      <c r="U255" s="166"/>
      <c r="V255" s="166"/>
      <c r="W255" s="167"/>
      <c r="Y255"/>
    </row>
    <row r="256" spans="1:25" ht="15.5">
      <c r="A256" s="168"/>
      <c r="B256" s="169"/>
      <c r="C256" s="170"/>
      <c r="D256" s="171"/>
      <c r="E256" s="171"/>
      <c r="F256" s="171"/>
      <c r="G256" s="171"/>
      <c r="H256" s="171"/>
      <c r="I256" s="171"/>
      <c r="J256" s="171"/>
      <c r="K256" s="171"/>
      <c r="L256" s="171"/>
      <c r="M256" s="171"/>
      <c r="N256" s="171"/>
      <c r="O256" s="171"/>
      <c r="P256" s="171"/>
      <c r="Q256" s="171"/>
      <c r="R256" s="171"/>
      <c r="S256" s="171"/>
      <c r="T256" s="171"/>
      <c r="U256" s="171"/>
      <c r="V256" s="171"/>
      <c r="W256" s="334"/>
      <c r="Y256"/>
    </row>
    <row r="257" spans="1:25" s="149" customFormat="1" ht="15.5">
      <c r="A257" s="168"/>
      <c r="B257" s="148"/>
      <c r="C257" s="145"/>
      <c r="D257" s="146"/>
      <c r="E257" s="146"/>
      <c r="F257" s="146"/>
      <c r="G257" s="146"/>
      <c r="H257" s="146"/>
      <c r="I257" s="146"/>
      <c r="J257" s="146"/>
      <c r="K257" s="146"/>
      <c r="L257" s="146"/>
      <c r="M257" s="146"/>
      <c r="N257" s="146"/>
      <c r="O257" s="146"/>
      <c r="P257" s="146"/>
      <c r="Q257" s="146"/>
      <c r="R257" s="146"/>
      <c r="S257" s="146"/>
      <c r="T257" s="146"/>
      <c r="U257" s="146"/>
      <c r="V257" s="146"/>
      <c r="W257" s="332"/>
      <c r="X257" s="65"/>
      <c r="Y257"/>
    </row>
    <row r="258" spans="1:25" ht="15.5">
      <c r="A258" s="168"/>
      <c r="B258" s="164"/>
      <c r="C258" s="165"/>
      <c r="D258" s="166"/>
      <c r="E258" s="166"/>
      <c r="F258" s="166"/>
      <c r="G258" s="166"/>
      <c r="H258" s="166"/>
      <c r="I258" s="166"/>
      <c r="J258" s="166"/>
      <c r="K258" s="166"/>
      <c r="L258" s="166"/>
      <c r="M258" s="166"/>
      <c r="N258" s="166"/>
      <c r="O258" s="166"/>
      <c r="P258" s="166"/>
      <c r="Q258" s="166"/>
      <c r="R258" s="166"/>
      <c r="S258" s="166"/>
      <c r="T258" s="166"/>
      <c r="U258" s="166"/>
      <c r="V258" s="166"/>
      <c r="W258" s="167"/>
      <c r="Y258"/>
    </row>
    <row r="259" spans="1:25" ht="15.5">
      <c r="A259" s="168"/>
      <c r="B259" s="169"/>
      <c r="C259" s="170"/>
      <c r="D259" s="171"/>
      <c r="E259" s="171"/>
      <c r="F259" s="171"/>
      <c r="G259" s="171"/>
      <c r="H259" s="171"/>
      <c r="I259" s="171"/>
      <c r="J259" s="171"/>
      <c r="K259" s="171"/>
      <c r="L259" s="171"/>
      <c r="M259" s="171"/>
      <c r="N259" s="171"/>
      <c r="O259" s="171"/>
      <c r="P259" s="171"/>
      <c r="Q259" s="171"/>
      <c r="R259" s="171"/>
      <c r="S259" s="171"/>
      <c r="T259" s="171"/>
      <c r="U259" s="171"/>
      <c r="V259" s="171"/>
      <c r="W259" s="334"/>
      <c r="Y259"/>
    </row>
    <row r="260" spans="1:25" s="149" customFormat="1" ht="15.5">
      <c r="A260" s="178"/>
      <c r="B260" s="148"/>
      <c r="C260" s="145"/>
      <c r="D260" s="146"/>
      <c r="E260" s="146"/>
      <c r="F260" s="146"/>
      <c r="G260" s="146"/>
      <c r="H260" s="146"/>
      <c r="I260" s="146"/>
      <c r="J260" s="146"/>
      <c r="K260" s="146"/>
      <c r="L260" s="146"/>
      <c r="M260" s="146"/>
      <c r="N260" s="146"/>
      <c r="O260" s="146"/>
      <c r="P260" s="146"/>
      <c r="Q260" s="146"/>
      <c r="R260" s="146"/>
      <c r="S260" s="146"/>
      <c r="T260" s="146"/>
      <c r="U260" s="146"/>
      <c r="V260" s="146"/>
      <c r="W260" s="332"/>
      <c r="X260" s="65"/>
      <c r="Y260"/>
    </row>
    <row r="261" spans="1:25">
      <c r="A261" s="65"/>
      <c r="D261" s="65"/>
    </row>
    <row r="262" spans="1:25">
      <c r="A262" s="65"/>
      <c r="D262" s="65"/>
    </row>
    <row r="263" spans="1:25" s="149" customFormat="1" ht="13">
      <c r="A263" s="65"/>
      <c r="B263" s="65"/>
      <c r="C263" s="65"/>
      <c r="D263" s="65"/>
      <c r="E263" s="65"/>
      <c r="F263" s="65"/>
      <c r="G263" s="65"/>
      <c r="H263" s="65"/>
      <c r="I263" s="65"/>
      <c r="J263" s="65"/>
      <c r="K263" s="65"/>
      <c r="L263" s="65"/>
      <c r="M263" s="65"/>
      <c r="N263" s="65"/>
      <c r="O263" s="65"/>
      <c r="P263" s="65"/>
      <c r="Q263" s="65"/>
      <c r="R263" s="65"/>
      <c r="S263" s="65"/>
      <c r="T263" s="65"/>
      <c r="U263" s="65"/>
      <c r="V263" s="65"/>
      <c r="W263" s="65"/>
      <c r="X263" s="65"/>
      <c r="Y263" s="65"/>
    </row>
    <row r="264" spans="1:25">
      <c r="A264" s="65"/>
      <c r="D264" s="65"/>
    </row>
    <row r="265" spans="1:25">
      <c r="A265" s="65"/>
      <c r="D265" s="65"/>
    </row>
    <row r="266" spans="1:25" s="149" customFormat="1" ht="13">
      <c r="A266" s="65"/>
      <c r="B266" s="65"/>
      <c r="C266" s="65"/>
      <c r="D266" s="65"/>
      <c r="E266" s="65"/>
      <c r="F266" s="65"/>
      <c r="G266" s="65"/>
      <c r="H266" s="65"/>
      <c r="I266" s="65"/>
      <c r="J266" s="65"/>
      <c r="K266" s="65"/>
      <c r="L266" s="65"/>
      <c r="M266" s="65"/>
      <c r="N266" s="65"/>
      <c r="O266" s="65"/>
      <c r="P266" s="65"/>
      <c r="Q266" s="65"/>
      <c r="R266" s="65"/>
      <c r="S266" s="65"/>
      <c r="T266" s="65"/>
      <c r="U266" s="65"/>
      <c r="V266" s="65"/>
      <c r="W266" s="65"/>
      <c r="X266" s="65"/>
      <c r="Y266" s="65"/>
    </row>
    <row r="267" spans="1:25">
      <c r="A267" s="65"/>
      <c r="D267" s="65"/>
    </row>
    <row r="268" spans="1:25">
      <c r="A268" s="65"/>
      <c r="D268" s="65"/>
    </row>
    <row r="269" spans="1:25" s="149" customFormat="1" ht="13">
      <c r="A269" s="65"/>
      <c r="B269" s="65"/>
      <c r="C269" s="65"/>
      <c r="D269" s="65"/>
      <c r="E269" s="65"/>
      <c r="F269" s="65"/>
      <c r="G269" s="65"/>
      <c r="H269" s="65"/>
      <c r="I269" s="65"/>
      <c r="J269" s="65"/>
      <c r="K269" s="65"/>
      <c r="L269" s="65"/>
      <c r="M269" s="65"/>
      <c r="N269" s="65"/>
      <c r="O269" s="65"/>
      <c r="P269" s="65"/>
      <c r="Q269" s="65"/>
      <c r="R269" s="65"/>
      <c r="S269" s="65"/>
      <c r="T269" s="65"/>
      <c r="U269" s="65"/>
      <c r="V269" s="65"/>
      <c r="W269" s="65"/>
      <c r="X269" s="65"/>
      <c r="Y269" s="65"/>
    </row>
    <row r="270" spans="1:25">
      <c r="A270" s="65"/>
      <c r="D270" s="65"/>
    </row>
    <row r="271" spans="1:25">
      <c r="A271" s="65"/>
      <c r="D271" s="65"/>
    </row>
    <row r="272" spans="1:25" s="149" customFormat="1" ht="13">
      <c r="A272" s="65"/>
      <c r="B272" s="65"/>
      <c r="C272" s="65"/>
      <c r="D272" s="65"/>
      <c r="E272" s="65"/>
      <c r="F272" s="65"/>
      <c r="G272" s="65"/>
      <c r="H272" s="65"/>
      <c r="I272" s="65"/>
      <c r="J272" s="65"/>
      <c r="K272" s="65"/>
      <c r="L272" s="65"/>
      <c r="M272" s="65"/>
      <c r="N272" s="65"/>
      <c r="O272" s="65"/>
      <c r="P272" s="65"/>
      <c r="Q272" s="65"/>
      <c r="R272" s="65"/>
      <c r="S272" s="65"/>
      <c r="T272" s="65"/>
      <c r="U272" s="65"/>
      <c r="V272" s="65"/>
      <c r="W272" s="65"/>
      <c r="X272" s="65"/>
      <c r="Y272" s="65"/>
    </row>
    <row r="273" spans="1:25">
      <c r="A273" s="65"/>
      <c r="D273" s="65"/>
    </row>
    <row r="274" spans="1:25">
      <c r="A274" s="65"/>
      <c r="D274" s="65"/>
    </row>
    <row r="275" spans="1:25" s="149" customFormat="1" ht="13">
      <c r="A275" s="65"/>
      <c r="B275" s="65"/>
      <c r="C275" s="65"/>
      <c r="D275" s="65"/>
      <c r="E275" s="65"/>
      <c r="F275" s="65"/>
      <c r="G275" s="65"/>
      <c r="H275" s="65"/>
      <c r="I275" s="65"/>
      <c r="J275" s="65"/>
      <c r="K275" s="65"/>
      <c r="L275" s="65"/>
      <c r="M275" s="65"/>
      <c r="N275" s="65"/>
      <c r="O275" s="65"/>
      <c r="P275" s="65"/>
      <c r="Q275" s="65"/>
      <c r="R275" s="65"/>
      <c r="S275" s="65"/>
      <c r="T275" s="65"/>
      <c r="U275" s="65"/>
      <c r="V275" s="65"/>
      <c r="W275" s="65"/>
      <c r="X275" s="65"/>
      <c r="Y275" s="65"/>
    </row>
    <row r="276" spans="1:25">
      <c r="A276" s="65"/>
      <c r="D276" s="65"/>
    </row>
    <row r="277" spans="1:25">
      <c r="A277" s="65"/>
      <c r="D277" s="65"/>
    </row>
    <row r="278" spans="1:25" s="149" customFormat="1" ht="13">
      <c r="A278" s="65"/>
      <c r="B278" s="65"/>
      <c r="C278" s="65"/>
      <c r="D278" s="65"/>
      <c r="E278" s="65"/>
      <c r="F278" s="65"/>
      <c r="G278" s="65"/>
      <c r="H278" s="65"/>
      <c r="I278" s="65"/>
      <c r="J278" s="65"/>
      <c r="K278" s="65"/>
      <c r="L278" s="65"/>
      <c r="M278" s="65"/>
      <c r="N278" s="65"/>
      <c r="O278" s="65"/>
      <c r="P278" s="65"/>
      <c r="Q278" s="65"/>
      <c r="R278" s="65"/>
      <c r="S278" s="65"/>
      <c r="T278" s="65"/>
      <c r="U278" s="65"/>
      <c r="V278" s="65"/>
      <c r="W278" s="65"/>
      <c r="X278" s="65"/>
      <c r="Y278" s="65"/>
    </row>
    <row r="279" spans="1:25">
      <c r="A279" s="65"/>
      <c r="D279" s="65"/>
    </row>
    <row r="280" spans="1:25">
      <c r="A280" s="65"/>
      <c r="D280" s="65"/>
    </row>
    <row r="281" spans="1:25" s="149" customFormat="1" ht="13">
      <c r="A281" s="65"/>
      <c r="B281" s="65"/>
      <c r="C281" s="65"/>
      <c r="D281" s="65"/>
      <c r="E281" s="65"/>
      <c r="F281" s="65"/>
      <c r="G281" s="65"/>
      <c r="H281" s="65"/>
      <c r="I281" s="65"/>
      <c r="J281" s="65"/>
      <c r="K281" s="65"/>
      <c r="L281" s="65"/>
      <c r="M281" s="65"/>
      <c r="N281" s="65"/>
      <c r="O281" s="65"/>
      <c r="P281" s="65"/>
      <c r="Q281" s="65"/>
      <c r="R281" s="65"/>
      <c r="S281" s="65"/>
      <c r="T281" s="65"/>
      <c r="U281" s="65"/>
      <c r="V281" s="65"/>
      <c r="W281" s="65"/>
      <c r="X281" s="65"/>
      <c r="Y281" s="65"/>
    </row>
    <row r="282" spans="1:25">
      <c r="A282" s="65"/>
      <c r="D282" s="65"/>
    </row>
    <row r="283" spans="1:25">
      <c r="A283" s="65"/>
      <c r="D283" s="65"/>
    </row>
    <row r="284" spans="1:25" s="149" customFormat="1" ht="13">
      <c r="A284" s="65"/>
      <c r="B284" s="65"/>
      <c r="C284" s="65"/>
      <c r="D284" s="65"/>
      <c r="E284" s="65"/>
      <c r="F284" s="65"/>
      <c r="G284" s="65"/>
      <c r="H284" s="65"/>
      <c r="I284" s="65"/>
      <c r="J284" s="65"/>
      <c r="K284" s="65"/>
      <c r="L284" s="65"/>
      <c r="M284" s="65"/>
      <c r="N284" s="65"/>
      <c r="O284" s="65"/>
      <c r="P284" s="65"/>
      <c r="Q284" s="65"/>
      <c r="R284" s="65"/>
      <c r="S284" s="65"/>
      <c r="T284" s="65"/>
      <c r="U284" s="65"/>
      <c r="V284" s="65"/>
      <c r="W284" s="65"/>
      <c r="X284" s="65"/>
      <c r="Y284" s="65"/>
    </row>
    <row r="285" spans="1:25">
      <c r="A285" s="65"/>
      <c r="D285" s="65"/>
    </row>
    <row r="286" spans="1:25">
      <c r="A286" s="65"/>
      <c r="D286" s="65"/>
    </row>
    <row r="287" spans="1:25" s="149" customFormat="1" ht="13">
      <c r="A287" s="65"/>
      <c r="B287" s="65"/>
      <c r="C287" s="65"/>
      <c r="D287" s="65"/>
      <c r="E287" s="65"/>
      <c r="F287" s="65"/>
      <c r="G287" s="65"/>
      <c r="H287" s="65"/>
      <c r="I287" s="65"/>
      <c r="J287" s="65"/>
      <c r="K287" s="65"/>
      <c r="L287" s="65"/>
      <c r="M287" s="65"/>
      <c r="N287" s="65"/>
      <c r="O287" s="65"/>
      <c r="P287" s="65"/>
      <c r="Q287" s="65"/>
      <c r="R287" s="65"/>
      <c r="S287" s="65"/>
      <c r="T287" s="65"/>
      <c r="U287" s="65"/>
      <c r="V287" s="65"/>
      <c r="W287" s="65"/>
      <c r="X287" s="65"/>
      <c r="Y287" s="65"/>
    </row>
    <row r="288" spans="1:25">
      <c r="A288" s="65"/>
      <c r="D288" s="65"/>
    </row>
    <row r="289" spans="1:25">
      <c r="A289" s="65"/>
      <c r="D289" s="65"/>
    </row>
    <row r="290" spans="1:25" s="149" customFormat="1" ht="13">
      <c r="A290" s="65"/>
      <c r="B290" s="65"/>
      <c r="C290" s="65"/>
      <c r="D290" s="65"/>
      <c r="E290" s="65"/>
      <c r="F290" s="65"/>
      <c r="G290" s="65"/>
      <c r="H290" s="65"/>
      <c r="I290" s="65"/>
      <c r="J290" s="65"/>
      <c r="K290" s="65"/>
      <c r="L290" s="65"/>
      <c r="M290" s="65"/>
      <c r="N290" s="65"/>
      <c r="O290" s="65"/>
      <c r="P290" s="65"/>
      <c r="Q290" s="65"/>
      <c r="R290" s="65"/>
      <c r="S290" s="65"/>
      <c r="T290" s="65"/>
      <c r="U290" s="65"/>
      <c r="V290" s="65"/>
      <c r="W290" s="65"/>
      <c r="X290" s="65"/>
      <c r="Y290" s="65"/>
    </row>
    <row r="291" spans="1:25">
      <c r="A291" s="65"/>
      <c r="D291" s="65"/>
    </row>
    <row r="292" spans="1:25">
      <c r="A292" s="65"/>
      <c r="D292" s="65"/>
    </row>
    <row r="293" spans="1:25" s="149" customFormat="1" ht="13">
      <c r="A293" s="65"/>
      <c r="B293" s="65"/>
      <c r="C293" s="65"/>
      <c r="D293" s="65"/>
      <c r="E293" s="65"/>
      <c r="F293" s="65"/>
      <c r="G293" s="65"/>
      <c r="H293" s="65"/>
      <c r="I293" s="65"/>
      <c r="J293" s="65"/>
      <c r="K293" s="65"/>
      <c r="L293" s="65"/>
      <c r="M293" s="65"/>
      <c r="N293" s="65"/>
      <c r="O293" s="65"/>
      <c r="P293" s="65"/>
      <c r="Q293" s="65"/>
      <c r="R293" s="65"/>
      <c r="S293" s="65"/>
      <c r="T293" s="65"/>
      <c r="U293" s="65"/>
      <c r="V293" s="65"/>
      <c r="W293" s="65"/>
      <c r="X293" s="65"/>
      <c r="Y293" s="65"/>
    </row>
    <row r="294" spans="1:25">
      <c r="A294" s="65"/>
      <c r="D294" s="65"/>
    </row>
    <row r="295" spans="1:25">
      <c r="A295" s="65"/>
      <c r="D295" s="65"/>
    </row>
    <row r="296" spans="1:25" s="149" customFormat="1" ht="13">
      <c r="A296" s="65"/>
      <c r="B296" s="65"/>
      <c r="C296" s="65"/>
      <c r="D296" s="65"/>
      <c r="E296" s="65"/>
      <c r="F296" s="65"/>
      <c r="G296" s="65"/>
      <c r="H296" s="65"/>
      <c r="I296" s="65"/>
      <c r="J296" s="65"/>
      <c r="K296" s="65"/>
      <c r="L296" s="65"/>
      <c r="M296" s="65"/>
      <c r="N296" s="65"/>
      <c r="O296" s="65"/>
      <c r="P296" s="65"/>
      <c r="Q296" s="65"/>
      <c r="R296" s="65"/>
      <c r="S296" s="65"/>
      <c r="T296" s="65"/>
      <c r="U296" s="65"/>
      <c r="V296" s="65"/>
      <c r="W296" s="65"/>
      <c r="X296" s="65"/>
      <c r="Y296" s="65"/>
    </row>
    <row r="297" spans="1:25">
      <c r="A297" s="65"/>
      <c r="D297" s="65"/>
    </row>
    <row r="298" spans="1:25">
      <c r="A298" s="65"/>
      <c r="D298" s="65"/>
    </row>
    <row r="299" spans="1:25" s="149" customFormat="1" ht="13">
      <c r="A299" s="65"/>
      <c r="B299" s="65"/>
      <c r="C299" s="65"/>
      <c r="D299" s="65"/>
      <c r="E299" s="65"/>
      <c r="F299" s="65"/>
      <c r="G299" s="65"/>
      <c r="H299" s="65"/>
      <c r="I299" s="65"/>
      <c r="J299" s="65"/>
      <c r="K299" s="65"/>
      <c r="L299" s="65"/>
      <c r="M299" s="65"/>
      <c r="N299" s="65"/>
      <c r="O299" s="65"/>
      <c r="P299" s="65"/>
      <c r="Q299" s="65"/>
      <c r="R299" s="65"/>
      <c r="S299" s="65"/>
      <c r="T299" s="65"/>
      <c r="U299" s="65"/>
      <c r="V299" s="65"/>
      <c r="W299" s="65"/>
      <c r="X299" s="65"/>
      <c r="Y299" s="65"/>
    </row>
    <row r="300" spans="1:25">
      <c r="A300" s="65"/>
      <c r="D300" s="65"/>
    </row>
    <row r="301" spans="1:25">
      <c r="A301" s="65"/>
      <c r="D301" s="65"/>
    </row>
    <row r="302" spans="1:25" s="149" customFormat="1" ht="13">
      <c r="A302" s="65"/>
      <c r="B302" s="65"/>
      <c r="C302" s="65"/>
      <c r="D302" s="65"/>
      <c r="E302" s="65"/>
      <c r="F302" s="65"/>
      <c r="G302" s="65"/>
      <c r="H302" s="65"/>
      <c r="I302" s="65"/>
      <c r="J302" s="65"/>
      <c r="K302" s="65"/>
      <c r="L302" s="65"/>
      <c r="M302" s="65"/>
      <c r="N302" s="65"/>
      <c r="O302" s="65"/>
      <c r="P302" s="65"/>
      <c r="Q302" s="65"/>
      <c r="R302" s="65"/>
      <c r="S302" s="65"/>
      <c r="T302" s="65"/>
      <c r="U302" s="65"/>
      <c r="V302" s="65"/>
      <c r="W302" s="65"/>
      <c r="X302" s="65"/>
      <c r="Y302" s="65"/>
    </row>
    <row r="303" spans="1:25">
      <c r="A303" s="65"/>
      <c r="D303" s="65"/>
    </row>
    <row r="304" spans="1:25">
      <c r="A304" s="65"/>
      <c r="D304" s="65"/>
    </row>
    <row r="305" spans="1:25" s="149" customFormat="1" ht="13">
      <c r="A305" s="65"/>
      <c r="B305" s="65"/>
      <c r="C305" s="65"/>
      <c r="D305" s="65"/>
      <c r="E305" s="65"/>
      <c r="F305" s="65"/>
      <c r="G305" s="65"/>
      <c r="H305" s="65"/>
      <c r="I305" s="65"/>
      <c r="J305" s="65"/>
      <c r="K305" s="65"/>
      <c r="L305" s="65"/>
      <c r="M305" s="65"/>
      <c r="N305" s="65"/>
      <c r="O305" s="65"/>
      <c r="P305" s="65"/>
      <c r="Q305" s="65"/>
      <c r="R305" s="65"/>
      <c r="S305" s="65"/>
      <c r="T305" s="65"/>
      <c r="U305" s="65"/>
      <c r="V305" s="65"/>
      <c r="W305" s="65"/>
      <c r="X305" s="65"/>
      <c r="Y305" s="65"/>
    </row>
    <row r="306" spans="1:25">
      <c r="A306" s="65"/>
      <c r="D306" s="65"/>
    </row>
    <row r="307" spans="1:25">
      <c r="A307" s="65"/>
      <c r="D307" s="65"/>
    </row>
    <row r="308" spans="1:25" s="149" customFormat="1" ht="13">
      <c r="A308" s="65"/>
      <c r="B308" s="65"/>
      <c r="C308" s="65"/>
      <c r="D308" s="65"/>
      <c r="E308" s="65"/>
      <c r="F308" s="65"/>
      <c r="G308" s="65"/>
      <c r="H308" s="65"/>
      <c r="I308" s="65"/>
      <c r="J308" s="65"/>
      <c r="K308" s="65"/>
      <c r="L308" s="65"/>
      <c r="M308" s="65"/>
      <c r="N308" s="65"/>
      <c r="O308" s="65"/>
      <c r="P308" s="65"/>
      <c r="Q308" s="65"/>
      <c r="R308" s="65"/>
      <c r="S308" s="65"/>
      <c r="T308" s="65"/>
      <c r="U308" s="65"/>
      <c r="V308" s="65"/>
      <c r="W308" s="65"/>
      <c r="X308" s="65"/>
      <c r="Y308" s="65"/>
    </row>
    <row r="309" spans="1:25">
      <c r="A309" s="65"/>
      <c r="D309" s="65"/>
    </row>
    <row r="310" spans="1:25">
      <c r="A310" s="65"/>
      <c r="D310" s="65"/>
    </row>
    <row r="311" spans="1:25" s="149" customFormat="1" ht="13">
      <c r="A311" s="65"/>
      <c r="B311" s="65"/>
      <c r="C311" s="65"/>
      <c r="D311" s="65"/>
      <c r="E311" s="65"/>
      <c r="F311" s="65"/>
      <c r="G311" s="65"/>
      <c r="H311" s="65"/>
      <c r="I311" s="65"/>
      <c r="J311" s="65"/>
      <c r="K311" s="65"/>
      <c r="L311" s="65"/>
      <c r="M311" s="65"/>
      <c r="N311" s="65"/>
      <c r="O311" s="65"/>
      <c r="P311" s="65"/>
      <c r="Q311" s="65"/>
      <c r="R311" s="65"/>
      <c r="S311" s="65"/>
      <c r="T311" s="65"/>
      <c r="U311" s="65"/>
      <c r="V311" s="65"/>
      <c r="W311" s="65"/>
      <c r="X311" s="65"/>
      <c r="Y311" s="65"/>
    </row>
    <row r="312" spans="1:25">
      <c r="A312" s="65"/>
      <c r="D312" s="65"/>
    </row>
    <row r="313" spans="1:25">
      <c r="A313" s="65"/>
      <c r="D313" s="65"/>
    </row>
    <row r="314" spans="1:25" s="149" customFormat="1" ht="13">
      <c r="A314" s="65"/>
      <c r="B314" s="65"/>
      <c r="C314" s="65"/>
      <c r="D314" s="65"/>
      <c r="E314" s="65"/>
      <c r="F314" s="65"/>
      <c r="G314" s="65"/>
      <c r="H314" s="65"/>
      <c r="I314" s="65"/>
      <c r="J314" s="65"/>
      <c r="K314" s="65"/>
      <c r="L314" s="65"/>
      <c r="M314" s="65"/>
      <c r="N314" s="65"/>
      <c r="O314" s="65"/>
      <c r="P314" s="65"/>
      <c r="Q314" s="65"/>
      <c r="R314" s="65"/>
      <c r="S314" s="65"/>
      <c r="T314" s="65"/>
      <c r="U314" s="65"/>
      <c r="V314" s="65"/>
      <c r="W314" s="65"/>
      <c r="X314" s="65"/>
      <c r="Y314" s="65"/>
    </row>
    <row r="315" spans="1:25">
      <c r="A315" s="65"/>
      <c r="D315" s="65"/>
    </row>
    <row r="316" spans="1:25">
      <c r="A316" s="65"/>
      <c r="D316" s="65"/>
    </row>
    <row r="317" spans="1:25" s="149" customFormat="1" ht="13">
      <c r="A317" s="65"/>
      <c r="B317" s="65"/>
      <c r="C317" s="65"/>
      <c r="D317" s="65"/>
      <c r="E317" s="65"/>
      <c r="F317" s="65"/>
      <c r="G317" s="65"/>
      <c r="H317" s="65"/>
      <c r="I317" s="65"/>
      <c r="J317" s="65"/>
      <c r="K317" s="65"/>
      <c r="L317" s="65"/>
      <c r="M317" s="65"/>
      <c r="N317" s="65"/>
      <c r="O317" s="65"/>
      <c r="P317" s="65"/>
      <c r="Q317" s="65"/>
      <c r="R317" s="65"/>
      <c r="S317" s="65"/>
      <c r="T317" s="65"/>
      <c r="U317" s="65"/>
      <c r="V317" s="65"/>
      <c r="W317" s="65"/>
      <c r="X317" s="65"/>
      <c r="Y317" s="65"/>
    </row>
    <row r="318" spans="1:25">
      <c r="A318" s="65"/>
      <c r="D318" s="65"/>
    </row>
    <row r="319" spans="1:25">
      <c r="A319" s="65"/>
      <c r="D319" s="65"/>
    </row>
    <row r="320" spans="1:25" s="149" customFormat="1" ht="13">
      <c r="A320" s="65"/>
      <c r="B320" s="65"/>
      <c r="C320" s="65"/>
      <c r="D320" s="65"/>
      <c r="E320" s="65"/>
      <c r="F320" s="65"/>
      <c r="G320" s="65"/>
      <c r="H320" s="65"/>
      <c r="I320" s="65"/>
      <c r="J320" s="65"/>
      <c r="K320" s="65"/>
      <c r="L320" s="65"/>
      <c r="M320" s="65"/>
      <c r="N320" s="65"/>
      <c r="O320" s="65"/>
      <c r="P320" s="65"/>
      <c r="Q320" s="65"/>
      <c r="R320" s="65"/>
      <c r="S320" s="65"/>
      <c r="T320" s="65"/>
      <c r="U320" s="65"/>
      <c r="V320" s="65"/>
      <c r="W320" s="65"/>
      <c r="X320" s="65"/>
      <c r="Y320" s="65"/>
    </row>
    <row r="321" spans="1:25">
      <c r="A321" s="65"/>
      <c r="D321" s="65"/>
    </row>
    <row r="322" spans="1:25">
      <c r="A322" s="65"/>
      <c r="D322" s="65"/>
    </row>
    <row r="323" spans="1:25" s="149" customFormat="1" ht="13">
      <c r="A323" s="65"/>
      <c r="B323" s="65"/>
      <c r="C323" s="65"/>
      <c r="D323" s="65"/>
      <c r="E323" s="65"/>
      <c r="F323" s="65"/>
      <c r="G323" s="65"/>
      <c r="H323" s="65"/>
      <c r="I323" s="65"/>
      <c r="J323" s="65"/>
      <c r="K323" s="65"/>
      <c r="L323" s="65"/>
      <c r="M323" s="65"/>
      <c r="N323" s="65"/>
      <c r="O323" s="65"/>
      <c r="P323" s="65"/>
      <c r="Q323" s="65"/>
      <c r="R323" s="65"/>
      <c r="S323" s="65"/>
      <c r="T323" s="65"/>
      <c r="U323" s="65"/>
      <c r="V323" s="65"/>
      <c r="W323" s="65"/>
      <c r="X323" s="65"/>
      <c r="Y323" s="65"/>
    </row>
    <row r="324" spans="1:25">
      <c r="A324" s="65"/>
      <c r="D324" s="65"/>
    </row>
    <row r="325" spans="1:25">
      <c r="A325" s="65"/>
      <c r="D325" s="65"/>
    </row>
    <row r="326" spans="1:25" s="149" customFormat="1" ht="13">
      <c r="A326" s="65"/>
      <c r="B326" s="65"/>
      <c r="C326" s="65"/>
      <c r="D326" s="65"/>
      <c r="E326" s="65"/>
      <c r="F326" s="65"/>
      <c r="G326" s="65"/>
      <c r="H326" s="65"/>
      <c r="I326" s="65"/>
      <c r="J326" s="65"/>
      <c r="K326" s="65"/>
      <c r="L326" s="65"/>
      <c r="M326" s="65"/>
      <c r="N326" s="65"/>
      <c r="O326" s="65"/>
      <c r="P326" s="65"/>
      <c r="Q326" s="65"/>
      <c r="R326" s="65"/>
      <c r="S326" s="65"/>
      <c r="T326" s="65"/>
      <c r="U326" s="65"/>
      <c r="V326" s="65"/>
      <c r="W326" s="65"/>
      <c r="X326" s="65"/>
      <c r="Y326" s="65"/>
    </row>
    <row r="327" spans="1:25">
      <c r="A327" s="65"/>
      <c r="D327" s="65"/>
    </row>
    <row r="328" spans="1:25">
      <c r="A328" s="65"/>
      <c r="D328" s="65"/>
    </row>
    <row r="329" spans="1:25" s="149" customFormat="1" ht="13">
      <c r="A329" s="65"/>
      <c r="B329" s="65"/>
      <c r="C329" s="65"/>
      <c r="D329" s="65"/>
      <c r="E329" s="65"/>
      <c r="F329" s="65"/>
      <c r="G329" s="65"/>
      <c r="H329" s="65"/>
      <c r="I329" s="65"/>
      <c r="J329" s="65"/>
      <c r="K329" s="65"/>
      <c r="L329" s="65"/>
      <c r="M329" s="65"/>
      <c r="N329" s="65"/>
      <c r="O329" s="65"/>
      <c r="P329" s="65"/>
      <c r="Q329" s="65"/>
      <c r="R329" s="65"/>
      <c r="S329" s="65"/>
      <c r="T329" s="65"/>
      <c r="U329" s="65"/>
      <c r="V329" s="65"/>
      <c r="W329" s="65"/>
      <c r="X329" s="65"/>
      <c r="Y329" s="65"/>
    </row>
    <row r="330" spans="1:25">
      <c r="A330" s="65"/>
      <c r="D330" s="65"/>
    </row>
    <row r="331" spans="1:25">
      <c r="A331" s="65"/>
      <c r="D331" s="65"/>
    </row>
    <row r="332" spans="1:25" s="149" customFormat="1" ht="13">
      <c r="A332" s="65"/>
      <c r="B332" s="65"/>
      <c r="C332" s="65"/>
      <c r="D332" s="65"/>
      <c r="E332" s="65"/>
      <c r="F332" s="65"/>
      <c r="G332" s="65"/>
      <c r="H332" s="65"/>
      <c r="I332" s="65"/>
      <c r="J332" s="65"/>
      <c r="K332" s="65"/>
      <c r="L332" s="65"/>
      <c r="M332" s="65"/>
      <c r="N332" s="65"/>
      <c r="O332" s="65"/>
      <c r="P332" s="65"/>
      <c r="Q332" s="65"/>
      <c r="R332" s="65"/>
      <c r="S332" s="65"/>
      <c r="T332" s="65"/>
      <c r="U332" s="65"/>
      <c r="V332" s="65"/>
      <c r="W332" s="65"/>
      <c r="X332" s="65"/>
      <c r="Y332" s="65"/>
    </row>
    <row r="333" spans="1:25">
      <c r="A333" s="65"/>
      <c r="D333" s="65"/>
    </row>
    <row r="334" spans="1:25">
      <c r="A334" s="65"/>
      <c r="D334" s="65"/>
    </row>
    <row r="335" spans="1:25" s="149" customFormat="1" ht="13">
      <c r="A335" s="65"/>
      <c r="B335" s="65"/>
      <c r="C335" s="65"/>
      <c r="D335" s="65"/>
      <c r="E335" s="65"/>
      <c r="F335" s="65"/>
      <c r="G335" s="65"/>
      <c r="H335" s="65"/>
      <c r="I335" s="65"/>
      <c r="J335" s="65"/>
      <c r="K335" s="65"/>
      <c r="L335" s="65"/>
      <c r="M335" s="65"/>
      <c r="N335" s="65"/>
      <c r="O335" s="65"/>
      <c r="P335" s="65"/>
      <c r="Q335" s="65"/>
      <c r="R335" s="65"/>
      <c r="S335" s="65"/>
      <c r="T335" s="65"/>
      <c r="U335" s="65"/>
      <c r="V335" s="65"/>
      <c r="W335" s="65"/>
      <c r="X335" s="65"/>
      <c r="Y335" s="65"/>
    </row>
    <row r="336" spans="1:25">
      <c r="A336" s="65"/>
      <c r="D336" s="65"/>
    </row>
    <row r="337" spans="1:25">
      <c r="A337" s="65"/>
      <c r="D337" s="65"/>
    </row>
    <row r="338" spans="1:25" s="149" customFormat="1" ht="13">
      <c r="A338" s="65"/>
      <c r="B338" s="65"/>
      <c r="C338" s="65"/>
      <c r="D338" s="65"/>
      <c r="E338" s="65"/>
      <c r="F338" s="65"/>
      <c r="G338" s="65"/>
      <c r="H338" s="65"/>
      <c r="I338" s="65"/>
      <c r="J338" s="65"/>
      <c r="K338" s="65"/>
      <c r="L338" s="65"/>
      <c r="M338" s="65"/>
      <c r="N338" s="65"/>
      <c r="O338" s="65"/>
      <c r="P338" s="65"/>
      <c r="Q338" s="65"/>
      <c r="R338" s="65"/>
      <c r="S338" s="65"/>
      <c r="T338" s="65"/>
      <c r="U338" s="65"/>
      <c r="V338" s="65"/>
      <c r="W338" s="65"/>
      <c r="X338" s="65"/>
      <c r="Y338" s="65"/>
    </row>
    <row r="339" spans="1:25">
      <c r="A339" s="65"/>
      <c r="D339" s="65"/>
    </row>
    <row r="340" spans="1:25">
      <c r="A340" s="65"/>
      <c r="D340" s="65"/>
    </row>
    <row r="341" spans="1:25" s="149" customFormat="1" ht="13">
      <c r="A341" s="65"/>
      <c r="B341" s="65"/>
      <c r="C341" s="65"/>
      <c r="D341" s="65"/>
      <c r="E341" s="65"/>
      <c r="F341" s="65"/>
      <c r="G341" s="65"/>
      <c r="H341" s="65"/>
      <c r="I341" s="65"/>
      <c r="J341" s="65"/>
      <c r="K341" s="65"/>
      <c r="L341" s="65"/>
      <c r="M341" s="65"/>
      <c r="N341" s="65"/>
      <c r="O341" s="65"/>
      <c r="P341" s="65"/>
      <c r="Q341" s="65"/>
      <c r="R341" s="65"/>
      <c r="S341" s="65"/>
      <c r="T341" s="65"/>
      <c r="U341" s="65"/>
      <c r="V341" s="65"/>
      <c r="W341" s="65"/>
      <c r="X341" s="65"/>
      <c r="Y341" s="65"/>
    </row>
    <row r="342" spans="1:25">
      <c r="A342" s="65"/>
      <c r="D342" s="65"/>
    </row>
    <row r="343" spans="1:25">
      <c r="A343" s="65"/>
      <c r="D343" s="65"/>
    </row>
    <row r="344" spans="1:25" s="149" customFormat="1" ht="13">
      <c r="A344" s="65"/>
      <c r="B344" s="65"/>
      <c r="C344" s="65"/>
      <c r="D344" s="65"/>
      <c r="E344" s="65"/>
      <c r="F344" s="65"/>
      <c r="G344" s="65"/>
      <c r="H344" s="65"/>
      <c r="I344" s="65"/>
      <c r="J344" s="65"/>
      <c r="K344" s="65"/>
      <c r="L344" s="65"/>
      <c r="M344" s="65"/>
      <c r="N344" s="65"/>
      <c r="O344" s="65"/>
      <c r="P344" s="65"/>
      <c r="Q344" s="65"/>
      <c r="R344" s="65"/>
      <c r="S344" s="65"/>
      <c r="T344" s="65"/>
      <c r="U344" s="65"/>
      <c r="V344" s="65"/>
      <c r="W344" s="65"/>
      <c r="X344" s="65"/>
      <c r="Y344" s="65"/>
    </row>
    <row r="345" spans="1:25">
      <c r="A345" s="65"/>
      <c r="D345" s="65"/>
    </row>
    <row r="346" spans="1:25">
      <c r="A346" s="65"/>
      <c r="D346" s="65"/>
    </row>
    <row r="347" spans="1:25" s="149" customFormat="1" ht="13">
      <c r="A347" s="65"/>
      <c r="B347" s="65"/>
      <c r="C347" s="65"/>
      <c r="D347" s="65"/>
      <c r="E347" s="65"/>
      <c r="F347" s="65"/>
      <c r="G347" s="65"/>
      <c r="H347" s="65"/>
      <c r="I347" s="65"/>
      <c r="J347" s="65"/>
      <c r="K347" s="65"/>
      <c r="L347" s="65"/>
      <c r="M347" s="65"/>
      <c r="N347" s="65"/>
      <c r="O347" s="65"/>
      <c r="P347" s="65"/>
      <c r="Q347" s="65"/>
      <c r="R347" s="65"/>
      <c r="S347" s="65"/>
      <c r="T347" s="65"/>
      <c r="U347" s="65"/>
      <c r="V347" s="65"/>
      <c r="W347" s="65"/>
      <c r="X347" s="65"/>
      <c r="Y347" s="65"/>
    </row>
    <row r="348" spans="1:25">
      <c r="A348" s="65"/>
      <c r="D348" s="65"/>
    </row>
    <row r="349" spans="1:25">
      <c r="A349" s="65"/>
      <c r="D349" s="65"/>
    </row>
    <row r="350" spans="1:25" s="149" customFormat="1" ht="13">
      <c r="A350" s="65"/>
      <c r="B350" s="65"/>
      <c r="C350" s="65"/>
      <c r="D350" s="65"/>
      <c r="E350" s="65"/>
      <c r="F350" s="65"/>
      <c r="G350" s="65"/>
      <c r="H350" s="65"/>
      <c r="I350" s="65"/>
      <c r="J350" s="65"/>
      <c r="K350" s="65"/>
      <c r="L350" s="65"/>
      <c r="M350" s="65"/>
      <c r="N350" s="65"/>
      <c r="O350" s="65"/>
      <c r="P350" s="65"/>
      <c r="Q350" s="65"/>
      <c r="R350" s="65"/>
      <c r="S350" s="65"/>
      <c r="T350" s="65"/>
      <c r="U350" s="65"/>
      <c r="V350" s="65"/>
      <c r="W350" s="65"/>
      <c r="X350" s="65"/>
      <c r="Y350" s="65"/>
    </row>
    <row r="351" spans="1:25">
      <c r="A351" s="65"/>
      <c r="D351" s="65"/>
    </row>
    <row r="352" spans="1:25">
      <c r="A352" s="65"/>
      <c r="D352" s="65"/>
    </row>
    <row r="353" spans="1:25" s="149" customFormat="1" ht="13">
      <c r="A353" s="65"/>
      <c r="B353" s="65"/>
      <c r="C353" s="65"/>
      <c r="D353" s="65"/>
      <c r="E353" s="65"/>
      <c r="F353" s="65"/>
      <c r="G353" s="65"/>
      <c r="H353" s="65"/>
      <c r="I353" s="65"/>
      <c r="J353" s="65"/>
      <c r="K353" s="65"/>
      <c r="L353" s="65"/>
      <c r="M353" s="65"/>
      <c r="N353" s="65"/>
      <c r="O353" s="65"/>
      <c r="P353" s="65"/>
      <c r="Q353" s="65"/>
      <c r="R353" s="65"/>
      <c r="S353" s="65"/>
      <c r="T353" s="65"/>
      <c r="U353" s="65"/>
      <c r="V353" s="65"/>
      <c r="W353" s="65"/>
      <c r="X353" s="65"/>
      <c r="Y353" s="65"/>
    </row>
    <row r="354" spans="1:25">
      <c r="A354" s="65"/>
      <c r="D354" s="65"/>
    </row>
    <row r="355" spans="1:25">
      <c r="A355" s="65"/>
      <c r="D355" s="65"/>
    </row>
    <row r="356" spans="1:25" s="149" customFormat="1" ht="13">
      <c r="A356" s="65"/>
      <c r="B356" s="65"/>
      <c r="C356" s="65"/>
      <c r="D356" s="65"/>
      <c r="E356" s="65"/>
      <c r="F356" s="65"/>
      <c r="G356" s="65"/>
      <c r="H356" s="65"/>
      <c r="I356" s="65"/>
      <c r="J356" s="65"/>
      <c r="K356" s="65"/>
      <c r="L356" s="65"/>
      <c r="M356" s="65"/>
      <c r="N356" s="65"/>
      <c r="O356" s="65"/>
      <c r="P356" s="65"/>
      <c r="Q356" s="65"/>
      <c r="R356" s="65"/>
      <c r="S356" s="65"/>
      <c r="T356" s="65"/>
      <c r="U356" s="65"/>
      <c r="V356" s="65"/>
      <c r="W356" s="65"/>
      <c r="X356" s="65"/>
      <c r="Y356" s="65"/>
    </row>
    <row r="357" spans="1:25">
      <c r="A357" s="65"/>
      <c r="D357" s="65"/>
    </row>
    <row r="358" spans="1:25">
      <c r="A358" s="65"/>
      <c r="D358" s="65"/>
    </row>
    <row r="359" spans="1:25" s="149" customFormat="1" ht="13">
      <c r="A359" s="65"/>
      <c r="B359" s="65"/>
      <c r="C359" s="65"/>
      <c r="D359" s="65"/>
      <c r="E359" s="65"/>
      <c r="F359" s="65"/>
      <c r="G359" s="65"/>
      <c r="H359" s="65"/>
      <c r="I359" s="65"/>
      <c r="J359" s="65"/>
      <c r="K359" s="65"/>
      <c r="L359" s="65"/>
      <c r="M359" s="65"/>
      <c r="N359" s="65"/>
      <c r="O359" s="65"/>
      <c r="P359" s="65"/>
      <c r="Q359" s="65"/>
      <c r="R359" s="65"/>
      <c r="S359" s="65"/>
      <c r="T359" s="65"/>
      <c r="U359" s="65"/>
      <c r="V359" s="65"/>
      <c r="W359" s="65"/>
      <c r="X359" s="65"/>
      <c r="Y359" s="65"/>
    </row>
    <row r="360" spans="1:25">
      <c r="A360" s="65"/>
      <c r="D360" s="65"/>
    </row>
    <row r="361" spans="1:25">
      <c r="A361" s="65"/>
      <c r="D361" s="65"/>
    </row>
    <row r="362" spans="1:25" s="149" customFormat="1" ht="13">
      <c r="A362" s="65"/>
      <c r="B362" s="65"/>
      <c r="C362" s="65"/>
      <c r="D362" s="65"/>
      <c r="E362" s="65"/>
      <c r="F362" s="65"/>
      <c r="G362" s="65"/>
      <c r="H362" s="65"/>
      <c r="I362" s="65"/>
      <c r="J362" s="65"/>
      <c r="K362" s="65"/>
      <c r="L362" s="65"/>
      <c r="M362" s="65"/>
      <c r="N362" s="65"/>
      <c r="O362" s="65"/>
      <c r="P362" s="65"/>
      <c r="Q362" s="65"/>
      <c r="R362" s="65"/>
      <c r="S362" s="65"/>
      <c r="T362" s="65"/>
      <c r="U362" s="65"/>
      <c r="V362" s="65"/>
      <c r="W362" s="65"/>
      <c r="X362" s="65"/>
      <c r="Y362" s="65"/>
    </row>
    <row r="363" spans="1:25">
      <c r="A363" s="65"/>
      <c r="D363" s="65"/>
    </row>
    <row r="364" spans="1:25">
      <c r="A364" s="65"/>
      <c r="D364" s="65"/>
    </row>
    <row r="365" spans="1:25" s="149" customFormat="1" ht="13">
      <c r="A365" s="65"/>
      <c r="B365" s="65"/>
      <c r="C365" s="65"/>
      <c r="D365" s="65"/>
      <c r="E365" s="65"/>
      <c r="F365" s="65"/>
      <c r="G365" s="65"/>
      <c r="H365" s="65"/>
      <c r="I365" s="65"/>
      <c r="J365" s="65"/>
      <c r="K365" s="65"/>
      <c r="L365" s="65"/>
      <c r="M365" s="65"/>
      <c r="N365" s="65"/>
      <c r="O365" s="65"/>
      <c r="P365" s="65"/>
      <c r="Q365" s="65"/>
      <c r="R365" s="65"/>
      <c r="S365" s="65"/>
      <c r="T365" s="65"/>
      <c r="U365" s="65"/>
      <c r="V365" s="65"/>
      <c r="W365" s="65"/>
      <c r="X365" s="65"/>
      <c r="Y365" s="65"/>
    </row>
    <row r="366" spans="1:25">
      <c r="A366" s="65"/>
      <c r="D366" s="65"/>
    </row>
    <row r="367" spans="1:25">
      <c r="A367" s="65"/>
      <c r="D367" s="65"/>
    </row>
    <row r="368" spans="1:25" s="149" customFormat="1" ht="13">
      <c r="A368" s="65"/>
      <c r="B368" s="65"/>
      <c r="C368" s="65"/>
      <c r="D368" s="65"/>
      <c r="E368" s="65"/>
      <c r="F368" s="65"/>
      <c r="G368" s="65"/>
      <c r="H368" s="65"/>
      <c r="I368" s="65"/>
      <c r="J368" s="65"/>
      <c r="K368" s="65"/>
      <c r="L368" s="65"/>
      <c r="M368" s="65"/>
      <c r="N368" s="65"/>
      <c r="O368" s="65"/>
      <c r="P368" s="65"/>
      <c r="Q368" s="65"/>
      <c r="R368" s="65"/>
      <c r="S368" s="65"/>
      <c r="T368" s="65"/>
      <c r="U368" s="65"/>
      <c r="V368" s="65"/>
      <c r="W368" s="65"/>
      <c r="X368" s="65"/>
      <c r="Y368" s="65"/>
    </row>
    <row r="369" spans="1:25">
      <c r="A369" s="65"/>
      <c r="D369" s="65"/>
    </row>
    <row r="370" spans="1:25">
      <c r="A370" s="65"/>
      <c r="D370" s="65"/>
    </row>
    <row r="371" spans="1:25" s="149" customFormat="1" ht="13">
      <c r="A371" s="65"/>
      <c r="B371" s="65"/>
      <c r="C371" s="65"/>
      <c r="D371" s="65"/>
      <c r="E371" s="65"/>
      <c r="F371" s="65"/>
      <c r="G371" s="65"/>
      <c r="H371" s="65"/>
      <c r="I371" s="65"/>
      <c r="J371" s="65"/>
      <c r="K371" s="65"/>
      <c r="L371" s="65"/>
      <c r="M371" s="65"/>
      <c r="N371" s="65"/>
      <c r="O371" s="65"/>
      <c r="P371" s="65"/>
      <c r="Q371" s="65"/>
      <c r="R371" s="65"/>
      <c r="S371" s="65"/>
      <c r="T371" s="65"/>
      <c r="U371" s="65"/>
      <c r="V371" s="65"/>
      <c r="W371" s="65"/>
      <c r="X371" s="65"/>
      <c r="Y371" s="65"/>
    </row>
    <row r="372" spans="1:25">
      <c r="A372" s="65"/>
      <c r="D372" s="65"/>
    </row>
    <row r="373" spans="1:25">
      <c r="A373" s="65"/>
      <c r="D373" s="65"/>
    </row>
    <row r="374" spans="1:25" s="149" customFormat="1" ht="13">
      <c r="A374" s="65"/>
      <c r="B374" s="65"/>
      <c r="C374" s="65"/>
      <c r="D374" s="65"/>
      <c r="E374" s="65"/>
      <c r="F374" s="65"/>
      <c r="G374" s="65"/>
      <c r="H374" s="65"/>
      <c r="I374" s="65"/>
      <c r="J374" s="65"/>
      <c r="K374" s="65"/>
      <c r="L374" s="65"/>
      <c r="M374" s="65"/>
      <c r="N374" s="65"/>
      <c r="O374" s="65"/>
      <c r="P374" s="65"/>
      <c r="Q374" s="65"/>
      <c r="R374" s="65"/>
      <c r="S374" s="65"/>
      <c r="T374" s="65"/>
      <c r="U374" s="65"/>
      <c r="V374" s="65"/>
      <c r="W374" s="65"/>
      <c r="X374" s="65"/>
      <c r="Y374" s="65"/>
    </row>
    <row r="375" spans="1:25">
      <c r="A375" s="65"/>
      <c r="D375" s="65"/>
    </row>
    <row r="376" spans="1:25">
      <c r="A376" s="65"/>
      <c r="D376" s="65"/>
    </row>
    <row r="377" spans="1:25" s="149" customFormat="1" ht="13">
      <c r="A377" s="65"/>
      <c r="B377" s="65"/>
      <c r="C377" s="65"/>
      <c r="D377" s="65"/>
      <c r="E377" s="65"/>
      <c r="F377" s="65"/>
      <c r="G377" s="65"/>
      <c r="H377" s="65"/>
      <c r="I377" s="65"/>
      <c r="J377" s="65"/>
      <c r="K377" s="65"/>
      <c r="L377" s="65"/>
      <c r="M377" s="65"/>
      <c r="N377" s="65"/>
      <c r="O377" s="65"/>
      <c r="P377" s="65"/>
      <c r="Q377" s="65"/>
      <c r="R377" s="65"/>
      <c r="S377" s="65"/>
      <c r="T377" s="65"/>
      <c r="U377" s="65"/>
      <c r="V377" s="65"/>
      <c r="W377" s="65"/>
      <c r="X377" s="65"/>
      <c r="Y377" s="65"/>
    </row>
    <row r="378" spans="1:25">
      <c r="A378" s="65"/>
      <c r="D378" s="65"/>
    </row>
    <row r="379" spans="1:25">
      <c r="A379" s="65"/>
      <c r="D379" s="65"/>
    </row>
    <row r="380" spans="1:25" s="149" customFormat="1" ht="13">
      <c r="A380" s="65"/>
      <c r="B380" s="65"/>
      <c r="C380" s="65"/>
      <c r="D380" s="65"/>
      <c r="E380" s="65"/>
      <c r="F380" s="65"/>
      <c r="G380" s="65"/>
      <c r="H380" s="65"/>
      <c r="I380" s="65"/>
      <c r="J380" s="65"/>
      <c r="K380" s="65"/>
      <c r="L380" s="65"/>
      <c r="M380" s="65"/>
      <c r="N380" s="65"/>
      <c r="O380" s="65"/>
      <c r="P380" s="65"/>
      <c r="Q380" s="65"/>
      <c r="R380" s="65"/>
      <c r="S380" s="65"/>
      <c r="T380" s="65"/>
      <c r="U380" s="65"/>
      <c r="V380" s="65"/>
      <c r="W380" s="65"/>
      <c r="X380" s="65"/>
      <c r="Y380" s="65"/>
    </row>
    <row r="381" spans="1:25">
      <c r="A381" s="65"/>
      <c r="D381" s="65"/>
    </row>
    <row r="382" spans="1:25">
      <c r="A382" s="65"/>
      <c r="D382" s="65"/>
    </row>
    <row r="383" spans="1:25" s="149" customFormat="1" ht="13">
      <c r="A383" s="65"/>
      <c r="B383" s="65"/>
      <c r="C383" s="65"/>
      <c r="D383" s="65"/>
      <c r="E383" s="65"/>
      <c r="F383" s="65"/>
      <c r="G383" s="65"/>
      <c r="H383" s="65"/>
      <c r="I383" s="65"/>
      <c r="J383" s="65"/>
      <c r="K383" s="65"/>
      <c r="L383" s="65"/>
      <c r="M383" s="65"/>
      <c r="N383" s="65"/>
      <c r="O383" s="65"/>
      <c r="P383" s="65"/>
      <c r="Q383" s="65"/>
      <c r="R383" s="65"/>
      <c r="S383" s="65"/>
      <c r="T383" s="65"/>
      <c r="U383" s="65"/>
      <c r="V383" s="65"/>
      <c r="W383" s="65"/>
      <c r="X383" s="65"/>
      <c r="Y383" s="65"/>
    </row>
    <row r="384" spans="1:25">
      <c r="A384" s="65"/>
      <c r="D384" s="65"/>
    </row>
    <row r="385" spans="1:25">
      <c r="A385" s="65"/>
      <c r="D385" s="65"/>
    </row>
    <row r="386" spans="1:25" s="149" customFormat="1" ht="13">
      <c r="A386" s="65"/>
      <c r="B386" s="65"/>
      <c r="C386" s="65"/>
      <c r="D386" s="65"/>
      <c r="E386" s="65"/>
      <c r="F386" s="65"/>
      <c r="G386" s="65"/>
      <c r="H386" s="65"/>
      <c r="I386" s="65"/>
      <c r="J386" s="65"/>
      <c r="K386" s="65"/>
      <c r="L386" s="65"/>
      <c r="M386" s="65"/>
      <c r="N386" s="65"/>
      <c r="O386" s="65"/>
      <c r="P386" s="65"/>
      <c r="Q386" s="65"/>
      <c r="R386" s="65"/>
      <c r="S386" s="65"/>
      <c r="T386" s="65"/>
      <c r="U386" s="65"/>
      <c r="V386" s="65"/>
      <c r="W386" s="65"/>
      <c r="X386" s="65"/>
      <c r="Y386" s="65"/>
    </row>
    <row r="387" spans="1:25">
      <c r="A387" s="65"/>
      <c r="D387" s="65"/>
    </row>
    <row r="388" spans="1:25">
      <c r="A388" s="65"/>
      <c r="D388" s="65"/>
    </row>
    <row r="389" spans="1:25" s="149" customFormat="1" ht="13">
      <c r="A389" s="65"/>
      <c r="B389" s="65"/>
      <c r="C389" s="65"/>
      <c r="D389" s="65"/>
      <c r="E389" s="65"/>
      <c r="F389" s="65"/>
      <c r="G389" s="65"/>
      <c r="H389" s="65"/>
      <c r="I389" s="65"/>
      <c r="J389" s="65"/>
      <c r="K389" s="65"/>
      <c r="L389" s="65"/>
      <c r="M389" s="65"/>
      <c r="N389" s="65"/>
      <c r="O389" s="65"/>
      <c r="P389" s="65"/>
      <c r="Q389" s="65"/>
      <c r="R389" s="65"/>
      <c r="S389" s="65"/>
      <c r="T389" s="65"/>
      <c r="U389" s="65"/>
      <c r="V389" s="65"/>
      <c r="W389" s="65"/>
      <c r="X389" s="65"/>
      <c r="Y389" s="65"/>
    </row>
    <row r="390" spans="1:25">
      <c r="A390" s="65"/>
      <c r="D390" s="65"/>
    </row>
    <row r="391" spans="1:25">
      <c r="A391" s="65"/>
      <c r="D391" s="65"/>
    </row>
    <row r="392" spans="1:25" s="149" customFormat="1" ht="13">
      <c r="A392" s="65"/>
      <c r="B392" s="65"/>
      <c r="C392" s="65"/>
      <c r="D392" s="65"/>
      <c r="E392" s="65"/>
      <c r="F392" s="65"/>
      <c r="G392" s="65"/>
      <c r="H392" s="65"/>
      <c r="I392" s="65"/>
      <c r="J392" s="65"/>
      <c r="K392" s="65"/>
      <c r="L392" s="65"/>
      <c r="M392" s="65"/>
      <c r="N392" s="65"/>
      <c r="O392" s="65"/>
      <c r="P392" s="65"/>
      <c r="Q392" s="65"/>
      <c r="R392" s="65"/>
      <c r="S392" s="65"/>
      <c r="T392" s="65"/>
      <c r="U392" s="65"/>
      <c r="V392" s="65"/>
      <c r="W392" s="65"/>
      <c r="X392" s="65"/>
      <c r="Y392" s="65"/>
    </row>
    <row r="393" spans="1:25">
      <c r="A393" s="65"/>
      <c r="D393" s="65"/>
    </row>
    <row r="394" spans="1:25">
      <c r="A394" s="65"/>
      <c r="D394" s="65"/>
    </row>
    <row r="395" spans="1:25" s="149" customFormat="1" ht="13">
      <c r="A395" s="65"/>
      <c r="B395" s="65"/>
      <c r="C395" s="65"/>
      <c r="D395" s="65"/>
      <c r="E395" s="65"/>
      <c r="F395" s="65"/>
      <c r="G395" s="65"/>
      <c r="H395" s="65"/>
      <c r="I395" s="65"/>
      <c r="J395" s="65"/>
      <c r="K395" s="65"/>
      <c r="L395" s="65"/>
      <c r="M395" s="65"/>
      <c r="N395" s="65"/>
      <c r="O395" s="65"/>
      <c r="P395" s="65"/>
      <c r="Q395" s="65"/>
      <c r="R395" s="65"/>
      <c r="S395" s="65"/>
      <c r="T395" s="65"/>
      <c r="U395" s="65"/>
      <c r="V395" s="65"/>
      <c r="W395" s="65"/>
      <c r="X395" s="65"/>
      <c r="Y395" s="65"/>
    </row>
    <row r="396" spans="1:25">
      <c r="A396" s="65"/>
      <c r="D396" s="65"/>
    </row>
    <row r="397" spans="1:25">
      <c r="A397" s="65"/>
      <c r="D397" s="65"/>
    </row>
    <row r="398" spans="1:25" s="149" customFormat="1" ht="13">
      <c r="A398" s="65"/>
      <c r="B398" s="65"/>
      <c r="C398" s="65"/>
      <c r="D398" s="65"/>
      <c r="E398" s="65"/>
      <c r="F398" s="65"/>
      <c r="G398" s="65"/>
      <c r="H398" s="65"/>
      <c r="I398" s="65"/>
      <c r="J398" s="65"/>
      <c r="K398" s="65"/>
      <c r="L398" s="65"/>
      <c r="M398" s="65"/>
      <c r="N398" s="65"/>
      <c r="O398" s="65"/>
      <c r="P398" s="65"/>
      <c r="Q398" s="65"/>
      <c r="R398" s="65"/>
      <c r="S398" s="65"/>
      <c r="T398" s="65"/>
      <c r="U398" s="65"/>
      <c r="V398" s="65"/>
      <c r="W398" s="65"/>
      <c r="X398" s="65"/>
      <c r="Y398" s="65"/>
    </row>
    <row r="399" spans="1:25">
      <c r="A399" s="65"/>
      <c r="D399" s="65"/>
    </row>
    <row r="400" spans="1:25">
      <c r="A400" s="65"/>
      <c r="D400" s="65"/>
    </row>
    <row r="401" spans="1:25" s="149" customFormat="1" ht="13">
      <c r="A401" s="65"/>
      <c r="B401" s="65"/>
      <c r="C401" s="65"/>
      <c r="D401" s="65"/>
      <c r="E401" s="65"/>
      <c r="F401" s="65"/>
      <c r="G401" s="65"/>
      <c r="H401" s="65"/>
      <c r="I401" s="65"/>
      <c r="J401" s="65"/>
      <c r="K401" s="65"/>
      <c r="L401" s="65"/>
      <c r="M401" s="65"/>
      <c r="N401" s="65"/>
      <c r="O401" s="65"/>
      <c r="P401" s="65"/>
      <c r="Q401" s="65"/>
      <c r="R401" s="65"/>
      <c r="S401" s="65"/>
      <c r="T401" s="65"/>
      <c r="U401" s="65"/>
      <c r="V401" s="65"/>
      <c r="W401" s="65"/>
      <c r="X401" s="65"/>
      <c r="Y401" s="65"/>
    </row>
    <row r="402" spans="1:25">
      <c r="A402" s="65"/>
      <c r="D402" s="65"/>
    </row>
    <row r="403" spans="1:25">
      <c r="A403" s="65"/>
      <c r="D403" s="65"/>
    </row>
    <row r="404" spans="1:25" s="149" customFormat="1" ht="13">
      <c r="A404" s="65"/>
      <c r="B404" s="65"/>
      <c r="C404" s="65"/>
      <c r="D404" s="65"/>
      <c r="E404" s="65"/>
      <c r="F404" s="65"/>
      <c r="G404" s="65"/>
      <c r="H404" s="65"/>
      <c r="I404" s="65"/>
      <c r="J404" s="65"/>
      <c r="K404" s="65"/>
      <c r="L404" s="65"/>
      <c r="M404" s="65"/>
      <c r="N404" s="65"/>
      <c r="O404" s="65"/>
      <c r="P404" s="65"/>
      <c r="Q404" s="65"/>
      <c r="R404" s="65"/>
      <c r="S404" s="65"/>
      <c r="T404" s="65"/>
      <c r="U404" s="65"/>
      <c r="V404" s="65"/>
      <c r="W404" s="65"/>
      <c r="X404" s="65"/>
      <c r="Y404" s="65"/>
    </row>
    <row r="405" spans="1:25">
      <c r="A405" s="65"/>
      <c r="D405" s="65"/>
    </row>
    <row r="406" spans="1:25">
      <c r="A406" s="65"/>
      <c r="D406" s="65"/>
    </row>
    <row r="407" spans="1:25" s="149" customFormat="1" ht="13">
      <c r="A407" s="65"/>
      <c r="B407" s="65"/>
      <c r="C407" s="65"/>
      <c r="D407" s="65"/>
      <c r="E407" s="65"/>
      <c r="F407" s="65"/>
      <c r="G407" s="65"/>
      <c r="H407" s="65"/>
      <c r="I407" s="65"/>
      <c r="J407" s="65"/>
      <c r="K407" s="65"/>
      <c r="L407" s="65"/>
      <c r="M407" s="65"/>
      <c r="N407" s="65"/>
      <c r="O407" s="65"/>
      <c r="P407" s="65"/>
      <c r="Q407" s="65"/>
      <c r="R407" s="65"/>
      <c r="S407" s="65"/>
      <c r="T407" s="65"/>
      <c r="U407" s="65"/>
      <c r="V407" s="65"/>
      <c r="W407" s="65"/>
      <c r="X407" s="65"/>
      <c r="Y407" s="65"/>
    </row>
    <row r="408" spans="1:25">
      <c r="A408" s="65"/>
      <c r="D408" s="65"/>
    </row>
    <row r="409" spans="1:25">
      <c r="A409" s="65"/>
      <c r="D409" s="65"/>
    </row>
    <row r="410" spans="1:25" s="149" customFormat="1" ht="13">
      <c r="A410" s="65"/>
      <c r="B410" s="65"/>
      <c r="C410" s="65"/>
      <c r="D410" s="65"/>
      <c r="E410" s="65"/>
      <c r="F410" s="65"/>
      <c r="G410" s="65"/>
      <c r="H410" s="65"/>
      <c r="I410" s="65"/>
      <c r="J410" s="65"/>
      <c r="K410" s="65"/>
      <c r="L410" s="65"/>
      <c r="M410" s="65"/>
      <c r="N410" s="65"/>
      <c r="O410" s="65"/>
      <c r="P410" s="65"/>
      <c r="Q410" s="65"/>
      <c r="R410" s="65"/>
      <c r="S410" s="65"/>
      <c r="T410" s="65"/>
      <c r="U410" s="65"/>
      <c r="V410" s="65"/>
      <c r="W410" s="65"/>
      <c r="X410" s="65"/>
      <c r="Y410" s="65"/>
    </row>
    <row r="411" spans="1:25">
      <c r="A411" s="65"/>
      <c r="D411" s="65"/>
    </row>
    <row r="412" spans="1:25">
      <c r="A412" s="65"/>
      <c r="D412" s="65"/>
    </row>
    <row r="413" spans="1:25" s="149" customFormat="1" ht="13">
      <c r="A413" s="65"/>
      <c r="B413" s="65"/>
      <c r="C413" s="65"/>
      <c r="D413" s="65"/>
      <c r="E413" s="65"/>
      <c r="F413" s="65"/>
      <c r="G413" s="65"/>
      <c r="H413" s="65"/>
      <c r="I413" s="65"/>
      <c r="J413" s="65"/>
      <c r="K413" s="65"/>
      <c r="L413" s="65"/>
      <c r="M413" s="65"/>
      <c r="N413" s="65"/>
      <c r="O413" s="65"/>
      <c r="P413" s="65"/>
      <c r="Q413" s="65"/>
      <c r="R413" s="65"/>
      <c r="S413" s="65"/>
      <c r="T413" s="65"/>
      <c r="U413" s="65"/>
      <c r="V413" s="65"/>
      <c r="W413" s="65"/>
      <c r="X413" s="65"/>
      <c r="Y413" s="65"/>
    </row>
    <row r="414" spans="1:25">
      <c r="A414" s="65"/>
      <c r="D414" s="65"/>
    </row>
    <row r="415" spans="1:25">
      <c r="A415" s="65"/>
      <c r="D415" s="65"/>
    </row>
    <row r="416" spans="1:25" s="149" customFormat="1" ht="13">
      <c r="A416" s="65"/>
      <c r="B416" s="65"/>
      <c r="C416" s="65"/>
      <c r="D416" s="65"/>
      <c r="E416" s="65"/>
      <c r="F416" s="65"/>
      <c r="G416" s="65"/>
      <c r="H416" s="65"/>
      <c r="I416" s="65"/>
      <c r="J416" s="65"/>
      <c r="K416" s="65"/>
      <c r="L416" s="65"/>
      <c r="M416" s="65"/>
      <c r="N416" s="65"/>
      <c r="O416" s="65"/>
      <c r="P416" s="65"/>
      <c r="Q416" s="65"/>
      <c r="R416" s="65"/>
      <c r="S416" s="65"/>
      <c r="T416" s="65"/>
      <c r="U416" s="65"/>
      <c r="V416" s="65"/>
      <c r="W416" s="65"/>
      <c r="X416" s="65"/>
      <c r="Y416" s="65"/>
    </row>
    <row r="417" spans="1:25">
      <c r="A417" s="65"/>
      <c r="D417" s="65"/>
    </row>
    <row r="418" spans="1:25">
      <c r="A418" s="65"/>
      <c r="D418" s="65"/>
    </row>
    <row r="419" spans="1:25" s="149" customFormat="1" ht="13">
      <c r="A419" s="65"/>
      <c r="B419" s="65"/>
      <c r="C419" s="65"/>
      <c r="D419" s="65"/>
      <c r="E419" s="65"/>
      <c r="F419" s="65"/>
      <c r="G419" s="65"/>
      <c r="H419" s="65"/>
      <c r="I419" s="65"/>
      <c r="J419" s="65"/>
      <c r="K419" s="65"/>
      <c r="L419" s="65"/>
      <c r="M419" s="65"/>
      <c r="N419" s="65"/>
      <c r="O419" s="65"/>
      <c r="P419" s="65"/>
      <c r="Q419" s="65"/>
      <c r="R419" s="65"/>
      <c r="S419" s="65"/>
      <c r="T419" s="65"/>
      <c r="U419" s="65"/>
      <c r="V419" s="65"/>
      <c r="W419" s="65"/>
      <c r="X419" s="65"/>
      <c r="Y419" s="65"/>
    </row>
    <row r="420" spans="1:25">
      <c r="A420" s="65"/>
      <c r="D420" s="65"/>
    </row>
    <row r="421" spans="1:25">
      <c r="A421" s="65"/>
      <c r="D421" s="65"/>
    </row>
    <row r="422" spans="1:25" s="149" customFormat="1" ht="13">
      <c r="A422" s="65"/>
      <c r="B422" s="65"/>
      <c r="C422" s="65"/>
      <c r="D422" s="65"/>
      <c r="E422" s="65"/>
      <c r="F422" s="65"/>
      <c r="G422" s="65"/>
      <c r="H422" s="65"/>
      <c r="I422" s="65"/>
      <c r="J422" s="65"/>
      <c r="K422" s="65"/>
      <c r="L422" s="65"/>
      <c r="M422" s="65"/>
      <c r="N422" s="65"/>
      <c r="O422" s="65"/>
      <c r="P422" s="65"/>
      <c r="Q422" s="65"/>
      <c r="R422" s="65"/>
      <c r="S422" s="65"/>
      <c r="T422" s="65"/>
      <c r="U422" s="65"/>
      <c r="V422" s="65"/>
      <c r="W422" s="65"/>
      <c r="X422" s="65"/>
      <c r="Y422" s="65"/>
    </row>
    <row r="423" spans="1:25">
      <c r="A423" s="65"/>
      <c r="D423" s="65"/>
    </row>
    <row r="424" spans="1:25">
      <c r="A424" s="65"/>
      <c r="D424" s="65"/>
    </row>
    <row r="425" spans="1:25" s="149" customFormat="1" ht="13">
      <c r="A425" s="65"/>
      <c r="B425" s="65"/>
      <c r="C425" s="65"/>
      <c r="D425" s="65"/>
      <c r="E425" s="65"/>
      <c r="F425" s="65"/>
      <c r="G425" s="65"/>
      <c r="H425" s="65"/>
      <c r="I425" s="65"/>
      <c r="J425" s="65"/>
      <c r="K425" s="65"/>
      <c r="L425" s="65"/>
      <c r="M425" s="65"/>
      <c r="N425" s="65"/>
      <c r="O425" s="65"/>
      <c r="P425" s="65"/>
      <c r="Q425" s="65"/>
      <c r="R425" s="65"/>
      <c r="S425" s="65"/>
      <c r="T425" s="65"/>
      <c r="U425" s="65"/>
      <c r="V425" s="65"/>
      <c r="W425" s="65"/>
      <c r="X425" s="65"/>
      <c r="Y425" s="65"/>
    </row>
    <row r="426" spans="1:25">
      <c r="A426" s="65"/>
      <c r="D426" s="65"/>
    </row>
    <row r="427" spans="1:25">
      <c r="A427" s="65"/>
      <c r="D427" s="65"/>
    </row>
    <row r="428" spans="1:25" s="149" customFormat="1" ht="13">
      <c r="A428" s="65"/>
      <c r="B428" s="65"/>
      <c r="C428" s="65"/>
      <c r="D428" s="65"/>
      <c r="E428" s="65"/>
      <c r="F428" s="65"/>
      <c r="G428" s="65"/>
      <c r="H428" s="65"/>
      <c r="I428" s="65"/>
      <c r="J428" s="65"/>
      <c r="K428" s="65"/>
      <c r="L428" s="65"/>
      <c r="M428" s="65"/>
      <c r="N428" s="65"/>
      <c r="O428" s="65"/>
      <c r="P428" s="65"/>
      <c r="Q428" s="65"/>
      <c r="R428" s="65"/>
      <c r="S428" s="65"/>
      <c r="T428" s="65"/>
      <c r="U428" s="65"/>
      <c r="V428" s="65"/>
      <c r="W428" s="65"/>
      <c r="X428" s="65"/>
      <c r="Y428" s="65"/>
    </row>
    <row r="429" spans="1:25">
      <c r="A429" s="65"/>
      <c r="D429" s="65"/>
    </row>
    <row r="430" spans="1:25">
      <c r="A430" s="65"/>
      <c r="D430" s="65"/>
    </row>
    <row r="431" spans="1:25" s="149" customFormat="1" ht="13">
      <c r="A431" s="65"/>
      <c r="B431" s="65"/>
      <c r="C431" s="65"/>
      <c r="D431" s="65"/>
      <c r="E431" s="65"/>
      <c r="F431" s="65"/>
      <c r="G431" s="65"/>
      <c r="H431" s="65"/>
      <c r="I431" s="65"/>
      <c r="J431" s="65"/>
      <c r="K431" s="65"/>
      <c r="L431" s="65"/>
      <c r="M431" s="65"/>
      <c r="N431" s="65"/>
      <c r="O431" s="65"/>
      <c r="P431" s="65"/>
      <c r="Q431" s="65"/>
      <c r="R431" s="65"/>
      <c r="S431" s="65"/>
      <c r="T431" s="65"/>
      <c r="U431" s="65"/>
      <c r="V431" s="65"/>
      <c r="W431" s="65"/>
      <c r="X431" s="65"/>
      <c r="Y431" s="65"/>
    </row>
    <row r="432" spans="1:25">
      <c r="A432" s="65"/>
      <c r="D432" s="65"/>
    </row>
    <row r="433" spans="1:25">
      <c r="A433" s="65"/>
      <c r="D433" s="65"/>
    </row>
    <row r="434" spans="1:25" s="149" customFormat="1" ht="13">
      <c r="A434" s="65"/>
      <c r="B434" s="65"/>
      <c r="C434" s="65"/>
      <c r="D434" s="65"/>
      <c r="E434" s="65"/>
      <c r="F434" s="65"/>
      <c r="G434" s="65"/>
      <c r="H434" s="65"/>
      <c r="I434" s="65"/>
      <c r="J434" s="65"/>
      <c r="K434" s="65"/>
      <c r="L434" s="65"/>
      <c r="M434" s="65"/>
      <c r="N434" s="65"/>
      <c r="O434" s="65"/>
      <c r="P434" s="65"/>
      <c r="Q434" s="65"/>
      <c r="R434" s="65"/>
      <c r="S434" s="65"/>
      <c r="T434" s="65"/>
      <c r="U434" s="65"/>
      <c r="V434" s="65"/>
      <c r="W434" s="65"/>
      <c r="X434" s="65"/>
      <c r="Y434" s="65"/>
    </row>
    <row r="435" spans="1:25">
      <c r="A435" s="65"/>
      <c r="D435" s="65"/>
    </row>
    <row r="436" spans="1:25">
      <c r="A436" s="65"/>
      <c r="D436" s="65"/>
    </row>
    <row r="437" spans="1:25" s="149" customFormat="1" ht="13">
      <c r="A437" s="65"/>
      <c r="B437" s="65"/>
      <c r="C437" s="65"/>
      <c r="D437" s="65"/>
      <c r="E437" s="65"/>
      <c r="F437" s="65"/>
      <c r="G437" s="65"/>
      <c r="H437" s="65"/>
      <c r="I437" s="65"/>
      <c r="J437" s="65"/>
      <c r="K437" s="65"/>
      <c r="L437" s="65"/>
      <c r="M437" s="65"/>
      <c r="N437" s="65"/>
      <c r="O437" s="65"/>
      <c r="P437" s="65"/>
      <c r="Q437" s="65"/>
      <c r="R437" s="65"/>
      <c r="S437" s="65"/>
      <c r="T437" s="65"/>
      <c r="U437" s="65"/>
      <c r="V437" s="65"/>
      <c r="W437" s="65"/>
      <c r="X437" s="65"/>
      <c r="Y437" s="65"/>
    </row>
    <row r="438" spans="1:25">
      <c r="A438" s="65"/>
      <c r="D438" s="65"/>
    </row>
    <row r="439" spans="1:25">
      <c r="A439" s="65"/>
      <c r="D439" s="65"/>
    </row>
    <row r="440" spans="1:25" s="149" customFormat="1" ht="13">
      <c r="A440" s="65"/>
      <c r="B440" s="65"/>
      <c r="C440" s="65"/>
      <c r="D440" s="65"/>
      <c r="E440" s="65"/>
      <c r="F440" s="65"/>
      <c r="G440" s="65"/>
      <c r="H440" s="65"/>
      <c r="I440" s="65"/>
      <c r="J440" s="65"/>
      <c r="K440" s="65"/>
      <c r="L440" s="65"/>
      <c r="M440" s="65"/>
      <c r="N440" s="65"/>
      <c r="O440" s="65"/>
      <c r="P440" s="65"/>
      <c r="Q440" s="65"/>
      <c r="R440" s="65"/>
      <c r="S440" s="65"/>
      <c r="T440" s="65"/>
      <c r="U440" s="65"/>
      <c r="V440" s="65"/>
      <c r="W440" s="65"/>
      <c r="X440" s="65"/>
      <c r="Y440" s="65"/>
    </row>
    <row r="441" spans="1:25">
      <c r="A441" s="65"/>
      <c r="D441" s="65"/>
    </row>
    <row r="442" spans="1:25">
      <c r="A442" s="65"/>
      <c r="D442" s="65"/>
    </row>
    <row r="443" spans="1:25" s="149" customFormat="1" ht="13">
      <c r="A443" s="65"/>
      <c r="B443" s="65"/>
      <c r="C443" s="65"/>
      <c r="D443" s="65"/>
      <c r="E443" s="65"/>
      <c r="F443" s="65"/>
      <c r="G443" s="65"/>
      <c r="H443" s="65"/>
      <c r="I443" s="65"/>
      <c r="J443" s="65"/>
      <c r="K443" s="65"/>
      <c r="L443" s="65"/>
      <c r="M443" s="65"/>
      <c r="N443" s="65"/>
      <c r="O443" s="65"/>
      <c r="P443" s="65"/>
      <c r="Q443" s="65"/>
      <c r="R443" s="65"/>
      <c r="S443" s="65"/>
      <c r="T443" s="65"/>
      <c r="U443" s="65"/>
      <c r="V443" s="65"/>
      <c r="W443" s="65"/>
      <c r="X443" s="65"/>
      <c r="Y443" s="65"/>
    </row>
    <row r="444" spans="1:25">
      <c r="A444" s="65"/>
      <c r="D444" s="65"/>
    </row>
    <row r="445" spans="1:25">
      <c r="A445" s="65"/>
      <c r="D445" s="65"/>
    </row>
    <row r="446" spans="1:25" s="149" customFormat="1" ht="13">
      <c r="A446" s="65"/>
      <c r="B446" s="65"/>
      <c r="C446" s="65"/>
      <c r="D446" s="65"/>
      <c r="E446" s="65"/>
      <c r="F446" s="65"/>
      <c r="G446" s="65"/>
      <c r="H446" s="65"/>
      <c r="I446" s="65"/>
      <c r="J446" s="65"/>
      <c r="K446" s="65"/>
      <c r="L446" s="65"/>
      <c r="M446" s="65"/>
      <c r="N446" s="65"/>
      <c r="O446" s="65"/>
      <c r="P446" s="65"/>
      <c r="Q446" s="65"/>
      <c r="R446" s="65"/>
      <c r="S446" s="65"/>
      <c r="T446" s="65"/>
      <c r="U446" s="65"/>
      <c r="V446" s="65"/>
      <c r="W446" s="65"/>
      <c r="X446" s="65"/>
      <c r="Y446" s="65"/>
    </row>
    <row r="447" spans="1:25">
      <c r="A447" s="65"/>
      <c r="D447" s="65"/>
    </row>
    <row r="448" spans="1:25">
      <c r="A448" s="65"/>
      <c r="D448" s="65"/>
    </row>
    <row r="449" spans="1:25" s="149" customFormat="1" ht="13">
      <c r="A449" s="65"/>
      <c r="B449" s="65"/>
      <c r="C449" s="65"/>
      <c r="D449" s="65"/>
      <c r="E449" s="65"/>
      <c r="F449" s="65"/>
      <c r="G449" s="65"/>
      <c r="H449" s="65"/>
      <c r="I449" s="65"/>
      <c r="J449" s="65"/>
      <c r="K449" s="65"/>
      <c r="L449" s="65"/>
      <c r="M449" s="65"/>
      <c r="N449" s="65"/>
      <c r="O449" s="65"/>
      <c r="P449" s="65"/>
      <c r="Q449" s="65"/>
      <c r="R449" s="65"/>
      <c r="S449" s="65"/>
      <c r="T449" s="65"/>
      <c r="U449" s="65"/>
      <c r="V449" s="65"/>
      <c r="W449" s="65"/>
      <c r="X449" s="65"/>
      <c r="Y449" s="65"/>
    </row>
    <row r="450" spans="1:25">
      <c r="A450" s="65"/>
      <c r="D450" s="65"/>
    </row>
    <row r="451" spans="1:25">
      <c r="A451" s="65"/>
      <c r="D451" s="65"/>
    </row>
    <row r="452" spans="1:25" s="149" customFormat="1" ht="13">
      <c r="A452" s="65"/>
      <c r="B452" s="65"/>
      <c r="C452" s="65"/>
      <c r="D452" s="65"/>
      <c r="E452" s="65"/>
      <c r="F452" s="65"/>
      <c r="G452" s="65"/>
      <c r="H452" s="65"/>
      <c r="I452" s="65"/>
      <c r="J452" s="65"/>
      <c r="K452" s="65"/>
      <c r="L452" s="65"/>
      <c r="M452" s="65"/>
      <c r="N452" s="65"/>
      <c r="O452" s="65"/>
      <c r="P452" s="65"/>
      <c r="Q452" s="65"/>
      <c r="R452" s="65"/>
      <c r="S452" s="65"/>
      <c r="T452" s="65"/>
      <c r="U452" s="65"/>
      <c r="V452" s="65"/>
      <c r="W452" s="65"/>
      <c r="X452" s="65"/>
      <c r="Y452" s="65"/>
    </row>
    <row r="453" spans="1:25">
      <c r="A453" s="65"/>
      <c r="D453" s="65"/>
    </row>
    <row r="454" spans="1:25">
      <c r="A454" s="65"/>
      <c r="D454" s="65"/>
    </row>
    <row r="455" spans="1:25" s="149" customFormat="1" ht="13">
      <c r="A455" s="65"/>
      <c r="B455" s="65"/>
      <c r="C455" s="65"/>
      <c r="D455" s="65"/>
      <c r="E455" s="65"/>
      <c r="F455" s="65"/>
      <c r="G455" s="65"/>
      <c r="H455" s="65"/>
      <c r="I455" s="65"/>
      <c r="J455" s="65"/>
      <c r="K455" s="65"/>
      <c r="L455" s="65"/>
      <c r="M455" s="65"/>
      <c r="N455" s="65"/>
      <c r="O455" s="65"/>
      <c r="P455" s="65"/>
      <c r="Q455" s="65"/>
      <c r="R455" s="65"/>
      <c r="S455" s="65"/>
      <c r="T455" s="65"/>
      <c r="U455" s="65"/>
      <c r="V455" s="65"/>
      <c r="W455" s="65"/>
      <c r="X455" s="65"/>
      <c r="Y455" s="65"/>
    </row>
    <row r="456" spans="1:25">
      <c r="A456" s="65"/>
      <c r="D456" s="65"/>
    </row>
    <row r="457" spans="1:25">
      <c r="A457" s="65"/>
      <c r="D457" s="65"/>
    </row>
    <row r="458" spans="1:25" s="149" customFormat="1" ht="13">
      <c r="A458" s="65"/>
      <c r="B458" s="65"/>
      <c r="C458" s="65"/>
      <c r="D458" s="65"/>
      <c r="E458" s="65"/>
      <c r="F458" s="65"/>
      <c r="G458" s="65"/>
      <c r="H458" s="65"/>
      <c r="I458" s="65"/>
      <c r="J458" s="65"/>
      <c r="K458" s="65"/>
      <c r="L458" s="65"/>
      <c r="M458" s="65"/>
      <c r="N458" s="65"/>
      <c r="O458" s="65"/>
      <c r="P458" s="65"/>
      <c r="Q458" s="65"/>
      <c r="R458" s="65"/>
      <c r="S458" s="65"/>
      <c r="T458" s="65"/>
      <c r="U458" s="65"/>
      <c r="V458" s="65"/>
      <c r="W458" s="65"/>
      <c r="X458" s="65"/>
      <c r="Y458" s="65"/>
    </row>
    <row r="459" spans="1:25">
      <c r="A459" s="65"/>
      <c r="D459" s="65"/>
    </row>
    <row r="460" spans="1:25">
      <c r="A460" s="65"/>
      <c r="D460" s="65"/>
    </row>
    <row r="461" spans="1:25" s="149" customFormat="1" ht="13">
      <c r="A461" s="65"/>
      <c r="B461" s="65"/>
      <c r="C461" s="65"/>
      <c r="D461" s="65"/>
      <c r="E461" s="65"/>
      <c r="F461" s="65"/>
      <c r="G461" s="65"/>
      <c r="H461" s="65"/>
      <c r="I461" s="65"/>
      <c r="J461" s="65"/>
      <c r="K461" s="65"/>
      <c r="L461" s="65"/>
      <c r="M461" s="65"/>
      <c r="N461" s="65"/>
      <c r="O461" s="65"/>
      <c r="P461" s="65"/>
      <c r="Q461" s="65"/>
      <c r="R461" s="65"/>
      <c r="S461" s="65"/>
      <c r="T461" s="65"/>
      <c r="U461" s="65"/>
      <c r="V461" s="65"/>
      <c r="W461" s="65"/>
      <c r="X461" s="65"/>
      <c r="Y461" s="65"/>
    </row>
    <row r="462" spans="1:25">
      <c r="A462" s="65"/>
      <c r="D462" s="65"/>
    </row>
    <row r="463" spans="1:25">
      <c r="A463" s="65"/>
      <c r="D463" s="65"/>
    </row>
    <row r="464" spans="1:25" s="149" customFormat="1" ht="13">
      <c r="A464" s="65"/>
      <c r="B464" s="65"/>
      <c r="C464" s="65"/>
      <c r="D464" s="65"/>
      <c r="E464" s="65"/>
      <c r="F464" s="65"/>
      <c r="G464" s="65"/>
      <c r="H464" s="65"/>
      <c r="I464" s="65"/>
      <c r="J464" s="65"/>
      <c r="K464" s="65"/>
      <c r="L464" s="65"/>
      <c r="M464" s="65"/>
      <c r="N464" s="65"/>
      <c r="O464" s="65"/>
      <c r="P464" s="65"/>
      <c r="Q464" s="65"/>
      <c r="R464" s="65"/>
      <c r="S464" s="65"/>
      <c r="T464" s="65"/>
      <c r="U464" s="65"/>
      <c r="V464" s="65"/>
      <c r="W464" s="65"/>
      <c r="X464" s="65"/>
      <c r="Y464" s="65"/>
    </row>
    <row r="465" spans="1:25">
      <c r="A465" s="65"/>
      <c r="D465" s="65"/>
    </row>
    <row r="466" spans="1:25">
      <c r="A466" s="65"/>
      <c r="D466" s="65"/>
    </row>
    <row r="467" spans="1:25" s="149" customFormat="1" ht="13">
      <c r="A467" s="65"/>
      <c r="B467" s="65"/>
      <c r="C467" s="65"/>
      <c r="D467" s="65"/>
      <c r="E467" s="65"/>
      <c r="F467" s="65"/>
      <c r="G467" s="65"/>
      <c r="H467" s="65"/>
      <c r="I467" s="65"/>
      <c r="J467" s="65"/>
      <c r="K467" s="65"/>
      <c r="L467" s="65"/>
      <c r="M467" s="65"/>
      <c r="N467" s="65"/>
      <c r="O467" s="65"/>
      <c r="P467" s="65"/>
      <c r="Q467" s="65"/>
      <c r="R467" s="65"/>
      <c r="S467" s="65"/>
      <c r="T467" s="65"/>
      <c r="U467" s="65"/>
      <c r="V467" s="65"/>
      <c r="W467" s="65"/>
      <c r="X467" s="65"/>
      <c r="Y467" s="65"/>
    </row>
    <row r="468" spans="1:25">
      <c r="A468" s="65"/>
      <c r="D468" s="65"/>
    </row>
    <row r="469" spans="1:25">
      <c r="A469" s="65"/>
      <c r="D469" s="65"/>
    </row>
    <row r="470" spans="1:25" s="149" customFormat="1" ht="13">
      <c r="A470" s="65"/>
      <c r="B470" s="65"/>
      <c r="C470" s="65"/>
      <c r="D470" s="65"/>
      <c r="E470" s="65"/>
      <c r="F470" s="65"/>
      <c r="G470" s="65"/>
      <c r="H470" s="65"/>
      <c r="I470" s="65"/>
      <c r="J470" s="65"/>
      <c r="K470" s="65"/>
      <c r="L470" s="65"/>
      <c r="M470" s="65"/>
      <c r="N470" s="65"/>
      <c r="O470" s="65"/>
      <c r="P470" s="65"/>
      <c r="Q470" s="65"/>
      <c r="R470" s="65"/>
      <c r="S470" s="65"/>
      <c r="T470" s="65"/>
      <c r="U470" s="65"/>
      <c r="V470" s="65"/>
      <c r="W470" s="65"/>
      <c r="X470" s="65"/>
      <c r="Y470" s="65"/>
    </row>
    <row r="471" spans="1:25">
      <c r="A471" s="65"/>
      <c r="D471" s="65"/>
    </row>
    <row r="472" spans="1:25">
      <c r="A472" s="65"/>
      <c r="D472" s="65"/>
    </row>
    <row r="473" spans="1:25" s="149" customFormat="1" ht="13">
      <c r="A473" s="65"/>
      <c r="B473" s="65"/>
      <c r="C473" s="65"/>
      <c r="D473" s="65"/>
      <c r="E473" s="65"/>
      <c r="F473" s="65"/>
      <c r="G473" s="65"/>
      <c r="H473" s="65"/>
      <c r="I473" s="65"/>
      <c r="J473" s="65"/>
      <c r="K473" s="65"/>
      <c r="L473" s="65"/>
      <c r="M473" s="65"/>
      <c r="N473" s="65"/>
      <c r="O473" s="65"/>
      <c r="P473" s="65"/>
      <c r="Q473" s="65"/>
      <c r="R473" s="65"/>
      <c r="S473" s="65"/>
      <c r="T473" s="65"/>
      <c r="U473" s="65"/>
      <c r="V473" s="65"/>
      <c r="W473" s="65"/>
      <c r="X473" s="65"/>
      <c r="Y473" s="65"/>
    </row>
    <row r="474" spans="1:25">
      <c r="A474" s="65"/>
      <c r="D474" s="65"/>
    </row>
    <row r="475" spans="1:25">
      <c r="A475" s="65"/>
      <c r="D475" s="65"/>
    </row>
    <row r="476" spans="1:25" s="149" customFormat="1" ht="13">
      <c r="A476" s="65"/>
      <c r="B476" s="65"/>
      <c r="C476" s="65"/>
      <c r="D476" s="65"/>
      <c r="E476" s="65"/>
      <c r="F476" s="65"/>
      <c r="G476" s="65"/>
      <c r="H476" s="65"/>
      <c r="I476" s="65"/>
      <c r="J476" s="65"/>
      <c r="K476" s="65"/>
      <c r="L476" s="65"/>
      <c r="M476" s="65"/>
      <c r="N476" s="65"/>
      <c r="O476" s="65"/>
      <c r="P476" s="65"/>
      <c r="Q476" s="65"/>
      <c r="R476" s="65"/>
      <c r="S476" s="65"/>
      <c r="T476" s="65"/>
      <c r="U476" s="65"/>
      <c r="V476" s="65"/>
      <c r="W476" s="65"/>
      <c r="X476" s="65"/>
      <c r="Y476" s="65"/>
    </row>
    <row r="477" spans="1:25">
      <c r="A477" s="65"/>
      <c r="D477" s="65"/>
    </row>
    <row r="478" spans="1:25">
      <c r="A478" s="65"/>
      <c r="D478" s="65"/>
    </row>
    <row r="479" spans="1:25" s="149" customFormat="1" ht="13">
      <c r="A479" s="65"/>
      <c r="B479" s="65"/>
      <c r="C479" s="65"/>
      <c r="D479" s="65"/>
      <c r="E479" s="65"/>
      <c r="F479" s="65"/>
      <c r="G479" s="65"/>
      <c r="H479" s="65"/>
      <c r="I479" s="65"/>
      <c r="J479" s="65"/>
      <c r="K479" s="65"/>
      <c r="L479" s="65"/>
      <c r="M479" s="65"/>
      <c r="N479" s="65"/>
      <c r="O479" s="65"/>
      <c r="P479" s="65"/>
      <c r="Q479" s="65"/>
      <c r="R479" s="65"/>
      <c r="S479" s="65"/>
      <c r="T479" s="65"/>
      <c r="U479" s="65"/>
      <c r="V479" s="65"/>
      <c r="W479" s="65"/>
      <c r="X479" s="65"/>
      <c r="Y479" s="65"/>
    </row>
    <row r="480" spans="1:25">
      <c r="A480" s="65"/>
      <c r="D480" s="65"/>
    </row>
    <row r="481" spans="1:25">
      <c r="A481" s="65"/>
      <c r="D481" s="65"/>
    </row>
    <row r="482" spans="1:25" s="149" customFormat="1" ht="13">
      <c r="A482" s="65"/>
      <c r="B482" s="65"/>
      <c r="C482" s="65"/>
      <c r="D482" s="65"/>
      <c r="E482" s="65"/>
      <c r="F482" s="65"/>
      <c r="G482" s="65"/>
      <c r="H482" s="65"/>
      <c r="I482" s="65"/>
      <c r="J482" s="65"/>
      <c r="K482" s="65"/>
      <c r="L482" s="65"/>
      <c r="M482" s="65"/>
      <c r="N482" s="65"/>
      <c r="O482" s="65"/>
      <c r="P482" s="65"/>
      <c r="Q482" s="65"/>
      <c r="R482" s="65"/>
      <c r="S482" s="65"/>
      <c r="T482" s="65"/>
      <c r="U482" s="65"/>
      <c r="V482" s="65"/>
      <c r="W482" s="65"/>
      <c r="X482" s="65"/>
      <c r="Y482" s="65"/>
    </row>
    <row r="483" spans="1:25">
      <c r="A483" s="65"/>
      <c r="D483" s="65"/>
    </row>
    <row r="484" spans="1:25">
      <c r="A484" s="65"/>
      <c r="D484" s="65"/>
    </row>
    <row r="485" spans="1:25" s="149" customFormat="1" ht="13">
      <c r="A485" s="65"/>
      <c r="B485" s="65"/>
      <c r="C485" s="65"/>
      <c r="D485" s="65"/>
      <c r="E485" s="65"/>
      <c r="F485" s="65"/>
      <c r="G485" s="65"/>
      <c r="H485" s="65"/>
      <c r="I485" s="65"/>
      <c r="J485" s="65"/>
      <c r="K485" s="65"/>
      <c r="L485" s="65"/>
      <c r="M485" s="65"/>
      <c r="N485" s="65"/>
      <c r="O485" s="65"/>
      <c r="P485" s="65"/>
      <c r="Q485" s="65"/>
      <c r="R485" s="65"/>
      <c r="S485" s="65"/>
      <c r="T485" s="65"/>
      <c r="U485" s="65"/>
      <c r="V485" s="65"/>
      <c r="W485" s="65"/>
      <c r="X485" s="65"/>
      <c r="Y485" s="65"/>
    </row>
    <row r="486" spans="1:25">
      <c r="A486" s="65"/>
      <c r="D486" s="65"/>
    </row>
    <row r="487" spans="1:25">
      <c r="A487" s="65"/>
      <c r="D487" s="65"/>
    </row>
    <row r="488" spans="1:25" s="149" customFormat="1" ht="13">
      <c r="A488" s="65"/>
      <c r="B488" s="65"/>
      <c r="C488" s="65"/>
      <c r="D488" s="65"/>
      <c r="E488" s="65"/>
      <c r="F488" s="65"/>
      <c r="G488" s="65"/>
      <c r="H488" s="65"/>
      <c r="I488" s="65"/>
      <c r="J488" s="65"/>
      <c r="K488" s="65"/>
      <c r="L488" s="65"/>
      <c r="M488" s="65"/>
      <c r="N488" s="65"/>
      <c r="O488" s="65"/>
      <c r="P488" s="65"/>
      <c r="Q488" s="65"/>
      <c r="R488" s="65"/>
      <c r="S488" s="65"/>
      <c r="T488" s="65"/>
      <c r="U488" s="65"/>
      <c r="V488" s="65"/>
      <c r="W488" s="65"/>
      <c r="X488" s="65"/>
      <c r="Y488" s="65"/>
    </row>
    <row r="489" spans="1:25">
      <c r="A489" s="65"/>
      <c r="D489" s="65"/>
    </row>
    <row r="490" spans="1:25">
      <c r="A490" s="65"/>
      <c r="D490" s="65"/>
    </row>
    <row r="491" spans="1:25" s="149" customFormat="1" ht="13">
      <c r="A491" s="65"/>
      <c r="B491" s="65"/>
      <c r="C491" s="65"/>
      <c r="D491" s="65"/>
      <c r="E491" s="65"/>
      <c r="F491" s="65"/>
      <c r="G491" s="65"/>
      <c r="H491" s="65"/>
      <c r="I491" s="65"/>
      <c r="J491" s="65"/>
      <c r="K491" s="65"/>
      <c r="L491" s="65"/>
      <c r="M491" s="65"/>
      <c r="N491" s="65"/>
      <c r="O491" s="65"/>
      <c r="P491" s="65"/>
      <c r="Q491" s="65"/>
      <c r="R491" s="65"/>
      <c r="S491" s="65"/>
      <c r="T491" s="65"/>
      <c r="U491" s="65"/>
      <c r="V491" s="65"/>
      <c r="W491" s="65"/>
      <c r="X491" s="65"/>
      <c r="Y491" s="65"/>
    </row>
    <row r="492" spans="1:25">
      <c r="A492" s="65"/>
      <c r="D492" s="65"/>
    </row>
    <row r="493" spans="1:25">
      <c r="A493" s="65"/>
      <c r="D493" s="65"/>
    </row>
    <row r="494" spans="1:25" s="149" customFormat="1" ht="13">
      <c r="A494" s="65"/>
      <c r="B494" s="65"/>
      <c r="C494" s="65"/>
      <c r="D494" s="65"/>
      <c r="E494" s="65"/>
      <c r="F494" s="65"/>
      <c r="G494" s="65"/>
      <c r="H494" s="65"/>
      <c r="I494" s="65"/>
      <c r="J494" s="65"/>
      <c r="K494" s="65"/>
      <c r="L494" s="65"/>
      <c r="M494" s="65"/>
      <c r="N494" s="65"/>
      <c r="O494" s="65"/>
      <c r="P494" s="65"/>
      <c r="Q494" s="65"/>
      <c r="R494" s="65"/>
      <c r="S494" s="65"/>
      <c r="T494" s="65"/>
      <c r="U494" s="65"/>
      <c r="V494" s="65"/>
      <c r="W494" s="65"/>
      <c r="X494" s="65"/>
      <c r="Y494" s="65"/>
    </row>
    <row r="495" spans="1:25">
      <c r="A495" s="65"/>
      <c r="D495" s="65"/>
    </row>
    <row r="496" spans="1:25">
      <c r="A496" s="65"/>
      <c r="D496" s="65"/>
    </row>
    <row r="497" spans="1:25" s="149" customFormat="1" ht="13">
      <c r="A497" s="65"/>
      <c r="B497" s="65"/>
      <c r="C497" s="65"/>
      <c r="D497" s="65"/>
      <c r="E497" s="65"/>
      <c r="F497" s="65"/>
      <c r="G497" s="65"/>
      <c r="H497" s="65"/>
      <c r="I497" s="65"/>
      <c r="J497" s="65"/>
      <c r="K497" s="65"/>
      <c r="L497" s="65"/>
      <c r="M497" s="65"/>
      <c r="N497" s="65"/>
      <c r="O497" s="65"/>
      <c r="P497" s="65"/>
      <c r="Q497" s="65"/>
      <c r="R497" s="65"/>
      <c r="S497" s="65"/>
      <c r="T497" s="65"/>
      <c r="U497" s="65"/>
      <c r="V497" s="65"/>
      <c r="W497" s="65"/>
      <c r="X497" s="65"/>
      <c r="Y497" s="65"/>
    </row>
    <row r="498" spans="1:25">
      <c r="A498" s="65"/>
      <c r="D498" s="65"/>
    </row>
    <row r="499" spans="1:25">
      <c r="A499" s="65"/>
      <c r="D499" s="65"/>
    </row>
    <row r="500" spans="1:25" s="149" customFormat="1" ht="13">
      <c r="A500" s="65"/>
      <c r="B500" s="65"/>
      <c r="C500" s="65"/>
      <c r="D500" s="65"/>
      <c r="E500" s="65"/>
      <c r="F500" s="65"/>
      <c r="G500" s="65"/>
      <c r="H500" s="65"/>
      <c r="I500" s="65"/>
      <c r="J500" s="65"/>
      <c r="K500" s="65"/>
      <c r="L500" s="65"/>
      <c r="M500" s="65"/>
      <c r="N500" s="65"/>
      <c r="O500" s="65"/>
      <c r="P500" s="65"/>
      <c r="Q500" s="65"/>
      <c r="R500" s="65"/>
      <c r="S500" s="65"/>
      <c r="T500" s="65"/>
      <c r="U500" s="65"/>
      <c r="V500" s="65"/>
      <c r="W500" s="65"/>
      <c r="X500" s="65"/>
      <c r="Y500" s="65"/>
    </row>
    <row r="501" spans="1:25">
      <c r="A501" s="65"/>
      <c r="D501" s="65"/>
    </row>
    <row r="502" spans="1:25">
      <c r="A502" s="65"/>
      <c r="D502" s="65"/>
    </row>
    <row r="503" spans="1:25" s="149" customFormat="1" ht="13">
      <c r="A503" s="65"/>
      <c r="B503" s="65"/>
      <c r="C503" s="65"/>
      <c r="D503" s="65"/>
      <c r="E503" s="65"/>
      <c r="F503" s="65"/>
      <c r="G503" s="65"/>
      <c r="H503" s="65"/>
      <c r="I503" s="65"/>
      <c r="J503" s="65"/>
      <c r="K503" s="65"/>
      <c r="L503" s="65"/>
      <c r="M503" s="65"/>
      <c r="N503" s="65"/>
      <c r="O503" s="65"/>
      <c r="P503" s="65"/>
      <c r="Q503" s="65"/>
      <c r="R503" s="65"/>
      <c r="S503" s="65"/>
      <c r="T503" s="65"/>
      <c r="U503" s="65"/>
      <c r="V503" s="65"/>
      <c r="W503" s="65"/>
      <c r="X503" s="65"/>
      <c r="Y503" s="65"/>
    </row>
    <row r="504" spans="1:25">
      <c r="A504" s="65"/>
      <c r="D504" s="65"/>
    </row>
    <row r="505" spans="1:25">
      <c r="A505" s="65"/>
      <c r="D505" s="65"/>
    </row>
    <row r="506" spans="1:25" s="149" customFormat="1" ht="13">
      <c r="A506" s="65"/>
      <c r="B506" s="65"/>
      <c r="C506" s="65"/>
      <c r="D506" s="65"/>
      <c r="E506" s="65"/>
      <c r="F506" s="65"/>
      <c r="G506" s="65"/>
      <c r="H506" s="65"/>
      <c r="I506" s="65"/>
      <c r="J506" s="65"/>
      <c r="K506" s="65"/>
      <c r="L506" s="65"/>
      <c r="M506" s="65"/>
      <c r="N506" s="65"/>
      <c r="O506" s="65"/>
      <c r="P506" s="65"/>
      <c r="Q506" s="65"/>
      <c r="R506" s="65"/>
      <c r="S506" s="65"/>
      <c r="T506" s="65"/>
      <c r="U506" s="65"/>
      <c r="V506" s="65"/>
      <c r="W506" s="65"/>
      <c r="X506" s="65"/>
      <c r="Y506" s="65"/>
    </row>
    <row r="507" spans="1:25">
      <c r="A507" s="65"/>
      <c r="D507" s="65"/>
    </row>
    <row r="508" spans="1:25">
      <c r="A508" s="65"/>
      <c r="D508" s="65"/>
    </row>
    <row r="509" spans="1:25" s="149" customFormat="1" ht="13">
      <c r="A509" s="65"/>
      <c r="B509" s="65"/>
      <c r="C509" s="65"/>
      <c r="D509" s="65"/>
      <c r="E509" s="65"/>
      <c r="F509" s="65"/>
      <c r="G509" s="65"/>
      <c r="H509" s="65"/>
      <c r="I509" s="65"/>
      <c r="J509" s="65"/>
      <c r="K509" s="65"/>
      <c r="L509" s="65"/>
      <c r="M509" s="65"/>
      <c r="N509" s="65"/>
      <c r="O509" s="65"/>
      <c r="P509" s="65"/>
      <c r="Q509" s="65"/>
      <c r="R509" s="65"/>
      <c r="S509" s="65"/>
      <c r="T509" s="65"/>
      <c r="U509" s="65"/>
      <c r="V509" s="65"/>
      <c r="W509" s="65"/>
      <c r="X509" s="65"/>
      <c r="Y509" s="65"/>
    </row>
    <row r="510" spans="1:25">
      <c r="A510" s="65"/>
      <c r="D510" s="65"/>
    </row>
    <row r="511" spans="1:25">
      <c r="A511" s="65"/>
      <c r="D511" s="65"/>
    </row>
    <row r="512" spans="1:25" s="149" customFormat="1" ht="13">
      <c r="A512" s="65"/>
      <c r="B512" s="65"/>
      <c r="C512" s="65"/>
      <c r="D512" s="65"/>
      <c r="E512" s="65"/>
      <c r="F512" s="65"/>
      <c r="G512" s="65"/>
      <c r="H512" s="65"/>
      <c r="I512" s="65"/>
      <c r="J512" s="65"/>
      <c r="K512" s="65"/>
      <c r="L512" s="65"/>
      <c r="M512" s="65"/>
      <c r="N512" s="65"/>
      <c r="O512" s="65"/>
      <c r="P512" s="65"/>
      <c r="Q512" s="65"/>
      <c r="R512" s="65"/>
      <c r="S512" s="65"/>
      <c r="T512" s="65"/>
      <c r="U512" s="65"/>
      <c r="V512" s="65"/>
      <c r="W512" s="65"/>
      <c r="X512" s="65"/>
      <c r="Y512" s="65"/>
    </row>
    <row r="513" spans="1:25">
      <c r="A513" s="65"/>
      <c r="D513" s="65"/>
    </row>
    <row r="514" spans="1:25">
      <c r="A514" s="65"/>
      <c r="D514" s="65"/>
    </row>
    <row r="515" spans="1:25" s="149" customFormat="1" ht="13">
      <c r="A515" s="65"/>
      <c r="B515" s="65"/>
      <c r="C515" s="65"/>
      <c r="D515" s="65"/>
      <c r="E515" s="65"/>
      <c r="F515" s="65"/>
      <c r="G515" s="65"/>
      <c r="H515" s="65"/>
      <c r="I515" s="65"/>
      <c r="J515" s="65"/>
      <c r="K515" s="65"/>
      <c r="L515" s="65"/>
      <c r="M515" s="65"/>
      <c r="N515" s="65"/>
      <c r="O515" s="65"/>
      <c r="P515" s="65"/>
      <c r="Q515" s="65"/>
      <c r="R515" s="65"/>
      <c r="S515" s="65"/>
      <c r="T515" s="65"/>
      <c r="U515" s="65"/>
      <c r="V515" s="65"/>
      <c r="W515" s="65"/>
      <c r="X515" s="65"/>
      <c r="Y515" s="65"/>
    </row>
    <row r="516" spans="1:25">
      <c r="A516" s="65"/>
      <c r="D516" s="65"/>
    </row>
    <row r="517" spans="1:25">
      <c r="A517" s="65"/>
      <c r="D517" s="65"/>
    </row>
    <row r="518" spans="1:25" s="149" customFormat="1" ht="13">
      <c r="A518" s="65"/>
      <c r="B518" s="65"/>
      <c r="C518" s="65"/>
      <c r="D518" s="65"/>
      <c r="E518" s="65"/>
      <c r="F518" s="65"/>
      <c r="G518" s="65"/>
      <c r="H518" s="65"/>
      <c r="I518" s="65"/>
      <c r="J518" s="65"/>
      <c r="K518" s="65"/>
      <c r="L518" s="65"/>
      <c r="M518" s="65"/>
      <c r="N518" s="65"/>
      <c r="O518" s="65"/>
      <c r="P518" s="65"/>
      <c r="Q518" s="65"/>
      <c r="R518" s="65"/>
      <c r="S518" s="65"/>
      <c r="T518" s="65"/>
      <c r="U518" s="65"/>
      <c r="V518" s="65"/>
      <c r="W518" s="65"/>
      <c r="X518" s="65"/>
      <c r="Y518" s="65"/>
    </row>
    <row r="519" spans="1:25">
      <c r="A519" s="65"/>
      <c r="D519" s="65"/>
    </row>
    <row r="520" spans="1:25">
      <c r="A520" s="65"/>
      <c r="D520" s="65"/>
    </row>
    <row r="521" spans="1:25" s="149" customFormat="1" ht="13">
      <c r="A521" s="65"/>
      <c r="B521" s="65"/>
      <c r="C521" s="65"/>
      <c r="D521" s="65"/>
      <c r="E521" s="65"/>
      <c r="F521" s="65"/>
      <c r="G521" s="65"/>
      <c r="H521" s="65"/>
      <c r="I521" s="65"/>
      <c r="J521" s="65"/>
      <c r="K521" s="65"/>
      <c r="L521" s="65"/>
      <c r="M521" s="65"/>
      <c r="N521" s="65"/>
      <c r="O521" s="65"/>
      <c r="P521" s="65"/>
      <c r="Q521" s="65"/>
      <c r="R521" s="65"/>
      <c r="S521" s="65"/>
      <c r="T521" s="65"/>
      <c r="U521" s="65"/>
      <c r="V521" s="65"/>
      <c r="W521" s="65"/>
      <c r="X521" s="65"/>
      <c r="Y521" s="65"/>
    </row>
    <row r="522" spans="1:25">
      <c r="A522" s="65"/>
      <c r="D522" s="65"/>
    </row>
    <row r="523" spans="1:25">
      <c r="A523" s="65"/>
      <c r="D523" s="65"/>
    </row>
    <row r="524" spans="1:25" s="149" customFormat="1" ht="13">
      <c r="A524" s="65"/>
      <c r="B524" s="65"/>
      <c r="C524" s="65"/>
      <c r="D524" s="65"/>
      <c r="E524" s="65"/>
      <c r="F524" s="65"/>
      <c r="G524" s="65"/>
      <c r="H524" s="65"/>
      <c r="I524" s="65"/>
      <c r="J524" s="65"/>
      <c r="K524" s="65"/>
      <c r="L524" s="65"/>
      <c r="M524" s="65"/>
      <c r="N524" s="65"/>
      <c r="O524" s="65"/>
      <c r="P524" s="65"/>
      <c r="Q524" s="65"/>
      <c r="R524" s="65"/>
      <c r="S524" s="65"/>
      <c r="T524" s="65"/>
      <c r="U524" s="65"/>
      <c r="V524" s="65"/>
      <c r="W524" s="65"/>
      <c r="X524" s="65"/>
      <c r="Y524" s="65"/>
    </row>
    <row r="525" spans="1:25">
      <c r="A525" s="65"/>
      <c r="D525" s="65"/>
    </row>
    <row r="526" spans="1:25">
      <c r="A526" s="65"/>
      <c r="D526" s="65"/>
    </row>
    <row r="527" spans="1:25" s="149" customFormat="1" ht="13">
      <c r="A527" s="65"/>
      <c r="B527" s="65"/>
      <c r="C527" s="65"/>
      <c r="D527" s="65"/>
      <c r="E527" s="65"/>
      <c r="F527" s="65"/>
      <c r="G527" s="65"/>
      <c r="H527" s="65"/>
      <c r="I527" s="65"/>
      <c r="J527" s="65"/>
      <c r="K527" s="65"/>
      <c r="L527" s="65"/>
      <c r="M527" s="65"/>
      <c r="N527" s="65"/>
      <c r="O527" s="65"/>
      <c r="P527" s="65"/>
      <c r="Q527" s="65"/>
      <c r="R527" s="65"/>
      <c r="S527" s="65"/>
      <c r="T527" s="65"/>
      <c r="U527" s="65"/>
      <c r="V527" s="65"/>
      <c r="W527" s="65"/>
      <c r="X527" s="65"/>
      <c r="Y527" s="65"/>
    </row>
    <row r="528" spans="1:25">
      <c r="A528" s="65"/>
      <c r="D528" s="65"/>
    </row>
    <row r="529" spans="1:25">
      <c r="A529" s="65"/>
      <c r="D529" s="65"/>
    </row>
    <row r="530" spans="1:25" s="149" customFormat="1" ht="13">
      <c r="A530" s="65"/>
      <c r="B530" s="65"/>
      <c r="C530" s="65"/>
      <c r="D530" s="65"/>
      <c r="E530" s="65"/>
      <c r="F530" s="65"/>
      <c r="G530" s="65"/>
      <c r="H530" s="65"/>
      <c r="I530" s="65"/>
      <c r="J530" s="65"/>
      <c r="K530" s="65"/>
      <c r="L530" s="65"/>
      <c r="M530" s="65"/>
      <c r="N530" s="65"/>
      <c r="O530" s="65"/>
      <c r="P530" s="65"/>
      <c r="Q530" s="65"/>
      <c r="R530" s="65"/>
      <c r="S530" s="65"/>
      <c r="T530" s="65"/>
      <c r="U530" s="65"/>
      <c r="V530" s="65"/>
      <c r="W530" s="65"/>
      <c r="X530" s="65"/>
      <c r="Y530" s="65"/>
    </row>
    <row r="531" spans="1:25">
      <c r="A531" s="65"/>
      <c r="D531" s="65"/>
    </row>
    <row r="532" spans="1:25">
      <c r="A532" s="65"/>
      <c r="D532" s="65"/>
    </row>
    <row r="533" spans="1:25" s="149" customFormat="1" ht="13">
      <c r="A533" s="65"/>
      <c r="B533" s="65"/>
      <c r="C533" s="65"/>
      <c r="D533" s="65"/>
      <c r="E533" s="65"/>
      <c r="F533" s="65"/>
      <c r="G533" s="65"/>
      <c r="H533" s="65"/>
      <c r="I533" s="65"/>
      <c r="J533" s="65"/>
      <c r="K533" s="65"/>
      <c r="L533" s="65"/>
      <c r="M533" s="65"/>
      <c r="N533" s="65"/>
      <c r="O533" s="65"/>
      <c r="P533" s="65"/>
      <c r="Q533" s="65"/>
      <c r="R533" s="65"/>
      <c r="S533" s="65"/>
      <c r="T533" s="65"/>
      <c r="U533" s="65"/>
      <c r="V533" s="65"/>
      <c r="W533" s="65"/>
      <c r="X533" s="65"/>
      <c r="Y533" s="65"/>
    </row>
    <row r="534" spans="1:25">
      <c r="A534" s="65"/>
      <c r="D534" s="65"/>
    </row>
    <row r="535" spans="1:25">
      <c r="A535" s="65"/>
      <c r="D535" s="65"/>
    </row>
    <row r="536" spans="1:25" s="149" customFormat="1" ht="13">
      <c r="A536" s="65"/>
      <c r="B536" s="65"/>
      <c r="C536" s="65"/>
      <c r="D536" s="65"/>
      <c r="E536" s="65"/>
      <c r="F536" s="65"/>
      <c r="G536" s="65"/>
      <c r="H536" s="65"/>
      <c r="I536" s="65"/>
      <c r="J536" s="65"/>
      <c r="K536" s="65"/>
      <c r="L536" s="65"/>
      <c r="M536" s="65"/>
      <c r="N536" s="65"/>
      <c r="O536" s="65"/>
      <c r="P536" s="65"/>
      <c r="Q536" s="65"/>
      <c r="R536" s="65"/>
      <c r="S536" s="65"/>
      <c r="T536" s="65"/>
      <c r="U536" s="65"/>
      <c r="V536" s="65"/>
      <c r="W536" s="65"/>
      <c r="X536" s="65"/>
      <c r="Y536" s="65"/>
    </row>
    <row r="537" spans="1:25">
      <c r="A537" s="65"/>
      <c r="D537" s="65"/>
    </row>
    <row r="538" spans="1:25">
      <c r="A538" s="65"/>
      <c r="D538" s="65"/>
    </row>
    <row r="539" spans="1:25" s="149" customFormat="1" ht="13">
      <c r="A539" s="65"/>
      <c r="B539" s="65"/>
      <c r="C539" s="65"/>
      <c r="D539" s="65"/>
      <c r="E539" s="65"/>
      <c r="F539" s="65"/>
      <c r="G539" s="65"/>
      <c r="H539" s="65"/>
      <c r="I539" s="65"/>
      <c r="J539" s="65"/>
      <c r="K539" s="65"/>
      <c r="L539" s="65"/>
      <c r="M539" s="65"/>
      <c r="N539" s="65"/>
      <c r="O539" s="65"/>
      <c r="P539" s="65"/>
      <c r="Q539" s="65"/>
      <c r="R539" s="65"/>
      <c r="S539" s="65"/>
      <c r="T539" s="65"/>
      <c r="U539" s="65"/>
      <c r="V539" s="65"/>
      <c r="W539" s="65"/>
      <c r="X539" s="65"/>
      <c r="Y539" s="65"/>
    </row>
    <row r="540" spans="1:25">
      <c r="A540" s="65"/>
      <c r="D540" s="65"/>
    </row>
    <row r="541" spans="1:25">
      <c r="A541" s="65"/>
      <c r="D541" s="65"/>
    </row>
    <row r="542" spans="1:25" s="149" customFormat="1" ht="13">
      <c r="A542" s="65"/>
      <c r="B542" s="65"/>
      <c r="C542" s="65"/>
      <c r="D542" s="65"/>
      <c r="E542" s="65"/>
      <c r="F542" s="65"/>
      <c r="G542" s="65"/>
      <c r="H542" s="65"/>
      <c r="I542" s="65"/>
      <c r="J542" s="65"/>
      <c r="K542" s="65"/>
      <c r="L542" s="65"/>
      <c r="M542" s="65"/>
      <c r="N542" s="65"/>
      <c r="O542" s="65"/>
      <c r="P542" s="65"/>
      <c r="Q542" s="65"/>
      <c r="R542" s="65"/>
      <c r="S542" s="65"/>
      <c r="T542" s="65"/>
      <c r="U542" s="65"/>
      <c r="V542" s="65"/>
      <c r="W542" s="65"/>
      <c r="X542" s="65"/>
      <c r="Y542" s="65"/>
    </row>
    <row r="543" spans="1:25">
      <c r="A543" s="65"/>
      <c r="D543" s="65"/>
    </row>
    <row r="544" spans="1:25">
      <c r="A544" s="65"/>
      <c r="D544" s="65"/>
    </row>
    <row r="545" spans="1:25" s="149" customFormat="1" ht="13">
      <c r="A545" s="65"/>
      <c r="B545" s="65"/>
      <c r="C545" s="65"/>
      <c r="D545" s="65"/>
      <c r="E545" s="65"/>
      <c r="F545" s="65"/>
      <c r="G545" s="65"/>
      <c r="H545" s="65"/>
      <c r="I545" s="65"/>
      <c r="J545" s="65"/>
      <c r="K545" s="65"/>
      <c r="L545" s="65"/>
      <c r="M545" s="65"/>
      <c r="N545" s="65"/>
      <c r="O545" s="65"/>
      <c r="P545" s="65"/>
      <c r="Q545" s="65"/>
      <c r="R545" s="65"/>
      <c r="S545" s="65"/>
      <c r="T545" s="65"/>
      <c r="U545" s="65"/>
      <c r="V545" s="65"/>
      <c r="W545" s="65"/>
      <c r="X545" s="65"/>
      <c r="Y545" s="65"/>
    </row>
    <row r="546" spans="1:25">
      <c r="A546" s="65"/>
      <c r="D546" s="65"/>
    </row>
    <row r="547" spans="1:25">
      <c r="A547" s="65"/>
      <c r="D547" s="65"/>
    </row>
    <row r="548" spans="1:25" s="149" customFormat="1" ht="13">
      <c r="A548" s="65"/>
      <c r="B548" s="65"/>
      <c r="C548" s="65"/>
      <c r="D548" s="65"/>
      <c r="E548" s="65"/>
      <c r="F548" s="65"/>
      <c r="G548" s="65"/>
      <c r="H548" s="65"/>
      <c r="I548" s="65"/>
      <c r="J548" s="65"/>
      <c r="K548" s="65"/>
      <c r="L548" s="65"/>
      <c r="M548" s="65"/>
      <c r="N548" s="65"/>
      <c r="O548" s="65"/>
      <c r="P548" s="65"/>
      <c r="Q548" s="65"/>
      <c r="R548" s="65"/>
      <c r="S548" s="65"/>
      <c r="T548" s="65"/>
      <c r="U548" s="65"/>
      <c r="V548" s="65"/>
      <c r="W548" s="65"/>
      <c r="X548" s="65"/>
      <c r="Y548" s="65"/>
    </row>
    <row r="549" spans="1:25">
      <c r="A549" s="65"/>
      <c r="D549" s="65"/>
    </row>
    <row r="550" spans="1:25">
      <c r="A550" s="65"/>
      <c r="D550" s="65"/>
    </row>
    <row r="551" spans="1:25" s="149" customFormat="1" ht="13">
      <c r="A551" s="65"/>
      <c r="B551" s="65"/>
      <c r="C551" s="65"/>
      <c r="D551" s="65"/>
      <c r="E551" s="65"/>
      <c r="F551" s="65"/>
      <c r="G551" s="65"/>
      <c r="H551" s="65"/>
      <c r="I551" s="65"/>
      <c r="J551" s="65"/>
      <c r="K551" s="65"/>
      <c r="L551" s="65"/>
      <c r="M551" s="65"/>
      <c r="N551" s="65"/>
      <c r="O551" s="65"/>
      <c r="P551" s="65"/>
      <c r="Q551" s="65"/>
      <c r="R551" s="65"/>
      <c r="S551" s="65"/>
      <c r="T551" s="65"/>
      <c r="U551" s="65"/>
      <c r="V551" s="65"/>
      <c r="W551" s="65"/>
      <c r="X551" s="65"/>
      <c r="Y551" s="65"/>
    </row>
    <row r="552" spans="1:25">
      <c r="A552" s="65"/>
      <c r="D552" s="65"/>
    </row>
    <row r="553" spans="1:25">
      <c r="A553" s="65"/>
      <c r="D553" s="65"/>
    </row>
    <row r="554" spans="1:25" s="149" customFormat="1" ht="13">
      <c r="A554" s="65"/>
      <c r="B554" s="65"/>
      <c r="C554" s="65"/>
      <c r="D554" s="65"/>
      <c r="E554" s="65"/>
      <c r="F554" s="65"/>
      <c r="G554" s="65"/>
      <c r="H554" s="65"/>
      <c r="I554" s="65"/>
      <c r="J554" s="65"/>
      <c r="K554" s="65"/>
      <c r="L554" s="65"/>
      <c r="M554" s="65"/>
      <c r="N554" s="65"/>
      <c r="O554" s="65"/>
      <c r="P554" s="65"/>
      <c r="Q554" s="65"/>
      <c r="R554" s="65"/>
      <c r="S554" s="65"/>
      <c r="T554" s="65"/>
      <c r="U554" s="65"/>
      <c r="V554" s="65"/>
      <c r="W554" s="65"/>
      <c r="X554" s="65"/>
      <c r="Y554" s="65"/>
    </row>
    <row r="555" spans="1:25">
      <c r="A555" s="65"/>
      <c r="D555" s="65"/>
    </row>
    <row r="556" spans="1:25">
      <c r="A556" s="65"/>
      <c r="D556" s="65"/>
    </row>
    <row r="557" spans="1:25" s="149" customFormat="1" ht="13">
      <c r="A557" s="65"/>
      <c r="B557" s="65"/>
      <c r="C557" s="65"/>
      <c r="D557" s="65"/>
      <c r="E557" s="65"/>
      <c r="F557" s="65"/>
      <c r="G557" s="65"/>
      <c r="H557" s="65"/>
      <c r="I557" s="65"/>
      <c r="J557" s="65"/>
      <c r="K557" s="65"/>
      <c r="L557" s="65"/>
      <c r="M557" s="65"/>
      <c r="N557" s="65"/>
      <c r="O557" s="65"/>
      <c r="P557" s="65"/>
      <c r="Q557" s="65"/>
      <c r="R557" s="65"/>
      <c r="S557" s="65"/>
      <c r="T557" s="65"/>
      <c r="U557" s="65"/>
      <c r="V557" s="65"/>
      <c r="W557" s="65"/>
      <c r="X557" s="65"/>
      <c r="Y557" s="65"/>
    </row>
    <row r="558" spans="1:25">
      <c r="A558" s="65"/>
      <c r="D558" s="65"/>
    </row>
    <row r="559" spans="1:25">
      <c r="A559" s="65"/>
      <c r="D559" s="65"/>
    </row>
    <row r="560" spans="1:25" s="149" customFormat="1" ht="13">
      <c r="A560" s="65"/>
      <c r="B560" s="65"/>
      <c r="C560" s="65"/>
      <c r="D560" s="65"/>
      <c r="E560" s="65"/>
      <c r="F560" s="65"/>
      <c r="G560" s="65"/>
      <c r="H560" s="65"/>
      <c r="I560" s="65"/>
      <c r="J560" s="65"/>
      <c r="K560" s="65"/>
      <c r="L560" s="65"/>
      <c r="M560" s="65"/>
      <c r="N560" s="65"/>
      <c r="O560" s="65"/>
      <c r="P560" s="65"/>
      <c r="Q560" s="65"/>
      <c r="R560" s="65"/>
      <c r="S560" s="65"/>
      <c r="T560" s="65"/>
      <c r="U560" s="65"/>
      <c r="V560" s="65"/>
      <c r="W560" s="65"/>
      <c r="X560" s="65"/>
      <c r="Y560" s="65"/>
    </row>
    <row r="561" spans="1:25">
      <c r="A561" s="65"/>
      <c r="D561" s="65"/>
    </row>
    <row r="562" spans="1:25">
      <c r="A562" s="65"/>
      <c r="D562" s="65"/>
    </row>
    <row r="563" spans="1:25" s="149" customFormat="1" ht="13">
      <c r="A563" s="65"/>
      <c r="B563" s="65"/>
      <c r="C563" s="65"/>
      <c r="D563" s="65"/>
      <c r="E563" s="65"/>
      <c r="F563" s="65"/>
      <c r="G563" s="65"/>
      <c r="H563" s="65"/>
      <c r="I563" s="65"/>
      <c r="J563" s="65"/>
      <c r="K563" s="65"/>
      <c r="L563" s="65"/>
      <c r="M563" s="65"/>
      <c r="N563" s="65"/>
      <c r="O563" s="65"/>
      <c r="P563" s="65"/>
      <c r="Q563" s="65"/>
      <c r="R563" s="65"/>
      <c r="S563" s="65"/>
      <c r="T563" s="65"/>
      <c r="U563" s="65"/>
      <c r="V563" s="65"/>
      <c r="W563" s="65"/>
      <c r="X563" s="65"/>
      <c r="Y563" s="65"/>
    </row>
    <row r="564" spans="1:25">
      <c r="A564" s="65"/>
      <c r="D564" s="65"/>
    </row>
    <row r="565" spans="1:25">
      <c r="A565" s="65"/>
      <c r="D565" s="65"/>
    </row>
    <row r="566" spans="1:25" s="149" customFormat="1" ht="13">
      <c r="A566" s="65"/>
      <c r="B566" s="65"/>
      <c r="C566" s="65"/>
      <c r="D566" s="65"/>
      <c r="E566" s="65"/>
      <c r="F566" s="65"/>
      <c r="G566" s="65"/>
      <c r="H566" s="65"/>
      <c r="I566" s="65"/>
      <c r="J566" s="65"/>
      <c r="K566" s="65"/>
      <c r="L566" s="65"/>
      <c r="M566" s="65"/>
      <c r="N566" s="65"/>
      <c r="O566" s="65"/>
      <c r="P566" s="65"/>
      <c r="Q566" s="65"/>
      <c r="R566" s="65"/>
      <c r="S566" s="65"/>
      <c r="T566" s="65"/>
      <c r="U566" s="65"/>
      <c r="V566" s="65"/>
      <c r="W566" s="65"/>
      <c r="X566" s="65"/>
      <c r="Y566" s="65"/>
    </row>
    <row r="567" spans="1:25">
      <c r="A567" s="65"/>
      <c r="D567" s="65"/>
    </row>
    <row r="568" spans="1:25">
      <c r="A568" s="65"/>
      <c r="D568" s="65"/>
    </row>
    <row r="569" spans="1:25" s="149" customFormat="1" ht="13">
      <c r="A569" s="65"/>
      <c r="B569" s="65"/>
      <c r="C569" s="65"/>
      <c r="D569" s="65"/>
      <c r="E569" s="65"/>
      <c r="F569" s="65"/>
      <c r="G569" s="65"/>
      <c r="H569" s="65"/>
      <c r="I569" s="65"/>
      <c r="J569" s="65"/>
      <c r="K569" s="65"/>
      <c r="L569" s="65"/>
      <c r="M569" s="65"/>
      <c r="N569" s="65"/>
      <c r="O569" s="65"/>
      <c r="P569" s="65"/>
      <c r="Q569" s="65"/>
      <c r="R569" s="65"/>
      <c r="S569" s="65"/>
      <c r="T569" s="65"/>
      <c r="U569" s="65"/>
      <c r="V569" s="65"/>
      <c r="W569" s="65"/>
      <c r="X569" s="65"/>
      <c r="Y569" s="65"/>
    </row>
    <row r="570" spans="1:25">
      <c r="A570" s="65"/>
      <c r="D570" s="65"/>
    </row>
    <row r="571" spans="1:25">
      <c r="A571" s="65"/>
      <c r="D571" s="65"/>
    </row>
    <row r="572" spans="1:25" s="149" customFormat="1" ht="13">
      <c r="A572" s="65"/>
      <c r="B572" s="65"/>
      <c r="C572" s="65"/>
      <c r="D572" s="65"/>
      <c r="E572" s="65"/>
      <c r="F572" s="65"/>
      <c r="G572" s="65"/>
      <c r="H572" s="65"/>
      <c r="I572" s="65"/>
      <c r="J572" s="65"/>
      <c r="K572" s="65"/>
      <c r="L572" s="65"/>
      <c r="M572" s="65"/>
      <c r="N572" s="65"/>
      <c r="O572" s="65"/>
      <c r="P572" s="65"/>
      <c r="Q572" s="65"/>
      <c r="R572" s="65"/>
      <c r="S572" s="65"/>
      <c r="T572" s="65"/>
      <c r="U572" s="65"/>
      <c r="V572" s="65"/>
      <c r="W572" s="65"/>
      <c r="X572" s="65"/>
      <c r="Y572" s="65"/>
    </row>
    <row r="573" spans="1:25">
      <c r="A573" s="65"/>
      <c r="D573" s="65"/>
    </row>
    <row r="574" spans="1:25">
      <c r="A574" s="65"/>
      <c r="D574" s="65"/>
    </row>
    <row r="575" spans="1:25" s="149" customFormat="1" ht="13">
      <c r="A575" s="65"/>
      <c r="B575" s="65"/>
      <c r="C575" s="65"/>
      <c r="D575" s="65"/>
      <c r="E575" s="65"/>
      <c r="F575" s="65"/>
      <c r="G575" s="65"/>
      <c r="H575" s="65"/>
      <c r="I575" s="65"/>
      <c r="J575" s="65"/>
      <c r="K575" s="65"/>
      <c r="L575" s="65"/>
      <c r="M575" s="65"/>
      <c r="N575" s="65"/>
      <c r="O575" s="65"/>
      <c r="P575" s="65"/>
      <c r="Q575" s="65"/>
      <c r="R575" s="65"/>
      <c r="S575" s="65"/>
      <c r="T575" s="65"/>
      <c r="U575" s="65"/>
      <c r="V575" s="65"/>
      <c r="W575" s="65"/>
      <c r="X575" s="65"/>
      <c r="Y575" s="65"/>
    </row>
    <row r="576" spans="1:25">
      <c r="A576" s="65"/>
      <c r="D576" s="65"/>
    </row>
    <row r="577" spans="1:25">
      <c r="A577" s="65"/>
      <c r="D577" s="65"/>
    </row>
    <row r="578" spans="1:25" s="149" customFormat="1" ht="13">
      <c r="A578" s="65"/>
      <c r="B578" s="65"/>
      <c r="C578" s="65"/>
      <c r="D578" s="65"/>
      <c r="E578" s="65"/>
      <c r="F578" s="65"/>
      <c r="G578" s="65"/>
      <c r="H578" s="65"/>
      <c r="I578" s="65"/>
      <c r="J578" s="65"/>
      <c r="K578" s="65"/>
      <c r="L578" s="65"/>
      <c r="M578" s="65"/>
      <c r="N578" s="65"/>
      <c r="O578" s="65"/>
      <c r="P578" s="65"/>
      <c r="Q578" s="65"/>
      <c r="R578" s="65"/>
      <c r="S578" s="65"/>
      <c r="T578" s="65"/>
      <c r="U578" s="65"/>
      <c r="V578" s="65"/>
      <c r="W578" s="65"/>
      <c r="X578" s="65"/>
      <c r="Y578" s="65"/>
    </row>
    <row r="579" spans="1:25">
      <c r="A579" s="65"/>
      <c r="D579" s="65"/>
    </row>
    <row r="580" spans="1:25">
      <c r="A580" s="65"/>
      <c r="D580" s="65"/>
    </row>
    <row r="581" spans="1:25" s="149" customFormat="1" ht="13">
      <c r="A581" s="65"/>
      <c r="B581" s="65"/>
      <c r="C581" s="65"/>
      <c r="D581" s="65"/>
      <c r="E581" s="65"/>
      <c r="F581" s="65"/>
      <c r="G581" s="65"/>
      <c r="H581" s="65"/>
      <c r="I581" s="65"/>
      <c r="J581" s="65"/>
      <c r="K581" s="65"/>
      <c r="L581" s="65"/>
      <c r="M581" s="65"/>
      <c r="N581" s="65"/>
      <c r="O581" s="65"/>
      <c r="P581" s="65"/>
      <c r="Q581" s="65"/>
      <c r="R581" s="65"/>
      <c r="S581" s="65"/>
      <c r="T581" s="65"/>
      <c r="U581" s="65"/>
      <c r="V581" s="65"/>
      <c r="W581" s="65"/>
      <c r="X581" s="65"/>
      <c r="Y581" s="65"/>
    </row>
    <row r="582" spans="1:25">
      <c r="A582" s="65"/>
      <c r="D582" s="65"/>
    </row>
    <row r="583" spans="1:25">
      <c r="A583" s="65"/>
      <c r="D583" s="65"/>
    </row>
    <row r="584" spans="1:25" s="149" customFormat="1" ht="13">
      <c r="A584" s="65"/>
      <c r="B584" s="65"/>
      <c r="C584" s="65"/>
      <c r="D584" s="65"/>
      <c r="E584" s="65"/>
      <c r="F584" s="65"/>
      <c r="G584" s="65"/>
      <c r="H584" s="65"/>
      <c r="I584" s="65"/>
      <c r="J584" s="65"/>
      <c r="K584" s="65"/>
      <c r="L584" s="65"/>
      <c r="M584" s="65"/>
      <c r="N584" s="65"/>
      <c r="O584" s="65"/>
      <c r="P584" s="65"/>
      <c r="Q584" s="65"/>
      <c r="R584" s="65"/>
      <c r="S584" s="65"/>
      <c r="T584" s="65"/>
      <c r="U584" s="65"/>
      <c r="V584" s="65"/>
      <c r="W584" s="65"/>
      <c r="X584" s="65"/>
      <c r="Y584" s="65"/>
    </row>
    <row r="585" spans="1:25">
      <c r="A585" s="65"/>
      <c r="D585" s="65"/>
    </row>
    <row r="586" spans="1:25">
      <c r="A586" s="65"/>
      <c r="D586" s="65"/>
    </row>
    <row r="587" spans="1:25" s="149" customFormat="1" ht="13">
      <c r="A587" s="65"/>
      <c r="B587" s="65"/>
      <c r="C587" s="65"/>
      <c r="D587" s="65"/>
      <c r="E587" s="65"/>
      <c r="F587" s="65"/>
      <c r="G587" s="65"/>
      <c r="H587" s="65"/>
      <c r="I587" s="65"/>
      <c r="J587" s="65"/>
      <c r="K587" s="65"/>
      <c r="L587" s="65"/>
      <c r="M587" s="65"/>
      <c r="N587" s="65"/>
      <c r="O587" s="65"/>
      <c r="P587" s="65"/>
      <c r="Q587" s="65"/>
      <c r="R587" s="65"/>
      <c r="S587" s="65"/>
      <c r="T587" s="65"/>
      <c r="U587" s="65"/>
      <c r="V587" s="65"/>
      <c r="W587" s="65"/>
      <c r="X587" s="65"/>
      <c r="Y587" s="65"/>
    </row>
    <row r="588" spans="1:25">
      <c r="A588" s="65"/>
      <c r="D588" s="65"/>
    </row>
    <row r="589" spans="1:25">
      <c r="A589" s="65"/>
      <c r="D589" s="65"/>
    </row>
    <row r="590" spans="1:25" s="149" customFormat="1" ht="13">
      <c r="A590" s="65"/>
      <c r="B590" s="65"/>
      <c r="C590" s="65"/>
      <c r="D590" s="65"/>
      <c r="E590" s="65"/>
      <c r="F590" s="65"/>
      <c r="G590" s="65"/>
      <c r="H590" s="65"/>
      <c r="I590" s="65"/>
      <c r="J590" s="65"/>
      <c r="K590" s="65"/>
      <c r="L590" s="65"/>
      <c r="M590" s="65"/>
      <c r="N590" s="65"/>
      <c r="O590" s="65"/>
      <c r="P590" s="65"/>
      <c r="Q590" s="65"/>
      <c r="R590" s="65"/>
      <c r="S590" s="65"/>
      <c r="T590" s="65"/>
      <c r="U590" s="65"/>
      <c r="V590" s="65"/>
      <c r="W590" s="65"/>
      <c r="X590" s="65"/>
      <c r="Y590" s="65"/>
    </row>
    <row r="591" spans="1:25">
      <c r="A591" s="65"/>
      <c r="D591" s="65"/>
    </row>
    <row r="592" spans="1:25">
      <c r="A592" s="65"/>
      <c r="D592" s="65"/>
    </row>
    <row r="593" spans="1:25" s="149" customFormat="1" ht="13">
      <c r="A593" s="65"/>
      <c r="B593" s="65"/>
      <c r="C593" s="65"/>
      <c r="D593" s="65"/>
      <c r="E593" s="65"/>
      <c r="F593" s="65"/>
      <c r="G593" s="65"/>
      <c r="H593" s="65"/>
      <c r="I593" s="65"/>
      <c r="J593" s="65"/>
      <c r="K593" s="65"/>
      <c r="L593" s="65"/>
      <c r="M593" s="65"/>
      <c r="N593" s="65"/>
      <c r="O593" s="65"/>
      <c r="P593" s="65"/>
      <c r="Q593" s="65"/>
      <c r="R593" s="65"/>
      <c r="S593" s="65"/>
      <c r="T593" s="65"/>
      <c r="U593" s="65"/>
      <c r="V593" s="65"/>
      <c r="W593" s="65"/>
      <c r="X593" s="65"/>
      <c r="Y593" s="65"/>
    </row>
    <row r="594" spans="1:25">
      <c r="A594" s="65"/>
      <c r="D594" s="65"/>
    </row>
    <row r="595" spans="1:25">
      <c r="A595" s="65"/>
      <c r="D595" s="65"/>
    </row>
    <row r="596" spans="1:25" s="149" customFormat="1" ht="13">
      <c r="A596" s="65"/>
      <c r="B596" s="65"/>
      <c r="C596" s="65"/>
      <c r="D596" s="65"/>
      <c r="E596" s="65"/>
      <c r="F596" s="65"/>
      <c r="G596" s="65"/>
      <c r="H596" s="65"/>
      <c r="I596" s="65"/>
      <c r="J596" s="65"/>
      <c r="K596" s="65"/>
      <c r="L596" s="65"/>
      <c r="M596" s="65"/>
      <c r="N596" s="65"/>
      <c r="O596" s="65"/>
      <c r="P596" s="65"/>
      <c r="Q596" s="65"/>
      <c r="R596" s="65"/>
      <c r="S596" s="65"/>
      <c r="T596" s="65"/>
      <c r="U596" s="65"/>
      <c r="V596" s="65"/>
      <c r="W596" s="65"/>
      <c r="X596" s="65"/>
      <c r="Y596" s="65"/>
    </row>
    <row r="597" spans="1:25">
      <c r="A597" s="65"/>
      <c r="D597" s="65"/>
    </row>
    <row r="598" spans="1:25">
      <c r="A598" s="65"/>
      <c r="D598" s="65"/>
    </row>
    <row r="599" spans="1:25" s="149" customFormat="1" ht="13">
      <c r="A599" s="65"/>
      <c r="B599" s="65"/>
      <c r="C599" s="65"/>
      <c r="D599" s="65"/>
      <c r="E599" s="65"/>
      <c r="F599" s="65"/>
      <c r="G599" s="65"/>
      <c r="H599" s="65"/>
      <c r="I599" s="65"/>
      <c r="J599" s="65"/>
      <c r="K599" s="65"/>
      <c r="L599" s="65"/>
      <c r="M599" s="65"/>
      <c r="N599" s="65"/>
      <c r="O599" s="65"/>
      <c r="P599" s="65"/>
      <c r="Q599" s="65"/>
      <c r="R599" s="65"/>
      <c r="S599" s="65"/>
      <c r="T599" s="65"/>
      <c r="U599" s="65"/>
      <c r="V599" s="65"/>
      <c r="W599" s="65"/>
      <c r="X599" s="65"/>
      <c r="Y599" s="65"/>
    </row>
    <row r="600" spans="1:25">
      <c r="A600" s="65"/>
      <c r="D600" s="65"/>
    </row>
    <row r="601" spans="1:25">
      <c r="A601" s="65"/>
      <c r="D601" s="65"/>
    </row>
    <row r="602" spans="1:25" s="149" customFormat="1" ht="13">
      <c r="A602" s="65"/>
      <c r="B602" s="65"/>
      <c r="C602" s="65"/>
      <c r="D602" s="65"/>
      <c r="E602" s="65"/>
      <c r="F602" s="65"/>
      <c r="G602" s="65"/>
      <c r="H602" s="65"/>
      <c r="I602" s="65"/>
      <c r="J602" s="65"/>
      <c r="K602" s="65"/>
      <c r="L602" s="65"/>
      <c r="M602" s="65"/>
      <c r="N602" s="65"/>
      <c r="O602" s="65"/>
      <c r="P602" s="65"/>
      <c r="Q602" s="65"/>
      <c r="R602" s="65"/>
      <c r="S602" s="65"/>
      <c r="T602" s="65"/>
      <c r="U602" s="65"/>
      <c r="V602" s="65"/>
      <c r="W602" s="65"/>
      <c r="X602" s="65"/>
      <c r="Y602" s="65"/>
    </row>
    <row r="603" spans="1:25">
      <c r="A603" s="65"/>
      <c r="D603" s="65"/>
    </row>
    <row r="604" spans="1:25">
      <c r="A604" s="65"/>
      <c r="D604" s="65"/>
    </row>
    <row r="605" spans="1:25" s="149" customFormat="1" ht="13">
      <c r="A605" s="65"/>
      <c r="B605" s="65"/>
      <c r="C605" s="65"/>
      <c r="D605" s="65"/>
      <c r="E605" s="65"/>
      <c r="F605" s="65"/>
      <c r="G605" s="65"/>
      <c r="H605" s="65"/>
      <c r="I605" s="65"/>
      <c r="J605" s="65"/>
      <c r="K605" s="65"/>
      <c r="L605" s="65"/>
      <c r="M605" s="65"/>
      <c r="N605" s="65"/>
      <c r="O605" s="65"/>
      <c r="P605" s="65"/>
      <c r="Q605" s="65"/>
      <c r="R605" s="65"/>
      <c r="S605" s="65"/>
      <c r="T605" s="65"/>
      <c r="U605" s="65"/>
      <c r="V605" s="65"/>
      <c r="W605" s="65"/>
      <c r="X605" s="65"/>
      <c r="Y605" s="65"/>
    </row>
    <row r="606" spans="1:25">
      <c r="A606" s="65"/>
      <c r="D606" s="65"/>
    </row>
    <row r="607" spans="1:25">
      <c r="A607" s="65"/>
      <c r="D607" s="65"/>
    </row>
    <row r="608" spans="1:25" s="149" customFormat="1" ht="13">
      <c r="A608" s="65"/>
      <c r="B608" s="65"/>
      <c r="C608" s="65"/>
      <c r="D608" s="65"/>
      <c r="E608" s="65"/>
      <c r="F608" s="65"/>
      <c r="G608" s="65"/>
      <c r="H608" s="65"/>
      <c r="I608" s="65"/>
      <c r="J608" s="65"/>
      <c r="K608" s="65"/>
      <c r="L608" s="65"/>
      <c r="M608" s="65"/>
      <c r="N608" s="65"/>
      <c r="O608" s="65"/>
      <c r="P608" s="65"/>
      <c r="Q608" s="65"/>
      <c r="R608" s="65"/>
      <c r="S608" s="65"/>
      <c r="T608" s="65"/>
      <c r="U608" s="65"/>
      <c r="V608" s="65"/>
      <c r="W608" s="65"/>
      <c r="X608" s="65"/>
      <c r="Y608" s="65"/>
    </row>
    <row r="609" spans="1:25">
      <c r="A609" s="65"/>
      <c r="D609" s="65"/>
    </row>
    <row r="610" spans="1:25">
      <c r="A610" s="65"/>
      <c r="D610" s="65"/>
    </row>
    <row r="611" spans="1:25" s="149" customFormat="1" ht="13">
      <c r="A611" s="65"/>
      <c r="B611" s="65"/>
      <c r="C611" s="65"/>
      <c r="D611" s="65"/>
      <c r="E611" s="65"/>
      <c r="F611" s="65"/>
      <c r="G611" s="65"/>
      <c r="H611" s="65"/>
      <c r="I611" s="65"/>
      <c r="J611" s="65"/>
      <c r="K611" s="65"/>
      <c r="L611" s="65"/>
      <c r="M611" s="65"/>
      <c r="N611" s="65"/>
      <c r="O611" s="65"/>
      <c r="P611" s="65"/>
      <c r="Q611" s="65"/>
      <c r="R611" s="65"/>
      <c r="S611" s="65"/>
      <c r="T611" s="65"/>
      <c r="U611" s="65"/>
      <c r="V611" s="65"/>
      <c r="W611" s="65"/>
      <c r="X611" s="65"/>
      <c r="Y611" s="65"/>
    </row>
    <row r="612" spans="1:25">
      <c r="A612" s="65"/>
      <c r="D612" s="65"/>
    </row>
    <row r="613" spans="1:25">
      <c r="A613" s="65"/>
      <c r="D613" s="65"/>
    </row>
    <row r="614" spans="1:25" s="149" customFormat="1" ht="13">
      <c r="A614" s="65"/>
      <c r="B614" s="65"/>
      <c r="C614" s="65"/>
      <c r="D614" s="65"/>
      <c r="E614" s="65"/>
      <c r="F614" s="65"/>
      <c r="G614" s="65"/>
      <c r="H614" s="65"/>
      <c r="I614" s="65"/>
      <c r="J614" s="65"/>
      <c r="K614" s="65"/>
      <c r="L614" s="65"/>
      <c r="M614" s="65"/>
      <c r="N614" s="65"/>
      <c r="O614" s="65"/>
      <c r="P614" s="65"/>
      <c r="Q614" s="65"/>
      <c r="R614" s="65"/>
      <c r="S614" s="65"/>
      <c r="T614" s="65"/>
      <c r="U614" s="65"/>
      <c r="V614" s="65"/>
      <c r="W614" s="65"/>
      <c r="X614" s="65"/>
      <c r="Y614" s="65"/>
    </row>
    <row r="615" spans="1:25">
      <c r="A615" s="65"/>
      <c r="D615" s="65"/>
    </row>
    <row r="616" spans="1:25">
      <c r="A616" s="65"/>
      <c r="D616" s="65"/>
    </row>
    <row r="617" spans="1:25" s="149" customFormat="1" ht="13">
      <c r="A617" s="65"/>
      <c r="B617" s="65"/>
      <c r="C617" s="65"/>
      <c r="D617" s="65"/>
      <c r="E617" s="65"/>
      <c r="F617" s="65"/>
      <c r="G617" s="65"/>
      <c r="H617" s="65"/>
      <c r="I617" s="65"/>
      <c r="J617" s="65"/>
      <c r="K617" s="65"/>
      <c r="L617" s="65"/>
      <c r="M617" s="65"/>
      <c r="N617" s="65"/>
      <c r="O617" s="65"/>
      <c r="P617" s="65"/>
      <c r="Q617" s="65"/>
      <c r="R617" s="65"/>
      <c r="S617" s="65"/>
      <c r="T617" s="65"/>
      <c r="U617" s="65"/>
      <c r="V617" s="65"/>
      <c r="W617" s="65"/>
      <c r="X617" s="65"/>
      <c r="Y617" s="65"/>
    </row>
    <row r="618" spans="1:25">
      <c r="A618" s="65"/>
      <c r="D618" s="65"/>
    </row>
    <row r="619" spans="1:25">
      <c r="A619" s="65"/>
      <c r="D619" s="65"/>
    </row>
    <row r="620" spans="1:25" s="149" customFormat="1" ht="13">
      <c r="A620" s="65"/>
      <c r="B620" s="65"/>
      <c r="C620" s="65"/>
      <c r="D620" s="65"/>
      <c r="E620" s="65"/>
      <c r="F620" s="65"/>
      <c r="G620" s="65"/>
      <c r="H620" s="65"/>
      <c r="I620" s="65"/>
      <c r="J620" s="65"/>
      <c r="K620" s="65"/>
      <c r="L620" s="65"/>
      <c r="M620" s="65"/>
      <c r="N620" s="65"/>
      <c r="O620" s="65"/>
      <c r="P620" s="65"/>
      <c r="Q620" s="65"/>
      <c r="R620" s="65"/>
      <c r="S620" s="65"/>
      <c r="T620" s="65"/>
      <c r="U620" s="65"/>
      <c r="V620" s="65"/>
      <c r="W620" s="65"/>
      <c r="X620" s="65"/>
      <c r="Y620" s="65"/>
    </row>
    <row r="621" spans="1:25">
      <c r="A621" s="65"/>
      <c r="D621" s="65"/>
    </row>
    <row r="622" spans="1:25">
      <c r="A622" s="65"/>
      <c r="D622" s="65"/>
    </row>
    <row r="623" spans="1:25" s="149" customFormat="1" ht="13">
      <c r="A623" s="65"/>
      <c r="B623" s="65"/>
      <c r="C623" s="65"/>
      <c r="D623" s="65"/>
      <c r="E623" s="65"/>
      <c r="F623" s="65"/>
      <c r="G623" s="65"/>
      <c r="H623" s="65"/>
      <c r="I623" s="65"/>
      <c r="J623" s="65"/>
      <c r="K623" s="65"/>
      <c r="L623" s="65"/>
      <c r="M623" s="65"/>
      <c r="N623" s="65"/>
      <c r="O623" s="65"/>
      <c r="P623" s="65"/>
      <c r="Q623" s="65"/>
      <c r="R623" s="65"/>
      <c r="S623" s="65"/>
      <c r="T623" s="65"/>
      <c r="U623" s="65"/>
      <c r="V623" s="65"/>
      <c r="W623" s="65"/>
      <c r="X623" s="65"/>
      <c r="Y623" s="65"/>
    </row>
    <row r="624" spans="1:25">
      <c r="A624" s="65"/>
      <c r="D624" s="65"/>
    </row>
    <row r="625" spans="1:25">
      <c r="A625" s="65"/>
      <c r="D625" s="65"/>
    </row>
    <row r="626" spans="1:25" s="149" customFormat="1" ht="13">
      <c r="A626" s="65"/>
      <c r="B626" s="65"/>
      <c r="C626" s="65"/>
      <c r="D626" s="65"/>
      <c r="E626" s="65"/>
      <c r="F626" s="65"/>
      <c r="G626" s="65"/>
      <c r="H626" s="65"/>
      <c r="I626" s="65"/>
      <c r="J626" s="65"/>
      <c r="K626" s="65"/>
      <c r="L626" s="65"/>
      <c r="M626" s="65"/>
      <c r="N626" s="65"/>
      <c r="O626" s="65"/>
      <c r="P626" s="65"/>
      <c r="Q626" s="65"/>
      <c r="R626" s="65"/>
      <c r="S626" s="65"/>
      <c r="T626" s="65"/>
      <c r="U626" s="65"/>
      <c r="V626" s="65"/>
      <c r="W626" s="65"/>
      <c r="X626" s="65"/>
      <c r="Y626" s="65"/>
    </row>
    <row r="627" spans="1:25">
      <c r="A627" s="65"/>
      <c r="D627" s="65"/>
    </row>
    <row r="628" spans="1:25">
      <c r="A628" s="65"/>
      <c r="D628" s="65"/>
    </row>
    <row r="629" spans="1:25" s="149" customFormat="1" ht="13">
      <c r="A629" s="65"/>
      <c r="B629" s="65"/>
      <c r="C629" s="65"/>
      <c r="D629" s="65"/>
      <c r="E629" s="65"/>
      <c r="F629" s="65"/>
      <c r="G629" s="65"/>
      <c r="H629" s="65"/>
      <c r="I629" s="65"/>
      <c r="J629" s="65"/>
      <c r="K629" s="65"/>
      <c r="L629" s="65"/>
      <c r="M629" s="65"/>
      <c r="N629" s="65"/>
      <c r="O629" s="65"/>
      <c r="P629" s="65"/>
      <c r="Q629" s="65"/>
      <c r="R629" s="65"/>
      <c r="S629" s="65"/>
      <c r="T629" s="65"/>
      <c r="U629" s="65"/>
      <c r="V629" s="65"/>
      <c r="W629" s="65"/>
      <c r="X629" s="65"/>
      <c r="Y629" s="65"/>
    </row>
    <row r="630" spans="1:25">
      <c r="A630" s="65"/>
      <c r="D630" s="65"/>
    </row>
    <row r="631" spans="1:25">
      <c r="A631" s="65"/>
      <c r="D631" s="65"/>
    </row>
    <row r="632" spans="1:25" s="149" customFormat="1" ht="13">
      <c r="A632" s="65"/>
      <c r="B632" s="65"/>
      <c r="C632" s="65"/>
      <c r="D632" s="65"/>
      <c r="E632" s="65"/>
      <c r="F632" s="65"/>
      <c r="G632" s="65"/>
      <c r="H632" s="65"/>
      <c r="I632" s="65"/>
      <c r="J632" s="65"/>
      <c r="K632" s="65"/>
      <c r="L632" s="65"/>
      <c r="M632" s="65"/>
      <c r="N632" s="65"/>
      <c r="O632" s="65"/>
      <c r="P632" s="65"/>
      <c r="Q632" s="65"/>
      <c r="R632" s="65"/>
      <c r="S632" s="65"/>
      <c r="T632" s="65"/>
      <c r="U632" s="65"/>
      <c r="V632" s="65"/>
      <c r="W632" s="65"/>
      <c r="X632" s="65"/>
      <c r="Y632" s="65"/>
    </row>
    <row r="633" spans="1:25">
      <c r="A633" s="65"/>
      <c r="D633" s="65"/>
    </row>
    <row r="634" spans="1:25">
      <c r="A634" s="65"/>
      <c r="D634" s="65"/>
    </row>
    <row r="635" spans="1:25" s="149" customFormat="1" ht="13">
      <c r="A635" s="65"/>
      <c r="B635" s="65"/>
      <c r="C635" s="65"/>
      <c r="D635" s="65"/>
      <c r="E635" s="65"/>
      <c r="F635" s="65"/>
      <c r="G635" s="65"/>
      <c r="H635" s="65"/>
      <c r="I635" s="65"/>
      <c r="J635" s="65"/>
      <c r="K635" s="65"/>
      <c r="L635" s="65"/>
      <c r="M635" s="65"/>
      <c r="N635" s="65"/>
      <c r="O635" s="65"/>
      <c r="P635" s="65"/>
      <c r="Q635" s="65"/>
      <c r="R635" s="65"/>
      <c r="S635" s="65"/>
      <c r="T635" s="65"/>
      <c r="U635" s="65"/>
      <c r="V635" s="65"/>
      <c r="W635" s="65"/>
      <c r="X635" s="65"/>
      <c r="Y635" s="65"/>
    </row>
    <row r="636" spans="1:25">
      <c r="A636" s="65"/>
      <c r="D636" s="65"/>
    </row>
    <row r="637" spans="1:25">
      <c r="A637" s="65"/>
      <c r="D637" s="65"/>
    </row>
    <row r="638" spans="1:25" s="149" customFormat="1" ht="13">
      <c r="A638" s="65"/>
      <c r="B638" s="65"/>
      <c r="C638" s="65"/>
      <c r="D638" s="65"/>
      <c r="E638" s="65"/>
      <c r="F638" s="65"/>
      <c r="G638" s="65"/>
      <c r="H638" s="65"/>
      <c r="I638" s="65"/>
      <c r="J638" s="65"/>
      <c r="K638" s="65"/>
      <c r="L638" s="65"/>
      <c r="M638" s="65"/>
      <c r="N638" s="65"/>
      <c r="O638" s="65"/>
      <c r="P638" s="65"/>
      <c r="Q638" s="65"/>
      <c r="R638" s="65"/>
      <c r="S638" s="65"/>
      <c r="T638" s="65"/>
      <c r="U638" s="65"/>
      <c r="V638" s="65"/>
      <c r="W638" s="65"/>
      <c r="X638" s="65"/>
      <c r="Y638" s="65"/>
    </row>
    <row r="639" spans="1:25">
      <c r="A639" s="65"/>
      <c r="D639" s="65"/>
    </row>
    <row r="640" spans="1:25">
      <c r="A640" s="65"/>
      <c r="D640" s="65"/>
    </row>
    <row r="641" spans="1:25" s="149" customFormat="1" ht="13">
      <c r="A641" s="65"/>
      <c r="B641" s="65"/>
      <c r="C641" s="65"/>
      <c r="D641" s="65"/>
      <c r="E641" s="65"/>
      <c r="F641" s="65"/>
      <c r="G641" s="65"/>
      <c r="H641" s="65"/>
      <c r="I641" s="65"/>
      <c r="J641" s="65"/>
      <c r="K641" s="65"/>
      <c r="L641" s="65"/>
      <c r="M641" s="65"/>
      <c r="N641" s="65"/>
      <c r="O641" s="65"/>
      <c r="P641" s="65"/>
      <c r="Q641" s="65"/>
      <c r="R641" s="65"/>
      <c r="S641" s="65"/>
      <c r="T641" s="65"/>
      <c r="U641" s="65"/>
      <c r="V641" s="65"/>
      <c r="W641" s="65"/>
      <c r="X641" s="65"/>
      <c r="Y641" s="65"/>
    </row>
    <row r="642" spans="1:25">
      <c r="A642" s="65"/>
      <c r="D642" s="65"/>
    </row>
    <row r="643" spans="1:25">
      <c r="A643" s="65"/>
      <c r="D643" s="65"/>
    </row>
    <row r="644" spans="1:25" s="149" customFormat="1" ht="13">
      <c r="A644" s="65"/>
      <c r="B644" s="65"/>
      <c r="C644" s="65"/>
      <c r="D644" s="65"/>
      <c r="E644" s="65"/>
      <c r="F644" s="65"/>
      <c r="G644" s="65"/>
      <c r="H644" s="65"/>
      <c r="I644" s="65"/>
      <c r="J644" s="65"/>
      <c r="K644" s="65"/>
      <c r="L644" s="65"/>
      <c r="M644" s="65"/>
      <c r="N644" s="65"/>
      <c r="O644" s="65"/>
      <c r="P644" s="65"/>
      <c r="Q644" s="65"/>
      <c r="R644" s="65"/>
      <c r="S644" s="65"/>
      <c r="T644" s="65"/>
      <c r="U644" s="65"/>
      <c r="V644" s="65"/>
      <c r="W644" s="65"/>
      <c r="X644" s="65"/>
      <c r="Y644" s="65"/>
    </row>
    <row r="645" spans="1:25">
      <c r="A645" s="65"/>
      <c r="D645" s="65"/>
    </row>
    <row r="646" spans="1:25">
      <c r="A646" s="65"/>
      <c r="D646" s="65"/>
    </row>
    <row r="647" spans="1:25" s="149" customFormat="1" ht="13">
      <c r="A647" s="65"/>
      <c r="B647" s="65"/>
      <c r="C647" s="65"/>
      <c r="D647" s="65"/>
      <c r="E647" s="65"/>
      <c r="F647" s="65"/>
      <c r="G647" s="65"/>
      <c r="H647" s="65"/>
      <c r="I647" s="65"/>
      <c r="J647" s="65"/>
      <c r="K647" s="65"/>
      <c r="L647" s="65"/>
      <c r="M647" s="65"/>
      <c r="N647" s="65"/>
      <c r="O647" s="65"/>
      <c r="P647" s="65"/>
      <c r="Q647" s="65"/>
      <c r="R647" s="65"/>
      <c r="S647" s="65"/>
      <c r="T647" s="65"/>
      <c r="U647" s="65"/>
      <c r="V647" s="65"/>
      <c r="W647" s="65"/>
      <c r="X647" s="65"/>
      <c r="Y647" s="65"/>
    </row>
    <row r="648" spans="1:25">
      <c r="A648" s="65"/>
      <c r="D648" s="65"/>
    </row>
    <row r="649" spans="1:25">
      <c r="A649" s="65"/>
      <c r="D649" s="65"/>
    </row>
    <row r="650" spans="1:25" s="149" customFormat="1" ht="13">
      <c r="A650" s="65"/>
      <c r="B650" s="65"/>
      <c r="C650" s="65"/>
      <c r="D650" s="65"/>
      <c r="E650" s="65"/>
      <c r="F650" s="65"/>
      <c r="G650" s="65"/>
      <c r="H650" s="65"/>
      <c r="I650" s="65"/>
      <c r="J650" s="65"/>
      <c r="K650" s="65"/>
      <c r="L650" s="65"/>
      <c r="M650" s="65"/>
      <c r="N650" s="65"/>
      <c r="O650" s="65"/>
      <c r="P650" s="65"/>
      <c r="Q650" s="65"/>
      <c r="R650" s="65"/>
      <c r="S650" s="65"/>
      <c r="T650" s="65"/>
      <c r="U650" s="65"/>
      <c r="V650" s="65"/>
      <c r="W650" s="65"/>
      <c r="X650" s="65"/>
      <c r="Y650" s="65"/>
    </row>
    <row r="651" spans="1:25">
      <c r="A651" s="65"/>
      <c r="D651" s="65"/>
    </row>
    <row r="652" spans="1:25">
      <c r="A652" s="65"/>
      <c r="D652" s="65"/>
    </row>
    <row r="653" spans="1:25" s="149" customFormat="1" ht="13">
      <c r="A653" s="65"/>
      <c r="B653" s="65"/>
      <c r="C653" s="65"/>
      <c r="D653" s="65"/>
      <c r="E653" s="65"/>
      <c r="F653" s="65"/>
      <c r="G653" s="65"/>
      <c r="H653" s="65"/>
      <c r="I653" s="65"/>
      <c r="J653" s="65"/>
      <c r="K653" s="65"/>
      <c r="L653" s="65"/>
      <c r="M653" s="65"/>
      <c r="N653" s="65"/>
      <c r="O653" s="65"/>
      <c r="P653" s="65"/>
      <c r="Q653" s="65"/>
      <c r="R653" s="65"/>
      <c r="S653" s="65"/>
      <c r="T653" s="65"/>
      <c r="U653" s="65"/>
      <c r="V653" s="65"/>
      <c r="W653" s="65"/>
      <c r="X653" s="65"/>
      <c r="Y653" s="65"/>
    </row>
    <row r="654" spans="1:25">
      <c r="A654" s="65"/>
      <c r="D654" s="65"/>
    </row>
    <row r="655" spans="1:25">
      <c r="A655" s="65"/>
      <c r="D655" s="65"/>
    </row>
    <row r="656" spans="1:25" s="149" customFormat="1" ht="13">
      <c r="A656" s="65"/>
      <c r="B656" s="65"/>
      <c r="C656" s="65"/>
      <c r="D656" s="65"/>
      <c r="E656" s="65"/>
      <c r="F656" s="65"/>
      <c r="G656" s="65"/>
      <c r="H656" s="65"/>
      <c r="I656" s="65"/>
      <c r="J656" s="65"/>
      <c r="K656" s="65"/>
      <c r="L656" s="65"/>
      <c r="M656" s="65"/>
      <c r="N656" s="65"/>
      <c r="O656" s="65"/>
      <c r="P656" s="65"/>
      <c r="Q656" s="65"/>
      <c r="R656" s="65"/>
      <c r="S656" s="65"/>
      <c r="T656" s="65"/>
      <c r="U656" s="65"/>
      <c r="V656" s="65"/>
      <c r="W656" s="65"/>
      <c r="X656" s="65"/>
      <c r="Y656" s="65"/>
    </row>
    <row r="657" spans="1:25">
      <c r="A657" s="65"/>
      <c r="D657" s="65"/>
    </row>
    <row r="658" spans="1:25">
      <c r="A658" s="65"/>
      <c r="D658" s="65"/>
    </row>
    <row r="659" spans="1:25" s="149" customFormat="1" ht="13">
      <c r="A659" s="65"/>
      <c r="B659" s="65"/>
      <c r="C659" s="65"/>
      <c r="D659" s="65"/>
      <c r="E659" s="65"/>
      <c r="F659" s="65"/>
      <c r="G659" s="65"/>
      <c r="H659" s="65"/>
      <c r="I659" s="65"/>
      <c r="J659" s="65"/>
      <c r="K659" s="65"/>
      <c r="L659" s="65"/>
      <c r="M659" s="65"/>
      <c r="N659" s="65"/>
      <c r="O659" s="65"/>
      <c r="P659" s="65"/>
      <c r="Q659" s="65"/>
      <c r="R659" s="65"/>
      <c r="S659" s="65"/>
      <c r="T659" s="65"/>
      <c r="U659" s="65"/>
      <c r="V659" s="65"/>
      <c r="W659" s="65"/>
      <c r="X659" s="65"/>
      <c r="Y659" s="65"/>
    </row>
    <row r="660" spans="1:25">
      <c r="A660" s="65"/>
      <c r="D660" s="65"/>
    </row>
    <row r="661" spans="1:25">
      <c r="A661" s="65"/>
      <c r="D661" s="65"/>
    </row>
    <row r="662" spans="1:25" s="149" customFormat="1" ht="13">
      <c r="A662" s="65"/>
      <c r="B662" s="65"/>
      <c r="C662" s="65"/>
      <c r="D662" s="65"/>
      <c r="E662" s="65"/>
      <c r="F662" s="65"/>
      <c r="G662" s="65"/>
      <c r="H662" s="65"/>
      <c r="I662" s="65"/>
      <c r="J662" s="65"/>
      <c r="K662" s="65"/>
      <c r="L662" s="65"/>
      <c r="M662" s="65"/>
      <c r="N662" s="65"/>
      <c r="O662" s="65"/>
      <c r="P662" s="65"/>
      <c r="Q662" s="65"/>
      <c r="R662" s="65"/>
      <c r="S662" s="65"/>
      <c r="T662" s="65"/>
      <c r="U662" s="65"/>
      <c r="V662" s="65"/>
      <c r="W662" s="65"/>
      <c r="X662" s="65"/>
      <c r="Y662" s="65"/>
    </row>
    <row r="663" spans="1:25">
      <c r="A663" s="65"/>
      <c r="D663" s="65"/>
    </row>
    <row r="664" spans="1:25">
      <c r="A664" s="65"/>
      <c r="D664" s="65"/>
    </row>
    <row r="665" spans="1:25" s="149" customFormat="1" ht="13">
      <c r="A665" s="65"/>
      <c r="B665" s="65"/>
      <c r="C665" s="65"/>
      <c r="D665" s="65"/>
      <c r="E665" s="65"/>
      <c r="F665" s="65"/>
      <c r="G665" s="65"/>
      <c r="H665" s="65"/>
      <c r="I665" s="65"/>
      <c r="J665" s="65"/>
      <c r="K665" s="65"/>
      <c r="L665" s="65"/>
      <c r="M665" s="65"/>
      <c r="N665" s="65"/>
      <c r="O665" s="65"/>
      <c r="P665" s="65"/>
      <c r="Q665" s="65"/>
      <c r="R665" s="65"/>
      <c r="S665" s="65"/>
      <c r="T665" s="65"/>
      <c r="U665" s="65"/>
      <c r="V665" s="65"/>
      <c r="W665" s="65"/>
      <c r="X665" s="65"/>
      <c r="Y665" s="65"/>
    </row>
    <row r="666" spans="1:25">
      <c r="A666" s="65"/>
      <c r="D666" s="65"/>
    </row>
    <row r="667" spans="1:25">
      <c r="A667" s="65"/>
      <c r="D667" s="65"/>
    </row>
    <row r="668" spans="1:25" s="149" customFormat="1" ht="13">
      <c r="A668" s="65"/>
      <c r="B668" s="65"/>
      <c r="C668" s="65"/>
      <c r="D668" s="65"/>
      <c r="E668" s="65"/>
      <c r="F668" s="65"/>
      <c r="G668" s="65"/>
      <c r="H668" s="65"/>
      <c r="I668" s="65"/>
      <c r="J668" s="65"/>
      <c r="K668" s="65"/>
      <c r="L668" s="65"/>
      <c r="M668" s="65"/>
      <c r="N668" s="65"/>
      <c r="O668" s="65"/>
      <c r="P668" s="65"/>
      <c r="Q668" s="65"/>
      <c r="R668" s="65"/>
      <c r="S668" s="65"/>
      <c r="T668" s="65"/>
      <c r="U668" s="65"/>
      <c r="V668" s="65"/>
      <c r="W668" s="65"/>
      <c r="X668" s="65"/>
      <c r="Y668" s="65"/>
    </row>
    <row r="669" spans="1:25">
      <c r="A669" s="65"/>
      <c r="D669" s="65"/>
    </row>
    <row r="670" spans="1:25">
      <c r="A670" s="65"/>
      <c r="D670" s="65"/>
    </row>
    <row r="671" spans="1:25" s="149" customFormat="1" ht="13">
      <c r="A671" s="65"/>
      <c r="B671" s="65"/>
      <c r="C671" s="65"/>
      <c r="D671" s="65"/>
      <c r="E671" s="65"/>
      <c r="F671" s="65"/>
      <c r="G671" s="65"/>
      <c r="H671" s="65"/>
      <c r="I671" s="65"/>
      <c r="J671" s="65"/>
      <c r="K671" s="65"/>
      <c r="L671" s="65"/>
      <c r="M671" s="65"/>
      <c r="N671" s="65"/>
      <c r="O671" s="65"/>
      <c r="P671" s="65"/>
      <c r="Q671" s="65"/>
      <c r="R671" s="65"/>
      <c r="S671" s="65"/>
      <c r="T671" s="65"/>
      <c r="U671" s="65"/>
      <c r="V671" s="65"/>
      <c r="W671" s="65"/>
      <c r="X671" s="65"/>
      <c r="Y671" s="65"/>
    </row>
    <row r="672" spans="1:25">
      <c r="A672" s="65"/>
      <c r="D672" s="65"/>
    </row>
    <row r="673" spans="1:25">
      <c r="A673" s="65"/>
      <c r="D673" s="65"/>
    </row>
    <row r="674" spans="1:25" s="149" customFormat="1" ht="13">
      <c r="A674" s="65"/>
      <c r="B674" s="65"/>
      <c r="C674" s="65"/>
      <c r="D674" s="65"/>
      <c r="E674" s="65"/>
      <c r="F674" s="65"/>
      <c r="G674" s="65"/>
      <c r="H674" s="65"/>
      <c r="I674" s="65"/>
      <c r="J674" s="65"/>
      <c r="K674" s="65"/>
      <c r="L674" s="65"/>
      <c r="M674" s="65"/>
      <c r="N674" s="65"/>
      <c r="O674" s="65"/>
      <c r="P674" s="65"/>
      <c r="Q674" s="65"/>
      <c r="R674" s="65"/>
      <c r="S674" s="65"/>
      <c r="T674" s="65"/>
      <c r="U674" s="65"/>
      <c r="V674" s="65"/>
      <c r="W674" s="65"/>
      <c r="X674" s="65"/>
      <c r="Y674" s="65"/>
    </row>
    <row r="675" spans="1:25">
      <c r="A675" s="65"/>
      <c r="D675" s="65"/>
    </row>
    <row r="676" spans="1:25">
      <c r="A676" s="65"/>
      <c r="D676" s="65"/>
    </row>
    <row r="677" spans="1:25" s="149" customFormat="1" ht="13">
      <c r="A677" s="65"/>
      <c r="B677" s="65"/>
      <c r="C677" s="65"/>
      <c r="D677" s="65"/>
      <c r="E677" s="65"/>
      <c r="F677" s="65"/>
      <c r="G677" s="65"/>
      <c r="H677" s="65"/>
      <c r="I677" s="65"/>
      <c r="J677" s="65"/>
      <c r="K677" s="65"/>
      <c r="L677" s="65"/>
      <c r="M677" s="65"/>
      <c r="N677" s="65"/>
      <c r="O677" s="65"/>
      <c r="P677" s="65"/>
      <c r="Q677" s="65"/>
      <c r="R677" s="65"/>
      <c r="S677" s="65"/>
      <c r="T677" s="65"/>
      <c r="U677" s="65"/>
      <c r="V677" s="65"/>
      <c r="W677" s="65"/>
      <c r="X677" s="65"/>
      <c r="Y677" s="65"/>
    </row>
    <row r="678" spans="1:25">
      <c r="A678" s="65"/>
      <c r="D678" s="65"/>
    </row>
    <row r="679" spans="1:25">
      <c r="A679" s="65"/>
      <c r="D679" s="65"/>
    </row>
    <row r="680" spans="1:25" s="149" customFormat="1" ht="13">
      <c r="A680" s="65"/>
      <c r="B680" s="65"/>
      <c r="C680" s="65"/>
      <c r="D680" s="65"/>
      <c r="E680" s="65"/>
      <c r="F680" s="65"/>
      <c r="G680" s="65"/>
      <c r="H680" s="65"/>
      <c r="I680" s="65"/>
      <c r="J680" s="65"/>
      <c r="K680" s="65"/>
      <c r="L680" s="65"/>
      <c r="M680" s="65"/>
      <c r="N680" s="65"/>
      <c r="O680" s="65"/>
      <c r="P680" s="65"/>
      <c r="Q680" s="65"/>
      <c r="R680" s="65"/>
      <c r="S680" s="65"/>
      <c r="T680" s="65"/>
      <c r="U680" s="65"/>
      <c r="V680" s="65"/>
      <c r="W680" s="65"/>
      <c r="X680" s="65"/>
      <c r="Y680" s="65"/>
    </row>
    <row r="681" spans="1:25">
      <c r="A681" s="65"/>
      <c r="D681" s="65"/>
    </row>
    <row r="682" spans="1:25">
      <c r="A682" s="65"/>
      <c r="D682" s="65"/>
    </row>
    <row r="683" spans="1:25" s="149" customFormat="1" ht="13">
      <c r="A683" s="65"/>
      <c r="B683" s="65"/>
      <c r="C683" s="65"/>
      <c r="D683" s="65"/>
      <c r="E683" s="65"/>
      <c r="F683" s="65"/>
      <c r="G683" s="65"/>
      <c r="H683" s="65"/>
      <c r="I683" s="65"/>
      <c r="J683" s="65"/>
      <c r="K683" s="65"/>
      <c r="L683" s="65"/>
      <c r="M683" s="65"/>
      <c r="N683" s="65"/>
      <c r="O683" s="65"/>
      <c r="P683" s="65"/>
      <c r="Q683" s="65"/>
      <c r="R683" s="65"/>
      <c r="S683" s="65"/>
      <c r="T683" s="65"/>
      <c r="U683" s="65"/>
      <c r="V683" s="65"/>
      <c r="W683" s="65"/>
      <c r="X683" s="65"/>
      <c r="Y683" s="65"/>
    </row>
    <row r="684" spans="1:25">
      <c r="A684" s="65"/>
      <c r="D684" s="65"/>
    </row>
    <row r="685" spans="1:25">
      <c r="A685" s="65"/>
      <c r="D685" s="65"/>
    </row>
    <row r="686" spans="1:25" s="149" customFormat="1" ht="13">
      <c r="A686" s="65"/>
      <c r="B686" s="65"/>
      <c r="C686" s="65"/>
      <c r="D686" s="65"/>
      <c r="E686" s="65"/>
      <c r="F686" s="65"/>
      <c r="G686" s="65"/>
      <c r="H686" s="65"/>
      <c r="I686" s="65"/>
      <c r="J686" s="65"/>
      <c r="K686" s="65"/>
      <c r="L686" s="65"/>
      <c r="M686" s="65"/>
      <c r="N686" s="65"/>
      <c r="O686" s="65"/>
      <c r="P686" s="65"/>
      <c r="Q686" s="65"/>
      <c r="R686" s="65"/>
      <c r="S686" s="65"/>
      <c r="T686" s="65"/>
      <c r="U686" s="65"/>
      <c r="V686" s="65"/>
      <c r="W686" s="65"/>
      <c r="X686" s="65"/>
      <c r="Y686" s="65"/>
    </row>
    <row r="687" spans="1:25">
      <c r="A687" s="65"/>
      <c r="D687" s="65"/>
    </row>
    <row r="688" spans="1:25">
      <c r="A688" s="65"/>
      <c r="D688" s="65"/>
    </row>
    <row r="689" spans="1:25" s="149" customFormat="1" ht="13">
      <c r="A689" s="65"/>
      <c r="B689" s="65"/>
      <c r="C689" s="65"/>
      <c r="D689" s="65"/>
      <c r="E689" s="65"/>
      <c r="F689" s="65"/>
      <c r="G689" s="65"/>
      <c r="H689" s="65"/>
      <c r="I689" s="65"/>
      <c r="J689" s="65"/>
      <c r="K689" s="65"/>
      <c r="L689" s="65"/>
      <c r="M689" s="65"/>
      <c r="N689" s="65"/>
      <c r="O689" s="65"/>
      <c r="P689" s="65"/>
      <c r="Q689" s="65"/>
      <c r="R689" s="65"/>
      <c r="S689" s="65"/>
      <c r="T689" s="65"/>
      <c r="U689" s="65"/>
      <c r="V689" s="65"/>
      <c r="W689" s="65"/>
      <c r="X689" s="65"/>
      <c r="Y689" s="65"/>
    </row>
    <row r="690" spans="1:25">
      <c r="A690" s="65"/>
      <c r="D690" s="65"/>
    </row>
    <row r="691" spans="1:25">
      <c r="A691" s="65"/>
      <c r="D691" s="65"/>
    </row>
    <row r="692" spans="1:25" s="149" customFormat="1" ht="13">
      <c r="A692" s="65"/>
      <c r="B692" s="65"/>
      <c r="C692" s="65"/>
      <c r="D692" s="65"/>
      <c r="E692" s="65"/>
      <c r="F692" s="65"/>
      <c r="G692" s="65"/>
      <c r="H692" s="65"/>
      <c r="I692" s="65"/>
      <c r="J692" s="65"/>
      <c r="K692" s="65"/>
      <c r="L692" s="65"/>
      <c r="M692" s="65"/>
      <c r="N692" s="65"/>
      <c r="O692" s="65"/>
      <c r="P692" s="65"/>
      <c r="Q692" s="65"/>
      <c r="R692" s="65"/>
      <c r="S692" s="65"/>
      <c r="T692" s="65"/>
      <c r="U692" s="65"/>
      <c r="V692" s="65"/>
      <c r="W692" s="65"/>
      <c r="X692" s="65"/>
      <c r="Y692" s="65"/>
    </row>
    <row r="693" spans="1:25">
      <c r="A693" s="65"/>
      <c r="D693" s="65"/>
    </row>
    <row r="694" spans="1:25">
      <c r="A694" s="65"/>
      <c r="D694" s="65"/>
    </row>
    <row r="695" spans="1:25" s="149" customFormat="1" ht="13">
      <c r="A695" s="65"/>
      <c r="B695" s="65"/>
      <c r="C695" s="65"/>
      <c r="D695" s="65"/>
      <c r="E695" s="65"/>
      <c r="F695" s="65"/>
      <c r="G695" s="65"/>
      <c r="H695" s="65"/>
      <c r="I695" s="65"/>
      <c r="J695" s="65"/>
      <c r="K695" s="65"/>
      <c r="L695" s="65"/>
      <c r="M695" s="65"/>
      <c r="N695" s="65"/>
      <c r="O695" s="65"/>
      <c r="P695" s="65"/>
      <c r="Q695" s="65"/>
      <c r="R695" s="65"/>
      <c r="S695" s="65"/>
      <c r="T695" s="65"/>
      <c r="U695" s="65"/>
      <c r="V695" s="65"/>
      <c r="W695" s="65"/>
      <c r="X695" s="65"/>
      <c r="Y695" s="65"/>
    </row>
    <row r="696" spans="1:25">
      <c r="A696" s="65"/>
      <c r="D696" s="65"/>
    </row>
    <row r="697" spans="1:25">
      <c r="A697" s="65"/>
      <c r="D697" s="65"/>
    </row>
    <row r="698" spans="1:25" s="149" customFormat="1" ht="13">
      <c r="A698" s="65"/>
      <c r="B698" s="65"/>
      <c r="C698" s="65"/>
      <c r="D698" s="65"/>
      <c r="E698" s="65"/>
      <c r="F698" s="65"/>
      <c r="G698" s="65"/>
      <c r="H698" s="65"/>
      <c r="I698" s="65"/>
      <c r="J698" s="65"/>
      <c r="K698" s="65"/>
      <c r="L698" s="65"/>
      <c r="M698" s="65"/>
      <c r="N698" s="65"/>
      <c r="O698" s="65"/>
      <c r="P698" s="65"/>
      <c r="Q698" s="65"/>
      <c r="R698" s="65"/>
      <c r="S698" s="65"/>
      <c r="T698" s="65"/>
      <c r="U698" s="65"/>
      <c r="V698" s="65"/>
      <c r="W698" s="65"/>
      <c r="X698" s="65"/>
      <c r="Y698" s="65"/>
    </row>
    <row r="699" spans="1:25">
      <c r="A699" s="65"/>
      <c r="D699" s="65"/>
    </row>
    <row r="700" spans="1:25">
      <c r="A700" s="65"/>
      <c r="D700" s="65"/>
    </row>
    <row r="701" spans="1:25" s="149" customFormat="1" ht="13">
      <c r="A701" s="65"/>
      <c r="B701" s="65"/>
      <c r="C701" s="65"/>
      <c r="D701" s="65"/>
      <c r="E701" s="65"/>
      <c r="F701" s="65"/>
      <c r="G701" s="65"/>
      <c r="H701" s="65"/>
      <c r="I701" s="65"/>
      <c r="J701" s="65"/>
      <c r="K701" s="65"/>
      <c r="L701" s="65"/>
      <c r="M701" s="65"/>
      <c r="N701" s="65"/>
      <c r="O701" s="65"/>
      <c r="P701" s="65"/>
      <c r="Q701" s="65"/>
      <c r="R701" s="65"/>
      <c r="S701" s="65"/>
      <c r="T701" s="65"/>
      <c r="U701" s="65"/>
      <c r="V701" s="65"/>
      <c r="W701" s="65"/>
      <c r="X701" s="65"/>
      <c r="Y701" s="65"/>
    </row>
    <row r="702" spans="1:25">
      <c r="A702" s="65"/>
      <c r="D702" s="65"/>
    </row>
    <row r="703" spans="1:25">
      <c r="A703" s="65"/>
      <c r="D703" s="65"/>
    </row>
    <row r="704" spans="1:25" s="149" customFormat="1" ht="13">
      <c r="A704" s="65"/>
      <c r="B704" s="65"/>
      <c r="C704" s="65"/>
      <c r="D704" s="65"/>
      <c r="E704" s="65"/>
      <c r="F704" s="65"/>
      <c r="G704" s="65"/>
      <c r="H704" s="65"/>
      <c r="I704" s="65"/>
      <c r="J704" s="65"/>
      <c r="K704" s="65"/>
      <c r="L704" s="65"/>
      <c r="M704" s="65"/>
      <c r="N704" s="65"/>
      <c r="O704" s="65"/>
      <c r="P704" s="65"/>
      <c r="Q704" s="65"/>
      <c r="R704" s="65"/>
      <c r="S704" s="65"/>
      <c r="T704" s="65"/>
      <c r="U704" s="65"/>
      <c r="V704" s="65"/>
      <c r="W704" s="65"/>
      <c r="X704" s="65"/>
      <c r="Y704" s="65"/>
    </row>
    <row r="705" spans="1:25">
      <c r="A705" s="65"/>
      <c r="D705" s="65"/>
    </row>
    <row r="706" spans="1:25">
      <c r="A706" s="65"/>
      <c r="D706" s="65"/>
    </row>
    <row r="707" spans="1:25" s="149" customFormat="1" ht="13">
      <c r="A707" s="65"/>
      <c r="B707" s="65"/>
      <c r="C707" s="65"/>
      <c r="D707" s="65"/>
      <c r="E707" s="65"/>
      <c r="F707" s="65"/>
      <c r="G707" s="65"/>
      <c r="H707" s="65"/>
      <c r="I707" s="65"/>
      <c r="J707" s="65"/>
      <c r="K707" s="65"/>
      <c r="L707" s="65"/>
      <c r="M707" s="65"/>
      <c r="N707" s="65"/>
      <c r="O707" s="65"/>
      <c r="P707" s="65"/>
      <c r="Q707" s="65"/>
      <c r="R707" s="65"/>
      <c r="S707" s="65"/>
      <c r="T707" s="65"/>
      <c r="U707" s="65"/>
      <c r="V707" s="65"/>
      <c r="W707" s="65"/>
      <c r="X707" s="65"/>
      <c r="Y707" s="65"/>
    </row>
    <row r="708" spans="1:25">
      <c r="A708" s="65"/>
      <c r="D708" s="65"/>
    </row>
    <row r="709" spans="1:25">
      <c r="A709" s="65"/>
      <c r="D709" s="65"/>
    </row>
    <row r="710" spans="1:25" s="149" customFormat="1" ht="13">
      <c r="A710" s="65"/>
      <c r="B710" s="65"/>
      <c r="C710" s="65"/>
      <c r="D710" s="65"/>
      <c r="E710" s="65"/>
      <c r="F710" s="65"/>
      <c r="G710" s="65"/>
      <c r="H710" s="65"/>
      <c r="I710" s="65"/>
      <c r="J710" s="65"/>
      <c r="K710" s="65"/>
      <c r="L710" s="65"/>
      <c r="M710" s="65"/>
      <c r="N710" s="65"/>
      <c r="O710" s="65"/>
      <c r="P710" s="65"/>
      <c r="Q710" s="65"/>
      <c r="R710" s="65"/>
      <c r="S710" s="65"/>
      <c r="T710" s="65"/>
      <c r="U710" s="65"/>
      <c r="V710" s="65"/>
      <c r="W710" s="65"/>
      <c r="X710" s="65"/>
      <c r="Y710" s="65"/>
    </row>
    <row r="711" spans="1:25">
      <c r="A711" s="65"/>
      <c r="D711" s="65"/>
    </row>
    <row r="712" spans="1:25">
      <c r="A712" s="65"/>
      <c r="D712" s="65"/>
    </row>
    <row r="713" spans="1:25" s="149" customFormat="1" ht="13">
      <c r="A713" s="65"/>
      <c r="B713" s="65"/>
      <c r="C713" s="65"/>
      <c r="D713" s="65"/>
      <c r="E713" s="65"/>
      <c r="F713" s="65"/>
      <c r="G713" s="65"/>
      <c r="H713" s="65"/>
      <c r="I713" s="65"/>
      <c r="J713" s="65"/>
      <c r="K713" s="65"/>
      <c r="L713" s="65"/>
      <c r="M713" s="65"/>
      <c r="N713" s="65"/>
      <c r="O713" s="65"/>
      <c r="P713" s="65"/>
      <c r="Q713" s="65"/>
      <c r="R713" s="65"/>
      <c r="S713" s="65"/>
      <c r="T713" s="65"/>
      <c r="U713" s="65"/>
      <c r="V713" s="65"/>
      <c r="W713" s="65"/>
      <c r="X713" s="65"/>
      <c r="Y713" s="65"/>
    </row>
    <row r="714" spans="1:25">
      <c r="A714" s="65"/>
      <c r="D714" s="65"/>
    </row>
    <row r="715" spans="1:25">
      <c r="A715" s="65"/>
      <c r="D715" s="65"/>
    </row>
    <row r="716" spans="1:25" s="149" customFormat="1" ht="13">
      <c r="A716" s="65"/>
      <c r="B716" s="65"/>
      <c r="C716" s="65"/>
      <c r="D716" s="65"/>
      <c r="E716" s="65"/>
      <c r="F716" s="65"/>
      <c r="G716" s="65"/>
      <c r="H716" s="65"/>
      <c r="I716" s="65"/>
      <c r="J716" s="65"/>
      <c r="K716" s="65"/>
      <c r="L716" s="65"/>
      <c r="M716" s="65"/>
      <c r="N716" s="65"/>
      <c r="O716" s="65"/>
      <c r="P716" s="65"/>
      <c r="Q716" s="65"/>
      <c r="R716" s="65"/>
      <c r="S716" s="65"/>
      <c r="T716" s="65"/>
      <c r="U716" s="65"/>
      <c r="V716" s="65"/>
      <c r="W716" s="65"/>
      <c r="X716" s="65"/>
      <c r="Y716" s="65"/>
    </row>
    <row r="717" spans="1:25">
      <c r="A717" s="65"/>
      <c r="D717" s="65"/>
    </row>
    <row r="718" spans="1:25">
      <c r="A718" s="65"/>
      <c r="D718" s="65"/>
    </row>
    <row r="719" spans="1:25" s="149" customFormat="1" ht="13">
      <c r="A719" s="65"/>
      <c r="B719" s="65"/>
      <c r="C719" s="65"/>
      <c r="D719" s="65"/>
      <c r="E719" s="65"/>
      <c r="F719" s="65"/>
      <c r="G719" s="65"/>
      <c r="H719" s="65"/>
      <c r="I719" s="65"/>
      <c r="J719" s="65"/>
      <c r="K719" s="65"/>
      <c r="L719" s="65"/>
      <c r="M719" s="65"/>
      <c r="N719" s="65"/>
      <c r="O719" s="65"/>
      <c r="P719" s="65"/>
      <c r="Q719" s="65"/>
      <c r="R719" s="65"/>
      <c r="S719" s="65"/>
      <c r="T719" s="65"/>
      <c r="U719" s="65"/>
      <c r="V719" s="65"/>
      <c r="W719" s="65"/>
      <c r="X719" s="65"/>
      <c r="Y719" s="65"/>
    </row>
    <row r="720" spans="1:25">
      <c r="A720" s="65"/>
      <c r="D720" s="65"/>
    </row>
    <row r="721" spans="1:25">
      <c r="A721" s="65"/>
      <c r="D721" s="65"/>
    </row>
    <row r="722" spans="1:25" s="149" customFormat="1" ht="13">
      <c r="A722" s="65"/>
      <c r="B722" s="65"/>
      <c r="C722" s="65"/>
      <c r="D722" s="65"/>
      <c r="E722" s="65"/>
      <c r="F722" s="65"/>
      <c r="G722" s="65"/>
      <c r="H722" s="65"/>
      <c r="I722" s="65"/>
      <c r="J722" s="65"/>
      <c r="K722" s="65"/>
      <c r="L722" s="65"/>
      <c r="M722" s="65"/>
      <c r="N722" s="65"/>
      <c r="O722" s="65"/>
      <c r="P722" s="65"/>
      <c r="Q722" s="65"/>
      <c r="R722" s="65"/>
      <c r="S722" s="65"/>
      <c r="T722" s="65"/>
      <c r="U722" s="65"/>
      <c r="V722" s="65"/>
      <c r="W722" s="65"/>
      <c r="X722" s="65"/>
      <c r="Y722" s="65"/>
    </row>
    <row r="723" spans="1:25">
      <c r="A723" s="65"/>
      <c r="D723" s="65"/>
    </row>
    <row r="724" spans="1:25">
      <c r="A724" s="65"/>
      <c r="D724" s="65"/>
    </row>
    <row r="725" spans="1:25" s="149" customFormat="1" ht="13">
      <c r="A725" s="65"/>
      <c r="B725" s="65"/>
      <c r="C725" s="65"/>
      <c r="D725" s="65"/>
      <c r="E725" s="65"/>
      <c r="F725" s="65"/>
      <c r="G725" s="65"/>
      <c r="H725" s="65"/>
      <c r="I725" s="65"/>
      <c r="J725" s="65"/>
      <c r="K725" s="65"/>
      <c r="L725" s="65"/>
      <c r="M725" s="65"/>
      <c r="N725" s="65"/>
      <c r="O725" s="65"/>
      <c r="P725" s="65"/>
      <c r="Q725" s="65"/>
      <c r="R725" s="65"/>
      <c r="S725" s="65"/>
      <c r="T725" s="65"/>
      <c r="U725" s="65"/>
      <c r="V725" s="65"/>
      <c r="W725" s="65"/>
      <c r="X725" s="65"/>
      <c r="Y725" s="65"/>
    </row>
    <row r="726" spans="1:25">
      <c r="A726" s="65"/>
      <c r="D726" s="65"/>
    </row>
    <row r="727" spans="1:25">
      <c r="A727" s="65"/>
      <c r="D727" s="65"/>
    </row>
    <row r="728" spans="1:25" s="149" customFormat="1" ht="13">
      <c r="A728" s="65"/>
      <c r="B728" s="65"/>
      <c r="C728" s="65"/>
      <c r="D728" s="65"/>
      <c r="E728" s="65"/>
      <c r="F728" s="65"/>
      <c r="G728" s="65"/>
      <c r="H728" s="65"/>
      <c r="I728" s="65"/>
      <c r="J728" s="65"/>
      <c r="K728" s="65"/>
      <c r="L728" s="65"/>
      <c r="M728" s="65"/>
      <c r="N728" s="65"/>
      <c r="O728" s="65"/>
      <c r="P728" s="65"/>
      <c r="Q728" s="65"/>
      <c r="R728" s="65"/>
      <c r="S728" s="65"/>
      <c r="T728" s="65"/>
      <c r="U728" s="65"/>
      <c r="V728" s="65"/>
      <c r="W728" s="65"/>
      <c r="X728" s="65"/>
      <c r="Y728" s="65"/>
    </row>
    <row r="729" spans="1:25">
      <c r="A729" s="65"/>
      <c r="D729" s="65"/>
    </row>
    <row r="730" spans="1:25">
      <c r="A730" s="65"/>
      <c r="D730" s="65"/>
    </row>
    <row r="731" spans="1:25" s="149" customFormat="1" ht="13">
      <c r="A731" s="65"/>
      <c r="B731" s="65"/>
      <c r="C731" s="65"/>
      <c r="D731" s="65"/>
      <c r="E731" s="65"/>
      <c r="F731" s="65"/>
      <c r="G731" s="65"/>
      <c r="H731" s="65"/>
      <c r="I731" s="65"/>
      <c r="J731" s="65"/>
      <c r="K731" s="65"/>
      <c r="L731" s="65"/>
      <c r="M731" s="65"/>
      <c r="N731" s="65"/>
      <c r="O731" s="65"/>
      <c r="P731" s="65"/>
      <c r="Q731" s="65"/>
      <c r="R731" s="65"/>
      <c r="S731" s="65"/>
      <c r="T731" s="65"/>
      <c r="U731" s="65"/>
      <c r="V731" s="65"/>
      <c r="W731" s="65"/>
      <c r="X731" s="65"/>
      <c r="Y731" s="65"/>
    </row>
    <row r="732" spans="1:25">
      <c r="A732" s="65"/>
      <c r="D732" s="65"/>
    </row>
    <row r="733" spans="1:25">
      <c r="A733" s="65"/>
      <c r="D733" s="65"/>
    </row>
    <row r="734" spans="1:25" s="149" customFormat="1" ht="13">
      <c r="A734" s="65"/>
      <c r="B734" s="65"/>
      <c r="C734" s="65"/>
      <c r="D734" s="65"/>
      <c r="E734" s="65"/>
      <c r="F734" s="65"/>
      <c r="G734" s="65"/>
      <c r="H734" s="65"/>
      <c r="I734" s="65"/>
      <c r="J734" s="65"/>
      <c r="K734" s="65"/>
      <c r="L734" s="65"/>
      <c r="M734" s="65"/>
      <c r="N734" s="65"/>
      <c r="O734" s="65"/>
      <c r="P734" s="65"/>
      <c r="Q734" s="65"/>
      <c r="R734" s="65"/>
      <c r="S734" s="65"/>
      <c r="T734" s="65"/>
      <c r="U734" s="65"/>
      <c r="V734" s="65"/>
      <c r="W734" s="65"/>
      <c r="X734" s="65"/>
      <c r="Y734" s="65"/>
    </row>
    <row r="735" spans="1:25">
      <c r="A735" s="65"/>
      <c r="D735" s="65"/>
    </row>
    <row r="736" spans="1:25">
      <c r="A736" s="65"/>
      <c r="D736" s="65"/>
    </row>
    <row r="737" spans="1:25" s="149" customFormat="1" ht="13">
      <c r="A737" s="65"/>
      <c r="B737" s="65"/>
      <c r="C737" s="65"/>
      <c r="D737" s="65"/>
      <c r="E737" s="65"/>
      <c r="F737" s="65"/>
      <c r="G737" s="65"/>
      <c r="H737" s="65"/>
      <c r="I737" s="65"/>
      <c r="J737" s="65"/>
      <c r="K737" s="65"/>
      <c r="L737" s="65"/>
      <c r="M737" s="65"/>
      <c r="N737" s="65"/>
      <c r="O737" s="65"/>
      <c r="P737" s="65"/>
      <c r="Q737" s="65"/>
      <c r="R737" s="65"/>
      <c r="S737" s="65"/>
      <c r="T737" s="65"/>
      <c r="U737" s="65"/>
      <c r="V737" s="65"/>
      <c r="W737" s="65"/>
      <c r="X737" s="65"/>
      <c r="Y737" s="65"/>
    </row>
    <row r="738" spans="1:25">
      <c r="A738" s="65"/>
      <c r="D738" s="65"/>
    </row>
    <row r="739" spans="1:25">
      <c r="A739" s="65"/>
      <c r="D739" s="65"/>
    </row>
    <row r="740" spans="1:25" s="149" customFormat="1" ht="13">
      <c r="A740" s="65"/>
      <c r="B740" s="65"/>
      <c r="C740" s="65"/>
      <c r="D740" s="65"/>
      <c r="E740" s="65"/>
      <c r="F740" s="65"/>
      <c r="G740" s="65"/>
      <c r="H740" s="65"/>
      <c r="I740" s="65"/>
      <c r="J740" s="65"/>
      <c r="K740" s="65"/>
      <c r="L740" s="65"/>
      <c r="M740" s="65"/>
      <c r="N740" s="65"/>
      <c r="O740" s="65"/>
      <c r="P740" s="65"/>
      <c r="Q740" s="65"/>
      <c r="R740" s="65"/>
      <c r="S740" s="65"/>
      <c r="T740" s="65"/>
      <c r="U740" s="65"/>
      <c r="V740" s="65"/>
      <c r="W740" s="65"/>
      <c r="X740" s="65"/>
      <c r="Y740" s="65"/>
    </row>
    <row r="741" spans="1:25">
      <c r="A741" s="65"/>
      <c r="D741" s="65"/>
    </row>
    <row r="742" spans="1:25">
      <c r="A742" s="65"/>
      <c r="D742" s="65"/>
    </row>
    <row r="743" spans="1:25" s="149" customFormat="1" ht="13">
      <c r="A743" s="65"/>
      <c r="B743" s="65"/>
      <c r="C743" s="65"/>
      <c r="D743" s="65"/>
      <c r="E743" s="65"/>
      <c r="F743" s="65"/>
      <c r="G743" s="65"/>
      <c r="H743" s="65"/>
      <c r="I743" s="65"/>
      <c r="J743" s="65"/>
      <c r="K743" s="65"/>
      <c r="L743" s="65"/>
      <c r="M743" s="65"/>
      <c r="N743" s="65"/>
      <c r="O743" s="65"/>
      <c r="P743" s="65"/>
      <c r="Q743" s="65"/>
      <c r="R743" s="65"/>
      <c r="S743" s="65"/>
      <c r="T743" s="65"/>
      <c r="U743" s="65"/>
      <c r="V743" s="65"/>
      <c r="W743" s="65"/>
      <c r="X743" s="65"/>
      <c r="Y743" s="65"/>
    </row>
    <row r="744" spans="1:25">
      <c r="A744" s="65"/>
      <c r="D744" s="65"/>
    </row>
    <row r="745" spans="1:25">
      <c r="A745" s="65"/>
      <c r="D745" s="65"/>
    </row>
    <row r="746" spans="1:25" s="149" customFormat="1" ht="13">
      <c r="A746" s="65"/>
      <c r="B746" s="65"/>
      <c r="C746" s="65"/>
      <c r="D746" s="65"/>
      <c r="E746" s="65"/>
      <c r="F746" s="65"/>
      <c r="G746" s="65"/>
      <c r="H746" s="65"/>
      <c r="I746" s="65"/>
      <c r="J746" s="65"/>
      <c r="K746" s="65"/>
      <c r="L746" s="65"/>
      <c r="M746" s="65"/>
      <c r="N746" s="65"/>
      <c r="O746" s="65"/>
      <c r="P746" s="65"/>
      <c r="Q746" s="65"/>
      <c r="R746" s="65"/>
      <c r="S746" s="65"/>
      <c r="T746" s="65"/>
      <c r="U746" s="65"/>
      <c r="V746" s="65"/>
      <c r="W746" s="65"/>
      <c r="X746" s="65"/>
      <c r="Y746" s="65"/>
    </row>
    <row r="747" spans="1:25">
      <c r="A747" s="65"/>
      <c r="D747" s="65"/>
    </row>
    <row r="748" spans="1:25">
      <c r="A748" s="65"/>
      <c r="D748" s="65"/>
    </row>
    <row r="749" spans="1:25" s="149" customFormat="1" ht="13">
      <c r="A749" s="65"/>
      <c r="B749" s="65"/>
      <c r="C749" s="65"/>
      <c r="D749" s="65"/>
      <c r="E749" s="65"/>
      <c r="F749" s="65"/>
      <c r="G749" s="65"/>
      <c r="H749" s="65"/>
      <c r="I749" s="65"/>
      <c r="J749" s="65"/>
      <c r="K749" s="65"/>
      <c r="L749" s="65"/>
      <c r="M749" s="65"/>
      <c r="N749" s="65"/>
      <c r="O749" s="65"/>
      <c r="P749" s="65"/>
      <c r="Q749" s="65"/>
      <c r="R749" s="65"/>
      <c r="S749" s="65"/>
      <c r="T749" s="65"/>
      <c r="U749" s="65"/>
      <c r="V749" s="65"/>
      <c r="W749" s="65"/>
      <c r="X749" s="65"/>
      <c r="Y749" s="65"/>
    </row>
    <row r="750" spans="1:25">
      <c r="A750" s="65"/>
      <c r="D750" s="65"/>
    </row>
    <row r="751" spans="1:25">
      <c r="A751" s="65"/>
      <c r="D751" s="65"/>
    </row>
    <row r="752" spans="1:25" s="149" customFormat="1" ht="13">
      <c r="A752" s="65"/>
      <c r="B752" s="65"/>
      <c r="C752" s="65"/>
      <c r="D752" s="65"/>
      <c r="E752" s="65"/>
      <c r="F752" s="65"/>
      <c r="G752" s="65"/>
      <c r="H752" s="65"/>
      <c r="I752" s="65"/>
      <c r="J752" s="65"/>
      <c r="K752" s="65"/>
      <c r="L752" s="65"/>
      <c r="M752" s="65"/>
      <c r="N752" s="65"/>
      <c r="O752" s="65"/>
      <c r="P752" s="65"/>
      <c r="Q752" s="65"/>
      <c r="R752" s="65"/>
      <c r="S752" s="65"/>
      <c r="T752" s="65"/>
      <c r="U752" s="65"/>
      <c r="V752" s="65"/>
      <c r="W752" s="65"/>
      <c r="X752" s="65"/>
      <c r="Y752" s="65"/>
    </row>
    <row r="753" spans="1:25">
      <c r="A753" s="65"/>
      <c r="D753" s="65"/>
    </row>
    <row r="754" spans="1:25">
      <c r="A754" s="65"/>
      <c r="D754" s="65"/>
    </row>
    <row r="755" spans="1:25" s="149" customFormat="1" ht="13">
      <c r="A755" s="65"/>
      <c r="B755" s="65"/>
      <c r="C755" s="65"/>
      <c r="D755" s="65"/>
      <c r="E755" s="65"/>
      <c r="F755" s="65"/>
      <c r="G755" s="65"/>
      <c r="H755" s="65"/>
      <c r="I755" s="65"/>
      <c r="J755" s="65"/>
      <c r="K755" s="65"/>
      <c r="L755" s="65"/>
      <c r="M755" s="65"/>
      <c r="N755" s="65"/>
      <c r="O755" s="65"/>
      <c r="P755" s="65"/>
      <c r="Q755" s="65"/>
      <c r="R755" s="65"/>
      <c r="S755" s="65"/>
      <c r="T755" s="65"/>
      <c r="U755" s="65"/>
      <c r="V755" s="65"/>
      <c r="W755" s="65"/>
      <c r="X755" s="65"/>
      <c r="Y755" s="65"/>
    </row>
    <row r="756" spans="1:25">
      <c r="A756" s="65"/>
      <c r="D756" s="65"/>
    </row>
    <row r="757" spans="1:25">
      <c r="A757" s="65"/>
      <c r="D757" s="65"/>
    </row>
    <row r="758" spans="1:25" s="149" customFormat="1" ht="13">
      <c r="A758" s="65"/>
      <c r="B758" s="65"/>
      <c r="C758" s="65"/>
      <c r="D758" s="65"/>
      <c r="E758" s="65"/>
      <c r="F758" s="65"/>
      <c r="G758" s="65"/>
      <c r="H758" s="65"/>
      <c r="I758" s="65"/>
      <c r="J758" s="65"/>
      <c r="K758" s="65"/>
      <c r="L758" s="65"/>
      <c r="M758" s="65"/>
      <c r="N758" s="65"/>
      <c r="O758" s="65"/>
      <c r="P758" s="65"/>
      <c r="Q758" s="65"/>
      <c r="R758" s="65"/>
      <c r="S758" s="65"/>
      <c r="T758" s="65"/>
      <c r="U758" s="65"/>
      <c r="V758" s="65"/>
      <c r="W758" s="65"/>
      <c r="X758" s="65"/>
      <c r="Y758" s="65"/>
    </row>
    <row r="759" spans="1:25">
      <c r="A759" s="65"/>
      <c r="D759" s="65"/>
    </row>
    <row r="760" spans="1:25">
      <c r="A760" s="65"/>
      <c r="D760" s="65"/>
    </row>
    <row r="761" spans="1:25" s="149" customFormat="1" ht="13">
      <c r="A761" s="65"/>
      <c r="B761" s="65"/>
      <c r="C761" s="65"/>
      <c r="D761" s="65"/>
      <c r="E761" s="65"/>
      <c r="F761" s="65"/>
      <c r="G761" s="65"/>
      <c r="H761" s="65"/>
      <c r="I761" s="65"/>
      <c r="J761" s="65"/>
      <c r="K761" s="65"/>
      <c r="L761" s="65"/>
      <c r="M761" s="65"/>
      <c r="N761" s="65"/>
      <c r="O761" s="65"/>
      <c r="P761" s="65"/>
      <c r="Q761" s="65"/>
      <c r="R761" s="65"/>
      <c r="S761" s="65"/>
      <c r="T761" s="65"/>
      <c r="U761" s="65"/>
      <c r="V761" s="65"/>
      <c r="W761" s="65"/>
      <c r="X761" s="65"/>
      <c r="Y761" s="65"/>
    </row>
    <row r="762" spans="1:25">
      <c r="A762" s="65"/>
      <c r="D762" s="65"/>
    </row>
    <row r="763" spans="1:25">
      <c r="A763" s="65"/>
      <c r="D763" s="65"/>
    </row>
    <row r="764" spans="1:25" s="149" customFormat="1" ht="13">
      <c r="A764" s="65"/>
      <c r="B764" s="65"/>
      <c r="C764" s="65"/>
      <c r="D764" s="65"/>
      <c r="E764" s="65"/>
      <c r="F764" s="65"/>
      <c r="G764" s="65"/>
      <c r="H764" s="65"/>
      <c r="I764" s="65"/>
      <c r="J764" s="65"/>
      <c r="K764" s="65"/>
      <c r="L764" s="65"/>
      <c r="M764" s="65"/>
      <c r="N764" s="65"/>
      <c r="O764" s="65"/>
      <c r="P764" s="65"/>
      <c r="Q764" s="65"/>
      <c r="R764" s="65"/>
      <c r="S764" s="65"/>
      <c r="T764" s="65"/>
      <c r="U764" s="65"/>
      <c r="V764" s="65"/>
      <c r="W764" s="65"/>
      <c r="X764" s="65"/>
      <c r="Y764" s="65"/>
    </row>
    <row r="765" spans="1:25">
      <c r="A765" s="65"/>
      <c r="D765" s="65"/>
    </row>
    <row r="766" spans="1:25">
      <c r="A766" s="65"/>
      <c r="D766" s="65"/>
    </row>
    <row r="767" spans="1:25" s="149" customFormat="1" ht="13">
      <c r="A767" s="65"/>
      <c r="B767" s="65"/>
      <c r="C767" s="65"/>
      <c r="D767" s="65"/>
      <c r="E767" s="65"/>
      <c r="F767" s="65"/>
      <c r="G767" s="65"/>
      <c r="H767" s="65"/>
      <c r="I767" s="65"/>
      <c r="J767" s="65"/>
      <c r="K767" s="65"/>
      <c r="L767" s="65"/>
      <c r="M767" s="65"/>
      <c r="N767" s="65"/>
      <c r="O767" s="65"/>
      <c r="P767" s="65"/>
      <c r="Q767" s="65"/>
      <c r="R767" s="65"/>
      <c r="S767" s="65"/>
      <c r="T767" s="65"/>
      <c r="U767" s="65"/>
      <c r="V767" s="65"/>
      <c r="W767" s="65"/>
      <c r="X767" s="65"/>
      <c r="Y767" s="65"/>
    </row>
    <row r="768" spans="1:25">
      <c r="A768" s="65"/>
      <c r="D768" s="65"/>
    </row>
    <row r="769" spans="1:25">
      <c r="A769" s="65"/>
      <c r="D769" s="65"/>
    </row>
    <row r="770" spans="1:25" s="149" customFormat="1" ht="13">
      <c r="A770" s="65"/>
      <c r="B770" s="65"/>
      <c r="C770" s="65"/>
      <c r="D770" s="65"/>
      <c r="E770" s="65"/>
      <c r="F770" s="65"/>
      <c r="G770" s="65"/>
      <c r="H770" s="65"/>
      <c r="I770" s="65"/>
      <c r="J770" s="65"/>
      <c r="K770" s="65"/>
      <c r="L770" s="65"/>
      <c r="M770" s="65"/>
      <c r="N770" s="65"/>
      <c r="O770" s="65"/>
      <c r="P770" s="65"/>
      <c r="Q770" s="65"/>
      <c r="R770" s="65"/>
      <c r="S770" s="65"/>
      <c r="T770" s="65"/>
      <c r="U770" s="65"/>
      <c r="V770" s="65"/>
      <c r="W770" s="65"/>
      <c r="X770" s="65"/>
      <c r="Y770" s="65"/>
    </row>
    <row r="771" spans="1:25">
      <c r="A771" s="65"/>
      <c r="D771" s="65"/>
    </row>
    <row r="772" spans="1:25">
      <c r="A772" s="65"/>
      <c r="D772" s="65"/>
    </row>
    <row r="773" spans="1:25" s="149" customFormat="1" ht="13">
      <c r="A773" s="65"/>
      <c r="B773" s="65"/>
      <c r="C773" s="65"/>
      <c r="D773" s="65"/>
      <c r="E773" s="65"/>
      <c r="F773" s="65"/>
      <c r="G773" s="65"/>
      <c r="H773" s="65"/>
      <c r="I773" s="65"/>
      <c r="J773" s="65"/>
      <c r="K773" s="65"/>
      <c r="L773" s="65"/>
      <c r="M773" s="65"/>
      <c r="N773" s="65"/>
      <c r="O773" s="65"/>
      <c r="P773" s="65"/>
      <c r="Q773" s="65"/>
      <c r="R773" s="65"/>
      <c r="S773" s="65"/>
      <c r="T773" s="65"/>
      <c r="U773" s="65"/>
      <c r="V773" s="65"/>
      <c r="W773" s="65"/>
      <c r="X773" s="65"/>
      <c r="Y773" s="65"/>
    </row>
    <row r="774" spans="1:25">
      <c r="A774" s="65"/>
      <c r="D774" s="65"/>
    </row>
    <row r="775" spans="1:25">
      <c r="A775" s="65"/>
      <c r="D775" s="65"/>
    </row>
    <row r="776" spans="1:25" s="149" customFormat="1" ht="13">
      <c r="A776" s="65"/>
      <c r="B776" s="65"/>
      <c r="C776" s="65"/>
      <c r="D776" s="65"/>
      <c r="E776" s="65"/>
      <c r="F776" s="65"/>
      <c r="G776" s="65"/>
      <c r="H776" s="65"/>
      <c r="I776" s="65"/>
      <c r="J776" s="65"/>
      <c r="K776" s="65"/>
      <c r="L776" s="65"/>
      <c r="M776" s="65"/>
      <c r="N776" s="65"/>
      <c r="O776" s="65"/>
      <c r="P776" s="65"/>
      <c r="Q776" s="65"/>
      <c r="R776" s="65"/>
      <c r="S776" s="65"/>
      <c r="T776" s="65"/>
      <c r="U776" s="65"/>
      <c r="V776" s="65"/>
      <c r="W776" s="65"/>
      <c r="X776" s="65"/>
      <c r="Y776" s="65"/>
    </row>
    <row r="777" spans="1:25">
      <c r="A777" s="65"/>
      <c r="D777" s="65"/>
    </row>
    <row r="778" spans="1:25">
      <c r="A778" s="65"/>
      <c r="D778" s="65"/>
    </row>
    <row r="779" spans="1:25" s="149" customFormat="1" ht="13">
      <c r="A779" s="65"/>
      <c r="B779" s="65"/>
      <c r="C779" s="65"/>
      <c r="D779" s="65"/>
      <c r="E779" s="65"/>
      <c r="F779" s="65"/>
      <c r="G779" s="65"/>
      <c r="H779" s="65"/>
      <c r="I779" s="65"/>
      <c r="J779" s="65"/>
      <c r="K779" s="65"/>
      <c r="L779" s="65"/>
      <c r="M779" s="65"/>
      <c r="N779" s="65"/>
      <c r="O779" s="65"/>
      <c r="P779" s="65"/>
      <c r="Q779" s="65"/>
      <c r="R779" s="65"/>
      <c r="S779" s="65"/>
      <c r="T779" s="65"/>
      <c r="U779" s="65"/>
      <c r="V779" s="65"/>
      <c r="W779" s="65"/>
      <c r="X779" s="65"/>
      <c r="Y779" s="65"/>
    </row>
    <row r="780" spans="1:25">
      <c r="A780" s="65"/>
      <c r="D780" s="65"/>
    </row>
    <row r="781" spans="1:25">
      <c r="A781" s="65"/>
      <c r="D781" s="65"/>
    </row>
    <row r="782" spans="1:25" s="149" customFormat="1" ht="13">
      <c r="A782" s="65"/>
      <c r="B782" s="65"/>
      <c r="C782" s="65"/>
      <c r="D782" s="65"/>
      <c r="E782" s="65"/>
      <c r="F782" s="65"/>
      <c r="G782" s="65"/>
      <c r="H782" s="65"/>
      <c r="I782" s="65"/>
      <c r="J782" s="65"/>
      <c r="K782" s="65"/>
      <c r="L782" s="65"/>
      <c r="M782" s="65"/>
      <c r="N782" s="65"/>
      <c r="O782" s="65"/>
      <c r="P782" s="65"/>
      <c r="Q782" s="65"/>
      <c r="R782" s="65"/>
      <c r="S782" s="65"/>
      <c r="T782" s="65"/>
      <c r="U782" s="65"/>
      <c r="V782" s="65"/>
      <c r="W782" s="65"/>
      <c r="X782" s="65"/>
      <c r="Y782" s="65"/>
    </row>
    <row r="783" spans="1:25">
      <c r="A783" s="65"/>
      <c r="D783" s="65"/>
    </row>
    <row r="784" spans="1:25">
      <c r="A784" s="65"/>
      <c r="D784" s="65"/>
    </row>
    <row r="785" spans="1:25" s="149" customFormat="1" ht="13">
      <c r="A785" s="65"/>
      <c r="B785" s="65"/>
      <c r="C785" s="65"/>
      <c r="D785" s="65"/>
      <c r="E785" s="65"/>
      <c r="F785" s="65"/>
      <c r="G785" s="65"/>
      <c r="H785" s="65"/>
      <c r="I785" s="65"/>
      <c r="J785" s="65"/>
      <c r="K785" s="65"/>
      <c r="L785" s="65"/>
      <c r="M785" s="65"/>
      <c r="N785" s="65"/>
      <c r="O785" s="65"/>
      <c r="P785" s="65"/>
      <c r="Q785" s="65"/>
      <c r="R785" s="65"/>
      <c r="S785" s="65"/>
      <c r="T785" s="65"/>
      <c r="U785" s="65"/>
      <c r="V785" s="65"/>
      <c r="W785" s="65"/>
      <c r="X785" s="65"/>
      <c r="Y785" s="65"/>
    </row>
    <row r="786" spans="1:25">
      <c r="A786" s="65"/>
      <c r="D786" s="65"/>
    </row>
    <row r="787" spans="1:25">
      <c r="A787" s="65"/>
      <c r="D787" s="65"/>
    </row>
    <row r="788" spans="1:25" s="149" customFormat="1" ht="13">
      <c r="A788" s="65"/>
      <c r="B788" s="65"/>
      <c r="C788" s="65"/>
      <c r="D788" s="65"/>
      <c r="E788" s="65"/>
      <c r="F788" s="65"/>
      <c r="G788" s="65"/>
      <c r="H788" s="65"/>
      <c r="I788" s="65"/>
      <c r="J788" s="65"/>
      <c r="K788" s="65"/>
      <c r="L788" s="65"/>
      <c r="M788" s="65"/>
      <c r="N788" s="65"/>
      <c r="O788" s="65"/>
      <c r="P788" s="65"/>
      <c r="Q788" s="65"/>
      <c r="R788" s="65"/>
      <c r="S788" s="65"/>
      <c r="T788" s="65"/>
      <c r="U788" s="65"/>
      <c r="V788" s="65"/>
      <c r="W788" s="65"/>
      <c r="X788" s="65"/>
      <c r="Y788" s="65"/>
    </row>
    <row r="789" spans="1:25">
      <c r="A789" s="65"/>
      <c r="D789" s="65"/>
    </row>
    <row r="790" spans="1:25">
      <c r="A790" s="65"/>
      <c r="D790" s="65"/>
    </row>
    <row r="791" spans="1:25" s="149" customFormat="1" ht="13">
      <c r="A791" s="65"/>
      <c r="B791" s="65"/>
      <c r="C791" s="65"/>
      <c r="D791" s="65"/>
      <c r="E791" s="65"/>
      <c r="F791" s="65"/>
      <c r="G791" s="65"/>
      <c r="H791" s="65"/>
      <c r="I791" s="65"/>
      <c r="J791" s="65"/>
      <c r="K791" s="65"/>
      <c r="L791" s="65"/>
      <c r="M791" s="65"/>
      <c r="N791" s="65"/>
      <c r="O791" s="65"/>
      <c r="P791" s="65"/>
      <c r="Q791" s="65"/>
      <c r="R791" s="65"/>
      <c r="S791" s="65"/>
      <c r="T791" s="65"/>
      <c r="U791" s="65"/>
      <c r="V791" s="65"/>
      <c r="W791" s="65"/>
      <c r="X791" s="65"/>
      <c r="Y791" s="65"/>
    </row>
    <row r="792" spans="1:25">
      <c r="A792" s="65"/>
      <c r="D792" s="65"/>
    </row>
    <row r="793" spans="1:25">
      <c r="A793" s="65"/>
      <c r="D793" s="65"/>
    </row>
    <row r="794" spans="1:25" s="149" customFormat="1" ht="13">
      <c r="A794" s="65"/>
      <c r="B794" s="65"/>
      <c r="C794" s="65"/>
      <c r="D794" s="65"/>
      <c r="E794" s="65"/>
      <c r="F794" s="65"/>
      <c r="G794" s="65"/>
      <c r="H794" s="65"/>
      <c r="I794" s="65"/>
      <c r="J794" s="65"/>
      <c r="K794" s="65"/>
      <c r="L794" s="65"/>
      <c r="M794" s="65"/>
      <c r="N794" s="65"/>
      <c r="O794" s="65"/>
      <c r="P794" s="65"/>
      <c r="Q794" s="65"/>
      <c r="R794" s="65"/>
      <c r="S794" s="65"/>
      <c r="T794" s="65"/>
      <c r="U794" s="65"/>
      <c r="V794" s="65"/>
      <c r="W794" s="65"/>
      <c r="X794" s="65"/>
      <c r="Y794" s="65"/>
    </row>
    <row r="795" spans="1:25">
      <c r="A795" s="65"/>
      <c r="D795" s="65"/>
    </row>
    <row r="796" spans="1:25">
      <c r="A796" s="65"/>
      <c r="D796" s="65"/>
    </row>
    <row r="797" spans="1:25" s="149" customFormat="1" ht="13">
      <c r="A797" s="65"/>
      <c r="B797" s="65"/>
      <c r="C797" s="65"/>
      <c r="D797" s="65"/>
      <c r="E797" s="65"/>
      <c r="F797" s="65"/>
      <c r="G797" s="65"/>
      <c r="H797" s="65"/>
      <c r="I797" s="65"/>
      <c r="J797" s="65"/>
      <c r="K797" s="65"/>
      <c r="L797" s="65"/>
      <c r="M797" s="65"/>
      <c r="N797" s="65"/>
      <c r="O797" s="65"/>
      <c r="P797" s="65"/>
      <c r="Q797" s="65"/>
      <c r="R797" s="65"/>
      <c r="S797" s="65"/>
      <c r="T797" s="65"/>
      <c r="U797" s="65"/>
      <c r="V797" s="65"/>
      <c r="W797" s="65"/>
      <c r="X797" s="65"/>
      <c r="Y797" s="65"/>
    </row>
    <row r="798" spans="1:25">
      <c r="A798" s="65"/>
      <c r="D798" s="65"/>
    </row>
    <row r="799" spans="1:25">
      <c r="A799" s="65"/>
      <c r="D799" s="65"/>
    </row>
    <row r="800" spans="1:25" s="149" customFormat="1" ht="13">
      <c r="A800" s="65"/>
      <c r="B800" s="65"/>
      <c r="C800" s="65"/>
      <c r="D800" s="65"/>
      <c r="E800" s="65"/>
      <c r="F800" s="65"/>
      <c r="G800" s="65"/>
      <c r="H800" s="65"/>
      <c r="I800" s="65"/>
      <c r="J800" s="65"/>
      <c r="K800" s="65"/>
      <c r="L800" s="65"/>
      <c r="M800" s="65"/>
      <c r="N800" s="65"/>
      <c r="O800" s="65"/>
      <c r="P800" s="65"/>
      <c r="Q800" s="65"/>
      <c r="R800" s="65"/>
      <c r="S800" s="65"/>
      <c r="T800" s="65"/>
      <c r="U800" s="65"/>
      <c r="V800" s="65"/>
      <c r="W800" s="65"/>
      <c r="X800" s="65"/>
      <c r="Y800" s="65"/>
    </row>
    <row r="801" spans="1:25">
      <c r="A801" s="65"/>
      <c r="D801" s="65"/>
    </row>
    <row r="802" spans="1:25">
      <c r="A802" s="65"/>
      <c r="D802" s="65"/>
    </row>
    <row r="803" spans="1:25" s="149" customFormat="1" ht="13">
      <c r="A803" s="65"/>
      <c r="B803" s="65"/>
      <c r="C803" s="65"/>
      <c r="D803" s="65"/>
      <c r="E803" s="65"/>
      <c r="F803" s="65"/>
      <c r="G803" s="65"/>
      <c r="H803" s="65"/>
      <c r="I803" s="65"/>
      <c r="J803" s="65"/>
      <c r="K803" s="65"/>
      <c r="L803" s="65"/>
      <c r="M803" s="65"/>
      <c r="N803" s="65"/>
      <c r="O803" s="65"/>
      <c r="P803" s="65"/>
      <c r="Q803" s="65"/>
      <c r="R803" s="65"/>
      <c r="S803" s="65"/>
      <c r="T803" s="65"/>
      <c r="U803" s="65"/>
      <c r="V803" s="65"/>
      <c r="W803" s="65"/>
      <c r="X803" s="65"/>
      <c r="Y803" s="65"/>
    </row>
    <row r="804" spans="1:25">
      <c r="A804" s="65"/>
      <c r="D804" s="65"/>
    </row>
    <row r="805" spans="1:25">
      <c r="A805" s="65"/>
      <c r="D805" s="65"/>
    </row>
    <row r="806" spans="1:25" s="149" customFormat="1" ht="13">
      <c r="A806" s="65"/>
      <c r="B806" s="65"/>
      <c r="C806" s="65"/>
      <c r="D806" s="65"/>
      <c r="E806" s="65"/>
      <c r="F806" s="65"/>
      <c r="G806" s="65"/>
      <c r="H806" s="65"/>
      <c r="I806" s="65"/>
      <c r="J806" s="65"/>
      <c r="K806" s="65"/>
      <c r="L806" s="65"/>
      <c r="M806" s="65"/>
      <c r="N806" s="65"/>
      <c r="O806" s="65"/>
      <c r="P806" s="65"/>
      <c r="Q806" s="65"/>
      <c r="R806" s="65"/>
      <c r="S806" s="65"/>
      <c r="T806" s="65"/>
      <c r="U806" s="65"/>
      <c r="V806" s="65"/>
      <c r="W806" s="65"/>
      <c r="X806" s="65"/>
      <c r="Y806" s="65"/>
    </row>
    <row r="807" spans="1:25">
      <c r="A807" s="65"/>
      <c r="D807" s="65"/>
    </row>
    <row r="808" spans="1:25">
      <c r="A808" s="65"/>
      <c r="D808" s="65"/>
    </row>
    <row r="809" spans="1:25" s="149" customFormat="1" ht="13">
      <c r="A809" s="65"/>
      <c r="B809" s="65"/>
      <c r="C809" s="65"/>
      <c r="D809" s="65"/>
      <c r="E809" s="65"/>
      <c r="F809" s="65"/>
      <c r="G809" s="65"/>
      <c r="H809" s="65"/>
      <c r="I809" s="65"/>
      <c r="J809" s="65"/>
      <c r="K809" s="65"/>
      <c r="L809" s="65"/>
      <c r="M809" s="65"/>
      <c r="N809" s="65"/>
      <c r="O809" s="65"/>
      <c r="P809" s="65"/>
      <c r="Q809" s="65"/>
      <c r="R809" s="65"/>
      <c r="S809" s="65"/>
      <c r="T809" s="65"/>
      <c r="U809" s="65"/>
      <c r="V809" s="65"/>
      <c r="W809" s="65"/>
      <c r="X809" s="65"/>
      <c r="Y809" s="65"/>
    </row>
    <row r="810" spans="1:25">
      <c r="A810" s="65"/>
      <c r="D810" s="65"/>
    </row>
    <row r="811" spans="1:25">
      <c r="A811" s="65"/>
      <c r="D811" s="65"/>
    </row>
    <row r="812" spans="1:25" s="149" customFormat="1" ht="13">
      <c r="A812" s="65"/>
      <c r="B812" s="65"/>
      <c r="C812" s="65"/>
      <c r="D812" s="65"/>
      <c r="E812" s="65"/>
      <c r="F812" s="65"/>
      <c r="G812" s="65"/>
      <c r="H812" s="65"/>
      <c r="I812" s="65"/>
      <c r="J812" s="65"/>
      <c r="K812" s="65"/>
      <c r="L812" s="65"/>
      <c r="M812" s="65"/>
      <c r="N812" s="65"/>
      <c r="O812" s="65"/>
      <c r="P812" s="65"/>
      <c r="Q812" s="65"/>
      <c r="R812" s="65"/>
      <c r="S812" s="65"/>
      <c r="T812" s="65"/>
      <c r="U812" s="65"/>
      <c r="V812" s="65"/>
      <c r="W812" s="65"/>
      <c r="X812" s="65"/>
      <c r="Y812" s="65"/>
    </row>
    <row r="813" spans="1:25">
      <c r="A813" s="65"/>
      <c r="D813" s="65"/>
    </row>
    <row r="814" spans="1:25">
      <c r="A814" s="65"/>
      <c r="D814" s="65"/>
    </row>
    <row r="815" spans="1:25" s="149" customFormat="1" ht="13">
      <c r="A815" s="65"/>
      <c r="B815" s="65"/>
      <c r="C815" s="65"/>
      <c r="D815" s="65"/>
      <c r="E815" s="65"/>
      <c r="F815" s="65"/>
      <c r="G815" s="65"/>
      <c r="H815" s="65"/>
      <c r="I815" s="65"/>
      <c r="J815" s="65"/>
      <c r="K815" s="65"/>
      <c r="L815" s="65"/>
      <c r="M815" s="65"/>
      <c r="N815" s="65"/>
      <c r="O815" s="65"/>
      <c r="P815" s="65"/>
      <c r="Q815" s="65"/>
      <c r="R815" s="65"/>
      <c r="S815" s="65"/>
      <c r="T815" s="65"/>
      <c r="U815" s="65"/>
      <c r="V815" s="65"/>
      <c r="W815" s="65"/>
      <c r="X815" s="65"/>
      <c r="Y815" s="65"/>
    </row>
    <row r="816" spans="1:25">
      <c r="A816" s="65"/>
      <c r="D816" s="65"/>
    </row>
    <row r="817" spans="1:25">
      <c r="A817" s="65"/>
      <c r="D817" s="65"/>
    </row>
    <row r="818" spans="1:25" s="149" customFormat="1" ht="13">
      <c r="A818" s="65"/>
      <c r="B818" s="65"/>
      <c r="C818" s="65"/>
      <c r="D818" s="65"/>
      <c r="E818" s="65"/>
      <c r="F818" s="65"/>
      <c r="G818" s="65"/>
      <c r="H818" s="65"/>
      <c r="I818" s="65"/>
      <c r="J818" s="65"/>
      <c r="K818" s="65"/>
      <c r="L818" s="65"/>
      <c r="M818" s="65"/>
      <c r="N818" s="65"/>
      <c r="O818" s="65"/>
      <c r="P818" s="65"/>
      <c r="Q818" s="65"/>
      <c r="R818" s="65"/>
      <c r="S818" s="65"/>
      <c r="T818" s="65"/>
      <c r="U818" s="65"/>
      <c r="V818" s="65"/>
      <c r="W818" s="65"/>
      <c r="X818" s="65"/>
      <c r="Y818" s="65"/>
    </row>
    <row r="819" spans="1:25">
      <c r="A819" s="65"/>
      <c r="D819" s="65"/>
    </row>
    <row r="820" spans="1:25">
      <c r="A820" s="65"/>
      <c r="D820" s="65"/>
    </row>
    <row r="821" spans="1:25" s="149" customFormat="1" ht="13">
      <c r="A821" s="65"/>
      <c r="B821" s="65"/>
      <c r="C821" s="65"/>
      <c r="D821" s="65"/>
      <c r="E821" s="65"/>
      <c r="F821" s="65"/>
      <c r="G821" s="65"/>
      <c r="H821" s="65"/>
      <c r="I821" s="65"/>
      <c r="J821" s="65"/>
      <c r="K821" s="65"/>
      <c r="L821" s="65"/>
      <c r="M821" s="65"/>
      <c r="N821" s="65"/>
      <c r="O821" s="65"/>
      <c r="P821" s="65"/>
      <c r="Q821" s="65"/>
      <c r="R821" s="65"/>
      <c r="S821" s="65"/>
      <c r="T821" s="65"/>
      <c r="U821" s="65"/>
      <c r="V821" s="65"/>
      <c r="W821" s="65"/>
      <c r="X821" s="65"/>
      <c r="Y821" s="65"/>
    </row>
    <row r="822" spans="1:25">
      <c r="A822" s="65"/>
      <c r="D822" s="65"/>
    </row>
    <row r="823" spans="1:25">
      <c r="A823" s="65"/>
      <c r="D823" s="65"/>
    </row>
    <row r="824" spans="1:25" s="149" customFormat="1" ht="13">
      <c r="A824" s="65"/>
      <c r="B824" s="65"/>
      <c r="C824" s="65"/>
      <c r="D824" s="65"/>
      <c r="E824" s="65"/>
      <c r="F824" s="65"/>
      <c r="G824" s="65"/>
      <c r="H824" s="65"/>
      <c r="I824" s="65"/>
      <c r="J824" s="65"/>
      <c r="K824" s="65"/>
      <c r="L824" s="65"/>
      <c r="M824" s="65"/>
      <c r="N824" s="65"/>
      <c r="O824" s="65"/>
      <c r="P824" s="65"/>
      <c r="Q824" s="65"/>
      <c r="R824" s="65"/>
      <c r="S824" s="65"/>
      <c r="T824" s="65"/>
      <c r="U824" s="65"/>
      <c r="V824" s="65"/>
      <c r="W824" s="65"/>
      <c r="X824" s="65"/>
      <c r="Y824" s="65"/>
    </row>
    <row r="825" spans="1:25">
      <c r="A825" s="65"/>
      <c r="D825" s="65"/>
    </row>
    <row r="826" spans="1:25">
      <c r="A826" s="65"/>
      <c r="D826" s="65"/>
    </row>
    <row r="827" spans="1:25" s="149" customFormat="1" ht="13">
      <c r="A827" s="65"/>
      <c r="B827" s="65"/>
      <c r="C827" s="65"/>
      <c r="D827" s="65"/>
      <c r="E827" s="65"/>
      <c r="F827" s="65"/>
      <c r="G827" s="65"/>
      <c r="H827" s="65"/>
      <c r="I827" s="65"/>
      <c r="J827" s="65"/>
      <c r="K827" s="65"/>
      <c r="L827" s="65"/>
      <c r="M827" s="65"/>
      <c r="N827" s="65"/>
      <c r="O827" s="65"/>
      <c r="P827" s="65"/>
      <c r="Q827" s="65"/>
      <c r="R827" s="65"/>
      <c r="S827" s="65"/>
      <c r="T827" s="65"/>
      <c r="U827" s="65"/>
      <c r="V827" s="65"/>
      <c r="W827" s="65"/>
      <c r="X827" s="65"/>
      <c r="Y827" s="65"/>
    </row>
    <row r="828" spans="1:25">
      <c r="A828" s="65"/>
      <c r="D828" s="65"/>
    </row>
    <row r="829" spans="1:25">
      <c r="A829" s="65"/>
      <c r="D829" s="65"/>
    </row>
    <row r="830" spans="1:25" s="149" customFormat="1" ht="13">
      <c r="A830" s="65"/>
      <c r="B830" s="65"/>
      <c r="C830" s="65"/>
      <c r="D830" s="65"/>
      <c r="E830" s="65"/>
      <c r="F830" s="65"/>
      <c r="G830" s="65"/>
      <c r="H830" s="65"/>
      <c r="I830" s="65"/>
      <c r="J830" s="65"/>
      <c r="K830" s="65"/>
      <c r="L830" s="65"/>
      <c r="M830" s="65"/>
      <c r="N830" s="65"/>
      <c r="O830" s="65"/>
      <c r="P830" s="65"/>
      <c r="Q830" s="65"/>
      <c r="R830" s="65"/>
      <c r="S830" s="65"/>
      <c r="T830" s="65"/>
      <c r="U830" s="65"/>
      <c r="V830" s="65"/>
      <c r="W830" s="65"/>
      <c r="X830" s="65"/>
      <c r="Y830" s="65"/>
    </row>
    <row r="831" spans="1:25">
      <c r="A831" s="65"/>
      <c r="D831" s="65"/>
    </row>
    <row r="832" spans="1:25">
      <c r="A832" s="65"/>
      <c r="D832" s="65"/>
    </row>
    <row r="833" spans="1:25" s="149" customFormat="1" ht="13">
      <c r="A833" s="65"/>
      <c r="B833" s="65"/>
      <c r="C833" s="65"/>
      <c r="D833" s="65"/>
      <c r="E833" s="65"/>
      <c r="F833" s="65"/>
      <c r="G833" s="65"/>
      <c r="H833" s="65"/>
      <c r="I833" s="65"/>
      <c r="J833" s="65"/>
      <c r="K833" s="65"/>
      <c r="L833" s="65"/>
      <c r="M833" s="65"/>
      <c r="N833" s="65"/>
      <c r="O833" s="65"/>
      <c r="P833" s="65"/>
      <c r="Q833" s="65"/>
      <c r="R833" s="65"/>
      <c r="S833" s="65"/>
      <c r="T833" s="65"/>
      <c r="U833" s="65"/>
      <c r="V833" s="65"/>
      <c r="W833" s="65"/>
      <c r="X833" s="65"/>
      <c r="Y833" s="65"/>
    </row>
    <row r="834" spans="1:25">
      <c r="A834" s="65"/>
      <c r="D834" s="65"/>
    </row>
    <row r="835" spans="1:25">
      <c r="A835" s="65"/>
      <c r="D835" s="65"/>
    </row>
    <row r="836" spans="1:25" s="149" customFormat="1" ht="13">
      <c r="A836" s="65"/>
      <c r="B836" s="65"/>
      <c r="C836" s="65"/>
      <c r="D836" s="65"/>
      <c r="E836" s="65"/>
      <c r="F836" s="65"/>
      <c r="G836" s="65"/>
      <c r="H836" s="65"/>
      <c r="I836" s="65"/>
      <c r="J836" s="65"/>
      <c r="K836" s="65"/>
      <c r="L836" s="65"/>
      <c r="M836" s="65"/>
      <c r="N836" s="65"/>
      <c r="O836" s="65"/>
      <c r="P836" s="65"/>
      <c r="Q836" s="65"/>
      <c r="R836" s="65"/>
      <c r="S836" s="65"/>
      <c r="T836" s="65"/>
      <c r="U836" s="65"/>
      <c r="V836" s="65"/>
      <c r="W836" s="65"/>
      <c r="X836" s="65"/>
      <c r="Y836" s="65"/>
    </row>
    <row r="837" spans="1:25">
      <c r="A837" s="65"/>
      <c r="D837" s="65"/>
    </row>
    <row r="838" spans="1:25">
      <c r="A838" s="65"/>
      <c r="D838" s="65"/>
    </row>
    <row r="839" spans="1:25" s="149" customFormat="1" ht="13">
      <c r="A839" s="65"/>
      <c r="B839" s="65"/>
      <c r="C839" s="65"/>
      <c r="D839" s="65"/>
      <c r="E839" s="65"/>
      <c r="F839" s="65"/>
      <c r="G839" s="65"/>
      <c r="H839" s="65"/>
      <c r="I839" s="65"/>
      <c r="J839" s="65"/>
      <c r="K839" s="65"/>
      <c r="L839" s="65"/>
      <c r="M839" s="65"/>
      <c r="N839" s="65"/>
      <c r="O839" s="65"/>
      <c r="P839" s="65"/>
      <c r="Q839" s="65"/>
      <c r="R839" s="65"/>
      <c r="S839" s="65"/>
      <c r="T839" s="65"/>
      <c r="U839" s="65"/>
      <c r="V839" s="65"/>
      <c r="W839" s="65"/>
      <c r="X839" s="65"/>
      <c r="Y839" s="65"/>
    </row>
    <row r="840" spans="1:25">
      <c r="A840" s="65"/>
      <c r="D840" s="65"/>
    </row>
    <row r="841" spans="1:25">
      <c r="A841" s="65"/>
      <c r="D841" s="65"/>
    </row>
    <row r="842" spans="1:25" s="149" customFormat="1" ht="13">
      <c r="A842" s="65"/>
      <c r="B842" s="65"/>
      <c r="C842" s="65"/>
      <c r="D842" s="65"/>
      <c r="E842" s="65"/>
      <c r="F842" s="65"/>
      <c r="G842" s="65"/>
      <c r="H842" s="65"/>
      <c r="I842" s="65"/>
      <c r="J842" s="65"/>
      <c r="K842" s="65"/>
      <c r="L842" s="65"/>
      <c r="M842" s="65"/>
      <c r="N842" s="65"/>
      <c r="O842" s="65"/>
      <c r="P842" s="65"/>
      <c r="Q842" s="65"/>
      <c r="R842" s="65"/>
      <c r="S842" s="65"/>
      <c r="T842" s="65"/>
      <c r="U842" s="65"/>
      <c r="V842" s="65"/>
      <c r="W842" s="65"/>
      <c r="X842" s="65"/>
      <c r="Y842" s="65"/>
    </row>
    <row r="843" spans="1:25">
      <c r="A843" s="65"/>
      <c r="D843" s="65"/>
    </row>
    <row r="844" spans="1:25">
      <c r="A844" s="65"/>
      <c r="D844" s="65"/>
    </row>
    <row r="845" spans="1:25" s="149" customFormat="1" ht="13">
      <c r="A845" s="65"/>
      <c r="B845" s="65"/>
      <c r="C845" s="65"/>
      <c r="D845" s="65"/>
      <c r="E845" s="65"/>
      <c r="F845" s="65"/>
      <c r="G845" s="65"/>
      <c r="H845" s="65"/>
      <c r="I845" s="65"/>
      <c r="J845" s="65"/>
      <c r="K845" s="65"/>
      <c r="L845" s="65"/>
      <c r="M845" s="65"/>
      <c r="N845" s="65"/>
      <c r="O845" s="65"/>
      <c r="P845" s="65"/>
      <c r="Q845" s="65"/>
      <c r="R845" s="65"/>
      <c r="S845" s="65"/>
      <c r="T845" s="65"/>
      <c r="U845" s="65"/>
      <c r="V845" s="65"/>
      <c r="W845" s="65"/>
      <c r="X845" s="65"/>
      <c r="Y845" s="65"/>
    </row>
    <row r="846" spans="1:25">
      <c r="A846" s="65"/>
      <c r="D846" s="65"/>
    </row>
    <row r="847" spans="1:25">
      <c r="A847" s="65"/>
      <c r="D847" s="65"/>
    </row>
    <row r="848" spans="1:25" s="149" customFormat="1" ht="13">
      <c r="A848" s="65"/>
      <c r="B848" s="65"/>
      <c r="C848" s="65"/>
      <c r="D848" s="65"/>
      <c r="E848" s="65"/>
      <c r="F848" s="65"/>
      <c r="G848" s="65"/>
      <c r="H848" s="65"/>
      <c r="I848" s="65"/>
      <c r="J848" s="65"/>
      <c r="K848" s="65"/>
      <c r="L848" s="65"/>
      <c r="M848" s="65"/>
      <c r="N848" s="65"/>
      <c r="O848" s="65"/>
      <c r="P848" s="65"/>
      <c r="Q848" s="65"/>
      <c r="R848" s="65"/>
      <c r="S848" s="65"/>
      <c r="T848" s="65"/>
      <c r="U848" s="65"/>
      <c r="V848" s="65"/>
      <c r="W848" s="65"/>
      <c r="X848" s="65"/>
      <c r="Y848" s="65"/>
    </row>
    <row r="849" spans="1:25">
      <c r="A849" s="65"/>
      <c r="D849" s="65"/>
    </row>
    <row r="850" spans="1:25">
      <c r="A850" s="65"/>
      <c r="D850" s="65"/>
    </row>
    <row r="851" spans="1:25" s="149" customFormat="1" ht="13">
      <c r="A851" s="65"/>
      <c r="B851" s="65"/>
      <c r="C851" s="65"/>
      <c r="D851" s="65"/>
      <c r="E851" s="65"/>
      <c r="F851" s="65"/>
      <c r="G851" s="65"/>
      <c r="H851" s="65"/>
      <c r="I851" s="65"/>
      <c r="J851" s="65"/>
      <c r="K851" s="65"/>
      <c r="L851" s="65"/>
      <c r="M851" s="65"/>
      <c r="N851" s="65"/>
      <c r="O851" s="65"/>
      <c r="P851" s="65"/>
      <c r="Q851" s="65"/>
      <c r="R851" s="65"/>
      <c r="S851" s="65"/>
      <c r="T851" s="65"/>
      <c r="U851" s="65"/>
      <c r="V851" s="65"/>
      <c r="W851" s="65"/>
      <c r="X851" s="65"/>
      <c r="Y851" s="65"/>
    </row>
    <row r="852" spans="1:25">
      <c r="A852" s="65"/>
      <c r="D852" s="65"/>
    </row>
    <row r="853" spans="1:25">
      <c r="A853" s="65"/>
      <c r="D853" s="65"/>
    </row>
    <row r="854" spans="1:25" s="149" customFormat="1" ht="13">
      <c r="A854" s="65"/>
      <c r="B854" s="65"/>
      <c r="C854" s="65"/>
      <c r="D854" s="65"/>
      <c r="E854" s="65"/>
      <c r="F854" s="65"/>
      <c r="G854" s="65"/>
      <c r="H854" s="65"/>
      <c r="I854" s="65"/>
      <c r="J854" s="65"/>
      <c r="K854" s="65"/>
      <c r="L854" s="65"/>
      <c r="M854" s="65"/>
      <c r="N854" s="65"/>
      <c r="O854" s="65"/>
      <c r="P854" s="65"/>
      <c r="Q854" s="65"/>
      <c r="R854" s="65"/>
      <c r="S854" s="65"/>
      <c r="T854" s="65"/>
      <c r="U854" s="65"/>
      <c r="V854" s="65"/>
      <c r="W854" s="65"/>
      <c r="X854" s="65"/>
      <c r="Y854" s="65"/>
    </row>
    <row r="855" spans="1:25">
      <c r="A855" s="65"/>
      <c r="D855" s="65"/>
    </row>
    <row r="856" spans="1:25">
      <c r="A856" s="65"/>
      <c r="D856" s="65"/>
    </row>
    <row r="857" spans="1:25" s="149" customFormat="1" ht="13">
      <c r="A857" s="65"/>
      <c r="B857" s="65"/>
      <c r="C857" s="65"/>
      <c r="D857" s="65"/>
      <c r="E857" s="65"/>
      <c r="F857" s="65"/>
      <c r="G857" s="65"/>
      <c r="H857" s="65"/>
      <c r="I857" s="65"/>
      <c r="J857" s="65"/>
      <c r="K857" s="65"/>
      <c r="L857" s="65"/>
      <c r="M857" s="65"/>
      <c r="N857" s="65"/>
      <c r="O857" s="65"/>
      <c r="P857" s="65"/>
      <c r="Q857" s="65"/>
      <c r="R857" s="65"/>
      <c r="S857" s="65"/>
      <c r="T857" s="65"/>
      <c r="U857" s="65"/>
      <c r="V857" s="65"/>
      <c r="W857" s="65"/>
      <c r="X857" s="65"/>
      <c r="Y857" s="65"/>
    </row>
    <row r="858" spans="1:25">
      <c r="A858" s="65"/>
      <c r="D858" s="65"/>
    </row>
    <row r="859" spans="1:25">
      <c r="A859" s="65"/>
      <c r="D859" s="65"/>
    </row>
    <row r="860" spans="1:25" s="149" customFormat="1" ht="13">
      <c r="A860" s="65"/>
      <c r="B860" s="65"/>
      <c r="C860" s="65"/>
      <c r="D860" s="65"/>
      <c r="E860" s="65"/>
      <c r="F860" s="65"/>
      <c r="G860" s="65"/>
      <c r="H860" s="65"/>
      <c r="I860" s="65"/>
      <c r="J860" s="65"/>
      <c r="K860" s="65"/>
      <c r="L860" s="65"/>
      <c r="M860" s="65"/>
      <c r="N860" s="65"/>
      <c r="O860" s="65"/>
      <c r="P860" s="65"/>
      <c r="Q860" s="65"/>
      <c r="R860" s="65"/>
      <c r="S860" s="65"/>
      <c r="T860" s="65"/>
      <c r="U860" s="65"/>
      <c r="V860" s="65"/>
      <c r="W860" s="65"/>
      <c r="X860" s="65"/>
      <c r="Y860" s="65"/>
    </row>
    <row r="861" spans="1:25">
      <c r="A861" s="65"/>
      <c r="D861" s="65"/>
    </row>
    <row r="862" spans="1:25">
      <c r="A862" s="65"/>
      <c r="D862" s="65"/>
    </row>
    <row r="863" spans="1:25" s="149" customFormat="1" ht="13">
      <c r="A863" s="65"/>
      <c r="B863" s="65"/>
      <c r="C863" s="65"/>
      <c r="D863" s="65"/>
      <c r="E863" s="65"/>
      <c r="F863" s="65"/>
      <c r="G863" s="65"/>
      <c r="H863" s="65"/>
      <c r="I863" s="65"/>
      <c r="J863" s="65"/>
      <c r="K863" s="65"/>
      <c r="L863" s="65"/>
      <c r="M863" s="65"/>
      <c r="N863" s="65"/>
      <c r="O863" s="65"/>
      <c r="P863" s="65"/>
      <c r="Q863" s="65"/>
      <c r="R863" s="65"/>
      <c r="S863" s="65"/>
      <c r="T863" s="65"/>
      <c r="U863" s="65"/>
      <c r="V863" s="65"/>
      <c r="W863" s="65"/>
      <c r="X863" s="65"/>
      <c r="Y863" s="65"/>
    </row>
    <row r="864" spans="1:25">
      <c r="A864" s="65"/>
      <c r="D864" s="65"/>
    </row>
    <row r="865" spans="1:25">
      <c r="A865" s="65"/>
      <c r="D865" s="65"/>
    </row>
    <row r="866" spans="1:25" s="149" customFormat="1" ht="13">
      <c r="A866" s="65"/>
      <c r="B866" s="65"/>
      <c r="C866" s="65"/>
      <c r="D866" s="65"/>
      <c r="E866" s="65"/>
      <c r="F866" s="65"/>
      <c r="G866" s="65"/>
      <c r="H866" s="65"/>
      <c r="I866" s="65"/>
      <c r="J866" s="65"/>
      <c r="K866" s="65"/>
      <c r="L866" s="65"/>
      <c r="M866" s="65"/>
      <c r="N866" s="65"/>
      <c r="O866" s="65"/>
      <c r="P866" s="65"/>
      <c r="Q866" s="65"/>
      <c r="R866" s="65"/>
      <c r="S866" s="65"/>
      <c r="T866" s="65"/>
      <c r="U866" s="65"/>
      <c r="V866" s="65"/>
      <c r="W866" s="65"/>
      <c r="X866" s="65"/>
      <c r="Y866" s="65"/>
    </row>
    <row r="867" spans="1:25">
      <c r="A867" s="65"/>
      <c r="D867" s="65"/>
    </row>
    <row r="868" spans="1:25">
      <c r="A868" s="65"/>
      <c r="D868" s="65"/>
    </row>
    <row r="869" spans="1:25" s="149" customFormat="1" ht="13">
      <c r="A869" s="65"/>
      <c r="B869" s="65"/>
      <c r="C869" s="65"/>
      <c r="D869" s="65"/>
      <c r="E869" s="65"/>
      <c r="F869" s="65"/>
      <c r="G869" s="65"/>
      <c r="H869" s="65"/>
      <c r="I869" s="65"/>
      <c r="J869" s="65"/>
      <c r="K869" s="65"/>
      <c r="L869" s="65"/>
      <c r="M869" s="65"/>
      <c r="N869" s="65"/>
      <c r="O869" s="65"/>
      <c r="P869" s="65"/>
      <c r="Q869" s="65"/>
      <c r="R869" s="65"/>
      <c r="S869" s="65"/>
      <c r="T869" s="65"/>
      <c r="U869" s="65"/>
      <c r="V869" s="65"/>
      <c r="W869" s="65"/>
      <c r="X869" s="65"/>
      <c r="Y869" s="65"/>
    </row>
    <row r="870" spans="1:25">
      <c r="A870" s="65"/>
      <c r="D870" s="65"/>
    </row>
    <row r="871" spans="1:25">
      <c r="A871" s="65"/>
      <c r="D871" s="65"/>
    </row>
    <row r="872" spans="1:25" s="149" customFormat="1" ht="13">
      <c r="A872" s="65"/>
      <c r="B872" s="65"/>
      <c r="C872" s="65"/>
      <c r="D872" s="65"/>
      <c r="E872" s="65"/>
      <c r="F872" s="65"/>
      <c r="G872" s="65"/>
      <c r="H872" s="65"/>
      <c r="I872" s="65"/>
      <c r="J872" s="65"/>
      <c r="K872" s="65"/>
      <c r="L872" s="65"/>
      <c r="M872" s="65"/>
      <c r="N872" s="65"/>
      <c r="O872" s="65"/>
      <c r="P872" s="65"/>
      <c r="Q872" s="65"/>
      <c r="R872" s="65"/>
      <c r="S872" s="65"/>
      <c r="T872" s="65"/>
      <c r="U872" s="65"/>
      <c r="V872" s="65"/>
      <c r="W872" s="65"/>
      <c r="X872" s="65"/>
      <c r="Y872" s="65"/>
    </row>
    <row r="873" spans="1:25">
      <c r="A873" s="65"/>
      <c r="D873" s="65"/>
    </row>
    <row r="874" spans="1:25">
      <c r="A874" s="65"/>
      <c r="D874" s="65"/>
    </row>
    <row r="875" spans="1:25">
      <c r="A875" s="65"/>
      <c r="D875" s="65"/>
    </row>
    <row r="876" spans="1:25">
      <c r="A876" s="65"/>
      <c r="D876" s="65"/>
    </row>
    <row r="877" spans="1:25">
      <c r="A877" s="65"/>
      <c r="D877" s="65"/>
    </row>
    <row r="878" spans="1:25">
      <c r="A878" s="65"/>
      <c r="D878" s="65"/>
    </row>
    <row r="879" spans="1:25">
      <c r="A879" s="65"/>
      <c r="D879" s="65"/>
    </row>
    <row r="880" spans="1:25">
      <c r="A880" s="65"/>
      <c r="D880" s="65"/>
    </row>
    <row r="881" s="65" customFormat="1"/>
    <row r="882" s="65" customFormat="1"/>
    <row r="883" s="65" customFormat="1"/>
    <row r="884" s="65" customFormat="1"/>
    <row r="885" s="65" customFormat="1"/>
    <row r="886" s="65" customFormat="1"/>
    <row r="887" s="65" customFormat="1"/>
    <row r="888" s="65" customFormat="1"/>
    <row r="889" s="65" customFormat="1"/>
    <row r="890" s="65" customFormat="1"/>
    <row r="891" s="65" customFormat="1"/>
    <row r="892" s="65" customFormat="1"/>
    <row r="893" s="65" customFormat="1"/>
    <row r="894" s="65" customFormat="1"/>
    <row r="895" s="65" customFormat="1"/>
    <row r="896" s="65" customFormat="1"/>
    <row r="897" s="65" customFormat="1"/>
    <row r="898" s="65" customFormat="1"/>
    <row r="899" s="65" customFormat="1"/>
    <row r="900" s="65" customFormat="1"/>
    <row r="901" s="65" customFormat="1"/>
    <row r="902" s="65" customFormat="1"/>
    <row r="903" s="65" customFormat="1"/>
    <row r="904" s="65" customFormat="1"/>
    <row r="905" s="65" customFormat="1"/>
    <row r="906" s="65" customFormat="1"/>
    <row r="907" s="65" customFormat="1"/>
    <row r="908" s="65" customFormat="1"/>
    <row r="909" s="65" customFormat="1"/>
    <row r="910" s="65" customFormat="1"/>
    <row r="911" s="65" customFormat="1"/>
    <row r="912" s="65" customFormat="1"/>
    <row r="913" s="65" customFormat="1"/>
    <row r="914" s="65" customFormat="1"/>
    <row r="915" s="65" customFormat="1"/>
    <row r="916" s="65" customFormat="1"/>
    <row r="917" s="65" customFormat="1"/>
    <row r="918" s="65" customFormat="1"/>
    <row r="919" s="65" customFormat="1"/>
    <row r="920" s="65" customFormat="1"/>
    <row r="921" s="65" customFormat="1"/>
    <row r="922" s="65" customFormat="1"/>
    <row r="923" s="65" customFormat="1"/>
    <row r="924" s="65" customFormat="1"/>
    <row r="925" s="65" customFormat="1"/>
    <row r="926" s="65" customFormat="1"/>
    <row r="927" s="65" customFormat="1"/>
    <row r="928" s="65" customFormat="1"/>
    <row r="929" s="65" customFormat="1"/>
    <row r="930" s="65" customFormat="1"/>
    <row r="931" s="65" customFormat="1"/>
    <row r="932" s="65" customFormat="1"/>
    <row r="933" s="65" customFormat="1"/>
    <row r="934" s="65" customFormat="1"/>
    <row r="935" s="65" customFormat="1"/>
    <row r="936" s="65" customFormat="1"/>
    <row r="937" s="65" customFormat="1"/>
    <row r="938" s="65" customFormat="1"/>
    <row r="939" s="65" customFormat="1"/>
    <row r="940" s="65" customFormat="1"/>
    <row r="941" s="65" customFormat="1"/>
    <row r="942" s="65" customFormat="1"/>
    <row r="943" s="65" customFormat="1"/>
    <row r="944" s="65" customFormat="1"/>
    <row r="945" s="65" customFormat="1"/>
    <row r="946" s="65" customFormat="1"/>
    <row r="947" s="65" customFormat="1"/>
    <row r="948" s="65" customFormat="1"/>
    <row r="949" s="65" customFormat="1"/>
    <row r="950" s="65" customFormat="1"/>
    <row r="951" s="65" customFormat="1"/>
    <row r="952" s="65" customFormat="1"/>
    <row r="953" s="65" customFormat="1"/>
    <row r="954" s="65" customFormat="1"/>
    <row r="955" s="65" customFormat="1"/>
    <row r="956" s="65" customFormat="1"/>
    <row r="957" s="65" customFormat="1"/>
    <row r="958" s="65" customFormat="1"/>
    <row r="959" s="65" customFormat="1"/>
    <row r="960" s="65" customFormat="1"/>
    <row r="961" s="65" customFormat="1"/>
    <row r="962" s="65" customFormat="1"/>
    <row r="963" s="65" customFormat="1"/>
    <row r="964" s="65" customFormat="1"/>
    <row r="965" s="65" customFormat="1"/>
    <row r="966" s="65" customFormat="1"/>
    <row r="967" s="65" customFormat="1"/>
    <row r="968" s="65" customFormat="1"/>
    <row r="969" s="65" customFormat="1"/>
    <row r="970" s="65" customFormat="1"/>
    <row r="971" s="65" customFormat="1"/>
    <row r="972" s="65" customFormat="1"/>
    <row r="973" s="65" customFormat="1"/>
    <row r="974" s="65" customFormat="1"/>
    <row r="975" s="65" customFormat="1"/>
    <row r="976" s="65" customFormat="1"/>
    <row r="977" s="65" customFormat="1"/>
    <row r="978" s="65" customFormat="1"/>
    <row r="979" s="65" customFormat="1"/>
    <row r="980" s="65" customFormat="1"/>
    <row r="981" s="65" customFormat="1"/>
    <row r="982" s="65" customFormat="1"/>
    <row r="983" s="65" customFormat="1"/>
    <row r="984" s="65" customFormat="1"/>
    <row r="985" s="65" customFormat="1"/>
    <row r="986" s="65" customFormat="1"/>
    <row r="987" s="65" customFormat="1"/>
    <row r="988" s="65" customFormat="1"/>
    <row r="989" s="65" customFormat="1"/>
    <row r="990" s="65" customFormat="1"/>
    <row r="991" s="65" customFormat="1"/>
    <row r="992" s="65" customFormat="1"/>
    <row r="993" s="65" customFormat="1"/>
    <row r="994" s="65" customFormat="1"/>
    <row r="995" s="65" customFormat="1"/>
    <row r="996" s="65" customFormat="1"/>
    <row r="997" s="65" customFormat="1"/>
    <row r="998" s="65" customFormat="1"/>
    <row r="999" s="65" customFormat="1"/>
    <row r="1000" s="65" customFormat="1"/>
    <row r="1001" s="65" customFormat="1"/>
    <row r="1002" s="65" customFormat="1"/>
    <row r="1003" s="65" customFormat="1"/>
    <row r="1004" s="65" customFormat="1"/>
    <row r="1005" s="65" customFormat="1"/>
    <row r="1006" s="65" customFormat="1"/>
    <row r="1007" s="65" customFormat="1"/>
    <row r="1008" s="65" customFormat="1"/>
    <row r="1009" s="65" customFormat="1"/>
    <row r="1010" s="65" customFormat="1"/>
    <row r="1011" s="65" customFormat="1"/>
    <row r="1012" s="65" customFormat="1"/>
    <row r="1013" s="65" customFormat="1"/>
    <row r="1014" s="65" customFormat="1"/>
    <row r="1015" s="65" customFormat="1"/>
    <row r="1016" s="65" customFormat="1"/>
    <row r="1017" s="65" customFormat="1"/>
    <row r="1018" s="65" customFormat="1"/>
    <row r="1019" s="65" customFormat="1"/>
    <row r="1020" s="65" customFormat="1"/>
    <row r="1021" s="65" customFormat="1"/>
    <row r="1022" s="65" customFormat="1"/>
    <row r="1023" s="65" customFormat="1"/>
    <row r="1024" s="65" customFormat="1"/>
    <row r="1025" s="65" customFormat="1"/>
    <row r="1026" s="65" customFormat="1"/>
    <row r="1027" s="65" customFormat="1"/>
    <row r="1028" s="65" customFormat="1"/>
    <row r="1029" s="65" customFormat="1"/>
    <row r="1030" s="65" customFormat="1"/>
    <row r="1031" s="65" customFormat="1"/>
    <row r="1032" s="65" customFormat="1"/>
    <row r="1033" s="65" customFormat="1"/>
    <row r="1034" s="65" customFormat="1"/>
    <row r="1035" s="65" customFormat="1"/>
    <row r="1036" s="65" customFormat="1"/>
    <row r="1037" s="65" customFormat="1"/>
    <row r="1038" s="65" customFormat="1"/>
    <row r="1039" s="65" customFormat="1"/>
    <row r="1040" s="65" customFormat="1"/>
    <row r="1041" s="65" customFormat="1"/>
    <row r="1042" s="65" customFormat="1"/>
    <row r="1043" s="65" customFormat="1"/>
    <row r="1044" s="65" customFormat="1"/>
    <row r="1045" s="65" customFormat="1"/>
    <row r="1046" s="65" customFormat="1"/>
    <row r="1047" s="65" customFormat="1"/>
    <row r="1048" s="65" customFormat="1"/>
    <row r="1049" s="65" customFormat="1"/>
    <row r="1050" s="65" customFormat="1"/>
    <row r="1051" s="65" customFormat="1"/>
    <row r="1052" s="65" customFormat="1"/>
    <row r="1053" s="65" customFormat="1"/>
    <row r="1054" s="65" customFormat="1"/>
    <row r="1055" s="65" customFormat="1"/>
    <row r="1056" s="65" customFormat="1"/>
    <row r="1057" s="65" customFormat="1"/>
    <row r="1058" s="65" customFormat="1"/>
    <row r="1059" s="65" customFormat="1"/>
    <row r="1060" s="65" customFormat="1"/>
    <row r="1061" s="65" customFormat="1"/>
    <row r="1062" s="65" customFormat="1"/>
    <row r="1063" s="65" customFormat="1"/>
    <row r="1064" s="65" customFormat="1"/>
    <row r="1065" s="65" customFormat="1"/>
    <row r="1066" s="65" customFormat="1"/>
    <row r="1067" s="65" customFormat="1"/>
    <row r="1068" s="65" customFormat="1"/>
    <row r="1069" s="65" customFormat="1"/>
    <row r="1070" s="65" customFormat="1"/>
    <row r="1071" s="65" customFormat="1"/>
    <row r="1072" s="65" customFormat="1"/>
    <row r="1073" s="65" customFormat="1"/>
    <row r="1074" s="65" customFormat="1"/>
    <row r="1075" s="65" customFormat="1"/>
    <row r="1076" s="65" customFormat="1"/>
    <row r="1077" s="65" customFormat="1"/>
    <row r="1078" s="65" customFormat="1"/>
    <row r="1079" s="65" customFormat="1"/>
    <row r="1080" s="65" customFormat="1"/>
    <row r="1081" s="65" customFormat="1"/>
    <row r="1082" s="65" customFormat="1"/>
    <row r="1083" s="65" customFormat="1"/>
    <row r="1084" s="65" customFormat="1"/>
    <row r="1085" s="65" customFormat="1"/>
    <row r="1086" s="65" customFormat="1"/>
    <row r="1087" s="65" customFormat="1"/>
    <row r="1088" s="65" customFormat="1"/>
    <row r="1089" s="65" customFormat="1"/>
    <row r="1090" s="65" customFormat="1"/>
    <row r="1091" s="65" customFormat="1"/>
    <row r="1092" s="65" customFormat="1"/>
    <row r="1093" s="65" customFormat="1"/>
    <row r="1094" s="65" customFormat="1"/>
    <row r="1095" s="65" customFormat="1"/>
    <row r="1096" s="65" customFormat="1"/>
    <row r="1097" s="65" customFormat="1"/>
    <row r="1098" s="65" customFormat="1"/>
    <row r="1099" s="65" customFormat="1"/>
    <row r="1100" s="65" customFormat="1"/>
    <row r="1101" s="65" customFormat="1"/>
    <row r="1102" s="65" customFormat="1"/>
    <row r="1103" s="65" customFormat="1"/>
    <row r="1104" s="65" customFormat="1"/>
    <row r="1105" s="65" customFormat="1"/>
    <row r="1106" s="65" customFormat="1"/>
    <row r="1107" s="65" customFormat="1"/>
    <row r="1108" s="65" customFormat="1"/>
    <row r="1109" s="65" customFormat="1"/>
    <row r="1110" s="65" customFormat="1"/>
    <row r="1111" s="65" customFormat="1"/>
    <row r="1112" s="65" customFormat="1"/>
    <row r="1113" s="65" customFormat="1"/>
    <row r="1114" s="65" customFormat="1"/>
    <row r="1115" s="65" customFormat="1"/>
    <row r="1116" s="65" customFormat="1"/>
    <row r="1117" s="65" customFormat="1"/>
    <row r="1118" s="65" customFormat="1"/>
    <row r="1119" s="65" customFormat="1"/>
    <row r="1120" s="65" customFormat="1"/>
    <row r="1121" s="65" customFormat="1"/>
    <row r="1122" s="65" customFormat="1"/>
    <row r="1123" s="65" customFormat="1"/>
    <row r="1124" s="65" customFormat="1"/>
    <row r="1125" s="65" customFormat="1"/>
    <row r="1126" s="65" customFormat="1"/>
    <row r="1127" s="65" customFormat="1"/>
    <row r="1128" s="65" customFormat="1"/>
    <row r="1129" s="65" customFormat="1"/>
    <row r="1130" s="65" customFormat="1"/>
    <row r="1131" s="65" customFormat="1"/>
    <row r="1132" s="65" customFormat="1"/>
    <row r="1133" s="65" customFormat="1"/>
    <row r="1134" s="65" customFormat="1"/>
    <row r="1135" s="65" customFormat="1"/>
    <row r="1136" s="65" customFormat="1"/>
    <row r="1137" s="65" customFormat="1"/>
    <row r="1138" s="65" customFormat="1"/>
    <row r="1139" s="65" customFormat="1"/>
    <row r="1140" s="65" customFormat="1"/>
    <row r="1141" s="65" customFormat="1"/>
    <row r="1142" s="65" customFormat="1"/>
    <row r="1143" s="65" customFormat="1"/>
    <row r="1144" s="65" customFormat="1"/>
    <row r="1145" s="65" customFormat="1"/>
    <row r="1146" s="65" customFormat="1"/>
    <row r="1147" s="65" customFormat="1"/>
    <row r="1148" s="65" customFormat="1"/>
    <row r="1149" s="65" customFormat="1"/>
    <row r="1150" s="65" customFormat="1"/>
    <row r="1151" s="65" customFormat="1"/>
    <row r="1152" s="65" customFormat="1"/>
    <row r="1153" s="65" customFormat="1"/>
    <row r="1154" s="65" customFormat="1"/>
    <row r="1155" s="65" customFormat="1"/>
    <row r="1156" s="65" customFormat="1"/>
    <row r="1157" s="65" customFormat="1"/>
    <row r="1158" s="65" customFormat="1"/>
    <row r="1159" s="65" customFormat="1"/>
    <row r="1160" s="65" customFormat="1"/>
    <row r="1161" s="65" customFormat="1"/>
    <row r="1162" s="65" customFormat="1"/>
    <row r="1163" s="65" customFormat="1"/>
    <row r="1164" s="65" customFormat="1"/>
    <row r="1165" s="65" customFormat="1"/>
    <row r="1166" s="65" customFormat="1"/>
    <row r="1167" s="65" customFormat="1"/>
    <row r="1168" s="65" customFormat="1"/>
    <row r="1169" s="65" customFormat="1"/>
    <row r="1170" s="65" customFormat="1"/>
    <row r="1171" s="65" customFormat="1"/>
    <row r="1172" s="65" customFormat="1"/>
    <row r="1173" s="65" customFormat="1"/>
    <row r="1174" s="65" customFormat="1"/>
    <row r="1175" s="65" customFormat="1"/>
    <row r="1176" s="65" customFormat="1"/>
    <row r="1177" s="65" customFormat="1"/>
    <row r="1178" s="65" customFormat="1"/>
    <row r="1179" s="65" customFormat="1"/>
    <row r="1180" s="65" customFormat="1"/>
    <row r="1181" s="65" customFormat="1"/>
    <row r="1182" s="65" customFormat="1"/>
    <row r="1183" s="65" customFormat="1"/>
    <row r="1184" s="65" customFormat="1"/>
    <row r="1185" s="65" customFormat="1"/>
    <row r="1186" s="65" customFormat="1"/>
    <row r="1187" s="65" customFormat="1"/>
    <row r="1188" s="65" customFormat="1"/>
    <row r="1189" s="65" customFormat="1"/>
    <row r="1190" s="65" customFormat="1"/>
    <row r="1191" s="65" customFormat="1"/>
    <row r="1192" s="65" customFormat="1"/>
    <row r="1193" s="65" customFormat="1"/>
    <row r="1194" s="65" customFormat="1"/>
    <row r="1195" s="65" customFormat="1"/>
    <row r="1196" s="65" customFormat="1"/>
    <row r="1197" s="65" customFormat="1"/>
    <row r="1198" s="65" customFormat="1"/>
    <row r="1199" s="65" customFormat="1"/>
    <row r="1200" s="65" customFormat="1"/>
    <row r="1201" s="65" customFormat="1"/>
    <row r="1202" s="65" customFormat="1"/>
    <row r="1203" s="65" customFormat="1"/>
    <row r="1204" s="65" customFormat="1"/>
    <row r="1205" s="65" customFormat="1"/>
    <row r="1206" s="65" customFormat="1"/>
    <row r="1207" s="65" customFormat="1"/>
    <row r="1208" s="65" customFormat="1"/>
    <row r="1209" s="65" customFormat="1"/>
    <row r="1210" s="65" customFormat="1"/>
    <row r="1211" s="65" customFormat="1"/>
    <row r="1212" s="65" customFormat="1"/>
    <row r="1213" s="65" customFormat="1"/>
    <row r="1214" s="65" customFormat="1"/>
    <row r="1215" s="65" customFormat="1"/>
    <row r="1216" s="65" customFormat="1"/>
    <row r="1217" s="65" customFormat="1"/>
    <row r="1218" s="65" customFormat="1"/>
    <row r="1219" s="65" customFormat="1"/>
    <row r="1220" s="65" customFormat="1"/>
    <row r="1221" s="65" customFormat="1"/>
    <row r="1222" s="65" customFormat="1"/>
    <row r="1223" s="65" customFormat="1"/>
    <row r="1224" s="65" customFormat="1"/>
    <row r="1225" s="65" customFormat="1"/>
    <row r="1226" s="65" customFormat="1"/>
    <row r="1227" s="65" customFormat="1"/>
    <row r="1228" s="65" customFormat="1"/>
    <row r="1229" s="65" customFormat="1"/>
    <row r="1230" s="65" customFormat="1"/>
    <row r="1231" s="65" customFormat="1"/>
    <row r="1232" s="65" customFormat="1"/>
    <row r="1233" s="65" customFormat="1"/>
    <row r="1234" s="65" customFormat="1"/>
    <row r="1235" s="65" customFormat="1"/>
    <row r="1236" s="65" customFormat="1"/>
    <row r="1237" s="65" customFormat="1"/>
    <row r="1238" s="65" customFormat="1"/>
    <row r="1239" s="65" customFormat="1"/>
    <row r="1240" s="65" customFormat="1"/>
    <row r="1241" s="65" customFormat="1"/>
    <row r="1242" s="65" customFormat="1"/>
    <row r="1243" s="65" customFormat="1"/>
    <row r="1244" s="65" customFormat="1"/>
    <row r="1245" s="65" customFormat="1"/>
    <row r="1246" s="65" customFormat="1"/>
    <row r="1247" s="65" customFormat="1"/>
    <row r="1248" s="65" customFormat="1"/>
    <row r="1249" s="65" customFormat="1"/>
    <row r="1250" s="65" customFormat="1"/>
    <row r="1251" s="65" customFormat="1"/>
    <row r="1252" s="65" customFormat="1"/>
    <row r="1253" s="65" customFormat="1"/>
    <row r="1254" s="65" customFormat="1"/>
    <row r="1255" s="65" customFormat="1"/>
    <row r="1256" s="65" customFormat="1"/>
    <row r="1257" s="65" customFormat="1"/>
    <row r="1258" s="65" customFormat="1"/>
    <row r="1259" s="65" customFormat="1"/>
    <row r="1260" s="65" customFormat="1"/>
    <row r="1261" s="65" customFormat="1"/>
    <row r="1262" s="65" customFormat="1"/>
    <row r="1263" s="65" customFormat="1"/>
    <row r="1264" s="65" customFormat="1"/>
    <row r="1265" s="65" customFormat="1"/>
    <row r="1266" s="65" customFormat="1"/>
    <row r="1267" s="65" customFormat="1"/>
    <row r="1268" s="65" customFormat="1"/>
    <row r="1269" s="65" customFormat="1"/>
    <row r="1270" s="65" customFormat="1"/>
    <row r="1271" s="65" customFormat="1"/>
    <row r="1272" s="65" customFormat="1"/>
    <row r="1273" s="65" customFormat="1"/>
    <row r="1274" s="65" customFormat="1"/>
    <row r="1275" s="65" customFormat="1"/>
    <row r="1276" s="65" customFormat="1"/>
    <row r="1277" s="65" customFormat="1"/>
    <row r="1278" s="65" customFormat="1"/>
    <row r="1279" s="65" customFormat="1"/>
    <row r="1280" s="65" customFormat="1"/>
    <row r="1281" s="65" customFormat="1"/>
    <row r="1282" s="65" customFormat="1"/>
    <row r="1283" s="65" customFormat="1"/>
    <row r="1284" s="65" customFormat="1"/>
    <row r="1285" s="65" customFormat="1"/>
    <row r="1286" s="65" customFormat="1"/>
    <row r="1287" s="65" customFormat="1"/>
    <row r="1288" s="65" customFormat="1"/>
    <row r="1289" s="65" customFormat="1"/>
    <row r="1290" s="65" customFormat="1"/>
    <row r="1291" s="65" customFormat="1"/>
    <row r="1292" s="65" customFormat="1"/>
    <row r="1293" s="65" customFormat="1"/>
    <row r="1294" s="65" customFormat="1"/>
    <row r="1295" s="65" customFormat="1"/>
    <row r="1296" s="65" customFormat="1"/>
    <row r="1297" s="65" customFormat="1"/>
    <row r="1298" s="65" customFormat="1"/>
    <row r="1299" s="65" customFormat="1"/>
    <row r="1300" s="65" customFormat="1"/>
    <row r="1301" s="65" customFormat="1"/>
    <row r="1302" s="65" customFormat="1"/>
    <row r="1303" s="65" customFormat="1"/>
    <row r="1304" s="65" customFormat="1"/>
    <row r="1305" s="65" customFormat="1"/>
    <row r="1306" s="65" customFormat="1"/>
    <row r="1307" s="65" customFormat="1"/>
    <row r="1308" s="65" customFormat="1"/>
    <row r="1309" s="65" customFormat="1"/>
    <row r="1310" s="65" customFormat="1"/>
    <row r="1311" s="65" customFormat="1"/>
    <row r="1312" s="65" customFormat="1"/>
    <row r="1313" s="65" customFormat="1"/>
    <row r="1314" s="65" customFormat="1"/>
    <row r="1315" s="65" customFormat="1"/>
    <row r="1316" s="65" customFormat="1"/>
    <row r="1317" s="65" customFormat="1"/>
    <row r="1318" s="65" customFormat="1"/>
    <row r="1319" s="65" customFormat="1"/>
    <row r="1320" s="65" customFormat="1"/>
    <row r="1321" s="65" customFormat="1"/>
    <row r="1322" s="65" customFormat="1"/>
    <row r="1323" s="65" customFormat="1"/>
    <row r="1324" s="65" customFormat="1"/>
    <row r="1325" s="65" customFormat="1"/>
    <row r="1326" s="65" customFormat="1"/>
    <row r="1327" s="65" customFormat="1"/>
    <row r="1328" s="65" customFormat="1"/>
    <row r="1329" s="65" customFormat="1"/>
    <row r="1330" s="65" customFormat="1"/>
    <row r="1331" s="65" customFormat="1"/>
    <row r="1332" s="65" customFormat="1"/>
    <row r="1333" s="65" customFormat="1"/>
    <row r="1334" s="65" customFormat="1"/>
    <row r="1335" s="65" customFormat="1"/>
    <row r="1336" s="65" customFormat="1"/>
    <row r="1337" s="65" customFormat="1"/>
    <row r="1338" s="65" customFormat="1"/>
    <row r="1339" s="65" customFormat="1"/>
    <row r="1340" s="65" customFormat="1"/>
    <row r="1341" s="65" customFormat="1"/>
    <row r="1342" s="65" customFormat="1"/>
    <row r="1343" s="65" customFormat="1"/>
    <row r="1344" s="65" customFormat="1"/>
    <row r="1345" s="65" customFormat="1"/>
    <row r="1346" s="65" customFormat="1"/>
    <row r="1347" s="65" customFormat="1"/>
    <row r="1348" s="65" customFormat="1"/>
    <row r="1349" s="65" customFormat="1"/>
    <row r="1350" s="65" customFormat="1"/>
    <row r="1351" s="65" customFormat="1"/>
    <row r="1352" s="65" customFormat="1"/>
    <row r="1353" s="65" customFormat="1"/>
    <row r="1354" s="65" customFormat="1"/>
    <row r="1355" s="65" customFormat="1"/>
    <row r="1356" s="65" customFormat="1"/>
    <row r="1357" s="65" customFormat="1"/>
    <row r="1358" s="65" customFormat="1"/>
    <row r="1359" s="65" customFormat="1"/>
    <row r="1360" s="65" customFormat="1"/>
    <row r="1361" s="65" customFormat="1"/>
    <row r="1362" s="65" customFormat="1"/>
    <row r="1363" s="65" customFormat="1"/>
    <row r="1364" s="65" customFormat="1"/>
    <row r="1365" s="65" customFormat="1"/>
    <row r="1366" s="65" customFormat="1"/>
    <row r="1367" s="65" customFormat="1"/>
    <row r="1368" s="65" customFormat="1"/>
    <row r="1369" s="65" customFormat="1"/>
    <row r="1370" s="65" customFormat="1"/>
    <row r="1371" s="65" customFormat="1"/>
    <row r="1372" s="65" customFormat="1"/>
    <row r="1373" s="65" customFormat="1"/>
    <row r="1374" s="65" customFormat="1"/>
    <row r="1375" s="65" customFormat="1"/>
    <row r="1376" s="65" customFormat="1"/>
    <row r="1377" s="65" customFormat="1"/>
    <row r="1378" s="65" customFormat="1"/>
    <row r="1379" s="65" customFormat="1"/>
    <row r="1380" s="65" customFormat="1"/>
    <row r="1381" s="65" customFormat="1"/>
    <row r="1382" s="65" customFormat="1"/>
    <row r="1383" s="65" customFormat="1"/>
    <row r="1384" s="65" customFormat="1"/>
    <row r="1385" s="65" customFormat="1"/>
    <row r="1386" s="65" customFormat="1"/>
    <row r="1387" s="65" customFormat="1"/>
    <row r="1388" s="65" customFormat="1"/>
    <row r="1389" s="65" customFormat="1"/>
    <row r="1390" s="65" customFormat="1"/>
    <row r="1391" s="65" customFormat="1"/>
    <row r="1392" s="65" customFormat="1"/>
    <row r="1393" s="65" customFormat="1"/>
    <row r="1394" s="65" customFormat="1"/>
    <row r="1395" s="65" customFormat="1"/>
    <row r="1396" s="65" customFormat="1"/>
    <row r="1397" s="65" customFormat="1"/>
    <row r="1398" s="65" customFormat="1"/>
    <row r="1399" s="65" customFormat="1"/>
    <row r="1400" s="65" customFormat="1"/>
    <row r="1401" s="65" customFormat="1"/>
    <row r="1402" s="65" customFormat="1"/>
    <row r="1403" s="65" customFormat="1"/>
    <row r="1404" s="65" customFormat="1"/>
    <row r="1405" s="65" customFormat="1"/>
    <row r="1406" s="65" customFormat="1"/>
    <row r="1407" s="65" customFormat="1"/>
    <row r="1408" s="65" customFormat="1"/>
    <row r="1409" s="65" customFormat="1"/>
    <row r="1410" s="65" customFormat="1"/>
    <row r="1411" s="65" customFormat="1"/>
    <row r="1412" s="65" customFormat="1"/>
    <row r="1413" s="65" customFormat="1"/>
    <row r="1414" s="65" customFormat="1"/>
    <row r="1415" s="65" customFormat="1"/>
    <row r="1416" s="65" customFormat="1"/>
    <row r="1417" s="65" customFormat="1"/>
    <row r="1418" s="65" customFormat="1"/>
    <row r="1419" s="65" customFormat="1"/>
    <row r="1420" s="65" customFormat="1"/>
    <row r="1421" s="65" customFormat="1"/>
    <row r="1422" s="65" customFormat="1"/>
    <row r="1423" s="65" customFormat="1"/>
    <row r="1424" s="65" customFormat="1"/>
    <row r="1425" s="65" customFormat="1"/>
    <row r="1426" s="65" customFormat="1"/>
    <row r="1427" s="65" customFormat="1"/>
    <row r="1428" s="65" customFormat="1"/>
    <row r="1429" s="65" customFormat="1"/>
    <row r="1430" s="65" customFormat="1"/>
    <row r="1431" s="65" customFormat="1"/>
    <row r="1432" s="65" customFormat="1"/>
    <row r="1433" s="65" customFormat="1"/>
    <row r="1434" s="65" customFormat="1"/>
    <row r="1435" s="65" customFormat="1"/>
    <row r="1436" s="65" customFormat="1"/>
    <row r="1437" s="65" customFormat="1"/>
    <row r="1438" s="65" customFormat="1"/>
    <row r="1439" s="65" customFormat="1"/>
    <row r="1440" s="65" customFormat="1"/>
    <row r="1441" s="65" customFormat="1"/>
    <row r="1442" s="65" customFormat="1"/>
    <row r="1443" s="65" customFormat="1"/>
    <row r="1444" s="65" customFormat="1"/>
    <row r="1445" s="65" customFormat="1"/>
    <row r="1446" s="65" customFormat="1"/>
    <row r="1447" s="65" customFormat="1"/>
    <row r="1448" s="65" customFormat="1"/>
    <row r="1449" s="65" customFormat="1"/>
    <row r="1450" s="65" customFormat="1"/>
    <row r="1451" s="65" customFormat="1"/>
    <row r="1452" s="65" customFormat="1"/>
    <row r="1453" s="65" customFormat="1"/>
    <row r="1454" s="65" customFormat="1"/>
    <row r="1455" s="65" customFormat="1"/>
    <row r="1456" s="65" customFormat="1"/>
    <row r="1457" s="65" customFormat="1"/>
    <row r="1458" s="65" customFormat="1"/>
    <row r="1459" s="65" customFormat="1"/>
    <row r="1460" s="65" customFormat="1"/>
    <row r="1461" s="65" customFormat="1"/>
    <row r="1462" s="65" customFormat="1"/>
    <row r="1463" s="65" customFormat="1"/>
    <row r="1464" s="65" customFormat="1"/>
    <row r="1465" s="65" customFormat="1"/>
    <row r="1466" s="65" customFormat="1"/>
    <row r="1467" s="65" customFormat="1"/>
    <row r="1468" s="65" customFormat="1"/>
    <row r="1469" s="65" customFormat="1"/>
    <row r="1470" s="65" customFormat="1"/>
    <row r="1471" s="65" customFormat="1"/>
    <row r="1472" s="65" customFormat="1"/>
    <row r="1473" s="65" customFormat="1"/>
    <row r="1474" s="65" customFormat="1"/>
    <row r="1475" s="65" customFormat="1"/>
    <row r="1476" s="65" customFormat="1"/>
    <row r="1477" s="65" customFormat="1"/>
    <row r="1478" s="65" customFormat="1"/>
    <row r="1479" s="65" customFormat="1"/>
    <row r="1480" s="65" customFormat="1"/>
    <row r="1481" s="65" customFormat="1"/>
    <row r="1482" s="65" customFormat="1"/>
    <row r="1483" s="65" customFormat="1"/>
    <row r="1484" s="65" customFormat="1"/>
    <row r="1485" s="65" customFormat="1"/>
    <row r="1486" s="65" customFormat="1"/>
    <row r="1487" s="65" customFormat="1"/>
    <row r="1488" s="65" customFormat="1"/>
    <row r="1489" s="65" customFormat="1"/>
    <row r="1490" s="65" customFormat="1"/>
    <row r="1491" s="65" customFormat="1"/>
    <row r="1492" s="65" customFormat="1"/>
    <row r="1493" s="65" customFormat="1"/>
    <row r="1494" s="65" customFormat="1"/>
    <row r="1495" s="65" customFormat="1"/>
    <row r="1496" s="65" customFormat="1"/>
    <row r="1497" s="65" customFormat="1"/>
    <row r="1498" s="65" customFormat="1"/>
    <row r="1499" s="65" customFormat="1"/>
    <row r="1500" s="65" customFormat="1"/>
    <row r="1501" s="65" customFormat="1"/>
    <row r="1502" s="65" customFormat="1"/>
    <row r="1503" s="65" customFormat="1"/>
    <row r="1504" s="65" customFormat="1"/>
    <row r="1505" s="65" customFormat="1"/>
    <row r="1506" s="65" customFormat="1"/>
    <row r="1507" s="65" customFormat="1"/>
    <row r="1508" s="65" customFormat="1"/>
    <row r="1509" s="65" customFormat="1"/>
    <row r="1510" s="65" customFormat="1"/>
    <row r="1511" s="65" customFormat="1"/>
    <row r="1512" s="65" customFormat="1"/>
    <row r="1513" s="65" customFormat="1"/>
    <row r="1514" s="65" customFormat="1"/>
    <row r="1515" s="65" customFormat="1"/>
    <row r="1516" s="65" customFormat="1"/>
    <row r="1517" s="65" customFormat="1"/>
    <row r="1518" s="65" customFormat="1"/>
    <row r="1519" s="65" customFormat="1"/>
    <row r="1520" s="65" customFormat="1"/>
    <row r="1521" s="65" customFormat="1"/>
    <row r="1522" s="65" customFormat="1"/>
    <row r="1523" s="65" customFormat="1"/>
    <row r="1524" s="65" customFormat="1"/>
    <row r="1525" s="65" customFormat="1"/>
    <row r="1526" s="65" customFormat="1"/>
    <row r="1527" s="65" customFormat="1"/>
    <row r="1528" s="65" customFormat="1"/>
    <row r="1529" s="65" customFormat="1"/>
    <row r="1530" s="65" customFormat="1"/>
    <row r="1531" s="65" customFormat="1"/>
    <row r="1532" s="65" customFormat="1"/>
    <row r="1533" s="65" customFormat="1"/>
    <row r="1534" s="65" customFormat="1"/>
    <row r="1535" s="65" customFormat="1"/>
    <row r="1536" s="65" customFormat="1"/>
    <row r="1537" s="65" customFormat="1"/>
    <row r="1538" s="65" customFormat="1"/>
    <row r="1539" s="65" customFormat="1"/>
    <row r="1540" s="65" customFormat="1"/>
    <row r="1541" s="65" customFormat="1"/>
    <row r="1542" s="65" customFormat="1"/>
    <row r="1543" s="65" customFormat="1"/>
    <row r="1544" s="65" customFormat="1"/>
    <row r="1545" s="65" customFormat="1"/>
    <row r="1546" s="65" customFormat="1"/>
    <row r="1547" s="65" customFormat="1"/>
    <row r="1548" s="65" customFormat="1"/>
    <row r="1549" s="65" customFormat="1"/>
    <row r="1550" s="65" customFormat="1"/>
    <row r="1551" s="65" customFormat="1"/>
    <row r="1552" s="65" customFormat="1"/>
    <row r="1553" s="65" customFormat="1"/>
    <row r="1554" s="65" customFormat="1"/>
    <row r="1555" s="65" customFormat="1"/>
    <row r="1556" s="65" customFormat="1"/>
    <row r="1557" s="65" customFormat="1"/>
    <row r="1558" s="65" customFormat="1"/>
    <row r="1559" s="65" customFormat="1"/>
    <row r="1560" s="65" customFormat="1"/>
    <row r="1561" s="65" customFormat="1"/>
    <row r="1562" s="65" customFormat="1"/>
    <row r="1563" s="65" customFormat="1"/>
    <row r="1564" s="65" customFormat="1"/>
    <row r="1565" s="65" customFormat="1"/>
    <row r="1566" s="65" customFormat="1"/>
    <row r="1567" s="65" customFormat="1"/>
    <row r="1568" s="65" customFormat="1"/>
    <row r="1569" s="65" customFormat="1"/>
    <row r="1570" s="65" customFormat="1"/>
    <row r="1571" s="65" customFormat="1"/>
    <row r="1572" s="65" customFormat="1"/>
    <row r="1573" s="65" customFormat="1"/>
    <row r="1574" s="65" customFormat="1"/>
    <row r="1575" s="65" customFormat="1"/>
    <row r="1576" s="65" customFormat="1"/>
    <row r="1577" s="65" customFormat="1"/>
    <row r="1578" s="65" customFormat="1"/>
    <row r="1579" s="65" customFormat="1"/>
    <row r="1580" s="65" customFormat="1"/>
    <row r="1581" s="65" customFormat="1"/>
    <row r="1582" s="65" customFormat="1"/>
    <row r="1583" s="65" customFormat="1"/>
    <row r="1584" s="65" customFormat="1"/>
    <row r="1585" s="65" customFormat="1"/>
    <row r="1586" s="65" customFormat="1"/>
    <row r="1587" s="65" customFormat="1"/>
    <row r="1588" s="65" customFormat="1"/>
    <row r="1589" s="65" customFormat="1"/>
    <row r="1590" s="65" customFormat="1"/>
    <row r="1591" s="65" customFormat="1"/>
    <row r="1592" s="65" customFormat="1"/>
    <row r="1593" s="65" customFormat="1"/>
    <row r="1594" s="65" customFormat="1"/>
    <row r="1595" s="65" customFormat="1"/>
    <row r="1596" s="65" customFormat="1"/>
    <row r="1597" s="65" customFormat="1"/>
    <row r="1598" s="65" customFormat="1"/>
    <row r="1599" s="65" customFormat="1"/>
    <row r="1600" s="65" customFormat="1"/>
    <row r="1601" s="65" customFormat="1"/>
    <row r="1602" s="65" customFormat="1"/>
    <row r="1603" s="65" customFormat="1"/>
    <row r="1604" s="65" customFormat="1"/>
    <row r="1605" s="65" customFormat="1"/>
    <row r="1606" s="65" customFormat="1"/>
    <row r="1607" s="65" customFormat="1"/>
    <row r="1608" s="65" customFormat="1"/>
    <row r="1609" s="65" customFormat="1"/>
    <row r="1610" s="65" customFormat="1"/>
    <row r="1611" s="65" customFormat="1"/>
    <row r="1612" s="65" customFormat="1"/>
    <row r="1613" s="65" customFormat="1"/>
    <row r="1614" s="65" customFormat="1"/>
    <row r="1615" s="65" customFormat="1"/>
    <row r="1616" s="65" customFormat="1"/>
    <row r="1617" s="65" customFormat="1"/>
    <row r="1618" s="65" customFormat="1"/>
    <row r="1619" s="65" customFormat="1"/>
    <row r="1620" s="65" customFormat="1"/>
    <row r="1621" s="65" customFormat="1"/>
    <row r="1622" s="65" customFormat="1"/>
    <row r="1623" s="65" customFormat="1"/>
    <row r="1624" s="65" customFormat="1"/>
    <row r="1625" s="65" customFormat="1"/>
    <row r="1626" s="65" customFormat="1"/>
    <row r="1627" s="65" customFormat="1"/>
    <row r="1628" s="65" customFormat="1"/>
    <row r="1629" s="65" customFormat="1"/>
    <row r="1630" s="65" customFormat="1"/>
    <row r="1631" s="65" customFormat="1"/>
    <row r="1632" s="65" customFormat="1"/>
    <row r="1633" s="65" customFormat="1"/>
    <row r="1634" s="65" customFormat="1"/>
    <row r="1635" s="65" customFormat="1"/>
    <row r="1636" s="65" customFormat="1"/>
    <row r="1637" s="65" customFormat="1"/>
    <row r="1638" s="65" customFormat="1"/>
    <row r="1639" s="65" customFormat="1"/>
    <row r="1640" s="65" customFormat="1"/>
    <row r="1641" s="65" customFormat="1"/>
    <row r="1642" s="65" customFormat="1"/>
    <row r="1643" s="65" customFormat="1"/>
    <row r="1644" s="65" customFormat="1"/>
    <row r="1645" s="65" customFormat="1"/>
    <row r="1646" s="65" customFormat="1"/>
    <row r="1647" s="65" customFormat="1"/>
    <row r="1648" s="65" customFormat="1"/>
    <row r="1649" s="65" customFormat="1"/>
    <row r="1650" s="65" customFormat="1"/>
    <row r="1651" s="65" customFormat="1"/>
    <row r="1652" s="65" customFormat="1"/>
    <row r="1653" s="65" customFormat="1"/>
    <row r="1654" s="65" customFormat="1"/>
    <row r="1655" s="65" customFormat="1"/>
    <row r="1656" s="65" customFormat="1"/>
    <row r="1657" s="65" customFormat="1"/>
    <row r="1658" s="65" customFormat="1"/>
    <row r="1659" s="65" customFormat="1"/>
    <row r="1660" s="65" customFormat="1"/>
    <row r="1661" s="65" customFormat="1"/>
    <row r="1662" s="65" customFormat="1"/>
    <row r="1663" s="65" customFormat="1"/>
    <row r="1664" s="65" customFormat="1"/>
    <row r="1665" s="65" customFormat="1"/>
    <row r="1666" s="65" customFormat="1"/>
    <row r="1667" s="65" customFormat="1"/>
    <row r="1668" s="65" customFormat="1"/>
    <row r="1669" s="65" customFormat="1"/>
    <row r="1670" s="65" customFormat="1"/>
    <row r="1671" s="65" customFormat="1"/>
    <row r="1672" s="65" customFormat="1"/>
    <row r="1673" s="65" customFormat="1"/>
    <row r="1674" s="65" customFormat="1"/>
    <row r="1675" s="65" customFormat="1"/>
    <row r="1676" s="65" customFormat="1"/>
    <row r="1677" s="65" customFormat="1"/>
    <row r="1678" s="65" customFormat="1"/>
    <row r="1679" s="65" customFormat="1"/>
    <row r="1680" s="65" customFormat="1"/>
    <row r="1681" s="65" customFormat="1"/>
    <row r="1682" s="65" customFormat="1"/>
    <row r="1683" s="65" customFormat="1"/>
    <row r="1684" s="65" customFormat="1"/>
    <row r="1685" s="65" customFormat="1"/>
    <row r="1686" s="65" customFormat="1"/>
    <row r="1687" s="65" customFormat="1"/>
    <row r="1688" s="65" customFormat="1"/>
    <row r="1689" s="65" customFormat="1"/>
    <row r="1690" s="65" customFormat="1"/>
    <row r="1691" s="65" customFormat="1"/>
    <row r="1692" s="65" customFormat="1"/>
    <row r="1693" s="65" customFormat="1"/>
    <row r="1694" s="65" customFormat="1"/>
    <row r="1695" s="65" customFormat="1"/>
    <row r="1696" s="65" customFormat="1"/>
    <row r="1697" s="65" customFormat="1"/>
    <row r="1698" s="65" customFormat="1"/>
    <row r="1699" s="65" customFormat="1"/>
    <row r="1700" s="65" customFormat="1"/>
    <row r="1701" s="65" customFormat="1"/>
    <row r="1702" s="65" customFormat="1"/>
    <row r="1703" s="65" customFormat="1"/>
    <row r="1704" s="65" customFormat="1"/>
    <row r="1705" s="65" customFormat="1"/>
    <row r="1706" s="65" customFormat="1"/>
    <row r="1707" s="65" customFormat="1"/>
    <row r="1708" s="65" customFormat="1"/>
    <row r="1709" s="65" customFormat="1"/>
    <row r="1710" s="65" customFormat="1"/>
    <row r="1711" s="65" customFormat="1"/>
    <row r="1712" s="65" customFormat="1"/>
    <row r="1713" s="65" customFormat="1"/>
    <row r="1714" s="65" customFormat="1"/>
    <row r="1715" s="65" customFormat="1"/>
    <row r="1716" s="65" customFormat="1"/>
    <row r="1717" s="65" customFormat="1"/>
    <row r="1718" s="65" customFormat="1"/>
    <row r="1719" s="65" customFormat="1"/>
    <row r="1720" s="65" customFormat="1"/>
    <row r="1721" s="65" customFormat="1"/>
    <row r="1722" s="65" customFormat="1"/>
    <row r="1723" s="65" customFormat="1"/>
    <row r="1724" s="65" customFormat="1"/>
    <row r="1725" s="65" customFormat="1"/>
    <row r="1726" s="65" customFormat="1"/>
    <row r="1727" s="65" customFormat="1"/>
    <row r="1728" s="65" customFormat="1"/>
    <row r="1729" s="65" customFormat="1"/>
    <row r="1730" s="65" customFormat="1"/>
    <row r="1731" s="65" customFormat="1"/>
    <row r="1732" s="65" customFormat="1"/>
    <row r="1733" s="65" customFormat="1"/>
    <row r="1734" s="65" customFormat="1"/>
    <row r="1735" s="65" customFormat="1"/>
    <row r="1736" s="65" customFormat="1"/>
    <row r="1737" s="65" customFormat="1"/>
    <row r="1738" s="65" customFormat="1"/>
    <row r="1739" s="65" customFormat="1"/>
    <row r="1740" s="65" customFormat="1"/>
    <row r="1741" s="65" customFormat="1"/>
    <row r="1742" s="65" customFormat="1"/>
    <row r="1743" s="65" customFormat="1"/>
    <row r="1744" s="65" customFormat="1"/>
    <row r="1745" s="65" customFormat="1"/>
    <row r="1746" s="65" customFormat="1"/>
    <row r="1747" s="65" customFormat="1"/>
    <row r="1748" s="65" customFormat="1"/>
    <row r="1749" s="65" customFormat="1"/>
    <row r="1750" s="65" customFormat="1"/>
    <row r="1751" s="65" customFormat="1"/>
    <row r="1752" s="65" customFormat="1"/>
    <row r="1753" s="65" customFormat="1"/>
    <row r="1754" s="65" customFormat="1"/>
    <row r="1755" s="65" customFormat="1"/>
    <row r="1756" s="65" customFormat="1"/>
    <row r="1757" s="65" customFormat="1"/>
    <row r="1758" s="65" customFormat="1"/>
    <row r="1759" s="65" customFormat="1"/>
    <row r="1760" s="65" customFormat="1"/>
    <row r="1761" s="65" customFormat="1"/>
    <row r="1762" s="65" customFormat="1"/>
    <row r="1763" s="65" customFormat="1"/>
    <row r="1764" s="65" customFormat="1"/>
    <row r="1765" s="65" customFormat="1"/>
    <row r="1766" s="65" customFormat="1"/>
    <row r="1767" s="65" customFormat="1"/>
    <row r="1768" s="65" customFormat="1"/>
    <row r="1769" s="65" customFormat="1"/>
    <row r="1770" s="65" customFormat="1"/>
    <row r="1771" s="65" customFormat="1"/>
    <row r="1772" s="65" customFormat="1"/>
    <row r="1773" s="65" customFormat="1"/>
    <row r="1774" s="65" customFormat="1"/>
    <row r="1775" s="65" customFormat="1"/>
    <row r="1776" s="65" customFormat="1"/>
    <row r="1777" s="65" customFormat="1"/>
    <row r="1778" s="65" customFormat="1"/>
    <row r="1779" s="65" customFormat="1"/>
    <row r="1780" s="65" customFormat="1"/>
    <row r="1781" s="65" customFormat="1"/>
    <row r="1782" s="65" customFormat="1"/>
    <row r="1783" s="65" customFormat="1"/>
    <row r="1784" s="65" customFormat="1"/>
    <row r="1785" s="65" customFormat="1"/>
    <row r="1786" s="65" customFormat="1"/>
    <row r="1787" s="65" customFormat="1"/>
    <row r="1788" s="65" customFormat="1"/>
    <row r="1789" s="65" customFormat="1"/>
    <row r="1790" s="65" customFormat="1"/>
    <row r="1791" s="65" customFormat="1"/>
    <row r="1792" s="65" customFormat="1"/>
    <row r="1793" s="65" customFormat="1"/>
    <row r="1794" s="65" customFormat="1"/>
    <row r="1795" s="65" customFormat="1"/>
    <row r="1796" s="65" customFormat="1"/>
    <row r="1797" s="65" customFormat="1"/>
    <row r="1798" s="65" customFormat="1"/>
    <row r="1799" s="65" customFormat="1"/>
    <row r="1800" s="65" customFormat="1"/>
    <row r="1801" s="65" customFormat="1"/>
    <row r="1802" s="65" customFormat="1"/>
    <row r="1803" s="65" customFormat="1"/>
    <row r="1804" s="65" customFormat="1"/>
    <row r="1805" s="65" customFormat="1"/>
    <row r="1806" s="65" customFormat="1"/>
    <row r="1807" s="65" customFormat="1"/>
    <row r="1808" s="65" customFormat="1"/>
    <row r="1809" s="65" customFormat="1"/>
    <row r="1810" s="65" customFormat="1"/>
    <row r="1811" s="65" customFormat="1"/>
    <row r="1812" s="65" customFormat="1"/>
    <row r="1813" s="65" customFormat="1"/>
    <row r="1814" s="65" customFormat="1"/>
    <row r="1815" s="65" customFormat="1"/>
    <row r="1816" s="65" customFormat="1"/>
    <row r="1817" s="65" customFormat="1"/>
    <row r="1818" s="65" customFormat="1"/>
    <row r="1819" s="65" customFormat="1"/>
    <row r="1820" s="65" customFormat="1"/>
    <row r="1821" s="65" customFormat="1"/>
    <row r="1822" s="65" customFormat="1"/>
    <row r="1823" s="65" customFormat="1"/>
    <row r="1824" s="65" customFormat="1"/>
    <row r="1825" s="65" customFormat="1"/>
    <row r="1826" s="65" customFormat="1"/>
    <row r="1827" s="65" customFormat="1"/>
    <row r="1828" s="65" customFormat="1"/>
    <row r="1829" s="65" customFormat="1"/>
    <row r="1830" s="65" customFormat="1"/>
    <row r="1831" s="65" customFormat="1"/>
    <row r="1832" s="65" customFormat="1"/>
    <row r="1833" s="65" customFormat="1"/>
    <row r="1834" s="65" customFormat="1"/>
    <row r="1835" s="65" customFormat="1"/>
    <row r="1836" s="65" customFormat="1"/>
    <row r="1837" s="65" customFormat="1"/>
    <row r="1838" s="65" customFormat="1"/>
    <row r="1839" s="65" customFormat="1"/>
    <row r="1840" s="65" customFormat="1"/>
    <row r="1841" s="65" customFormat="1"/>
    <row r="1842" s="65" customFormat="1"/>
    <row r="1843" s="65" customFormat="1"/>
    <row r="1844" s="65" customFormat="1"/>
    <row r="1845" s="65" customFormat="1"/>
    <row r="1846" s="65" customFormat="1"/>
    <row r="1847" s="65" customFormat="1"/>
    <row r="1848" s="65" customFormat="1"/>
    <row r="1849" s="65" customFormat="1"/>
    <row r="1850" s="65" customFormat="1"/>
    <row r="1851" s="65" customFormat="1"/>
    <row r="1852" s="65" customFormat="1"/>
    <row r="1853" s="65" customFormat="1"/>
    <row r="1854" s="65" customFormat="1"/>
    <row r="1855" s="65" customFormat="1"/>
    <row r="1856" s="65" customFormat="1"/>
    <row r="1857" s="65" customFormat="1"/>
    <row r="1858" s="65" customFormat="1"/>
    <row r="1859" s="65" customFormat="1"/>
    <row r="1860" s="65" customFormat="1"/>
    <row r="1861" s="65" customFormat="1"/>
    <row r="1862" s="65" customFormat="1"/>
    <row r="1863" s="65" customFormat="1"/>
    <row r="1864" s="65" customFormat="1"/>
    <row r="1865" s="65" customFormat="1"/>
    <row r="1866" s="65" customFormat="1"/>
    <row r="1867" s="65" customFormat="1"/>
    <row r="1868" s="65" customFormat="1"/>
    <row r="1869" s="65" customFormat="1"/>
    <row r="1870" s="65" customFormat="1"/>
    <row r="1871" s="65" customFormat="1"/>
    <row r="1872" s="65" customFormat="1"/>
    <row r="1873" s="65" customFormat="1"/>
    <row r="1874" s="65" customFormat="1"/>
    <row r="1875" s="65" customFormat="1"/>
    <row r="1876" s="65" customFormat="1"/>
    <row r="1877" s="65" customFormat="1"/>
    <row r="1878" s="65" customFormat="1"/>
    <row r="1879" s="65" customFormat="1"/>
    <row r="1880" s="65" customFormat="1"/>
    <row r="1881" s="65" customFormat="1"/>
    <row r="1882" s="65" customFormat="1"/>
    <row r="1883" s="65" customFormat="1"/>
    <row r="1884" s="65" customFormat="1"/>
    <row r="1885" s="65" customFormat="1"/>
    <row r="1886" s="65" customFormat="1"/>
    <row r="1887" s="65" customFormat="1"/>
    <row r="1888" s="65" customFormat="1"/>
    <row r="1889" s="65" customFormat="1"/>
    <row r="1890" s="65" customFormat="1"/>
    <row r="1891" s="65" customFormat="1"/>
    <row r="1892" s="65" customFormat="1"/>
    <row r="1893" s="65" customFormat="1"/>
    <row r="1894" s="65" customFormat="1"/>
    <row r="1895" s="65" customFormat="1"/>
    <row r="1896" s="65" customFormat="1"/>
    <row r="1897" s="65" customFormat="1"/>
    <row r="1898" s="65" customFormat="1"/>
    <row r="1899" s="65" customFormat="1"/>
    <row r="1900" s="65" customFormat="1"/>
    <row r="1901" s="65" customFormat="1"/>
    <row r="1902" s="65" customFormat="1"/>
    <row r="1903" s="65" customFormat="1"/>
    <row r="1904" s="65" customFormat="1"/>
    <row r="1905" s="65" customFormat="1"/>
    <row r="1906" s="65" customFormat="1"/>
    <row r="1907" s="65" customFormat="1"/>
    <row r="1908" s="65" customFormat="1"/>
    <row r="1909" s="65" customFormat="1"/>
    <row r="1910" s="65" customFormat="1"/>
    <row r="1911" s="65" customFormat="1"/>
    <row r="1912" s="65" customFormat="1"/>
    <row r="1913" s="65" customFormat="1"/>
    <row r="1914" s="65" customFormat="1"/>
    <row r="1915" s="65" customFormat="1"/>
    <row r="1916" s="65" customFormat="1"/>
    <row r="1917" s="65" customFormat="1"/>
    <row r="1918" s="65" customFormat="1"/>
    <row r="1919" s="65" customFormat="1"/>
    <row r="1920" s="65" customFormat="1"/>
    <row r="1921" s="65" customFormat="1"/>
    <row r="1922" s="65" customFormat="1"/>
    <row r="1923" s="65" customFormat="1"/>
    <row r="1924" s="65" customFormat="1"/>
    <row r="1925" s="65" customFormat="1"/>
    <row r="1926" s="65" customFormat="1"/>
    <row r="1927" s="65" customFormat="1"/>
    <row r="1928" s="65" customFormat="1"/>
    <row r="1929" s="65" customFormat="1"/>
    <row r="1930" s="65" customFormat="1"/>
    <row r="1931" s="65" customFormat="1"/>
    <row r="1932" s="65" customFormat="1"/>
    <row r="1933" s="65" customFormat="1"/>
    <row r="1934" s="65" customFormat="1"/>
    <row r="1935" s="65" customFormat="1"/>
    <row r="1936" s="65" customFormat="1"/>
    <row r="1937" s="65" customFormat="1"/>
    <row r="1938" s="65" customFormat="1"/>
    <row r="1939" s="65" customFormat="1"/>
    <row r="1940" s="65" customFormat="1"/>
    <row r="1941" s="65" customFormat="1"/>
    <row r="1942" s="65" customFormat="1"/>
    <row r="1943" s="65" customFormat="1"/>
    <row r="1944" s="65" customFormat="1"/>
    <row r="1945" s="65" customFormat="1"/>
    <row r="1946" s="65" customFormat="1"/>
    <row r="1947" s="65" customFormat="1"/>
    <row r="1948" s="65" customFormat="1"/>
    <row r="1949" s="65" customFormat="1"/>
    <row r="1950" s="65" customFormat="1"/>
    <row r="1951" s="65" customFormat="1"/>
    <row r="1952" s="65" customFormat="1"/>
    <row r="1953" s="65" customFormat="1"/>
    <row r="1954" s="65" customFormat="1"/>
    <row r="1955" s="65" customFormat="1"/>
    <row r="1956" s="65" customFormat="1"/>
    <row r="1957" s="65" customFormat="1"/>
    <row r="1958" s="65" customFormat="1"/>
    <row r="1959" s="65" customFormat="1"/>
    <row r="1960" s="65" customFormat="1"/>
    <row r="1961" s="65" customFormat="1"/>
    <row r="1962" s="65" customFormat="1"/>
    <row r="1963" s="65" customFormat="1"/>
    <row r="1964" s="65" customFormat="1"/>
    <row r="1965" s="65" customFormat="1"/>
    <row r="1966" s="65" customFormat="1"/>
    <row r="1967" s="65" customFormat="1"/>
    <row r="1968" s="65" customFormat="1"/>
    <row r="1969" s="65" customFormat="1"/>
    <row r="1970" s="65" customFormat="1"/>
    <row r="1971" s="65" customFormat="1"/>
    <row r="1972" s="65" customFormat="1"/>
    <row r="1973" s="65" customFormat="1"/>
    <row r="1974" s="65" customFormat="1"/>
    <row r="1975" s="65" customFormat="1"/>
    <row r="1976" s="65" customFormat="1"/>
    <row r="1977" s="65" customFormat="1"/>
    <row r="1978" s="65" customFormat="1"/>
    <row r="1979" s="65" customFormat="1"/>
    <row r="1980" s="65" customFormat="1"/>
    <row r="1981" s="65" customFormat="1"/>
    <row r="1982" s="65" customFormat="1"/>
    <row r="1983" s="65" customFormat="1"/>
    <row r="1984" s="65" customFormat="1"/>
    <row r="1985" s="65" customFormat="1"/>
    <row r="1986" s="65" customFormat="1"/>
    <row r="1987" s="65" customFormat="1"/>
    <row r="1988" s="65" customFormat="1"/>
    <row r="1989" s="65" customFormat="1"/>
    <row r="1990" s="65" customFormat="1"/>
    <row r="1991" s="65" customFormat="1"/>
    <row r="1992" s="65" customFormat="1"/>
    <row r="1993" s="65" customFormat="1"/>
    <row r="1994" s="65" customFormat="1"/>
    <row r="1995" s="65" customFormat="1"/>
    <row r="1996" s="65" customFormat="1"/>
    <row r="1997" s="65" customFormat="1"/>
    <row r="1998" s="65" customFormat="1"/>
    <row r="1999" s="65" customFormat="1"/>
    <row r="2000" s="65" customFormat="1"/>
    <row r="2001" s="65" customFormat="1"/>
    <row r="2002" s="65" customFormat="1"/>
    <row r="2003" s="65" customFormat="1"/>
    <row r="2004" s="65" customFormat="1"/>
    <row r="2005" s="65" customFormat="1"/>
    <row r="2006" s="65" customFormat="1"/>
    <row r="2007" s="65" customFormat="1"/>
    <row r="2008" s="65" customFormat="1"/>
    <row r="2009" s="65" customFormat="1"/>
    <row r="2010" s="65" customFormat="1"/>
    <row r="2011" s="65" customFormat="1"/>
    <row r="2012" s="65" customFormat="1"/>
    <row r="2013" s="65" customFormat="1"/>
    <row r="2014" s="65" customFormat="1"/>
    <row r="2015" s="65" customFormat="1"/>
    <row r="2016" s="65" customFormat="1"/>
    <row r="2017" s="65" customFormat="1"/>
    <row r="2018" s="65" customFormat="1"/>
    <row r="2019" s="65" customFormat="1"/>
    <row r="2020" s="65" customFormat="1"/>
    <row r="2021" s="65" customFormat="1"/>
    <row r="2022" s="65" customFormat="1"/>
    <row r="2023" s="65" customFormat="1"/>
    <row r="2024" s="65" customFormat="1"/>
    <row r="2025" s="65" customFormat="1"/>
    <row r="2026" s="65" customFormat="1"/>
    <row r="2027" s="65" customFormat="1"/>
    <row r="2028" s="65" customFormat="1"/>
    <row r="2029" s="65" customFormat="1"/>
    <row r="2030" s="65" customFormat="1"/>
    <row r="2031" s="65" customFormat="1"/>
    <row r="2032" s="65" customFormat="1"/>
    <row r="2033" s="65" customFormat="1"/>
    <row r="2034" s="65" customFormat="1"/>
    <row r="2035" s="65" customFormat="1"/>
    <row r="2036" s="65" customFormat="1"/>
    <row r="2037" s="65" customFormat="1"/>
    <row r="2038" s="65" customFormat="1"/>
    <row r="2039" s="65" customFormat="1"/>
    <row r="2040" s="65" customFormat="1"/>
    <row r="2041" s="65" customFormat="1"/>
    <row r="2042" s="65" customFormat="1"/>
    <row r="2043" s="65" customFormat="1"/>
    <row r="2044" s="65" customFormat="1"/>
    <row r="2045" s="65" customFormat="1"/>
    <row r="2046" s="65" customFormat="1"/>
    <row r="2047" s="65" customFormat="1"/>
    <row r="2048" s="65" customFormat="1"/>
    <row r="2049" s="65" customFormat="1"/>
    <row r="2050" s="65" customFormat="1"/>
    <row r="2051" s="65" customFormat="1"/>
    <row r="2052" s="65" customFormat="1"/>
    <row r="2053" s="65" customFormat="1"/>
    <row r="2054" s="65" customFormat="1"/>
    <row r="2055" s="65" customFormat="1"/>
    <row r="2056" s="65" customFormat="1"/>
    <row r="2057" s="65" customFormat="1"/>
    <row r="2058" s="65" customFormat="1"/>
    <row r="2059" s="65" customFormat="1"/>
    <row r="2060" s="65" customFormat="1"/>
    <row r="2061" s="65" customFormat="1"/>
    <row r="2062" s="65" customFormat="1"/>
    <row r="2063" s="65" customFormat="1"/>
    <row r="2064" s="65" customFormat="1"/>
    <row r="2065" s="65" customFormat="1"/>
    <row r="2066" s="65" customFormat="1"/>
    <row r="2067" s="65" customFormat="1"/>
    <row r="2068" s="65" customFormat="1"/>
    <row r="2069" s="65" customFormat="1"/>
    <row r="2070" s="65" customFormat="1"/>
    <row r="2071" s="65" customFormat="1"/>
    <row r="2072" s="65" customFormat="1"/>
    <row r="2073" s="65" customFormat="1"/>
    <row r="2074" s="65" customFormat="1"/>
    <row r="2075" s="65" customFormat="1"/>
    <row r="2076" s="65" customFormat="1"/>
    <row r="2077" s="65" customFormat="1"/>
    <row r="2078" s="65" customFormat="1"/>
    <row r="2079" s="65" customFormat="1"/>
    <row r="2080" s="65" customFormat="1"/>
    <row r="2081" s="65" customFormat="1"/>
    <row r="2082" s="65" customFormat="1"/>
    <row r="2083" s="65" customFormat="1"/>
    <row r="2084" s="65" customFormat="1"/>
    <row r="2085" s="65" customFormat="1"/>
    <row r="2086" s="65" customFormat="1"/>
    <row r="2087" s="65" customFormat="1"/>
    <row r="2088" s="65" customFormat="1"/>
    <row r="2089" s="65" customFormat="1"/>
    <row r="2090" s="65" customFormat="1"/>
    <row r="2091" s="65" customFormat="1"/>
    <row r="2092" s="65" customFormat="1"/>
    <row r="2093" s="65" customFormat="1"/>
    <row r="2094" s="65" customFormat="1"/>
    <row r="2095" s="65" customFormat="1"/>
    <row r="2096" s="65" customFormat="1"/>
    <row r="2097" s="65" customFormat="1"/>
    <row r="2098" s="65" customFormat="1"/>
    <row r="2099" s="65" customFormat="1"/>
    <row r="2100" s="65" customFormat="1"/>
    <row r="2101" s="65" customFormat="1"/>
    <row r="2102" s="65" customFormat="1"/>
    <row r="2103" s="65" customFormat="1"/>
    <row r="2104" s="65" customFormat="1"/>
    <row r="2105" s="65" customFormat="1"/>
    <row r="2106" s="65" customFormat="1"/>
    <row r="2107" s="65" customFormat="1"/>
    <row r="2108" s="65" customFormat="1"/>
    <row r="2109" s="65" customFormat="1"/>
    <row r="2110" s="65" customFormat="1"/>
    <row r="2111" s="65" customFormat="1"/>
    <row r="2112" s="65" customFormat="1"/>
    <row r="2113" s="65" customFormat="1"/>
    <row r="2114" s="65" customFormat="1"/>
    <row r="2115" s="65" customFormat="1"/>
    <row r="2116" s="65" customFormat="1"/>
    <row r="2117" s="65" customFormat="1"/>
    <row r="2118" s="65" customFormat="1"/>
    <row r="2119" s="65" customFormat="1"/>
    <row r="2120" s="65" customFormat="1"/>
    <row r="2121" s="65" customFormat="1"/>
    <row r="2122" s="65" customFormat="1"/>
    <row r="2123" s="65" customFormat="1"/>
    <row r="2124" s="65" customFormat="1"/>
    <row r="2125" s="65" customFormat="1"/>
    <row r="2126" s="65" customFormat="1"/>
    <row r="2127" s="65" customFormat="1"/>
    <row r="2128" s="65" customFormat="1"/>
    <row r="2129" s="65" customFormat="1"/>
    <row r="2130" s="65" customFormat="1"/>
    <row r="2131" s="65" customFormat="1"/>
    <row r="2132" s="65" customFormat="1"/>
    <row r="2133" s="65" customFormat="1"/>
    <row r="2134" s="65" customFormat="1"/>
    <row r="2135" s="65" customFormat="1"/>
    <row r="2136" s="65" customFormat="1"/>
    <row r="2137" s="65" customFormat="1"/>
    <row r="2138" s="65" customFormat="1"/>
    <row r="2139" s="65" customFormat="1"/>
    <row r="2140" s="65" customFormat="1"/>
    <row r="2141" s="65" customFormat="1"/>
    <row r="2142" s="65" customFormat="1"/>
    <row r="2143" s="65" customFormat="1"/>
    <row r="2144" s="65" customFormat="1"/>
    <row r="2145" s="65" customFormat="1"/>
    <row r="2146" s="65" customFormat="1"/>
    <row r="2147" s="65" customFormat="1"/>
    <row r="2148" s="65" customFormat="1"/>
    <row r="2149" s="65" customFormat="1"/>
    <row r="2150" s="65" customFormat="1"/>
    <row r="2151" s="65" customFormat="1"/>
    <row r="2152" s="65" customFormat="1"/>
    <row r="2153" s="65" customFormat="1"/>
    <row r="2154" s="65" customFormat="1"/>
    <row r="2155" s="65" customFormat="1"/>
    <row r="2156" s="65" customFormat="1"/>
    <row r="2157" s="65" customFormat="1"/>
    <row r="2158" s="65" customFormat="1"/>
    <row r="2159" s="65" customFormat="1"/>
    <row r="2160" s="65" customFormat="1"/>
    <row r="2161" s="65" customFormat="1"/>
    <row r="2162" s="65" customFormat="1"/>
    <row r="2163" s="65" customFormat="1"/>
    <row r="2164" s="65" customFormat="1"/>
    <row r="2165" s="65" customFormat="1"/>
    <row r="2166" s="65" customFormat="1"/>
    <row r="2167" s="65" customFormat="1"/>
    <row r="2168" s="65" customFormat="1"/>
    <row r="2169" s="65" customFormat="1"/>
    <row r="2170" s="65" customFormat="1"/>
    <row r="2171" s="65" customFormat="1"/>
    <row r="2172" s="65" customFormat="1"/>
    <row r="2173" s="65" customFormat="1"/>
    <row r="2174" s="65" customFormat="1"/>
    <row r="2175" s="65" customFormat="1"/>
    <row r="2176" s="65" customFormat="1"/>
    <row r="2177" s="65" customFormat="1"/>
    <row r="2178" s="65" customFormat="1"/>
    <row r="2179" s="65" customFormat="1"/>
    <row r="2180" s="65" customFormat="1"/>
    <row r="2181" s="65" customFormat="1"/>
    <row r="2182" s="65" customFormat="1"/>
    <row r="2183" s="65" customFormat="1"/>
    <row r="2184" s="65" customFormat="1"/>
    <row r="2185" s="65" customFormat="1"/>
    <row r="2186" s="65" customFormat="1"/>
    <row r="2187" s="65" customFormat="1"/>
    <row r="2188" s="65" customFormat="1"/>
    <row r="2189" s="65" customFormat="1"/>
    <row r="2190" s="65" customFormat="1"/>
    <row r="2191" s="65" customFormat="1"/>
    <row r="2192" s="65" customFormat="1"/>
    <row r="2193" s="65" customFormat="1"/>
    <row r="2194" s="65" customFormat="1"/>
    <row r="2195" s="65" customFormat="1"/>
    <row r="2196" s="65" customFormat="1"/>
    <row r="2197" s="65" customFormat="1"/>
    <row r="2198" s="65" customFormat="1"/>
    <row r="2199" s="65" customFormat="1"/>
    <row r="2200" s="65" customFormat="1"/>
    <row r="2201" s="65" customFormat="1"/>
    <row r="2202" s="65" customFormat="1"/>
    <row r="2203" s="65" customFormat="1"/>
    <row r="2204" s="65" customFormat="1"/>
    <row r="2205" s="65" customFormat="1"/>
    <row r="2206" s="65" customFormat="1"/>
    <row r="2207" s="65" customFormat="1"/>
    <row r="2208" s="65" customFormat="1"/>
    <row r="2209" s="65" customFormat="1"/>
    <row r="2210" s="65" customFormat="1"/>
    <row r="2211" s="65" customFormat="1"/>
    <row r="2212" s="65" customFormat="1"/>
    <row r="2213" s="65" customFormat="1"/>
    <row r="2214" s="65" customFormat="1"/>
    <row r="2215" s="65" customFormat="1"/>
    <row r="2216" s="65" customFormat="1"/>
    <row r="2217" s="65" customFormat="1"/>
    <row r="2218" s="65" customFormat="1"/>
    <row r="2219" s="65" customFormat="1"/>
    <row r="2220" s="65" customFormat="1"/>
    <row r="2221" s="65" customFormat="1"/>
    <row r="2222" s="65" customFormat="1"/>
    <row r="2223" s="65" customFormat="1"/>
    <row r="2224" s="65" customFormat="1"/>
    <row r="2225" s="65" customFormat="1"/>
    <row r="2226" s="65" customFormat="1"/>
    <row r="2227" s="65" customFormat="1"/>
    <row r="2228" s="65" customFormat="1"/>
    <row r="2229" s="65" customFormat="1"/>
    <row r="2230" s="65" customFormat="1"/>
    <row r="2231" s="65" customFormat="1"/>
    <row r="2232" s="65" customFormat="1"/>
    <row r="2233" s="65" customFormat="1"/>
    <row r="2234" s="65" customFormat="1"/>
    <row r="2235" s="65" customFormat="1"/>
    <row r="2236" s="65" customFormat="1"/>
    <row r="2237" s="65" customFormat="1"/>
    <row r="2238" s="65" customFormat="1"/>
    <row r="2239" s="65" customFormat="1"/>
    <row r="2240" s="65" customFormat="1"/>
    <row r="2241" s="65" customFormat="1"/>
    <row r="2242" s="65" customFormat="1"/>
    <row r="2243" s="65" customFormat="1"/>
    <row r="2244" s="65" customFormat="1"/>
    <row r="2245" s="65" customFormat="1"/>
    <row r="2246" s="65" customFormat="1"/>
    <row r="2247" s="65" customFormat="1"/>
    <row r="2248" s="65" customFormat="1"/>
    <row r="2249" s="65" customFormat="1"/>
    <row r="2250" s="65" customFormat="1"/>
    <row r="2251" s="65" customFormat="1"/>
    <row r="2252" s="65" customFormat="1"/>
    <row r="2253" s="65" customFormat="1"/>
    <row r="2254" s="65" customFormat="1"/>
    <row r="2255" s="65" customFormat="1"/>
    <row r="2256" s="65" customFormat="1"/>
    <row r="2257" s="65" customFormat="1"/>
    <row r="2258" s="65" customFormat="1"/>
    <row r="2259" s="65" customFormat="1"/>
    <row r="2260" s="65" customFormat="1"/>
    <row r="2261" s="65" customFormat="1"/>
    <row r="2262" s="65" customFormat="1"/>
    <row r="2263" s="65" customFormat="1"/>
    <row r="2264" s="65" customFormat="1"/>
    <row r="2265" s="65" customFormat="1"/>
    <row r="2266" s="65" customFormat="1"/>
    <row r="2267" s="65" customFormat="1"/>
    <row r="2268" s="65" customFormat="1"/>
    <row r="2269" s="65" customFormat="1"/>
    <row r="2270" s="65" customFormat="1"/>
    <row r="2271" s="65" customFormat="1"/>
    <row r="2272" s="65" customFormat="1"/>
    <row r="2273" s="65" customFormat="1"/>
    <row r="2274" s="65" customFormat="1"/>
    <row r="2275" s="65" customFormat="1"/>
    <row r="2276" s="65" customFormat="1"/>
    <row r="2277" s="65" customFormat="1"/>
    <row r="2278" s="65" customFormat="1"/>
    <row r="2279" s="65" customFormat="1"/>
    <row r="2280" s="65" customFormat="1"/>
    <row r="2281" s="65" customFormat="1"/>
    <row r="2282" s="65" customFormat="1"/>
    <row r="2283" s="65" customFormat="1"/>
    <row r="2284" s="65" customFormat="1"/>
    <row r="2285" s="65" customFormat="1"/>
    <row r="2286" s="65" customFormat="1"/>
    <row r="2287" s="65" customFormat="1"/>
    <row r="2288" s="65" customFormat="1"/>
    <row r="2289" s="65" customFormat="1"/>
    <row r="2290" s="65" customFormat="1"/>
    <row r="2291" s="65" customFormat="1"/>
    <row r="2292" s="65" customFormat="1"/>
    <row r="2293" s="65" customFormat="1"/>
    <row r="2294" s="65" customFormat="1"/>
    <row r="2295" s="65" customFormat="1"/>
    <row r="2296" s="65" customFormat="1"/>
    <row r="2297" s="65" customFormat="1"/>
    <row r="2298" s="65" customFormat="1"/>
    <row r="2299" s="65" customFormat="1"/>
    <row r="2300" s="65" customFormat="1"/>
    <row r="2301" s="65" customFormat="1"/>
    <row r="2302" s="65" customFormat="1"/>
    <row r="2303" s="65" customFormat="1"/>
    <row r="2304" s="65" customFormat="1"/>
    <row r="2305" s="65" customFormat="1"/>
    <row r="2306" s="65" customFormat="1"/>
    <row r="2307" s="65" customFormat="1"/>
    <row r="2308" s="65" customFormat="1"/>
    <row r="2309" s="65" customFormat="1"/>
    <row r="2310" s="65" customFormat="1"/>
    <row r="2311" s="65" customFormat="1"/>
    <row r="2312" s="65" customFormat="1"/>
    <row r="2313" s="65" customFormat="1"/>
    <row r="2314" s="65" customFormat="1"/>
    <row r="2315" s="65" customFormat="1"/>
    <row r="2316" s="65" customFormat="1"/>
    <row r="2317" s="65" customFormat="1"/>
    <row r="2318" s="65" customFormat="1"/>
    <row r="2319" s="65" customFormat="1"/>
    <row r="2320" s="65" customFormat="1"/>
    <row r="2321" s="65" customFormat="1"/>
    <row r="2322" s="65" customFormat="1"/>
    <row r="2323" s="65" customFormat="1"/>
    <row r="2324" s="65" customFormat="1"/>
    <row r="2325" s="65" customFormat="1"/>
    <row r="2326" s="65" customFormat="1"/>
    <row r="2327" s="65" customFormat="1"/>
    <row r="2328" s="65" customFormat="1"/>
    <row r="2329" s="65" customFormat="1"/>
    <row r="2330" s="65" customFormat="1"/>
    <row r="2331" s="65" customFormat="1"/>
    <row r="2332" s="65" customFormat="1"/>
    <row r="2333" s="65" customFormat="1"/>
    <row r="2334" s="65" customFormat="1"/>
    <row r="2335" s="65" customFormat="1"/>
    <row r="2336" s="65" customFormat="1"/>
    <row r="2337" s="65" customFormat="1"/>
    <row r="2338" s="65" customFormat="1"/>
    <row r="2339" s="65" customFormat="1"/>
    <row r="2340" s="65" customFormat="1"/>
    <row r="2341" s="65" customFormat="1"/>
    <row r="2342" s="65" customFormat="1"/>
    <row r="2343" s="65" customFormat="1"/>
    <row r="2344" s="65" customFormat="1"/>
    <row r="2345" s="65" customFormat="1"/>
    <row r="2346" s="65" customFormat="1"/>
    <row r="2347" s="65" customFormat="1"/>
    <row r="2348" s="65" customFormat="1"/>
    <row r="2349" s="65" customFormat="1"/>
    <row r="2350" s="65" customFormat="1"/>
    <row r="2351" s="65" customFormat="1"/>
    <row r="2352" s="65" customFormat="1"/>
    <row r="2353" s="65" customFormat="1"/>
    <row r="2354" s="65" customFormat="1"/>
    <row r="2355" s="65" customFormat="1"/>
    <row r="2356" s="65" customFormat="1"/>
    <row r="2357" s="65" customFormat="1"/>
    <row r="2358" s="65" customFormat="1"/>
    <row r="2359" s="65" customFormat="1"/>
    <row r="2360" s="65" customFormat="1"/>
    <row r="2361" s="65" customFormat="1"/>
    <row r="2362" s="65" customFormat="1"/>
    <row r="2363" s="65" customFormat="1"/>
    <row r="2364" s="65" customFormat="1"/>
    <row r="2365" s="65" customFormat="1"/>
    <row r="2366" s="65" customFormat="1"/>
    <row r="2367" s="65" customFormat="1"/>
    <row r="2368" s="65" customFormat="1"/>
    <row r="2369" s="65" customFormat="1"/>
    <row r="2370" s="65" customFormat="1"/>
    <row r="2371" s="65" customFormat="1"/>
    <row r="2372" s="65" customFormat="1"/>
    <row r="2373" s="65" customFormat="1"/>
    <row r="2374" s="65" customFormat="1"/>
    <row r="2375" s="65" customFormat="1"/>
    <row r="2376" s="65" customFormat="1"/>
    <row r="2377" s="65" customFormat="1"/>
    <row r="2378" s="65" customFormat="1"/>
    <row r="2379" s="65" customFormat="1"/>
    <row r="2380" s="65" customFormat="1"/>
    <row r="2381" s="65" customFormat="1"/>
    <row r="2382" s="65" customFormat="1"/>
    <row r="2383" s="65" customFormat="1"/>
    <row r="2384" s="65" customFormat="1"/>
    <row r="2385" s="65" customFormat="1"/>
    <row r="2386" s="65" customFormat="1"/>
    <row r="2387" s="65" customFormat="1"/>
    <row r="2388" s="65" customFormat="1"/>
    <row r="2389" s="65" customFormat="1"/>
    <row r="2390" s="65" customFormat="1"/>
    <row r="2391" s="65" customFormat="1"/>
    <row r="2392" s="65" customFormat="1"/>
    <row r="2393" s="65" customFormat="1"/>
    <row r="2394" s="65" customFormat="1"/>
    <row r="2395" s="65" customFormat="1"/>
    <row r="2396" s="65" customFormat="1"/>
    <row r="2397" s="65" customFormat="1"/>
    <row r="2398" s="65" customFormat="1"/>
    <row r="2399" s="65" customFormat="1"/>
    <row r="2400" s="65" customFormat="1"/>
    <row r="2401" s="65" customFormat="1"/>
    <row r="2402" s="65" customFormat="1"/>
    <row r="2403" s="65" customFormat="1"/>
    <row r="2404" s="65" customFormat="1"/>
    <row r="2405" s="65" customFormat="1"/>
    <row r="2406" s="65" customFormat="1"/>
    <row r="2407" s="65" customFormat="1"/>
    <row r="2408" s="65" customFormat="1"/>
    <row r="2409" s="65" customFormat="1"/>
    <row r="2410" s="65" customFormat="1"/>
    <row r="2411" s="65" customFormat="1"/>
    <row r="2412" s="65" customFormat="1"/>
    <row r="2413" s="65" customFormat="1"/>
    <row r="2414" s="65" customFormat="1"/>
    <row r="2415" s="65" customFormat="1"/>
    <row r="2416" s="65" customFormat="1"/>
    <row r="2417" s="65" customFormat="1"/>
    <row r="2418" s="65" customFormat="1"/>
    <row r="2419" s="65" customFormat="1"/>
    <row r="2420" s="65" customFormat="1"/>
    <row r="2421" s="65" customFormat="1"/>
    <row r="2422" s="65" customFormat="1"/>
    <row r="2423" s="65" customFormat="1"/>
    <row r="2424" s="65" customFormat="1"/>
    <row r="2425" s="65" customFormat="1"/>
    <row r="2426" s="65" customFormat="1"/>
    <row r="2427" s="65" customFormat="1"/>
    <row r="2428" s="65" customFormat="1"/>
    <row r="2429" s="65" customFormat="1"/>
    <row r="2430" s="65" customFormat="1"/>
    <row r="2431" s="65" customFormat="1"/>
    <row r="2432" s="65" customFormat="1"/>
    <row r="2433" s="65" customFormat="1"/>
    <row r="2434" s="65" customFormat="1"/>
    <row r="2435" s="65" customFormat="1"/>
    <row r="2436" s="65" customFormat="1"/>
    <row r="2437" s="65" customFormat="1"/>
    <row r="2438" s="65" customFormat="1"/>
    <row r="2439" s="65" customFormat="1"/>
    <row r="2440" s="65" customFormat="1"/>
    <row r="2441" s="65" customFormat="1"/>
    <row r="2442" s="65" customFormat="1"/>
    <row r="2443" s="65" customFormat="1"/>
    <row r="2444" s="65" customFormat="1"/>
    <row r="2445" s="65" customFormat="1"/>
    <row r="2446" s="65" customFormat="1"/>
    <row r="2447" s="65" customFormat="1"/>
    <row r="2448" s="65" customFormat="1"/>
    <row r="2449" s="65" customFormat="1"/>
    <row r="2450" s="65" customFormat="1"/>
    <row r="2451" s="65" customFormat="1"/>
    <row r="2452" s="65" customFormat="1"/>
    <row r="2453" s="65" customFormat="1"/>
    <row r="2454" s="65" customFormat="1"/>
    <row r="2455" s="65" customFormat="1"/>
    <row r="2456" s="65" customFormat="1"/>
    <row r="2457" s="65" customFormat="1"/>
    <row r="2458" s="65" customFormat="1"/>
    <row r="2459" s="65" customFormat="1"/>
    <row r="2460" s="65" customFormat="1"/>
    <row r="2461" s="65" customFormat="1"/>
    <row r="2462" s="65" customFormat="1"/>
    <row r="2463" s="65" customFormat="1"/>
    <row r="2464" s="65" customFormat="1"/>
    <row r="2465" s="65" customFormat="1"/>
    <row r="2466" s="65" customFormat="1"/>
    <row r="2467" s="65" customFormat="1"/>
    <row r="2468" s="65" customFormat="1"/>
    <row r="2469" s="65" customFormat="1"/>
    <row r="2470" s="65" customFormat="1"/>
    <row r="2471" s="65" customFormat="1"/>
    <row r="2472" s="65" customFormat="1"/>
    <row r="2473" s="65" customFormat="1"/>
    <row r="2474" s="65" customFormat="1"/>
    <row r="2475" s="65" customFormat="1"/>
    <row r="2476" s="65" customFormat="1"/>
    <row r="2477" s="65" customFormat="1"/>
    <row r="2478" s="65" customFormat="1"/>
    <row r="2479" s="65" customFormat="1"/>
    <row r="2480" s="65" customFormat="1"/>
    <row r="2481" s="65" customFormat="1"/>
    <row r="2482" s="65" customFormat="1"/>
    <row r="2483" s="65" customFormat="1"/>
    <row r="2484" s="65" customFormat="1"/>
    <row r="2485" s="65" customFormat="1"/>
    <row r="2486" s="65" customFormat="1"/>
    <row r="2487" s="65" customFormat="1"/>
    <row r="2488" s="65" customFormat="1"/>
    <row r="2489" s="65" customFormat="1"/>
    <row r="2490" s="65" customFormat="1"/>
    <row r="2491" s="65" customFormat="1"/>
    <row r="2492" s="65" customFormat="1"/>
    <row r="2493" s="65" customFormat="1"/>
    <row r="2494" s="65" customFormat="1"/>
    <row r="2495" s="65" customFormat="1"/>
    <row r="2496" s="65" customFormat="1"/>
    <row r="2497" s="65" customFormat="1"/>
    <row r="2498" s="65" customFormat="1"/>
    <row r="2499" s="65" customFormat="1"/>
    <row r="2500" s="65" customFormat="1"/>
    <row r="2501" s="65" customFormat="1"/>
    <row r="2502" s="65" customFormat="1"/>
    <row r="2503" s="65" customFormat="1"/>
    <row r="2504" s="65" customFormat="1"/>
    <row r="2505" s="65" customFormat="1"/>
    <row r="2506" s="65" customFormat="1"/>
    <row r="2507" s="65" customFormat="1"/>
    <row r="2508" s="65" customFormat="1"/>
    <row r="2509" s="65" customFormat="1"/>
    <row r="2510" s="65" customFormat="1"/>
    <row r="2511" s="65" customFormat="1"/>
    <row r="2512" s="65" customFormat="1"/>
    <row r="2513" s="65" customFormat="1"/>
    <row r="2514" s="65" customFormat="1"/>
    <row r="2515" s="65" customFormat="1"/>
    <row r="2516" s="65" customFormat="1"/>
    <row r="2517" s="65" customFormat="1"/>
    <row r="2518" s="65" customFormat="1"/>
    <row r="2519" s="65" customFormat="1"/>
    <row r="2520" s="65" customFormat="1"/>
    <row r="2521" s="65" customFormat="1"/>
    <row r="2522" s="65" customFormat="1"/>
    <row r="2523" s="65" customFormat="1"/>
    <row r="2524" s="65" customFormat="1"/>
    <row r="2525" s="65" customFormat="1"/>
    <row r="2526" s="65" customFormat="1"/>
    <row r="2527" s="65" customFormat="1"/>
    <row r="2528" s="65" customFormat="1"/>
    <row r="2529" s="65" customFormat="1"/>
    <row r="2530" s="65" customFormat="1"/>
    <row r="2531" s="65" customFormat="1"/>
    <row r="2532" s="65" customFormat="1"/>
    <row r="2533" s="65" customFormat="1"/>
    <row r="2534" s="65" customFormat="1"/>
    <row r="2535" s="65" customFormat="1"/>
    <row r="2536" s="65" customFormat="1"/>
    <row r="2537" s="65" customFormat="1"/>
    <row r="2538" s="65" customFormat="1"/>
    <row r="2539" s="65" customFormat="1"/>
    <row r="2540" s="65" customFormat="1"/>
    <row r="2541" s="65" customFormat="1"/>
    <row r="2542" s="65" customFormat="1"/>
    <row r="2543" s="65" customFormat="1"/>
    <row r="2544" s="65" customFormat="1"/>
    <row r="2545" s="65" customFormat="1"/>
    <row r="2546" s="65" customFormat="1"/>
    <row r="2547" s="65" customFormat="1"/>
    <row r="2548" s="65" customFormat="1"/>
    <row r="2549" s="65" customFormat="1"/>
    <row r="2550" s="65" customFormat="1"/>
    <row r="2551" s="65" customFormat="1"/>
    <row r="2552" s="65" customFormat="1"/>
    <row r="2553" s="65" customFormat="1"/>
    <row r="2554" s="65" customFormat="1"/>
    <row r="2555" s="65" customFormat="1"/>
    <row r="2556" s="65" customFormat="1"/>
    <row r="2557" s="65" customFormat="1"/>
    <row r="2558" s="65" customFormat="1"/>
    <row r="2559" s="65" customFormat="1"/>
    <row r="2560" s="65" customFormat="1"/>
    <row r="2561" s="65" customFormat="1"/>
    <row r="2562" s="65" customFormat="1"/>
    <row r="2563" s="65" customFormat="1"/>
    <row r="2564" s="65" customFormat="1"/>
    <row r="2565" s="65" customFormat="1"/>
    <row r="2566" s="65" customFormat="1"/>
    <row r="2567" s="65" customFormat="1"/>
    <row r="2568" s="65" customFormat="1"/>
    <row r="2569" s="65" customFormat="1"/>
    <row r="2570" s="65" customFormat="1"/>
    <row r="2571" s="65" customFormat="1"/>
    <row r="2572" s="65" customFormat="1"/>
    <row r="2573" s="65" customFormat="1"/>
    <row r="2574" s="65" customFormat="1"/>
    <row r="2575" s="65" customFormat="1"/>
    <row r="2576" s="65" customFormat="1"/>
    <row r="2577" s="65" customFormat="1"/>
    <row r="2578" s="65" customFormat="1"/>
    <row r="2579" s="65" customFormat="1"/>
    <row r="2580" s="65" customFormat="1"/>
    <row r="2581" s="65" customFormat="1"/>
    <row r="2582" s="65" customFormat="1"/>
    <row r="2583" s="65" customFormat="1"/>
    <row r="2584" s="65" customFormat="1"/>
    <row r="2585" s="65" customFormat="1"/>
    <row r="2586" s="65" customFormat="1"/>
    <row r="2587" s="65" customFormat="1"/>
    <row r="2588" s="65" customFormat="1"/>
    <row r="2589" s="65" customFormat="1"/>
    <row r="2590" s="65" customFormat="1"/>
    <row r="2591" s="65" customFormat="1"/>
    <row r="2592" s="65" customFormat="1"/>
    <row r="2593" s="65" customFormat="1"/>
    <row r="2594" s="65" customFormat="1"/>
    <row r="2595" s="65" customFormat="1"/>
    <row r="2596" s="65" customFormat="1"/>
    <row r="2597" s="65" customFormat="1"/>
    <row r="2598" s="65" customFormat="1"/>
    <row r="2599" s="65" customFormat="1"/>
    <row r="2600" s="65" customFormat="1"/>
    <row r="2601" s="65" customFormat="1"/>
    <row r="2602" s="65" customFormat="1"/>
    <row r="2603" s="65" customFormat="1"/>
    <row r="2604" s="65" customFormat="1"/>
    <row r="2605" s="65" customFormat="1"/>
    <row r="2606" s="65" customFormat="1"/>
    <row r="2607" s="65" customFormat="1"/>
    <row r="2608" s="65" customFormat="1"/>
    <row r="2609" s="65" customFormat="1"/>
    <row r="2610" s="65" customFormat="1"/>
    <row r="2611" s="65" customFormat="1"/>
    <row r="2612" s="65" customFormat="1"/>
    <row r="2613" s="65" customFormat="1"/>
    <row r="2614" s="65" customFormat="1"/>
    <row r="2615" s="65" customFormat="1"/>
    <row r="2616" s="65" customFormat="1"/>
    <row r="2617" s="65" customFormat="1"/>
    <row r="2618" s="65" customFormat="1"/>
    <row r="2619" s="65" customFormat="1"/>
    <row r="2620" s="65" customFormat="1"/>
    <row r="2621" s="65" customFormat="1"/>
    <row r="2622" s="65" customFormat="1"/>
    <row r="2623" s="65" customFormat="1"/>
    <row r="2624" s="65" customFormat="1"/>
    <row r="2625" s="65" customFormat="1"/>
    <row r="2626" s="65" customFormat="1"/>
    <row r="2627" s="65" customFormat="1"/>
    <row r="2628" s="65" customFormat="1"/>
    <row r="2629" s="65" customFormat="1"/>
    <row r="2630" s="65" customFormat="1"/>
    <row r="2631" s="65" customFormat="1"/>
    <row r="2632" s="65" customFormat="1"/>
    <row r="2633" s="65" customFormat="1"/>
    <row r="2634" s="65" customFormat="1"/>
    <row r="2635" s="65" customFormat="1"/>
    <row r="2636" s="65" customFormat="1"/>
    <row r="2637" s="65" customFormat="1"/>
    <row r="2638" s="65" customFormat="1"/>
    <row r="2639" s="65" customFormat="1"/>
    <row r="2640" s="65" customFormat="1"/>
    <row r="2641" s="65" customFormat="1"/>
    <row r="2642" s="65" customFormat="1"/>
    <row r="2643" s="65" customFormat="1"/>
    <row r="2644" s="65" customFormat="1"/>
    <row r="2645" s="65" customFormat="1"/>
    <row r="2646" s="65" customFormat="1"/>
    <row r="2647" s="65" customFormat="1"/>
    <row r="2648" s="65" customFormat="1"/>
    <row r="2649" s="65" customFormat="1"/>
    <row r="2650" s="65" customFormat="1"/>
    <row r="2651" s="65" customFormat="1"/>
    <row r="2652" s="65" customFormat="1"/>
    <row r="2653" s="65" customFormat="1"/>
    <row r="2654" s="65" customFormat="1"/>
    <row r="2655" s="65" customFormat="1"/>
    <row r="2656" s="65" customFormat="1"/>
    <row r="2657" s="65" customFormat="1"/>
    <row r="2658" s="65" customFormat="1"/>
    <row r="2659" s="65" customFormat="1"/>
    <row r="2660" s="65" customFormat="1"/>
    <row r="2661" s="65" customFormat="1"/>
    <row r="2662" s="65" customFormat="1"/>
    <row r="2663" s="65" customFormat="1"/>
    <row r="2664" s="65" customFormat="1"/>
    <row r="2665" s="65" customFormat="1"/>
    <row r="2666" s="65" customFormat="1"/>
    <row r="2667" s="65" customFormat="1"/>
    <row r="2668" s="65" customFormat="1"/>
    <row r="2669" s="65" customFormat="1"/>
    <row r="2670" s="65" customFormat="1"/>
    <row r="2671" s="65" customFormat="1"/>
    <row r="2672" s="65" customFormat="1"/>
    <row r="2673" s="65" customFormat="1"/>
    <row r="2674" s="65" customFormat="1"/>
    <row r="2675" s="65" customFormat="1"/>
    <row r="2676" s="65" customFormat="1"/>
    <row r="2677" s="65" customFormat="1"/>
    <row r="2678" s="65" customFormat="1"/>
    <row r="2679" s="65" customFormat="1"/>
    <row r="2680" s="65" customFormat="1"/>
    <row r="2681" s="65" customFormat="1"/>
    <row r="2682" s="65" customFormat="1"/>
    <row r="2683" s="65" customFormat="1"/>
    <row r="2684" s="65" customFormat="1"/>
    <row r="2685" s="65" customFormat="1"/>
    <row r="2686" s="65" customFormat="1"/>
    <row r="2687" s="65" customFormat="1"/>
    <row r="2688" s="65" customFormat="1"/>
    <row r="2689" s="65" customFormat="1"/>
    <row r="2690" s="65" customFormat="1"/>
    <row r="2691" s="65" customFormat="1"/>
    <row r="2692" s="65" customFormat="1"/>
    <row r="2693" s="65" customFormat="1"/>
    <row r="2694" s="65" customFormat="1"/>
    <row r="2695" s="65" customFormat="1"/>
    <row r="2696" s="65" customFormat="1"/>
    <row r="2697" s="65" customFormat="1"/>
    <row r="2698" s="65" customFormat="1"/>
    <row r="2699" s="65" customFormat="1"/>
    <row r="2700" s="65" customFormat="1"/>
    <row r="2701" s="65" customFormat="1"/>
    <row r="2702" s="65" customFormat="1"/>
    <row r="2703" s="65" customFormat="1"/>
    <row r="2704" s="65" customFormat="1"/>
    <row r="2705" s="65" customFormat="1"/>
    <row r="2706" s="65" customFormat="1"/>
    <row r="2707" s="65" customFormat="1"/>
    <row r="2708" s="65" customFormat="1"/>
    <row r="2709" s="65" customFormat="1"/>
    <row r="2710" s="65" customFormat="1"/>
    <row r="2711" s="65" customFormat="1"/>
    <row r="2712" s="65" customFormat="1"/>
    <row r="2713" s="65" customFormat="1"/>
    <row r="2714" s="65" customFormat="1"/>
    <row r="2715" s="65" customFormat="1"/>
    <row r="2716" s="65" customFormat="1"/>
    <row r="2717" s="65" customFormat="1"/>
    <row r="2718" s="65" customFormat="1"/>
    <row r="2719" s="65" customFormat="1"/>
    <row r="2720" s="65" customFormat="1"/>
    <row r="2721" s="65" customFormat="1"/>
    <row r="2722" s="65" customFormat="1"/>
    <row r="2723" s="65" customFormat="1"/>
    <row r="2724" s="65" customFormat="1"/>
    <row r="2725" s="65" customFormat="1"/>
    <row r="2726" s="65" customFormat="1"/>
    <row r="2727" s="65" customFormat="1"/>
    <row r="2728" s="65" customFormat="1"/>
    <row r="2729" s="65" customFormat="1"/>
    <row r="2730" s="65" customFormat="1"/>
    <row r="2731" s="65" customFormat="1"/>
    <row r="2732" s="65" customFormat="1"/>
    <row r="2733" s="65" customFormat="1"/>
    <row r="2734" s="65" customFormat="1"/>
    <row r="2735" s="65" customFormat="1"/>
    <row r="2736" s="65" customFormat="1"/>
    <row r="2737" s="65" customFormat="1"/>
    <row r="2738" s="65" customFormat="1"/>
    <row r="2739" s="65" customFormat="1"/>
    <row r="2740" s="65" customFormat="1"/>
    <row r="2741" s="65" customFormat="1"/>
    <row r="2742" s="65" customFormat="1"/>
    <row r="2743" s="65" customFormat="1"/>
    <row r="2744" s="65" customFormat="1"/>
    <row r="2745" s="65" customFormat="1"/>
    <row r="2746" s="65" customFormat="1"/>
    <row r="2747" s="65" customFormat="1"/>
    <row r="2748" s="65" customFormat="1"/>
    <row r="2749" s="65" customFormat="1"/>
    <row r="2750" s="65" customFormat="1"/>
    <row r="2751" s="65" customFormat="1"/>
    <row r="2752" s="65" customFormat="1"/>
    <row r="2753" s="65" customFormat="1"/>
    <row r="2754" s="65" customFormat="1"/>
    <row r="2755" s="65" customFormat="1"/>
    <row r="2756" s="65" customFormat="1"/>
    <row r="2757" s="65" customFormat="1"/>
    <row r="2758" s="65" customFormat="1"/>
    <row r="2759" s="65" customFormat="1"/>
    <row r="2760" s="65" customFormat="1"/>
    <row r="2761" s="65" customFormat="1"/>
    <row r="2762" s="65" customFormat="1"/>
    <row r="2763" s="65" customFormat="1"/>
    <row r="2764" s="65" customFormat="1"/>
    <row r="2765" s="65" customFormat="1"/>
    <row r="2766" s="65" customFormat="1"/>
    <row r="2767" s="65" customFormat="1"/>
    <row r="2768" s="65" customFormat="1"/>
    <row r="2769" s="65" customFormat="1"/>
    <row r="2770" s="65" customFormat="1"/>
    <row r="2771" s="65" customFormat="1"/>
    <row r="2772" s="65" customFormat="1"/>
    <row r="2773" s="65" customFormat="1"/>
    <row r="2774" s="65" customFormat="1"/>
    <row r="2775" s="65" customFormat="1"/>
    <row r="2776" s="65" customFormat="1"/>
    <row r="2777" s="65" customFormat="1"/>
    <row r="2778" s="65" customFormat="1"/>
    <row r="2779" s="65" customFormat="1"/>
    <row r="2780" s="65" customFormat="1"/>
    <row r="2781" s="65" customFormat="1"/>
    <row r="2782" s="65" customFormat="1"/>
    <row r="2783" s="65" customFormat="1"/>
    <row r="2784" s="65" customFormat="1"/>
    <row r="2785" s="65" customFormat="1"/>
    <row r="2786" s="65" customFormat="1"/>
    <row r="2787" s="65" customFormat="1"/>
    <row r="2788" s="65" customFormat="1"/>
    <row r="2789" s="65" customFormat="1"/>
    <row r="2790" s="65" customFormat="1"/>
    <row r="2791" s="65" customFormat="1"/>
    <row r="2792" s="65" customFormat="1"/>
    <row r="2793" s="65" customFormat="1"/>
    <row r="2794" s="65" customFormat="1"/>
    <row r="2795" s="65" customFormat="1"/>
    <row r="2796" s="65" customFormat="1"/>
    <row r="2797" s="65" customFormat="1"/>
    <row r="2798" s="65" customFormat="1"/>
    <row r="2799" s="65" customFormat="1"/>
    <row r="2800" s="65" customFormat="1"/>
    <row r="2801" s="65" customFormat="1"/>
    <row r="2802" s="65" customFormat="1"/>
    <row r="2803" s="65" customFormat="1"/>
    <row r="2804" s="65" customFormat="1"/>
    <row r="2805" s="65" customFormat="1"/>
    <row r="2806" s="65" customFormat="1"/>
    <row r="2807" s="65" customFormat="1"/>
    <row r="2808" s="65" customFormat="1"/>
    <row r="2809" s="65" customFormat="1"/>
    <row r="2810" s="65" customFormat="1"/>
    <row r="2811" s="65" customFormat="1"/>
    <row r="2812" s="65" customFormat="1"/>
    <row r="2813" s="65" customFormat="1"/>
    <row r="2814" s="65" customFormat="1"/>
    <row r="2815" s="65" customFormat="1"/>
    <row r="2816" s="65" customFormat="1"/>
    <row r="2817" s="65" customFormat="1"/>
    <row r="2818" s="65" customFormat="1"/>
    <row r="2819" s="65" customFormat="1"/>
    <row r="2820" s="65" customFormat="1"/>
    <row r="2821" s="65" customFormat="1"/>
    <row r="2822" s="65" customFormat="1"/>
    <row r="2823" s="65" customFormat="1"/>
    <row r="2824" s="65" customFormat="1"/>
    <row r="2825" s="65" customFormat="1"/>
    <row r="2826" s="65" customFormat="1"/>
    <row r="2827" s="65" customFormat="1"/>
    <row r="2828" s="65" customFormat="1"/>
    <row r="2829" s="65" customFormat="1"/>
    <row r="2830" s="65" customFormat="1"/>
    <row r="2831" s="65" customFormat="1"/>
    <row r="2832" s="65" customFormat="1"/>
    <row r="2833" s="65" customFormat="1"/>
    <row r="2834" s="65" customFormat="1"/>
    <row r="2835" s="65" customFormat="1"/>
    <row r="2836" s="65" customFormat="1"/>
    <row r="2837" s="65" customFormat="1"/>
    <row r="2838" s="65" customFormat="1"/>
    <row r="2839" s="65" customFormat="1"/>
    <row r="2840" s="65" customFormat="1"/>
    <row r="2841" s="65" customFormat="1"/>
    <row r="2842" s="65" customFormat="1"/>
    <row r="2843" s="65" customFormat="1"/>
    <row r="2844" s="65" customFormat="1"/>
    <row r="2845" s="65" customFormat="1"/>
    <row r="2846" s="65" customFormat="1"/>
    <row r="2847" s="65" customFormat="1"/>
    <row r="2848" s="65" customFormat="1"/>
    <row r="2849" s="65" customFormat="1"/>
    <row r="2850" s="65" customFormat="1"/>
    <row r="2851" s="65" customFormat="1"/>
    <row r="2852" s="65" customFormat="1"/>
    <row r="2853" s="65" customFormat="1"/>
    <row r="2854" s="65" customFormat="1"/>
    <row r="2855" s="65" customFormat="1"/>
    <row r="2856" s="65" customFormat="1"/>
    <row r="2857" s="65" customFormat="1"/>
    <row r="2858" s="65" customFormat="1"/>
    <row r="2859" s="65" customFormat="1"/>
    <row r="2860" s="65" customFormat="1"/>
    <row r="2861" s="65" customFormat="1"/>
    <row r="2862" s="65" customFormat="1"/>
    <row r="2863" s="65" customFormat="1"/>
    <row r="2864" s="65" customFormat="1"/>
    <row r="2865" s="65" customFormat="1"/>
    <row r="2866" s="65" customFormat="1"/>
    <row r="2867" s="65" customFormat="1"/>
    <row r="2868" s="65" customFormat="1"/>
    <row r="2869" s="65" customFormat="1"/>
    <row r="2870" s="65" customFormat="1"/>
    <row r="2871" s="65" customFormat="1"/>
    <row r="2872" s="65" customFormat="1"/>
    <row r="2873" s="65" customFormat="1"/>
    <row r="2874" s="65" customFormat="1"/>
    <row r="2875" s="65" customFormat="1"/>
    <row r="2876" s="65" customFormat="1"/>
    <row r="2877" s="65" customFormat="1"/>
    <row r="2878" s="65" customFormat="1"/>
    <row r="2879" s="65" customFormat="1"/>
    <row r="2880" s="65" customFormat="1"/>
    <row r="2881" s="65" customFormat="1"/>
    <row r="2882" s="65" customFormat="1"/>
    <row r="2883" s="65" customFormat="1"/>
    <row r="2884" s="65" customFormat="1"/>
    <row r="2885" s="65" customFormat="1"/>
    <row r="2886" s="65" customFormat="1"/>
    <row r="2887" s="65" customFormat="1"/>
    <row r="2888" s="65" customFormat="1"/>
    <row r="2889" s="65" customFormat="1"/>
    <row r="2890" s="65" customFormat="1"/>
    <row r="2891" s="65" customFormat="1"/>
    <row r="2892" s="65" customFormat="1"/>
    <row r="2893" s="65" customFormat="1"/>
    <row r="2894" s="65" customFormat="1"/>
    <row r="2895" s="65" customFormat="1"/>
    <row r="2896" s="65" customFormat="1"/>
    <row r="2897" s="65" customFormat="1"/>
    <row r="2898" s="65" customFormat="1"/>
    <row r="2899" s="65" customFormat="1"/>
    <row r="2900" s="65" customFormat="1"/>
    <row r="2901" s="65" customFormat="1"/>
    <row r="2902" s="65" customFormat="1"/>
    <row r="2903" s="65" customFormat="1"/>
    <row r="2904" s="65" customFormat="1"/>
    <row r="2905" s="65" customFormat="1"/>
    <row r="2906" s="65" customFormat="1"/>
    <row r="2907" s="65" customFormat="1"/>
    <row r="2908" s="65" customFormat="1"/>
    <row r="2909" s="65" customFormat="1"/>
    <row r="2910" s="65" customFormat="1"/>
    <row r="2911" s="65" customFormat="1"/>
    <row r="2912" s="65" customFormat="1"/>
    <row r="2913" s="65" customFormat="1"/>
    <row r="2914" s="65" customFormat="1"/>
    <row r="2915" s="65" customFormat="1"/>
    <row r="2916" s="65" customFormat="1"/>
    <row r="2917" s="65" customFormat="1"/>
    <row r="2918" s="65" customFormat="1"/>
    <row r="2919" s="65" customFormat="1"/>
    <row r="2920" s="65" customFormat="1"/>
    <row r="2921" s="65" customFormat="1"/>
    <row r="2922" s="65" customFormat="1"/>
    <row r="2923" s="65" customFormat="1"/>
    <row r="2924" s="65" customFormat="1"/>
    <row r="2925" s="65" customFormat="1"/>
    <row r="2926" s="65" customFormat="1"/>
    <row r="2927" s="65" customFormat="1"/>
    <row r="2928" s="65" customFormat="1"/>
    <row r="2929" s="65" customFormat="1"/>
    <row r="2930" s="65" customFormat="1"/>
    <row r="2931" s="65" customFormat="1"/>
    <row r="2932" s="65" customFormat="1"/>
    <row r="2933" s="65" customFormat="1"/>
    <row r="2934" s="65" customFormat="1"/>
    <row r="2935" s="65" customFormat="1"/>
    <row r="2936" s="65" customFormat="1"/>
    <row r="2937" s="65" customFormat="1"/>
    <row r="2938" s="65" customFormat="1"/>
    <row r="2939" s="65" customFormat="1"/>
    <row r="2940" s="65" customFormat="1"/>
    <row r="2941" s="65" customFormat="1"/>
    <row r="2942" s="65" customFormat="1"/>
    <row r="2943" s="65" customFormat="1"/>
    <row r="2944" s="65" customFormat="1"/>
    <row r="2945" s="65" customFormat="1"/>
    <row r="2946" s="65" customFormat="1"/>
    <row r="2947" s="65" customFormat="1"/>
    <row r="2948" s="65" customFormat="1"/>
    <row r="2949" s="65" customFormat="1"/>
    <row r="2950" s="65" customFormat="1"/>
    <row r="2951" s="65" customFormat="1"/>
    <row r="2952" s="65" customFormat="1"/>
    <row r="2953" s="65" customFormat="1"/>
    <row r="2954" s="65" customFormat="1"/>
    <row r="2955" s="65" customFormat="1"/>
    <row r="2956" s="65" customFormat="1"/>
    <row r="2957" s="65" customFormat="1"/>
    <row r="2958" s="65" customFormat="1"/>
    <row r="2959" s="65" customFormat="1"/>
    <row r="2960" s="65" customFormat="1"/>
    <row r="2961" s="65" customFormat="1"/>
    <row r="2962" s="65" customFormat="1"/>
    <row r="2963" s="65" customFormat="1"/>
    <row r="2964" s="65" customFormat="1"/>
    <row r="2965" s="65" customFormat="1"/>
    <row r="2966" s="65" customFormat="1"/>
    <row r="2967" s="65" customFormat="1"/>
    <row r="2968" s="65" customFormat="1"/>
    <row r="2969" s="65" customFormat="1"/>
    <row r="2970" s="65" customFormat="1"/>
    <row r="2971" s="65" customFormat="1"/>
    <row r="2972" s="65" customFormat="1"/>
    <row r="2973" s="65" customFormat="1"/>
    <row r="2974" s="65" customFormat="1"/>
    <row r="2975" s="65" customFormat="1"/>
    <row r="2976" s="65" customFormat="1"/>
    <row r="2977" s="65" customFormat="1"/>
    <row r="2978" s="65" customFormat="1"/>
    <row r="2979" s="65" customFormat="1"/>
    <row r="2980" s="65" customFormat="1"/>
    <row r="2981" s="65" customFormat="1"/>
    <row r="2982" s="65" customFormat="1"/>
    <row r="2983" s="65" customFormat="1"/>
    <row r="2984" s="65" customFormat="1"/>
    <row r="2985" s="65" customFormat="1"/>
    <row r="2986" s="65" customFormat="1"/>
    <row r="2987" s="65" customFormat="1"/>
    <row r="2988" s="65" customFormat="1"/>
    <row r="2989" s="65" customFormat="1"/>
    <row r="2990" s="65" customFormat="1"/>
    <row r="2991" s="65" customFormat="1"/>
    <row r="2992" s="65" customFormat="1"/>
    <row r="2993" s="65" customFormat="1"/>
    <row r="2994" s="65" customFormat="1"/>
    <row r="2995" s="65" customFormat="1"/>
    <row r="2996" s="65" customFormat="1"/>
    <row r="2997" s="65" customFormat="1"/>
    <row r="2998" s="65" customFormat="1"/>
    <row r="2999" s="65" customFormat="1"/>
    <row r="3000" s="65" customFormat="1"/>
    <row r="3001" s="65" customFormat="1"/>
    <row r="3002" s="65" customFormat="1"/>
    <row r="3003" s="65" customFormat="1"/>
    <row r="3004" s="65" customFormat="1"/>
    <row r="3005" s="65" customFormat="1"/>
    <row r="3006" s="65" customFormat="1"/>
    <row r="3007" s="65" customFormat="1"/>
    <row r="3008" s="65" customFormat="1"/>
    <row r="3009" s="65" customFormat="1"/>
    <row r="3010" s="65" customFormat="1"/>
    <row r="3011" s="65" customFormat="1"/>
    <row r="3012" s="65" customFormat="1"/>
    <row r="3013" s="65" customFormat="1"/>
    <row r="3014" s="65" customFormat="1"/>
    <row r="3015" s="65" customFormat="1"/>
    <row r="3016" s="65" customFormat="1"/>
    <row r="3017" s="65" customFormat="1"/>
    <row r="3018" s="65" customFormat="1"/>
    <row r="3019" s="65" customFormat="1"/>
    <row r="3020" s="65" customFormat="1"/>
    <row r="3021" s="65" customFormat="1"/>
    <row r="3022" s="65" customFormat="1"/>
    <row r="3023" s="65" customFormat="1"/>
    <row r="3024" s="65" customFormat="1"/>
    <row r="3025" s="65" customFormat="1"/>
    <row r="3026" s="65" customFormat="1"/>
    <row r="3027" s="65" customFormat="1"/>
    <row r="3028" s="65" customFormat="1"/>
    <row r="3029" s="65" customFormat="1"/>
    <row r="3030" s="65" customFormat="1"/>
    <row r="3031" s="65" customFormat="1"/>
    <row r="3032" s="65" customFormat="1"/>
    <row r="3033" s="65" customFormat="1"/>
    <row r="3034" s="65" customFormat="1"/>
    <row r="3035" s="65" customFormat="1"/>
    <row r="3036" s="65" customFormat="1"/>
    <row r="3037" s="65" customFormat="1"/>
    <row r="3038" s="65" customFormat="1"/>
    <row r="3039" s="65" customFormat="1"/>
    <row r="3040" s="65" customFormat="1"/>
    <row r="3041" s="65" customFormat="1"/>
    <row r="3042" s="65" customFormat="1"/>
    <row r="3043" s="65" customFormat="1"/>
    <row r="3044" s="65" customFormat="1"/>
    <row r="3045" s="65" customFormat="1"/>
    <row r="3046" s="65" customFormat="1"/>
    <row r="3047" s="65" customFormat="1"/>
    <row r="3048" s="65" customFormat="1"/>
    <row r="3049" s="65" customFormat="1"/>
    <row r="3050" s="65" customFormat="1"/>
    <row r="3051" s="65" customFormat="1"/>
    <row r="3052" s="65" customFormat="1"/>
    <row r="3053" s="65" customFormat="1"/>
    <row r="3054" s="65" customFormat="1"/>
    <row r="3055" s="65" customFormat="1"/>
    <row r="3056" s="65" customFormat="1"/>
    <row r="3057" s="65" customFormat="1"/>
    <row r="3058" s="65" customFormat="1"/>
    <row r="3059" s="65" customFormat="1"/>
    <row r="3060" s="65" customFormat="1"/>
    <row r="3061" s="65" customFormat="1"/>
    <row r="3062" s="65" customFormat="1"/>
    <row r="3063" s="65" customFormat="1"/>
    <row r="3064" s="65" customFormat="1"/>
    <row r="3065" s="65" customFormat="1"/>
    <row r="3066" s="65" customFormat="1"/>
    <row r="3067" s="65" customFormat="1"/>
    <row r="3068" s="65" customFormat="1"/>
    <row r="3069" s="65" customFormat="1"/>
    <row r="3070" s="65" customFormat="1"/>
    <row r="3071" s="65" customFormat="1"/>
    <row r="3072" s="65" customFormat="1"/>
    <row r="3073" s="65" customFormat="1"/>
    <row r="3074" s="65" customFormat="1"/>
    <row r="3075" s="65" customFormat="1"/>
    <row r="3076" s="65" customFormat="1"/>
    <row r="3077" s="65" customFormat="1"/>
    <row r="3078" s="65" customFormat="1"/>
    <row r="3079" s="65" customFormat="1"/>
    <row r="3080" s="65" customFormat="1"/>
    <row r="3081" s="65" customFormat="1"/>
    <row r="3082" s="65" customFormat="1"/>
    <row r="3083" s="65" customFormat="1"/>
    <row r="3084" s="65" customFormat="1"/>
    <row r="3085" s="65" customFormat="1"/>
    <row r="3086" s="65" customFormat="1"/>
    <row r="3087" s="65" customFormat="1"/>
    <row r="3088" s="65" customFormat="1"/>
    <row r="3089" s="65" customFormat="1"/>
    <row r="3090" s="65" customFormat="1"/>
    <row r="3091" s="65" customFormat="1"/>
    <row r="3092" s="65" customFormat="1"/>
    <row r="3093" s="65" customFormat="1"/>
    <row r="3094" s="65" customFormat="1"/>
    <row r="3095" s="65" customFormat="1"/>
    <row r="3096" s="65" customFormat="1"/>
    <row r="3097" s="65" customFormat="1"/>
    <row r="3098" s="65" customFormat="1"/>
    <row r="3099" s="65" customFormat="1"/>
    <row r="3100" s="65" customFormat="1"/>
    <row r="3101" s="65" customFormat="1"/>
    <row r="3102" s="65" customFormat="1"/>
    <row r="3103" s="65" customFormat="1"/>
    <row r="3104" s="65" customFormat="1"/>
    <row r="3105" s="65" customFormat="1"/>
    <row r="3106" s="65" customFormat="1"/>
    <row r="3107" s="65" customFormat="1"/>
    <row r="3108" s="65" customFormat="1"/>
    <row r="3109" s="65" customFormat="1"/>
    <row r="3110" s="65" customFormat="1"/>
    <row r="3111" s="65" customFormat="1"/>
    <row r="3112" s="65" customFormat="1"/>
    <row r="3113" s="65" customFormat="1"/>
    <row r="3114" s="65" customFormat="1"/>
    <row r="3115" s="65" customFormat="1"/>
    <row r="3116" s="65" customFormat="1"/>
    <row r="3117" s="65" customFormat="1"/>
    <row r="3118" s="65" customFormat="1"/>
    <row r="3119" s="65" customFormat="1"/>
    <row r="3120" s="65" customFormat="1"/>
    <row r="3121" s="65" customFormat="1"/>
    <row r="3122" s="65" customFormat="1"/>
    <row r="3123" s="65" customFormat="1"/>
    <row r="3124" s="65" customFormat="1"/>
    <row r="3125" s="65" customFormat="1"/>
    <row r="3126" s="65" customFormat="1"/>
    <row r="3127" s="65" customFormat="1"/>
    <row r="3128" s="65" customFormat="1"/>
    <row r="3129" s="65" customFormat="1"/>
    <row r="3130" s="65" customFormat="1"/>
    <row r="3131" s="65" customFormat="1"/>
    <row r="3132" s="65" customFormat="1"/>
    <row r="3133" s="65" customFormat="1"/>
    <row r="3134" s="65" customFormat="1"/>
    <row r="3135" s="65" customFormat="1"/>
    <row r="3136" s="65" customFormat="1"/>
    <row r="3137" s="65" customFormat="1"/>
    <row r="3138" s="65" customFormat="1"/>
    <row r="3139" s="65" customFormat="1"/>
    <row r="3140" s="65" customFormat="1"/>
    <row r="3141" s="65" customFormat="1"/>
    <row r="3142" s="65" customFormat="1"/>
    <row r="3143" s="65" customFormat="1"/>
    <row r="3144" s="65" customFormat="1"/>
    <row r="3145" s="65" customFormat="1"/>
    <row r="3146" s="65" customFormat="1"/>
    <row r="3147" s="65" customFormat="1"/>
    <row r="3148" s="65" customFormat="1"/>
    <row r="3149" s="65" customFormat="1"/>
    <row r="3150" s="65" customFormat="1"/>
    <row r="3151" s="65" customFormat="1"/>
    <row r="3152" s="65" customFormat="1"/>
    <row r="3153" s="65" customFormat="1"/>
    <row r="3154" s="65" customFormat="1"/>
    <row r="3155" s="65" customFormat="1"/>
    <row r="3156" s="65" customFormat="1"/>
    <row r="3157" s="65" customFormat="1"/>
    <row r="3158" s="65" customFormat="1"/>
    <row r="3159" s="65" customFormat="1"/>
    <row r="3160" s="65" customFormat="1"/>
    <row r="3161" s="65" customFormat="1"/>
    <row r="3162" s="65" customFormat="1"/>
    <row r="3163" s="65" customFormat="1"/>
    <row r="3164" s="65" customFormat="1"/>
    <row r="3165" s="65" customFormat="1"/>
    <row r="3166" s="65" customFormat="1"/>
    <row r="3167" s="65" customFormat="1"/>
    <row r="3168" s="65" customFormat="1"/>
    <row r="3169" s="65" customFormat="1"/>
    <row r="3170" s="65" customFormat="1"/>
    <row r="3171" s="65" customFormat="1"/>
    <row r="3172" s="65" customFormat="1"/>
    <row r="3173" s="65" customFormat="1"/>
    <row r="3174" s="65" customFormat="1"/>
    <row r="3175" s="65" customFormat="1"/>
    <row r="3176" s="65" customFormat="1"/>
    <row r="3177" s="65" customFormat="1"/>
    <row r="3178" s="65" customFormat="1"/>
    <row r="3179" s="65" customFormat="1"/>
    <row r="3180" s="65" customFormat="1"/>
    <row r="3181" s="65" customFormat="1"/>
    <row r="3182" s="65" customFormat="1"/>
    <row r="3183" s="65" customFormat="1"/>
    <row r="3184" s="65" customFormat="1"/>
    <row r="3185" s="65" customFormat="1"/>
    <row r="3186" s="65" customFormat="1"/>
    <row r="3187" s="65" customFormat="1"/>
    <row r="3188" s="65" customFormat="1"/>
    <row r="3189" s="65" customFormat="1"/>
    <row r="3190" s="65" customFormat="1"/>
    <row r="3191" s="65" customFormat="1"/>
    <row r="3192" s="65" customFormat="1"/>
    <row r="3193" s="65" customFormat="1"/>
    <row r="3194" s="65" customFormat="1"/>
    <row r="3195" s="65" customFormat="1"/>
    <row r="3196" s="65" customFormat="1"/>
    <row r="3197" s="65" customFormat="1"/>
    <row r="3198" s="65" customFormat="1"/>
    <row r="3199" s="65" customFormat="1"/>
    <row r="3200" s="65" customFormat="1"/>
    <row r="3201" s="65" customFormat="1"/>
    <row r="3202" s="65" customFormat="1"/>
    <row r="3203" s="65" customFormat="1"/>
    <row r="3204" s="65" customFormat="1"/>
    <row r="3205" s="65" customFormat="1"/>
    <row r="3206" s="65" customFormat="1"/>
    <row r="3207" s="65" customFormat="1"/>
    <row r="3208" s="65" customFormat="1"/>
    <row r="3209" s="65" customFormat="1"/>
    <row r="3210" s="65" customFormat="1"/>
    <row r="3211" s="65" customFormat="1"/>
    <row r="3212" s="65" customFormat="1"/>
    <row r="3213" s="65" customFormat="1"/>
    <row r="3214" s="65" customFormat="1"/>
    <row r="3215" s="65" customFormat="1"/>
    <row r="3216" s="65" customFormat="1"/>
    <row r="3217" s="65" customFormat="1"/>
    <row r="3218" s="65" customFormat="1"/>
    <row r="3219" s="65" customFormat="1"/>
    <row r="3220" s="65" customFormat="1"/>
    <row r="3221" s="65" customFormat="1"/>
    <row r="3222" s="65" customFormat="1"/>
    <row r="3223" s="65" customFormat="1"/>
    <row r="3224" s="65" customFormat="1"/>
    <row r="3225" s="65" customFormat="1"/>
    <row r="3226" s="65" customFormat="1"/>
    <row r="3227" s="65" customFormat="1"/>
    <row r="3228" s="65" customFormat="1"/>
    <row r="3229" s="65" customFormat="1"/>
    <row r="3230" s="65" customFormat="1"/>
    <row r="3231" s="65" customFormat="1"/>
    <row r="3232" s="65" customFormat="1"/>
    <row r="3233" s="65" customFormat="1"/>
    <row r="3234" s="65" customFormat="1"/>
    <row r="3235" s="65" customFormat="1"/>
    <row r="3236" s="65" customFormat="1"/>
    <row r="3237" s="65" customFormat="1"/>
    <row r="3238" s="65" customFormat="1"/>
    <row r="3239" s="65" customFormat="1"/>
    <row r="3240" s="65" customFormat="1"/>
    <row r="3241" s="65" customFormat="1"/>
    <row r="3242" s="65" customFormat="1"/>
    <row r="3243" s="65" customFormat="1"/>
    <row r="3244" s="65" customFormat="1"/>
    <row r="3245" s="65" customFormat="1"/>
    <row r="3246" s="65" customFormat="1"/>
    <row r="3247" s="65" customFormat="1"/>
    <row r="3248" s="65" customFormat="1"/>
    <row r="3249" s="65" customFormat="1"/>
    <row r="3250" s="65" customFormat="1"/>
    <row r="3251" s="65" customFormat="1"/>
    <row r="3252" s="65" customFormat="1"/>
    <row r="3253" s="65" customFormat="1"/>
    <row r="3254" s="65" customFormat="1"/>
    <row r="3255" s="65" customFormat="1"/>
    <row r="3256" s="65" customFormat="1"/>
    <row r="3257" s="65" customFormat="1"/>
    <row r="3258" s="65" customFormat="1"/>
    <row r="3259" s="65" customFormat="1"/>
    <row r="3260" s="65" customFormat="1"/>
    <row r="3261" s="65" customFormat="1"/>
    <row r="3262" s="65" customFormat="1"/>
    <row r="3263" s="65" customFormat="1"/>
    <row r="3264" s="65" customFormat="1"/>
    <row r="3265" s="65" customFormat="1"/>
    <row r="3266" s="65" customFormat="1"/>
    <row r="3267" s="65" customFormat="1"/>
    <row r="3268" s="65" customFormat="1"/>
    <row r="3269" s="65" customFormat="1"/>
    <row r="3270" s="65" customFormat="1"/>
    <row r="3271" s="65" customFormat="1"/>
    <row r="3272" s="65" customFormat="1"/>
    <row r="3273" s="65" customFormat="1"/>
    <row r="3274" s="65" customFormat="1"/>
    <row r="3275" s="65" customFormat="1"/>
    <row r="3276" s="65" customFormat="1"/>
    <row r="3277" s="65" customFormat="1"/>
    <row r="3278" s="65" customFormat="1"/>
    <row r="3279" s="65" customFormat="1"/>
    <row r="3280" s="65" customFormat="1"/>
    <row r="3281" s="65" customFormat="1"/>
    <row r="3282" s="65" customFormat="1"/>
    <row r="3283" s="65" customFormat="1"/>
    <row r="3284" s="65" customFormat="1"/>
    <row r="3285" s="65" customFormat="1"/>
    <row r="3286" s="65" customFormat="1"/>
    <row r="3287" s="65" customFormat="1"/>
    <row r="3288" s="65" customFormat="1"/>
    <row r="3289" s="65" customFormat="1"/>
    <row r="3290" s="65" customFormat="1"/>
    <row r="3291" s="65" customFormat="1"/>
    <row r="3292" s="65" customFormat="1"/>
    <row r="3293" s="65" customFormat="1"/>
    <row r="3294" s="65" customFormat="1"/>
    <row r="3295" s="65" customFormat="1"/>
    <row r="3296" s="65" customFormat="1"/>
    <row r="3297" s="65" customFormat="1"/>
    <row r="3298" s="65" customFormat="1"/>
    <row r="3299" s="65" customFormat="1"/>
    <row r="3300" s="65" customFormat="1"/>
    <row r="3301" s="65" customFormat="1"/>
    <row r="3302" s="65" customFormat="1"/>
    <row r="3303" s="65" customFormat="1"/>
    <row r="3304" s="65" customFormat="1"/>
    <row r="3305" s="65" customFormat="1"/>
    <row r="3306" s="65" customFormat="1"/>
    <row r="3307" s="65" customFormat="1"/>
    <row r="3308" s="65" customFormat="1"/>
    <row r="3309" s="65" customFormat="1"/>
    <row r="3310" s="65" customFormat="1"/>
    <row r="3311" s="65" customFormat="1"/>
    <row r="3312" s="65" customFormat="1"/>
    <row r="3313" s="65" customFormat="1"/>
    <row r="3314" s="65" customFormat="1"/>
    <row r="3315" s="65" customFormat="1"/>
    <row r="3316" s="65" customFormat="1"/>
    <row r="3317" s="65" customFormat="1"/>
    <row r="3318" s="65" customFormat="1"/>
    <row r="3319" s="65" customFormat="1"/>
    <row r="3320" s="65" customFormat="1"/>
    <row r="3321" s="65" customFormat="1"/>
    <row r="3322" s="65" customFormat="1"/>
    <row r="3323" s="65" customFormat="1"/>
    <row r="3324" s="65" customFormat="1"/>
    <row r="3325" s="65" customFormat="1"/>
    <row r="3326" s="65" customFormat="1"/>
    <row r="3327" s="65" customFormat="1"/>
    <row r="3328" s="65" customFormat="1"/>
    <row r="3329" s="65" customFormat="1"/>
    <row r="3330" s="65" customFormat="1"/>
    <row r="3331" s="65" customFormat="1"/>
    <row r="3332" s="65" customFormat="1"/>
    <row r="3333" s="65" customFormat="1"/>
    <row r="3334" s="65" customFormat="1"/>
    <row r="3335" s="65" customFormat="1"/>
    <row r="3336" s="65" customFormat="1"/>
    <row r="3337" s="65" customFormat="1"/>
    <row r="3338" s="65" customFormat="1"/>
    <row r="3339" s="65" customFormat="1"/>
    <row r="3340" s="65" customFormat="1"/>
    <row r="3341" s="65" customFormat="1"/>
    <row r="3342" s="65" customFormat="1"/>
    <row r="3343" s="65" customFormat="1"/>
    <row r="3344" s="65" customFormat="1"/>
    <row r="3345" s="65" customFormat="1"/>
    <row r="3346" s="65" customFormat="1"/>
    <row r="3347" s="65" customFormat="1"/>
    <row r="3348" s="65" customFormat="1"/>
    <row r="3349" s="65" customFormat="1"/>
    <row r="3350" s="65" customFormat="1"/>
    <row r="3351" s="65" customFormat="1"/>
    <row r="3352" s="65" customFormat="1"/>
    <row r="3353" s="65" customFormat="1"/>
    <row r="3354" s="65" customFormat="1"/>
    <row r="3355" s="65" customFormat="1"/>
    <row r="3356" s="65" customFormat="1"/>
    <row r="3357" s="65" customFormat="1"/>
    <row r="3358" s="65" customFormat="1"/>
    <row r="3359" s="65" customFormat="1"/>
    <row r="3360" s="65" customFormat="1"/>
    <row r="3361" s="65" customFormat="1"/>
    <row r="3362" s="65" customFormat="1"/>
    <row r="3363" s="65" customFormat="1"/>
    <row r="3364" s="65" customFormat="1"/>
    <row r="3365" s="65" customFormat="1"/>
    <row r="3366" s="65" customFormat="1"/>
    <row r="3367" s="65" customFormat="1"/>
    <row r="3368" s="65" customFormat="1"/>
    <row r="3369" s="65" customFormat="1"/>
    <row r="3370" s="65" customFormat="1"/>
    <row r="3371" s="65" customFormat="1"/>
    <row r="3372" s="65" customFormat="1"/>
    <row r="3373" s="65" customFormat="1"/>
    <row r="3374" s="65" customFormat="1"/>
    <row r="3375" s="65" customFormat="1"/>
    <row r="3376" s="65" customFormat="1"/>
    <row r="3377" s="65" customFormat="1"/>
    <row r="3378" s="65" customFormat="1"/>
    <row r="3379" s="65" customFormat="1"/>
    <row r="3380" s="65" customFormat="1"/>
    <row r="3381" s="65" customFormat="1"/>
    <row r="3382" s="65" customFormat="1"/>
    <row r="3383" s="65" customFormat="1"/>
    <row r="3384" s="65" customFormat="1"/>
    <row r="3385" s="65" customFormat="1"/>
    <row r="3386" s="65" customFormat="1"/>
    <row r="3387" s="65" customFormat="1"/>
    <row r="3388" s="65" customFormat="1"/>
    <row r="3389" s="65" customFormat="1"/>
    <row r="3390" s="65" customFormat="1"/>
    <row r="3391" s="65" customFormat="1"/>
    <row r="3392" s="65" customFormat="1"/>
    <row r="3393" s="65" customFormat="1"/>
    <row r="3394" s="65" customFormat="1"/>
    <row r="3395" s="65" customFormat="1"/>
    <row r="3396" s="65" customFormat="1"/>
    <row r="3397" s="65" customFormat="1"/>
    <row r="3398" s="65" customFormat="1"/>
    <row r="3399" s="65" customFormat="1"/>
    <row r="3400" s="65" customFormat="1"/>
    <row r="3401" s="65" customFormat="1"/>
    <row r="3402" s="65" customFormat="1"/>
    <row r="3403" s="65" customFormat="1"/>
    <row r="3404" s="65" customFormat="1"/>
    <row r="3405" s="65" customFormat="1"/>
    <row r="3406" s="65" customFormat="1"/>
    <row r="3407" s="65" customFormat="1"/>
    <row r="3408" s="65" customFormat="1"/>
    <row r="3409" s="65" customFormat="1"/>
    <row r="3410" s="65" customFormat="1"/>
    <row r="3411" s="65" customFormat="1"/>
    <row r="3412" s="65" customFormat="1"/>
    <row r="3413" s="65" customFormat="1"/>
    <row r="3414" s="65" customFormat="1"/>
    <row r="3415" s="65" customFormat="1"/>
    <row r="3416" s="65" customFormat="1"/>
    <row r="3417" s="65" customFormat="1"/>
    <row r="3418" s="65" customFormat="1"/>
    <row r="3419" s="65" customFormat="1"/>
    <row r="3420" s="65" customFormat="1"/>
    <row r="3421" s="65" customFormat="1"/>
    <row r="3422" s="65" customFormat="1"/>
    <row r="3423" s="65" customFormat="1"/>
    <row r="3424" s="65" customFormat="1"/>
    <row r="3425" s="65" customFormat="1"/>
    <row r="3426" s="65" customFormat="1"/>
    <row r="3427" s="65" customFormat="1"/>
    <row r="3428" s="65" customFormat="1"/>
    <row r="3429" s="65" customFormat="1"/>
    <row r="3430" s="65" customFormat="1"/>
    <row r="3431" s="65" customFormat="1"/>
    <row r="3432" s="65" customFormat="1"/>
    <row r="3433" s="65" customFormat="1"/>
    <row r="3434" s="65" customFormat="1"/>
    <row r="3435" s="65" customFormat="1"/>
    <row r="3436" s="65" customFormat="1"/>
    <row r="3437" s="65" customFormat="1"/>
    <row r="3438" s="65" customFormat="1"/>
    <row r="3439" s="65" customFormat="1"/>
    <row r="3440" s="65" customFormat="1"/>
    <row r="3441" s="65" customFormat="1"/>
    <row r="3442" s="65" customFormat="1"/>
    <row r="3443" s="65" customFormat="1"/>
    <row r="3444" s="65" customFormat="1"/>
    <row r="3445" s="65" customFormat="1"/>
    <row r="3446" s="65" customFormat="1"/>
    <row r="3447" s="65" customFormat="1"/>
    <row r="3448" s="65" customFormat="1"/>
    <row r="3449" s="65" customFormat="1"/>
    <row r="3450" s="65" customFormat="1"/>
    <row r="3451" s="65" customFormat="1"/>
    <row r="3452" s="65" customFormat="1"/>
    <row r="3453" s="65" customFormat="1"/>
    <row r="3454" s="65" customFormat="1"/>
    <row r="3455" s="65" customFormat="1"/>
    <row r="3456" s="65" customFormat="1"/>
    <row r="3457" s="65" customFormat="1"/>
    <row r="3458" s="65" customFormat="1"/>
    <row r="3459" s="65" customFormat="1"/>
    <row r="3460" s="65" customFormat="1"/>
    <row r="3461" s="65" customFormat="1"/>
    <row r="3462" s="65" customFormat="1"/>
    <row r="3463" s="65" customFormat="1"/>
    <row r="3464" s="65" customFormat="1"/>
    <row r="3465" s="65" customFormat="1"/>
    <row r="3466" s="65" customFormat="1"/>
    <row r="3467" s="65" customFormat="1"/>
    <row r="3468" s="65" customFormat="1"/>
    <row r="3469" s="65" customFormat="1"/>
    <row r="3470" s="65" customFormat="1"/>
    <row r="3471" s="65" customFormat="1"/>
    <row r="3472" s="65" customFormat="1"/>
    <row r="3473" s="65" customFormat="1"/>
    <row r="3474" s="65" customFormat="1"/>
    <row r="3475" s="65" customFormat="1"/>
    <row r="3476" s="65" customFormat="1"/>
    <row r="3477" s="65" customFormat="1"/>
    <row r="3478" s="65" customFormat="1"/>
    <row r="3479" s="65" customFormat="1"/>
    <row r="3480" s="65" customFormat="1"/>
    <row r="3481" s="65" customFormat="1"/>
    <row r="3482" s="65" customFormat="1"/>
    <row r="3483" s="65" customFormat="1"/>
    <row r="3484" s="65" customFormat="1"/>
    <row r="3485" s="65" customFormat="1"/>
    <row r="3486" s="65" customFormat="1"/>
    <row r="3487" s="65" customFormat="1"/>
    <row r="3488" s="65" customFormat="1"/>
    <row r="3489" s="65" customFormat="1"/>
    <row r="3490" s="65" customFormat="1"/>
    <row r="3491" s="65" customFormat="1"/>
    <row r="3492" s="65" customFormat="1"/>
    <row r="3493" s="65" customFormat="1"/>
    <row r="3494" s="65" customFormat="1"/>
    <row r="3495" s="65" customFormat="1"/>
    <row r="3496" s="65" customFormat="1"/>
    <row r="3497" s="65" customFormat="1"/>
    <row r="3498" s="65" customFormat="1"/>
    <row r="3499" s="65" customFormat="1"/>
    <row r="3500" s="65" customFormat="1"/>
    <row r="3501" s="65" customFormat="1"/>
    <row r="3502" s="65" customFormat="1"/>
    <row r="3503" s="65" customFormat="1"/>
    <row r="3504" s="65" customFormat="1"/>
    <row r="3505" s="65" customFormat="1"/>
    <row r="3506" s="65" customFormat="1"/>
    <row r="3507" s="65" customFormat="1"/>
    <row r="3508" s="65" customFormat="1"/>
    <row r="3509" s="65" customFormat="1"/>
    <row r="3510" s="65" customFormat="1"/>
    <row r="3511" s="65" customFormat="1"/>
    <row r="3512" s="65" customFormat="1"/>
    <row r="3513" s="65" customFormat="1"/>
    <row r="3514" s="65" customFormat="1"/>
    <row r="3515" s="65" customFormat="1"/>
    <row r="3516" s="65" customFormat="1"/>
    <row r="3517" s="65" customFormat="1"/>
    <row r="3518" s="65" customFormat="1"/>
    <row r="3519" s="65" customFormat="1"/>
    <row r="3520" s="65" customFormat="1"/>
    <row r="3521" s="65" customFormat="1"/>
    <row r="3522" s="65" customFormat="1"/>
    <row r="3523" s="65" customFormat="1"/>
    <row r="3524" s="65" customFormat="1"/>
    <row r="3525" s="65" customFormat="1"/>
    <row r="3526" s="65" customFormat="1"/>
    <row r="3527" s="65" customFormat="1"/>
    <row r="3528" s="65" customFormat="1"/>
    <row r="3529" s="65" customFormat="1"/>
    <row r="3530" s="65" customFormat="1"/>
    <row r="3531" s="65" customFormat="1"/>
    <row r="3532" s="65" customFormat="1"/>
    <row r="3533" s="65" customFormat="1"/>
    <row r="3534" s="65" customFormat="1"/>
    <row r="3535" s="65" customFormat="1"/>
    <row r="3536" s="65" customFormat="1"/>
    <row r="3537" s="65" customFormat="1"/>
    <row r="3538" s="65" customFormat="1"/>
    <row r="3539" s="65" customFormat="1"/>
    <row r="3540" s="65" customFormat="1"/>
    <row r="3541" s="65" customFormat="1"/>
    <row r="3542" s="65" customFormat="1"/>
    <row r="3543" s="65" customFormat="1"/>
    <row r="3544" s="65" customFormat="1"/>
    <row r="3545" s="65" customFormat="1"/>
    <row r="3546" s="65" customFormat="1"/>
    <row r="3547" s="65" customFormat="1"/>
    <row r="3548" s="65" customFormat="1"/>
    <row r="3549" s="65" customFormat="1"/>
    <row r="3550" s="65" customFormat="1"/>
    <row r="3551" s="65" customFormat="1"/>
    <row r="3552" s="65" customFormat="1"/>
    <row r="3553" s="65" customFormat="1"/>
    <row r="3554" s="65" customFormat="1"/>
    <row r="3555" s="65" customFormat="1"/>
    <row r="3556" s="65" customFormat="1"/>
    <row r="3557" s="65" customFormat="1"/>
    <row r="3558" s="65" customFormat="1"/>
    <row r="3559" s="65" customFormat="1"/>
    <row r="3560" s="65" customFormat="1"/>
    <row r="3561" s="65" customFormat="1"/>
    <row r="3562" s="65" customFormat="1"/>
    <row r="3563" s="65" customFormat="1"/>
    <row r="3564" s="65" customFormat="1"/>
    <row r="3565" s="65" customFormat="1"/>
    <row r="3566" s="65" customFormat="1"/>
    <row r="3567" s="65" customFormat="1"/>
    <row r="3568" s="65" customFormat="1"/>
    <row r="3569" s="65" customFormat="1"/>
    <row r="3570" s="65" customFormat="1"/>
    <row r="3571" s="65" customFormat="1"/>
    <row r="3572" s="65" customFormat="1"/>
    <row r="3573" s="65" customFormat="1"/>
    <row r="3574" s="65" customFormat="1"/>
    <row r="3575" s="65" customFormat="1"/>
    <row r="3576" s="65" customFormat="1"/>
    <row r="3577" s="65" customFormat="1"/>
    <row r="3578" s="65" customFormat="1"/>
    <row r="3579" s="65" customFormat="1"/>
    <row r="3580" s="65" customFormat="1"/>
    <row r="3581" s="65" customFormat="1"/>
    <row r="3582" s="65" customFormat="1"/>
    <row r="3583" s="65" customFormat="1"/>
    <row r="3584" s="65" customFormat="1"/>
    <row r="3585" s="65" customFormat="1"/>
    <row r="3586" s="65" customFormat="1"/>
    <row r="3587" s="65" customFormat="1"/>
    <row r="3588" s="65" customFormat="1"/>
    <row r="3589" s="65" customFormat="1"/>
    <row r="3590" s="65" customFormat="1"/>
    <row r="3591" s="65" customFormat="1"/>
    <row r="3592" s="65" customFormat="1"/>
    <row r="3593" s="65" customFormat="1"/>
    <row r="3594" s="65" customFormat="1"/>
    <row r="3595" s="65" customFormat="1"/>
    <row r="3596" s="65" customFormat="1"/>
    <row r="3597" s="65" customFormat="1"/>
    <row r="3598" s="65" customFormat="1"/>
    <row r="3599" s="65" customFormat="1"/>
    <row r="3600" s="65" customFormat="1"/>
    <row r="3601" s="65" customFormat="1"/>
    <row r="3602" s="65" customFormat="1"/>
    <row r="3603" s="65" customFormat="1"/>
    <row r="3604" s="65" customFormat="1"/>
    <row r="3605" s="65" customFormat="1"/>
    <row r="3606" s="65" customFormat="1"/>
    <row r="3607" s="65" customFormat="1"/>
    <row r="3608" s="65" customFormat="1"/>
    <row r="3609" s="65" customFormat="1"/>
    <row r="3610" s="65" customFormat="1"/>
    <row r="3611" s="65" customFormat="1"/>
    <row r="3612" s="65" customFormat="1"/>
    <row r="3613" s="65" customFormat="1"/>
    <row r="3614" s="65" customFormat="1"/>
    <row r="3615" s="65" customFormat="1"/>
    <row r="3616" s="65" customFormat="1"/>
    <row r="3617" s="65" customFormat="1"/>
    <row r="3618" s="65" customFormat="1"/>
    <row r="3619" s="65" customFormat="1"/>
    <row r="3620" s="65" customFormat="1"/>
    <row r="3621" s="65" customFormat="1"/>
    <row r="3622" s="65" customFormat="1"/>
    <row r="3623" s="65" customFormat="1"/>
    <row r="3624" s="65" customFormat="1"/>
    <row r="3625" s="65" customFormat="1"/>
    <row r="3626" s="65" customFormat="1"/>
    <row r="3627" s="65" customFormat="1"/>
    <row r="3628" s="65" customFormat="1"/>
    <row r="3629" s="65" customFormat="1"/>
    <row r="3630" s="65" customFormat="1"/>
    <row r="3631" s="65" customFormat="1"/>
    <row r="3632" s="65" customFormat="1"/>
    <row r="3633" s="65" customFormat="1"/>
    <row r="3634" s="65" customFormat="1"/>
    <row r="3635" s="65" customFormat="1"/>
    <row r="3636" s="65" customFormat="1"/>
    <row r="3637" s="65" customFormat="1"/>
    <row r="3638" s="65" customFormat="1"/>
    <row r="3639" s="65" customFormat="1"/>
    <row r="3640" s="65" customFormat="1"/>
    <row r="3641" s="65" customFormat="1"/>
    <row r="3642" s="65" customFormat="1"/>
    <row r="3643" s="65" customFormat="1"/>
    <row r="3644" s="65" customFormat="1"/>
    <row r="3645" s="65" customFormat="1"/>
    <row r="3646" s="65" customFormat="1"/>
    <row r="3647" s="65" customFormat="1"/>
    <row r="3648" s="65" customFormat="1"/>
    <row r="3649" s="65" customFormat="1"/>
    <row r="3650" s="65" customFormat="1"/>
    <row r="3651" s="65" customFormat="1"/>
    <row r="3652" s="65" customFormat="1"/>
    <row r="3653" s="65" customFormat="1"/>
    <row r="3654" s="65" customFormat="1"/>
    <row r="3655" s="65" customFormat="1"/>
    <row r="3656" s="65" customFormat="1"/>
    <row r="3657" s="65" customFormat="1"/>
    <row r="3658" s="65" customFormat="1"/>
    <row r="3659" s="65" customFormat="1"/>
    <row r="3660" s="65" customFormat="1"/>
    <row r="3661" s="65" customFormat="1"/>
    <row r="3662" s="65" customFormat="1"/>
    <row r="3663" s="65" customFormat="1"/>
    <row r="3664" s="65" customFormat="1"/>
    <row r="3665" s="65" customFormat="1"/>
    <row r="3666" s="65" customFormat="1"/>
    <row r="3667" s="65" customFormat="1"/>
    <row r="3668" s="65" customFormat="1"/>
    <row r="3669" s="65" customFormat="1"/>
    <row r="3670" s="65" customFormat="1"/>
    <row r="3671" s="65" customFormat="1"/>
    <row r="3672" s="65" customFormat="1"/>
    <row r="3673" s="65" customFormat="1"/>
    <row r="3674" s="65" customFormat="1"/>
    <row r="3675" s="65" customFormat="1"/>
    <row r="3676" s="65" customFormat="1"/>
    <row r="3677" s="65" customFormat="1"/>
    <row r="3678" s="65" customFormat="1"/>
    <row r="3679" s="65" customFormat="1"/>
    <row r="3680" s="65" customFormat="1"/>
    <row r="3681" s="65" customFormat="1"/>
    <row r="3682" s="65" customFormat="1"/>
    <row r="3683" s="65" customFormat="1"/>
    <row r="3684" s="65" customFormat="1"/>
    <row r="3685" s="65" customFormat="1"/>
    <row r="3686" s="65" customFormat="1"/>
    <row r="3687" s="65" customFormat="1"/>
    <row r="3688" s="65" customFormat="1"/>
    <row r="3689" s="65" customFormat="1"/>
    <row r="3690" s="65" customFormat="1"/>
    <row r="3691" s="65" customFormat="1"/>
    <row r="3692" s="65" customFormat="1"/>
    <row r="3693" s="65" customFormat="1"/>
    <row r="3694" s="65" customFormat="1"/>
    <row r="3695" s="65" customFormat="1"/>
    <row r="3696" s="65" customFormat="1"/>
    <row r="3697" s="65" customFormat="1"/>
    <row r="3698" s="65" customFormat="1"/>
    <row r="3699" s="65" customFormat="1"/>
    <row r="3700" s="65" customFormat="1"/>
    <row r="3701" s="65" customFormat="1"/>
    <row r="3702" s="65" customFormat="1"/>
    <row r="3703" s="65" customFormat="1"/>
    <row r="3704" s="65" customFormat="1"/>
    <row r="3705" s="65" customFormat="1"/>
    <row r="3706" s="65" customFormat="1"/>
    <row r="3707" s="65" customFormat="1"/>
    <row r="3708" s="65" customFormat="1"/>
    <row r="3709" s="65" customFormat="1"/>
    <row r="3710" s="65" customFormat="1"/>
    <row r="3711" s="65" customFormat="1"/>
    <row r="3712" s="65" customFormat="1"/>
    <row r="3713" s="65" customFormat="1"/>
    <row r="3714" s="65" customFormat="1"/>
    <row r="3715" s="65" customFormat="1"/>
    <row r="3716" s="65" customFormat="1"/>
    <row r="3717" s="65" customFormat="1"/>
    <row r="3718" s="65" customFormat="1"/>
    <row r="3719" s="65" customFormat="1"/>
    <row r="3720" s="65" customFormat="1"/>
    <row r="3721" s="65" customFormat="1"/>
    <row r="3722" s="65" customFormat="1"/>
    <row r="3723" s="65" customFormat="1"/>
    <row r="3724" s="65" customFormat="1"/>
    <row r="3725" s="65" customFormat="1"/>
    <row r="3726" s="65" customFormat="1"/>
    <row r="3727" s="65" customFormat="1"/>
    <row r="3728" s="65" customFormat="1"/>
    <row r="3729" s="65" customFormat="1"/>
    <row r="3730" s="65" customFormat="1"/>
    <row r="3731" s="65" customFormat="1"/>
    <row r="3732" s="65" customFormat="1"/>
    <row r="3733" s="65" customFormat="1"/>
    <row r="3734" s="65" customFormat="1"/>
    <row r="3735" s="65" customFormat="1"/>
    <row r="3736" s="65" customFormat="1"/>
    <row r="3737" s="65" customFormat="1"/>
    <row r="3738" s="65" customFormat="1"/>
    <row r="3739" s="65" customFormat="1"/>
    <row r="3740" s="65" customFormat="1"/>
    <row r="3741" s="65" customFormat="1"/>
    <row r="3742" s="65" customFormat="1"/>
    <row r="3743" s="65" customFormat="1"/>
    <row r="3744" s="65" customFormat="1"/>
    <row r="3745" s="65" customFormat="1"/>
    <row r="3746" s="65" customFormat="1"/>
    <row r="3747" s="65" customFormat="1"/>
    <row r="3748" s="65" customFormat="1"/>
    <row r="3749" s="65" customFormat="1"/>
    <row r="3750" s="65" customFormat="1"/>
    <row r="3751" s="65" customFormat="1"/>
    <row r="3752" s="65" customFormat="1"/>
    <row r="3753" s="65" customFormat="1"/>
    <row r="3754" s="65" customFormat="1"/>
    <row r="3755" s="65" customFormat="1"/>
    <row r="3756" s="65" customFormat="1"/>
    <row r="3757" s="65" customFormat="1"/>
    <row r="3758" s="65" customFormat="1"/>
    <row r="3759" s="65" customFormat="1"/>
    <row r="3760" s="65" customFormat="1"/>
    <row r="3761" s="65" customFormat="1"/>
    <row r="3762" s="65" customFormat="1"/>
    <row r="3763" s="65" customFormat="1"/>
    <row r="3764" s="65" customFormat="1"/>
    <row r="3765" s="65" customFormat="1"/>
    <row r="3766" s="65" customFormat="1"/>
    <row r="3767" s="65" customFormat="1"/>
    <row r="3768" s="65" customFormat="1"/>
    <row r="3769" s="65" customFormat="1"/>
    <row r="3770" s="65" customFormat="1"/>
    <row r="3771" s="65" customFormat="1"/>
    <row r="3772" s="65" customFormat="1"/>
    <row r="3773" s="65" customFormat="1"/>
    <row r="3774" s="65" customFormat="1"/>
    <row r="3775" s="65" customFormat="1"/>
    <row r="3776" s="65" customFormat="1"/>
    <row r="3777" s="65" customFormat="1"/>
    <row r="3778" s="65" customFormat="1"/>
    <row r="3779" s="65" customFormat="1"/>
    <row r="3780" s="65" customFormat="1"/>
    <row r="3781" s="65" customFormat="1"/>
    <row r="3782" s="65" customFormat="1"/>
    <row r="3783" s="65" customFormat="1"/>
    <row r="3784" s="65" customFormat="1"/>
    <row r="3785" s="65" customFormat="1"/>
    <row r="3786" s="65" customFormat="1"/>
    <row r="3787" s="65" customFormat="1"/>
    <row r="3788" s="65" customFormat="1"/>
    <row r="3789" s="65" customFormat="1"/>
    <row r="3790" s="65" customFormat="1"/>
    <row r="3791" s="65" customFormat="1"/>
    <row r="3792" s="65" customFormat="1"/>
    <row r="3793" s="65" customFormat="1"/>
    <row r="3794" s="65" customFormat="1"/>
    <row r="3795" s="65" customFormat="1"/>
    <row r="3796" s="65" customFormat="1"/>
    <row r="3797" s="65" customFormat="1"/>
    <row r="3798" s="65" customFormat="1"/>
    <row r="3799" s="65" customFormat="1"/>
    <row r="3800" s="65" customFormat="1"/>
    <row r="3801" s="65" customFormat="1"/>
    <row r="3802" s="65" customFormat="1"/>
    <row r="3803" s="65" customFormat="1"/>
    <row r="3804" s="65" customFormat="1"/>
    <row r="3805" s="65" customFormat="1"/>
    <row r="3806" s="65" customFormat="1"/>
    <row r="3807" s="65" customFormat="1"/>
    <row r="3808" s="65" customFormat="1"/>
    <row r="3809" s="65" customFormat="1"/>
    <row r="3810" s="65" customFormat="1"/>
    <row r="3811" s="65" customFormat="1"/>
    <row r="3812" s="65" customFormat="1"/>
    <row r="3813" s="65" customFormat="1"/>
    <row r="3814" s="65" customFormat="1"/>
    <row r="3815" s="65" customFormat="1"/>
    <row r="3816" s="65" customFormat="1"/>
    <row r="3817" s="65" customFormat="1"/>
    <row r="3818" s="65" customFormat="1"/>
    <row r="3819" s="65" customFormat="1"/>
    <row r="3820" s="65" customFormat="1"/>
    <row r="3821" s="65" customFormat="1"/>
    <row r="3822" s="65" customFormat="1"/>
    <row r="3823" s="65" customFormat="1"/>
    <row r="3824" s="65" customFormat="1"/>
    <row r="3825" s="65" customFormat="1"/>
    <row r="3826" s="65" customFormat="1"/>
    <row r="3827" s="65" customFormat="1"/>
    <row r="3828" s="65" customFormat="1"/>
    <row r="3829" s="65" customFormat="1"/>
    <row r="3830" s="65" customFormat="1"/>
    <row r="3831" s="65" customFormat="1"/>
    <row r="3832" s="65" customFormat="1"/>
    <row r="3833" s="65" customFormat="1"/>
    <row r="3834" s="65" customFormat="1"/>
    <row r="3835" s="65" customFormat="1"/>
    <row r="3836" s="65" customFormat="1"/>
    <row r="3837" s="65" customFormat="1"/>
    <row r="3838" s="65" customFormat="1"/>
    <row r="3839" s="65" customFormat="1"/>
    <row r="3840" s="65" customFormat="1"/>
    <row r="3841" s="65" customFormat="1"/>
    <row r="3842" s="65" customFormat="1"/>
    <row r="3843" s="65" customFormat="1"/>
    <row r="3844" s="65" customFormat="1"/>
    <row r="3845" s="65" customFormat="1"/>
    <row r="3846" s="65" customFormat="1"/>
    <row r="3847" s="65" customFormat="1"/>
    <row r="3848" s="65" customFormat="1"/>
    <row r="3849" s="65" customFormat="1"/>
    <row r="3850" s="65" customFormat="1"/>
    <row r="3851" s="65" customFormat="1"/>
    <row r="3852" s="65" customFormat="1"/>
    <row r="3853" s="65" customFormat="1"/>
    <row r="3854" s="65" customFormat="1"/>
    <row r="3855" s="65" customFormat="1"/>
    <row r="3856" s="65" customFormat="1"/>
    <row r="3857" s="65" customFormat="1"/>
    <row r="3858" s="65" customFormat="1"/>
    <row r="3859" s="65" customFormat="1"/>
    <row r="3860" s="65" customFormat="1"/>
    <row r="3861" s="65" customFormat="1"/>
    <row r="3862" s="65" customFormat="1"/>
    <row r="3863" s="65" customFormat="1"/>
    <row r="3864" s="65" customFormat="1"/>
    <row r="3865" s="65" customFormat="1"/>
    <row r="3866" s="65" customFormat="1"/>
    <row r="3867" s="65" customFormat="1"/>
    <row r="3868" s="65" customFormat="1"/>
    <row r="3869" s="65" customFormat="1"/>
    <row r="3870" s="65" customFormat="1"/>
    <row r="3871" s="65" customFormat="1"/>
    <row r="3872" s="65" customFormat="1"/>
    <row r="3873" s="65" customFormat="1"/>
    <row r="3874" s="65" customFormat="1"/>
    <row r="3875" s="65" customFormat="1"/>
    <row r="3876" s="65" customFormat="1"/>
    <row r="3877" s="65" customFormat="1"/>
    <row r="3878" s="65" customFormat="1"/>
    <row r="3879" s="65" customFormat="1"/>
    <row r="3880" s="65" customFormat="1"/>
    <row r="3881" s="65" customFormat="1"/>
    <row r="3882" s="65" customFormat="1"/>
    <row r="3883" s="65" customFormat="1"/>
    <row r="3884" s="65" customFormat="1"/>
    <row r="3885" s="65" customFormat="1"/>
    <row r="3886" s="65" customFormat="1"/>
    <row r="3887" s="65" customFormat="1"/>
    <row r="3888" s="65" customFormat="1"/>
    <row r="3889" s="65" customFormat="1"/>
    <row r="3890" s="65" customFormat="1"/>
    <row r="3891" s="65" customFormat="1"/>
    <row r="3892" s="65" customFormat="1"/>
    <row r="3893" s="65" customFormat="1"/>
    <row r="3894" s="65" customFormat="1"/>
    <row r="3895" s="65" customFormat="1"/>
    <row r="3896" s="65" customFormat="1"/>
    <row r="3897" s="65" customFormat="1"/>
    <row r="3898" s="65" customFormat="1"/>
    <row r="3899" s="65" customFormat="1"/>
    <row r="3900" s="65" customFormat="1"/>
    <row r="3901" s="65" customFormat="1"/>
    <row r="3902" s="65" customFormat="1"/>
    <row r="3903" s="65" customFormat="1"/>
    <row r="3904" s="65" customFormat="1"/>
    <row r="3905" s="65" customFormat="1"/>
    <row r="3906" s="65" customFormat="1"/>
    <row r="3907" s="65" customFormat="1"/>
    <row r="3908" s="65" customFormat="1"/>
    <row r="3909" s="65" customFormat="1"/>
    <row r="3910" s="65" customFormat="1"/>
    <row r="3911" s="65" customFormat="1"/>
    <row r="3912" s="65" customFormat="1"/>
    <row r="3913" s="65" customFormat="1"/>
    <row r="3914" s="65" customFormat="1"/>
    <row r="3915" s="65" customFormat="1"/>
    <row r="3916" s="65" customFormat="1"/>
    <row r="3917" s="65" customFormat="1"/>
    <row r="3918" s="65" customFormat="1"/>
    <row r="3919" s="65" customFormat="1"/>
    <row r="3920" s="65" customFormat="1"/>
    <row r="3921" s="65" customFormat="1"/>
    <row r="3922" s="65" customFormat="1"/>
    <row r="3923" s="65" customFormat="1"/>
    <row r="3924" s="65" customFormat="1"/>
    <row r="3925" s="65" customFormat="1"/>
    <row r="3926" s="65" customFormat="1"/>
    <row r="3927" s="65" customFormat="1"/>
    <row r="3928" s="65" customFormat="1"/>
    <row r="3929" s="65" customFormat="1"/>
    <row r="3930" s="65" customFormat="1"/>
    <row r="3931" s="65" customFormat="1"/>
    <row r="3932" s="65" customFormat="1"/>
    <row r="3933" s="65" customFormat="1"/>
    <row r="3934" s="65" customFormat="1"/>
    <row r="3935" s="65" customFormat="1"/>
    <row r="3936" s="65" customFormat="1"/>
    <row r="3937" s="65" customFormat="1"/>
    <row r="3938" s="65" customFormat="1"/>
    <row r="3939" s="65" customFormat="1"/>
    <row r="3940" s="65" customFormat="1"/>
    <row r="3941" s="65" customFormat="1"/>
    <row r="3942" s="65" customFormat="1"/>
    <row r="3943" s="65" customFormat="1"/>
    <row r="3944" s="65" customFormat="1"/>
    <row r="3945" s="65" customFormat="1"/>
    <row r="3946" s="65" customFormat="1"/>
    <row r="3947" s="65" customFormat="1"/>
    <row r="3948" s="65" customFormat="1"/>
    <row r="3949" s="65" customFormat="1"/>
    <row r="3950" s="65" customFormat="1"/>
    <row r="3951" s="65" customFormat="1"/>
    <row r="3952" s="65" customFormat="1"/>
    <row r="3953" s="65" customFormat="1"/>
    <row r="3954" s="65" customFormat="1"/>
    <row r="3955" s="65" customFormat="1"/>
    <row r="3956" s="65" customFormat="1"/>
    <row r="3957" s="65" customFormat="1"/>
    <row r="3958" s="65" customFormat="1"/>
    <row r="3959" s="65" customFormat="1"/>
    <row r="3960" s="65" customFormat="1"/>
    <row r="3961" s="65" customFormat="1"/>
    <row r="3962" s="65" customFormat="1"/>
    <row r="3963" s="65" customFormat="1"/>
    <row r="3964" s="65" customFormat="1"/>
    <row r="3965" s="65" customFormat="1"/>
    <row r="3966" s="65" customFormat="1"/>
    <row r="3967" s="65" customFormat="1"/>
    <row r="3968" s="65" customFormat="1"/>
    <row r="3969" s="65" customFormat="1"/>
    <row r="3970" s="65" customFormat="1"/>
    <row r="3971" s="65" customFormat="1"/>
    <row r="3972" s="65" customFormat="1"/>
    <row r="3973" s="65" customFormat="1"/>
    <row r="3974" s="65" customFormat="1"/>
    <row r="3975" s="65" customFormat="1"/>
    <row r="3976" s="65" customFormat="1"/>
    <row r="3977" s="65" customFormat="1"/>
    <row r="3978" s="65" customFormat="1"/>
    <row r="3979" s="65" customFormat="1"/>
    <row r="3980" s="65" customFormat="1"/>
    <row r="3981" s="65" customFormat="1"/>
    <row r="3982" s="65" customFormat="1"/>
    <row r="3983" s="65" customFormat="1"/>
    <row r="3984" s="65" customFormat="1"/>
    <row r="3985" s="65" customFormat="1"/>
    <row r="3986" s="65" customFormat="1"/>
    <row r="3987" s="65" customFormat="1"/>
    <row r="3988" s="65" customFormat="1"/>
    <row r="3989" s="65" customFormat="1"/>
    <row r="3990" s="65" customFormat="1"/>
    <row r="3991" s="65" customFormat="1"/>
    <row r="3992" s="65" customFormat="1"/>
    <row r="3993" s="65" customFormat="1"/>
    <row r="3994" s="65" customFormat="1"/>
    <row r="3995" s="65" customFormat="1"/>
    <row r="3996" s="65" customFormat="1"/>
    <row r="3997" s="65" customFormat="1"/>
    <row r="3998" s="65" customFormat="1"/>
    <row r="3999" s="65" customFormat="1"/>
    <row r="4000" s="65" customFormat="1"/>
    <row r="4001" s="65" customFormat="1"/>
    <row r="4002" s="65" customFormat="1"/>
    <row r="4003" s="65" customFormat="1"/>
    <row r="4004" s="65" customFormat="1"/>
    <row r="4005" s="65" customFormat="1"/>
    <row r="4006" s="65" customFormat="1"/>
    <row r="4007" s="65" customFormat="1"/>
    <row r="4008" s="65" customFormat="1"/>
    <row r="4009" s="65" customFormat="1"/>
    <row r="4010" s="65" customFormat="1"/>
    <row r="4011" s="65" customFormat="1"/>
    <row r="4012" s="65" customFormat="1"/>
    <row r="4013" s="65" customFormat="1"/>
    <row r="4014" s="65" customFormat="1"/>
    <row r="4015" s="65" customFormat="1"/>
    <row r="4016" s="65" customFormat="1"/>
    <row r="4017" s="65" customFormat="1"/>
    <row r="4018" s="65" customFormat="1"/>
    <row r="4019" s="65" customFormat="1"/>
    <row r="4020" s="65" customFormat="1"/>
    <row r="4021" s="65" customFormat="1"/>
    <row r="4022" s="65" customFormat="1"/>
    <row r="4023" s="65" customFormat="1"/>
    <row r="4024" s="65" customFormat="1"/>
    <row r="4025" s="65" customFormat="1"/>
    <row r="4026" s="65" customFormat="1"/>
    <row r="4027" s="65" customFormat="1"/>
    <row r="4028" s="65" customFormat="1"/>
    <row r="4029" s="65" customFormat="1"/>
    <row r="4030" s="65" customFormat="1"/>
    <row r="4031" s="65" customFormat="1"/>
    <row r="4032" s="65" customFormat="1"/>
    <row r="4033" s="65" customFormat="1"/>
    <row r="4034" s="65" customFormat="1"/>
    <row r="4035" s="65" customFormat="1"/>
    <row r="4036" s="65" customFormat="1"/>
    <row r="4037" s="65" customFormat="1"/>
    <row r="4038" s="65" customFormat="1"/>
    <row r="4039" s="65" customFormat="1"/>
    <row r="4040" s="65" customFormat="1"/>
    <row r="4041" s="65" customFormat="1"/>
    <row r="4042" s="65" customFormat="1"/>
    <row r="4043" s="65" customFormat="1"/>
    <row r="4044" s="65" customFormat="1"/>
    <row r="4045" s="65" customFormat="1"/>
    <row r="4046" s="65" customFormat="1"/>
    <row r="4047" s="65" customFormat="1"/>
    <row r="4048" s="65" customFormat="1"/>
    <row r="4049" s="65" customFormat="1"/>
    <row r="4050" s="65" customFormat="1"/>
    <row r="4051" s="65" customFormat="1"/>
    <row r="4052" s="65" customFormat="1"/>
    <row r="4053" s="65" customFormat="1"/>
    <row r="4054" s="65" customFormat="1"/>
    <row r="4055" s="65" customFormat="1"/>
    <row r="4056" s="65" customFormat="1"/>
    <row r="4057" s="65" customFormat="1"/>
    <row r="4058" s="65" customFormat="1"/>
    <row r="4059" s="65" customFormat="1"/>
    <row r="4060" s="65" customFormat="1"/>
    <row r="4061" s="65" customFormat="1"/>
    <row r="4062" s="65" customFormat="1"/>
    <row r="4063" s="65" customFormat="1"/>
    <row r="4064" s="65" customFormat="1"/>
    <row r="4065" s="65" customFormat="1"/>
    <row r="4066" s="65" customFormat="1"/>
    <row r="4067" s="65" customFormat="1"/>
    <row r="4068" s="65" customFormat="1"/>
    <row r="4069" s="65" customFormat="1"/>
    <row r="4070" s="65" customFormat="1"/>
    <row r="4071" s="65" customFormat="1"/>
    <row r="4072" s="65" customFormat="1"/>
    <row r="4073" s="65" customFormat="1"/>
    <row r="4074" s="65" customFormat="1"/>
    <row r="4075" s="65" customFormat="1"/>
    <row r="4076" s="65" customFormat="1"/>
    <row r="4077" s="65" customFormat="1"/>
    <row r="4078" s="65" customFormat="1"/>
    <row r="4079" s="65" customFormat="1"/>
    <row r="4080" s="65" customFormat="1"/>
    <row r="4081" s="65" customFormat="1"/>
    <row r="4082" s="65" customFormat="1"/>
    <row r="4083" s="65" customFormat="1"/>
    <row r="4084" s="65" customFormat="1"/>
    <row r="4085" s="65" customFormat="1"/>
    <row r="4086" s="65" customFormat="1"/>
    <row r="4087" s="65" customFormat="1"/>
    <row r="4088" s="65" customFormat="1"/>
    <row r="4089" s="65" customFormat="1"/>
    <row r="4090" s="65" customFormat="1"/>
    <row r="4091" s="65" customFormat="1"/>
    <row r="4092" s="65" customFormat="1"/>
    <row r="4093" s="65" customFormat="1"/>
    <row r="4094" s="65" customFormat="1"/>
    <row r="4095" s="65" customFormat="1"/>
    <row r="4096" s="65" customFormat="1"/>
    <row r="4097" s="65" customFormat="1"/>
    <row r="4098" s="65" customFormat="1"/>
    <row r="4099" s="65" customFormat="1"/>
    <row r="4100" s="65" customFormat="1"/>
    <row r="4101" s="65" customFormat="1"/>
    <row r="4102" s="65" customFormat="1"/>
    <row r="4103" s="65" customFormat="1"/>
    <row r="4104" s="65" customFormat="1"/>
    <row r="4105" s="65" customFormat="1"/>
    <row r="4106" s="65" customFormat="1"/>
    <row r="4107" s="65" customFormat="1"/>
    <row r="4108" s="65" customFormat="1"/>
    <row r="4109" s="65" customFormat="1"/>
    <row r="4110" s="65" customFormat="1"/>
    <row r="4111" s="65" customFormat="1"/>
    <row r="4112" s="65" customFormat="1"/>
    <row r="4113" s="65" customFormat="1"/>
    <row r="4114" s="65" customFormat="1"/>
    <row r="4115" s="65" customFormat="1"/>
    <row r="4116" s="65" customFormat="1"/>
    <row r="4117" s="65" customFormat="1"/>
    <row r="4118" s="65" customFormat="1"/>
    <row r="4119" s="65" customFormat="1"/>
    <row r="4120" s="65" customFormat="1"/>
    <row r="4121" s="65" customFormat="1"/>
    <row r="4122" s="65" customFormat="1"/>
    <row r="4123" s="65" customFormat="1"/>
    <row r="4124" s="65" customFormat="1"/>
    <row r="4125" s="65" customFormat="1"/>
    <row r="4126" s="65" customFormat="1"/>
    <row r="4127" s="65" customFormat="1"/>
    <row r="4128" s="65" customFormat="1"/>
    <row r="4129" s="65" customFormat="1"/>
    <row r="4130" s="65" customFormat="1"/>
    <row r="4131" s="65" customFormat="1"/>
    <row r="4132" s="65" customFormat="1"/>
    <row r="4133" s="65" customFormat="1"/>
    <row r="4134" s="65" customFormat="1"/>
    <row r="4135" s="65" customFormat="1"/>
    <row r="4136" s="65" customFormat="1"/>
    <row r="4137" s="65" customFormat="1"/>
    <row r="4138" s="65" customFormat="1"/>
    <row r="4139" s="65" customFormat="1"/>
    <row r="4140" s="65" customFormat="1"/>
    <row r="4141" s="65" customFormat="1"/>
    <row r="4142" s="65" customFormat="1"/>
    <row r="4143" s="65" customFormat="1"/>
    <row r="4144" s="65" customFormat="1"/>
    <row r="4145" s="65" customFormat="1"/>
    <row r="4146" s="65" customFormat="1"/>
    <row r="4147" s="65" customFormat="1"/>
    <row r="4148" s="65" customFormat="1"/>
    <row r="4149" s="65" customFormat="1"/>
    <row r="4150" s="65" customFormat="1"/>
    <row r="4151" s="65" customFormat="1"/>
    <row r="4152" s="65" customFormat="1"/>
    <row r="4153" s="65" customFormat="1"/>
    <row r="4154" s="65" customFormat="1"/>
    <row r="4155" s="65" customFormat="1"/>
    <row r="4156" s="65" customFormat="1"/>
    <row r="4157" s="65" customFormat="1"/>
    <row r="4158" s="65" customFormat="1"/>
    <row r="4159" s="65" customFormat="1"/>
    <row r="4160" s="65" customFormat="1"/>
    <row r="4161" s="65" customFormat="1"/>
    <row r="4162" s="65" customFormat="1"/>
    <row r="4163" s="65" customFormat="1"/>
    <row r="4164" s="65" customFormat="1"/>
    <row r="4165" s="65" customFormat="1"/>
    <row r="4166" s="65" customFormat="1"/>
    <row r="4167" s="65" customFormat="1"/>
    <row r="4168" s="65" customFormat="1"/>
    <row r="4169" s="65" customFormat="1"/>
    <row r="4170" s="65" customFormat="1"/>
    <row r="4171" s="65" customFormat="1"/>
    <row r="4172" s="65" customFormat="1"/>
    <row r="4173" s="65" customFormat="1"/>
    <row r="4174" s="65" customFormat="1"/>
    <row r="4175" s="65" customFormat="1"/>
    <row r="4176" s="65" customFormat="1"/>
    <row r="4177" s="65" customFormat="1"/>
    <row r="4178" s="65" customFormat="1"/>
    <row r="4179" s="65" customFormat="1"/>
    <row r="4180" s="65" customFormat="1"/>
    <row r="4181" s="65" customFormat="1"/>
    <row r="4182" s="65" customFormat="1"/>
    <row r="4183" s="65" customFormat="1"/>
    <row r="4184" s="65" customFormat="1"/>
    <row r="4185" s="65" customFormat="1"/>
    <row r="4186" s="65" customFormat="1"/>
    <row r="4187" s="65" customFormat="1"/>
    <row r="4188" s="65" customFormat="1"/>
    <row r="4189" s="65" customFormat="1"/>
    <row r="4190" s="65" customFormat="1"/>
    <row r="4191" s="65" customFormat="1"/>
    <row r="4192" s="65" customFormat="1"/>
    <row r="4193" s="65" customFormat="1"/>
    <row r="4194" s="65" customFormat="1"/>
    <row r="4195" s="65" customFormat="1"/>
    <row r="4196" s="65" customFormat="1"/>
    <row r="4197" s="65" customFormat="1"/>
    <row r="4198" s="65" customFormat="1"/>
    <row r="4199" s="65" customFormat="1"/>
    <row r="4200" s="65" customFormat="1"/>
    <row r="4201" s="65" customFormat="1"/>
    <row r="4202" s="65" customFormat="1"/>
    <row r="4203" s="65" customFormat="1"/>
    <row r="4204" s="65" customFormat="1"/>
    <row r="4205" s="65" customFormat="1"/>
    <row r="4206" s="65" customFormat="1"/>
    <row r="4207" s="65" customFormat="1"/>
    <row r="4208" s="65" customFormat="1"/>
    <row r="4209" s="65" customFormat="1"/>
    <row r="4210" s="65" customFormat="1"/>
    <row r="4211" s="65" customFormat="1"/>
    <row r="4212" s="65" customFormat="1"/>
    <row r="4213" s="65" customFormat="1"/>
    <row r="4214" s="65" customFormat="1"/>
    <row r="4215" s="65" customFormat="1"/>
    <row r="4216" s="65" customFormat="1"/>
    <row r="4217" s="65" customFormat="1"/>
    <row r="4218" s="65" customFormat="1"/>
    <row r="4219" s="65" customFormat="1"/>
    <row r="4220" s="65" customFormat="1"/>
    <row r="4221" s="65" customFormat="1"/>
    <row r="4222" s="65" customFormat="1"/>
    <row r="4223" s="65" customFormat="1"/>
    <row r="4224" s="65" customFormat="1"/>
    <row r="4225" s="65" customFormat="1"/>
    <row r="4226" s="65" customFormat="1"/>
    <row r="4227" s="65" customFormat="1"/>
    <row r="4228" s="65" customFormat="1"/>
    <row r="4229" s="65" customFormat="1"/>
    <row r="4230" s="65" customFormat="1"/>
    <row r="4231" s="65" customFormat="1"/>
    <row r="4232" s="65" customFormat="1"/>
    <row r="4233" s="65" customFormat="1"/>
    <row r="4234" s="65" customFormat="1"/>
    <row r="4235" s="65" customFormat="1"/>
    <row r="4236" s="65" customFormat="1"/>
    <row r="4237" s="65" customFormat="1"/>
    <row r="4238" s="65" customFormat="1"/>
    <row r="4239" s="65" customFormat="1"/>
    <row r="4240" s="65" customFormat="1"/>
    <row r="4241" s="65" customFormat="1"/>
    <row r="4242" s="65" customFormat="1"/>
    <row r="4243" s="65" customFormat="1"/>
    <row r="4244" s="65" customFormat="1"/>
    <row r="4245" s="65" customFormat="1"/>
    <row r="4246" s="65" customFormat="1"/>
    <row r="4247" s="65" customFormat="1"/>
    <row r="4248" s="65" customFormat="1"/>
    <row r="4249" s="65" customFormat="1"/>
    <row r="4250" s="65" customFormat="1"/>
    <row r="4251" s="65" customFormat="1"/>
    <row r="4252" s="65" customFormat="1"/>
    <row r="4253" s="65" customFormat="1"/>
    <row r="4254" s="65" customFormat="1"/>
    <row r="4255" s="65" customFormat="1"/>
    <row r="4256" s="65" customFormat="1"/>
    <row r="4257" s="65" customFormat="1"/>
    <row r="4258" s="65" customFormat="1"/>
    <row r="4259" s="65" customFormat="1"/>
    <row r="4260" s="65" customFormat="1"/>
    <row r="4261" s="65" customFormat="1"/>
    <row r="4262" s="65" customFormat="1"/>
    <row r="4263" s="65" customFormat="1"/>
    <row r="4264" s="65" customFormat="1"/>
    <row r="4265" s="65" customFormat="1"/>
    <row r="4266" s="65" customFormat="1"/>
    <row r="4267" s="65" customFormat="1"/>
    <row r="4268" s="65" customFormat="1"/>
    <row r="4269" s="65" customFormat="1"/>
    <row r="4270" s="65" customFormat="1"/>
    <row r="4271" s="65" customFormat="1"/>
    <row r="4272" s="65" customFormat="1"/>
    <row r="4273" s="65" customFormat="1"/>
    <row r="4274" s="65" customFormat="1"/>
    <row r="4275" s="65" customFormat="1"/>
    <row r="4276" s="65" customFormat="1"/>
    <row r="4277" s="65" customFormat="1"/>
    <row r="4278" s="65" customFormat="1"/>
    <row r="4279" s="65" customFormat="1"/>
    <row r="4280" s="65" customFormat="1"/>
    <row r="4281" s="65" customFormat="1"/>
    <row r="4282" s="65" customFormat="1"/>
    <row r="4283" s="65" customFormat="1"/>
    <row r="4284" s="65" customFormat="1"/>
    <row r="4285" s="65" customFormat="1"/>
    <row r="4286" s="65" customFormat="1"/>
    <row r="4287" s="65" customFormat="1"/>
    <row r="4288" s="65" customFormat="1"/>
    <row r="4289" s="65" customFormat="1"/>
    <row r="4290" s="65" customFormat="1"/>
    <row r="4291" s="65" customFormat="1"/>
    <row r="4292" s="65" customFormat="1"/>
    <row r="4293" s="65" customFormat="1"/>
    <row r="4294" s="65" customFormat="1"/>
    <row r="4295" s="65" customFormat="1"/>
    <row r="4296" s="65" customFormat="1"/>
    <row r="4297" s="65" customFormat="1"/>
    <row r="4298" s="65" customFormat="1"/>
    <row r="4299" s="65" customFormat="1"/>
    <row r="4300" s="65" customFormat="1"/>
    <row r="4301" s="65" customFormat="1"/>
    <row r="4302" s="65" customFormat="1"/>
    <row r="4303" s="65" customFormat="1"/>
    <row r="4304" s="65" customFormat="1"/>
    <row r="4305" s="65" customFormat="1"/>
    <row r="4306" s="65" customFormat="1"/>
    <row r="4307" s="65" customFormat="1"/>
    <row r="4308" s="65" customFormat="1"/>
    <row r="4309" s="65" customFormat="1"/>
    <row r="4310" s="65" customFormat="1"/>
    <row r="4311" s="65" customFormat="1"/>
    <row r="4312" s="65" customFormat="1"/>
    <row r="4313" s="65" customFormat="1"/>
    <row r="4314" s="65" customFormat="1"/>
    <row r="4315" s="65" customFormat="1"/>
    <row r="4316" s="65" customFormat="1"/>
    <row r="4317" s="65" customFormat="1"/>
    <row r="4318" s="65" customFormat="1"/>
    <row r="4319" s="65" customFormat="1"/>
    <row r="4320" s="65" customFormat="1"/>
    <row r="4321" s="65" customFormat="1"/>
    <row r="4322" s="65" customFormat="1"/>
    <row r="4323" s="65" customFormat="1"/>
    <row r="4324" s="65" customFormat="1"/>
    <row r="4325" s="65" customFormat="1"/>
    <row r="4326" s="65" customFormat="1"/>
    <row r="4327" s="65" customFormat="1"/>
    <row r="4328" s="65" customFormat="1"/>
    <row r="4329" s="65" customFormat="1"/>
    <row r="4330" s="65" customFormat="1"/>
    <row r="4331" s="65" customFormat="1"/>
    <row r="4332" s="65" customFormat="1"/>
    <row r="4333" s="65" customFormat="1"/>
    <row r="4334" s="65" customFormat="1"/>
    <row r="4335" s="65" customFormat="1"/>
    <row r="4336" s="65" customFormat="1"/>
    <row r="4337" s="65" customFormat="1"/>
    <row r="4338" s="65" customFormat="1"/>
    <row r="4339" s="65" customFormat="1"/>
    <row r="4340" s="65" customFormat="1"/>
    <row r="4341" s="65" customFormat="1"/>
    <row r="4342" s="65" customFormat="1"/>
    <row r="4343" s="65" customFormat="1"/>
    <row r="4344" s="65" customFormat="1"/>
    <row r="4345" s="65" customFormat="1"/>
    <row r="4346" s="65" customFormat="1"/>
    <row r="4347" s="65" customFormat="1"/>
    <row r="4348" s="65" customFormat="1"/>
    <row r="4349" s="65" customFormat="1"/>
    <row r="4350" s="65" customFormat="1"/>
    <row r="4351" s="65" customFormat="1"/>
    <row r="4352" s="65" customFormat="1"/>
    <row r="4353" s="65" customFormat="1"/>
    <row r="4354" s="65" customFormat="1"/>
    <row r="4355" s="65" customFormat="1"/>
    <row r="4356" s="65" customFormat="1"/>
    <row r="4357" s="65" customFormat="1"/>
    <row r="4358" s="65" customFormat="1"/>
    <row r="4359" s="65" customFormat="1"/>
    <row r="4360" s="65" customFormat="1"/>
    <row r="4361" s="65" customFormat="1"/>
    <row r="4362" s="65" customFormat="1"/>
    <row r="4363" s="65" customFormat="1"/>
    <row r="4364" s="65" customFormat="1"/>
    <row r="4365" s="65" customFormat="1"/>
    <row r="4366" s="65" customFormat="1"/>
    <row r="4367" s="65" customFormat="1"/>
    <row r="4368" s="65" customFormat="1"/>
    <row r="4369" s="65" customFormat="1"/>
    <row r="4370" s="65" customFormat="1"/>
    <row r="4371" s="65" customFormat="1"/>
    <row r="4372" s="65" customFormat="1"/>
    <row r="4373" s="65" customFormat="1"/>
    <row r="4374" s="65" customFormat="1"/>
    <row r="4375" s="65" customFormat="1"/>
    <row r="4376" s="65" customFormat="1"/>
    <row r="4377" s="65" customFormat="1"/>
    <row r="4378" s="65" customFormat="1"/>
    <row r="4379" s="65" customFormat="1"/>
    <row r="4380" s="65" customFormat="1"/>
    <row r="4381" s="65" customFormat="1"/>
    <row r="4382" s="65" customFormat="1"/>
    <row r="4383" s="65" customFormat="1"/>
    <row r="4384" s="65" customFormat="1"/>
    <row r="4385" s="65" customFormat="1"/>
    <row r="4386" s="65" customFormat="1"/>
    <row r="4387" s="65" customFormat="1"/>
    <row r="4388" s="65" customFormat="1"/>
    <row r="4389" s="65" customFormat="1"/>
    <row r="4390" s="65" customFormat="1"/>
    <row r="4391" s="65" customFormat="1"/>
    <row r="4392" s="65" customFormat="1"/>
    <row r="4393" s="65" customFormat="1"/>
    <row r="4394" s="65" customFormat="1"/>
    <row r="4395" s="65" customFormat="1"/>
    <row r="4396" s="65" customFormat="1"/>
    <row r="4397" s="65" customFormat="1"/>
    <row r="4398" s="65" customFormat="1"/>
    <row r="4399" s="65" customFormat="1"/>
    <row r="4400" s="65" customFormat="1"/>
    <row r="4401" s="65" customFormat="1"/>
    <row r="4402" s="65" customFormat="1"/>
    <row r="4403" s="65" customFormat="1"/>
    <row r="4404" s="65" customFormat="1"/>
    <row r="4405" s="65" customFormat="1"/>
    <row r="4406" s="65" customFormat="1"/>
    <row r="4407" s="65" customFormat="1"/>
    <row r="4408" s="65" customFormat="1"/>
    <row r="4409" s="65" customFormat="1"/>
    <row r="4410" s="65" customFormat="1"/>
    <row r="4411" s="65" customFormat="1"/>
    <row r="4412" s="65" customFormat="1"/>
    <row r="4413" s="65" customFormat="1"/>
    <row r="4414" s="65" customFormat="1"/>
    <row r="4415" s="65" customFormat="1"/>
    <row r="4416" s="65" customFormat="1"/>
    <row r="4417" s="65" customFormat="1"/>
    <row r="4418" s="65" customFormat="1"/>
    <row r="4419" s="65" customFormat="1"/>
    <row r="4420" s="65" customFormat="1"/>
    <row r="4421" s="65" customFormat="1"/>
    <row r="4422" s="65" customFormat="1"/>
    <row r="4423" s="65" customFormat="1"/>
    <row r="4424" s="65" customFormat="1"/>
    <row r="4425" s="65" customFormat="1"/>
    <row r="4426" s="65" customFormat="1"/>
    <row r="4427" s="65" customFormat="1"/>
    <row r="4428" s="65" customFormat="1"/>
    <row r="4429" s="65" customFormat="1"/>
    <row r="4430" s="65" customFormat="1"/>
    <row r="4431" s="65" customFormat="1"/>
    <row r="4432" s="65" customFormat="1"/>
    <row r="4433" s="65" customFormat="1"/>
    <row r="4434" s="65" customFormat="1"/>
    <row r="4435" s="65" customFormat="1"/>
    <row r="4436" s="65" customFormat="1"/>
    <row r="4437" s="65" customFormat="1"/>
    <row r="4438" s="65" customFormat="1"/>
    <row r="4439" s="65" customFormat="1"/>
    <row r="4440" s="65" customFormat="1"/>
    <row r="4441" s="65" customFormat="1"/>
    <row r="4442" s="65" customFormat="1"/>
    <row r="4443" s="65" customFormat="1"/>
    <row r="4444" s="65" customFormat="1"/>
    <row r="4445" s="65" customFormat="1"/>
    <row r="4446" s="65" customFormat="1"/>
    <row r="4447" s="65" customFormat="1"/>
    <row r="4448" s="65" customFormat="1"/>
    <row r="4449" s="65" customFormat="1"/>
    <row r="4450" s="65" customFormat="1"/>
    <row r="4451" s="65" customFormat="1"/>
    <row r="4452" s="65" customFormat="1"/>
    <row r="4453" s="65" customFormat="1"/>
    <row r="4454" s="65" customFormat="1"/>
    <row r="4455" s="65" customFormat="1"/>
    <row r="4456" s="65" customFormat="1"/>
    <row r="4457" s="65" customFormat="1"/>
    <row r="4458" s="65" customFormat="1"/>
    <row r="4459" s="65" customFormat="1"/>
    <row r="4460" s="65" customFormat="1"/>
    <row r="4461" s="65" customFormat="1"/>
    <row r="4462" s="65" customFormat="1"/>
    <row r="4463" s="65" customFormat="1"/>
    <row r="4464" s="65" customFormat="1"/>
    <row r="4465" s="65" customFormat="1"/>
    <row r="4466" s="65" customFormat="1"/>
    <row r="4467" s="65" customFormat="1"/>
    <row r="4468" s="65" customFormat="1"/>
    <row r="4469" s="65" customFormat="1"/>
    <row r="4470" s="65" customFormat="1"/>
    <row r="4471" s="65" customFormat="1"/>
    <row r="4472" s="65" customFormat="1"/>
    <row r="4473" s="65" customFormat="1"/>
    <row r="4474" s="65" customFormat="1"/>
    <row r="4475" s="65" customFormat="1"/>
    <row r="4476" s="65" customFormat="1"/>
    <row r="4477" s="65" customFormat="1"/>
    <row r="4478" s="65" customFormat="1"/>
    <row r="4479" s="65" customFormat="1"/>
    <row r="4480" s="65" customFormat="1"/>
    <row r="4481" s="65" customFormat="1"/>
    <row r="4482" s="65" customFormat="1"/>
    <row r="4483" s="65" customFormat="1"/>
    <row r="4484" s="65" customFormat="1"/>
    <row r="4485" s="65" customFormat="1"/>
    <row r="4486" s="65" customFormat="1"/>
    <row r="4487" s="65" customFormat="1"/>
    <row r="4488" s="65" customFormat="1"/>
    <row r="4489" s="65" customFormat="1"/>
    <row r="4490" s="65" customFormat="1"/>
    <row r="4491" s="65" customFormat="1"/>
    <row r="4492" s="65" customFormat="1"/>
    <row r="4493" s="65" customFormat="1"/>
    <row r="4494" s="65" customFormat="1"/>
    <row r="4495" s="65" customFormat="1"/>
    <row r="4496" s="65" customFormat="1"/>
    <row r="4497" s="65" customFormat="1"/>
    <row r="4498" s="65" customFormat="1"/>
    <row r="4499" s="65" customFormat="1"/>
    <row r="4500" s="65" customFormat="1"/>
    <row r="4501" s="65" customFormat="1"/>
    <row r="4502" s="65" customFormat="1"/>
    <row r="4503" s="65" customFormat="1"/>
    <row r="4504" s="65" customFormat="1"/>
    <row r="4505" s="65" customFormat="1"/>
    <row r="4506" s="65" customFormat="1"/>
    <row r="4507" s="65" customFormat="1"/>
    <row r="4508" s="65" customFormat="1"/>
    <row r="4509" s="65" customFormat="1"/>
    <row r="4510" s="65" customFormat="1"/>
    <row r="4511" s="65" customFormat="1"/>
    <row r="4512" s="65" customFormat="1"/>
    <row r="4513" s="65" customFormat="1"/>
    <row r="4514" s="65" customFormat="1"/>
    <row r="4515" s="65" customFormat="1"/>
    <row r="4516" s="65" customFormat="1"/>
    <row r="4517" s="65" customFormat="1"/>
    <row r="4518" s="65" customFormat="1"/>
    <row r="4519" s="65" customFormat="1"/>
    <row r="4520" s="65" customFormat="1"/>
    <row r="4521" s="65" customFormat="1"/>
    <row r="4522" s="65" customFormat="1"/>
    <row r="4523" s="65" customFormat="1"/>
    <row r="4524" s="65" customFormat="1"/>
    <row r="4525" s="65" customFormat="1"/>
    <row r="4526" s="65" customFormat="1"/>
    <row r="4527" s="65" customFormat="1"/>
    <row r="4528" s="65" customFormat="1"/>
    <row r="4529" s="65" customFormat="1"/>
    <row r="4530" s="65" customFormat="1"/>
    <row r="4531" s="65" customFormat="1"/>
    <row r="4532" s="65" customFormat="1"/>
    <row r="4533" s="65" customFormat="1"/>
    <row r="4534" s="65" customFormat="1"/>
    <row r="4535" s="65" customFormat="1"/>
    <row r="4536" s="65" customFormat="1"/>
    <row r="4537" s="65" customFormat="1"/>
    <row r="4538" s="65" customFormat="1"/>
    <row r="4539" s="65" customFormat="1"/>
    <row r="4540" s="65" customFormat="1"/>
    <row r="4541" s="65" customFormat="1"/>
    <row r="4542" s="65" customFormat="1"/>
    <row r="4543" s="65" customFormat="1"/>
    <row r="4544" s="65" customFormat="1"/>
    <row r="4545" s="65" customFormat="1"/>
    <row r="4546" s="65" customFormat="1"/>
    <row r="4547" s="65" customFormat="1"/>
    <row r="4548" s="65" customFormat="1"/>
    <row r="4549" s="65" customFormat="1"/>
    <row r="4550" s="65" customFormat="1"/>
    <row r="4551" s="65" customFormat="1"/>
    <row r="4552" s="65" customFormat="1"/>
    <row r="4553" s="65" customFormat="1"/>
    <row r="4554" s="65" customFormat="1"/>
    <row r="4555" s="65" customFormat="1"/>
    <row r="4556" s="65" customFormat="1"/>
    <row r="4557" s="65" customFormat="1"/>
    <row r="4558" s="65" customFormat="1"/>
    <row r="4559" s="65" customFormat="1"/>
    <row r="4560" s="65" customFormat="1"/>
    <row r="4561" s="65" customFormat="1"/>
    <row r="4562" s="65" customFormat="1"/>
    <row r="4563" s="65" customFormat="1"/>
    <row r="4564" s="65" customFormat="1"/>
    <row r="4565" s="65" customFormat="1"/>
    <row r="4566" s="65" customFormat="1"/>
    <row r="4567" s="65" customFormat="1"/>
    <row r="4568" s="65" customFormat="1"/>
    <row r="4569" s="65" customFormat="1"/>
    <row r="4570" s="65" customFormat="1"/>
    <row r="4571" s="65" customFormat="1"/>
    <row r="4572" s="65" customFormat="1"/>
    <row r="4573" s="65" customFormat="1"/>
    <row r="4574" s="65" customFormat="1"/>
    <row r="4575" s="65" customFormat="1"/>
    <row r="4576" s="65" customFormat="1"/>
    <row r="4577" s="65" customFormat="1"/>
    <row r="4578" s="65" customFormat="1"/>
    <row r="4579" s="65" customFormat="1"/>
    <row r="4580" s="65" customFormat="1"/>
    <row r="4581" s="65" customFormat="1"/>
    <row r="4582" s="65" customFormat="1"/>
    <row r="4583" s="65" customFormat="1"/>
    <row r="4584" s="65" customFormat="1"/>
    <row r="4585" s="65" customFormat="1"/>
    <row r="4586" s="65" customFormat="1"/>
    <row r="4587" s="65" customFormat="1"/>
    <row r="4588" s="65" customFormat="1"/>
    <row r="4589" s="65" customFormat="1"/>
    <row r="4590" s="65" customFormat="1"/>
    <row r="4591" s="65" customFormat="1"/>
    <row r="4592" s="65" customFormat="1"/>
    <row r="4593" s="65" customFormat="1"/>
    <row r="4594" s="65" customFormat="1"/>
    <row r="4595" s="65" customFormat="1"/>
    <row r="4596" s="65" customFormat="1"/>
    <row r="4597" s="65" customFormat="1"/>
    <row r="4598" s="65" customFormat="1"/>
    <row r="4599" s="65" customFormat="1"/>
    <row r="4600" s="65" customFormat="1"/>
    <row r="4601" s="65" customFormat="1"/>
    <row r="4602" s="65" customFormat="1"/>
    <row r="4603" s="65" customFormat="1"/>
    <row r="4604" s="65" customFormat="1"/>
    <row r="4605" s="65" customFormat="1"/>
    <row r="4606" s="65" customFormat="1"/>
    <row r="4607" s="65" customFormat="1"/>
    <row r="4608" s="65" customFormat="1"/>
    <row r="4609" s="65" customFormat="1"/>
    <row r="4610" s="65" customFormat="1"/>
    <row r="4611" s="65" customFormat="1"/>
    <row r="4612" s="65" customFormat="1"/>
    <row r="4613" s="65" customFormat="1"/>
    <row r="4614" s="65" customFormat="1"/>
    <row r="4615" s="65" customFormat="1"/>
    <row r="4616" s="65" customFormat="1"/>
    <row r="4617" s="65" customFormat="1"/>
    <row r="4618" s="65" customFormat="1"/>
    <row r="4619" s="65" customFormat="1"/>
    <row r="4620" s="65" customFormat="1"/>
    <row r="4621" s="65" customFormat="1"/>
    <row r="4622" s="65" customFormat="1"/>
    <row r="4623" s="65" customFormat="1"/>
    <row r="4624" s="65" customFormat="1"/>
    <row r="4625" s="65" customFormat="1"/>
    <row r="4626" s="65" customFormat="1"/>
    <row r="4627" s="65" customFormat="1"/>
    <row r="4628" s="65" customFormat="1"/>
    <row r="4629" s="65" customFormat="1"/>
    <row r="4630" s="65" customFormat="1"/>
    <row r="4631" s="65" customFormat="1"/>
    <row r="4632" s="65" customFormat="1"/>
    <row r="4633" s="65" customFormat="1"/>
    <row r="4634" s="65" customFormat="1"/>
    <row r="4635" s="65" customFormat="1"/>
    <row r="4636" s="65" customFormat="1"/>
    <row r="4637" s="65" customFormat="1"/>
    <row r="4638" s="65" customFormat="1"/>
    <row r="4639" s="65" customFormat="1"/>
    <row r="4640" s="65" customFormat="1"/>
    <row r="4641" s="65" customFormat="1"/>
    <row r="4642" s="65" customFormat="1"/>
    <row r="4643" s="65" customFormat="1"/>
    <row r="4644" s="65" customFormat="1"/>
    <row r="4645" s="65" customFormat="1"/>
    <row r="4646" s="65" customFormat="1"/>
    <row r="4647" s="65" customFormat="1"/>
    <row r="4648" s="65" customFormat="1"/>
    <row r="4649" s="65" customFormat="1"/>
    <row r="4650" s="65" customFormat="1"/>
    <row r="4651" s="65" customFormat="1"/>
    <row r="4652" s="65" customFormat="1"/>
    <row r="4653" s="65" customFormat="1"/>
    <row r="4654" s="65" customFormat="1"/>
    <row r="4655" s="65" customFormat="1"/>
    <row r="4656" s="65" customFormat="1"/>
    <row r="4657" s="65" customFormat="1"/>
    <row r="4658" s="65" customFormat="1"/>
    <row r="4659" s="65" customFormat="1"/>
    <row r="4660" s="65" customFormat="1"/>
    <row r="4661" s="65" customFormat="1"/>
    <row r="4662" s="65" customFormat="1"/>
    <row r="4663" s="65" customFormat="1"/>
    <row r="4664" s="65" customFormat="1"/>
    <row r="4665" s="65" customFormat="1"/>
    <row r="4666" s="65" customFormat="1"/>
    <row r="4667" s="65" customFormat="1"/>
    <row r="4668" s="65" customFormat="1"/>
    <row r="4669" s="65" customFormat="1"/>
    <row r="4670" s="65" customFormat="1"/>
    <row r="4671" s="65" customFormat="1"/>
    <row r="4672" s="65" customFormat="1"/>
    <row r="4673" s="65" customFormat="1"/>
    <row r="4674" s="65" customFormat="1"/>
    <row r="4675" s="65" customFormat="1"/>
    <row r="4676" s="65" customFormat="1"/>
    <row r="4677" s="65" customFormat="1"/>
    <row r="4678" s="65" customFormat="1"/>
    <row r="4679" s="65" customFormat="1"/>
    <row r="4680" s="65" customFormat="1"/>
    <row r="4681" s="65" customFormat="1"/>
    <row r="4682" s="65" customFormat="1"/>
    <row r="4683" s="65" customFormat="1"/>
    <row r="4684" s="65" customFormat="1"/>
    <row r="4685" s="65" customFormat="1"/>
    <row r="4686" s="65" customFormat="1"/>
    <row r="4687" s="65" customFormat="1"/>
    <row r="4688" s="65" customFormat="1"/>
    <row r="4689" s="65" customFormat="1"/>
    <row r="4690" s="65" customFormat="1"/>
    <row r="4691" s="65" customFormat="1"/>
    <row r="4692" s="65" customFormat="1"/>
    <row r="4693" s="65" customFormat="1"/>
    <row r="4694" s="65" customFormat="1"/>
    <row r="4695" s="65" customFormat="1"/>
    <row r="4696" s="65" customFormat="1"/>
    <row r="4697" s="65" customFormat="1"/>
    <row r="4698" s="65" customFormat="1"/>
    <row r="4699" s="65" customFormat="1"/>
    <row r="4700" s="65" customFormat="1"/>
    <row r="4701" s="65" customFormat="1"/>
    <row r="4702" s="65" customFormat="1"/>
    <row r="4703" s="65" customFormat="1"/>
    <row r="4704" s="65" customFormat="1"/>
    <row r="4705" s="65" customFormat="1"/>
    <row r="4706" s="65" customFormat="1"/>
    <row r="4707" s="65" customFormat="1"/>
    <row r="4708" s="65" customFormat="1"/>
    <row r="4709" s="65" customFormat="1"/>
    <row r="4710" s="65" customFormat="1"/>
    <row r="4711" s="65" customFormat="1"/>
    <row r="4712" s="65" customFormat="1"/>
    <row r="4713" s="65" customFormat="1"/>
    <row r="4714" s="65" customFormat="1"/>
    <row r="4715" s="65" customFormat="1"/>
    <row r="4716" s="65" customFormat="1"/>
    <row r="4717" s="65" customFormat="1"/>
    <row r="4718" s="65" customFormat="1"/>
    <row r="4719" s="65" customFormat="1"/>
    <row r="4720" s="65" customFormat="1"/>
    <row r="4721" s="65" customFormat="1"/>
    <row r="4722" s="65" customFormat="1"/>
    <row r="4723" s="65" customFormat="1"/>
    <row r="4724" s="65" customFormat="1"/>
    <row r="4725" s="65" customFormat="1"/>
    <row r="4726" s="65" customFormat="1"/>
    <row r="4727" s="65" customFormat="1"/>
    <row r="4728" s="65" customFormat="1"/>
    <row r="4729" s="65" customFormat="1"/>
    <row r="4730" s="65" customFormat="1"/>
    <row r="4731" s="65" customFormat="1"/>
    <row r="4732" s="65" customFormat="1"/>
    <row r="4733" s="65" customFormat="1"/>
    <row r="4734" s="65" customFormat="1"/>
    <row r="4735" s="65" customFormat="1"/>
    <row r="4736" s="65" customFormat="1"/>
    <row r="4737" s="65" customFormat="1"/>
    <row r="4738" s="65" customFormat="1"/>
    <row r="4739" s="65" customFormat="1"/>
    <row r="4740" s="65" customFormat="1"/>
    <row r="4741" s="65" customFormat="1"/>
    <row r="4742" s="65" customFormat="1"/>
    <row r="4743" s="65" customFormat="1"/>
    <row r="4744" s="65" customFormat="1"/>
    <row r="4745" s="65" customFormat="1"/>
    <row r="4746" s="65" customFormat="1"/>
    <row r="4747" s="65" customFormat="1"/>
    <row r="4748" s="65" customFormat="1"/>
    <row r="4749" s="65" customFormat="1"/>
    <row r="4750" s="65" customFormat="1"/>
    <row r="4751" s="65" customFormat="1"/>
    <row r="4752" s="65" customFormat="1"/>
    <row r="4753" s="65" customFormat="1"/>
    <row r="4754" s="65" customFormat="1"/>
    <row r="4755" s="65" customFormat="1"/>
    <row r="4756" s="65" customFormat="1"/>
    <row r="4757" s="65" customFormat="1"/>
    <row r="4758" s="65" customFormat="1"/>
    <row r="4759" s="65" customFormat="1"/>
    <row r="4760" s="65" customFormat="1"/>
    <row r="4761" s="65" customFormat="1"/>
    <row r="4762" s="65" customFormat="1"/>
    <row r="4763" s="65" customFormat="1"/>
    <row r="4764" s="65" customFormat="1"/>
    <row r="4765" s="65" customFormat="1"/>
    <row r="4766" s="65" customFormat="1"/>
    <row r="4767" s="65" customFormat="1"/>
    <row r="4768" s="65" customFormat="1"/>
    <row r="4769" s="65" customFormat="1"/>
    <row r="4770" s="65" customFormat="1"/>
    <row r="4771" s="65" customFormat="1"/>
    <row r="4772" s="65" customFormat="1"/>
    <row r="4773" s="65" customFormat="1"/>
    <row r="4774" s="65" customFormat="1"/>
    <row r="4775" s="65" customFormat="1"/>
    <row r="4776" s="65" customFormat="1"/>
    <row r="4777" s="65" customFormat="1"/>
    <row r="4778" s="65" customFormat="1"/>
    <row r="4779" s="65" customFormat="1"/>
    <row r="4780" s="65" customFormat="1"/>
    <row r="4781" s="65" customFormat="1"/>
    <row r="4782" s="65" customFormat="1"/>
    <row r="4783" s="65" customFormat="1"/>
    <row r="4784" s="65" customFormat="1"/>
    <row r="4785" s="65" customFormat="1"/>
    <row r="4786" s="65" customFormat="1"/>
    <row r="4787" s="65" customFormat="1"/>
    <row r="4788" s="65" customFormat="1"/>
    <row r="4789" s="65" customFormat="1"/>
    <row r="4790" s="65" customFormat="1"/>
    <row r="4791" s="65" customFormat="1"/>
    <row r="4792" s="65" customFormat="1"/>
    <row r="4793" s="65" customFormat="1"/>
    <row r="4794" s="65" customFormat="1"/>
    <row r="4795" s="65" customFormat="1"/>
    <row r="4796" s="65" customFormat="1"/>
    <row r="4797" s="65" customFormat="1"/>
    <row r="4798" s="65" customFormat="1"/>
    <row r="4799" s="65" customFormat="1"/>
    <row r="4800" s="65" customFormat="1"/>
    <row r="4801" s="65" customFormat="1"/>
    <row r="4802" s="65" customFormat="1"/>
    <row r="4803" s="65" customFormat="1"/>
    <row r="4804" s="65" customFormat="1"/>
    <row r="4805" s="65" customFormat="1"/>
    <row r="4806" s="65" customFormat="1"/>
    <row r="4807" s="65" customFormat="1"/>
    <row r="4808" s="65" customFormat="1"/>
    <row r="4809" s="65" customFormat="1"/>
    <row r="4810" s="65" customFormat="1"/>
    <row r="4811" s="65" customFormat="1"/>
    <row r="4812" s="65" customFormat="1"/>
    <row r="4813" s="65" customFormat="1"/>
    <row r="4814" s="65" customFormat="1"/>
    <row r="4815" s="65" customFormat="1"/>
    <row r="4816" s="65" customFormat="1"/>
    <row r="4817" s="65" customFormat="1"/>
    <row r="4818" s="65" customFormat="1"/>
    <row r="4819" s="65" customFormat="1"/>
    <row r="4820" s="65" customFormat="1"/>
    <row r="4821" s="65" customFormat="1"/>
    <row r="4822" s="65" customFormat="1"/>
    <row r="4823" s="65" customFormat="1"/>
    <row r="4824" s="65" customFormat="1"/>
    <row r="4825" s="65" customFormat="1"/>
    <row r="4826" s="65" customFormat="1"/>
    <row r="4827" s="65" customFormat="1"/>
    <row r="4828" s="65" customFormat="1"/>
    <row r="4829" s="65" customFormat="1"/>
    <row r="4830" s="65" customFormat="1"/>
    <row r="4831" s="65" customFormat="1"/>
    <row r="4832" s="65" customFormat="1"/>
    <row r="4833" s="65" customFormat="1"/>
    <row r="4834" s="65" customFormat="1"/>
    <row r="4835" s="65" customFormat="1"/>
    <row r="4836" s="65" customFormat="1"/>
    <row r="4837" s="65" customFormat="1"/>
    <row r="4838" s="65" customFormat="1"/>
    <row r="4839" s="65" customFormat="1"/>
    <row r="4840" s="65" customFormat="1"/>
    <row r="4841" s="65" customFormat="1"/>
    <row r="4842" s="65" customFormat="1"/>
    <row r="4843" s="65" customFormat="1"/>
    <row r="4844" s="65" customFormat="1"/>
    <row r="4845" s="65" customFormat="1"/>
    <row r="4846" s="65" customFormat="1"/>
    <row r="4847" s="65" customFormat="1"/>
    <row r="4848" s="65" customFormat="1"/>
    <row r="4849" s="65" customFormat="1"/>
    <row r="4850" s="65" customFormat="1"/>
    <row r="4851" s="65" customFormat="1"/>
    <row r="4852" s="65" customFormat="1"/>
    <row r="4853" s="65" customFormat="1"/>
    <row r="4854" s="65" customFormat="1"/>
    <row r="4855" s="65" customFormat="1"/>
    <row r="4856" s="65" customFormat="1"/>
    <row r="4857" s="65" customFormat="1"/>
    <row r="4858" s="65" customFormat="1"/>
    <row r="4859" s="65" customFormat="1"/>
    <row r="4860" s="65" customFormat="1"/>
    <row r="4861" s="65" customFormat="1"/>
    <row r="4862" s="65" customFormat="1"/>
    <row r="4863" s="65" customFormat="1"/>
    <row r="4864" s="65" customFormat="1"/>
    <row r="4865" s="65" customFormat="1"/>
    <row r="4866" s="65" customFormat="1"/>
    <row r="4867" s="65" customFormat="1"/>
    <row r="4868" s="65" customFormat="1"/>
    <row r="4869" s="65" customFormat="1"/>
    <row r="4870" s="65" customFormat="1"/>
    <row r="4871" s="65" customFormat="1"/>
    <row r="4872" s="65" customFormat="1"/>
    <row r="4873" s="65" customFormat="1"/>
    <row r="4874" s="65" customFormat="1"/>
    <row r="4875" s="65" customFormat="1"/>
    <row r="4876" s="65" customFormat="1"/>
    <row r="4877" s="65" customFormat="1"/>
    <row r="4878" s="65" customFormat="1"/>
    <row r="4879" s="65" customFormat="1"/>
    <row r="4880" s="65" customFormat="1"/>
    <row r="4881" s="65" customFormat="1"/>
    <row r="4882" s="65" customFormat="1"/>
    <row r="4883" s="65" customFormat="1"/>
    <row r="4884" s="65" customFormat="1"/>
    <row r="4885" s="65" customFormat="1"/>
    <row r="4886" s="65" customFormat="1"/>
    <row r="4887" s="65" customFormat="1"/>
    <row r="4888" s="65" customFormat="1"/>
    <row r="4889" s="65" customFormat="1"/>
    <row r="4890" s="65" customFormat="1"/>
    <row r="4891" s="65" customFormat="1"/>
    <row r="4892" s="65" customFormat="1"/>
    <row r="4893" s="65" customFormat="1"/>
    <row r="4894" s="65" customFormat="1"/>
    <row r="4895" s="65" customFormat="1"/>
    <row r="4896" s="65" customFormat="1"/>
    <row r="4897" s="65" customFormat="1"/>
    <row r="4898" s="65" customFormat="1"/>
    <row r="4899" s="65" customFormat="1"/>
    <row r="4900" s="65" customFormat="1"/>
    <row r="4901" s="65" customFormat="1"/>
    <row r="4902" s="65" customFormat="1"/>
    <row r="4903" s="65" customFormat="1"/>
    <row r="4904" s="65" customFormat="1"/>
    <row r="4905" s="65" customFormat="1"/>
    <row r="4906" s="65" customFormat="1"/>
    <row r="4907" s="65" customFormat="1"/>
    <row r="4908" s="65" customFormat="1"/>
    <row r="4909" s="65" customFormat="1"/>
    <row r="4910" s="65" customFormat="1"/>
    <row r="4911" s="65" customFormat="1"/>
    <row r="4912" s="65" customFormat="1"/>
    <row r="4913" s="65" customFormat="1"/>
    <row r="4914" s="65" customFormat="1"/>
    <row r="4915" s="65" customFormat="1"/>
    <row r="4916" s="65" customFormat="1"/>
    <row r="4917" s="65" customFormat="1"/>
    <row r="4918" s="65" customFormat="1"/>
    <row r="4919" s="65" customFormat="1"/>
    <row r="4920" s="65" customFormat="1"/>
    <row r="4921" s="65" customFormat="1"/>
    <row r="4922" s="65" customFormat="1"/>
    <row r="4923" s="65" customFormat="1"/>
    <row r="4924" s="65" customFormat="1"/>
    <row r="4925" s="65" customFormat="1"/>
    <row r="4926" s="65" customFormat="1"/>
    <row r="4927" s="65" customFormat="1"/>
    <row r="4928" s="65" customFormat="1"/>
    <row r="4929" s="65" customFormat="1"/>
    <row r="4930" s="65" customFormat="1"/>
    <row r="4931" s="65" customFormat="1"/>
    <row r="4932" s="65" customFormat="1"/>
    <row r="4933" s="65" customFormat="1"/>
    <row r="4934" s="65" customFormat="1"/>
    <row r="4935" s="65" customFormat="1"/>
    <row r="4936" s="65" customFormat="1"/>
    <row r="4937" s="65" customFormat="1"/>
    <row r="4938" s="65" customFormat="1"/>
    <row r="4939" s="65" customFormat="1"/>
    <row r="4940" s="65" customFormat="1"/>
    <row r="4941" s="65" customFormat="1"/>
    <row r="4942" s="65" customFormat="1"/>
    <row r="4943" s="65" customFormat="1"/>
    <row r="4944" s="65" customFormat="1"/>
    <row r="4945" s="65" customFormat="1"/>
    <row r="4946" s="65" customFormat="1"/>
    <row r="4947" s="65" customFormat="1"/>
    <row r="4948" s="65" customFormat="1"/>
    <row r="4949" s="65" customFormat="1"/>
    <row r="4950" s="65" customFormat="1"/>
    <row r="4951" s="65" customFormat="1"/>
    <row r="4952" s="65" customFormat="1"/>
    <row r="4953" s="65" customFormat="1"/>
    <row r="4954" s="65" customFormat="1"/>
    <row r="4955" s="65" customFormat="1"/>
    <row r="4956" s="65" customFormat="1"/>
    <row r="4957" s="65" customFormat="1"/>
    <row r="4958" s="65" customFormat="1"/>
    <row r="4959" s="65" customFormat="1"/>
    <row r="4960" s="65" customFormat="1"/>
    <row r="4961" s="65" customFormat="1"/>
    <row r="4962" s="65" customFormat="1"/>
    <row r="4963" s="65" customFormat="1"/>
    <row r="4964" s="65" customFormat="1"/>
    <row r="4965" s="65" customFormat="1"/>
    <row r="4966" s="65" customFormat="1"/>
    <row r="4967" s="65" customFormat="1"/>
    <row r="4968" s="65" customFormat="1"/>
    <row r="4969" s="65" customFormat="1"/>
    <row r="4970" s="65" customFormat="1"/>
    <row r="4971" s="65" customFormat="1"/>
    <row r="4972" s="65" customFormat="1"/>
    <row r="4973" s="65" customFormat="1"/>
    <row r="4974" s="65" customFormat="1"/>
    <row r="4975" s="65" customFormat="1"/>
    <row r="4976" s="65" customFormat="1"/>
    <row r="4977" s="65" customFormat="1"/>
    <row r="4978" s="65" customFormat="1"/>
    <row r="4979" s="65" customFormat="1"/>
    <row r="4980" s="65" customFormat="1"/>
    <row r="4981" s="65" customFormat="1"/>
    <row r="4982" s="65" customFormat="1"/>
    <row r="4983" s="65" customFormat="1"/>
    <row r="4984" s="65" customFormat="1"/>
    <row r="4985" s="65" customFormat="1"/>
    <row r="4986" s="65" customFormat="1"/>
    <row r="4987" s="65" customFormat="1"/>
    <row r="4988" s="65" customFormat="1"/>
    <row r="4989" s="65" customFormat="1"/>
    <row r="4990" s="65" customFormat="1"/>
    <row r="4991" s="65" customFormat="1"/>
    <row r="4992" s="65" customFormat="1"/>
    <row r="4993" s="65" customFormat="1"/>
    <row r="4994" s="65" customFormat="1"/>
    <row r="4995" s="65" customFormat="1"/>
    <row r="4996" s="65" customFormat="1"/>
    <row r="4997" s="65" customFormat="1"/>
    <row r="4998" s="65" customFormat="1"/>
    <row r="4999" s="65" customFormat="1"/>
    <row r="5000" s="65" customFormat="1"/>
    <row r="5001" s="65" customFormat="1"/>
    <row r="5002" s="65" customFormat="1"/>
    <row r="5003" s="65" customFormat="1"/>
    <row r="5004" s="65" customFormat="1"/>
    <row r="5005" s="65" customFormat="1"/>
    <row r="5006" s="65" customFormat="1"/>
    <row r="5007" s="65" customFormat="1"/>
    <row r="5008" s="65" customFormat="1"/>
    <row r="5009" s="65" customFormat="1"/>
    <row r="5010" s="65" customFormat="1"/>
    <row r="5011" s="65" customFormat="1"/>
    <row r="5012" s="65" customFormat="1"/>
    <row r="5013" s="65" customFormat="1"/>
    <row r="5014" s="65" customFormat="1"/>
    <row r="5015" s="65" customFormat="1"/>
    <row r="5016" s="65" customFormat="1"/>
    <row r="5017" s="65" customFormat="1"/>
    <row r="5018" s="65" customFormat="1"/>
    <row r="5019" s="65" customFormat="1"/>
    <row r="5020" s="65" customFormat="1"/>
    <row r="5021" s="65" customFormat="1"/>
    <row r="5022" s="65" customFormat="1"/>
    <row r="5023" s="65" customFormat="1"/>
    <row r="5024" s="65" customFormat="1"/>
    <row r="5025" s="65" customFormat="1"/>
    <row r="5026" s="65" customFormat="1"/>
    <row r="5027" s="65" customFormat="1"/>
    <row r="5028" s="65" customFormat="1"/>
    <row r="5029" s="65" customFormat="1"/>
    <row r="5030" s="65" customFormat="1"/>
    <row r="5031" s="65" customFormat="1"/>
    <row r="5032" s="65" customFormat="1"/>
    <row r="5033" s="65" customFormat="1"/>
    <row r="5034" s="65" customFormat="1"/>
    <row r="5035" s="65" customFormat="1"/>
    <row r="5036" s="65" customFormat="1"/>
    <row r="5037" s="65" customFormat="1"/>
    <row r="5038" s="65" customFormat="1"/>
    <row r="5039" s="65" customFormat="1"/>
    <row r="5040" s="65" customFormat="1"/>
    <row r="5041" s="65" customFormat="1"/>
    <row r="5042" s="65" customFormat="1"/>
    <row r="5043" s="65" customFormat="1"/>
    <row r="5044" s="65" customFormat="1"/>
    <row r="5045" s="65" customFormat="1"/>
    <row r="5046" s="65" customFormat="1"/>
    <row r="5047" s="65" customFormat="1"/>
    <row r="5048" s="65" customFormat="1"/>
    <row r="5049" s="65" customFormat="1"/>
    <row r="5050" s="65" customFormat="1"/>
    <row r="5051" s="65" customFormat="1"/>
    <row r="5052" s="65" customFormat="1"/>
    <row r="5053" s="65" customFormat="1"/>
    <row r="5054" s="65" customFormat="1"/>
    <row r="5055" s="65" customFormat="1"/>
    <row r="5056" s="65" customFormat="1"/>
    <row r="5057" s="65" customFormat="1"/>
    <row r="5058" s="65" customFormat="1"/>
    <row r="5059" s="65" customFormat="1"/>
    <row r="5060" s="65" customFormat="1"/>
    <row r="5061" s="65" customFormat="1"/>
    <row r="5062" s="65" customFormat="1"/>
    <row r="5063" s="65" customFormat="1"/>
    <row r="5064" s="65" customFormat="1"/>
    <row r="5065" s="65" customFormat="1"/>
    <row r="5066" s="65" customFormat="1"/>
    <row r="5067" s="65" customFormat="1"/>
    <row r="5068" s="65" customFormat="1"/>
    <row r="5069" s="65" customFormat="1"/>
    <row r="5070" s="65" customFormat="1"/>
    <row r="5071" s="65" customFormat="1"/>
    <row r="5072" s="65" customFormat="1"/>
    <row r="5073" s="65" customFormat="1"/>
    <row r="5074" s="65" customFormat="1"/>
    <row r="5075" s="65" customFormat="1"/>
    <row r="5076" s="65" customFormat="1"/>
    <row r="5077" s="65" customFormat="1"/>
    <row r="5078" s="65" customFormat="1"/>
    <row r="5079" s="65" customFormat="1"/>
    <row r="5080" s="65" customFormat="1"/>
    <row r="5081" s="65" customFormat="1"/>
    <row r="5082" s="65" customFormat="1"/>
    <row r="5083" s="65" customFormat="1"/>
    <row r="5084" s="65" customFormat="1"/>
    <row r="5085" s="65" customFormat="1"/>
    <row r="5086" s="65" customFormat="1"/>
    <row r="5087" s="65" customFormat="1"/>
    <row r="5088" s="65" customFormat="1"/>
    <row r="5089" s="65" customFormat="1"/>
    <row r="5090" s="65" customFormat="1"/>
    <row r="5091" s="65" customFormat="1"/>
    <row r="5092" s="65" customFormat="1"/>
    <row r="5093" s="65" customFormat="1"/>
    <row r="5094" s="65" customFormat="1"/>
    <row r="5095" s="65" customFormat="1"/>
    <row r="5096" s="65" customFormat="1"/>
    <row r="5097" s="65" customFormat="1"/>
    <row r="5098" s="65" customFormat="1"/>
    <row r="5099" s="65" customFormat="1"/>
    <row r="5100" s="65" customFormat="1"/>
    <row r="5101" s="65" customFormat="1"/>
    <row r="5102" s="65" customFormat="1"/>
    <row r="5103" s="65" customFormat="1"/>
    <row r="5104" s="65" customFormat="1"/>
    <row r="5105" s="65" customFormat="1"/>
    <row r="5106" s="65" customFormat="1"/>
    <row r="5107" s="65" customFormat="1"/>
    <row r="5108" s="65" customFormat="1"/>
    <row r="5109" s="65" customFormat="1"/>
    <row r="5110" s="65" customFormat="1"/>
    <row r="5111" s="65" customFormat="1"/>
    <row r="5112" s="65" customFormat="1"/>
    <row r="5113" s="65" customFormat="1"/>
    <row r="5114" s="65" customFormat="1"/>
    <row r="5115" s="65" customFormat="1"/>
    <row r="5116" s="65" customFormat="1"/>
    <row r="5117" s="65" customFormat="1"/>
    <row r="5118" s="65" customFormat="1"/>
    <row r="5119" s="65" customFormat="1"/>
    <row r="5120" s="65" customFormat="1"/>
    <row r="5121" s="65" customFormat="1"/>
    <row r="5122" s="65" customFormat="1"/>
    <row r="5123" s="65" customFormat="1"/>
    <row r="5124" s="65" customFormat="1"/>
    <row r="5125" s="65" customFormat="1"/>
    <row r="5126" s="65" customFormat="1"/>
    <row r="5127" s="65" customFormat="1"/>
    <row r="5128" s="65" customFormat="1"/>
    <row r="5129" s="65" customFormat="1"/>
    <row r="5130" s="65" customFormat="1"/>
    <row r="5131" s="65" customFormat="1"/>
    <row r="5132" s="65" customFormat="1"/>
    <row r="5133" s="65" customFormat="1"/>
    <row r="5134" s="65" customFormat="1"/>
    <row r="5135" s="65" customFormat="1"/>
    <row r="5136" s="65" customFormat="1"/>
    <row r="5137" s="65" customFormat="1"/>
    <row r="5138" s="65" customFormat="1"/>
    <row r="5139" s="65" customFormat="1"/>
    <row r="5140" s="65" customFormat="1"/>
    <row r="5141" s="65" customFormat="1"/>
    <row r="5142" s="65" customFormat="1"/>
    <row r="5143" s="65" customFormat="1"/>
    <row r="5144" s="65" customFormat="1"/>
    <row r="5145" s="65" customFormat="1"/>
    <row r="5146" s="65" customFormat="1"/>
    <row r="5147" s="65" customFormat="1"/>
    <row r="5148" s="65" customFormat="1"/>
    <row r="5149" s="65" customFormat="1"/>
    <row r="5150" s="65" customFormat="1"/>
    <row r="5151" s="65" customFormat="1"/>
    <row r="5152" s="65" customFormat="1"/>
    <row r="5153" s="65" customFormat="1"/>
    <row r="5154" s="65" customFormat="1"/>
    <row r="5155" s="65" customFormat="1"/>
    <row r="5156" s="65" customFormat="1"/>
    <row r="5157" s="65" customFormat="1"/>
    <row r="5158" s="65" customFormat="1"/>
    <row r="5159" s="65" customFormat="1"/>
    <row r="5160" s="65" customFormat="1"/>
    <row r="5161" s="65" customFormat="1"/>
    <row r="5162" s="65" customFormat="1"/>
    <row r="5163" s="65" customFormat="1"/>
    <row r="5164" s="65" customFormat="1"/>
    <row r="5165" s="65" customFormat="1"/>
    <row r="5166" s="65" customFormat="1"/>
    <row r="5167" s="65" customFormat="1"/>
    <row r="5168" s="65" customFormat="1"/>
    <row r="5169" s="65" customFormat="1"/>
    <row r="5170" s="65" customFormat="1"/>
    <row r="5171" s="65" customFormat="1"/>
    <row r="5172" s="65" customFormat="1"/>
    <row r="5173" s="65" customFormat="1"/>
    <row r="5174" s="65" customFormat="1"/>
    <row r="5175" s="65" customFormat="1"/>
    <row r="5176" s="65" customFormat="1"/>
    <row r="5177" s="65" customFormat="1"/>
    <row r="5178" s="65" customFormat="1"/>
    <row r="5179" s="65" customFormat="1"/>
    <row r="5180" s="65" customFormat="1"/>
    <row r="5181" s="65" customFormat="1"/>
    <row r="5182" s="65" customFormat="1"/>
    <row r="5183" s="65" customFormat="1"/>
    <row r="5184" s="65" customFormat="1"/>
    <row r="5185" s="65" customFormat="1"/>
    <row r="5186" s="65" customFormat="1"/>
    <row r="5187" s="65" customFormat="1"/>
    <row r="5188" s="65" customFormat="1"/>
    <row r="5189" s="65" customFormat="1"/>
    <row r="5190" s="65" customFormat="1"/>
    <row r="5191" s="65" customFormat="1"/>
    <row r="5192" s="65" customFormat="1"/>
    <row r="5193" s="65" customFormat="1"/>
    <row r="5194" s="65" customFormat="1"/>
    <row r="5195" s="65" customFormat="1"/>
    <row r="5196" s="65" customFormat="1"/>
    <row r="5197" s="65" customFormat="1"/>
    <row r="5198" s="65" customFormat="1"/>
    <row r="5199" s="65" customFormat="1"/>
    <row r="5200" s="65" customFormat="1"/>
    <row r="5201" s="65" customFormat="1"/>
    <row r="5202" s="65" customFormat="1"/>
    <row r="5203" s="65" customFormat="1"/>
    <row r="5204" s="65" customFormat="1"/>
    <row r="5205" s="65" customFormat="1"/>
    <row r="5206" s="65" customFormat="1"/>
    <row r="5207" s="65" customFormat="1"/>
    <row r="5208" s="65" customFormat="1"/>
    <row r="5209" s="65" customFormat="1"/>
    <row r="5210" s="65" customFormat="1"/>
    <row r="5211" s="65" customFormat="1"/>
    <row r="5212" s="65" customFormat="1"/>
    <row r="5213" s="65" customFormat="1"/>
    <row r="5214" s="65" customFormat="1"/>
    <row r="5215" s="65" customFormat="1"/>
    <row r="5216" s="65" customFormat="1"/>
    <row r="5217" s="65" customFormat="1"/>
    <row r="5218" s="65" customFormat="1"/>
    <row r="5219" s="65" customFormat="1"/>
    <row r="5220" s="65" customFormat="1"/>
    <row r="5221" s="65" customFormat="1"/>
    <row r="5222" s="65" customFormat="1"/>
    <row r="5223" s="65" customFormat="1"/>
    <row r="5224" s="65" customFormat="1"/>
    <row r="5225" s="65" customFormat="1"/>
    <row r="5226" s="65" customFormat="1"/>
    <row r="5227" s="65" customFormat="1"/>
    <row r="5228" s="65" customFormat="1"/>
    <row r="5229" s="65" customFormat="1"/>
    <row r="5230" s="65" customFormat="1"/>
    <row r="5231" s="65" customFormat="1"/>
    <row r="5232" s="65" customFormat="1"/>
    <row r="5233" s="65" customFormat="1"/>
    <row r="5234" s="65" customFormat="1"/>
    <row r="5235" s="65" customFormat="1"/>
    <row r="5236" s="65" customFormat="1"/>
    <row r="5237" s="65" customFormat="1"/>
    <row r="5238" s="65" customFormat="1"/>
    <row r="5239" s="65" customFormat="1"/>
    <row r="5240" s="65" customFormat="1"/>
    <row r="5241" s="65" customFormat="1"/>
    <row r="5242" s="65" customFormat="1"/>
    <row r="5243" s="65" customFormat="1"/>
    <row r="5244" s="65" customFormat="1"/>
    <row r="5245" s="65" customFormat="1"/>
    <row r="5246" s="65" customFormat="1"/>
    <row r="5247" s="65" customFormat="1"/>
    <row r="5248" s="65" customFormat="1"/>
    <row r="5249" s="65" customFormat="1"/>
    <row r="5250" s="65" customFormat="1"/>
    <row r="5251" s="65" customFormat="1"/>
    <row r="5252" s="65" customFormat="1"/>
    <row r="5253" s="65" customFormat="1"/>
    <row r="5254" s="65" customFormat="1"/>
    <row r="5255" s="65" customFormat="1"/>
    <row r="5256" s="65" customFormat="1"/>
    <row r="5257" s="65" customFormat="1"/>
    <row r="5258" s="65" customFormat="1"/>
    <row r="5259" s="65" customFormat="1"/>
    <row r="5260" s="65" customFormat="1"/>
    <row r="5261" s="65" customFormat="1"/>
    <row r="5262" s="65" customFormat="1"/>
    <row r="5263" s="65" customFormat="1"/>
    <row r="5264" s="65" customFormat="1"/>
    <row r="5265" s="65" customFormat="1"/>
    <row r="5266" s="65" customFormat="1"/>
    <row r="5267" s="65" customFormat="1"/>
    <row r="5268" s="65" customFormat="1"/>
    <row r="5269" s="65" customFormat="1"/>
    <row r="5270" s="65" customFormat="1"/>
    <row r="5271" s="65" customFormat="1"/>
    <row r="5272" s="65" customFormat="1"/>
    <row r="5273" s="65" customFormat="1"/>
    <row r="5274" s="65" customFormat="1"/>
    <row r="5275" s="65" customFormat="1"/>
    <row r="5276" s="65" customFormat="1"/>
    <row r="5277" s="65" customFormat="1"/>
    <row r="5278" s="65" customFormat="1"/>
    <row r="5279" s="65" customFormat="1"/>
    <row r="5280" s="65" customFormat="1"/>
    <row r="5281" s="65" customFormat="1"/>
    <row r="5282" s="65" customFormat="1"/>
    <row r="5283" s="65" customFormat="1"/>
    <row r="5284" s="65" customFormat="1"/>
    <row r="5285" s="65" customFormat="1"/>
    <row r="5286" s="65" customFormat="1"/>
    <row r="5287" s="65" customFormat="1"/>
    <row r="5288" s="65" customFormat="1"/>
    <row r="5289" s="65" customFormat="1"/>
    <row r="5290" s="65" customFormat="1"/>
    <row r="5291" s="65" customFormat="1"/>
    <row r="5292" s="65" customFormat="1"/>
    <row r="5293" s="65" customFormat="1"/>
    <row r="5294" s="65" customFormat="1"/>
    <row r="5295" s="65" customFormat="1"/>
    <row r="5296" s="65" customFormat="1"/>
    <row r="5297" s="65" customFormat="1"/>
    <row r="5298" s="65" customFormat="1"/>
    <row r="5299" s="65" customFormat="1"/>
    <row r="5300" s="65" customFormat="1"/>
    <row r="5301" s="65" customFormat="1"/>
    <row r="5302" s="65" customFormat="1"/>
    <row r="5303" s="65" customFormat="1"/>
    <row r="5304" s="65" customFormat="1"/>
    <row r="5305" s="65" customFormat="1"/>
    <row r="5306" s="65" customFormat="1"/>
    <row r="5307" s="65" customFormat="1"/>
    <row r="5308" s="65" customFormat="1"/>
    <row r="5309" s="65" customFormat="1"/>
    <row r="5310" s="65" customFormat="1"/>
    <row r="5311" s="65" customFormat="1"/>
    <row r="5312" s="65" customFormat="1"/>
    <row r="5313" s="65" customFormat="1"/>
    <row r="5314" s="65" customFormat="1"/>
    <row r="5315" s="65" customFormat="1"/>
    <row r="5316" s="65" customFormat="1"/>
    <row r="5317" s="65" customFormat="1"/>
    <row r="5318" s="65" customFormat="1"/>
    <row r="5319" s="65" customFormat="1"/>
    <row r="5320" s="65" customFormat="1"/>
    <row r="5321" s="65" customFormat="1"/>
    <row r="5322" s="65" customFormat="1"/>
    <row r="5323" s="65" customFormat="1"/>
    <row r="5324" s="65" customFormat="1"/>
    <row r="5325" s="65" customFormat="1"/>
    <row r="5326" s="65" customFormat="1"/>
    <row r="5327" s="65" customFormat="1"/>
    <row r="5328" s="65" customFormat="1"/>
    <row r="5329" s="65" customFormat="1"/>
    <row r="5330" s="65" customFormat="1"/>
    <row r="5331" s="65" customFormat="1"/>
    <row r="5332" s="65" customFormat="1"/>
    <row r="5333" s="65" customFormat="1"/>
    <row r="5334" s="65" customFormat="1"/>
    <row r="5335" s="65" customFormat="1"/>
    <row r="5336" s="65" customFormat="1"/>
    <row r="5337" s="65" customFormat="1"/>
    <row r="5338" s="65" customFormat="1"/>
    <row r="5339" s="65" customFormat="1"/>
    <row r="5340" s="65" customFormat="1"/>
    <row r="5341" s="65" customFormat="1"/>
    <row r="5342" s="65" customFormat="1"/>
    <row r="5343" s="65" customFormat="1"/>
    <row r="5344" s="65" customFormat="1"/>
    <row r="5345" s="65" customFormat="1"/>
    <row r="5346" s="65" customFormat="1"/>
    <row r="5347" s="65" customFormat="1"/>
    <row r="5348" s="65" customFormat="1"/>
    <row r="5349" s="65" customFormat="1"/>
    <row r="5350" s="65" customFormat="1"/>
    <row r="5351" s="65" customFormat="1"/>
    <row r="5352" s="65" customFormat="1"/>
    <row r="5353" s="65" customFormat="1"/>
    <row r="5354" s="65" customFormat="1"/>
    <row r="5355" s="65" customFormat="1"/>
    <row r="5356" s="65" customFormat="1"/>
    <row r="5357" s="65" customFormat="1"/>
    <row r="5358" s="65" customFormat="1"/>
    <row r="5359" s="65" customFormat="1"/>
    <row r="5360" s="65" customFormat="1"/>
    <row r="5361" s="65" customFormat="1"/>
    <row r="5362" s="65" customFormat="1"/>
    <row r="5363" s="65" customFormat="1"/>
    <row r="5364" s="65" customFormat="1"/>
    <row r="5365" s="65" customFormat="1"/>
    <row r="5366" s="65" customFormat="1"/>
    <row r="5367" s="65" customFormat="1"/>
    <row r="5368" s="65" customFormat="1"/>
    <row r="5369" s="65" customFormat="1"/>
    <row r="5370" s="65" customFormat="1"/>
    <row r="5371" s="65" customFormat="1"/>
    <row r="5372" s="65" customFormat="1"/>
    <row r="5373" s="65" customFormat="1"/>
    <row r="5374" s="65" customFormat="1"/>
    <row r="5375" s="65" customFormat="1"/>
    <row r="5376" s="65" customFormat="1"/>
    <row r="5377" s="65" customFormat="1"/>
    <row r="5378" s="65" customFormat="1"/>
    <row r="5379" s="65" customFormat="1"/>
    <row r="5380" s="65" customFormat="1"/>
    <row r="5381" s="65" customFormat="1"/>
    <row r="5382" s="65" customFormat="1"/>
    <row r="5383" s="65" customFormat="1"/>
    <row r="5384" s="65" customFormat="1"/>
    <row r="5385" s="65" customFormat="1"/>
    <row r="5386" s="65" customFormat="1"/>
    <row r="5387" s="65" customFormat="1"/>
    <row r="5388" s="65" customFormat="1"/>
    <row r="5389" s="65" customFormat="1"/>
    <row r="5390" s="65" customFormat="1"/>
    <row r="5391" s="65" customFormat="1"/>
    <row r="5392" s="65" customFormat="1"/>
    <row r="5393" s="65" customFormat="1"/>
    <row r="5394" s="65" customFormat="1"/>
    <row r="5395" s="65" customFormat="1"/>
    <row r="5396" s="65" customFormat="1"/>
    <row r="5397" s="65" customFormat="1"/>
    <row r="5398" s="65" customFormat="1"/>
    <row r="5399" s="65" customFormat="1"/>
    <row r="5400" s="65" customFormat="1"/>
    <row r="5401" s="65" customFormat="1"/>
    <row r="5402" s="65" customFormat="1"/>
    <row r="5403" s="65" customFormat="1"/>
    <row r="5404" s="65" customFormat="1"/>
    <row r="5405" s="65" customFormat="1"/>
    <row r="5406" s="65" customFormat="1"/>
    <row r="5407" s="65" customFormat="1"/>
    <row r="5408" s="65" customFormat="1"/>
    <row r="5409" s="65" customFormat="1"/>
    <row r="5410" s="65" customFormat="1"/>
    <row r="5411" s="65" customFormat="1"/>
    <row r="5412" s="65" customFormat="1"/>
    <row r="5413" s="65" customFormat="1"/>
    <row r="5414" s="65" customFormat="1"/>
    <row r="5415" s="65" customFormat="1"/>
    <row r="5416" s="65" customFormat="1"/>
    <row r="5417" s="65" customFormat="1"/>
    <row r="5418" s="65" customFormat="1"/>
    <row r="5419" s="65" customFormat="1"/>
    <row r="5420" s="65" customFormat="1"/>
    <row r="5421" s="65" customFormat="1"/>
    <row r="5422" s="65" customFormat="1"/>
    <row r="5423" s="65" customFormat="1"/>
    <row r="5424" s="65" customFormat="1"/>
    <row r="5425" s="65" customFormat="1"/>
    <row r="5426" s="65" customFormat="1"/>
    <row r="5427" s="65" customFormat="1"/>
    <row r="5428" s="65" customFormat="1"/>
    <row r="5429" s="65" customFormat="1"/>
    <row r="5430" s="65" customFormat="1"/>
    <row r="5431" s="65" customFormat="1"/>
    <row r="5432" s="65" customFormat="1"/>
    <row r="5433" s="65" customFormat="1"/>
    <row r="5434" s="65" customFormat="1"/>
    <row r="5435" s="65" customFormat="1"/>
    <row r="5436" s="65" customFormat="1"/>
    <row r="5437" s="65" customFormat="1"/>
    <row r="5438" s="65" customFormat="1"/>
    <row r="5439" s="65" customFormat="1"/>
    <row r="5440" s="65" customFormat="1"/>
    <row r="5441" s="65" customFormat="1"/>
    <row r="5442" s="65" customFormat="1"/>
    <row r="5443" s="65" customFormat="1"/>
    <row r="5444" s="65" customFormat="1"/>
    <row r="5445" s="65" customFormat="1"/>
    <row r="5446" s="65" customFormat="1"/>
    <row r="5447" s="65" customFormat="1"/>
    <row r="5448" s="65" customFormat="1"/>
    <row r="5449" s="65" customFormat="1"/>
    <row r="5450" s="65" customFormat="1"/>
    <row r="5451" s="65" customFormat="1"/>
    <row r="5452" s="65" customFormat="1"/>
    <row r="5453" s="65" customFormat="1"/>
    <row r="5454" s="65" customFormat="1"/>
    <row r="5455" s="65" customFormat="1"/>
    <row r="5456" s="65" customFormat="1"/>
    <row r="5457" s="65" customFormat="1"/>
    <row r="5458" s="65" customFormat="1"/>
    <row r="5459" s="65" customFormat="1"/>
    <row r="5460" s="65" customFormat="1"/>
    <row r="5461" s="65" customFormat="1"/>
    <row r="5462" s="65" customFormat="1"/>
    <row r="5463" s="65" customFormat="1"/>
    <row r="5464" s="65" customFormat="1"/>
    <row r="5465" s="65" customFormat="1"/>
    <row r="5466" s="65" customFormat="1"/>
    <row r="5467" s="65" customFormat="1"/>
    <row r="5468" s="65" customFormat="1"/>
    <row r="5469" s="65" customFormat="1"/>
    <row r="5470" s="65" customFormat="1"/>
    <row r="5471" s="65" customFormat="1"/>
    <row r="5472" s="65" customFormat="1"/>
    <row r="5473" s="65" customFormat="1"/>
    <row r="5474" s="65" customFormat="1"/>
    <row r="5475" s="65" customFormat="1"/>
    <row r="5476" s="65" customFormat="1"/>
    <row r="5477" s="65" customFormat="1"/>
    <row r="5478" s="65" customFormat="1"/>
    <row r="5479" s="65" customFormat="1"/>
    <row r="5480" s="65" customFormat="1"/>
    <row r="5481" s="65" customFormat="1"/>
    <row r="5482" s="65" customFormat="1"/>
    <row r="5483" s="65" customFormat="1"/>
    <row r="5484" s="65" customFormat="1"/>
    <row r="5485" s="65" customFormat="1"/>
    <row r="5486" s="65" customFormat="1"/>
    <row r="5487" s="65" customFormat="1"/>
    <row r="5488" s="65" customFormat="1"/>
    <row r="5489" s="65" customFormat="1"/>
    <row r="5490" s="65" customFormat="1"/>
    <row r="5491" s="65" customFormat="1"/>
    <row r="5492" s="65" customFormat="1"/>
    <row r="5493" s="65" customFormat="1"/>
    <row r="5494" s="65" customFormat="1"/>
    <row r="5495" s="65" customFormat="1"/>
    <row r="5496" s="65" customFormat="1"/>
    <row r="5497" s="65" customFormat="1"/>
    <row r="5498" s="65" customFormat="1"/>
    <row r="5499" s="65" customFormat="1"/>
    <row r="5500" s="65" customFormat="1"/>
    <row r="5501" s="65" customFormat="1"/>
    <row r="5502" s="65" customFormat="1"/>
    <row r="5503" s="65" customFormat="1"/>
    <row r="5504" s="65" customFormat="1"/>
    <row r="5505" s="65" customFormat="1"/>
    <row r="5506" s="65" customFormat="1"/>
    <row r="5507" s="65" customFormat="1"/>
    <row r="5508" s="65" customFormat="1"/>
    <row r="5509" s="65" customFormat="1"/>
    <row r="5510" s="65" customFormat="1"/>
    <row r="5511" s="65" customFormat="1"/>
    <row r="5512" s="65" customFormat="1"/>
    <row r="5513" s="65" customFormat="1"/>
    <row r="5514" s="65" customFormat="1"/>
    <row r="5515" s="65" customFormat="1"/>
    <row r="5516" s="65" customFormat="1"/>
    <row r="5517" s="65" customFormat="1"/>
    <row r="5518" s="65" customFormat="1"/>
    <row r="5519" s="65" customFormat="1"/>
    <row r="5520" s="65" customFormat="1"/>
    <row r="5521" s="65" customFormat="1"/>
    <row r="5522" s="65" customFormat="1"/>
    <row r="5523" s="65" customFormat="1"/>
    <row r="5524" s="65" customFormat="1"/>
    <row r="5525" s="65" customFormat="1"/>
    <row r="5526" s="65" customFormat="1"/>
    <row r="5527" s="65" customFormat="1"/>
    <row r="5528" s="65" customFormat="1"/>
    <row r="5529" s="65" customFormat="1"/>
    <row r="5530" s="65" customFormat="1"/>
    <row r="5531" s="65" customFormat="1"/>
    <row r="5532" s="65" customFormat="1"/>
    <row r="5533" s="65" customFormat="1"/>
    <row r="5534" s="65" customFormat="1"/>
    <row r="5535" s="65" customFormat="1"/>
    <row r="5536" s="65" customFormat="1"/>
    <row r="5537" s="65" customFormat="1"/>
    <row r="5538" s="65" customFormat="1"/>
    <row r="5539" s="65" customFormat="1"/>
    <row r="5540" s="65" customFormat="1"/>
    <row r="5541" s="65" customFormat="1"/>
    <row r="5542" s="65" customFormat="1"/>
    <row r="5543" s="65" customFormat="1"/>
    <row r="5544" s="65" customFormat="1"/>
    <row r="5545" s="65" customFormat="1"/>
    <row r="5546" s="65" customFormat="1"/>
    <row r="5547" s="65" customFormat="1"/>
    <row r="5548" s="65" customFormat="1"/>
    <row r="5549" s="65" customFormat="1"/>
    <row r="5550" s="65" customFormat="1"/>
    <row r="5551" s="65" customFormat="1"/>
    <row r="5552" s="65" customFormat="1"/>
    <row r="5553" s="65" customFormat="1"/>
    <row r="5554" s="65" customFormat="1"/>
    <row r="5555" s="65" customFormat="1"/>
    <row r="5556" s="65" customFormat="1"/>
    <row r="5557" s="65" customFormat="1"/>
    <row r="5558" s="65" customFormat="1"/>
    <row r="5559" s="65" customFormat="1"/>
    <row r="5560" s="65" customFormat="1"/>
    <row r="5561" s="65" customFormat="1"/>
    <row r="5562" s="65" customFormat="1"/>
    <row r="5563" s="65" customFormat="1"/>
    <row r="5564" s="65" customFormat="1"/>
    <row r="5565" s="65" customFormat="1"/>
    <row r="5566" s="65" customFormat="1"/>
    <row r="5567" s="65" customFormat="1"/>
    <row r="5568" s="65" customFormat="1"/>
    <row r="5569" s="65" customFormat="1"/>
    <row r="5570" s="65" customFormat="1"/>
    <row r="5571" s="65" customFormat="1"/>
    <row r="5572" s="65" customFormat="1"/>
    <row r="5573" s="65" customFormat="1"/>
    <row r="5574" s="65" customFormat="1"/>
    <row r="5575" s="65" customFormat="1"/>
    <row r="5576" s="65" customFormat="1"/>
    <row r="5577" s="65" customFormat="1"/>
    <row r="5578" s="65" customFormat="1"/>
    <row r="5579" s="65" customFormat="1"/>
    <row r="5580" s="65" customFormat="1"/>
    <row r="5581" s="65" customFormat="1"/>
    <row r="5582" s="65" customFormat="1"/>
    <row r="5583" s="65" customFormat="1"/>
    <row r="5584" s="65" customFormat="1"/>
    <row r="5585" s="65" customFormat="1"/>
    <row r="5586" s="65" customFormat="1"/>
    <row r="5587" s="65" customFormat="1"/>
    <row r="5588" s="65" customFormat="1"/>
    <row r="5589" s="65" customFormat="1"/>
    <row r="5590" s="65" customFormat="1"/>
    <row r="5591" s="65" customFormat="1"/>
    <row r="5592" s="65" customFormat="1"/>
    <row r="5593" s="65" customFormat="1"/>
    <row r="5594" s="65" customFormat="1"/>
    <row r="5595" s="65" customFormat="1"/>
    <row r="5596" s="65" customFormat="1"/>
    <row r="5597" s="65" customFormat="1"/>
    <row r="5598" s="65" customFormat="1"/>
    <row r="5599" s="65" customFormat="1"/>
    <row r="5600" s="65" customFormat="1"/>
    <row r="5601" s="65" customFormat="1"/>
    <row r="5602" s="65" customFormat="1"/>
    <row r="5603" s="65" customFormat="1"/>
    <row r="5604" s="65" customFormat="1"/>
    <row r="5605" s="65" customFormat="1"/>
    <row r="5606" s="65" customFormat="1"/>
    <row r="5607" s="65" customFormat="1"/>
    <row r="5608" s="65" customFormat="1"/>
    <row r="5609" s="65" customFormat="1"/>
    <row r="5610" s="65" customFormat="1"/>
    <row r="5611" s="65" customFormat="1"/>
    <row r="5612" s="65" customFormat="1"/>
    <row r="5613" s="65" customFormat="1"/>
    <row r="5614" s="65" customFormat="1"/>
    <row r="5615" s="65" customFormat="1"/>
    <row r="5616" s="65" customFormat="1"/>
    <row r="5617" s="65" customFormat="1"/>
    <row r="5618" s="65" customFormat="1"/>
    <row r="5619" s="65" customFormat="1"/>
    <row r="5620" s="65" customFormat="1"/>
    <row r="5621" s="65" customFormat="1"/>
    <row r="5622" s="65" customFormat="1"/>
    <row r="5623" s="65" customFormat="1"/>
    <row r="5624" s="65" customFormat="1"/>
    <row r="5625" s="65" customFormat="1"/>
    <row r="5626" s="65" customFormat="1"/>
    <row r="5627" s="65" customFormat="1"/>
    <row r="5628" s="65" customFormat="1"/>
    <row r="5629" s="65" customFormat="1"/>
    <row r="5630" s="65" customFormat="1"/>
    <row r="5631" s="65" customFormat="1"/>
    <row r="5632" s="65" customFormat="1"/>
    <row r="5633" s="65" customFormat="1"/>
    <row r="5634" s="65" customFormat="1"/>
    <row r="5635" s="65" customFormat="1"/>
    <row r="5636" s="65" customFormat="1"/>
    <row r="5637" s="65" customFormat="1"/>
    <row r="5638" s="65" customFormat="1"/>
    <row r="5639" s="65" customFormat="1"/>
    <row r="5640" s="65" customFormat="1"/>
    <row r="5641" s="65" customFormat="1"/>
    <row r="5642" s="65" customFormat="1"/>
    <row r="5643" s="65" customFormat="1"/>
    <row r="5644" s="65" customFormat="1"/>
    <row r="5645" s="65" customFormat="1"/>
    <row r="5646" s="65" customFormat="1"/>
    <row r="5647" s="65" customFormat="1"/>
    <row r="5648" s="65" customFormat="1"/>
    <row r="5649" s="65" customFormat="1"/>
    <row r="5650" s="65" customFormat="1"/>
    <row r="5651" s="65" customFormat="1"/>
    <row r="5652" s="65" customFormat="1"/>
    <row r="5653" s="65" customFormat="1"/>
    <row r="5654" s="65" customFormat="1"/>
    <row r="5655" s="65" customFormat="1"/>
    <row r="5656" s="65" customFormat="1"/>
    <row r="5657" s="65" customFormat="1"/>
    <row r="5658" s="65" customFormat="1"/>
    <row r="5659" s="65" customFormat="1"/>
    <row r="5660" s="65" customFormat="1"/>
    <row r="5661" s="65" customFormat="1"/>
    <row r="5662" s="65" customFormat="1"/>
    <row r="5663" s="65" customFormat="1"/>
    <row r="5664" s="65" customFormat="1"/>
    <row r="5665" s="65" customFormat="1"/>
    <row r="5666" s="65" customFormat="1"/>
    <row r="5667" s="65" customFormat="1"/>
    <row r="5668" s="65" customFormat="1"/>
    <row r="5669" s="65" customFormat="1"/>
    <row r="5670" s="65" customFormat="1"/>
    <row r="5671" s="65" customFormat="1"/>
    <row r="5672" s="65" customFormat="1"/>
    <row r="5673" s="65" customFormat="1"/>
    <row r="5674" s="65" customFormat="1"/>
    <row r="5675" s="65" customFormat="1"/>
    <row r="5676" s="65" customFormat="1"/>
    <row r="5677" s="65" customFormat="1"/>
    <row r="5678" s="65" customFormat="1"/>
    <row r="5679" s="65" customFormat="1"/>
    <row r="5680" s="65" customFormat="1"/>
    <row r="5681" s="65" customFormat="1"/>
    <row r="5682" s="65" customFormat="1"/>
    <row r="5683" s="65" customFormat="1"/>
    <row r="5684" s="65" customFormat="1"/>
    <row r="5685" s="65" customFormat="1"/>
    <row r="5686" s="65" customFormat="1"/>
    <row r="5687" s="65" customFormat="1"/>
    <row r="5688" s="65" customFormat="1"/>
    <row r="5689" s="65" customFormat="1"/>
    <row r="5690" s="65" customFormat="1"/>
    <row r="5691" s="65" customFormat="1"/>
    <row r="5692" s="65" customFormat="1"/>
    <row r="5693" s="65" customFormat="1"/>
    <row r="5694" s="65" customFormat="1"/>
    <row r="5695" s="65" customFormat="1"/>
    <row r="5696" s="65" customFormat="1"/>
    <row r="5697" s="65" customFormat="1"/>
    <row r="5698" s="65" customFormat="1"/>
    <row r="5699" s="65" customFormat="1"/>
    <row r="5700" s="65" customFormat="1"/>
    <row r="5701" s="65" customFormat="1"/>
    <row r="5702" s="65" customFormat="1"/>
    <row r="5703" s="65" customFormat="1"/>
    <row r="5704" s="65" customFormat="1"/>
    <row r="5705" s="65" customFormat="1"/>
    <row r="5706" s="65" customFormat="1"/>
    <row r="5707" s="65" customFormat="1"/>
    <row r="5708" s="65" customFormat="1"/>
    <row r="5709" s="65" customFormat="1"/>
    <row r="5710" s="65" customFormat="1"/>
    <row r="5711" s="65" customFormat="1"/>
    <row r="5712" s="65" customFormat="1"/>
    <row r="5713" s="65" customFormat="1"/>
    <row r="5714" s="65" customFormat="1"/>
    <row r="5715" s="65" customFormat="1"/>
    <row r="5716" s="65" customFormat="1"/>
    <row r="5717" s="65" customFormat="1"/>
    <row r="5718" s="65" customFormat="1"/>
    <row r="5719" s="65" customFormat="1"/>
    <row r="5720" s="65" customFormat="1"/>
    <row r="5721" s="65" customFormat="1"/>
    <row r="5722" s="65" customFormat="1"/>
    <row r="5723" s="65" customFormat="1"/>
    <row r="5724" s="65" customFormat="1"/>
    <row r="5725" s="65" customFormat="1"/>
    <row r="5726" s="65" customFormat="1"/>
    <row r="5727" s="65" customFormat="1"/>
    <row r="5728" s="65" customFormat="1"/>
    <row r="5729" s="65" customFormat="1"/>
    <row r="5730" s="65" customFormat="1"/>
    <row r="5731" s="65" customFormat="1"/>
    <row r="5732" s="65" customFormat="1"/>
    <row r="5733" s="65" customFormat="1"/>
    <row r="5734" s="65" customFormat="1"/>
    <row r="5735" s="65" customFormat="1"/>
    <row r="5736" s="65" customFormat="1"/>
    <row r="5737" s="65" customFormat="1"/>
    <row r="5738" s="65" customFormat="1"/>
    <row r="5739" s="65" customFormat="1"/>
    <row r="5740" s="65" customFormat="1"/>
    <row r="5741" s="65" customFormat="1"/>
    <row r="5742" s="65" customFormat="1"/>
    <row r="5743" s="65" customFormat="1"/>
    <row r="5744" s="65" customFormat="1"/>
    <row r="5745" s="65" customFormat="1"/>
    <row r="5746" s="65" customFormat="1"/>
    <row r="5747" s="65" customFormat="1"/>
    <row r="5748" s="65" customFormat="1"/>
    <row r="5749" s="65" customFormat="1"/>
    <row r="5750" s="65" customFormat="1"/>
    <row r="5751" s="65" customFormat="1"/>
    <row r="5752" s="65" customFormat="1"/>
    <row r="5753" s="65" customFormat="1"/>
    <row r="5754" s="65" customFormat="1"/>
    <row r="5755" s="65" customFormat="1"/>
    <row r="5756" s="65" customFormat="1"/>
    <row r="5757" s="65" customFormat="1"/>
    <row r="5758" s="65" customFormat="1"/>
    <row r="5759" s="65" customFormat="1"/>
    <row r="5760" s="65" customFormat="1"/>
    <row r="5761" s="65" customFormat="1"/>
    <row r="5762" s="65" customFormat="1"/>
    <row r="5763" s="65" customFormat="1"/>
    <row r="5764" s="65" customFormat="1"/>
    <row r="5765" s="65" customFormat="1"/>
    <row r="5766" s="65" customFormat="1"/>
    <row r="5767" s="65" customFormat="1"/>
    <row r="5768" s="65" customFormat="1"/>
    <row r="5769" s="65" customFormat="1"/>
    <row r="5770" s="65" customFormat="1"/>
    <row r="5771" s="65" customFormat="1"/>
    <row r="5772" s="65" customFormat="1"/>
    <row r="5773" s="65" customFormat="1"/>
    <row r="5774" s="65" customFormat="1"/>
    <row r="5775" s="65" customFormat="1"/>
    <row r="5776" s="65" customFormat="1"/>
    <row r="5777" s="65" customFormat="1"/>
    <row r="5778" s="65" customFormat="1"/>
    <row r="5779" s="65" customFormat="1"/>
    <row r="5780" s="65" customFormat="1"/>
    <row r="5781" s="65" customFormat="1"/>
    <row r="5782" s="65" customFormat="1"/>
    <row r="5783" s="65" customFormat="1"/>
    <row r="5784" s="65" customFormat="1"/>
    <row r="5785" s="65" customFormat="1"/>
    <row r="5786" s="65" customFormat="1"/>
    <row r="5787" s="65" customFormat="1"/>
    <row r="5788" s="65" customFormat="1"/>
    <row r="5789" s="65" customFormat="1"/>
    <row r="5790" s="65" customFormat="1"/>
    <row r="5791" s="65" customFormat="1"/>
    <row r="5792" s="65" customFormat="1"/>
    <row r="5793" s="65" customFormat="1"/>
    <row r="5794" s="65" customFormat="1"/>
    <row r="5795" s="65" customFormat="1"/>
    <row r="5796" s="65" customFormat="1"/>
    <row r="5797" s="65" customFormat="1"/>
    <row r="5798" s="65" customFormat="1"/>
    <row r="5799" s="65" customFormat="1"/>
    <row r="5800" s="65" customFormat="1"/>
    <row r="5801" s="65" customFormat="1"/>
    <row r="5802" s="65" customFormat="1"/>
    <row r="5803" s="65" customFormat="1"/>
    <row r="5804" s="65" customFormat="1"/>
    <row r="5805" s="65" customFormat="1"/>
    <row r="5806" s="65" customFormat="1"/>
    <row r="5807" s="65" customFormat="1"/>
    <row r="5808" s="65" customFormat="1"/>
    <row r="5809" s="65" customFormat="1"/>
    <row r="5810" s="65" customFormat="1"/>
    <row r="5811" s="65" customFormat="1"/>
    <row r="5812" s="65" customFormat="1"/>
    <row r="5813" s="65" customFormat="1"/>
    <row r="5814" s="65" customFormat="1"/>
    <row r="5815" s="65" customFormat="1"/>
    <row r="5816" s="65" customFormat="1"/>
    <row r="5817" s="65" customFormat="1"/>
    <row r="5818" s="65" customFormat="1"/>
    <row r="5819" s="65" customFormat="1"/>
    <row r="5820" s="65" customFormat="1"/>
    <row r="5821" s="65" customFormat="1"/>
    <row r="5822" s="65" customFormat="1"/>
    <row r="5823" s="65" customFormat="1"/>
    <row r="5824" s="65" customFormat="1"/>
    <row r="5825" s="65" customFormat="1"/>
    <row r="5826" s="65" customFormat="1"/>
    <row r="5827" s="65" customFormat="1"/>
    <row r="5828" s="65" customFormat="1"/>
    <row r="5829" s="65" customFormat="1"/>
    <row r="5830" s="65" customFormat="1"/>
    <row r="5831" s="65" customFormat="1"/>
    <row r="5832" s="65" customFormat="1"/>
    <row r="5833" s="65" customFormat="1"/>
    <row r="5834" s="65" customFormat="1"/>
    <row r="5835" s="65" customFormat="1"/>
    <row r="5836" s="65" customFormat="1"/>
    <row r="5837" s="65" customFormat="1"/>
    <row r="5838" s="65" customFormat="1"/>
    <row r="5839" s="65" customFormat="1"/>
    <row r="5840" s="65" customFormat="1"/>
    <row r="5841" s="65" customFormat="1"/>
    <row r="5842" s="65" customFormat="1"/>
    <row r="5843" s="65" customFormat="1"/>
    <row r="5844" s="65" customFormat="1"/>
    <row r="5845" s="65" customFormat="1"/>
    <row r="5846" s="65" customFormat="1"/>
    <row r="5847" s="65" customFormat="1"/>
    <row r="5848" s="65" customFormat="1"/>
    <row r="5849" s="65" customFormat="1"/>
    <row r="5850" s="65" customFormat="1"/>
    <row r="5851" s="65" customFormat="1"/>
    <row r="5852" s="65" customFormat="1"/>
    <row r="5853" s="65" customFormat="1"/>
    <row r="5854" s="65" customFormat="1"/>
    <row r="5855" s="65" customFormat="1"/>
    <row r="5856" s="65" customFormat="1"/>
    <row r="5857" s="65" customFormat="1"/>
    <row r="5858" s="65" customFormat="1"/>
    <row r="5859" s="65" customFormat="1"/>
    <row r="5860" s="65" customFormat="1"/>
    <row r="5861" s="65" customFormat="1"/>
    <row r="5862" s="65" customFormat="1"/>
    <row r="5863" s="65" customFormat="1"/>
    <row r="5864" s="65" customFormat="1"/>
    <row r="5865" s="65" customFormat="1"/>
    <row r="5866" s="65" customFormat="1"/>
    <row r="5867" s="65" customFormat="1"/>
    <row r="5868" s="65" customFormat="1"/>
    <row r="5869" s="65" customFormat="1"/>
    <row r="5870" s="65" customFormat="1"/>
    <row r="5871" s="65" customFormat="1"/>
    <row r="5872" s="65" customFormat="1"/>
    <row r="5873" s="65" customFormat="1"/>
    <row r="5874" s="65" customFormat="1"/>
    <row r="5875" s="65" customFormat="1"/>
    <row r="5876" s="65" customFormat="1"/>
    <row r="5877" s="65" customFormat="1"/>
    <row r="5878" s="65" customFormat="1"/>
    <row r="5879" s="65" customFormat="1"/>
    <row r="5880" s="65" customFormat="1"/>
    <row r="5881" s="65" customFormat="1"/>
    <row r="5882" s="65" customFormat="1"/>
    <row r="5883" s="65" customFormat="1"/>
    <row r="5884" s="65" customFormat="1"/>
    <row r="5885" s="65" customFormat="1"/>
    <row r="5886" s="65" customFormat="1"/>
    <row r="5887" s="65" customFormat="1"/>
    <row r="5888" s="65" customFormat="1"/>
    <row r="5889" s="65" customFormat="1"/>
    <row r="5890" s="65" customFormat="1"/>
    <row r="5891" s="65" customFormat="1"/>
    <row r="5892" s="65" customFormat="1"/>
    <row r="5893" s="65" customFormat="1"/>
    <row r="5894" s="65" customFormat="1"/>
    <row r="5895" s="65" customFormat="1"/>
    <row r="5896" s="65" customFormat="1"/>
    <row r="5897" s="65" customFormat="1"/>
    <row r="5898" s="65" customFormat="1"/>
    <row r="5899" s="65" customFormat="1"/>
    <row r="5900" s="65" customFormat="1"/>
    <row r="5901" s="65" customFormat="1"/>
    <row r="5902" s="65" customFormat="1"/>
    <row r="5903" s="65" customFormat="1"/>
    <row r="5904" s="65" customFormat="1"/>
    <row r="5905" s="65" customFormat="1"/>
    <row r="5906" s="65" customFormat="1"/>
    <row r="5907" s="65" customFormat="1"/>
    <row r="5908" s="65" customFormat="1"/>
    <row r="5909" s="65" customFormat="1"/>
    <row r="5910" s="65" customFormat="1"/>
    <row r="5911" s="65" customFormat="1"/>
    <row r="5912" s="65" customFormat="1"/>
    <row r="5913" s="65" customFormat="1"/>
    <row r="5914" s="65" customFormat="1"/>
    <row r="5915" s="65" customFormat="1"/>
    <row r="5916" s="65" customFormat="1"/>
    <row r="5917" s="65" customFormat="1"/>
    <row r="5918" s="65" customFormat="1"/>
    <row r="5919" s="65" customFormat="1"/>
    <row r="5920" s="65" customFormat="1"/>
    <row r="5921" s="65" customFormat="1"/>
    <row r="5922" s="65" customFormat="1"/>
    <row r="5923" s="65" customFormat="1"/>
    <row r="5924" s="65" customFormat="1"/>
    <row r="5925" s="65" customFormat="1"/>
    <row r="5926" s="65" customFormat="1"/>
    <row r="5927" s="65" customFormat="1"/>
    <row r="5928" s="65" customFormat="1"/>
    <row r="5929" s="65" customFormat="1"/>
    <row r="5930" s="65" customFormat="1"/>
    <row r="5931" s="65" customFormat="1"/>
    <row r="5932" s="65" customFormat="1"/>
    <row r="5933" s="65" customFormat="1"/>
    <row r="5934" s="65" customFormat="1"/>
    <row r="5935" s="65" customFormat="1"/>
    <row r="5936" s="65" customFormat="1"/>
    <row r="5937" s="65" customFormat="1"/>
    <row r="5938" s="65" customFormat="1"/>
    <row r="5939" s="65" customFormat="1"/>
    <row r="5940" s="65" customFormat="1"/>
    <row r="5941" s="65" customFormat="1"/>
    <row r="5942" s="65" customFormat="1"/>
    <row r="5943" s="65" customFormat="1"/>
    <row r="5944" s="65" customFormat="1"/>
    <row r="5945" s="65" customFormat="1"/>
    <row r="5946" s="65" customFormat="1"/>
    <row r="5947" s="65" customFormat="1"/>
    <row r="5948" s="65" customFormat="1"/>
    <row r="5949" s="65" customFormat="1"/>
    <row r="5950" s="65" customFormat="1"/>
    <row r="5951" s="65" customFormat="1"/>
    <row r="5952" s="65" customFormat="1"/>
    <row r="5953" s="65" customFormat="1"/>
    <row r="5954" s="65" customFormat="1"/>
    <row r="5955" s="65" customFormat="1"/>
    <row r="5956" s="65" customFormat="1"/>
    <row r="5957" s="65" customFormat="1"/>
    <row r="5958" s="65" customFormat="1"/>
    <row r="5959" s="65" customFormat="1"/>
    <row r="5960" s="65" customFormat="1"/>
    <row r="5961" s="65" customFormat="1"/>
    <row r="5962" s="65" customFormat="1"/>
    <row r="5963" s="65" customFormat="1"/>
    <row r="5964" s="65" customFormat="1"/>
    <row r="5965" s="65" customFormat="1"/>
    <row r="5966" s="65" customFormat="1"/>
    <row r="5967" s="65" customFormat="1"/>
    <row r="5968" s="65" customFormat="1"/>
    <row r="5969" s="65" customFormat="1"/>
    <row r="5970" s="65" customFormat="1"/>
    <row r="5971" s="65" customFormat="1"/>
    <row r="5972" s="65" customFormat="1"/>
    <row r="5973" s="65" customFormat="1"/>
    <row r="5974" s="65" customFormat="1"/>
    <row r="5975" s="65" customFormat="1"/>
    <row r="5976" s="65" customFormat="1"/>
    <row r="5977" s="65" customFormat="1"/>
    <row r="5978" s="65" customFormat="1"/>
    <row r="5979" s="65" customFormat="1"/>
    <row r="5980" s="65" customFormat="1"/>
    <row r="5981" s="65" customFormat="1"/>
    <row r="5982" s="65" customFormat="1"/>
    <row r="5983" s="65" customFormat="1"/>
    <row r="5984" s="65" customFormat="1"/>
    <row r="5985" s="65" customFormat="1"/>
    <row r="5986" s="65" customFormat="1"/>
    <row r="5987" s="65" customFormat="1"/>
    <row r="5988" s="65" customFormat="1"/>
    <row r="5989" s="65" customFormat="1"/>
    <row r="5990" s="65" customFormat="1"/>
    <row r="5991" s="65" customFormat="1"/>
    <row r="5992" s="65" customFormat="1"/>
    <row r="5993" s="65" customFormat="1"/>
    <row r="5994" s="65" customFormat="1"/>
    <row r="5995" s="65" customFormat="1"/>
    <row r="5996" s="65" customFormat="1"/>
    <row r="5997" s="65" customFormat="1"/>
    <row r="5998" s="65" customFormat="1"/>
    <row r="5999" s="65" customFormat="1"/>
    <row r="6000" s="65" customFormat="1"/>
    <row r="6001" s="65" customFormat="1"/>
    <row r="6002" s="65" customFormat="1"/>
    <row r="6003" s="65" customFormat="1"/>
    <row r="6004" s="65" customFormat="1"/>
    <row r="6005" s="65" customFormat="1"/>
    <row r="6006" s="65" customFormat="1"/>
    <row r="6007" s="65" customFormat="1"/>
    <row r="6008" s="65" customFormat="1"/>
    <row r="6009" s="65" customFormat="1"/>
    <row r="6010" s="65" customFormat="1"/>
    <row r="6011" s="65" customFormat="1"/>
    <row r="6012" s="65" customFormat="1"/>
    <row r="6013" s="65" customFormat="1"/>
    <row r="6014" s="65" customFormat="1"/>
    <row r="6015" s="65" customFormat="1"/>
    <row r="6016" s="65" customFormat="1"/>
    <row r="6017" s="65" customFormat="1"/>
    <row r="6018" s="65" customFormat="1"/>
    <row r="6019" s="65" customFormat="1"/>
    <row r="6020" s="65" customFormat="1"/>
    <row r="6021" s="65" customFormat="1"/>
    <row r="6022" s="65" customFormat="1"/>
    <row r="6023" s="65" customFormat="1"/>
    <row r="6024" s="65" customFormat="1"/>
    <row r="6025" s="65" customFormat="1"/>
    <row r="6026" s="65" customFormat="1"/>
    <row r="6027" s="65" customFormat="1"/>
    <row r="6028" s="65" customFormat="1"/>
    <row r="6029" s="65" customFormat="1"/>
    <row r="6030" s="65" customFormat="1"/>
    <row r="6031" s="65" customFormat="1"/>
    <row r="6032" s="65" customFormat="1"/>
    <row r="6033" s="65" customFormat="1"/>
    <row r="6034" s="65" customFormat="1"/>
    <row r="6035" s="65" customFormat="1"/>
    <row r="6036" s="65" customFormat="1"/>
    <row r="6037" s="65" customFormat="1"/>
    <row r="6038" s="65" customFormat="1"/>
    <row r="6039" s="65" customFormat="1"/>
    <row r="6040" s="65" customFormat="1"/>
    <row r="6041" s="65" customFormat="1"/>
    <row r="6042" s="65" customFormat="1"/>
    <row r="6043" s="65" customFormat="1"/>
    <row r="6044" s="65" customFormat="1"/>
    <row r="6045" s="65" customFormat="1"/>
    <row r="6046" s="65" customFormat="1"/>
    <row r="6047" s="65" customFormat="1"/>
    <row r="6048" s="65" customFormat="1"/>
    <row r="6049" s="65" customFormat="1"/>
    <row r="6050" s="65" customFormat="1"/>
    <row r="6051" s="65" customFormat="1"/>
    <row r="6052" s="65" customFormat="1"/>
    <row r="6053" s="65" customFormat="1"/>
    <row r="6054" s="65" customFormat="1"/>
    <row r="6055" s="65" customFormat="1"/>
    <row r="6056" s="65" customFormat="1"/>
    <row r="6057" s="65" customFormat="1"/>
    <row r="6058" s="65" customFormat="1"/>
    <row r="6059" s="65" customFormat="1"/>
    <row r="6060" s="65" customFormat="1"/>
    <row r="6061" s="65" customFormat="1"/>
    <row r="6062" s="65" customFormat="1"/>
    <row r="6063" s="65" customFormat="1"/>
    <row r="6064" s="65" customFormat="1"/>
    <row r="6065" s="65" customFormat="1"/>
    <row r="6066" s="65" customFormat="1"/>
    <row r="6067" s="65" customFormat="1"/>
    <row r="6068" s="65" customFormat="1"/>
    <row r="6069" s="65" customFormat="1"/>
    <row r="6070" s="65" customFormat="1"/>
    <row r="6071" s="65" customFormat="1"/>
    <row r="6072" s="65" customFormat="1"/>
    <row r="6073" s="65" customFormat="1"/>
    <row r="6074" s="65" customFormat="1"/>
    <row r="6075" s="65" customFormat="1"/>
    <row r="6076" s="65" customFormat="1"/>
    <row r="6077" s="65" customFormat="1"/>
    <row r="6078" s="65" customFormat="1"/>
    <row r="6079" s="65" customFormat="1"/>
    <row r="6080" s="65" customFormat="1"/>
    <row r="6081" s="65" customFormat="1"/>
    <row r="6082" s="65" customFormat="1"/>
    <row r="6083" s="65" customFormat="1"/>
    <row r="6084" s="65" customFormat="1"/>
    <row r="6085" s="65" customFormat="1"/>
    <row r="6086" s="65" customFormat="1"/>
    <row r="6087" s="65" customFormat="1"/>
    <row r="6088" s="65" customFormat="1"/>
    <row r="6089" s="65" customFormat="1"/>
    <row r="6090" s="65" customFormat="1"/>
    <row r="6091" s="65" customFormat="1"/>
    <row r="6092" s="65" customFormat="1"/>
    <row r="6093" s="65" customFormat="1"/>
    <row r="6094" s="65" customFormat="1"/>
    <row r="6095" s="65" customFormat="1"/>
    <row r="6096" s="65" customFormat="1"/>
    <row r="6097" s="65" customFormat="1"/>
    <row r="6098" s="65" customFormat="1"/>
    <row r="6099" s="65" customFormat="1"/>
    <row r="6100" s="65" customFormat="1"/>
    <row r="6101" s="65" customFormat="1"/>
    <row r="6102" s="65" customFormat="1"/>
    <row r="6103" s="65" customFormat="1"/>
    <row r="6104" s="65" customFormat="1"/>
    <row r="6105" s="65" customFormat="1"/>
    <row r="6106" s="65" customFormat="1"/>
    <row r="6107" s="65" customFormat="1"/>
    <row r="6108" s="65" customFormat="1"/>
    <row r="6109" s="65" customFormat="1"/>
    <row r="6110" s="65" customFormat="1"/>
    <row r="6111" s="65" customFormat="1"/>
    <row r="6112" s="65" customFormat="1"/>
    <row r="6113" s="65" customFormat="1"/>
    <row r="6114" s="65" customFormat="1"/>
    <row r="6115" s="65" customFormat="1"/>
    <row r="6116" s="65" customFormat="1"/>
    <row r="6117" s="65" customFormat="1"/>
    <row r="6118" s="65" customFormat="1"/>
    <row r="6119" s="65" customFormat="1"/>
    <row r="6120" s="65" customFormat="1"/>
    <row r="6121" s="65" customFormat="1"/>
    <row r="6122" s="65" customFormat="1"/>
    <row r="6123" s="65" customFormat="1"/>
    <row r="6124" s="65" customFormat="1"/>
    <row r="6125" s="65" customFormat="1"/>
    <row r="6126" s="65" customFormat="1"/>
    <row r="6127" s="65" customFormat="1"/>
    <row r="6128" s="65" customFormat="1"/>
    <row r="6129" s="65" customFormat="1"/>
    <row r="6130" s="65" customFormat="1"/>
    <row r="6131" s="65" customFormat="1"/>
    <row r="6132" s="65" customFormat="1"/>
    <row r="6133" s="65" customFormat="1"/>
    <row r="6134" s="65" customFormat="1"/>
    <row r="6135" s="65" customFormat="1"/>
    <row r="6136" s="65" customFormat="1"/>
    <row r="6137" s="65" customFormat="1"/>
    <row r="6138" s="65" customFormat="1"/>
    <row r="6139" s="65" customFormat="1"/>
    <row r="6140" s="65" customFormat="1"/>
    <row r="6141" s="65" customFormat="1"/>
    <row r="6142" s="65" customFormat="1"/>
    <row r="6143" s="65" customFormat="1"/>
    <row r="6144" s="65" customFormat="1"/>
    <row r="6145" s="65" customFormat="1"/>
    <row r="6146" s="65" customFormat="1"/>
    <row r="6147" s="65" customFormat="1"/>
    <row r="6148" s="65" customFormat="1"/>
    <row r="6149" s="65" customFormat="1"/>
    <row r="6150" s="65" customFormat="1"/>
    <row r="6151" s="65" customFormat="1"/>
    <row r="6152" s="65" customFormat="1"/>
    <row r="6153" s="65" customFormat="1"/>
    <row r="6154" s="65" customFormat="1"/>
    <row r="6155" s="65" customFormat="1"/>
    <row r="6156" s="65" customFormat="1"/>
    <row r="6157" s="65" customFormat="1"/>
    <row r="6158" s="65" customFormat="1"/>
    <row r="6159" s="65" customFormat="1"/>
    <row r="6160" s="65" customFormat="1"/>
    <row r="6161" s="65" customFormat="1"/>
    <row r="6162" s="65" customFormat="1"/>
    <row r="6163" s="65" customFormat="1"/>
    <row r="6164" s="65" customFormat="1"/>
    <row r="6165" s="65" customFormat="1"/>
    <row r="6166" s="65" customFormat="1"/>
    <row r="6167" s="65" customFormat="1"/>
    <row r="6168" s="65" customFormat="1"/>
    <row r="6169" s="65" customFormat="1"/>
    <row r="6170" s="65" customFormat="1"/>
    <row r="6171" s="65" customFormat="1"/>
    <row r="6172" s="65" customFormat="1"/>
    <row r="6173" s="65" customFormat="1"/>
    <row r="6174" s="65" customFormat="1"/>
    <row r="6175" s="65" customFormat="1"/>
    <row r="6176" s="65" customFormat="1"/>
    <row r="6177" s="65" customFormat="1"/>
    <row r="6178" s="65" customFormat="1"/>
    <row r="6179" s="65" customFormat="1"/>
    <row r="6180" s="65" customFormat="1"/>
    <row r="6181" s="65" customFormat="1"/>
    <row r="6182" s="65" customFormat="1"/>
    <row r="6183" s="65" customFormat="1"/>
    <row r="6184" s="65" customFormat="1"/>
    <row r="6185" s="65" customFormat="1"/>
    <row r="6186" s="65" customFormat="1"/>
    <row r="6187" s="65" customFormat="1"/>
    <row r="6188" s="65" customFormat="1"/>
    <row r="6189" s="65" customFormat="1"/>
    <row r="6190" s="65" customFormat="1"/>
    <row r="6191" s="65" customFormat="1"/>
    <row r="6192" s="65" customFormat="1"/>
    <row r="6193" s="65" customFormat="1"/>
    <row r="6194" s="65" customFormat="1"/>
    <row r="6195" s="65" customFormat="1"/>
    <row r="6196" s="65" customFormat="1"/>
    <row r="6197" s="65" customFormat="1"/>
    <row r="6198" s="65" customFormat="1"/>
    <row r="6199" s="65" customFormat="1"/>
    <row r="6200" s="65" customFormat="1"/>
    <row r="6201" s="65" customFormat="1"/>
    <row r="6202" s="65" customFormat="1"/>
    <row r="6203" s="65" customFormat="1"/>
    <row r="6204" s="65" customFormat="1"/>
    <row r="6205" s="65" customFormat="1"/>
    <row r="6206" s="65" customFormat="1"/>
    <row r="6207" s="65" customFormat="1"/>
    <row r="6208" s="65" customFormat="1"/>
    <row r="6209" s="65" customFormat="1"/>
    <row r="6210" s="65" customFormat="1"/>
    <row r="6211" s="65" customFormat="1"/>
    <row r="6212" s="65" customFormat="1"/>
    <row r="6213" s="65" customFormat="1"/>
    <row r="6214" s="65" customFormat="1"/>
    <row r="6215" s="65" customFormat="1"/>
    <row r="6216" s="65" customFormat="1"/>
    <row r="6217" s="65" customFormat="1"/>
    <row r="6218" s="65" customFormat="1"/>
    <row r="6219" s="65" customFormat="1"/>
    <row r="6220" s="65" customFormat="1"/>
    <row r="6221" s="65" customFormat="1"/>
    <row r="6222" s="65" customFormat="1"/>
    <row r="6223" s="65" customFormat="1"/>
    <row r="6224" s="65" customFormat="1"/>
    <row r="6225" s="65" customFormat="1"/>
    <row r="6226" s="65" customFormat="1"/>
    <row r="6227" s="65" customFormat="1"/>
    <row r="6228" s="65" customFormat="1"/>
    <row r="6229" s="65" customFormat="1"/>
    <row r="6230" s="65" customFormat="1"/>
    <row r="6231" s="65" customFormat="1"/>
    <row r="6232" s="65" customFormat="1"/>
    <row r="6233" s="65" customFormat="1"/>
    <row r="6234" s="65" customFormat="1"/>
    <row r="6235" s="65" customFormat="1"/>
    <row r="6236" s="65" customFormat="1"/>
    <row r="6237" s="65" customFormat="1"/>
    <row r="6238" s="65" customFormat="1"/>
    <row r="6239" s="65" customFormat="1"/>
    <row r="6240" s="65" customFormat="1"/>
    <row r="6241" s="65" customFormat="1"/>
    <row r="6242" s="65" customFormat="1"/>
    <row r="6243" s="65" customFormat="1"/>
    <row r="6244" s="65" customFormat="1"/>
    <row r="6245" s="65" customFormat="1"/>
    <row r="6246" s="65" customFormat="1"/>
    <row r="6247" s="65" customFormat="1"/>
    <row r="6248" s="65" customFormat="1"/>
    <row r="6249" s="65" customFormat="1"/>
    <row r="6250" s="65" customFormat="1"/>
    <row r="6251" s="65" customFormat="1"/>
    <row r="6252" s="65" customFormat="1"/>
    <row r="6253" s="65" customFormat="1"/>
    <row r="6254" s="65" customFormat="1"/>
    <row r="6255" s="65" customFormat="1"/>
    <row r="6256" s="65" customFormat="1"/>
    <row r="6257" s="65" customFormat="1"/>
    <row r="6258" s="65" customFormat="1"/>
    <row r="6259" s="65" customFormat="1"/>
    <row r="6260" s="65" customFormat="1"/>
    <row r="6261" s="65" customFormat="1"/>
    <row r="6262" s="65" customFormat="1"/>
    <row r="6263" s="65" customFormat="1"/>
    <row r="6264" s="65" customFormat="1"/>
    <row r="6265" s="65" customFormat="1"/>
    <row r="6266" s="65" customFormat="1"/>
    <row r="6267" s="65" customFormat="1"/>
    <row r="6268" s="65" customFormat="1"/>
    <row r="6269" s="65" customFormat="1"/>
    <row r="6270" s="65" customFormat="1"/>
    <row r="6271" s="65" customFormat="1"/>
    <row r="6272" s="65" customFormat="1"/>
    <row r="6273" s="65" customFormat="1"/>
    <row r="6274" s="65" customFormat="1"/>
    <row r="6275" s="65" customFormat="1"/>
    <row r="6276" s="65" customFormat="1"/>
    <row r="6277" s="65" customFormat="1"/>
    <row r="6278" s="65" customFormat="1"/>
    <row r="6279" s="65" customFormat="1"/>
    <row r="6280" s="65" customFormat="1"/>
    <row r="6281" s="65" customFormat="1"/>
    <row r="6282" s="65" customFormat="1"/>
    <row r="6283" s="65" customFormat="1"/>
    <row r="6284" s="65" customFormat="1"/>
    <row r="6285" s="65" customFormat="1"/>
    <row r="6286" s="65" customFormat="1"/>
    <row r="6287" s="65" customFormat="1"/>
    <row r="6288" s="65" customFormat="1"/>
    <row r="6289" s="65" customFormat="1"/>
    <row r="6290" s="65" customFormat="1"/>
    <row r="6291" s="65" customFormat="1"/>
    <row r="6292" s="65" customFormat="1"/>
    <row r="6293" s="65" customFormat="1"/>
    <row r="6294" s="65" customFormat="1"/>
    <row r="6295" s="65" customFormat="1"/>
    <row r="6296" s="65" customFormat="1"/>
    <row r="6297" s="65" customFormat="1"/>
    <row r="6298" s="65" customFormat="1"/>
    <row r="6299" s="65" customFormat="1"/>
    <row r="6300" s="65" customFormat="1"/>
    <row r="6301" s="65" customFormat="1"/>
    <row r="6302" s="65" customFormat="1"/>
    <row r="6303" s="65" customFormat="1"/>
    <row r="6304" s="65" customFormat="1"/>
    <row r="6305" s="65" customFormat="1"/>
    <row r="6306" s="65" customFormat="1"/>
    <row r="6307" s="65" customFormat="1"/>
    <row r="6308" s="65" customFormat="1"/>
    <row r="6309" s="65" customFormat="1"/>
    <row r="6310" s="65" customFormat="1"/>
    <row r="6311" s="65" customFormat="1"/>
    <row r="6312" s="65" customFormat="1"/>
    <row r="6313" s="65" customFormat="1"/>
    <row r="6314" s="65" customFormat="1"/>
    <row r="6315" s="65" customFormat="1"/>
    <row r="6316" s="65" customFormat="1"/>
    <row r="6317" s="65" customFormat="1"/>
    <row r="6318" s="65" customFormat="1"/>
    <row r="6319" s="65" customFormat="1"/>
    <row r="6320" s="65" customFormat="1"/>
    <row r="6321" s="65" customFormat="1"/>
    <row r="6322" s="65" customFormat="1"/>
    <row r="6323" s="65" customFormat="1"/>
    <row r="6324" s="65" customFormat="1"/>
    <row r="6325" s="65" customFormat="1"/>
    <row r="6326" s="65" customFormat="1"/>
    <row r="6327" s="65" customFormat="1"/>
    <row r="6328" s="65" customFormat="1"/>
    <row r="6329" s="65" customFormat="1"/>
    <row r="6330" s="65" customFormat="1"/>
    <row r="6331" s="65" customFormat="1"/>
    <row r="6332" s="65" customFormat="1"/>
    <row r="6333" s="65" customFormat="1"/>
    <row r="6334" s="65" customFormat="1"/>
    <row r="6335" s="65" customFormat="1"/>
    <row r="6336" s="65" customFormat="1"/>
    <row r="6337" s="65" customFormat="1"/>
    <row r="6338" s="65" customFormat="1"/>
    <row r="6339" s="65" customFormat="1"/>
    <row r="6340" s="65" customFormat="1"/>
    <row r="6341" s="65" customFormat="1"/>
    <row r="6342" s="65" customFormat="1"/>
    <row r="6343" s="65" customFormat="1"/>
    <row r="6344" s="65" customFormat="1"/>
    <row r="6345" s="65" customFormat="1"/>
    <row r="6346" s="65" customFormat="1"/>
    <row r="6347" s="65" customFormat="1"/>
    <row r="6348" s="65" customFormat="1"/>
    <row r="6349" s="65" customFormat="1"/>
    <row r="6350" s="65" customFormat="1"/>
    <row r="6351" s="65" customFormat="1"/>
    <row r="6352" s="65" customFormat="1"/>
    <row r="6353" s="65" customFormat="1"/>
    <row r="6354" s="65" customFormat="1"/>
    <row r="6355" s="65" customFormat="1"/>
    <row r="6356" s="65" customFormat="1"/>
    <row r="6357" s="65" customFormat="1"/>
    <row r="6358" s="65" customFormat="1"/>
    <row r="6359" s="65" customFormat="1"/>
    <row r="6360" s="65" customFormat="1"/>
    <row r="6361" s="65" customFormat="1"/>
    <row r="6362" s="65" customFormat="1"/>
    <row r="6363" s="65" customFormat="1"/>
    <row r="6364" s="65" customFormat="1"/>
    <row r="6365" s="65" customFormat="1"/>
    <row r="6366" s="65" customFormat="1"/>
    <row r="6367" s="65" customFormat="1"/>
    <row r="6368" s="65" customFormat="1"/>
    <row r="6369" s="65" customFormat="1"/>
    <row r="6370" s="65" customFormat="1"/>
    <row r="6371" s="65" customFormat="1"/>
    <row r="6372" s="65" customFormat="1"/>
    <row r="6373" s="65" customFormat="1"/>
    <row r="6374" s="65" customFormat="1"/>
    <row r="6375" s="65" customFormat="1"/>
    <row r="6376" s="65" customFormat="1"/>
    <row r="6377" s="65" customFormat="1"/>
    <row r="6378" s="65" customFormat="1"/>
    <row r="6379" s="65" customFormat="1"/>
    <row r="6380" s="65" customFormat="1"/>
    <row r="6381" s="65" customFormat="1"/>
    <row r="6382" s="65" customFormat="1"/>
    <row r="6383" s="65" customFormat="1"/>
    <row r="6384" s="65" customFormat="1"/>
    <row r="6385" s="65" customFormat="1"/>
    <row r="6386" s="65" customFormat="1"/>
    <row r="6387" s="65" customFormat="1"/>
    <row r="6388" s="65" customFormat="1"/>
    <row r="6389" s="65" customFormat="1"/>
    <row r="6390" s="65" customFormat="1"/>
    <row r="6391" s="65" customFormat="1"/>
    <row r="6392" s="65" customFormat="1"/>
    <row r="6393" s="65" customFormat="1"/>
    <row r="6394" s="65" customFormat="1"/>
    <row r="6395" s="65" customFormat="1"/>
    <row r="6396" s="65" customFormat="1"/>
    <row r="6397" s="65" customFormat="1"/>
    <row r="6398" s="65" customFormat="1"/>
    <row r="6399" s="65" customFormat="1"/>
    <row r="6400" s="65" customFormat="1"/>
    <row r="6401" s="65" customFormat="1"/>
    <row r="6402" s="65" customFormat="1"/>
    <row r="6403" s="65" customFormat="1"/>
    <row r="6404" s="65" customFormat="1"/>
    <row r="6405" s="65" customFormat="1"/>
    <row r="6406" s="65" customFormat="1"/>
    <row r="6407" s="65" customFormat="1"/>
    <row r="6408" s="65" customFormat="1"/>
    <row r="6409" s="65" customFormat="1"/>
    <row r="6410" s="65" customFormat="1"/>
    <row r="6411" s="65" customFormat="1"/>
    <row r="6412" s="65" customFormat="1"/>
    <row r="6413" s="65" customFormat="1"/>
    <row r="6414" s="65" customFormat="1"/>
    <row r="6415" s="65" customFormat="1"/>
    <row r="6416" s="65" customFormat="1"/>
    <row r="6417" s="65" customFormat="1"/>
    <row r="6418" s="65" customFormat="1"/>
    <row r="6419" s="65" customFormat="1"/>
    <row r="6420" s="65" customFormat="1"/>
    <row r="6421" s="65" customFormat="1"/>
    <row r="6422" s="65" customFormat="1"/>
    <row r="6423" s="65" customFormat="1"/>
    <row r="6424" s="65" customFormat="1"/>
    <row r="6425" s="65" customFormat="1"/>
    <row r="6426" s="65" customFormat="1"/>
    <row r="6427" s="65" customFormat="1"/>
    <row r="6428" s="65" customFormat="1"/>
    <row r="6429" s="65" customFormat="1"/>
    <row r="6430" s="65" customFormat="1"/>
    <row r="6431" s="65" customFormat="1"/>
    <row r="6432" s="65" customFormat="1"/>
    <row r="6433" s="65" customFormat="1"/>
    <row r="6434" s="65" customFormat="1"/>
    <row r="6435" s="65" customFormat="1"/>
    <row r="6436" s="65" customFormat="1"/>
    <row r="6437" s="65" customFormat="1"/>
    <row r="6438" s="65" customFormat="1"/>
    <row r="6439" s="65" customFormat="1"/>
    <row r="6440" s="65" customFormat="1"/>
    <row r="6441" s="65" customFormat="1"/>
    <row r="6442" s="65" customFormat="1"/>
    <row r="6443" s="65" customFormat="1"/>
    <row r="6444" s="65" customFormat="1"/>
    <row r="6445" s="65" customFormat="1"/>
    <row r="6446" s="65" customFormat="1"/>
    <row r="6447" s="65" customFormat="1"/>
    <row r="6448" s="65" customFormat="1"/>
    <row r="6449" s="65" customFormat="1"/>
    <row r="6450" s="65" customFormat="1"/>
    <row r="6451" s="65" customFormat="1"/>
    <row r="6452" s="65" customFormat="1"/>
    <row r="6453" s="65" customFormat="1"/>
    <row r="6454" s="65" customFormat="1"/>
    <row r="6455" s="65" customFormat="1"/>
    <row r="6456" s="65" customFormat="1"/>
    <row r="6457" s="65" customFormat="1"/>
    <row r="6458" s="65" customFormat="1"/>
    <row r="6459" s="65" customFormat="1"/>
    <row r="6460" s="65" customFormat="1"/>
    <row r="6461" s="65" customFormat="1"/>
    <row r="6462" s="65" customFormat="1"/>
    <row r="6463" s="65" customFormat="1"/>
    <row r="6464" s="65" customFormat="1"/>
    <row r="6465" s="65" customFormat="1"/>
    <row r="6466" s="65" customFormat="1"/>
    <row r="6467" s="65" customFormat="1"/>
    <row r="6468" s="65" customFormat="1"/>
    <row r="6469" s="65" customFormat="1"/>
    <row r="6470" s="65" customFormat="1"/>
    <row r="6471" s="65" customFormat="1"/>
    <row r="6472" s="65" customFormat="1"/>
    <row r="6473" s="65" customFormat="1"/>
    <row r="6474" s="65" customFormat="1"/>
    <row r="6475" s="65" customFormat="1"/>
    <row r="6476" s="65" customFormat="1"/>
    <row r="6477" s="65" customFormat="1"/>
    <row r="6478" s="65" customFormat="1"/>
    <row r="6479" s="65" customFormat="1"/>
    <row r="6480" s="65" customFormat="1"/>
    <row r="6481" s="65" customFormat="1"/>
    <row r="6482" s="65" customFormat="1"/>
    <row r="6483" s="65" customFormat="1"/>
    <row r="6484" s="65" customFormat="1"/>
    <row r="6485" s="65" customFormat="1"/>
    <row r="6486" s="65" customFormat="1"/>
    <row r="6487" s="65" customFormat="1"/>
    <row r="6488" s="65" customFormat="1"/>
    <row r="6489" s="65" customFormat="1"/>
    <row r="6490" s="65" customFormat="1"/>
    <row r="6491" s="65" customFormat="1"/>
    <row r="6492" s="65" customFormat="1"/>
    <row r="6493" s="65" customFormat="1"/>
    <row r="6494" s="65" customFormat="1"/>
    <row r="6495" s="65" customFormat="1"/>
    <row r="6496" s="65" customFormat="1"/>
    <row r="6497" s="65" customFormat="1"/>
    <row r="6498" s="65" customFormat="1"/>
    <row r="6499" s="65" customFormat="1"/>
    <row r="6500" s="65" customFormat="1"/>
    <row r="6501" s="65" customFormat="1"/>
    <row r="6502" s="65" customFormat="1"/>
    <row r="6503" s="65" customFormat="1"/>
    <row r="6504" s="65" customFormat="1"/>
    <row r="6505" s="65" customFormat="1"/>
    <row r="6506" s="65" customFormat="1"/>
    <row r="6507" s="65" customFormat="1"/>
    <row r="6508" s="65" customFormat="1"/>
    <row r="6509" s="65" customFormat="1"/>
    <row r="6510" s="65" customFormat="1"/>
    <row r="6511" s="65" customFormat="1"/>
    <row r="6512" s="65" customFormat="1"/>
    <row r="6513" s="65" customFormat="1"/>
    <row r="6514" s="65" customFormat="1"/>
    <row r="6515" s="65" customFormat="1"/>
    <row r="6516" s="65" customFormat="1"/>
    <row r="6517" s="65" customFormat="1"/>
    <row r="6518" s="65" customFormat="1"/>
    <row r="6519" s="65" customFormat="1"/>
    <row r="6520" s="65" customFormat="1"/>
    <row r="6521" s="65" customFormat="1"/>
    <row r="6522" s="65" customFormat="1"/>
    <row r="6523" s="65" customFormat="1"/>
    <row r="6524" s="65" customFormat="1"/>
    <row r="6525" s="65" customFormat="1"/>
    <row r="6526" s="65" customFormat="1"/>
    <row r="6527" s="65" customFormat="1"/>
    <row r="6528" s="65" customFormat="1"/>
    <row r="6529" s="65" customFormat="1"/>
    <row r="6530" s="65" customFormat="1"/>
    <row r="6531" s="65" customFormat="1"/>
    <row r="6532" s="65" customFormat="1"/>
    <row r="6533" s="65" customFormat="1"/>
    <row r="6534" s="65" customFormat="1"/>
    <row r="6535" s="65" customFormat="1"/>
    <row r="6536" s="65" customFormat="1"/>
    <row r="6537" s="65" customFormat="1"/>
    <row r="6538" s="65" customFormat="1"/>
    <row r="6539" s="65" customFormat="1"/>
    <row r="6540" s="65" customFormat="1"/>
    <row r="6541" s="65" customFormat="1"/>
    <row r="6542" s="65" customFormat="1"/>
    <row r="6543" s="65" customFormat="1"/>
    <row r="6544" s="65" customFormat="1"/>
    <row r="6545" s="65" customFormat="1"/>
    <row r="6546" s="65" customFormat="1"/>
    <row r="6547" s="65" customFormat="1"/>
    <row r="6548" s="65" customFormat="1"/>
    <row r="6549" s="65" customFormat="1"/>
    <row r="6550" s="65" customFormat="1"/>
    <row r="6551" s="65" customFormat="1"/>
    <row r="6552" s="65" customFormat="1"/>
    <row r="6553" s="65" customFormat="1"/>
    <row r="6554" s="65" customFormat="1"/>
    <row r="6555" s="65" customFormat="1"/>
    <row r="6556" s="65" customFormat="1"/>
    <row r="6557" s="65" customFormat="1"/>
    <row r="6558" s="65" customFormat="1"/>
    <row r="6559" s="65" customFormat="1"/>
    <row r="6560" s="65" customFormat="1"/>
    <row r="6561" s="65" customFormat="1"/>
    <row r="6562" s="65" customFormat="1"/>
    <row r="6563" s="65" customFormat="1"/>
    <row r="6564" s="65" customFormat="1"/>
    <row r="6565" s="65" customFormat="1"/>
    <row r="6566" s="65" customFormat="1"/>
    <row r="6567" s="65" customFormat="1"/>
    <row r="6568" s="65" customFormat="1"/>
    <row r="6569" s="65" customFormat="1"/>
    <row r="6570" s="65" customFormat="1"/>
    <row r="6571" s="65" customFormat="1"/>
    <row r="6572" s="65" customFormat="1"/>
    <row r="6573" s="65" customFormat="1"/>
    <row r="6574" s="65" customFormat="1"/>
    <row r="6575" s="65" customFormat="1"/>
    <row r="6576" s="65" customFormat="1"/>
    <row r="6577" s="65" customFormat="1"/>
    <row r="6578" s="65" customFormat="1"/>
    <row r="6579" s="65" customFormat="1"/>
    <row r="6580" s="65" customFormat="1"/>
    <row r="6581" s="65" customFormat="1"/>
    <row r="6582" s="65" customFormat="1"/>
    <row r="6583" s="65" customFormat="1"/>
    <row r="6584" s="65" customFormat="1"/>
    <row r="6585" s="65" customFormat="1"/>
    <row r="6586" s="65" customFormat="1"/>
    <row r="6587" s="65" customFormat="1"/>
    <row r="6588" s="65" customFormat="1"/>
    <row r="6589" s="65" customFormat="1"/>
    <row r="6590" s="65" customFormat="1"/>
    <row r="6591" s="65" customFormat="1"/>
    <row r="6592" s="65" customFormat="1"/>
    <row r="6593" s="65" customFormat="1"/>
    <row r="6594" s="65" customFormat="1"/>
    <row r="6595" s="65" customFormat="1"/>
    <row r="6596" s="65" customFormat="1"/>
    <row r="6597" s="65" customFormat="1"/>
    <row r="6598" s="65" customFormat="1"/>
    <row r="6599" s="65" customFormat="1"/>
    <row r="6600" s="65" customFormat="1"/>
    <row r="6601" s="65" customFormat="1"/>
    <row r="6602" s="65" customFormat="1"/>
    <row r="6603" s="65" customFormat="1"/>
    <row r="6604" s="65" customFormat="1"/>
    <row r="6605" s="65" customFormat="1"/>
    <row r="6606" s="65" customFormat="1"/>
    <row r="6607" s="65" customFormat="1"/>
    <row r="6608" s="65" customFormat="1"/>
    <row r="6609" s="65" customFormat="1"/>
    <row r="6610" s="65" customFormat="1"/>
    <row r="6611" s="65" customFormat="1"/>
    <row r="6612" s="65" customFormat="1"/>
    <row r="6613" s="65" customFormat="1"/>
    <row r="6614" s="65" customFormat="1"/>
    <row r="6615" s="65" customFormat="1"/>
    <row r="6616" s="65" customFormat="1"/>
    <row r="6617" s="65" customFormat="1"/>
    <row r="6618" s="65" customFormat="1"/>
    <row r="6619" s="65" customFormat="1"/>
    <row r="6620" s="65" customFormat="1"/>
    <row r="6621" s="65" customFormat="1"/>
    <row r="6622" s="65" customFormat="1"/>
    <row r="6623" s="65" customFormat="1"/>
    <row r="6624" s="65" customFormat="1"/>
    <row r="6625" s="65" customFormat="1"/>
    <row r="6626" s="65" customFormat="1"/>
    <row r="6627" s="65" customFormat="1"/>
    <row r="6628" s="65" customFormat="1"/>
    <row r="6629" s="65" customFormat="1"/>
    <row r="6630" s="65" customFormat="1"/>
    <row r="6631" s="65" customFormat="1"/>
    <row r="6632" s="65" customFormat="1"/>
    <row r="6633" s="65" customFormat="1"/>
    <row r="6634" s="65" customFormat="1"/>
    <row r="6635" s="65" customFormat="1"/>
    <row r="6636" s="65" customFormat="1"/>
    <row r="6637" s="65" customFormat="1"/>
    <row r="6638" s="65" customFormat="1"/>
    <row r="6639" s="65" customFormat="1"/>
    <row r="6640" s="65" customFormat="1"/>
    <row r="6641" s="65" customFormat="1"/>
    <row r="6642" s="65" customFormat="1"/>
    <row r="6643" s="65" customFormat="1"/>
    <row r="6644" s="65" customFormat="1"/>
    <row r="6645" s="65" customFormat="1"/>
    <row r="6646" s="65" customFormat="1"/>
    <row r="6647" s="65" customFormat="1"/>
    <row r="6648" s="65" customFormat="1"/>
    <row r="6649" s="65" customFormat="1"/>
    <row r="6650" s="65" customFormat="1"/>
    <row r="6651" s="65" customFormat="1"/>
    <row r="6652" s="65" customFormat="1"/>
    <row r="6653" s="65" customFormat="1"/>
    <row r="6654" s="65" customFormat="1"/>
    <row r="6655" s="65" customFormat="1"/>
    <row r="6656" s="65" customFormat="1"/>
    <row r="6657" s="65" customFormat="1"/>
    <row r="6658" s="65" customFormat="1"/>
    <row r="6659" s="65" customFormat="1"/>
    <row r="6660" s="65" customFormat="1"/>
    <row r="6661" s="65" customFormat="1"/>
    <row r="6662" s="65" customFormat="1"/>
    <row r="6663" s="65" customFormat="1"/>
    <row r="6664" s="65" customFormat="1"/>
    <row r="6665" s="65" customFormat="1"/>
    <row r="6666" s="65" customFormat="1"/>
    <row r="6667" s="65" customFormat="1"/>
    <row r="6668" s="65" customFormat="1"/>
    <row r="6669" s="65" customFormat="1"/>
    <row r="6670" s="65" customFormat="1"/>
    <row r="6671" s="65" customFormat="1"/>
    <row r="6672" s="65" customFormat="1"/>
    <row r="6673" s="65" customFormat="1"/>
    <row r="6674" s="65" customFormat="1"/>
    <row r="6675" s="65" customFormat="1"/>
    <row r="6676" s="65" customFormat="1"/>
    <row r="6677" s="65" customFormat="1"/>
    <row r="6678" s="65" customFormat="1"/>
    <row r="6679" s="65" customFormat="1"/>
    <row r="6680" s="65" customFormat="1"/>
    <row r="6681" s="65" customFormat="1"/>
    <row r="6682" s="65" customFormat="1"/>
    <row r="6683" s="65" customFormat="1"/>
    <row r="6684" s="65" customFormat="1"/>
    <row r="6685" s="65" customFormat="1"/>
    <row r="6686" s="65" customFormat="1"/>
    <row r="6687" s="65" customFormat="1"/>
    <row r="6688" s="65" customFormat="1"/>
    <row r="6689" s="65" customFormat="1"/>
    <row r="6690" s="65" customFormat="1"/>
    <row r="6691" s="65" customFormat="1"/>
    <row r="6692" s="65" customFormat="1"/>
    <row r="6693" s="65" customFormat="1"/>
    <row r="6694" s="65" customFormat="1"/>
    <row r="6695" s="65" customFormat="1"/>
    <row r="6696" s="65" customFormat="1"/>
    <row r="6697" s="65" customFormat="1"/>
    <row r="6698" s="65" customFormat="1"/>
    <row r="6699" s="65" customFormat="1"/>
    <row r="6700" s="65" customFormat="1"/>
    <row r="6701" s="65" customFormat="1"/>
    <row r="6702" s="65" customFormat="1"/>
    <row r="6703" s="65" customFormat="1"/>
    <row r="6704" s="65" customFormat="1"/>
    <row r="6705" s="65" customFormat="1"/>
    <row r="6706" s="65" customFormat="1"/>
    <row r="6707" s="65" customFormat="1"/>
    <row r="6708" s="65" customFormat="1"/>
    <row r="6709" s="65" customFormat="1"/>
    <row r="6710" s="65" customFormat="1"/>
    <row r="6711" s="65" customFormat="1"/>
    <row r="6712" s="65" customFormat="1"/>
    <row r="6713" s="65" customFormat="1"/>
    <row r="6714" s="65" customFormat="1"/>
    <row r="6715" s="65" customFormat="1"/>
    <row r="6716" s="65" customFormat="1"/>
    <row r="6717" s="65" customFormat="1"/>
    <row r="6718" s="65" customFormat="1"/>
    <row r="6719" s="65" customFormat="1"/>
    <row r="6720" s="65" customFormat="1"/>
    <row r="6721" s="65" customFormat="1"/>
    <row r="6722" s="65" customFormat="1"/>
    <row r="6723" s="65" customFormat="1"/>
    <row r="6724" s="65" customFormat="1"/>
    <row r="6725" s="65" customFormat="1"/>
    <row r="6726" s="65" customFormat="1"/>
    <row r="6727" s="65" customFormat="1"/>
    <row r="6728" s="65" customFormat="1"/>
    <row r="6729" s="65" customFormat="1"/>
    <row r="6730" s="65" customFormat="1"/>
    <row r="6731" s="65" customFormat="1"/>
    <row r="6732" s="65" customFormat="1"/>
    <row r="6733" s="65" customFormat="1"/>
    <row r="6734" s="65" customFormat="1"/>
    <row r="6735" s="65" customFormat="1"/>
    <row r="6736" s="65" customFormat="1"/>
    <row r="6737" s="65" customFormat="1"/>
    <row r="6738" s="65" customFormat="1"/>
    <row r="6739" s="65" customFormat="1"/>
    <row r="6740" s="65" customFormat="1"/>
    <row r="6741" s="65" customFormat="1"/>
    <row r="6742" s="65" customFormat="1"/>
    <row r="6743" s="65" customFormat="1"/>
    <row r="6744" s="65" customFormat="1"/>
    <row r="6745" s="65" customFormat="1"/>
    <row r="6746" s="65" customFormat="1"/>
    <row r="6747" s="65" customFormat="1"/>
    <row r="6748" s="65" customFormat="1"/>
    <row r="6749" s="65" customFormat="1"/>
    <row r="6750" s="65" customFormat="1"/>
    <row r="6751" s="65" customFormat="1"/>
    <row r="6752" s="65" customFormat="1"/>
    <row r="6753" s="65" customFormat="1"/>
    <row r="6754" s="65" customFormat="1"/>
    <row r="6755" s="65" customFormat="1"/>
    <row r="6756" s="65" customFormat="1"/>
    <row r="6757" s="65" customFormat="1"/>
    <row r="6758" s="65" customFormat="1"/>
    <row r="6759" s="65" customFormat="1"/>
    <row r="6760" s="65" customFormat="1"/>
    <row r="6761" s="65" customFormat="1"/>
    <row r="6762" s="65" customFormat="1"/>
    <row r="6763" s="65" customFormat="1"/>
    <row r="6764" s="65" customFormat="1"/>
    <row r="6765" s="65" customFormat="1"/>
    <row r="6766" s="65" customFormat="1"/>
    <row r="6767" s="65" customFormat="1"/>
    <row r="6768" s="65" customFormat="1"/>
    <row r="6769" s="65" customFormat="1"/>
    <row r="6770" s="65" customFormat="1"/>
    <row r="6771" s="65" customFormat="1"/>
    <row r="6772" s="65" customFormat="1"/>
    <row r="6773" s="65" customFormat="1"/>
    <row r="6774" s="65" customFormat="1"/>
    <row r="6775" s="65" customFormat="1"/>
    <row r="6776" s="65" customFormat="1"/>
    <row r="6777" s="65" customFormat="1"/>
    <row r="6778" s="65" customFormat="1"/>
    <row r="6779" s="65" customFormat="1"/>
    <row r="6780" s="65" customFormat="1"/>
    <row r="6781" s="65" customFormat="1"/>
    <row r="6782" s="65" customFormat="1"/>
    <row r="6783" s="65" customFormat="1"/>
    <row r="6784" s="65" customFormat="1"/>
    <row r="6785" s="65" customFormat="1"/>
    <row r="6786" s="65" customFormat="1"/>
    <row r="6787" s="65" customFormat="1"/>
    <row r="6788" s="65" customFormat="1"/>
    <row r="6789" s="65" customFormat="1"/>
    <row r="6790" s="65" customFormat="1"/>
    <row r="6791" s="65" customFormat="1"/>
    <row r="6792" s="65" customFormat="1"/>
    <row r="6793" s="65" customFormat="1"/>
    <row r="6794" s="65" customFormat="1"/>
    <row r="6795" s="65" customFormat="1"/>
    <row r="6796" s="65" customFormat="1"/>
    <row r="6797" s="65" customFormat="1"/>
    <row r="6798" s="65" customFormat="1"/>
    <row r="6799" s="65" customFormat="1"/>
    <row r="6800" s="65" customFormat="1"/>
    <row r="6801" s="65" customFormat="1"/>
    <row r="6802" s="65" customFormat="1"/>
    <row r="6803" s="65" customFormat="1"/>
    <row r="6804" s="65" customFormat="1"/>
    <row r="6805" s="65" customFormat="1"/>
    <row r="6806" s="65" customFormat="1"/>
    <row r="6807" s="65" customFormat="1"/>
    <row r="6808" s="65" customFormat="1"/>
    <row r="6809" s="65" customFormat="1"/>
    <row r="6810" s="65" customFormat="1"/>
    <row r="6811" s="65" customFormat="1"/>
    <row r="6812" s="65" customFormat="1"/>
    <row r="6813" s="65" customFormat="1"/>
    <row r="6814" s="65" customFormat="1"/>
    <row r="6815" s="65" customFormat="1"/>
    <row r="6816" s="65" customFormat="1"/>
    <row r="6817" s="65" customFormat="1"/>
    <row r="6818" s="65" customFormat="1"/>
    <row r="6819" s="65" customFormat="1"/>
    <row r="6820" s="65" customFormat="1"/>
    <row r="6821" s="65" customFormat="1"/>
    <row r="6822" s="65" customFormat="1"/>
    <row r="6823" s="65" customFormat="1"/>
    <row r="6824" s="65" customFormat="1"/>
    <row r="6825" s="65" customFormat="1"/>
    <row r="6826" s="65" customFormat="1"/>
    <row r="6827" s="65" customFormat="1"/>
    <row r="6828" s="65" customFormat="1"/>
    <row r="6829" s="65" customFormat="1"/>
    <row r="6830" s="65" customFormat="1"/>
    <row r="6831" s="65" customFormat="1"/>
    <row r="6832" s="65" customFormat="1"/>
    <row r="6833" s="65" customFormat="1"/>
    <row r="6834" s="65" customFormat="1"/>
    <row r="6835" s="65" customFormat="1"/>
    <row r="6836" s="65" customFormat="1"/>
    <row r="6837" s="65" customFormat="1"/>
    <row r="6838" s="65" customFormat="1"/>
    <row r="6839" s="65" customFormat="1"/>
    <row r="6840" s="65" customFormat="1"/>
    <row r="6841" s="65" customFormat="1"/>
    <row r="6842" s="65" customFormat="1"/>
    <row r="6843" s="65" customFormat="1"/>
    <row r="6844" s="65" customFormat="1"/>
    <row r="6845" s="65" customFormat="1"/>
    <row r="6846" s="65" customFormat="1"/>
    <row r="6847" s="65" customFormat="1"/>
    <row r="6848" s="65" customFormat="1"/>
    <row r="6849" s="65" customFormat="1"/>
    <row r="6850" s="65" customFormat="1"/>
    <row r="6851" s="65" customFormat="1"/>
    <row r="6852" s="65" customFormat="1"/>
    <row r="6853" s="65" customFormat="1"/>
    <row r="6854" s="65" customFormat="1"/>
    <row r="6855" s="65" customFormat="1"/>
    <row r="6856" s="65" customFormat="1"/>
    <row r="6857" s="65" customFormat="1"/>
    <row r="6858" s="65" customFormat="1"/>
    <row r="6859" s="65" customFormat="1"/>
    <row r="6860" s="65" customFormat="1"/>
    <row r="6861" s="65" customFormat="1"/>
    <row r="6862" s="65" customFormat="1"/>
    <row r="6863" s="65" customFormat="1"/>
    <row r="6864" s="65" customFormat="1"/>
    <row r="6865" s="65" customFormat="1"/>
    <row r="6866" s="65" customFormat="1"/>
    <row r="6867" s="65" customFormat="1"/>
    <row r="6868" s="65" customFormat="1"/>
    <row r="6869" s="65" customFormat="1"/>
    <row r="6870" s="65" customFormat="1"/>
    <row r="6871" s="65" customFormat="1"/>
    <row r="6872" s="65" customFormat="1"/>
    <row r="6873" s="65" customFormat="1"/>
    <row r="6874" s="65" customFormat="1"/>
    <row r="6875" s="65" customFormat="1"/>
    <row r="6876" s="65" customFormat="1"/>
    <row r="6877" s="65" customFormat="1"/>
    <row r="6878" s="65" customFormat="1"/>
    <row r="6879" s="65" customFormat="1"/>
    <row r="6880" s="65" customFormat="1"/>
    <row r="6881" s="65" customFormat="1"/>
    <row r="6882" s="65" customFormat="1"/>
    <row r="6883" s="65" customFormat="1"/>
    <row r="6884" s="65" customFormat="1"/>
    <row r="6885" s="65" customFormat="1"/>
    <row r="6886" s="65" customFormat="1"/>
    <row r="6887" s="65" customFormat="1"/>
    <row r="6888" s="65" customFormat="1"/>
    <row r="6889" s="65" customFormat="1"/>
    <row r="6890" s="65" customFormat="1"/>
    <row r="6891" s="65" customFormat="1"/>
    <row r="6892" s="65" customFormat="1"/>
    <row r="6893" s="65" customFormat="1"/>
    <row r="6894" s="65" customFormat="1"/>
    <row r="6895" s="65" customFormat="1"/>
    <row r="6896" s="65" customFormat="1"/>
    <row r="6897" s="65" customFormat="1"/>
    <row r="6898" s="65" customFormat="1"/>
    <row r="6899" s="65" customFormat="1"/>
    <row r="6900" s="65" customFormat="1"/>
    <row r="6901" s="65" customFormat="1"/>
    <row r="6902" s="65" customFormat="1"/>
    <row r="6903" s="65" customFormat="1"/>
    <row r="6904" s="65" customFormat="1"/>
    <row r="6905" s="65" customFormat="1"/>
    <row r="6906" s="65" customFormat="1"/>
    <row r="6907" s="65" customFormat="1"/>
    <row r="6908" s="65" customFormat="1"/>
    <row r="6909" s="65" customFormat="1"/>
    <row r="6910" s="65" customFormat="1"/>
    <row r="6911" s="65" customFormat="1"/>
    <row r="6912" s="65" customFormat="1"/>
    <row r="6913" s="65" customFormat="1"/>
    <row r="6914" s="65" customFormat="1"/>
    <row r="6915" s="65" customFormat="1"/>
    <row r="6916" s="65" customFormat="1"/>
    <row r="6917" s="65" customFormat="1"/>
    <row r="6918" s="65" customFormat="1"/>
    <row r="6919" s="65" customFormat="1"/>
    <row r="6920" s="65" customFormat="1"/>
    <row r="6921" s="65" customFormat="1"/>
    <row r="6922" s="65" customFormat="1"/>
    <row r="6923" s="65" customFormat="1"/>
    <row r="6924" s="65" customFormat="1"/>
    <row r="6925" s="65" customFormat="1"/>
    <row r="6926" s="65" customFormat="1"/>
    <row r="6927" s="65" customFormat="1"/>
    <row r="6928" s="65" customFormat="1"/>
    <row r="6929" s="65" customFormat="1"/>
    <row r="6930" s="65" customFormat="1"/>
    <row r="6931" s="65" customFormat="1"/>
    <row r="6932" s="65" customFormat="1"/>
    <row r="6933" s="65" customFormat="1"/>
    <row r="6934" s="65" customFormat="1"/>
    <row r="6935" s="65" customFormat="1"/>
    <row r="6936" s="65" customFormat="1"/>
    <row r="6937" s="65" customFormat="1"/>
    <row r="6938" s="65" customFormat="1"/>
    <row r="6939" s="65" customFormat="1"/>
    <row r="6940" s="65" customFormat="1"/>
    <row r="6941" s="65" customFormat="1"/>
    <row r="6942" s="65" customFormat="1"/>
    <row r="6943" s="65" customFormat="1"/>
    <row r="6944" s="65" customFormat="1"/>
    <row r="6945" s="65" customFormat="1"/>
    <row r="6946" s="65" customFormat="1"/>
    <row r="6947" s="65" customFormat="1"/>
    <row r="6948" s="65" customFormat="1"/>
    <row r="6949" s="65" customFormat="1"/>
    <row r="6950" s="65" customFormat="1"/>
    <row r="6951" s="65" customFormat="1"/>
    <row r="6952" s="65" customFormat="1"/>
    <row r="6953" s="65" customFormat="1"/>
    <row r="6954" s="65" customFormat="1"/>
    <row r="6955" s="65" customFormat="1"/>
    <row r="6956" s="65" customFormat="1"/>
    <row r="6957" s="65" customFormat="1"/>
    <row r="6958" s="65" customFormat="1"/>
    <row r="6959" s="65" customFormat="1"/>
    <row r="6960" s="65" customFormat="1"/>
    <row r="6961" s="65" customFormat="1"/>
    <row r="6962" s="65" customFormat="1"/>
    <row r="6963" s="65" customFormat="1"/>
    <row r="6964" s="65" customFormat="1"/>
    <row r="6965" s="65" customFormat="1"/>
    <row r="6966" s="65" customFormat="1"/>
    <row r="6967" s="65" customFormat="1"/>
    <row r="6968" s="65" customFormat="1"/>
    <row r="6969" s="65" customFormat="1"/>
    <row r="6970" s="65" customFormat="1"/>
    <row r="6971" s="65" customFormat="1"/>
    <row r="6972" s="65" customFormat="1"/>
    <row r="6973" s="65" customFormat="1"/>
    <row r="6974" s="65" customFormat="1"/>
    <row r="6975" s="65" customFormat="1"/>
    <row r="6976" s="65" customFormat="1"/>
    <row r="6977" s="65" customFormat="1"/>
    <row r="6978" s="65" customFormat="1"/>
    <row r="6979" s="65" customFormat="1"/>
    <row r="6980" s="65" customFormat="1"/>
    <row r="6981" s="65" customFormat="1"/>
    <row r="6982" s="65" customFormat="1"/>
    <row r="6983" s="65" customFormat="1"/>
    <row r="6984" s="65" customFormat="1"/>
    <row r="6985" s="65" customFormat="1"/>
    <row r="6986" s="65" customFormat="1"/>
    <row r="6987" s="65" customFormat="1"/>
    <row r="6988" s="65" customFormat="1"/>
    <row r="6989" s="65" customFormat="1"/>
    <row r="6990" s="65" customFormat="1"/>
    <row r="6991" s="65" customFormat="1"/>
    <row r="6992" s="65" customFormat="1"/>
    <row r="6993" s="65" customFormat="1"/>
    <row r="6994" s="65" customFormat="1"/>
    <row r="6995" s="65" customFormat="1"/>
    <row r="6996" s="65" customFormat="1"/>
    <row r="6997" s="65" customFormat="1"/>
    <row r="6998" s="65" customFormat="1"/>
    <row r="6999" s="65" customFormat="1"/>
    <row r="7000" s="65" customFormat="1"/>
    <row r="7001" s="65" customFormat="1"/>
    <row r="7002" s="65" customFormat="1"/>
    <row r="7003" s="65" customFormat="1"/>
    <row r="7004" s="65" customFormat="1"/>
    <row r="7005" s="65" customFormat="1"/>
    <row r="7006" s="65" customFormat="1"/>
    <row r="7007" s="65" customFormat="1"/>
    <row r="7008" s="65" customFormat="1"/>
    <row r="7009" s="65" customFormat="1"/>
    <row r="7010" s="65" customFormat="1"/>
    <row r="7011" s="65" customFormat="1"/>
    <row r="7012" s="65" customFormat="1"/>
    <row r="7013" s="65" customFormat="1"/>
    <row r="7014" s="65" customFormat="1"/>
    <row r="7015" s="65" customFormat="1"/>
    <row r="7016" s="65" customFormat="1"/>
    <row r="7017" s="65" customFormat="1"/>
    <row r="7018" s="65" customFormat="1"/>
    <row r="7019" s="65" customFormat="1"/>
    <row r="7020" s="65" customFormat="1"/>
    <row r="7021" s="65" customFormat="1"/>
    <row r="7022" s="65" customFormat="1"/>
    <row r="7023" s="65" customFormat="1"/>
    <row r="7024" s="65" customFormat="1"/>
    <row r="7025" s="65" customFormat="1"/>
    <row r="7026" s="65" customFormat="1"/>
    <row r="7027" s="65" customFormat="1"/>
    <row r="7028" s="65" customFormat="1"/>
    <row r="7029" s="65" customFormat="1"/>
    <row r="7030" s="65" customFormat="1"/>
    <row r="7031" s="65" customFormat="1"/>
    <row r="7032" s="65" customFormat="1"/>
    <row r="7033" s="65" customFormat="1"/>
    <row r="7034" s="65" customFormat="1"/>
    <row r="7035" s="65" customFormat="1"/>
    <row r="7036" s="65" customFormat="1"/>
    <row r="7037" s="65" customFormat="1"/>
    <row r="7038" s="65" customFormat="1"/>
    <row r="7039" s="65" customFormat="1"/>
    <row r="7040" s="65" customFormat="1"/>
    <row r="7041" s="65" customFormat="1"/>
    <row r="7042" s="65" customFormat="1"/>
    <row r="7043" s="65" customFormat="1"/>
    <row r="7044" s="65" customFormat="1"/>
    <row r="7045" s="65" customFormat="1"/>
    <row r="7046" s="65" customFormat="1"/>
    <row r="7047" s="65" customFormat="1"/>
    <row r="7048" s="65" customFormat="1"/>
    <row r="7049" s="65" customFormat="1"/>
    <row r="7050" s="65" customFormat="1"/>
    <row r="7051" s="65" customFormat="1"/>
    <row r="7052" s="65" customFormat="1"/>
    <row r="7053" s="65" customFormat="1"/>
    <row r="7054" s="65" customFormat="1"/>
    <row r="7055" s="65" customFormat="1"/>
    <row r="7056" s="65" customFormat="1"/>
    <row r="7057" s="65" customFormat="1"/>
    <row r="7058" s="65" customFormat="1"/>
    <row r="7059" s="65" customFormat="1"/>
    <row r="7060" s="65" customFormat="1"/>
    <row r="7061" s="65" customFormat="1"/>
    <row r="7062" s="65" customFormat="1"/>
    <row r="7063" s="65" customFormat="1"/>
    <row r="7064" s="65" customFormat="1"/>
    <row r="7065" s="65" customFormat="1"/>
    <row r="7066" s="65" customFormat="1"/>
    <row r="7067" s="65" customFormat="1"/>
    <row r="7068" s="65" customFormat="1"/>
    <row r="7069" s="65" customFormat="1"/>
    <row r="7070" s="65" customFormat="1"/>
    <row r="7071" s="65" customFormat="1"/>
    <row r="7072" s="65" customFormat="1"/>
    <row r="7073" s="65" customFormat="1"/>
    <row r="7074" s="65" customFormat="1"/>
    <row r="7075" s="65" customFormat="1"/>
    <row r="7076" s="65" customFormat="1"/>
    <row r="7077" s="65" customFormat="1"/>
    <row r="7078" s="65" customFormat="1"/>
    <row r="7079" s="65" customFormat="1"/>
    <row r="7080" s="65" customFormat="1"/>
    <row r="7081" s="65" customFormat="1"/>
    <row r="7082" s="65" customFormat="1"/>
    <row r="7083" s="65" customFormat="1"/>
    <row r="7084" s="65" customFormat="1"/>
    <row r="7085" s="65" customFormat="1"/>
    <row r="7086" s="65" customFormat="1"/>
    <row r="7087" s="65" customFormat="1"/>
    <row r="7088" s="65" customFormat="1"/>
    <row r="7089" s="65" customFormat="1"/>
    <row r="7090" s="65" customFormat="1"/>
    <row r="7091" s="65" customFormat="1"/>
    <row r="7092" s="65" customFormat="1"/>
    <row r="7093" s="65" customFormat="1"/>
    <row r="7094" s="65" customFormat="1"/>
    <row r="7095" s="65" customFormat="1"/>
    <row r="7096" s="65" customFormat="1"/>
    <row r="7097" s="65" customFormat="1"/>
    <row r="7098" s="65" customFormat="1"/>
    <row r="7099" s="65" customFormat="1"/>
    <row r="7100" s="65" customFormat="1"/>
    <row r="7101" s="65" customFormat="1"/>
    <row r="7102" s="65" customFormat="1"/>
    <row r="7103" s="65" customFormat="1"/>
    <row r="7104" s="65" customFormat="1"/>
    <row r="7105" s="65" customFormat="1"/>
    <row r="7106" s="65" customFormat="1"/>
    <row r="7107" s="65" customFormat="1"/>
    <row r="7108" s="65" customFormat="1"/>
    <row r="7109" s="65" customFormat="1"/>
    <row r="7110" s="65" customFormat="1"/>
    <row r="7111" s="65" customFormat="1"/>
    <row r="7112" s="65" customFormat="1"/>
    <row r="7113" s="65" customFormat="1"/>
    <row r="7114" s="65" customFormat="1"/>
    <row r="7115" s="65" customFormat="1"/>
    <row r="7116" s="65" customFormat="1"/>
    <row r="7117" s="65" customFormat="1"/>
    <row r="7118" s="65" customFormat="1"/>
    <row r="7119" s="65" customFormat="1"/>
    <row r="7120" s="65" customFormat="1"/>
    <row r="7121" s="65" customFormat="1"/>
    <row r="7122" s="65" customFormat="1"/>
    <row r="7123" s="65" customFormat="1"/>
    <row r="7124" s="65" customFormat="1"/>
    <row r="7125" s="65" customFormat="1"/>
    <row r="7126" s="65" customFormat="1"/>
    <row r="7127" s="65" customFormat="1"/>
    <row r="7128" s="65" customFormat="1"/>
    <row r="7129" s="65" customFormat="1"/>
    <row r="7130" s="65" customFormat="1"/>
    <row r="7131" s="65" customFormat="1"/>
    <row r="7132" s="65" customFormat="1"/>
    <row r="7133" s="65" customFormat="1"/>
    <row r="7134" s="65" customFormat="1"/>
    <row r="7135" s="65" customFormat="1"/>
    <row r="7136" s="65" customFormat="1"/>
    <row r="7137" s="65" customFormat="1"/>
    <row r="7138" s="65" customFormat="1"/>
    <row r="7139" s="65" customFormat="1"/>
    <row r="7140" s="65" customFormat="1"/>
    <row r="7141" s="65" customFormat="1"/>
    <row r="7142" s="65" customFormat="1"/>
    <row r="7143" s="65" customFormat="1"/>
    <row r="7144" s="65" customFormat="1"/>
    <row r="7145" s="65" customFormat="1"/>
    <row r="7146" s="65" customFormat="1"/>
    <row r="7147" s="65" customFormat="1"/>
    <row r="7148" s="65" customFormat="1"/>
    <row r="7149" s="65" customFormat="1"/>
    <row r="7150" s="65" customFormat="1"/>
    <row r="7151" s="65" customFormat="1"/>
    <row r="7152" s="65" customFormat="1"/>
    <row r="7153" s="65" customFormat="1"/>
    <row r="7154" s="65" customFormat="1"/>
    <row r="7155" s="65" customFormat="1"/>
    <row r="7156" s="65" customFormat="1"/>
    <row r="7157" s="65" customFormat="1"/>
    <row r="7158" s="65" customFormat="1"/>
    <row r="7159" s="65" customFormat="1"/>
    <row r="7160" s="65" customFormat="1"/>
    <row r="7161" s="65" customFormat="1"/>
    <row r="7162" s="65" customFormat="1"/>
    <row r="7163" s="65" customFormat="1"/>
    <row r="7164" s="65" customFormat="1"/>
    <row r="7165" s="65" customFormat="1"/>
    <row r="7166" s="65" customFormat="1"/>
    <row r="7167" s="65" customFormat="1"/>
    <row r="7168" s="65" customFormat="1"/>
    <row r="7169" s="65" customFormat="1"/>
    <row r="7170" s="65" customFormat="1"/>
    <row r="7171" s="65" customFormat="1"/>
    <row r="7172" s="65" customFormat="1"/>
    <row r="7173" s="65" customFormat="1"/>
    <row r="7174" s="65" customFormat="1"/>
    <row r="7175" s="65" customFormat="1"/>
    <row r="7176" s="65" customFormat="1"/>
    <row r="7177" s="65" customFormat="1"/>
    <row r="7178" s="65" customFormat="1"/>
    <row r="7179" s="65" customFormat="1"/>
    <row r="7180" s="65" customFormat="1"/>
    <row r="7181" s="65" customFormat="1"/>
    <row r="7182" s="65" customFormat="1"/>
    <row r="7183" s="65" customFormat="1"/>
    <row r="7184" s="65" customFormat="1"/>
    <row r="7185" s="65" customFormat="1"/>
    <row r="7186" s="65" customFormat="1"/>
    <row r="7187" s="65" customFormat="1"/>
    <row r="7188" s="65" customFormat="1"/>
    <row r="7189" s="65" customFormat="1"/>
    <row r="7190" s="65" customFormat="1"/>
    <row r="7191" s="65" customFormat="1"/>
    <row r="7192" s="65" customFormat="1"/>
    <row r="7193" s="65" customFormat="1"/>
    <row r="7194" s="65" customFormat="1"/>
    <row r="7195" s="65" customFormat="1"/>
    <row r="7196" s="65" customFormat="1"/>
    <row r="7197" s="65" customFormat="1"/>
    <row r="7198" s="65" customFormat="1"/>
    <row r="7199" s="65" customFormat="1"/>
    <row r="7200" s="65" customFormat="1"/>
    <row r="7201" s="65" customFormat="1"/>
    <row r="7202" s="65" customFormat="1"/>
    <row r="7203" s="65" customFormat="1"/>
    <row r="7204" s="65" customFormat="1"/>
    <row r="7205" s="65" customFormat="1"/>
    <row r="7206" s="65" customFormat="1"/>
    <row r="7207" s="65" customFormat="1"/>
    <row r="7208" s="65" customFormat="1"/>
    <row r="7209" s="65" customFormat="1"/>
    <row r="7210" s="65" customFormat="1"/>
    <row r="7211" s="65" customFormat="1"/>
    <row r="7212" s="65" customFormat="1"/>
    <row r="7213" s="65" customFormat="1"/>
    <row r="7214" s="65" customFormat="1"/>
    <row r="7215" s="65" customFormat="1"/>
    <row r="7216" s="65" customFormat="1"/>
    <row r="7217" s="65" customFormat="1"/>
    <row r="7218" s="65" customFormat="1"/>
    <row r="7219" s="65" customFormat="1"/>
    <row r="7220" s="65" customFormat="1"/>
    <row r="7221" s="65" customFormat="1"/>
    <row r="7222" s="65" customFormat="1"/>
    <row r="7223" s="65" customFormat="1"/>
    <row r="7224" s="65" customFormat="1"/>
    <row r="7225" s="65" customFormat="1"/>
    <row r="7226" s="65" customFormat="1"/>
    <row r="7227" s="65" customFormat="1"/>
    <row r="7228" s="65" customFormat="1"/>
    <row r="7229" s="65" customFormat="1"/>
    <row r="7230" s="65" customFormat="1"/>
    <row r="7231" s="65" customFormat="1"/>
    <row r="7232" s="65" customFormat="1"/>
    <row r="7233" s="65" customFormat="1"/>
    <row r="7234" s="65" customFormat="1"/>
    <row r="7235" s="65" customFormat="1"/>
    <row r="7236" s="65" customFormat="1"/>
    <row r="7237" s="65" customFormat="1"/>
    <row r="7238" s="65" customFormat="1"/>
    <row r="7239" s="65" customFormat="1"/>
    <row r="7240" s="65" customFormat="1"/>
    <row r="7241" s="65" customFormat="1"/>
    <row r="7242" s="65" customFormat="1"/>
    <row r="7243" s="65" customFormat="1"/>
    <row r="7244" s="65" customFormat="1"/>
    <row r="7245" s="65" customFormat="1"/>
    <row r="7246" s="65" customFormat="1"/>
    <row r="7247" s="65" customFormat="1"/>
    <row r="7248" s="65" customFormat="1"/>
    <row r="7249" s="65" customFormat="1"/>
    <row r="7250" s="65" customFormat="1"/>
    <row r="7251" s="65" customFormat="1"/>
    <row r="7252" s="65" customFormat="1"/>
    <row r="7253" s="65" customFormat="1"/>
    <row r="7254" s="65" customFormat="1"/>
    <row r="7255" s="65" customFormat="1"/>
    <row r="7256" s="65" customFormat="1"/>
    <row r="7257" s="65" customFormat="1"/>
    <row r="7258" s="65" customFormat="1"/>
    <row r="7259" s="65" customFormat="1"/>
    <row r="7260" s="65" customFormat="1"/>
    <row r="7261" s="65" customFormat="1"/>
    <row r="7262" s="65" customFormat="1"/>
    <row r="7263" s="65" customFormat="1"/>
    <row r="7264" s="65" customFormat="1"/>
    <row r="7265" s="65" customFormat="1"/>
    <row r="7266" s="65" customFormat="1"/>
    <row r="7267" s="65" customFormat="1"/>
    <row r="7268" s="65" customFormat="1"/>
    <row r="7269" s="65" customFormat="1"/>
    <row r="7270" s="65" customFormat="1"/>
    <row r="7271" s="65" customFormat="1"/>
    <row r="7272" s="65" customFormat="1"/>
    <row r="7273" s="65" customFormat="1"/>
    <row r="7274" s="65" customFormat="1"/>
    <row r="7275" s="65" customFormat="1"/>
    <row r="7276" s="65" customFormat="1"/>
    <row r="7277" s="65" customFormat="1"/>
    <row r="7278" s="65" customFormat="1"/>
    <row r="7279" s="65" customFormat="1"/>
    <row r="7280" s="65" customFormat="1"/>
    <row r="7281" s="65" customFormat="1"/>
    <row r="7282" s="65" customFormat="1"/>
    <row r="7283" s="65" customFormat="1"/>
    <row r="7284" s="65" customFormat="1"/>
    <row r="7285" s="65" customFormat="1"/>
    <row r="7286" s="65" customFormat="1"/>
    <row r="7287" s="65" customFormat="1"/>
    <row r="7288" s="65" customFormat="1"/>
    <row r="7289" s="65" customFormat="1"/>
    <row r="7290" s="65" customFormat="1"/>
    <row r="7291" s="65" customFormat="1"/>
    <row r="7292" s="65" customFormat="1"/>
    <row r="7293" s="65" customFormat="1"/>
    <row r="7294" s="65" customFormat="1"/>
    <row r="7295" s="65" customFormat="1"/>
    <row r="7296" s="65" customFormat="1"/>
    <row r="7297" s="65" customFormat="1"/>
    <row r="7298" s="65" customFormat="1"/>
    <row r="7299" s="65" customFormat="1"/>
    <row r="7300" s="65" customFormat="1"/>
    <row r="7301" s="65" customFormat="1"/>
    <row r="7302" s="65" customFormat="1"/>
    <row r="7303" s="65" customFormat="1"/>
    <row r="7304" s="65" customFormat="1"/>
    <row r="7305" s="65" customFormat="1"/>
    <row r="7306" s="65" customFormat="1"/>
    <row r="7307" s="65" customFormat="1"/>
    <row r="7308" s="65" customFormat="1"/>
    <row r="7309" s="65" customFormat="1"/>
    <row r="7310" s="65" customFormat="1"/>
    <row r="7311" s="65" customFormat="1"/>
    <row r="7312" s="65" customFormat="1"/>
    <row r="7313" s="65" customFormat="1"/>
    <row r="7314" s="65" customFormat="1"/>
    <row r="7315" s="65" customFormat="1"/>
    <row r="7316" s="65" customFormat="1"/>
    <row r="7317" s="65" customFormat="1"/>
    <row r="7318" s="65" customFormat="1"/>
    <row r="7319" s="65" customFormat="1"/>
    <row r="7320" s="65" customFormat="1"/>
    <row r="7321" s="65" customFormat="1"/>
    <row r="7322" s="65" customFormat="1"/>
    <row r="7323" s="65" customFormat="1"/>
    <row r="7324" s="65" customFormat="1"/>
    <row r="7325" s="65" customFormat="1"/>
    <row r="7326" s="65" customFormat="1"/>
    <row r="7327" s="65" customFormat="1"/>
    <row r="7328" s="65" customFormat="1"/>
    <row r="7329" s="65" customFormat="1"/>
    <row r="7330" s="65" customFormat="1"/>
    <row r="7331" s="65" customFormat="1"/>
    <row r="7332" s="65" customFormat="1"/>
    <row r="7333" s="65" customFormat="1"/>
    <row r="7334" s="65" customFormat="1"/>
    <row r="7335" s="65" customFormat="1"/>
    <row r="7336" s="65" customFormat="1"/>
    <row r="7337" s="65" customFormat="1"/>
    <row r="7338" s="65" customFormat="1"/>
    <row r="7339" s="65" customFormat="1"/>
    <row r="7340" s="65" customFormat="1"/>
    <row r="7341" s="65" customFormat="1"/>
    <row r="7342" s="65" customFormat="1"/>
    <row r="7343" s="65" customFormat="1"/>
    <row r="7344" s="65" customFormat="1"/>
    <row r="7345" s="65" customFormat="1"/>
    <row r="7346" s="65" customFormat="1"/>
    <row r="7347" s="65" customFormat="1"/>
    <row r="7348" s="65" customFormat="1"/>
    <row r="7349" s="65" customFormat="1"/>
    <row r="7350" s="65" customFormat="1"/>
    <row r="7351" s="65" customFormat="1"/>
    <row r="7352" s="65" customFormat="1"/>
    <row r="7353" s="65" customFormat="1"/>
    <row r="7354" s="65" customFormat="1"/>
    <row r="7355" s="65" customFormat="1"/>
    <row r="7356" s="65" customFormat="1"/>
    <row r="7357" s="65" customFormat="1"/>
    <row r="7358" s="65" customFormat="1"/>
    <row r="7359" s="65" customFormat="1"/>
    <row r="7360" s="65" customFormat="1"/>
    <row r="7361" s="65" customFormat="1"/>
    <row r="7362" s="65" customFormat="1"/>
    <row r="7363" s="65" customFormat="1"/>
    <row r="7364" s="65" customFormat="1"/>
    <row r="7365" s="65" customFormat="1"/>
    <row r="7366" s="65" customFormat="1"/>
    <row r="7367" s="65" customFormat="1"/>
    <row r="7368" s="65" customFormat="1"/>
    <row r="7369" s="65" customFormat="1"/>
    <row r="7370" s="65" customFormat="1"/>
    <row r="7371" s="65" customFormat="1"/>
    <row r="7372" s="65" customFormat="1"/>
    <row r="7373" s="65" customFormat="1"/>
    <row r="7374" s="65" customFormat="1"/>
    <row r="7375" s="65" customFormat="1"/>
    <row r="7376" s="65" customFormat="1"/>
    <row r="7377" s="65" customFormat="1"/>
    <row r="7378" s="65" customFormat="1"/>
    <row r="7379" s="65" customFormat="1"/>
    <row r="7380" s="65" customFormat="1"/>
    <row r="7381" s="65" customFormat="1"/>
    <row r="7382" s="65" customFormat="1"/>
    <row r="7383" s="65" customFormat="1"/>
    <row r="7384" s="65" customFormat="1"/>
    <row r="7385" s="65" customFormat="1"/>
    <row r="7386" s="65" customFormat="1"/>
    <row r="7387" s="65" customFormat="1"/>
    <row r="7388" s="65" customFormat="1"/>
    <row r="7389" s="65" customFormat="1"/>
    <row r="7390" s="65" customFormat="1"/>
    <row r="7391" s="65" customFormat="1"/>
    <row r="7392" s="65" customFormat="1"/>
    <row r="7393" s="65" customFormat="1"/>
    <row r="7394" s="65" customFormat="1"/>
    <row r="7395" s="65" customFormat="1"/>
    <row r="7396" s="65" customFormat="1"/>
    <row r="7397" s="65" customFormat="1"/>
    <row r="7398" s="65" customFormat="1"/>
    <row r="7399" s="65" customFormat="1"/>
    <row r="7400" s="65" customFormat="1"/>
    <row r="7401" s="65" customFormat="1"/>
    <row r="7402" s="65" customFormat="1"/>
    <row r="7403" s="65" customFormat="1"/>
    <row r="7404" s="65" customFormat="1"/>
    <row r="7405" s="65" customFormat="1"/>
    <row r="7406" s="65" customFormat="1"/>
    <row r="7407" s="65" customFormat="1"/>
    <row r="7408" s="65" customFormat="1"/>
    <row r="7409" s="65" customFormat="1"/>
    <row r="7410" s="65" customFormat="1"/>
    <row r="7411" s="65" customFormat="1"/>
    <row r="7412" s="65" customFormat="1"/>
    <row r="7413" s="65" customFormat="1"/>
    <row r="7414" s="65" customFormat="1"/>
    <row r="7415" s="65" customFormat="1"/>
    <row r="7416" s="65" customFormat="1"/>
    <row r="7417" s="65" customFormat="1"/>
    <row r="7418" s="65" customFormat="1"/>
    <row r="7419" s="65" customFormat="1"/>
    <row r="7420" s="65" customFormat="1"/>
    <row r="7421" s="65" customFormat="1"/>
    <row r="7422" s="65" customFormat="1"/>
    <row r="7423" s="65" customFormat="1"/>
    <row r="7424" s="65" customFormat="1"/>
    <row r="7425" s="65" customFormat="1"/>
    <row r="7426" s="65" customFormat="1"/>
    <row r="7427" s="65" customFormat="1"/>
    <row r="7428" s="65" customFormat="1"/>
    <row r="7429" s="65" customFormat="1"/>
    <row r="7430" s="65" customFormat="1"/>
    <row r="7431" s="65" customFormat="1"/>
    <row r="7432" s="65" customFormat="1"/>
    <row r="7433" s="65" customFormat="1"/>
    <row r="7434" s="65" customFormat="1"/>
    <row r="7435" s="65" customFormat="1"/>
    <row r="7436" s="65" customFormat="1"/>
    <row r="7437" s="65" customFormat="1"/>
    <row r="7438" s="65" customFormat="1"/>
    <row r="7439" s="65" customFormat="1"/>
    <row r="7440" s="65" customFormat="1"/>
    <row r="7441" s="65" customFormat="1"/>
    <row r="7442" s="65" customFormat="1"/>
    <row r="7443" s="65" customFormat="1"/>
    <row r="7444" s="65" customFormat="1"/>
    <row r="7445" s="65" customFormat="1"/>
    <row r="7446" s="65" customFormat="1"/>
    <row r="7447" s="65" customFormat="1"/>
    <row r="7448" s="65" customFormat="1"/>
    <row r="7449" s="65" customFormat="1"/>
    <row r="7450" s="65" customFormat="1"/>
    <row r="7451" s="65" customFormat="1"/>
    <row r="7452" s="65" customFormat="1"/>
    <row r="7453" s="65" customFormat="1"/>
    <row r="7454" s="65" customFormat="1"/>
    <row r="7455" s="65" customFormat="1"/>
    <row r="7456" s="65" customFormat="1"/>
    <row r="7457" s="65" customFormat="1"/>
    <row r="7458" s="65" customFormat="1"/>
    <row r="7459" s="65" customFormat="1"/>
    <row r="7460" s="65" customFormat="1"/>
    <row r="7461" s="65" customFormat="1"/>
    <row r="7462" s="65" customFormat="1"/>
    <row r="7463" s="65" customFormat="1"/>
    <row r="7464" s="65" customFormat="1"/>
    <row r="7465" s="65" customFormat="1"/>
    <row r="7466" s="65" customFormat="1"/>
    <row r="7467" s="65" customFormat="1"/>
    <row r="7468" s="65" customFormat="1"/>
    <row r="7469" s="65" customFormat="1"/>
    <row r="7470" s="65" customFormat="1"/>
    <row r="7471" s="65" customFormat="1"/>
    <row r="7472" s="65" customFormat="1"/>
    <row r="7473" s="65" customFormat="1"/>
    <row r="7474" s="65" customFormat="1"/>
    <row r="7475" s="65" customFormat="1"/>
    <row r="7476" s="65" customFormat="1"/>
    <row r="7477" s="65" customFormat="1"/>
    <row r="7478" s="65" customFormat="1"/>
    <row r="7479" s="65" customFormat="1"/>
    <row r="7480" s="65" customFormat="1"/>
    <row r="7481" s="65" customFormat="1"/>
    <row r="7482" s="65" customFormat="1"/>
    <row r="7483" s="65" customFormat="1"/>
    <row r="7484" s="65" customFormat="1"/>
    <row r="7485" s="65" customFormat="1"/>
    <row r="7486" s="65" customFormat="1"/>
    <row r="7487" s="65" customFormat="1"/>
    <row r="7488" s="65" customFormat="1"/>
    <row r="7489" s="65" customFormat="1"/>
    <row r="7490" s="65" customFormat="1"/>
    <row r="7491" s="65" customFormat="1"/>
    <row r="7492" s="65" customFormat="1"/>
    <row r="7493" s="65" customFormat="1"/>
    <row r="7494" s="65" customFormat="1"/>
    <row r="7495" s="65" customFormat="1"/>
    <row r="7496" s="65" customFormat="1"/>
    <row r="7497" s="65" customFormat="1"/>
    <row r="7498" s="65" customFormat="1"/>
    <row r="7499" s="65" customFormat="1"/>
    <row r="7500" s="65" customFormat="1"/>
    <row r="7501" s="65" customFormat="1"/>
    <row r="7502" s="65" customFormat="1"/>
    <row r="7503" s="65" customFormat="1"/>
    <row r="7504" s="65" customFormat="1"/>
    <row r="7505" s="65" customFormat="1"/>
    <row r="7506" s="65" customFormat="1"/>
    <row r="7507" s="65" customFormat="1"/>
    <row r="7508" s="65" customFormat="1"/>
    <row r="7509" s="65" customFormat="1"/>
    <row r="7510" s="65" customFormat="1"/>
    <row r="7511" s="65" customFormat="1"/>
    <row r="7512" s="65" customFormat="1"/>
    <row r="7513" s="65" customFormat="1"/>
    <row r="7514" s="65" customFormat="1"/>
    <row r="7515" s="65" customFormat="1"/>
    <row r="7516" s="65" customFormat="1"/>
    <row r="7517" s="65" customFormat="1"/>
    <row r="7518" s="65" customFormat="1"/>
    <row r="7519" s="65" customFormat="1"/>
    <row r="7520" s="65" customFormat="1"/>
    <row r="7521" s="65" customFormat="1"/>
    <row r="7522" s="65" customFormat="1"/>
    <row r="7523" s="65" customFormat="1"/>
    <row r="7524" s="65" customFormat="1"/>
    <row r="7525" s="65" customFormat="1"/>
    <row r="7526" s="65" customFormat="1"/>
    <row r="7527" s="65" customFormat="1"/>
    <row r="7528" s="65" customFormat="1"/>
    <row r="7529" s="65" customFormat="1"/>
    <row r="7530" s="65" customFormat="1"/>
    <row r="7531" s="65" customFormat="1"/>
    <row r="7532" s="65" customFormat="1"/>
    <row r="7533" s="65" customFormat="1"/>
    <row r="7534" s="65" customFormat="1"/>
    <row r="7535" s="65" customFormat="1"/>
    <row r="7536" s="65" customFormat="1"/>
    <row r="7537" s="65" customFormat="1"/>
    <row r="7538" s="65" customFormat="1"/>
    <row r="7539" s="65" customFormat="1"/>
    <row r="7540" s="65" customFormat="1"/>
    <row r="7541" s="65" customFormat="1"/>
    <row r="7542" s="65" customFormat="1"/>
    <row r="7543" s="65" customFormat="1"/>
    <row r="7544" s="65" customFormat="1"/>
    <row r="7545" s="65" customFormat="1"/>
    <row r="7546" s="65" customFormat="1"/>
    <row r="7547" s="65" customFormat="1"/>
    <row r="7548" s="65" customFormat="1"/>
    <row r="7549" s="65" customFormat="1"/>
    <row r="7550" s="65" customFormat="1"/>
    <row r="7551" s="65" customFormat="1"/>
    <row r="7552" s="65" customFormat="1"/>
    <row r="7553" s="65" customFormat="1"/>
    <row r="7554" s="65" customFormat="1"/>
    <row r="7555" s="65" customFormat="1"/>
    <row r="7556" s="65" customFormat="1"/>
    <row r="7557" s="65" customFormat="1"/>
    <row r="7558" s="65" customFormat="1"/>
    <row r="7559" s="65" customFormat="1"/>
    <row r="7560" s="65" customFormat="1"/>
    <row r="7561" s="65" customFormat="1"/>
    <row r="7562" s="65" customFormat="1"/>
    <row r="7563" s="65" customFormat="1"/>
    <row r="7564" s="65" customFormat="1"/>
    <row r="7565" s="65" customFormat="1"/>
    <row r="7566" s="65" customFormat="1"/>
    <row r="7567" s="65" customFormat="1"/>
    <row r="7568" s="65" customFormat="1"/>
    <row r="7569" s="65" customFormat="1"/>
    <row r="7570" s="65" customFormat="1"/>
    <row r="7571" s="65" customFormat="1"/>
    <row r="7572" s="65" customFormat="1"/>
    <row r="7573" s="65" customFormat="1"/>
    <row r="7574" s="65" customFormat="1"/>
    <row r="7575" s="65" customFormat="1"/>
    <row r="7576" s="65" customFormat="1"/>
    <row r="7577" s="65" customFormat="1"/>
    <row r="7578" s="65" customFormat="1"/>
    <row r="7579" s="65" customFormat="1"/>
    <row r="7580" s="65" customFormat="1"/>
    <row r="7581" s="65" customFormat="1"/>
    <row r="7582" s="65" customFormat="1"/>
    <row r="7583" s="65" customFormat="1"/>
    <row r="7584" s="65" customFormat="1"/>
    <row r="7585" s="65" customFormat="1"/>
    <row r="7586" s="65" customFormat="1"/>
    <row r="7587" s="65" customFormat="1"/>
    <row r="7588" s="65" customFormat="1"/>
    <row r="7589" s="65" customFormat="1"/>
    <row r="7590" s="65" customFormat="1"/>
    <row r="7591" s="65" customFormat="1"/>
    <row r="7592" s="65" customFormat="1"/>
    <row r="7593" s="65" customFormat="1"/>
    <row r="7594" s="65" customFormat="1"/>
    <row r="7595" s="65" customFormat="1"/>
    <row r="7596" s="65" customFormat="1"/>
    <row r="7597" s="65" customFormat="1"/>
    <row r="7598" s="65" customFormat="1"/>
    <row r="7599" s="65" customFormat="1"/>
    <row r="7600" s="65" customFormat="1"/>
    <row r="7601" s="65" customFormat="1"/>
    <row r="7602" s="65" customFormat="1"/>
    <row r="7603" s="65" customFormat="1"/>
    <row r="7604" s="65" customFormat="1"/>
    <row r="7605" s="65" customFormat="1"/>
    <row r="7606" s="65" customFormat="1"/>
    <row r="7607" s="65" customFormat="1"/>
    <row r="7608" s="65" customFormat="1"/>
    <row r="7609" s="65" customFormat="1"/>
    <row r="7610" s="65" customFormat="1"/>
    <row r="7611" s="65" customFormat="1"/>
    <row r="7612" s="65" customFormat="1"/>
    <row r="7613" s="65" customFormat="1"/>
    <row r="7614" s="65" customFormat="1"/>
    <row r="7615" s="65" customFormat="1"/>
    <row r="7616" s="65" customFormat="1"/>
    <row r="7617" s="65" customFormat="1"/>
    <row r="7618" s="65" customFormat="1"/>
    <row r="7619" s="65" customFormat="1"/>
    <row r="7620" s="65" customFormat="1"/>
    <row r="7621" s="65" customFormat="1"/>
    <row r="7622" s="65" customFormat="1"/>
    <row r="7623" s="65" customFormat="1"/>
    <row r="7624" s="65" customFormat="1"/>
    <row r="7625" s="65" customFormat="1"/>
    <row r="7626" s="65" customFormat="1"/>
    <row r="7627" s="65" customFormat="1"/>
    <row r="7628" s="65" customFormat="1"/>
    <row r="7629" s="65" customFormat="1"/>
    <row r="7630" s="65" customFormat="1"/>
    <row r="7631" s="65" customFormat="1"/>
    <row r="7632" s="65" customFormat="1"/>
    <row r="7633" s="65" customFormat="1"/>
    <row r="7634" s="65" customFormat="1"/>
    <row r="7635" s="65" customFormat="1"/>
    <row r="7636" s="65" customFormat="1"/>
    <row r="7637" s="65" customFormat="1"/>
    <row r="7638" s="65" customFormat="1"/>
    <row r="7639" s="65" customFormat="1"/>
    <row r="7640" s="65" customFormat="1"/>
    <row r="7641" s="65" customFormat="1"/>
    <row r="7642" s="65" customFormat="1"/>
    <row r="7643" s="65" customFormat="1"/>
    <row r="7644" s="65" customFormat="1"/>
    <row r="7645" s="65" customFormat="1"/>
    <row r="7646" s="65" customFormat="1"/>
    <row r="7647" s="65" customFormat="1"/>
    <row r="7648" s="65" customFormat="1"/>
    <row r="7649" s="65" customFormat="1"/>
    <row r="7650" s="65" customFormat="1"/>
    <row r="7651" s="65" customFormat="1"/>
    <row r="7652" s="65" customFormat="1"/>
    <row r="7653" s="65" customFormat="1"/>
    <row r="7654" s="65" customFormat="1"/>
    <row r="7655" s="65" customFormat="1"/>
    <row r="7656" s="65" customFormat="1"/>
    <row r="7657" s="65" customFormat="1"/>
    <row r="7658" s="65" customFormat="1"/>
    <row r="7659" s="65" customFormat="1"/>
    <row r="7660" s="65" customFormat="1"/>
    <row r="7661" s="65" customFormat="1"/>
    <row r="7662" s="65" customFormat="1"/>
    <row r="7663" s="65" customFormat="1"/>
    <row r="7664" s="65" customFormat="1"/>
    <row r="7665" s="65" customFormat="1"/>
    <row r="7666" s="65" customFormat="1"/>
    <row r="7667" s="65" customFormat="1"/>
    <row r="7668" s="65" customFormat="1"/>
    <row r="7669" s="65" customFormat="1"/>
    <row r="7670" s="65" customFormat="1"/>
    <row r="7671" s="65" customFormat="1"/>
    <row r="7672" s="65" customFormat="1"/>
    <row r="7673" s="65" customFormat="1"/>
    <row r="7674" s="65" customFormat="1"/>
    <row r="7675" s="65" customFormat="1"/>
    <row r="7676" s="65" customFormat="1"/>
    <row r="7677" s="65" customFormat="1"/>
    <row r="7678" s="65" customFormat="1"/>
    <row r="7679" s="65" customFormat="1"/>
    <row r="7680" s="65" customFormat="1"/>
    <row r="7681" s="65" customFormat="1"/>
    <row r="7682" s="65" customFormat="1"/>
    <row r="7683" s="65" customFormat="1"/>
    <row r="7684" s="65" customFormat="1"/>
    <row r="7685" s="65" customFormat="1"/>
    <row r="7686" s="65" customFormat="1"/>
    <row r="7687" s="65" customFormat="1"/>
    <row r="7688" s="65" customFormat="1"/>
    <row r="7689" s="65" customFormat="1"/>
    <row r="7690" s="65" customFormat="1"/>
    <row r="7691" s="65" customFormat="1"/>
    <row r="7692" s="65" customFormat="1"/>
    <row r="7693" s="65" customFormat="1"/>
    <row r="7694" s="65" customFormat="1"/>
    <row r="7695" s="65" customFormat="1"/>
    <row r="7696" s="65" customFormat="1"/>
    <row r="7697" s="65" customFormat="1"/>
    <row r="7698" s="65" customFormat="1"/>
    <row r="7699" s="65" customFormat="1"/>
    <row r="7700" s="65" customFormat="1"/>
    <row r="7701" s="65" customFormat="1"/>
    <row r="7702" s="65" customFormat="1"/>
    <row r="7703" s="65" customFormat="1"/>
    <row r="7704" s="65" customFormat="1"/>
    <row r="7705" s="65" customFormat="1"/>
    <row r="7706" s="65" customFormat="1"/>
    <row r="7707" s="65" customFormat="1"/>
    <row r="7708" s="65" customFormat="1"/>
    <row r="7709" s="65" customFormat="1"/>
    <row r="7710" s="65" customFormat="1"/>
    <row r="7711" s="65" customFormat="1"/>
    <row r="7712" s="65" customFormat="1"/>
    <row r="7713" s="65" customFormat="1"/>
    <row r="7714" s="65" customFormat="1"/>
    <row r="7715" s="65" customFormat="1"/>
    <row r="7716" s="65" customFormat="1"/>
    <row r="7717" s="65" customFormat="1"/>
    <row r="7718" s="65" customFormat="1"/>
    <row r="7719" s="65" customFormat="1"/>
    <row r="7720" s="65" customFormat="1"/>
    <row r="7721" s="65" customFormat="1"/>
    <row r="7722" s="65" customFormat="1"/>
    <row r="7723" s="65" customFormat="1"/>
    <row r="7724" s="65" customFormat="1"/>
    <row r="7725" s="65" customFormat="1"/>
    <row r="7726" s="65" customFormat="1"/>
    <row r="7727" s="65" customFormat="1"/>
    <row r="7728" s="65" customFormat="1"/>
    <row r="7729" s="65" customFormat="1"/>
    <row r="7730" s="65" customFormat="1"/>
    <row r="7731" s="65" customFormat="1"/>
    <row r="7732" s="65" customFormat="1"/>
    <row r="7733" s="65" customFormat="1"/>
    <row r="7734" s="65" customFormat="1"/>
    <row r="7735" s="65" customFormat="1"/>
    <row r="7736" s="65" customFormat="1"/>
    <row r="7737" s="65" customFormat="1"/>
    <row r="7738" s="65" customFormat="1"/>
    <row r="7739" s="65" customFormat="1"/>
    <row r="7740" s="65" customFormat="1"/>
    <row r="7741" s="65" customFormat="1"/>
    <row r="7742" s="65" customFormat="1"/>
    <row r="7743" s="65" customFormat="1"/>
    <row r="7744" s="65" customFormat="1"/>
    <row r="7745" s="65" customFormat="1"/>
    <row r="7746" s="65" customFormat="1"/>
    <row r="7747" s="65" customFormat="1"/>
    <row r="7748" s="65" customFormat="1"/>
    <row r="7749" s="65" customFormat="1"/>
    <row r="7750" s="65" customFormat="1"/>
    <row r="7751" s="65" customFormat="1"/>
    <row r="7752" s="65" customFormat="1"/>
    <row r="7753" s="65" customFormat="1"/>
    <row r="7754" s="65" customFormat="1"/>
    <row r="7755" s="65" customFormat="1"/>
    <row r="7756" s="65" customFormat="1"/>
    <row r="7757" s="65" customFormat="1"/>
    <row r="7758" s="65" customFormat="1"/>
    <row r="7759" s="65" customFormat="1"/>
    <row r="7760" s="65" customFormat="1"/>
    <row r="7761" s="65" customFormat="1"/>
    <row r="7762" s="65" customFormat="1"/>
    <row r="7763" s="65" customFormat="1"/>
    <row r="7764" s="65" customFormat="1"/>
    <row r="7765" s="65" customFormat="1"/>
    <row r="7766" s="65" customFormat="1"/>
    <row r="7767" s="65" customFormat="1"/>
    <row r="7768" s="65" customFormat="1"/>
    <row r="7769" s="65" customFormat="1"/>
    <row r="7770" s="65" customFormat="1"/>
    <row r="7771" s="65" customFormat="1"/>
    <row r="7772" s="65" customFormat="1"/>
    <row r="7773" s="65" customFormat="1"/>
    <row r="7774" s="65" customFormat="1"/>
    <row r="7775" s="65" customFormat="1"/>
    <row r="7776" s="65" customFormat="1"/>
    <row r="7777" s="65" customFormat="1"/>
    <row r="7778" s="65" customFormat="1"/>
    <row r="7779" s="65" customFormat="1"/>
    <row r="7780" s="65" customFormat="1"/>
    <row r="7781" s="65" customFormat="1"/>
    <row r="7782" s="65" customFormat="1"/>
    <row r="7783" s="65" customFormat="1"/>
    <row r="7784" s="65" customFormat="1"/>
    <row r="7785" s="65" customFormat="1"/>
    <row r="7786" s="65" customFormat="1"/>
    <row r="7787" s="65" customFormat="1"/>
    <row r="7788" s="65" customFormat="1"/>
    <row r="7789" s="65" customFormat="1"/>
    <row r="7790" s="65" customFormat="1"/>
    <row r="7791" s="65" customFormat="1"/>
    <row r="7792" s="65" customFormat="1"/>
    <row r="7793" s="65" customFormat="1"/>
    <row r="7794" s="65" customFormat="1"/>
    <row r="7795" s="65" customFormat="1"/>
    <row r="7796" s="65" customFormat="1"/>
    <row r="7797" s="65" customFormat="1"/>
    <row r="7798" s="65" customFormat="1"/>
    <row r="7799" s="65" customFormat="1"/>
    <row r="7800" s="65" customFormat="1"/>
    <row r="7801" s="65" customFormat="1"/>
    <row r="7802" s="65" customFormat="1"/>
    <row r="7803" s="65" customFormat="1"/>
    <row r="7804" s="65" customFormat="1"/>
    <row r="7805" s="65" customFormat="1"/>
    <row r="7806" s="65" customFormat="1"/>
    <row r="7807" s="65" customFormat="1"/>
    <row r="7808" s="65" customFormat="1"/>
    <row r="7809" s="65" customFormat="1"/>
    <row r="7810" s="65" customFormat="1"/>
    <row r="7811" s="65" customFormat="1"/>
    <row r="7812" s="65" customFormat="1"/>
    <row r="7813" s="65" customFormat="1"/>
    <row r="7814" s="65" customFormat="1"/>
    <row r="7815" s="65" customFormat="1"/>
    <row r="7816" s="65" customFormat="1"/>
    <row r="7817" s="65" customFormat="1"/>
    <row r="7818" s="65" customFormat="1"/>
    <row r="7819" s="65" customFormat="1"/>
    <row r="7820" s="65" customFormat="1"/>
    <row r="7821" s="65" customFormat="1"/>
    <row r="7822" s="65" customFormat="1"/>
    <row r="7823" s="65" customFormat="1"/>
    <row r="7824" s="65" customFormat="1"/>
    <row r="7825" s="65" customFormat="1"/>
    <row r="7826" s="65" customFormat="1"/>
    <row r="7827" s="65" customFormat="1"/>
    <row r="7828" s="65" customFormat="1"/>
    <row r="7829" s="65" customFormat="1"/>
    <row r="7830" s="65" customFormat="1"/>
    <row r="7831" s="65" customFormat="1"/>
    <row r="7832" s="65" customFormat="1"/>
    <row r="7833" s="65" customFormat="1"/>
    <row r="7834" s="65" customFormat="1"/>
    <row r="7835" s="65" customFormat="1"/>
    <row r="7836" s="65" customFormat="1"/>
    <row r="7837" s="65" customFormat="1"/>
    <row r="7838" s="65" customFormat="1"/>
    <row r="7839" s="65" customFormat="1"/>
    <row r="7840" s="65" customFormat="1"/>
    <row r="7841" s="65" customFormat="1"/>
    <row r="7842" s="65" customFormat="1"/>
    <row r="7843" s="65" customFormat="1"/>
    <row r="7844" s="65" customFormat="1"/>
    <row r="7845" s="65" customFormat="1"/>
    <row r="7846" s="65" customFormat="1"/>
    <row r="7847" s="65" customFormat="1"/>
    <row r="7848" s="65" customFormat="1"/>
    <row r="7849" s="65" customFormat="1"/>
    <row r="7850" s="65" customFormat="1"/>
    <row r="7851" s="65" customFormat="1"/>
    <row r="7852" s="65" customFormat="1"/>
    <row r="7853" s="65" customFormat="1"/>
    <row r="7854" s="65" customFormat="1"/>
    <row r="7855" s="65" customFormat="1"/>
    <row r="7856" s="65" customFormat="1"/>
    <row r="7857" s="65" customFormat="1"/>
    <row r="7858" s="65" customFormat="1"/>
    <row r="7859" s="65" customFormat="1"/>
    <row r="7860" s="65" customFormat="1"/>
    <row r="7861" s="65" customFormat="1"/>
    <row r="7862" s="65" customFormat="1"/>
    <row r="7863" s="65" customFormat="1"/>
    <row r="7864" s="65" customFormat="1"/>
    <row r="7865" s="65" customFormat="1"/>
    <row r="7866" s="65" customFormat="1"/>
    <row r="7867" s="65" customFormat="1"/>
    <row r="7868" s="65" customFormat="1"/>
    <row r="7869" s="65" customFormat="1"/>
    <row r="7870" s="65" customFormat="1"/>
    <row r="7871" s="65" customFormat="1"/>
    <row r="7872" s="65" customFormat="1"/>
    <row r="7873" s="65" customFormat="1"/>
    <row r="7874" s="65" customFormat="1"/>
    <row r="7875" s="65" customFormat="1"/>
    <row r="7876" s="65" customFormat="1"/>
    <row r="7877" s="65" customFormat="1"/>
    <row r="7878" s="65" customFormat="1"/>
    <row r="7879" s="65" customFormat="1"/>
    <row r="7880" s="65" customFormat="1"/>
    <row r="7881" s="65" customFormat="1"/>
    <row r="7882" s="65" customFormat="1"/>
    <row r="7883" s="65" customFormat="1"/>
    <row r="7884" s="65" customFormat="1"/>
    <row r="7885" s="65" customFormat="1"/>
    <row r="7886" s="65" customFormat="1"/>
    <row r="7887" s="65" customFormat="1"/>
    <row r="7888" s="65" customFormat="1"/>
    <row r="7889" s="65" customFormat="1"/>
    <row r="7890" s="65" customFormat="1"/>
    <row r="7891" s="65" customFormat="1"/>
    <row r="7892" s="65" customFormat="1"/>
    <row r="7893" s="65" customFormat="1"/>
    <row r="7894" s="65" customFormat="1"/>
    <row r="7895" s="65" customFormat="1"/>
    <row r="7896" s="65" customFormat="1"/>
    <row r="7897" s="65" customFormat="1"/>
    <row r="7898" s="65" customFormat="1"/>
    <row r="7899" s="65" customFormat="1"/>
    <row r="7900" s="65" customFormat="1"/>
    <row r="7901" s="65" customFormat="1"/>
    <row r="7902" s="65" customFormat="1"/>
    <row r="7903" s="65" customFormat="1"/>
    <row r="7904" s="65" customFormat="1"/>
    <row r="7905" s="65" customFormat="1"/>
    <row r="7906" s="65" customFormat="1"/>
    <row r="7907" s="65" customFormat="1"/>
    <row r="7908" s="65" customFormat="1"/>
    <row r="7909" s="65" customFormat="1"/>
    <row r="7910" s="65" customFormat="1"/>
    <row r="7911" s="65" customFormat="1"/>
    <row r="7912" s="65" customFormat="1"/>
    <row r="7913" s="65" customFormat="1"/>
    <row r="7914" s="65" customFormat="1"/>
    <row r="7915" s="65" customFormat="1"/>
    <row r="7916" s="65" customFormat="1"/>
    <row r="7917" s="65" customFormat="1"/>
    <row r="7918" s="65" customFormat="1"/>
    <row r="7919" s="65" customFormat="1"/>
    <row r="7920" s="65" customFormat="1"/>
    <row r="7921" s="65" customFormat="1"/>
    <row r="7922" s="65" customFormat="1"/>
    <row r="7923" s="65" customFormat="1"/>
    <row r="7924" s="65" customFormat="1"/>
    <row r="7925" s="65" customFormat="1"/>
    <row r="7926" s="65" customFormat="1"/>
    <row r="7927" s="65" customFormat="1"/>
    <row r="7928" s="65" customFormat="1"/>
    <row r="7929" s="65" customFormat="1"/>
    <row r="7930" s="65" customFormat="1"/>
    <row r="7931" s="65" customFormat="1"/>
    <row r="7932" s="65" customFormat="1"/>
    <row r="7933" s="65" customFormat="1"/>
    <row r="7934" s="65" customFormat="1"/>
    <row r="7935" s="65" customFormat="1"/>
    <row r="7936" s="65" customFormat="1"/>
    <row r="7937" s="65" customFormat="1"/>
    <row r="7938" s="65" customFormat="1"/>
    <row r="7939" s="65" customFormat="1"/>
    <row r="7940" s="65" customFormat="1"/>
    <row r="7941" s="65" customFormat="1"/>
    <row r="7942" s="65" customFormat="1"/>
    <row r="7943" s="65" customFormat="1"/>
    <row r="7944" s="65" customFormat="1"/>
    <row r="7945" s="65" customFormat="1"/>
    <row r="7946" s="65" customFormat="1"/>
    <row r="7947" s="65" customFormat="1"/>
    <row r="7948" s="65" customFormat="1"/>
    <row r="7949" s="65" customFormat="1"/>
    <row r="7950" s="65" customFormat="1"/>
    <row r="7951" s="65" customFormat="1"/>
    <row r="7952" s="65" customFormat="1"/>
    <row r="7953" s="65" customFormat="1"/>
    <row r="7954" s="65" customFormat="1"/>
    <row r="7955" s="65" customFormat="1"/>
    <row r="7956" s="65" customFormat="1"/>
    <row r="7957" s="65" customFormat="1"/>
    <row r="7958" s="65" customFormat="1"/>
    <row r="7959" s="65" customFormat="1"/>
    <row r="7960" s="65" customFormat="1"/>
    <row r="7961" s="65" customFormat="1"/>
    <row r="7962" s="65" customFormat="1"/>
    <row r="7963" s="65" customFormat="1"/>
    <row r="7964" s="65" customFormat="1"/>
    <row r="7965" s="65" customFormat="1"/>
    <row r="7966" s="65" customFormat="1"/>
    <row r="7967" s="65" customFormat="1"/>
    <row r="7968" s="65" customFormat="1"/>
    <row r="7969" s="65" customFormat="1"/>
    <row r="7970" s="65" customFormat="1"/>
    <row r="7971" s="65" customFormat="1"/>
    <row r="7972" s="65" customFormat="1"/>
    <row r="7973" s="65" customFormat="1"/>
    <row r="7974" s="65" customFormat="1"/>
    <row r="7975" s="65" customFormat="1"/>
    <row r="7976" s="65" customFormat="1"/>
    <row r="7977" s="65" customFormat="1"/>
    <row r="7978" s="65" customFormat="1"/>
    <row r="7979" s="65" customFormat="1"/>
    <row r="7980" s="65" customFormat="1"/>
    <row r="7981" s="65" customFormat="1"/>
    <row r="7982" s="65" customFormat="1"/>
    <row r="7983" s="65" customFormat="1"/>
    <row r="7984" s="65" customFormat="1"/>
    <row r="7985" s="65" customFormat="1"/>
    <row r="7986" s="65" customFormat="1"/>
    <row r="7987" s="65" customFormat="1"/>
    <row r="7988" s="65" customFormat="1"/>
    <row r="7989" s="65" customFormat="1"/>
    <row r="7990" s="65" customFormat="1"/>
    <row r="7991" s="65" customFormat="1"/>
    <row r="7992" s="65" customFormat="1"/>
    <row r="7993" s="65" customFormat="1"/>
    <row r="7994" s="65" customFormat="1"/>
    <row r="7995" s="65" customFormat="1"/>
    <row r="7996" s="65" customFormat="1"/>
    <row r="7997" s="65" customFormat="1"/>
    <row r="7998" s="65" customFormat="1"/>
    <row r="7999" s="65" customFormat="1"/>
    <row r="8000" s="65" customFormat="1"/>
    <row r="8001" s="65" customFormat="1"/>
    <row r="8002" s="65" customFormat="1"/>
    <row r="8003" s="65" customFormat="1"/>
    <row r="8004" s="65" customFormat="1"/>
    <row r="8005" s="65" customFormat="1"/>
    <row r="8006" s="65" customFormat="1"/>
    <row r="8007" s="65" customFormat="1"/>
    <row r="8008" s="65" customFormat="1"/>
    <row r="8009" s="65" customFormat="1"/>
    <row r="8010" s="65" customFormat="1"/>
    <row r="8011" s="65" customFormat="1"/>
    <row r="8012" s="65" customFormat="1"/>
    <row r="8013" s="65" customFormat="1"/>
    <row r="8014" s="65" customFormat="1"/>
    <row r="8015" s="65" customFormat="1"/>
    <row r="8016" s="65" customFormat="1"/>
    <row r="8017" s="65" customFormat="1"/>
    <row r="8018" s="65" customFormat="1"/>
    <row r="8019" s="65" customFormat="1"/>
    <row r="8020" s="65" customFormat="1"/>
    <row r="8021" s="65" customFormat="1"/>
    <row r="8022" s="65" customFormat="1"/>
    <row r="8023" s="65" customFormat="1"/>
    <row r="8024" s="65" customFormat="1"/>
    <row r="8025" s="65" customFormat="1"/>
    <row r="8026" s="65" customFormat="1"/>
    <row r="8027" s="65" customFormat="1"/>
    <row r="8028" s="65" customFormat="1"/>
    <row r="8029" s="65" customFormat="1"/>
    <row r="8030" s="65" customFormat="1"/>
    <row r="8031" s="65" customFormat="1"/>
    <row r="8032" s="65" customFormat="1"/>
    <row r="8033" s="65" customFormat="1"/>
    <row r="8034" s="65" customFormat="1"/>
    <row r="8035" s="65" customFormat="1"/>
    <row r="8036" s="65" customFormat="1"/>
    <row r="8037" s="65" customFormat="1"/>
    <row r="8038" s="65" customFormat="1"/>
    <row r="8039" s="65" customFormat="1"/>
    <row r="8040" s="65" customFormat="1"/>
    <row r="8041" s="65" customFormat="1"/>
    <row r="8042" s="65" customFormat="1"/>
    <row r="8043" s="65" customFormat="1"/>
    <row r="8044" s="65" customFormat="1"/>
    <row r="8045" s="65" customFormat="1"/>
    <row r="8046" s="65" customFormat="1"/>
    <row r="8047" s="65" customFormat="1"/>
    <row r="8048" s="65" customFormat="1"/>
    <row r="8049" s="65" customFormat="1"/>
    <row r="8050" s="65" customFormat="1"/>
    <row r="8051" s="65" customFormat="1"/>
    <row r="8052" s="65" customFormat="1"/>
    <row r="8053" s="65" customFormat="1"/>
    <row r="8054" s="65" customFormat="1"/>
    <row r="8055" s="65" customFormat="1"/>
    <row r="8056" s="65" customFormat="1"/>
    <row r="8057" s="65" customFormat="1"/>
    <row r="8058" s="65" customFormat="1"/>
    <row r="8059" s="65" customFormat="1"/>
    <row r="8060" s="65" customFormat="1"/>
    <row r="8061" s="65" customFormat="1"/>
    <row r="8062" s="65" customFormat="1"/>
    <row r="8063" s="65" customFormat="1"/>
    <row r="8064" s="65" customFormat="1"/>
    <row r="8065" s="65" customFormat="1"/>
    <row r="8066" s="65" customFormat="1"/>
    <row r="8067" s="65" customFormat="1"/>
    <row r="8068" s="65" customFormat="1"/>
    <row r="8069" s="65" customFormat="1"/>
    <row r="8070" s="65" customFormat="1"/>
    <row r="8071" s="65" customFormat="1"/>
    <row r="8072" s="65" customFormat="1"/>
    <row r="8073" s="65" customFormat="1"/>
    <row r="8074" s="65" customFormat="1"/>
    <row r="8075" s="65" customFormat="1"/>
    <row r="8076" s="65" customFormat="1"/>
    <row r="8077" s="65" customFormat="1"/>
    <row r="8078" s="65" customFormat="1"/>
    <row r="8079" s="65" customFormat="1"/>
    <row r="8080" s="65" customFormat="1"/>
    <row r="8081" s="65" customFormat="1"/>
    <row r="8082" s="65" customFormat="1"/>
    <row r="8083" s="65" customFormat="1"/>
    <row r="8084" s="65" customFormat="1"/>
    <row r="8085" s="65" customFormat="1"/>
    <row r="8086" s="65" customFormat="1"/>
    <row r="8087" s="65" customFormat="1"/>
    <row r="8088" s="65" customFormat="1"/>
    <row r="8089" s="65" customFormat="1"/>
    <row r="8090" s="65" customFormat="1"/>
    <row r="8091" s="65" customFormat="1"/>
    <row r="8092" s="65" customFormat="1"/>
    <row r="8093" s="65" customFormat="1"/>
    <row r="8094" s="65" customFormat="1"/>
    <row r="8095" s="65" customFormat="1"/>
    <row r="8096" s="65" customFormat="1"/>
    <row r="8097" s="65" customFormat="1"/>
    <row r="8098" s="65" customFormat="1"/>
    <row r="8099" s="65" customFormat="1"/>
    <row r="8100" s="65" customFormat="1"/>
    <row r="8101" s="65" customFormat="1"/>
    <row r="8102" s="65" customFormat="1"/>
    <row r="8103" s="65" customFormat="1"/>
    <row r="8104" s="65" customFormat="1"/>
    <row r="8105" s="65" customFormat="1"/>
    <row r="8106" s="65" customFormat="1"/>
    <row r="8107" s="65" customFormat="1"/>
    <row r="8108" s="65" customFormat="1"/>
    <row r="8109" s="65" customFormat="1"/>
    <row r="8110" s="65" customFormat="1"/>
    <row r="8111" s="65" customFormat="1"/>
    <row r="8112" s="65" customFormat="1"/>
    <row r="8113" s="65" customFormat="1"/>
    <row r="8114" s="65" customFormat="1"/>
    <row r="8115" s="65" customFormat="1"/>
    <row r="8116" s="65" customFormat="1"/>
    <row r="8117" s="65" customFormat="1"/>
    <row r="8118" s="65" customFormat="1"/>
    <row r="8119" s="65" customFormat="1"/>
    <row r="8120" s="65" customFormat="1"/>
    <row r="8121" s="65" customFormat="1"/>
    <row r="8122" s="65" customFormat="1"/>
    <row r="8123" s="65" customFormat="1"/>
    <row r="8124" s="65" customFormat="1"/>
    <row r="8125" s="65" customFormat="1"/>
    <row r="8126" s="65" customFormat="1"/>
    <row r="8127" s="65" customFormat="1"/>
    <row r="8128" s="65" customFormat="1"/>
    <row r="8129" s="65" customFormat="1"/>
    <row r="8130" s="65" customFormat="1"/>
    <row r="8131" s="65" customFormat="1"/>
    <row r="8132" s="65" customFormat="1"/>
    <row r="8133" s="65" customFormat="1"/>
    <row r="8134" s="65" customFormat="1"/>
    <row r="8135" s="65" customFormat="1"/>
    <row r="8136" s="65" customFormat="1"/>
    <row r="8137" s="65" customFormat="1"/>
    <row r="8138" s="65" customFormat="1"/>
    <row r="8139" s="65" customFormat="1"/>
    <row r="8140" s="65" customFormat="1"/>
    <row r="8141" s="65" customFormat="1"/>
    <row r="8142" s="65" customFormat="1"/>
    <row r="8143" s="65" customFormat="1"/>
    <row r="8144" s="65" customFormat="1"/>
    <row r="8145" s="65" customFormat="1"/>
    <row r="8146" s="65" customFormat="1"/>
    <row r="8147" s="65" customFormat="1"/>
    <row r="8148" s="65" customFormat="1"/>
    <row r="8149" s="65" customFormat="1"/>
    <row r="8150" s="65" customFormat="1"/>
    <row r="8151" s="65" customFormat="1"/>
    <row r="8152" s="65" customFormat="1"/>
    <row r="8153" s="65" customFormat="1"/>
    <row r="8154" s="65" customFormat="1"/>
    <row r="8155" s="65" customFormat="1"/>
    <row r="8156" s="65" customFormat="1"/>
    <row r="8157" s="65" customFormat="1"/>
    <row r="8158" s="65" customFormat="1"/>
    <row r="8159" s="65" customFormat="1"/>
    <row r="8160" s="65" customFormat="1"/>
    <row r="8161" s="65" customFormat="1"/>
    <row r="8162" s="65" customFormat="1"/>
    <row r="8163" s="65" customFormat="1"/>
    <row r="8164" s="65" customFormat="1"/>
    <row r="8165" s="65" customFormat="1"/>
    <row r="8166" s="65" customFormat="1"/>
    <row r="8167" s="65" customFormat="1"/>
    <row r="8168" s="65" customFormat="1"/>
    <row r="8169" s="65" customFormat="1"/>
    <row r="8170" s="65" customFormat="1"/>
    <row r="8171" s="65" customFormat="1"/>
    <row r="8172" s="65" customFormat="1"/>
    <row r="8173" s="65" customFormat="1"/>
    <row r="8174" s="65" customFormat="1"/>
    <row r="8175" s="65" customFormat="1"/>
    <row r="8176" s="65" customFormat="1"/>
    <row r="8177" s="65" customFormat="1"/>
    <row r="8178" s="65" customFormat="1"/>
    <row r="8179" s="65" customFormat="1"/>
    <row r="8180" s="65" customFormat="1"/>
    <row r="8181" s="65" customFormat="1"/>
    <row r="8182" s="65" customFormat="1"/>
    <row r="8183" s="65" customFormat="1"/>
    <row r="8184" s="65" customFormat="1"/>
    <row r="8185" s="65" customFormat="1"/>
    <row r="8186" s="65" customFormat="1"/>
    <row r="8187" s="65" customFormat="1"/>
    <row r="8188" s="65" customFormat="1"/>
    <row r="8189" s="65" customFormat="1"/>
    <row r="8190" s="65" customFormat="1"/>
    <row r="8191" s="65" customFormat="1"/>
    <row r="8192" s="65" customFormat="1"/>
    <row r="8193" s="65" customFormat="1"/>
    <row r="8194" s="65" customFormat="1"/>
    <row r="8195" s="65" customFormat="1"/>
    <row r="8196" s="65" customFormat="1"/>
    <row r="8197" s="65" customFormat="1"/>
    <row r="8198" s="65" customFormat="1"/>
    <row r="8199" s="65" customFormat="1"/>
    <row r="8200" s="65" customFormat="1"/>
    <row r="8201" s="65" customFormat="1"/>
    <row r="8202" s="65" customFormat="1"/>
    <row r="8203" s="65" customFormat="1"/>
    <row r="8204" s="65" customFormat="1"/>
    <row r="8205" s="65" customFormat="1"/>
    <row r="8206" s="65" customFormat="1"/>
    <row r="8207" s="65" customFormat="1"/>
    <row r="8208" s="65" customFormat="1"/>
    <row r="8209" s="65" customFormat="1"/>
    <row r="8210" s="65" customFormat="1"/>
    <row r="8211" s="65" customFormat="1"/>
    <row r="8212" s="65" customFormat="1"/>
    <row r="8213" s="65" customFormat="1"/>
    <row r="8214" s="65" customFormat="1"/>
    <row r="8215" s="65" customFormat="1"/>
    <row r="8216" s="65" customFormat="1"/>
    <row r="8217" s="65" customFormat="1"/>
    <row r="8218" s="65" customFormat="1"/>
    <row r="8219" s="65" customFormat="1"/>
    <row r="8220" s="65" customFormat="1"/>
    <row r="8221" s="65" customFormat="1"/>
    <row r="8222" s="65" customFormat="1"/>
    <row r="8223" s="65" customFormat="1"/>
    <row r="8224" s="65" customFormat="1"/>
    <row r="8225" s="65" customFormat="1"/>
    <row r="8226" s="65" customFormat="1"/>
    <row r="8227" s="65" customFormat="1"/>
    <row r="8228" s="65" customFormat="1"/>
    <row r="8229" s="65" customFormat="1"/>
    <row r="8230" s="65" customFormat="1"/>
    <row r="8231" s="65" customFormat="1"/>
    <row r="8232" s="65" customFormat="1"/>
    <row r="8233" s="65" customFormat="1"/>
    <row r="8234" s="65" customFormat="1"/>
    <row r="8235" s="65" customFormat="1"/>
    <row r="8236" s="65" customFormat="1"/>
    <row r="8237" s="65" customFormat="1"/>
    <row r="8238" s="65" customFormat="1"/>
    <row r="8239" s="65" customFormat="1"/>
    <row r="8240" s="65" customFormat="1"/>
    <row r="8241" s="65" customFormat="1"/>
    <row r="8242" s="65" customFormat="1"/>
    <row r="8243" s="65" customFormat="1"/>
    <row r="8244" s="65" customFormat="1"/>
    <row r="8245" s="65" customFormat="1"/>
    <row r="8246" s="65" customFormat="1"/>
    <row r="8247" s="65" customFormat="1"/>
    <row r="8248" s="65" customFormat="1"/>
    <row r="8249" s="65" customFormat="1"/>
    <row r="8250" s="65" customFormat="1"/>
    <row r="8251" s="65" customFormat="1"/>
    <row r="8252" s="65" customFormat="1"/>
    <row r="8253" s="65" customFormat="1"/>
    <row r="8254" s="65" customFormat="1"/>
    <row r="8255" s="65" customFormat="1"/>
    <row r="8256" s="65" customFormat="1"/>
    <row r="8257" s="65" customFormat="1"/>
    <row r="8258" s="65" customFormat="1"/>
    <row r="8259" s="65" customFormat="1"/>
    <row r="8260" s="65" customFormat="1"/>
    <row r="8261" s="65" customFormat="1"/>
    <row r="8262" s="65" customFormat="1"/>
    <row r="8263" s="65" customFormat="1"/>
    <row r="8264" s="65" customFormat="1"/>
    <row r="8265" s="65" customFormat="1"/>
    <row r="8266" s="65" customFormat="1"/>
    <row r="8267" s="65" customFormat="1"/>
    <row r="8268" s="65" customFormat="1"/>
    <row r="8269" s="65" customFormat="1"/>
    <row r="8270" s="65" customFormat="1"/>
    <row r="8271" s="65" customFormat="1"/>
    <row r="8272" s="65" customFormat="1"/>
    <row r="8273" s="65" customFormat="1"/>
    <row r="8274" s="65" customFormat="1"/>
    <row r="8275" s="65" customFormat="1"/>
    <row r="8276" s="65" customFormat="1"/>
    <row r="8277" s="65" customFormat="1"/>
    <row r="8278" s="65" customFormat="1"/>
    <row r="8279" s="65" customFormat="1"/>
    <row r="8280" s="65" customFormat="1"/>
    <row r="8281" s="65" customFormat="1"/>
    <row r="8282" s="65" customFormat="1"/>
    <row r="8283" s="65" customFormat="1"/>
    <row r="8284" s="65" customFormat="1"/>
    <row r="8285" s="65" customFormat="1"/>
    <row r="8286" s="65" customFormat="1"/>
    <row r="8287" s="65" customFormat="1"/>
    <row r="8288" s="65" customFormat="1"/>
    <row r="8289" s="65" customFormat="1"/>
    <row r="8290" s="65" customFormat="1"/>
    <row r="8291" s="65" customFormat="1"/>
    <row r="8292" s="65" customFormat="1"/>
    <row r="8293" s="65" customFormat="1"/>
    <row r="8294" s="65" customFormat="1"/>
    <row r="8295" s="65" customFormat="1"/>
    <row r="8296" s="65" customFormat="1"/>
    <row r="8297" s="65" customFormat="1"/>
    <row r="8298" s="65" customFormat="1"/>
    <row r="8299" s="65" customFormat="1"/>
    <row r="8300" s="65" customFormat="1"/>
    <row r="8301" s="65" customFormat="1"/>
    <row r="8302" s="65" customFormat="1"/>
    <row r="8303" s="65" customFormat="1"/>
    <row r="8304" s="65" customFormat="1"/>
    <row r="8305" s="65" customFormat="1"/>
    <row r="8306" s="65" customFormat="1"/>
    <row r="8307" s="65" customFormat="1"/>
    <row r="8308" s="65" customFormat="1"/>
    <row r="8309" s="65" customFormat="1"/>
    <row r="8310" s="65" customFormat="1"/>
    <row r="8311" s="65" customFormat="1"/>
    <row r="8312" s="65" customFormat="1"/>
    <row r="8313" s="65" customFormat="1"/>
    <row r="8314" s="65" customFormat="1"/>
    <row r="8315" s="65" customFormat="1"/>
    <row r="8316" s="65" customFormat="1"/>
    <row r="8317" s="65" customFormat="1"/>
    <row r="8318" s="65" customFormat="1"/>
    <row r="8319" s="65" customFormat="1"/>
    <row r="8320" s="65" customFormat="1"/>
    <row r="8321" s="65" customFormat="1"/>
    <row r="8322" s="65" customFormat="1"/>
    <row r="8323" s="65" customFormat="1"/>
    <row r="8324" s="65" customFormat="1"/>
    <row r="8325" s="65" customFormat="1"/>
    <row r="8326" s="65" customFormat="1"/>
    <row r="8327" s="65" customFormat="1"/>
    <row r="8328" s="65" customFormat="1"/>
    <row r="8329" s="65" customFormat="1"/>
    <row r="8330" s="65" customFormat="1"/>
    <row r="8331" s="65" customFormat="1"/>
    <row r="8332" s="65" customFormat="1"/>
    <row r="8333" s="65" customFormat="1"/>
    <row r="8334" s="65" customFormat="1"/>
    <row r="8335" s="65" customFormat="1"/>
    <row r="8336" s="65" customFormat="1"/>
    <row r="8337" s="65" customFormat="1"/>
    <row r="8338" s="65" customFormat="1"/>
    <row r="8339" s="65" customFormat="1"/>
    <row r="8340" s="65" customFormat="1"/>
    <row r="8341" s="65" customFormat="1"/>
    <row r="8342" s="65" customFormat="1"/>
    <row r="8343" s="65" customFormat="1"/>
    <row r="8344" s="65" customFormat="1"/>
    <row r="8345" s="65" customFormat="1"/>
    <row r="8346" s="65" customFormat="1"/>
    <row r="8347" s="65" customFormat="1"/>
    <row r="8348" s="65" customFormat="1"/>
    <row r="8349" s="65" customFormat="1"/>
    <row r="8350" s="65" customFormat="1"/>
    <row r="8351" s="65" customFormat="1"/>
    <row r="8352" s="65" customFormat="1"/>
    <row r="8353" s="65" customFormat="1"/>
    <row r="8354" s="65" customFormat="1"/>
    <row r="8355" s="65" customFormat="1"/>
    <row r="8356" s="65" customFormat="1"/>
    <row r="8357" s="65" customFormat="1"/>
    <row r="8358" s="65" customFormat="1"/>
    <row r="8359" s="65" customFormat="1"/>
    <row r="8360" s="65" customFormat="1"/>
    <row r="8361" s="65" customFormat="1"/>
    <row r="8362" s="65" customFormat="1"/>
    <row r="8363" s="65" customFormat="1"/>
    <row r="8364" s="65" customFormat="1"/>
    <row r="8365" s="65" customFormat="1"/>
    <row r="8366" s="65" customFormat="1"/>
    <row r="8367" s="65" customFormat="1"/>
    <row r="8368" s="65" customFormat="1"/>
    <row r="8369" s="65" customFormat="1"/>
    <row r="8370" s="65" customFormat="1"/>
    <row r="8371" s="65" customFormat="1"/>
    <row r="8372" s="65" customFormat="1"/>
    <row r="8373" s="65" customFormat="1"/>
    <row r="8374" s="65" customFormat="1"/>
    <row r="8375" s="65" customFormat="1"/>
    <row r="8376" s="65" customFormat="1"/>
    <row r="8377" s="65" customFormat="1"/>
    <row r="8378" s="65" customFormat="1"/>
    <row r="8379" s="65" customFormat="1"/>
    <row r="8380" s="65" customFormat="1"/>
    <row r="8381" s="65" customFormat="1"/>
    <row r="8382" s="65" customFormat="1"/>
    <row r="8383" s="65" customFormat="1"/>
    <row r="8384" s="65" customFormat="1"/>
    <row r="8385" s="65" customFormat="1"/>
    <row r="8386" s="65" customFormat="1"/>
    <row r="8387" s="65" customFormat="1"/>
    <row r="8388" s="65" customFormat="1"/>
    <row r="8389" s="65" customFormat="1"/>
    <row r="8390" s="65" customFormat="1"/>
    <row r="8391" s="65" customFormat="1"/>
    <row r="8392" s="65" customFormat="1"/>
    <row r="8393" s="65" customFormat="1"/>
    <row r="8394" s="65" customFormat="1"/>
    <row r="8395" s="65" customFormat="1"/>
    <row r="8396" s="65" customFormat="1"/>
    <row r="8397" s="65" customFormat="1"/>
    <row r="8398" s="65" customFormat="1"/>
    <row r="8399" s="65" customFormat="1"/>
    <row r="8400" s="65" customFormat="1"/>
    <row r="8401" s="65" customFormat="1"/>
    <row r="8402" s="65" customFormat="1"/>
    <row r="8403" s="65" customFormat="1"/>
    <row r="8404" s="65" customFormat="1"/>
    <row r="8405" s="65" customFormat="1"/>
    <row r="8406" s="65" customFormat="1"/>
    <row r="8407" s="65" customFormat="1"/>
    <row r="8408" s="65" customFormat="1"/>
    <row r="8409" s="65" customFormat="1"/>
    <row r="8410" s="65" customFormat="1"/>
    <row r="8411" s="65" customFormat="1"/>
    <row r="8412" s="65" customFormat="1"/>
    <row r="8413" s="65" customFormat="1"/>
    <row r="8414" s="65" customFormat="1"/>
    <row r="8415" s="65" customFormat="1"/>
    <row r="8416" s="65" customFormat="1"/>
    <row r="8417" s="65" customFormat="1"/>
    <row r="8418" s="65" customFormat="1"/>
    <row r="8419" s="65" customFormat="1"/>
    <row r="8420" s="65" customFormat="1"/>
    <row r="8421" s="65" customFormat="1"/>
    <row r="8422" s="65" customFormat="1"/>
    <row r="8423" s="65" customFormat="1"/>
    <row r="8424" s="65" customFormat="1"/>
    <row r="8425" s="65" customFormat="1"/>
    <row r="8426" s="65" customFormat="1"/>
    <row r="8427" s="65" customFormat="1"/>
    <row r="8428" s="65" customFormat="1"/>
    <row r="8429" s="65" customFormat="1"/>
    <row r="8430" s="65" customFormat="1"/>
    <row r="8431" s="65" customFormat="1"/>
    <row r="8432" s="65" customFormat="1"/>
    <row r="8433" s="65" customFormat="1"/>
    <row r="8434" s="65" customFormat="1"/>
    <row r="8435" s="65" customFormat="1"/>
    <row r="8436" s="65" customFormat="1"/>
    <row r="8437" s="65" customFormat="1"/>
    <row r="8438" s="65" customFormat="1"/>
    <row r="8439" s="65" customFormat="1"/>
    <row r="8440" s="65" customFormat="1"/>
    <row r="8441" s="65" customFormat="1"/>
    <row r="8442" s="65" customFormat="1"/>
    <row r="8443" s="65" customFormat="1"/>
    <row r="8444" s="65" customFormat="1"/>
    <row r="8445" s="65" customFormat="1"/>
    <row r="8446" s="65" customFormat="1"/>
    <row r="8447" s="65" customFormat="1"/>
    <row r="8448" s="65" customFormat="1"/>
    <row r="8449" s="65" customFormat="1"/>
    <row r="8450" s="65" customFormat="1"/>
    <row r="8451" s="65" customFormat="1"/>
    <row r="8452" s="65" customFormat="1"/>
    <row r="8453" s="65" customFormat="1"/>
    <row r="8454" s="65" customFormat="1"/>
    <row r="8455" s="65" customFormat="1"/>
    <row r="8456" s="65" customFormat="1"/>
    <row r="8457" s="65" customFormat="1"/>
    <row r="8458" s="65" customFormat="1"/>
    <row r="8459" s="65" customFormat="1"/>
    <row r="8460" s="65" customFormat="1"/>
    <row r="8461" s="65" customFormat="1"/>
    <row r="8462" s="65" customFormat="1"/>
    <row r="8463" s="65" customFormat="1"/>
    <row r="8464" s="65" customFormat="1"/>
    <row r="8465" s="65" customFormat="1"/>
    <row r="8466" s="65" customFormat="1"/>
    <row r="8467" s="65" customFormat="1"/>
    <row r="8468" s="65" customFormat="1"/>
    <row r="8469" s="65" customFormat="1"/>
    <row r="8470" s="65" customFormat="1"/>
    <row r="8471" s="65" customFormat="1"/>
    <row r="8472" s="65" customFormat="1"/>
    <row r="8473" s="65" customFormat="1"/>
    <row r="8474" s="65" customFormat="1"/>
    <row r="8475" s="65" customFormat="1"/>
    <row r="8476" s="65" customFormat="1"/>
    <row r="8477" s="65" customFormat="1"/>
    <row r="8478" s="65" customFormat="1"/>
    <row r="8479" s="65" customFormat="1"/>
    <row r="8480" s="65" customFormat="1"/>
    <row r="8481" s="65" customFormat="1"/>
    <row r="8482" s="65" customFormat="1"/>
    <row r="8483" s="65" customFormat="1"/>
    <row r="8484" s="65" customFormat="1"/>
    <row r="8485" s="65" customFormat="1"/>
    <row r="8486" s="65" customFormat="1"/>
    <row r="8487" s="65" customFormat="1"/>
    <row r="8488" s="65" customFormat="1"/>
    <row r="8489" s="65" customFormat="1"/>
    <row r="8490" s="65" customFormat="1"/>
    <row r="8491" s="65" customFormat="1"/>
    <row r="8492" s="65" customFormat="1"/>
    <row r="8493" s="65" customFormat="1"/>
    <row r="8494" s="65" customFormat="1"/>
    <row r="8495" s="65" customFormat="1"/>
    <row r="8496" s="65" customFormat="1"/>
    <row r="8497" s="65" customFormat="1"/>
    <row r="8498" s="65" customFormat="1"/>
    <row r="8499" s="65" customFormat="1"/>
    <row r="8500" s="65" customFormat="1"/>
    <row r="8501" s="65" customFormat="1"/>
    <row r="8502" s="65" customFormat="1"/>
    <row r="8503" s="65" customFormat="1"/>
    <row r="8504" s="65" customFormat="1"/>
    <row r="8505" s="65" customFormat="1"/>
    <row r="8506" s="65" customFormat="1"/>
    <row r="8507" s="65" customFormat="1"/>
    <row r="8508" s="65" customFormat="1"/>
    <row r="8509" s="65" customFormat="1"/>
    <row r="8510" s="65" customFormat="1"/>
    <row r="8511" s="65" customFormat="1"/>
    <row r="8512" s="65" customFormat="1"/>
    <row r="8513" s="65" customFormat="1"/>
    <row r="8514" s="65" customFormat="1"/>
    <row r="8515" s="65" customFormat="1"/>
    <row r="8516" s="65" customFormat="1"/>
    <row r="8517" s="65" customFormat="1"/>
    <row r="8518" s="65" customFormat="1"/>
    <row r="8519" s="65" customFormat="1"/>
    <row r="8520" s="65" customFormat="1"/>
    <row r="8521" s="65" customFormat="1"/>
    <row r="8522" s="65" customFormat="1"/>
    <row r="8523" s="65" customFormat="1"/>
    <row r="8524" s="65" customFormat="1"/>
    <row r="8525" s="65" customFormat="1"/>
    <row r="8526" s="65" customFormat="1"/>
    <row r="8527" s="65" customFormat="1"/>
    <row r="8528" s="65" customFormat="1"/>
    <row r="8529" s="65" customFormat="1"/>
    <row r="8530" s="65" customFormat="1"/>
    <row r="8531" s="65" customFormat="1"/>
    <row r="8532" s="65" customFormat="1"/>
    <row r="8533" s="65" customFormat="1"/>
    <row r="8534" s="65" customFormat="1"/>
    <row r="8535" s="65" customFormat="1"/>
    <row r="8536" s="65" customFormat="1"/>
    <row r="8537" s="65" customFormat="1"/>
    <row r="8538" s="65" customFormat="1"/>
    <row r="8539" s="65" customFormat="1"/>
    <row r="8540" s="65" customFormat="1"/>
    <row r="8541" s="65" customFormat="1"/>
    <row r="8542" s="65" customFormat="1"/>
    <row r="8543" s="65" customFormat="1"/>
    <row r="8544" s="65" customFormat="1"/>
    <row r="8545" s="65" customFormat="1"/>
    <row r="8546" s="65" customFormat="1"/>
    <row r="8547" s="65" customFormat="1"/>
    <row r="8548" s="65" customFormat="1"/>
    <row r="8549" s="65" customFormat="1"/>
    <row r="8550" s="65" customFormat="1"/>
    <row r="8551" s="65" customFormat="1"/>
    <row r="8552" s="65" customFormat="1"/>
    <row r="8553" s="65" customFormat="1"/>
    <row r="8554" s="65" customFormat="1"/>
    <row r="8555" s="65" customFormat="1"/>
    <row r="8556" s="65" customFormat="1"/>
    <row r="8557" s="65" customFormat="1"/>
    <row r="8558" s="65" customFormat="1"/>
    <row r="8559" s="65" customFormat="1"/>
    <row r="8560" s="65" customFormat="1"/>
    <row r="8561" s="65" customFormat="1"/>
    <row r="8562" s="65" customFormat="1"/>
    <row r="8563" s="65" customFormat="1"/>
    <row r="8564" s="65" customFormat="1"/>
    <row r="8565" s="65" customFormat="1"/>
    <row r="8566" s="65" customFormat="1"/>
    <row r="8567" s="65" customFormat="1"/>
    <row r="8568" s="65" customFormat="1"/>
    <row r="8569" s="65" customFormat="1"/>
    <row r="8570" s="65" customFormat="1"/>
    <row r="8571" s="65" customFormat="1"/>
    <row r="8572" s="65" customFormat="1"/>
    <row r="8573" s="65" customFormat="1"/>
    <row r="8574" s="65" customFormat="1"/>
    <row r="8575" s="65" customFormat="1"/>
    <row r="8576" s="65" customFormat="1"/>
    <row r="8577" s="65" customFormat="1"/>
    <row r="8578" s="65" customFormat="1"/>
    <row r="8579" s="65" customFormat="1"/>
    <row r="8580" s="65" customFormat="1"/>
    <row r="8581" s="65" customFormat="1"/>
    <row r="8582" s="65" customFormat="1"/>
    <row r="8583" s="65" customFormat="1"/>
    <row r="8584" s="65" customFormat="1"/>
    <row r="8585" s="65" customFormat="1"/>
    <row r="8586" s="65" customFormat="1"/>
    <row r="8587" s="65" customFormat="1"/>
    <row r="8588" s="65" customFormat="1"/>
    <row r="8589" s="65" customFormat="1"/>
    <row r="8590" s="65" customFormat="1"/>
    <row r="8591" s="65" customFormat="1"/>
    <row r="8592" s="65" customFormat="1"/>
    <row r="8593" s="65" customFormat="1"/>
    <row r="8594" s="65" customFormat="1"/>
    <row r="8595" s="65" customFormat="1"/>
    <row r="8596" s="65" customFormat="1"/>
    <row r="8597" s="65" customFormat="1"/>
    <row r="8598" s="65" customFormat="1"/>
    <row r="8599" s="65" customFormat="1"/>
    <row r="8600" s="65" customFormat="1"/>
    <row r="8601" s="65" customFormat="1"/>
    <row r="8602" s="65" customFormat="1"/>
    <row r="8603" s="65" customFormat="1"/>
    <row r="8604" s="65" customFormat="1"/>
    <row r="8605" s="65" customFormat="1"/>
    <row r="8606" s="65" customFormat="1"/>
    <row r="8607" s="65" customFormat="1"/>
    <row r="8608" s="65" customFormat="1"/>
    <row r="8609" s="65" customFormat="1"/>
    <row r="8610" s="65" customFormat="1"/>
    <row r="8611" s="65" customFormat="1"/>
    <row r="8612" s="65" customFormat="1"/>
    <row r="8613" s="65" customFormat="1"/>
    <row r="8614" s="65" customFormat="1"/>
    <row r="8615" s="65" customFormat="1"/>
    <row r="8616" s="65" customFormat="1"/>
    <row r="8617" s="65" customFormat="1"/>
    <row r="8618" s="65" customFormat="1"/>
    <row r="8619" s="65" customFormat="1"/>
    <row r="8620" s="65" customFormat="1"/>
    <row r="8621" s="65" customFormat="1"/>
    <row r="8622" s="65" customFormat="1"/>
    <row r="8623" s="65" customFormat="1"/>
    <row r="8624" s="65" customFormat="1"/>
    <row r="8625" s="65" customFormat="1"/>
    <row r="8626" s="65" customFormat="1"/>
    <row r="8627" s="65" customFormat="1"/>
    <row r="8628" s="65" customFormat="1"/>
    <row r="8629" s="65" customFormat="1"/>
    <row r="8630" s="65" customFormat="1"/>
    <row r="8631" s="65" customFormat="1"/>
    <row r="8632" s="65" customFormat="1"/>
    <row r="8633" s="65" customFormat="1"/>
    <row r="8634" s="65" customFormat="1"/>
    <row r="8635" s="65" customFormat="1"/>
    <row r="8636" s="65" customFormat="1"/>
    <row r="8637" s="65" customFormat="1"/>
    <row r="8638" s="65" customFormat="1"/>
    <row r="8639" s="65" customFormat="1"/>
    <row r="8640" s="65" customFormat="1"/>
    <row r="8641" s="65" customFormat="1"/>
    <row r="8642" s="65" customFormat="1"/>
    <row r="8643" s="65" customFormat="1"/>
    <row r="8644" s="65" customFormat="1"/>
    <row r="8645" s="65" customFormat="1"/>
    <row r="8646" s="65" customFormat="1"/>
    <row r="8647" s="65" customFormat="1"/>
    <row r="8648" s="65" customFormat="1"/>
    <row r="8649" s="65" customFormat="1"/>
    <row r="8650" s="65" customFormat="1"/>
    <row r="8651" s="65" customFormat="1"/>
    <row r="8652" s="65" customFormat="1"/>
    <row r="8653" s="65" customFormat="1"/>
    <row r="8654" s="65" customFormat="1"/>
    <row r="8655" s="65" customFormat="1"/>
    <row r="8656" s="65" customFormat="1"/>
    <row r="8657" s="65" customFormat="1"/>
    <row r="8658" s="65" customFormat="1"/>
    <row r="8659" s="65" customFormat="1"/>
    <row r="8660" s="65" customFormat="1"/>
    <row r="8661" s="65" customFormat="1"/>
    <row r="8662" s="65" customFormat="1"/>
    <row r="8663" s="65" customFormat="1"/>
    <row r="8664" s="65" customFormat="1"/>
    <row r="8665" s="65" customFormat="1"/>
    <row r="8666" s="65" customFormat="1"/>
    <row r="8667" s="65" customFormat="1"/>
    <row r="8668" s="65" customFormat="1"/>
    <row r="8669" s="65" customFormat="1"/>
    <row r="8670" s="65" customFormat="1"/>
    <row r="8671" s="65" customFormat="1"/>
    <row r="8672" s="65" customFormat="1"/>
    <row r="8673" s="65" customFormat="1"/>
    <row r="8674" s="65" customFormat="1"/>
    <row r="8675" s="65" customFormat="1"/>
    <row r="8676" s="65" customFormat="1"/>
    <row r="8677" s="65" customFormat="1"/>
    <row r="8678" s="65" customFormat="1"/>
    <row r="8679" s="65" customFormat="1"/>
    <row r="8680" s="65" customFormat="1"/>
    <row r="8681" s="65" customFormat="1"/>
    <row r="8682" s="65" customFormat="1"/>
    <row r="8683" s="65" customFormat="1"/>
    <row r="8684" s="65" customFormat="1"/>
    <row r="8685" s="65" customFormat="1"/>
    <row r="8686" s="65" customFormat="1"/>
    <row r="8687" s="65" customFormat="1"/>
    <row r="8688" s="65" customFormat="1"/>
    <row r="8689" s="65" customFormat="1"/>
    <row r="8690" s="65" customFormat="1"/>
    <row r="8691" s="65" customFormat="1"/>
    <row r="8692" s="65" customFormat="1"/>
    <row r="8693" s="65" customFormat="1"/>
    <row r="8694" s="65" customFormat="1"/>
    <row r="8695" s="65" customFormat="1"/>
    <row r="8696" s="65" customFormat="1"/>
    <row r="8697" s="65" customFormat="1"/>
    <row r="8698" s="65" customFormat="1"/>
    <row r="8699" s="65" customFormat="1"/>
    <row r="8700" s="65" customFormat="1"/>
    <row r="8701" s="65" customFormat="1"/>
    <row r="8702" s="65" customFormat="1"/>
    <row r="8703" s="65" customFormat="1"/>
    <row r="8704" s="65" customFormat="1"/>
    <row r="8705" s="65" customFormat="1"/>
    <row r="8706" s="65" customFormat="1"/>
    <row r="8707" s="65" customFormat="1"/>
    <row r="8708" s="65" customFormat="1"/>
    <row r="8709" s="65" customFormat="1"/>
    <row r="8710" s="65" customFormat="1"/>
    <row r="8711" s="65" customFormat="1"/>
    <row r="8712" s="65" customFormat="1"/>
    <row r="8713" s="65" customFormat="1"/>
    <row r="8714" s="65" customFormat="1"/>
    <row r="8715" s="65" customFormat="1"/>
    <row r="8716" s="65" customFormat="1"/>
    <row r="8717" s="65" customFormat="1"/>
    <row r="8718" s="65" customFormat="1"/>
    <row r="8719" s="65" customFormat="1"/>
    <row r="8720" s="65" customFormat="1"/>
    <row r="8721" s="65" customFormat="1"/>
    <row r="8722" s="65" customFormat="1"/>
    <row r="8723" s="65" customFormat="1"/>
    <row r="8724" s="65" customFormat="1"/>
    <row r="8725" s="65" customFormat="1"/>
    <row r="8726" s="65" customFormat="1"/>
    <row r="8727" s="65" customFormat="1"/>
    <row r="8728" s="65" customFormat="1"/>
    <row r="8729" s="65" customFormat="1"/>
    <row r="8730" s="65" customFormat="1"/>
    <row r="8731" s="65" customFormat="1"/>
    <row r="8732" s="65" customFormat="1"/>
    <row r="8733" s="65" customFormat="1"/>
    <row r="8734" s="65" customFormat="1"/>
    <row r="8735" s="65" customFormat="1"/>
    <row r="8736" s="65" customFormat="1"/>
    <row r="8737" s="65" customFormat="1"/>
    <row r="8738" s="65" customFormat="1"/>
    <row r="8739" s="65" customFormat="1"/>
    <row r="8740" s="65" customFormat="1"/>
    <row r="8741" s="65" customFormat="1"/>
    <row r="8742" s="65" customFormat="1"/>
    <row r="8743" s="65" customFormat="1"/>
    <row r="8744" s="65" customFormat="1"/>
    <row r="8745" s="65" customFormat="1"/>
    <row r="8746" s="65" customFormat="1"/>
    <row r="8747" s="65" customFormat="1"/>
    <row r="8748" s="65" customFormat="1"/>
    <row r="8749" s="65" customFormat="1"/>
    <row r="8750" s="65" customFormat="1"/>
    <row r="8751" s="65" customFormat="1"/>
    <row r="8752" s="65" customFormat="1"/>
    <row r="8753" s="65" customFormat="1"/>
    <row r="8754" s="65" customFormat="1"/>
    <row r="8755" s="65" customFormat="1"/>
    <row r="8756" s="65" customFormat="1"/>
    <row r="8757" s="65" customFormat="1"/>
    <row r="8758" s="65" customFormat="1"/>
    <row r="8759" s="65" customFormat="1"/>
    <row r="8760" s="65" customFormat="1"/>
    <row r="8761" s="65" customFormat="1"/>
    <row r="8762" s="65" customFormat="1"/>
    <row r="8763" s="65" customFormat="1"/>
    <row r="8764" s="65" customFormat="1"/>
    <row r="8765" s="65" customFormat="1"/>
    <row r="8766" s="65" customFormat="1"/>
    <row r="8767" s="65" customFormat="1"/>
    <row r="8768" s="65" customFormat="1"/>
    <row r="8769" s="65" customFormat="1"/>
    <row r="8770" s="65" customFormat="1"/>
    <row r="8771" s="65" customFormat="1"/>
    <row r="8772" s="65" customFormat="1"/>
    <row r="8773" s="65" customFormat="1"/>
    <row r="8774" s="65" customFormat="1"/>
    <row r="8775" s="65" customFormat="1"/>
    <row r="8776" s="65" customFormat="1"/>
    <row r="8777" s="65" customFormat="1"/>
    <row r="8778" s="65" customFormat="1"/>
    <row r="8779" s="65" customFormat="1"/>
    <row r="8780" s="65" customFormat="1"/>
    <row r="8781" s="65" customFormat="1"/>
    <row r="8782" s="65" customFormat="1"/>
    <row r="8783" s="65" customFormat="1"/>
    <row r="8784" s="65" customFormat="1"/>
    <row r="8785" s="65" customFormat="1"/>
    <row r="8786" s="65" customFormat="1"/>
    <row r="8787" s="65" customFormat="1"/>
    <row r="8788" s="65" customFormat="1"/>
    <row r="8789" s="65" customFormat="1"/>
    <row r="8790" s="65" customFormat="1"/>
    <row r="8791" s="65" customFormat="1"/>
    <row r="8792" s="65" customFormat="1"/>
    <row r="8793" s="65" customFormat="1"/>
    <row r="8794" s="65" customFormat="1"/>
    <row r="8795" s="65" customFormat="1"/>
    <row r="8796" s="65" customFormat="1"/>
    <row r="8797" s="65" customFormat="1"/>
    <row r="8798" s="65" customFormat="1"/>
    <row r="8799" s="65" customFormat="1"/>
    <row r="8800" s="65" customFormat="1"/>
    <row r="8801" s="65" customFormat="1"/>
    <row r="8802" s="65" customFormat="1"/>
    <row r="8803" s="65" customFormat="1"/>
    <row r="8804" s="65" customFormat="1"/>
    <row r="8805" s="65" customFormat="1"/>
    <row r="8806" s="65" customFormat="1"/>
    <row r="8807" s="65" customFormat="1"/>
    <row r="8808" s="65" customFormat="1"/>
    <row r="8809" s="65" customFormat="1"/>
    <row r="8810" s="65" customFormat="1"/>
    <row r="8811" s="65" customFormat="1"/>
    <row r="8812" s="65" customFormat="1"/>
    <row r="8813" s="65" customFormat="1"/>
    <row r="8814" s="65" customFormat="1"/>
    <row r="8815" s="65" customFormat="1"/>
    <row r="8816" s="65" customFormat="1"/>
    <row r="8817" s="65" customFormat="1"/>
    <row r="8818" s="65" customFormat="1"/>
    <row r="8819" s="65" customFormat="1"/>
    <row r="8820" s="65" customFormat="1"/>
    <row r="8821" s="65" customFormat="1"/>
    <row r="8822" s="65" customFormat="1"/>
    <row r="8823" s="65" customFormat="1"/>
    <row r="8824" s="65" customFormat="1"/>
    <row r="8825" s="65" customFormat="1"/>
    <row r="8826" s="65" customFormat="1"/>
    <row r="8827" s="65" customFormat="1"/>
    <row r="8828" s="65" customFormat="1"/>
    <row r="8829" s="65" customFormat="1"/>
    <row r="8830" s="65" customFormat="1"/>
    <row r="8831" s="65" customFormat="1"/>
    <row r="8832" s="65" customFormat="1"/>
    <row r="8833" s="65" customFormat="1"/>
    <row r="8834" s="65" customFormat="1"/>
    <row r="8835" s="65" customFormat="1"/>
    <row r="8836" s="65" customFormat="1"/>
    <row r="8837" s="65" customFormat="1"/>
    <row r="8838" s="65" customFormat="1"/>
    <row r="8839" s="65" customFormat="1"/>
    <row r="8840" s="65" customFormat="1"/>
    <row r="8841" s="65" customFormat="1"/>
    <row r="8842" s="65" customFormat="1"/>
    <row r="8843" s="65" customFormat="1"/>
    <row r="8844" s="65" customFormat="1"/>
    <row r="8845" s="65" customFormat="1"/>
    <row r="8846" s="65" customFormat="1"/>
    <row r="8847" s="65" customFormat="1"/>
    <row r="8848" s="65" customFormat="1"/>
    <row r="8849" s="65" customFormat="1"/>
    <row r="8850" s="65" customFormat="1"/>
    <row r="8851" s="65" customFormat="1"/>
    <row r="8852" s="65" customFormat="1"/>
    <row r="8853" s="65" customFormat="1"/>
    <row r="8854" s="65" customFormat="1"/>
    <row r="8855" s="65" customFormat="1"/>
    <row r="8856" s="65" customFormat="1"/>
    <row r="8857" s="65" customFormat="1"/>
    <row r="8858" s="65" customFormat="1"/>
    <row r="8859" s="65" customFormat="1"/>
    <row r="8860" s="65" customFormat="1"/>
    <row r="8861" s="65" customFormat="1"/>
    <row r="8862" s="65" customFormat="1"/>
    <row r="8863" s="65" customFormat="1"/>
    <row r="8864" s="65" customFormat="1"/>
    <row r="8865" s="65" customFormat="1"/>
    <row r="8866" s="65" customFormat="1"/>
    <row r="8867" s="65" customFormat="1"/>
    <row r="8868" s="65" customFormat="1"/>
    <row r="8869" s="65" customFormat="1"/>
    <row r="8870" s="65" customFormat="1"/>
    <row r="8871" s="65" customFormat="1"/>
    <row r="8872" s="65" customFormat="1"/>
    <row r="8873" s="65" customFormat="1"/>
    <row r="8874" s="65" customFormat="1"/>
    <row r="8875" s="65" customFormat="1"/>
    <row r="8876" s="65" customFormat="1"/>
    <row r="8877" s="65" customFormat="1"/>
    <row r="8878" s="65" customFormat="1"/>
    <row r="8879" s="65" customFormat="1"/>
    <row r="8880" s="65" customFormat="1"/>
    <row r="8881" s="65" customFormat="1"/>
    <row r="8882" s="65" customFormat="1"/>
    <row r="8883" s="65" customFormat="1"/>
    <row r="8884" s="65" customFormat="1"/>
    <row r="8885" s="65" customFormat="1"/>
    <row r="8886" s="65" customFormat="1"/>
    <row r="8887" s="65" customFormat="1"/>
    <row r="8888" s="65" customFormat="1"/>
    <row r="8889" s="65" customFormat="1"/>
    <row r="8890" s="65" customFormat="1"/>
    <row r="8891" s="65" customFormat="1"/>
    <row r="8892" s="65" customFormat="1"/>
    <row r="8893" s="65" customFormat="1"/>
    <row r="8894" s="65" customFormat="1"/>
    <row r="8895" s="65" customFormat="1"/>
    <row r="8896" s="65" customFormat="1"/>
    <row r="8897" s="65" customFormat="1"/>
    <row r="8898" s="65" customFormat="1"/>
    <row r="8899" s="65" customFormat="1"/>
    <row r="8900" s="65" customFormat="1"/>
    <row r="8901" s="65" customFormat="1"/>
    <row r="8902" s="65" customFormat="1"/>
    <row r="8903" s="65" customFormat="1"/>
    <row r="8904" s="65" customFormat="1"/>
    <row r="8905" s="65" customFormat="1"/>
    <row r="8906" s="65" customFormat="1"/>
    <row r="8907" s="65" customFormat="1"/>
    <row r="8908" s="65" customFormat="1"/>
    <row r="8909" s="65" customFormat="1"/>
    <row r="8910" s="65" customFormat="1"/>
    <row r="8911" s="65" customFormat="1"/>
    <row r="8912" s="65" customFormat="1"/>
    <row r="8913" s="65" customFormat="1"/>
    <row r="8914" s="65" customFormat="1"/>
    <row r="8915" s="65" customFormat="1"/>
    <row r="8916" s="65" customFormat="1"/>
    <row r="8917" s="65" customFormat="1"/>
    <row r="8918" s="65" customFormat="1"/>
    <row r="8919" s="65" customFormat="1"/>
    <row r="8920" s="65" customFormat="1"/>
    <row r="8921" s="65" customFormat="1"/>
    <row r="8922" s="65" customFormat="1"/>
    <row r="8923" s="65" customFormat="1"/>
    <row r="8924" s="65" customFormat="1"/>
    <row r="8925" s="65" customFormat="1"/>
    <row r="8926" s="65" customFormat="1"/>
    <row r="8927" s="65" customFormat="1"/>
    <row r="8928" s="65" customFormat="1"/>
    <row r="8929" s="65" customFormat="1"/>
    <row r="8930" s="65" customFormat="1"/>
    <row r="8931" s="65" customFormat="1"/>
    <row r="8932" s="65" customFormat="1"/>
    <row r="8933" s="65" customFormat="1"/>
    <row r="8934" s="65" customFormat="1"/>
    <row r="8935" s="65" customFormat="1"/>
    <row r="8936" s="65" customFormat="1"/>
    <row r="8937" s="65" customFormat="1"/>
    <row r="8938" s="65" customFormat="1"/>
    <row r="8939" s="65" customFormat="1"/>
    <row r="8940" s="65" customFormat="1"/>
    <row r="8941" s="65" customFormat="1"/>
    <row r="8942" s="65" customFormat="1"/>
    <row r="8943" s="65" customFormat="1"/>
    <row r="8944" s="65" customFormat="1"/>
    <row r="8945" s="65" customFormat="1"/>
    <row r="8946" s="65" customFormat="1"/>
    <row r="8947" s="65" customFormat="1"/>
    <row r="8948" s="65" customFormat="1"/>
    <row r="8949" s="65" customFormat="1"/>
    <row r="8950" s="65" customFormat="1"/>
    <row r="8951" s="65" customFormat="1"/>
    <row r="8952" s="65" customFormat="1"/>
    <row r="8953" s="65" customFormat="1"/>
    <row r="8954" s="65" customFormat="1"/>
    <row r="8955" s="65" customFormat="1"/>
    <row r="8956" s="65" customFormat="1"/>
    <row r="8957" s="65" customFormat="1"/>
    <row r="8958" s="65" customFormat="1"/>
    <row r="8959" s="65" customFormat="1"/>
    <row r="8960" s="65" customFormat="1"/>
    <row r="8961" s="65" customFormat="1"/>
    <row r="8962" s="65" customFormat="1"/>
    <row r="8963" s="65" customFormat="1"/>
    <row r="8964" s="65" customFormat="1"/>
    <row r="8965" s="65" customFormat="1"/>
    <row r="8966" s="65" customFormat="1"/>
    <row r="8967" s="65" customFormat="1"/>
    <row r="8968" s="65" customFormat="1"/>
    <row r="8969" s="65" customFormat="1"/>
    <row r="8970" s="65" customFormat="1"/>
    <row r="8971" s="65" customFormat="1"/>
    <row r="8972" s="65" customFormat="1"/>
    <row r="8973" s="65" customFormat="1"/>
    <row r="8974" s="65" customFormat="1"/>
    <row r="8975" s="65" customFormat="1"/>
    <row r="8976" s="65" customFormat="1"/>
    <row r="8977" s="65" customFormat="1"/>
    <row r="8978" s="65" customFormat="1"/>
    <row r="8979" s="65" customFormat="1"/>
    <row r="8980" s="65" customFormat="1"/>
    <row r="8981" s="65" customFormat="1"/>
    <row r="8982" s="65" customFormat="1"/>
    <row r="8983" s="65" customFormat="1"/>
    <row r="8984" s="65" customFormat="1"/>
    <row r="8985" s="65" customFormat="1"/>
    <row r="8986" s="65" customFormat="1"/>
    <row r="8987" s="65" customFormat="1"/>
    <row r="8988" s="65" customFormat="1"/>
    <row r="8989" s="65" customFormat="1"/>
    <row r="8990" s="65" customFormat="1"/>
    <row r="8991" s="65" customFormat="1"/>
    <row r="8992" s="65" customFormat="1"/>
    <row r="8993" s="65" customFormat="1"/>
    <row r="8994" s="65" customFormat="1"/>
    <row r="8995" s="65" customFormat="1"/>
    <row r="8996" s="65" customFormat="1"/>
    <row r="8997" s="65" customFormat="1"/>
    <row r="8998" s="65" customFormat="1"/>
    <row r="8999" s="65" customFormat="1"/>
    <row r="9000" s="65" customFormat="1"/>
    <row r="9001" s="65" customFormat="1"/>
    <row r="9002" s="65" customFormat="1"/>
    <row r="9003" s="65" customFormat="1"/>
    <row r="9004" s="65" customFormat="1"/>
    <row r="9005" s="65" customFormat="1"/>
    <row r="9006" s="65" customFormat="1"/>
    <row r="9007" s="65" customFormat="1"/>
    <row r="9008" s="65" customFormat="1"/>
    <row r="9009" s="65" customFormat="1"/>
    <row r="9010" s="65" customFormat="1"/>
    <row r="9011" s="65" customFormat="1"/>
    <row r="9012" s="65" customFormat="1"/>
    <row r="9013" s="65" customFormat="1"/>
    <row r="9014" s="65" customFormat="1"/>
    <row r="9015" s="65" customFormat="1"/>
    <row r="9016" s="65" customFormat="1"/>
    <row r="9017" s="65" customFormat="1"/>
    <row r="9018" s="65" customFormat="1"/>
    <row r="9019" s="65" customFormat="1"/>
    <row r="9020" s="65" customFormat="1"/>
    <row r="9021" s="65" customFormat="1"/>
    <row r="9022" s="65" customFormat="1"/>
    <row r="9023" s="65" customFormat="1"/>
    <row r="9024" s="65" customFormat="1"/>
    <row r="9025" s="65" customFormat="1"/>
    <row r="9026" s="65" customFormat="1"/>
    <row r="9027" s="65" customFormat="1"/>
    <row r="9028" s="65" customFormat="1"/>
    <row r="9029" s="65" customFormat="1"/>
    <row r="9030" s="65" customFormat="1"/>
    <row r="9031" s="65" customFormat="1"/>
    <row r="9032" s="65" customFormat="1"/>
    <row r="9033" s="65" customFormat="1"/>
    <row r="9034" s="65" customFormat="1"/>
    <row r="9035" s="65" customFormat="1"/>
    <row r="9036" s="65" customFormat="1"/>
    <row r="9037" s="65" customFormat="1"/>
    <row r="9038" s="65" customFormat="1"/>
    <row r="9039" s="65" customFormat="1"/>
    <row r="9040" s="65" customFormat="1"/>
    <row r="9041" s="65" customFormat="1"/>
    <row r="9042" s="65" customFormat="1"/>
    <row r="9043" s="65" customFormat="1"/>
    <row r="9044" s="65" customFormat="1"/>
    <row r="9045" s="65" customFormat="1"/>
    <row r="9046" s="65" customFormat="1"/>
    <row r="9047" s="65" customFormat="1"/>
    <row r="9048" s="65" customFormat="1"/>
    <row r="9049" s="65" customFormat="1"/>
    <row r="9050" s="65" customFormat="1"/>
    <row r="9051" s="65" customFormat="1"/>
    <row r="9052" s="65" customFormat="1"/>
    <row r="9053" s="65" customFormat="1"/>
    <row r="9054" s="65" customFormat="1"/>
    <row r="9055" s="65" customFormat="1"/>
    <row r="9056" s="65" customFormat="1"/>
    <row r="9057" s="65" customFormat="1"/>
    <row r="9058" s="65" customFormat="1"/>
    <row r="9059" s="65" customFormat="1"/>
    <row r="9060" s="65" customFormat="1"/>
    <row r="9061" s="65" customFormat="1"/>
    <row r="9062" s="65" customFormat="1"/>
    <row r="9063" s="65" customFormat="1"/>
    <row r="9064" s="65" customFormat="1"/>
    <row r="9065" s="65" customFormat="1"/>
    <row r="9066" s="65" customFormat="1"/>
    <row r="9067" s="65" customFormat="1"/>
    <row r="9068" s="65" customFormat="1"/>
    <row r="9069" s="65" customFormat="1"/>
    <row r="9070" s="65" customFormat="1"/>
    <row r="9071" s="65" customFormat="1"/>
    <row r="9072" s="65" customFormat="1"/>
    <row r="9073" s="65" customFormat="1"/>
    <row r="9074" s="65" customFormat="1"/>
    <row r="9075" s="65" customFormat="1"/>
    <row r="9076" s="65" customFormat="1"/>
    <row r="9077" s="65" customFormat="1"/>
    <row r="9078" s="65" customFormat="1"/>
    <row r="9079" s="65" customFormat="1"/>
    <row r="9080" s="65" customFormat="1"/>
    <row r="9081" s="65" customFormat="1"/>
    <row r="9082" s="65" customFormat="1"/>
    <row r="9083" s="65" customFormat="1"/>
    <row r="9084" s="65" customFormat="1"/>
    <row r="9085" s="65" customFormat="1"/>
    <row r="9086" s="65" customFormat="1"/>
    <row r="9087" s="65" customFormat="1"/>
    <row r="9088" s="65" customFormat="1"/>
    <row r="9089" s="65" customFormat="1"/>
    <row r="9090" s="65" customFormat="1"/>
    <row r="9091" s="65" customFormat="1"/>
    <row r="9092" s="65" customFormat="1"/>
    <row r="9093" s="65" customFormat="1"/>
    <row r="9094" s="65" customFormat="1"/>
    <row r="9095" s="65" customFormat="1"/>
    <row r="9096" s="65" customFormat="1"/>
    <row r="9097" s="65" customFormat="1"/>
    <row r="9098" s="65" customFormat="1"/>
    <row r="9099" s="65" customFormat="1"/>
    <row r="9100" s="65" customFormat="1"/>
    <row r="9101" s="65" customFormat="1"/>
    <row r="9102" s="65" customFormat="1"/>
    <row r="9103" s="65" customFormat="1"/>
    <row r="9104" s="65" customFormat="1"/>
    <row r="9105" s="65" customFormat="1"/>
    <row r="9106" s="65" customFormat="1"/>
    <row r="9107" s="65" customFormat="1"/>
    <row r="9108" s="65" customFormat="1"/>
    <row r="9109" s="65" customFormat="1"/>
    <row r="9110" s="65" customFormat="1"/>
    <row r="9111" s="65" customFormat="1"/>
    <row r="9112" s="65" customFormat="1"/>
    <row r="9113" s="65" customFormat="1"/>
    <row r="9114" s="65" customFormat="1"/>
    <row r="9115" s="65" customFormat="1"/>
    <row r="9116" s="65" customFormat="1"/>
    <row r="9117" s="65" customFormat="1"/>
    <row r="9118" s="65" customFormat="1"/>
    <row r="9119" s="65" customFormat="1"/>
    <row r="9120" s="65" customFormat="1"/>
    <row r="9121" s="65" customFormat="1"/>
    <row r="9122" s="65" customFormat="1"/>
    <row r="9123" s="65" customFormat="1"/>
    <row r="9124" s="65" customFormat="1"/>
    <row r="9125" s="65" customFormat="1"/>
    <row r="9126" s="65" customFormat="1"/>
    <row r="9127" s="65" customFormat="1"/>
    <row r="9128" s="65" customFormat="1"/>
    <row r="9129" s="65" customFormat="1"/>
    <row r="9130" s="65" customFormat="1"/>
    <row r="9131" s="65" customFormat="1"/>
    <row r="9132" s="65" customFormat="1"/>
    <row r="9133" s="65" customFormat="1"/>
    <row r="9134" s="65" customFormat="1"/>
    <row r="9135" s="65" customFormat="1"/>
    <row r="9136" s="65" customFormat="1"/>
    <row r="9137" s="65" customFormat="1"/>
    <row r="9138" s="65" customFormat="1"/>
    <row r="9139" s="65" customFormat="1"/>
    <row r="9140" s="65" customFormat="1"/>
    <row r="9141" s="65" customFormat="1"/>
    <row r="9142" s="65" customFormat="1"/>
    <row r="9143" s="65" customFormat="1"/>
    <row r="9144" s="65" customFormat="1"/>
    <row r="9145" s="65" customFormat="1"/>
    <row r="9146" s="65" customFormat="1"/>
    <row r="9147" s="65" customFormat="1"/>
    <row r="9148" s="65" customFormat="1"/>
    <row r="9149" s="65" customFormat="1"/>
    <row r="9150" s="65" customFormat="1"/>
    <row r="9151" s="65" customFormat="1"/>
    <row r="9152" s="65" customFormat="1"/>
    <row r="9153" s="65" customFormat="1"/>
    <row r="9154" s="65" customFormat="1"/>
    <row r="9155" s="65" customFormat="1"/>
    <row r="9156" s="65" customFormat="1"/>
    <row r="9157" s="65" customFormat="1"/>
    <row r="9158" s="65" customFormat="1"/>
    <row r="9159" s="65" customFormat="1"/>
    <row r="9160" s="65" customFormat="1"/>
    <row r="9161" s="65" customFormat="1"/>
    <row r="9162" s="65" customFormat="1"/>
    <row r="9163" s="65" customFormat="1"/>
    <row r="9164" s="65" customFormat="1"/>
    <row r="9165" s="65" customFormat="1"/>
    <row r="9166" s="65" customFormat="1"/>
    <row r="9167" s="65" customFormat="1"/>
    <row r="9168" s="65" customFormat="1"/>
    <row r="9169" s="65" customFormat="1"/>
    <row r="9170" s="65" customFormat="1"/>
    <row r="9171" s="65" customFormat="1"/>
    <row r="9172" s="65" customFormat="1"/>
    <row r="9173" s="65" customFormat="1"/>
    <row r="9174" s="65" customFormat="1"/>
    <row r="9175" s="65" customFormat="1"/>
    <row r="9176" s="65" customFormat="1"/>
    <row r="9177" s="65" customFormat="1"/>
    <row r="9178" s="65" customFormat="1"/>
    <row r="9179" s="65" customFormat="1"/>
    <row r="9180" s="65" customFormat="1"/>
    <row r="9181" s="65" customFormat="1"/>
    <row r="9182" s="65" customFormat="1"/>
    <row r="9183" s="65" customFormat="1"/>
    <row r="9184" s="65" customFormat="1"/>
    <row r="9185" s="65" customFormat="1"/>
    <row r="9186" s="65" customFormat="1"/>
    <row r="9187" s="65" customFormat="1"/>
    <row r="9188" s="65" customFormat="1"/>
    <row r="9189" s="65" customFormat="1"/>
    <row r="9190" s="65" customFormat="1"/>
    <row r="9191" s="65" customFormat="1"/>
    <row r="9192" s="65" customFormat="1"/>
    <row r="9193" s="65" customFormat="1"/>
    <row r="9194" s="65" customFormat="1"/>
    <row r="9195" s="65" customFormat="1"/>
    <row r="9196" s="65" customFormat="1"/>
    <row r="9197" s="65" customFormat="1"/>
    <row r="9198" s="65" customFormat="1"/>
    <row r="9199" s="65" customFormat="1"/>
    <row r="9200" s="65" customFormat="1"/>
    <row r="9201" s="65" customFormat="1"/>
    <row r="9202" s="65" customFormat="1"/>
    <row r="9203" s="65" customFormat="1"/>
    <row r="9204" s="65" customFormat="1"/>
    <row r="9205" s="65" customFormat="1"/>
    <row r="9206" s="65" customFormat="1"/>
    <row r="9207" s="65" customFormat="1"/>
    <row r="9208" s="65" customFormat="1"/>
    <row r="9209" s="65" customFormat="1"/>
    <row r="9210" s="65" customFormat="1"/>
    <row r="9211" s="65" customFormat="1"/>
    <row r="9212" s="65" customFormat="1"/>
    <row r="9213" s="65" customFormat="1"/>
    <row r="9214" s="65" customFormat="1"/>
    <row r="9215" s="65" customFormat="1"/>
    <row r="9216" s="65" customFormat="1"/>
    <row r="9217" s="65" customFormat="1"/>
    <row r="9218" s="65" customFormat="1"/>
    <row r="9219" s="65" customFormat="1"/>
    <row r="9220" s="65" customFormat="1"/>
    <row r="9221" s="65" customFormat="1"/>
    <row r="9222" s="65" customFormat="1"/>
    <row r="9223" s="65" customFormat="1"/>
    <row r="9224" s="65" customFormat="1"/>
    <row r="9225" s="65" customFormat="1"/>
    <row r="9226" s="65" customFormat="1"/>
    <row r="9227" s="65" customFormat="1"/>
    <row r="9228" s="65" customFormat="1"/>
    <row r="9229" s="65" customFormat="1"/>
    <row r="9230" s="65" customFormat="1"/>
    <row r="9231" s="65" customFormat="1"/>
    <row r="9232" s="65" customFormat="1"/>
    <row r="9233" s="65" customFormat="1"/>
    <row r="9234" s="65" customFormat="1"/>
    <row r="9235" s="65" customFormat="1"/>
    <row r="9236" s="65" customFormat="1"/>
    <row r="9237" s="65" customFormat="1"/>
    <row r="9238" s="65" customFormat="1"/>
    <row r="9239" s="65" customFormat="1"/>
    <row r="9240" s="65" customFormat="1"/>
    <row r="9241" s="65" customFormat="1"/>
    <row r="9242" s="65" customFormat="1"/>
    <row r="9243" s="65" customFormat="1"/>
    <row r="9244" s="65" customFormat="1"/>
    <row r="9245" s="65" customFormat="1"/>
    <row r="9246" s="65" customFormat="1"/>
    <row r="9247" s="65" customFormat="1"/>
    <row r="9248" s="65" customFormat="1"/>
    <row r="9249" s="65" customFormat="1"/>
    <row r="9250" s="65" customFormat="1"/>
    <row r="9251" s="65" customFormat="1"/>
    <row r="9252" s="65" customFormat="1"/>
    <row r="9253" s="65" customFormat="1"/>
    <row r="9254" s="65" customFormat="1"/>
    <row r="9255" s="65" customFormat="1"/>
    <row r="9256" s="65" customFormat="1"/>
    <row r="9257" s="65" customFormat="1"/>
    <row r="9258" s="65" customFormat="1"/>
    <row r="9259" s="65" customFormat="1"/>
    <row r="9260" s="65" customFormat="1"/>
    <row r="9261" s="65" customFormat="1"/>
    <row r="9262" s="65" customFormat="1"/>
    <row r="9263" s="65" customFormat="1"/>
    <row r="9264" s="65" customFormat="1"/>
    <row r="9265" s="65" customFormat="1"/>
    <row r="9266" s="65" customFormat="1"/>
    <row r="9267" s="65" customFormat="1"/>
    <row r="9268" s="65" customFormat="1"/>
    <row r="9269" s="65" customFormat="1"/>
    <row r="9270" s="65" customFormat="1"/>
    <row r="9271" s="65" customFormat="1"/>
    <row r="9272" s="65" customFormat="1"/>
    <row r="9273" s="65" customFormat="1"/>
    <row r="9274" s="65" customFormat="1"/>
    <row r="9275" s="65" customFormat="1"/>
    <row r="9276" s="65" customFormat="1"/>
    <row r="9277" s="65" customFormat="1"/>
    <row r="9278" s="65" customFormat="1"/>
    <row r="9279" s="65" customFormat="1"/>
    <row r="9280" s="65" customFormat="1"/>
    <row r="9281" s="65" customFormat="1"/>
    <row r="9282" s="65" customFormat="1"/>
    <row r="9283" s="65" customFormat="1"/>
    <row r="9284" s="65" customFormat="1"/>
    <row r="9285" s="65" customFormat="1"/>
    <row r="9286" s="65" customFormat="1"/>
    <row r="9287" s="65" customFormat="1"/>
    <row r="9288" s="65" customFormat="1"/>
    <row r="9289" s="65" customFormat="1"/>
    <row r="9290" s="65" customFormat="1"/>
    <row r="9291" s="65" customFormat="1"/>
    <row r="9292" s="65" customFormat="1"/>
    <row r="9293" s="65" customFormat="1"/>
    <row r="9294" s="65" customFormat="1"/>
    <row r="9295" s="65" customFormat="1"/>
    <row r="9296" s="65" customFormat="1"/>
    <row r="9297" s="65" customFormat="1"/>
    <row r="9298" s="65" customFormat="1"/>
    <row r="9299" s="65" customFormat="1"/>
    <row r="9300" s="65" customFormat="1"/>
    <row r="9301" s="65" customFormat="1"/>
    <row r="9302" s="65" customFormat="1"/>
    <row r="9303" s="65" customFormat="1"/>
    <row r="9304" s="65" customFormat="1"/>
    <row r="9305" s="65" customFormat="1"/>
    <row r="9306" s="65" customFormat="1"/>
    <row r="9307" s="65" customFormat="1"/>
    <row r="9308" s="65" customFormat="1"/>
    <row r="9309" s="65" customFormat="1"/>
    <row r="9310" s="65" customFormat="1"/>
    <row r="9311" s="65" customFormat="1"/>
    <row r="9312" s="65" customFormat="1"/>
    <row r="9313" s="65" customFormat="1"/>
    <row r="9314" s="65" customFormat="1"/>
    <row r="9315" s="65" customFormat="1"/>
    <row r="9316" s="65" customFormat="1"/>
    <row r="9317" s="65" customFormat="1"/>
    <row r="9318" s="65" customFormat="1"/>
    <row r="9319" s="65" customFormat="1"/>
    <row r="9320" s="65" customFormat="1"/>
    <row r="9321" s="65" customFormat="1"/>
    <row r="9322" s="65" customFormat="1"/>
    <row r="9323" s="65" customFormat="1"/>
    <row r="9324" s="65" customFormat="1"/>
    <row r="9325" s="65" customFormat="1"/>
    <row r="9326" s="65" customFormat="1"/>
    <row r="9327" s="65" customFormat="1"/>
    <row r="9328" s="65" customFormat="1"/>
    <row r="9329" s="65" customFormat="1"/>
    <row r="9330" s="65" customFormat="1"/>
    <row r="9331" s="65" customFormat="1"/>
    <row r="9332" s="65" customFormat="1"/>
    <row r="9333" s="65" customFormat="1"/>
    <row r="9334" s="65" customFormat="1"/>
    <row r="9335" s="65" customFormat="1"/>
    <row r="9336" s="65" customFormat="1"/>
    <row r="9337" s="65" customFormat="1"/>
    <row r="9338" s="65" customFormat="1"/>
    <row r="9339" s="65" customFormat="1"/>
    <row r="9340" s="65" customFormat="1"/>
    <row r="9341" s="65" customFormat="1"/>
    <row r="9342" s="65" customFormat="1"/>
    <row r="9343" s="65" customFormat="1"/>
    <row r="9344" s="65" customFormat="1"/>
    <row r="9345" s="65" customFormat="1"/>
    <row r="9346" s="65" customFormat="1"/>
    <row r="9347" s="65" customFormat="1"/>
    <row r="9348" s="65" customFormat="1"/>
    <row r="9349" s="65" customFormat="1"/>
    <row r="9350" s="65" customFormat="1"/>
    <row r="9351" s="65" customFormat="1"/>
    <row r="9352" s="65" customFormat="1"/>
    <row r="9353" s="65" customFormat="1"/>
    <row r="9354" s="65" customFormat="1"/>
    <row r="9355" s="65" customFormat="1"/>
    <row r="9356" s="65" customFormat="1"/>
    <row r="9357" s="65" customFormat="1"/>
    <row r="9358" s="65" customFormat="1"/>
    <row r="9359" s="65" customFormat="1"/>
    <row r="9360" s="65" customFormat="1"/>
    <row r="9361" s="65" customFormat="1"/>
    <row r="9362" s="65" customFormat="1"/>
    <row r="9363" s="65" customFormat="1"/>
    <row r="9364" s="65" customFormat="1"/>
    <row r="9365" s="65" customFormat="1"/>
    <row r="9366" s="65" customFormat="1"/>
    <row r="9367" s="65" customFormat="1"/>
    <row r="9368" s="65" customFormat="1"/>
    <row r="9369" s="65" customFormat="1"/>
    <row r="9370" s="65" customFormat="1"/>
    <row r="9371" s="65" customFormat="1"/>
    <row r="9372" s="65" customFormat="1"/>
    <row r="9373" s="65" customFormat="1"/>
    <row r="9374" s="65" customFormat="1"/>
    <row r="9375" s="65" customFormat="1"/>
    <row r="9376" s="65" customFormat="1"/>
    <row r="9377" s="65" customFormat="1"/>
    <row r="9378" s="65" customFormat="1"/>
    <row r="9379" s="65" customFormat="1"/>
    <row r="9380" s="65" customFormat="1"/>
    <row r="9381" s="65" customFormat="1"/>
    <row r="9382" s="65" customFormat="1"/>
    <row r="9383" s="65" customFormat="1"/>
    <row r="9384" s="65" customFormat="1"/>
    <row r="9385" s="65" customFormat="1"/>
    <row r="9386" s="65" customFormat="1"/>
    <row r="9387" s="65" customFormat="1"/>
    <row r="9388" s="65" customFormat="1"/>
    <row r="9389" s="65" customFormat="1"/>
    <row r="9390" s="65" customFormat="1"/>
    <row r="9391" s="65" customFormat="1"/>
    <row r="9392" s="65" customFormat="1"/>
    <row r="9393" s="65" customFormat="1"/>
    <row r="9394" s="65" customFormat="1"/>
    <row r="9395" s="65" customFormat="1"/>
    <row r="9396" s="65" customFormat="1"/>
    <row r="9397" s="65" customFormat="1"/>
    <row r="9398" s="65" customFormat="1"/>
    <row r="9399" s="65" customFormat="1"/>
    <row r="9400" s="65" customFormat="1"/>
    <row r="9401" s="65" customFormat="1"/>
    <row r="9402" s="65" customFormat="1"/>
    <row r="9403" s="65" customFormat="1"/>
    <row r="9404" s="65" customFormat="1"/>
    <row r="9405" s="65" customFormat="1"/>
    <row r="9406" s="65" customFormat="1"/>
    <row r="9407" s="65" customFormat="1"/>
    <row r="9408" s="65" customFormat="1"/>
    <row r="9409" s="65" customFormat="1"/>
    <row r="9410" s="65" customFormat="1"/>
    <row r="9411" s="65" customFormat="1"/>
    <row r="9412" s="65" customFormat="1"/>
    <row r="9413" s="65" customFormat="1"/>
    <row r="9414" s="65" customFormat="1"/>
    <row r="9415" s="65" customFormat="1"/>
    <row r="9416" s="65" customFormat="1"/>
    <row r="9417" s="65" customFormat="1"/>
    <row r="9418" s="65" customFormat="1"/>
    <row r="9419" s="65" customFormat="1"/>
    <row r="9420" s="65" customFormat="1"/>
    <row r="9421" s="65" customFormat="1"/>
    <row r="9422" s="65" customFormat="1"/>
    <row r="9423" s="65" customFormat="1"/>
    <row r="9424" s="65" customFormat="1"/>
    <row r="9425" s="65" customFormat="1"/>
    <row r="9426" s="65" customFormat="1"/>
    <row r="9427" s="65" customFormat="1"/>
    <row r="9428" s="65" customFormat="1"/>
    <row r="9429" s="65" customFormat="1"/>
    <row r="9430" s="65" customFormat="1"/>
    <row r="9431" s="65" customFormat="1"/>
    <row r="9432" s="65" customFormat="1"/>
    <row r="9433" s="65" customFormat="1"/>
    <row r="9434" s="65" customFormat="1"/>
    <row r="9435" s="65" customFormat="1"/>
    <row r="9436" s="65" customFormat="1"/>
    <row r="9437" s="65" customFormat="1"/>
    <row r="9438" s="65" customFormat="1"/>
    <row r="9439" s="65" customFormat="1"/>
    <row r="9440" s="65" customFormat="1"/>
    <row r="9441" s="65" customFormat="1"/>
    <row r="9442" s="65" customFormat="1"/>
    <row r="9443" s="65" customFormat="1"/>
    <row r="9444" s="65" customFormat="1"/>
    <row r="9445" s="65" customFormat="1"/>
    <row r="9446" s="65" customFormat="1"/>
    <row r="9447" s="65" customFormat="1"/>
    <row r="9448" s="65" customFormat="1"/>
    <row r="9449" s="65" customFormat="1"/>
    <row r="9450" s="65" customFormat="1"/>
    <row r="9451" s="65" customFormat="1"/>
    <row r="9452" s="65" customFormat="1"/>
    <row r="9453" s="65" customFormat="1"/>
    <row r="9454" s="65" customFormat="1"/>
    <row r="9455" s="65" customFormat="1"/>
    <row r="9456" s="65" customFormat="1"/>
    <row r="9457" s="65" customFormat="1"/>
    <row r="9458" s="65" customFormat="1"/>
    <row r="9459" s="65" customFormat="1"/>
    <row r="9460" s="65" customFormat="1"/>
    <row r="9461" s="65" customFormat="1"/>
    <row r="9462" s="65" customFormat="1"/>
    <row r="9463" s="65" customFormat="1"/>
    <row r="9464" s="65" customFormat="1"/>
    <row r="9465" s="65" customFormat="1"/>
    <row r="9466" s="65" customFormat="1"/>
    <row r="9467" s="65" customFormat="1"/>
    <row r="9468" s="65" customFormat="1"/>
    <row r="9469" s="65" customFormat="1"/>
    <row r="9470" s="65" customFormat="1"/>
    <row r="9471" s="65" customFormat="1"/>
    <row r="9472" s="65" customFormat="1"/>
    <row r="9473" s="65" customFormat="1"/>
    <row r="9474" s="65" customFormat="1"/>
    <row r="9475" s="65" customFormat="1"/>
    <row r="9476" s="65" customFormat="1"/>
    <row r="9477" s="65" customFormat="1"/>
    <row r="9478" s="65" customFormat="1"/>
    <row r="9479" s="65" customFormat="1"/>
    <row r="9480" s="65" customFormat="1"/>
    <row r="9481" s="65" customFormat="1"/>
    <row r="9482" s="65" customFormat="1"/>
    <row r="9483" s="65" customFormat="1"/>
    <row r="9484" s="65" customFormat="1"/>
    <row r="9485" s="65" customFormat="1"/>
    <row r="9486" s="65" customFormat="1"/>
    <row r="9487" s="65" customFormat="1"/>
    <row r="9488" s="65" customFormat="1"/>
    <row r="9489" s="65" customFormat="1"/>
    <row r="9490" s="65" customFormat="1"/>
    <row r="9491" s="65" customFormat="1"/>
    <row r="9492" s="65" customFormat="1"/>
    <row r="9493" s="65" customFormat="1"/>
    <row r="9494" s="65" customFormat="1"/>
    <row r="9495" s="65" customFormat="1"/>
    <row r="9496" s="65" customFormat="1"/>
    <row r="9497" s="65" customFormat="1"/>
    <row r="9498" s="65" customFormat="1"/>
    <row r="9499" s="65" customFormat="1"/>
    <row r="9500" s="65" customFormat="1"/>
    <row r="9501" s="65" customFormat="1"/>
    <row r="9502" s="65" customFormat="1"/>
    <row r="9503" s="65" customFormat="1"/>
    <row r="9504" s="65" customFormat="1"/>
    <row r="9505" s="65" customFormat="1"/>
    <row r="9506" s="65" customFormat="1"/>
    <row r="9507" s="65" customFormat="1"/>
    <row r="9508" s="65" customFormat="1"/>
    <row r="9509" s="65" customFormat="1"/>
    <row r="9510" s="65" customFormat="1"/>
    <row r="9511" s="65" customFormat="1"/>
    <row r="9512" s="65" customFormat="1"/>
    <row r="9513" s="65" customFormat="1"/>
    <row r="9514" s="65" customFormat="1"/>
    <row r="9515" s="65" customFormat="1"/>
    <row r="9516" s="65" customFormat="1"/>
    <row r="9517" s="65" customFormat="1"/>
    <row r="9518" s="65" customFormat="1"/>
    <row r="9519" s="65" customFormat="1"/>
    <row r="9520" s="65" customFormat="1"/>
    <row r="9521" s="65" customFormat="1"/>
    <row r="9522" s="65" customFormat="1"/>
    <row r="9523" s="65" customFormat="1"/>
    <row r="9524" s="65" customFormat="1"/>
    <row r="9525" s="65" customFormat="1"/>
    <row r="9526" s="65" customFormat="1"/>
    <row r="9527" s="65" customFormat="1"/>
    <row r="9528" s="65" customFormat="1"/>
    <row r="9529" s="65" customFormat="1"/>
    <row r="9530" s="65" customFormat="1"/>
    <row r="9531" s="65" customFormat="1"/>
    <row r="9532" s="65" customFormat="1"/>
    <row r="9533" s="65" customFormat="1"/>
    <row r="9534" s="65" customFormat="1"/>
    <row r="9535" s="65" customFormat="1"/>
    <row r="9536" s="65" customFormat="1"/>
    <row r="9537" s="65" customFormat="1"/>
    <row r="9538" s="65" customFormat="1"/>
    <row r="9539" s="65" customFormat="1"/>
    <row r="9540" s="65" customFormat="1"/>
    <row r="9541" s="65" customFormat="1"/>
    <row r="9542" s="65" customFormat="1"/>
    <row r="9543" s="65" customFormat="1"/>
    <row r="9544" s="65" customFormat="1"/>
    <row r="9545" s="65" customFormat="1"/>
    <row r="9546" s="65" customFormat="1"/>
    <row r="9547" s="65" customFormat="1"/>
    <row r="9548" s="65" customFormat="1"/>
    <row r="9549" s="65" customFormat="1"/>
    <row r="9550" s="65" customFormat="1"/>
    <row r="9551" s="65" customFormat="1"/>
    <row r="9552" s="65" customFormat="1"/>
    <row r="9553" s="65" customFormat="1"/>
    <row r="9554" s="65" customFormat="1"/>
    <row r="9555" s="65" customFormat="1"/>
    <row r="9556" s="65" customFormat="1"/>
    <row r="9557" s="65" customFormat="1"/>
    <row r="9558" s="65" customFormat="1"/>
    <row r="9559" s="65" customFormat="1"/>
    <row r="9560" s="65" customFormat="1"/>
    <row r="9561" s="65" customFormat="1"/>
    <row r="9562" s="65" customFormat="1"/>
    <row r="9563" s="65" customFormat="1"/>
    <row r="9564" s="65" customFormat="1"/>
    <row r="9565" s="65" customFormat="1"/>
    <row r="9566" s="65" customFormat="1"/>
    <row r="9567" s="65" customFormat="1"/>
    <row r="9568" s="65" customFormat="1"/>
    <row r="9569" s="65" customFormat="1"/>
    <row r="9570" s="65" customFormat="1"/>
    <row r="9571" s="65" customFormat="1"/>
    <row r="9572" s="65" customFormat="1"/>
    <row r="9573" s="65" customFormat="1"/>
    <row r="9574" s="65" customFormat="1"/>
    <row r="9575" s="65" customFormat="1"/>
    <row r="9576" s="65" customFormat="1"/>
    <row r="9577" s="65" customFormat="1"/>
    <row r="9578" s="65" customFormat="1"/>
    <row r="9579" s="65" customFormat="1"/>
    <row r="9580" s="65" customFormat="1"/>
    <row r="9581" s="65" customFormat="1"/>
    <row r="9582" s="65" customFormat="1"/>
    <row r="9583" s="65" customFormat="1"/>
    <row r="9584" s="65" customFormat="1"/>
    <row r="9585" s="65" customFormat="1"/>
    <row r="9586" s="65" customFormat="1"/>
    <row r="9587" s="65" customFormat="1"/>
    <row r="9588" s="65" customFormat="1"/>
    <row r="9589" s="65" customFormat="1"/>
    <row r="9590" s="65" customFormat="1"/>
    <row r="9591" s="65" customFormat="1"/>
    <row r="9592" s="65" customFormat="1"/>
    <row r="9593" s="65" customFormat="1"/>
    <row r="9594" s="65" customFormat="1"/>
    <row r="9595" s="65" customFormat="1"/>
    <row r="9596" s="65" customFormat="1"/>
    <row r="9597" s="65" customFormat="1"/>
    <row r="9598" s="65" customFormat="1"/>
    <row r="9599" s="65" customFormat="1"/>
    <row r="9600" s="65" customFormat="1"/>
    <row r="9601" s="65" customFormat="1"/>
    <row r="9602" s="65" customFormat="1"/>
    <row r="9603" s="65" customFormat="1"/>
    <row r="9604" s="65" customFormat="1"/>
    <row r="9605" s="65" customFormat="1"/>
    <row r="9606" s="65" customFormat="1"/>
    <row r="9607" s="65" customFormat="1"/>
    <row r="9608" s="65" customFormat="1"/>
    <row r="9609" s="65" customFormat="1"/>
    <row r="9610" s="65" customFormat="1"/>
    <row r="9611" s="65" customFormat="1"/>
    <row r="9612" s="65" customFormat="1"/>
    <row r="9613" s="65" customFormat="1"/>
    <row r="9614" s="65" customFormat="1"/>
    <row r="9615" s="65" customFormat="1"/>
    <row r="9616" s="65" customFormat="1"/>
    <row r="9617" s="65" customFormat="1"/>
    <row r="9618" s="65" customFormat="1"/>
    <row r="9619" s="65" customFormat="1"/>
    <row r="9620" s="65" customFormat="1"/>
    <row r="9621" s="65" customFormat="1"/>
    <row r="9622" s="65" customFormat="1"/>
    <row r="9623" s="65" customFormat="1"/>
    <row r="9624" s="65" customFormat="1"/>
    <row r="9625" s="65" customFormat="1"/>
    <row r="9626" s="65" customFormat="1"/>
    <row r="9627" s="65" customFormat="1"/>
    <row r="9628" s="65" customFormat="1"/>
    <row r="9629" s="65" customFormat="1"/>
    <row r="9630" s="65" customFormat="1"/>
    <row r="9631" s="65" customFormat="1"/>
    <row r="9632" s="65" customFormat="1"/>
    <row r="9633" s="65" customFormat="1"/>
    <row r="9634" s="65" customFormat="1"/>
    <row r="9635" s="65" customFormat="1"/>
    <row r="9636" s="65" customFormat="1"/>
    <row r="9637" s="65" customFormat="1"/>
    <row r="9638" s="65" customFormat="1"/>
    <row r="9639" s="65" customFormat="1"/>
    <row r="9640" s="65" customFormat="1"/>
    <row r="9641" s="65" customFormat="1"/>
    <row r="9642" s="65" customFormat="1"/>
    <row r="9643" s="65" customFormat="1"/>
    <row r="9644" s="65" customFormat="1"/>
    <row r="9645" s="65" customFormat="1"/>
    <row r="9646" s="65" customFormat="1"/>
    <row r="9647" s="65" customFormat="1"/>
    <row r="9648" s="65" customFormat="1"/>
    <row r="9649" s="65" customFormat="1"/>
    <row r="9650" s="65" customFormat="1"/>
    <row r="9651" s="65" customFormat="1"/>
    <row r="9652" s="65" customFormat="1"/>
    <row r="9653" s="65" customFormat="1"/>
    <row r="9654" s="65" customFormat="1"/>
    <row r="9655" s="65" customFormat="1"/>
    <row r="9656" s="65" customFormat="1"/>
    <row r="9657" s="65" customFormat="1"/>
    <row r="9658" s="65" customFormat="1"/>
    <row r="9659" s="65" customFormat="1"/>
    <row r="9660" s="65" customFormat="1"/>
    <row r="9661" s="65" customFormat="1"/>
    <row r="9662" s="65" customFormat="1"/>
    <row r="9663" s="65" customFormat="1"/>
    <row r="9664" s="65" customFormat="1"/>
    <row r="9665" s="65" customFormat="1"/>
    <row r="9666" s="65" customFormat="1"/>
    <row r="9667" s="65" customFormat="1"/>
    <row r="9668" s="65" customFormat="1"/>
    <row r="9669" s="65" customFormat="1"/>
    <row r="9670" s="65" customFormat="1"/>
    <row r="9671" s="65" customFormat="1"/>
    <row r="9672" s="65" customFormat="1"/>
    <row r="9673" s="65" customFormat="1"/>
    <row r="9674" s="65" customFormat="1"/>
    <row r="9675" s="65" customFormat="1"/>
    <row r="9676" s="65" customFormat="1"/>
    <row r="9677" s="65" customFormat="1"/>
    <row r="9678" s="65" customFormat="1"/>
    <row r="9679" s="65" customFormat="1"/>
    <row r="9680" s="65" customFormat="1"/>
    <row r="9681" s="65" customFormat="1"/>
    <row r="9682" s="65" customFormat="1"/>
    <row r="9683" s="65" customFormat="1"/>
    <row r="9684" s="65" customFormat="1"/>
    <row r="9685" s="65" customFormat="1"/>
    <row r="9686" s="65" customFormat="1"/>
    <row r="9687" s="65" customFormat="1"/>
    <row r="9688" s="65" customFormat="1"/>
    <row r="9689" s="65" customFormat="1"/>
    <row r="9690" s="65" customFormat="1"/>
    <row r="9691" s="65" customFormat="1"/>
    <row r="9692" s="65" customFormat="1"/>
    <row r="9693" s="65" customFormat="1"/>
    <row r="9694" s="65" customFormat="1"/>
    <row r="9695" s="65" customFormat="1"/>
    <row r="9696" s="65" customFormat="1"/>
    <row r="9697" s="65" customFormat="1"/>
    <row r="9698" s="65" customFormat="1"/>
    <row r="9699" s="65" customFormat="1"/>
    <row r="9700" s="65" customFormat="1"/>
    <row r="9701" s="65" customFormat="1"/>
    <row r="9702" s="65" customFormat="1"/>
    <row r="9703" s="65" customFormat="1"/>
    <row r="9704" s="65" customFormat="1"/>
    <row r="9705" s="65" customFormat="1"/>
    <row r="9706" s="65" customFormat="1"/>
    <row r="9707" s="65" customFormat="1"/>
    <row r="9708" s="65" customFormat="1"/>
    <row r="9709" s="65" customFormat="1"/>
    <row r="9710" s="65" customFormat="1"/>
    <row r="9711" s="65" customFormat="1"/>
    <row r="9712" s="65" customFormat="1"/>
    <row r="9713" s="65" customFormat="1"/>
    <row r="9714" s="65" customFormat="1"/>
    <row r="9715" s="65" customFormat="1"/>
    <row r="9716" s="65" customFormat="1"/>
    <row r="9717" s="65" customFormat="1"/>
    <row r="9718" s="65" customFormat="1"/>
    <row r="9719" s="65" customFormat="1"/>
    <row r="9720" s="65" customFormat="1"/>
    <row r="9721" s="65" customFormat="1"/>
    <row r="9722" s="65" customFormat="1"/>
    <row r="9723" s="65" customFormat="1"/>
    <row r="9724" s="65" customFormat="1"/>
    <row r="9725" s="65" customFormat="1"/>
    <row r="9726" s="65" customFormat="1"/>
    <row r="9727" s="65" customFormat="1"/>
    <row r="9728" s="65" customFormat="1"/>
    <row r="9729" s="65" customFormat="1"/>
    <row r="9730" s="65" customFormat="1"/>
    <row r="9731" s="65" customFormat="1"/>
    <row r="9732" s="65" customFormat="1"/>
    <row r="9733" s="65" customFormat="1"/>
    <row r="9734" s="65" customFormat="1"/>
    <row r="9735" s="65" customFormat="1"/>
    <row r="9736" s="65" customFormat="1"/>
    <row r="9737" s="65" customFormat="1"/>
    <row r="9738" s="65" customFormat="1"/>
    <row r="9739" s="65" customFormat="1"/>
    <row r="9740" s="65" customFormat="1"/>
    <row r="9741" s="65" customFormat="1"/>
    <row r="9742" s="65" customFormat="1"/>
    <row r="9743" s="65" customFormat="1"/>
    <row r="9744" s="65" customFormat="1"/>
    <row r="9745" s="65" customFormat="1"/>
    <row r="9746" s="65" customFormat="1"/>
    <row r="9747" s="65" customFormat="1"/>
    <row r="9748" s="65" customFormat="1"/>
    <row r="9749" s="65" customFormat="1"/>
    <row r="9750" s="65" customFormat="1"/>
    <row r="9751" s="65" customFormat="1"/>
    <row r="9752" s="65" customFormat="1"/>
    <row r="9753" s="65" customFormat="1"/>
    <row r="9754" s="65" customFormat="1"/>
    <row r="9755" s="65" customFormat="1"/>
    <row r="9756" s="65" customFormat="1"/>
    <row r="9757" s="65" customFormat="1"/>
    <row r="9758" s="65" customFormat="1"/>
    <row r="9759" s="65" customFormat="1"/>
    <row r="9760" s="65" customFormat="1"/>
    <row r="9761" s="65" customFormat="1"/>
    <row r="9762" s="65" customFormat="1"/>
    <row r="9763" s="65" customFormat="1"/>
    <row r="9764" s="65" customFormat="1"/>
    <row r="9765" s="65" customFormat="1"/>
    <row r="9766" s="65" customFormat="1"/>
    <row r="9767" s="65" customFormat="1"/>
    <row r="9768" s="65" customFormat="1"/>
    <row r="9769" s="65" customFormat="1"/>
    <row r="9770" s="65" customFormat="1"/>
    <row r="9771" s="65" customFormat="1"/>
    <row r="9772" s="65" customFormat="1"/>
    <row r="9773" s="65" customFormat="1"/>
    <row r="9774" s="65" customFormat="1"/>
    <row r="9775" s="65" customFormat="1"/>
    <row r="9776" s="65" customFormat="1"/>
    <row r="9777" s="65" customFormat="1"/>
    <row r="9778" s="65" customFormat="1"/>
    <row r="9779" s="65" customFormat="1"/>
    <row r="9780" s="65" customFormat="1"/>
    <row r="9781" s="65" customFormat="1"/>
    <row r="9782" s="65" customFormat="1"/>
    <row r="9783" s="65" customFormat="1"/>
    <row r="9784" s="65" customFormat="1"/>
    <row r="9785" s="65" customFormat="1"/>
    <row r="9786" s="65" customFormat="1"/>
    <row r="9787" s="65" customFormat="1"/>
    <row r="9788" s="65" customFormat="1"/>
    <row r="9789" s="65" customFormat="1"/>
    <row r="9790" s="65" customFormat="1"/>
    <row r="9791" s="65" customFormat="1"/>
    <row r="9792" s="65" customFormat="1"/>
    <row r="9793" s="65" customFormat="1"/>
    <row r="9794" s="65" customFormat="1"/>
    <row r="9795" s="65" customFormat="1"/>
    <row r="9796" s="65" customFormat="1"/>
    <row r="9797" s="65" customFormat="1"/>
    <row r="9798" s="65" customFormat="1"/>
    <row r="9799" s="65" customFormat="1"/>
    <row r="9800" s="65" customFormat="1"/>
    <row r="9801" s="65" customFormat="1"/>
    <row r="9802" s="65" customFormat="1"/>
    <row r="9803" s="65" customFormat="1"/>
    <row r="9804" s="65" customFormat="1"/>
    <row r="9805" s="65" customFormat="1"/>
    <row r="9806" s="65" customFormat="1"/>
    <row r="9807" s="65" customFormat="1"/>
    <row r="9808" s="65" customFormat="1"/>
    <row r="9809" s="65" customFormat="1"/>
    <row r="9810" s="65" customFormat="1"/>
    <row r="9811" s="65" customFormat="1"/>
    <row r="9812" s="65" customFormat="1"/>
    <row r="9813" s="65" customFormat="1"/>
    <row r="9814" s="65" customFormat="1"/>
    <row r="9815" s="65" customFormat="1"/>
    <row r="9816" s="65" customFormat="1"/>
    <row r="9817" s="65" customFormat="1"/>
    <row r="9818" s="65" customFormat="1"/>
    <row r="9819" s="65" customFormat="1"/>
    <row r="9820" s="65" customFormat="1"/>
    <row r="9821" s="65" customFormat="1"/>
    <row r="9822" s="65" customFormat="1"/>
    <row r="9823" s="65" customFormat="1"/>
    <row r="9824" s="65" customFormat="1"/>
    <row r="9825" s="65" customFormat="1"/>
    <row r="9826" s="65" customFormat="1"/>
    <row r="9827" s="65" customFormat="1"/>
    <row r="9828" s="65" customFormat="1"/>
    <row r="9829" s="65" customFormat="1"/>
    <row r="9830" s="65" customFormat="1"/>
    <row r="9831" s="65" customFormat="1"/>
    <row r="9832" s="65" customFormat="1"/>
    <row r="9833" s="65" customFormat="1"/>
    <row r="9834" s="65" customFormat="1"/>
    <row r="9835" s="65" customFormat="1"/>
    <row r="9836" s="65" customFormat="1"/>
    <row r="9837" s="65" customFormat="1"/>
    <row r="9838" s="65" customFormat="1"/>
    <row r="9839" s="65" customFormat="1"/>
    <row r="9840" s="65" customFormat="1"/>
    <row r="9841" s="65" customFormat="1"/>
    <row r="9842" s="65" customFormat="1"/>
    <row r="9843" s="65" customFormat="1"/>
    <row r="9844" s="65" customFormat="1"/>
    <row r="9845" s="65" customFormat="1"/>
    <row r="9846" s="65" customFormat="1"/>
    <row r="9847" s="65" customFormat="1"/>
    <row r="9848" s="65" customFormat="1"/>
    <row r="9849" s="65" customFormat="1"/>
    <row r="9850" s="65" customFormat="1"/>
    <row r="9851" s="65" customFormat="1"/>
    <row r="9852" s="65" customFormat="1"/>
    <row r="9853" s="65" customFormat="1"/>
    <row r="9854" s="65" customFormat="1"/>
    <row r="9855" s="65" customFormat="1"/>
    <row r="9856" s="65" customFormat="1"/>
    <row r="9857" s="65" customFormat="1"/>
    <row r="9858" s="65" customFormat="1"/>
    <row r="9859" s="65" customFormat="1"/>
    <row r="9860" s="65" customFormat="1"/>
    <row r="9861" s="65" customFormat="1"/>
    <row r="9862" s="65" customFormat="1"/>
    <row r="9863" s="65" customFormat="1"/>
    <row r="9864" s="65" customFormat="1"/>
    <row r="9865" s="65" customFormat="1"/>
    <row r="9866" s="65" customFormat="1"/>
    <row r="9867" s="65" customFormat="1"/>
    <row r="9868" s="65" customFormat="1"/>
    <row r="9869" s="65" customFormat="1"/>
    <row r="9870" s="65" customFormat="1"/>
    <row r="9871" s="65" customFormat="1"/>
    <row r="9872" s="65" customFormat="1"/>
    <row r="9873" s="65" customFormat="1"/>
    <row r="9874" s="65" customFormat="1"/>
    <row r="9875" s="65" customFormat="1"/>
    <row r="9876" s="65" customFormat="1"/>
    <row r="9877" s="65" customFormat="1"/>
    <row r="9878" s="65" customFormat="1"/>
    <row r="9879" s="65" customFormat="1"/>
    <row r="9880" s="65" customFormat="1"/>
    <row r="9881" s="65" customFormat="1"/>
    <row r="9882" s="65" customFormat="1"/>
    <row r="9883" s="65" customFormat="1"/>
    <row r="9884" s="65" customFormat="1"/>
    <row r="9885" s="65" customFormat="1"/>
    <row r="9886" s="65" customFormat="1"/>
    <row r="9887" s="65" customFormat="1"/>
    <row r="9888" s="65" customFormat="1"/>
    <row r="9889" s="65" customFormat="1"/>
    <row r="9890" s="65" customFormat="1"/>
    <row r="9891" s="65" customFormat="1"/>
    <row r="9892" s="65" customFormat="1"/>
    <row r="9893" s="65" customFormat="1"/>
    <row r="9894" s="65" customFormat="1"/>
    <row r="9895" s="65" customFormat="1"/>
    <row r="9896" s="65" customFormat="1"/>
    <row r="9897" s="65" customFormat="1"/>
    <row r="9898" s="65" customFormat="1"/>
    <row r="9899" s="65" customFormat="1"/>
    <row r="9900" s="65" customFormat="1"/>
    <row r="9901" s="65" customFormat="1"/>
    <row r="9902" s="65" customFormat="1"/>
    <row r="9903" s="65" customFormat="1"/>
    <row r="9904" s="65" customFormat="1"/>
    <row r="9905" s="65" customFormat="1"/>
    <row r="9906" s="65" customFormat="1"/>
    <row r="9907" s="65" customFormat="1"/>
    <row r="9908" s="65" customFormat="1"/>
    <row r="9909" s="65" customFormat="1"/>
    <row r="9910" s="65" customFormat="1"/>
    <row r="9911" s="65" customFormat="1"/>
    <row r="9912" s="65" customFormat="1"/>
    <row r="9913" s="65" customFormat="1"/>
    <row r="9914" s="65" customFormat="1"/>
    <row r="9915" s="65" customFormat="1"/>
    <row r="9916" s="65" customFormat="1"/>
    <row r="9917" s="65" customFormat="1"/>
    <row r="9918" s="65" customFormat="1"/>
    <row r="9919" s="65" customFormat="1"/>
    <row r="9920" s="65" customFormat="1"/>
    <row r="9921" s="65" customFormat="1"/>
    <row r="9922" s="65" customFormat="1"/>
    <row r="9923" s="65" customFormat="1"/>
    <row r="9924" s="65" customFormat="1"/>
    <row r="9925" s="65" customFormat="1"/>
    <row r="9926" s="65" customFormat="1"/>
    <row r="9927" s="65" customFormat="1"/>
    <row r="9928" s="65" customFormat="1"/>
    <row r="9929" s="65" customFormat="1"/>
    <row r="9930" s="65" customFormat="1"/>
    <row r="9931" s="65" customFormat="1"/>
    <row r="9932" s="65" customFormat="1"/>
    <row r="9933" s="65" customFormat="1"/>
    <row r="9934" s="65" customFormat="1"/>
    <row r="9935" s="65" customFormat="1"/>
    <row r="9936" s="65" customFormat="1"/>
    <row r="9937" s="65" customFormat="1"/>
    <row r="9938" s="65" customFormat="1"/>
    <row r="9939" s="65" customFormat="1"/>
    <row r="9940" s="65" customFormat="1"/>
    <row r="9941" s="65" customFormat="1"/>
    <row r="9942" s="65" customFormat="1"/>
    <row r="9943" s="65" customFormat="1"/>
    <row r="9944" s="65" customFormat="1"/>
    <row r="9945" s="65" customFormat="1"/>
    <row r="9946" s="65" customFormat="1"/>
    <row r="9947" s="65" customFormat="1"/>
    <row r="9948" s="65" customFormat="1"/>
    <row r="9949" s="65" customFormat="1"/>
    <row r="9950" s="65" customFormat="1"/>
    <row r="9951" s="65" customFormat="1"/>
    <row r="9952" s="65" customFormat="1"/>
    <row r="9953" s="65" customFormat="1"/>
    <row r="9954" s="65" customFormat="1"/>
    <row r="9955" s="65" customFormat="1"/>
    <row r="9956" s="65" customFormat="1"/>
    <row r="9957" s="65" customFormat="1"/>
    <row r="9958" s="65" customFormat="1"/>
    <row r="9959" s="65" customFormat="1"/>
    <row r="9960" s="65" customFormat="1"/>
    <row r="9961" s="65" customFormat="1"/>
    <row r="9962" s="65" customFormat="1"/>
    <row r="9963" s="65" customFormat="1"/>
    <row r="9964" s="65" customFormat="1"/>
    <row r="9965" s="65" customFormat="1"/>
    <row r="9966" s="65" customFormat="1"/>
    <row r="9967" s="65" customFormat="1"/>
    <row r="9968" s="65" customFormat="1"/>
    <row r="9969" s="65" customFormat="1"/>
    <row r="9970" s="65" customFormat="1"/>
    <row r="9971" s="65" customFormat="1"/>
    <row r="9972" s="65" customFormat="1"/>
    <row r="9973" s="65" customFormat="1"/>
    <row r="9974" s="65" customFormat="1"/>
    <row r="9975" s="65" customFormat="1"/>
    <row r="9976" s="65" customFormat="1"/>
    <row r="9977" s="65" customFormat="1"/>
    <row r="9978" s="65" customFormat="1"/>
    <row r="9979" s="65" customFormat="1"/>
    <row r="9980" s="65" customFormat="1"/>
    <row r="9981" s="65" customFormat="1"/>
    <row r="9982" s="65" customFormat="1"/>
    <row r="9983" s="65" customFormat="1"/>
    <row r="9984" s="65" customFormat="1"/>
    <row r="9985" s="65" customFormat="1"/>
    <row r="9986" s="65" customFormat="1"/>
    <row r="9987" s="65" customFormat="1"/>
    <row r="9988" s="65" customFormat="1"/>
    <row r="9989" s="65" customFormat="1"/>
    <row r="9990" s="65" customFormat="1"/>
    <row r="9991" s="65" customFormat="1"/>
    <row r="9992" s="65" customFormat="1"/>
    <row r="9993" s="65" customFormat="1"/>
    <row r="9994" s="65" customFormat="1"/>
    <row r="9995" s="65" customFormat="1"/>
    <row r="9996" s="65" customFormat="1"/>
    <row r="9997" s="65" customFormat="1"/>
    <row r="9998" s="65" customFormat="1"/>
    <row r="9999" s="65" customFormat="1"/>
    <row r="10000" s="65" customFormat="1"/>
    <row r="10001" s="65" customFormat="1"/>
    <row r="10002" s="65" customFormat="1"/>
    <row r="10003" s="65" customFormat="1"/>
    <row r="10004" s="65" customFormat="1"/>
    <row r="10005" s="65" customFormat="1"/>
    <row r="10006" s="65" customFormat="1"/>
    <row r="10007" s="65" customFormat="1"/>
    <row r="10008" s="65" customFormat="1"/>
    <row r="10009" s="65" customFormat="1"/>
    <row r="10010" s="65" customFormat="1"/>
    <row r="10011" s="65" customFormat="1"/>
    <row r="10012" s="65" customFormat="1"/>
    <row r="10013" s="65" customFormat="1"/>
    <row r="10014" s="65" customFormat="1"/>
    <row r="10015" s="65" customFormat="1"/>
    <row r="10016" s="65" customFormat="1"/>
    <row r="10017" s="65" customFormat="1"/>
    <row r="10018" s="65" customFormat="1"/>
    <row r="10019" s="65" customFormat="1"/>
    <row r="10020" s="65" customFormat="1"/>
    <row r="10021" s="65" customFormat="1"/>
    <row r="10022" s="65" customFormat="1"/>
    <row r="10023" s="65" customFormat="1"/>
    <row r="10024" s="65" customFormat="1"/>
    <row r="10025" s="65" customFormat="1"/>
    <row r="10026" s="65" customFormat="1"/>
    <row r="10027" s="65" customFormat="1"/>
    <row r="10028" s="65" customFormat="1"/>
    <row r="10029" s="65" customFormat="1"/>
    <row r="10030" s="65" customFormat="1"/>
    <row r="10031" s="65" customFormat="1"/>
    <row r="10032" s="65" customFormat="1"/>
    <row r="10033" s="65" customFormat="1"/>
    <row r="10034" s="65" customFormat="1"/>
    <row r="10035" s="65" customFormat="1"/>
    <row r="10036" s="65" customFormat="1"/>
    <row r="10037" s="65" customFormat="1"/>
    <row r="10038" s="65" customFormat="1"/>
    <row r="10039" s="65" customFormat="1"/>
    <row r="10040" s="65" customFormat="1"/>
    <row r="10041" s="65" customFormat="1"/>
    <row r="10042" s="65" customFormat="1"/>
    <row r="10043" s="65" customFormat="1"/>
    <row r="10044" s="65" customFormat="1"/>
    <row r="10045" s="65" customFormat="1"/>
    <row r="10046" s="65" customFormat="1"/>
    <row r="10047" s="65" customFormat="1"/>
    <row r="10048" s="65" customFormat="1"/>
    <row r="10049" s="65" customFormat="1"/>
    <row r="10050" s="65" customFormat="1"/>
    <row r="10051" s="65" customFormat="1"/>
    <row r="10052" s="65" customFormat="1"/>
    <row r="10053" s="65" customFormat="1"/>
    <row r="10054" s="65" customFormat="1"/>
    <row r="10055" s="65" customFormat="1"/>
    <row r="10056" s="65" customFormat="1"/>
    <row r="10057" s="65" customFormat="1"/>
    <row r="10058" s="65" customFormat="1"/>
    <row r="10059" s="65" customFormat="1"/>
    <row r="10060" s="65" customFormat="1"/>
    <row r="10061" s="65" customFormat="1"/>
    <row r="10062" s="65" customFormat="1"/>
    <row r="10063" s="65" customFormat="1"/>
    <row r="10064" s="65" customFormat="1"/>
    <row r="10065" s="65" customFormat="1"/>
    <row r="10066" s="65" customFormat="1"/>
    <row r="10067" s="65" customFormat="1"/>
    <row r="10068" s="65" customFormat="1"/>
    <row r="10069" s="65" customFormat="1"/>
    <row r="10070" s="65" customFormat="1"/>
    <row r="10071" s="65" customFormat="1"/>
    <row r="10072" s="65" customFormat="1"/>
    <row r="10073" s="65" customFormat="1"/>
    <row r="10074" s="65" customFormat="1"/>
    <row r="10075" s="65" customFormat="1"/>
    <row r="10076" s="65" customFormat="1"/>
    <row r="10077" s="65" customFormat="1"/>
    <row r="10078" s="65" customFormat="1"/>
    <row r="10079" s="65" customFormat="1"/>
    <row r="10080" s="65" customFormat="1"/>
    <row r="10081" s="65" customFormat="1"/>
    <row r="10082" s="65" customFormat="1"/>
    <row r="10083" s="65" customFormat="1"/>
    <row r="10084" s="65" customFormat="1"/>
    <row r="10085" s="65" customFormat="1"/>
    <row r="10086" s="65" customFormat="1"/>
    <row r="10087" s="65" customFormat="1"/>
    <row r="10088" s="65" customFormat="1"/>
    <row r="10089" s="65" customFormat="1"/>
    <row r="10090" s="65" customFormat="1"/>
    <row r="10091" s="65" customFormat="1"/>
    <row r="10092" s="65" customFormat="1"/>
    <row r="10093" s="65" customFormat="1"/>
    <row r="10094" s="65" customFormat="1"/>
    <row r="10095" s="65" customFormat="1"/>
    <row r="10096" s="65" customFormat="1"/>
    <row r="10097" s="65" customFormat="1"/>
    <row r="10098" s="65" customFormat="1"/>
    <row r="10099" s="65" customFormat="1"/>
    <row r="10100" s="65" customFormat="1"/>
    <row r="10101" s="65" customFormat="1"/>
    <row r="10102" s="65" customFormat="1"/>
    <row r="10103" s="65" customFormat="1"/>
    <row r="10104" s="65" customFormat="1"/>
    <row r="10105" s="65" customFormat="1"/>
    <row r="10106" s="65" customFormat="1"/>
    <row r="10107" s="65" customFormat="1"/>
    <row r="10108" s="65" customFormat="1"/>
    <row r="10109" s="65" customFormat="1"/>
    <row r="10110" s="65" customFormat="1"/>
    <row r="10111" s="65" customFormat="1"/>
    <row r="10112" s="65" customFormat="1"/>
    <row r="10113" s="65" customFormat="1"/>
    <row r="10114" s="65" customFormat="1"/>
    <row r="10115" s="65" customFormat="1"/>
    <row r="10116" s="65" customFormat="1"/>
    <row r="10117" s="65" customFormat="1"/>
    <row r="10118" s="65" customFormat="1"/>
    <row r="10119" s="65" customFormat="1"/>
    <row r="10120" s="65" customFormat="1"/>
    <row r="10121" s="65" customFormat="1"/>
    <row r="10122" s="65" customFormat="1"/>
    <row r="10123" s="65" customFormat="1"/>
    <row r="10124" s="65" customFormat="1"/>
    <row r="10125" s="65" customFormat="1"/>
    <row r="10126" s="65" customFormat="1"/>
    <row r="10127" s="65" customFormat="1"/>
    <row r="10128" s="65" customFormat="1"/>
    <row r="10129" s="65" customFormat="1"/>
    <row r="10130" s="65" customFormat="1"/>
    <row r="10131" s="65" customFormat="1"/>
    <row r="10132" s="65" customFormat="1"/>
    <row r="10133" s="65" customFormat="1"/>
    <row r="10134" s="65" customFormat="1"/>
    <row r="10135" s="65" customFormat="1"/>
    <row r="10136" s="65" customFormat="1"/>
    <row r="10137" s="65" customFormat="1"/>
    <row r="10138" s="65" customFormat="1"/>
    <row r="10139" s="65" customFormat="1"/>
    <row r="10140" s="65" customFormat="1"/>
    <row r="10141" s="65" customFormat="1"/>
    <row r="10142" s="65" customFormat="1"/>
    <row r="10143" s="65" customFormat="1"/>
    <row r="10144" s="65" customFormat="1"/>
    <row r="10145" s="65" customFormat="1"/>
    <row r="10146" s="65" customFormat="1"/>
    <row r="10147" s="65" customFormat="1"/>
    <row r="10148" s="65" customFormat="1"/>
    <row r="10149" s="65" customFormat="1"/>
    <row r="10150" s="65" customFormat="1"/>
    <row r="10151" s="65" customFormat="1"/>
    <row r="10152" s="65" customFormat="1"/>
    <row r="10153" s="65" customFormat="1"/>
    <row r="10154" s="65" customFormat="1"/>
    <row r="10155" s="65" customFormat="1"/>
    <row r="10156" s="65" customFormat="1"/>
    <row r="10157" s="65" customFormat="1"/>
    <row r="10158" s="65" customFormat="1"/>
    <row r="10159" s="65" customFormat="1"/>
    <row r="10160" s="65" customFormat="1"/>
    <row r="10161" s="65" customFormat="1"/>
    <row r="10162" s="65" customFormat="1"/>
    <row r="10163" s="65" customFormat="1"/>
    <row r="10164" s="65" customFormat="1"/>
    <row r="10165" s="65" customFormat="1"/>
    <row r="10166" s="65" customFormat="1"/>
    <row r="10167" s="65" customFormat="1"/>
    <row r="10168" s="65" customFormat="1"/>
    <row r="10169" s="65" customFormat="1"/>
    <row r="10170" s="65" customFormat="1"/>
    <row r="10171" s="65" customFormat="1"/>
    <row r="10172" s="65" customFormat="1"/>
    <row r="10173" s="65" customFormat="1"/>
    <row r="10174" s="65" customFormat="1"/>
    <row r="10175" s="65" customFormat="1"/>
    <row r="10176" s="65" customFormat="1"/>
    <row r="10177" s="65" customFormat="1"/>
    <row r="10178" s="65" customFormat="1"/>
    <row r="10179" s="65" customFormat="1"/>
    <row r="10180" s="65" customFormat="1"/>
    <row r="10181" s="65" customFormat="1"/>
    <row r="10182" s="65" customFormat="1"/>
    <row r="10183" s="65" customFormat="1"/>
    <row r="10184" s="65" customFormat="1"/>
    <row r="10185" s="65" customFormat="1"/>
    <row r="10186" s="65" customFormat="1"/>
    <row r="10187" s="65" customFormat="1"/>
    <row r="10188" s="65" customFormat="1"/>
    <row r="10189" s="65" customFormat="1"/>
    <row r="10190" s="65" customFormat="1"/>
    <row r="10191" s="65" customFormat="1"/>
    <row r="10192" s="65" customFormat="1"/>
    <row r="10193" s="65" customFormat="1"/>
    <row r="10194" s="65" customFormat="1"/>
    <row r="10195" s="65" customFormat="1"/>
    <row r="10196" s="65" customFormat="1"/>
    <row r="10197" s="65" customFormat="1"/>
    <row r="10198" s="65" customFormat="1"/>
    <row r="10199" s="65" customFormat="1"/>
    <row r="10200" s="65" customFormat="1"/>
    <row r="10201" s="65" customFormat="1"/>
    <row r="10202" s="65" customFormat="1"/>
    <row r="10203" s="65" customFormat="1"/>
    <row r="10204" s="65" customFormat="1"/>
    <row r="10205" s="65" customFormat="1"/>
    <row r="10206" s="65" customFormat="1"/>
    <row r="10207" s="65" customFormat="1"/>
    <row r="10208" s="65" customFormat="1"/>
    <row r="10209" s="65" customFormat="1"/>
    <row r="10210" s="65" customFormat="1"/>
    <row r="10211" s="65" customFormat="1"/>
    <row r="10212" s="65" customFormat="1"/>
    <row r="10213" s="65" customFormat="1"/>
    <row r="10214" s="65" customFormat="1"/>
    <row r="10215" s="65" customFormat="1"/>
    <row r="10216" s="65" customFormat="1"/>
    <row r="10217" s="65" customFormat="1"/>
    <row r="10218" s="65" customFormat="1"/>
    <row r="10219" s="65" customFormat="1"/>
    <row r="10220" s="65" customFormat="1"/>
    <row r="10221" s="65" customFormat="1"/>
    <row r="10222" s="65" customFormat="1"/>
    <row r="10223" s="65" customFormat="1"/>
    <row r="10224" s="65" customFormat="1"/>
    <row r="10225" s="65" customFormat="1"/>
    <row r="10226" s="65" customFormat="1"/>
    <row r="10227" s="65" customFormat="1"/>
    <row r="10228" s="65" customFormat="1"/>
    <row r="10229" s="65" customFormat="1"/>
    <row r="10230" s="65" customFormat="1"/>
    <row r="10231" s="65" customFormat="1"/>
    <row r="10232" s="65" customFormat="1"/>
    <row r="10233" s="65" customFormat="1"/>
    <row r="10234" s="65" customFormat="1"/>
    <row r="10235" s="65" customFormat="1"/>
    <row r="10236" s="65" customFormat="1"/>
    <row r="10237" s="65" customFormat="1"/>
    <row r="10238" s="65" customFormat="1"/>
    <row r="10239" s="65" customFormat="1"/>
    <row r="10240" s="65" customFormat="1"/>
    <row r="10241" s="65" customFormat="1"/>
    <row r="10242" s="65" customFormat="1"/>
    <row r="10243" s="65" customFormat="1"/>
    <row r="10244" s="65" customFormat="1"/>
    <row r="10245" s="65" customFormat="1"/>
    <row r="10246" s="65" customFormat="1"/>
    <row r="10247" s="65" customFormat="1"/>
    <row r="10248" s="65" customFormat="1"/>
    <row r="10249" s="65" customFormat="1"/>
    <row r="10250" s="65" customFormat="1"/>
    <row r="10251" s="65" customFormat="1"/>
    <row r="10252" s="65" customFormat="1"/>
    <row r="10253" s="65" customFormat="1"/>
    <row r="10254" s="65" customFormat="1"/>
    <row r="10255" s="65" customFormat="1"/>
    <row r="10256" s="65" customFormat="1"/>
    <row r="10257" s="65" customFormat="1"/>
    <row r="10258" s="65" customFormat="1"/>
    <row r="10259" s="65" customFormat="1"/>
    <row r="10260" s="65" customFormat="1"/>
    <row r="10261" s="65" customFormat="1"/>
    <row r="10262" s="65" customFormat="1"/>
    <row r="10263" s="65" customFormat="1"/>
    <row r="10264" s="65" customFormat="1"/>
    <row r="10265" s="65" customFormat="1"/>
    <row r="10266" s="65" customFormat="1"/>
    <row r="10267" s="65" customFormat="1"/>
    <row r="10268" s="65" customFormat="1"/>
    <row r="10269" s="65" customFormat="1"/>
    <row r="10270" s="65" customFormat="1"/>
    <row r="10271" s="65" customFormat="1"/>
    <row r="10272" s="65" customFormat="1"/>
    <row r="10273" s="65" customFormat="1"/>
    <row r="10274" s="65" customFormat="1"/>
    <row r="10275" s="65" customFormat="1"/>
    <row r="10276" s="65" customFormat="1"/>
    <row r="10277" s="65" customFormat="1"/>
    <row r="10278" s="65" customFormat="1"/>
    <row r="10279" s="65" customFormat="1"/>
    <row r="10280" s="65" customFormat="1"/>
    <row r="10281" s="65" customFormat="1"/>
    <row r="10282" s="65" customFormat="1"/>
    <row r="10283" s="65" customFormat="1"/>
    <row r="10284" s="65" customFormat="1"/>
    <row r="10285" s="65" customFormat="1"/>
    <row r="10286" s="65" customFormat="1"/>
    <row r="10287" s="65" customFormat="1"/>
    <row r="10288" s="65" customFormat="1"/>
    <row r="10289" s="65" customFormat="1"/>
    <row r="10290" s="65" customFormat="1"/>
    <row r="10291" s="65" customFormat="1"/>
    <row r="10292" s="65" customFormat="1"/>
    <row r="10293" s="65" customFormat="1"/>
    <row r="10294" s="65" customFormat="1"/>
    <row r="10295" s="65" customFormat="1"/>
    <row r="10296" s="65" customFormat="1"/>
    <row r="10297" s="65" customFormat="1"/>
    <row r="10298" s="65" customFormat="1"/>
    <row r="10299" s="65" customFormat="1"/>
    <row r="10300" s="65" customFormat="1"/>
    <row r="10301" s="65" customFormat="1"/>
    <row r="10302" s="65" customFormat="1"/>
    <row r="10303" s="65" customFormat="1"/>
    <row r="10304" s="65" customFormat="1"/>
    <row r="10305" s="65" customFormat="1"/>
    <row r="10306" s="65" customFormat="1"/>
    <row r="10307" s="65" customFormat="1"/>
    <row r="10308" s="65" customFormat="1"/>
    <row r="10309" s="65" customFormat="1"/>
    <row r="10310" s="65" customFormat="1"/>
    <row r="10311" s="65" customFormat="1"/>
    <row r="10312" s="65" customFormat="1"/>
    <row r="10313" s="65" customFormat="1"/>
    <row r="10314" s="65" customFormat="1"/>
    <row r="10315" s="65" customFormat="1"/>
    <row r="10316" s="65" customFormat="1"/>
    <row r="10317" s="65" customFormat="1"/>
    <row r="10318" s="65" customFormat="1"/>
    <row r="10319" s="65" customFormat="1"/>
    <row r="10320" s="65" customFormat="1"/>
    <row r="10321" s="65" customFormat="1"/>
    <row r="10322" s="65" customFormat="1"/>
    <row r="10323" s="65" customFormat="1"/>
    <row r="10324" s="65" customFormat="1"/>
    <row r="10325" s="65" customFormat="1"/>
    <row r="10326" s="65" customFormat="1"/>
    <row r="10327" s="65" customFormat="1"/>
    <row r="10328" s="65" customFormat="1"/>
    <row r="10329" s="65" customFormat="1"/>
    <row r="10330" s="65" customFormat="1"/>
    <row r="10331" s="65" customFormat="1"/>
    <row r="10332" s="65" customFormat="1"/>
    <row r="10333" s="65" customFormat="1"/>
    <row r="10334" s="65" customFormat="1"/>
    <row r="10335" s="65" customFormat="1"/>
    <row r="10336" s="65" customFormat="1"/>
    <row r="10337" s="65" customFormat="1"/>
    <row r="10338" s="65" customFormat="1"/>
    <row r="10339" s="65" customFormat="1"/>
    <row r="10340" s="65" customFormat="1"/>
    <row r="10341" s="65" customFormat="1"/>
    <row r="10342" s="65" customFormat="1"/>
    <row r="10343" s="65" customFormat="1"/>
    <row r="10344" s="65" customFormat="1"/>
    <row r="10345" s="65" customFormat="1"/>
    <row r="10346" s="65" customFormat="1"/>
    <row r="10347" s="65" customFormat="1"/>
    <row r="10348" s="65" customFormat="1"/>
    <row r="10349" s="65" customFormat="1"/>
    <row r="10350" s="65" customFormat="1"/>
    <row r="10351" s="65" customFormat="1"/>
    <row r="10352" s="65" customFormat="1"/>
    <row r="10353" s="65" customFormat="1"/>
    <row r="10354" s="65" customFormat="1"/>
    <row r="10355" s="65" customFormat="1"/>
    <row r="10356" s="65" customFormat="1"/>
    <row r="10357" s="65" customFormat="1"/>
    <row r="10358" s="65" customFormat="1"/>
    <row r="10359" s="65" customFormat="1"/>
    <row r="10360" s="65" customFormat="1"/>
    <row r="10361" s="65" customFormat="1"/>
    <row r="10362" s="65" customFormat="1"/>
    <row r="10363" s="65" customFormat="1"/>
    <row r="10364" s="65" customFormat="1"/>
    <row r="10365" s="65" customFormat="1"/>
    <row r="10366" s="65" customFormat="1"/>
    <row r="10367" s="65" customFormat="1"/>
    <row r="10368" s="65" customFormat="1"/>
    <row r="10369" s="65" customFormat="1"/>
    <row r="10370" s="65" customFormat="1"/>
    <row r="10371" s="65" customFormat="1"/>
    <row r="10372" s="65" customFormat="1"/>
    <row r="10373" s="65" customFormat="1"/>
    <row r="10374" s="65" customFormat="1"/>
    <row r="10375" s="65" customFormat="1"/>
    <row r="10376" s="65" customFormat="1"/>
    <row r="10377" s="65" customFormat="1"/>
    <row r="10378" s="65" customFormat="1"/>
    <row r="10379" s="65" customFormat="1"/>
    <row r="10380" s="65" customFormat="1"/>
    <row r="10381" s="65" customFormat="1"/>
    <row r="10382" s="65" customFormat="1"/>
    <row r="10383" s="65" customFormat="1"/>
    <row r="10384" s="65" customFormat="1"/>
    <row r="10385" s="65" customFormat="1"/>
    <row r="10386" s="65" customFormat="1"/>
    <row r="10387" s="65" customFormat="1"/>
    <row r="10388" s="65" customFormat="1"/>
    <row r="10389" s="65" customFormat="1"/>
    <row r="10390" s="65" customFormat="1"/>
    <row r="10391" s="65" customFormat="1"/>
    <row r="10392" s="65" customFormat="1"/>
    <row r="10393" s="65" customFormat="1"/>
    <row r="10394" s="65" customFormat="1"/>
    <row r="10395" s="65" customFormat="1"/>
    <row r="10396" s="65" customFormat="1"/>
    <row r="10397" s="65" customFormat="1"/>
    <row r="10398" s="65" customFormat="1"/>
    <row r="10399" s="65" customFormat="1"/>
    <row r="10400" s="65" customFormat="1"/>
    <row r="10401" s="65" customFormat="1"/>
    <row r="10402" s="65" customFormat="1"/>
    <row r="10403" s="65" customFormat="1"/>
    <row r="10404" s="65" customFormat="1"/>
    <row r="10405" s="65" customFormat="1"/>
    <row r="10406" s="65" customFormat="1"/>
    <row r="10407" s="65" customFormat="1"/>
    <row r="10408" s="65" customFormat="1"/>
    <row r="10409" s="65" customFormat="1"/>
    <row r="10410" s="65" customFormat="1"/>
    <row r="10411" s="65" customFormat="1"/>
    <row r="10412" s="65" customFormat="1"/>
    <row r="10413" s="65" customFormat="1"/>
    <row r="10414" s="65" customFormat="1"/>
    <row r="10415" s="65" customFormat="1"/>
    <row r="10416" s="65" customFormat="1"/>
    <row r="10417" s="65" customFormat="1"/>
    <row r="10418" s="65" customFormat="1"/>
    <row r="10419" s="65" customFormat="1"/>
    <row r="10420" s="65" customFormat="1"/>
    <row r="10421" s="65" customFormat="1"/>
    <row r="10422" s="65" customFormat="1"/>
    <row r="10423" s="65" customFormat="1"/>
    <row r="10424" s="65" customFormat="1"/>
    <row r="10425" s="65" customFormat="1"/>
    <row r="10426" s="65" customFormat="1"/>
    <row r="10427" s="65" customFormat="1"/>
    <row r="10428" s="65" customFormat="1"/>
    <row r="10429" s="65" customFormat="1"/>
    <row r="10430" s="65" customFormat="1"/>
    <row r="10431" s="65" customFormat="1"/>
    <row r="10432" s="65" customFormat="1"/>
    <row r="10433" s="65" customFormat="1"/>
    <row r="10434" s="65" customFormat="1"/>
    <row r="10435" s="65" customFormat="1"/>
    <row r="10436" s="65" customFormat="1"/>
    <row r="10437" s="65" customFormat="1"/>
    <row r="10438" s="65" customFormat="1"/>
    <row r="10439" s="65" customFormat="1"/>
    <row r="10440" s="65" customFormat="1"/>
    <row r="10441" s="65" customFormat="1"/>
    <row r="10442" s="65" customFormat="1"/>
    <row r="10443" s="65" customFormat="1"/>
    <row r="10444" s="65" customFormat="1"/>
    <row r="10445" s="65" customFormat="1"/>
    <row r="10446" s="65" customFormat="1"/>
    <row r="10447" s="65" customFormat="1"/>
    <row r="10448" s="65" customFormat="1"/>
    <row r="10449" s="65" customFormat="1"/>
    <row r="10450" s="65" customFormat="1"/>
    <row r="10451" s="65" customFormat="1"/>
    <row r="10452" s="65" customFormat="1"/>
    <row r="10453" s="65" customFormat="1"/>
    <row r="10454" s="65" customFormat="1"/>
    <row r="10455" s="65" customFormat="1"/>
    <row r="10456" s="65" customFormat="1"/>
    <row r="10457" s="65" customFormat="1"/>
    <row r="10458" s="65" customFormat="1"/>
    <row r="10459" s="65" customFormat="1"/>
    <row r="10460" s="65" customFormat="1"/>
    <row r="10461" s="65" customFormat="1"/>
    <row r="10462" s="65" customFormat="1"/>
    <row r="10463" s="65" customFormat="1"/>
    <row r="10464" s="65" customFormat="1"/>
    <row r="10465" s="65" customFormat="1"/>
    <row r="10466" s="65" customFormat="1"/>
    <row r="10467" s="65" customFormat="1"/>
    <row r="10468" s="65" customFormat="1"/>
    <row r="10469" s="65" customFormat="1"/>
    <row r="10470" s="65" customFormat="1"/>
    <row r="10471" s="65" customFormat="1"/>
    <row r="10472" s="65" customFormat="1"/>
    <row r="10473" s="65" customFormat="1"/>
    <row r="10474" s="65" customFormat="1"/>
    <row r="10475" s="65" customFormat="1"/>
    <row r="10476" s="65" customFormat="1"/>
    <row r="10477" s="65" customFormat="1"/>
    <row r="10478" s="65" customFormat="1"/>
    <row r="10479" s="65" customFormat="1"/>
    <row r="10480" s="65" customFormat="1"/>
    <row r="10481" s="65" customFormat="1"/>
    <row r="10482" s="65" customFormat="1"/>
    <row r="10483" s="65" customFormat="1"/>
    <row r="10484" s="65" customFormat="1"/>
    <row r="10485" s="65" customFormat="1"/>
    <row r="10486" s="65" customFormat="1"/>
    <row r="10487" s="65" customFormat="1"/>
    <row r="10488" s="65" customFormat="1"/>
    <row r="10489" s="65" customFormat="1"/>
    <row r="10490" s="65" customFormat="1"/>
    <row r="10491" s="65" customFormat="1"/>
    <row r="10492" s="65" customFormat="1"/>
    <row r="10493" s="65" customFormat="1"/>
    <row r="10494" s="65" customFormat="1"/>
    <row r="10495" s="65" customFormat="1"/>
    <row r="10496" s="65" customFormat="1"/>
    <row r="10497" s="65" customFormat="1"/>
    <row r="10498" s="65" customFormat="1"/>
    <row r="10499" s="65" customFormat="1"/>
    <row r="10500" s="65" customFormat="1"/>
    <row r="10501" s="65" customFormat="1"/>
    <row r="10502" s="65" customFormat="1"/>
    <row r="10503" s="65" customFormat="1"/>
    <row r="10504" s="65" customFormat="1"/>
    <row r="10505" s="65" customFormat="1"/>
    <row r="10506" s="65" customFormat="1"/>
    <row r="10507" s="65" customFormat="1"/>
    <row r="10508" s="65" customFormat="1"/>
    <row r="10509" s="65" customFormat="1"/>
    <row r="10510" s="65" customFormat="1"/>
    <row r="10511" s="65" customFormat="1"/>
    <row r="10512" s="65" customFormat="1"/>
    <row r="10513" s="65" customFormat="1"/>
    <row r="10514" s="65" customFormat="1"/>
    <row r="10515" s="65" customFormat="1"/>
    <row r="10516" s="65" customFormat="1"/>
    <row r="10517" s="65" customFormat="1"/>
    <row r="10518" s="65" customFormat="1"/>
    <row r="10519" s="65" customFormat="1"/>
    <row r="10520" s="65" customFormat="1"/>
    <row r="10521" s="65" customFormat="1"/>
    <row r="10522" s="65" customFormat="1"/>
    <row r="10523" s="65" customFormat="1"/>
    <row r="10524" s="65" customFormat="1"/>
    <row r="10525" s="65" customFormat="1"/>
    <row r="10526" s="65" customFormat="1"/>
    <row r="10527" s="65" customFormat="1"/>
    <row r="10528" s="65" customFormat="1"/>
    <row r="10529" s="65" customFormat="1"/>
    <row r="10530" s="65" customFormat="1"/>
    <row r="10531" s="65" customFormat="1"/>
    <row r="10532" s="65" customFormat="1"/>
    <row r="10533" s="65" customFormat="1"/>
    <row r="10534" s="65" customFormat="1"/>
    <row r="10535" s="65" customFormat="1"/>
    <row r="10536" s="65" customFormat="1"/>
    <row r="10537" s="65" customFormat="1"/>
    <row r="10538" s="65" customFormat="1"/>
    <row r="10539" s="65" customFormat="1"/>
    <row r="10540" s="65" customFormat="1"/>
    <row r="10541" s="65" customFormat="1"/>
    <row r="10542" s="65" customFormat="1"/>
    <row r="10543" s="65" customFormat="1"/>
    <row r="10544" s="65" customFormat="1"/>
    <row r="10545" s="65" customFormat="1"/>
    <row r="10546" s="65" customFormat="1"/>
    <row r="10547" s="65" customFormat="1"/>
    <row r="10548" s="65" customFormat="1"/>
    <row r="10549" s="65" customFormat="1"/>
    <row r="10550" s="65" customFormat="1"/>
    <row r="10551" s="65" customFormat="1"/>
    <row r="10552" s="65" customFormat="1"/>
    <row r="10553" s="65" customFormat="1"/>
    <row r="10554" s="65" customFormat="1"/>
    <row r="10555" s="65" customFormat="1"/>
    <row r="10556" s="65" customFormat="1"/>
    <row r="10557" s="65" customFormat="1"/>
    <row r="10558" s="65" customFormat="1"/>
    <row r="10559" s="65" customFormat="1"/>
    <row r="10560" s="65" customFormat="1"/>
    <row r="10561" s="65" customFormat="1"/>
    <row r="10562" s="65" customFormat="1"/>
    <row r="10563" s="65" customFormat="1"/>
    <row r="10564" s="65" customFormat="1"/>
    <row r="10565" s="65" customFormat="1"/>
    <row r="10566" s="65" customFormat="1"/>
    <row r="10567" s="65" customFormat="1"/>
    <row r="10568" s="65" customFormat="1"/>
    <row r="10569" s="65" customFormat="1"/>
    <row r="10570" s="65" customFormat="1"/>
    <row r="10571" s="65" customFormat="1"/>
    <row r="10572" s="65" customFormat="1"/>
    <row r="10573" s="65" customFormat="1"/>
    <row r="10574" s="65" customFormat="1"/>
    <row r="10575" s="65" customFormat="1"/>
    <row r="10576" s="65" customFormat="1"/>
    <row r="10577" s="65" customFormat="1"/>
    <row r="10578" s="65" customFormat="1"/>
    <row r="10579" s="65" customFormat="1"/>
    <row r="10580" s="65" customFormat="1"/>
    <row r="10581" s="65" customFormat="1"/>
    <row r="10582" s="65" customFormat="1"/>
    <row r="10583" s="65" customFormat="1"/>
    <row r="10584" s="65" customFormat="1"/>
    <row r="10585" s="65" customFormat="1"/>
    <row r="10586" s="65" customFormat="1"/>
    <row r="10587" s="65" customFormat="1"/>
    <row r="10588" s="65" customFormat="1"/>
    <row r="10589" s="65" customFormat="1"/>
    <row r="10590" s="65" customFormat="1"/>
    <row r="10591" s="65" customFormat="1"/>
    <row r="10592" s="65" customFormat="1"/>
    <row r="10593" s="65" customFormat="1"/>
    <row r="10594" s="65" customFormat="1"/>
    <row r="10595" s="65" customFormat="1"/>
    <row r="10596" s="65" customFormat="1"/>
    <row r="10597" s="65" customFormat="1"/>
    <row r="10598" s="65" customFormat="1"/>
    <row r="10599" s="65" customFormat="1"/>
    <row r="10600" s="65" customFormat="1"/>
    <row r="10601" s="65" customFormat="1"/>
    <row r="10602" s="65" customFormat="1"/>
    <row r="10603" s="65" customFormat="1"/>
    <row r="10604" s="65" customFormat="1"/>
    <row r="10605" s="65" customFormat="1"/>
    <row r="10606" s="65" customFormat="1"/>
    <row r="10607" s="65" customFormat="1"/>
    <row r="10608" s="65" customFormat="1"/>
    <row r="10609" s="65" customFormat="1"/>
    <row r="10610" s="65" customFormat="1"/>
    <row r="10611" s="65" customFormat="1"/>
    <row r="10612" s="65" customFormat="1"/>
    <row r="10613" s="65" customFormat="1"/>
    <row r="10614" s="65" customFormat="1"/>
    <row r="10615" s="65" customFormat="1"/>
    <row r="10616" s="65" customFormat="1"/>
    <row r="10617" s="65" customFormat="1"/>
    <row r="10618" s="65" customFormat="1"/>
    <row r="10619" s="65" customFormat="1"/>
    <row r="10620" s="65" customFormat="1"/>
    <row r="10621" s="65" customFormat="1"/>
    <row r="10622" s="65" customFormat="1"/>
    <row r="10623" s="65" customFormat="1"/>
    <row r="10624" s="65" customFormat="1"/>
    <row r="10625" s="65" customFormat="1"/>
    <row r="10626" s="65" customFormat="1"/>
    <row r="10627" s="65" customFormat="1"/>
    <row r="10628" s="65" customFormat="1"/>
    <row r="10629" s="65" customFormat="1"/>
    <row r="10630" s="65" customFormat="1"/>
    <row r="10631" s="65" customFormat="1"/>
    <row r="10632" s="65" customFormat="1"/>
    <row r="10633" s="65" customFormat="1"/>
    <row r="10634" s="65" customFormat="1"/>
    <row r="10635" s="65" customFormat="1"/>
    <row r="10636" s="65" customFormat="1"/>
    <row r="10637" s="65" customFormat="1"/>
    <row r="10638" s="65" customFormat="1"/>
    <row r="10639" s="65" customFormat="1"/>
    <row r="10640" s="65" customFormat="1"/>
    <row r="10641" s="65" customFormat="1"/>
    <row r="10642" s="65" customFormat="1"/>
    <row r="10643" s="65" customFormat="1"/>
    <row r="10644" s="65" customFormat="1"/>
    <row r="10645" s="65" customFormat="1"/>
    <row r="10646" s="65" customFormat="1"/>
    <row r="10647" s="65" customFormat="1"/>
    <row r="10648" s="65" customFormat="1"/>
    <row r="10649" s="65" customFormat="1"/>
    <row r="10650" s="65" customFormat="1"/>
    <row r="10651" s="65" customFormat="1"/>
    <row r="10652" s="65" customFormat="1"/>
    <row r="10653" s="65" customFormat="1"/>
    <row r="10654" s="65" customFormat="1"/>
    <row r="10655" s="65" customFormat="1"/>
    <row r="10656" s="65" customFormat="1"/>
    <row r="10657" s="65" customFormat="1"/>
    <row r="10658" s="65" customFormat="1"/>
    <row r="10659" s="65" customFormat="1"/>
    <row r="10660" s="65" customFormat="1"/>
    <row r="10661" s="65" customFormat="1"/>
    <row r="10662" s="65" customFormat="1"/>
    <row r="10663" s="65" customFormat="1"/>
    <row r="10664" s="65" customFormat="1"/>
    <row r="10665" s="65" customFormat="1"/>
    <row r="10666" s="65" customFormat="1"/>
    <row r="10667" s="65" customFormat="1"/>
    <row r="10668" s="65" customFormat="1"/>
    <row r="10669" s="65" customFormat="1"/>
    <row r="10670" s="65" customFormat="1"/>
    <row r="10671" s="65" customFormat="1"/>
    <row r="10672" s="65" customFormat="1"/>
    <row r="10673" s="65" customFormat="1"/>
    <row r="10674" s="65" customFormat="1"/>
    <row r="10675" s="65" customFormat="1"/>
    <row r="10676" s="65" customFormat="1"/>
    <row r="10677" s="65" customFormat="1"/>
    <row r="10678" s="65" customFormat="1"/>
    <row r="10679" s="65" customFormat="1"/>
    <row r="10680" s="65" customFormat="1"/>
    <row r="10681" s="65" customFormat="1"/>
    <row r="10682" s="65" customFormat="1"/>
    <row r="10683" s="65" customFormat="1"/>
    <row r="10684" s="65" customFormat="1"/>
    <row r="10685" s="65" customFormat="1"/>
    <row r="10686" s="65" customFormat="1"/>
    <row r="10687" s="65" customFormat="1"/>
    <row r="10688" s="65" customFormat="1"/>
    <row r="10689" s="65" customFormat="1"/>
    <row r="10690" s="65" customFormat="1"/>
    <row r="10691" s="65" customFormat="1"/>
    <row r="10692" s="65" customFormat="1"/>
    <row r="10693" s="65" customFormat="1"/>
    <row r="10694" s="65" customFormat="1"/>
    <row r="10695" s="65" customFormat="1"/>
    <row r="10696" s="65" customFormat="1"/>
    <row r="10697" s="65" customFormat="1"/>
    <row r="10698" s="65" customFormat="1"/>
    <row r="10699" s="65" customFormat="1"/>
    <row r="10700" s="65" customFormat="1"/>
    <row r="10701" s="65" customFormat="1"/>
    <row r="10702" s="65" customFormat="1"/>
    <row r="10703" s="65" customFormat="1"/>
    <row r="10704" s="65" customFormat="1"/>
    <row r="10705" s="65" customFormat="1"/>
    <row r="10706" s="65" customFormat="1"/>
    <row r="10707" s="65" customFormat="1"/>
    <row r="10708" s="65" customFormat="1"/>
    <row r="10709" s="65" customFormat="1"/>
    <row r="10710" s="65" customFormat="1"/>
    <row r="10711" s="65" customFormat="1"/>
    <row r="10712" s="65" customFormat="1"/>
    <row r="10713" s="65" customFormat="1"/>
    <row r="10714" s="65" customFormat="1"/>
    <row r="10715" s="65" customFormat="1"/>
    <row r="10716" s="65" customFormat="1"/>
    <row r="10717" s="65" customFormat="1"/>
    <row r="10718" s="65" customFormat="1"/>
    <row r="10719" s="65" customFormat="1"/>
    <row r="10720" s="65" customFormat="1"/>
    <row r="10721" s="65" customFormat="1"/>
    <row r="10722" s="65" customFormat="1"/>
    <row r="10723" s="65" customFormat="1"/>
    <row r="10724" s="65" customFormat="1"/>
    <row r="10725" s="65" customFormat="1"/>
    <row r="10726" s="65" customFormat="1"/>
    <row r="10727" s="65" customFormat="1"/>
    <row r="10728" s="65" customFormat="1"/>
    <row r="10729" s="65" customFormat="1"/>
    <row r="10730" s="65" customFormat="1"/>
    <row r="10731" s="65" customFormat="1"/>
    <row r="10732" s="65" customFormat="1"/>
    <row r="10733" s="65" customFormat="1"/>
    <row r="10734" s="65" customFormat="1"/>
    <row r="10735" s="65" customFormat="1"/>
    <row r="10736" s="65" customFormat="1"/>
    <row r="10737" s="65" customFormat="1"/>
    <row r="10738" s="65" customFormat="1"/>
    <row r="10739" s="65" customFormat="1"/>
    <row r="10740" s="65" customFormat="1"/>
    <row r="10741" s="65" customFormat="1"/>
    <row r="10742" s="65" customFormat="1"/>
    <row r="10743" s="65" customFormat="1"/>
    <row r="10744" s="65" customFormat="1"/>
    <row r="10745" s="65" customFormat="1"/>
    <row r="10746" s="65" customFormat="1"/>
    <row r="10747" s="65" customFormat="1"/>
    <row r="10748" s="65" customFormat="1"/>
    <row r="10749" s="65" customFormat="1"/>
    <row r="10750" s="65" customFormat="1"/>
    <row r="10751" s="65" customFormat="1"/>
    <row r="10752" s="65" customFormat="1"/>
    <row r="10753" s="65" customFormat="1"/>
    <row r="10754" s="65" customFormat="1"/>
    <row r="10755" s="65" customFormat="1"/>
    <row r="10756" s="65" customFormat="1"/>
    <row r="10757" s="65" customFormat="1"/>
    <row r="10758" s="65" customFormat="1"/>
    <row r="10759" s="65" customFormat="1"/>
    <row r="10760" s="65" customFormat="1"/>
    <row r="10761" s="65" customFormat="1"/>
    <row r="10762" s="65" customFormat="1"/>
    <row r="10763" s="65" customFormat="1"/>
    <row r="10764" s="65" customFormat="1"/>
    <row r="10765" s="65" customFormat="1"/>
    <row r="10766" s="65" customFormat="1"/>
    <row r="10767" s="65" customFormat="1"/>
    <row r="10768" s="65" customFormat="1"/>
    <row r="10769" s="65" customFormat="1"/>
    <row r="10770" s="65" customFormat="1"/>
    <row r="10771" s="65" customFormat="1"/>
    <row r="10772" s="65" customFormat="1"/>
    <row r="10773" s="65" customFormat="1"/>
    <row r="10774" s="65" customFormat="1"/>
    <row r="10775" s="65" customFormat="1"/>
    <row r="10776" s="65" customFormat="1"/>
    <row r="10777" s="65" customFormat="1"/>
    <row r="10778" s="65" customFormat="1"/>
    <row r="10779" s="65" customFormat="1"/>
    <row r="10780" s="65" customFormat="1"/>
    <row r="10781" s="65" customFormat="1"/>
    <row r="10782" s="65" customFormat="1"/>
    <row r="10783" s="65" customFormat="1"/>
    <row r="10784" s="65" customFormat="1"/>
    <row r="10785" s="65" customFormat="1"/>
    <row r="10786" s="65" customFormat="1"/>
    <row r="10787" s="65" customFormat="1"/>
    <row r="10788" s="65" customFormat="1"/>
    <row r="10789" s="65" customFormat="1"/>
    <row r="10790" s="65" customFormat="1"/>
    <row r="10791" s="65" customFormat="1"/>
    <row r="10792" s="65" customFormat="1"/>
    <row r="10793" s="65" customFormat="1"/>
    <row r="10794" s="65" customFormat="1"/>
    <row r="10795" s="65" customFormat="1"/>
    <row r="10796" s="65" customFormat="1"/>
    <row r="10797" s="65" customFormat="1"/>
    <row r="10798" s="65" customFormat="1"/>
    <row r="10799" s="65" customFormat="1"/>
    <row r="10800" s="65" customFormat="1"/>
    <row r="10801" s="65" customFormat="1"/>
    <row r="10802" s="65" customFormat="1"/>
    <row r="10803" s="65" customFormat="1"/>
    <row r="10804" s="65" customFormat="1"/>
    <row r="10805" s="65" customFormat="1"/>
    <row r="10806" s="65" customFormat="1"/>
    <row r="10807" s="65" customFormat="1"/>
    <row r="10808" s="65" customFormat="1"/>
    <row r="10809" s="65" customFormat="1"/>
    <row r="10810" s="65" customFormat="1"/>
    <row r="10811" s="65" customFormat="1"/>
    <row r="10812" s="65" customFormat="1"/>
    <row r="10813" s="65" customFormat="1"/>
    <row r="10814" s="65" customFormat="1"/>
    <row r="10815" s="65" customFormat="1"/>
    <row r="10816" s="65" customFormat="1"/>
    <row r="10817" s="65" customFormat="1"/>
    <row r="10818" s="65" customFormat="1"/>
    <row r="10819" s="65" customFormat="1"/>
    <row r="10820" s="65" customFormat="1"/>
    <row r="10821" s="65" customFormat="1"/>
    <row r="10822" s="65" customFormat="1"/>
    <row r="10823" s="65" customFormat="1"/>
    <row r="10824" s="65" customFormat="1"/>
    <row r="10825" s="65" customFormat="1"/>
    <row r="10826" s="65" customFormat="1"/>
    <row r="10827" s="65" customFormat="1"/>
    <row r="10828" s="65" customFormat="1"/>
    <row r="10829" s="65" customFormat="1"/>
    <row r="10830" s="65" customFormat="1"/>
    <row r="10831" s="65" customFormat="1"/>
    <row r="10832" s="65" customFormat="1"/>
    <row r="10833" s="65" customFormat="1"/>
    <row r="10834" s="65" customFormat="1"/>
    <row r="10835" s="65" customFormat="1"/>
    <row r="10836" s="65" customFormat="1"/>
    <row r="10837" s="65" customFormat="1"/>
    <row r="10838" s="65" customFormat="1"/>
    <row r="10839" s="65" customFormat="1"/>
    <row r="10840" s="65" customFormat="1"/>
    <row r="10841" s="65" customFormat="1"/>
    <row r="10842" s="65" customFormat="1"/>
    <row r="10843" s="65" customFormat="1"/>
    <row r="10844" s="65" customFormat="1"/>
    <row r="10845" s="65" customFormat="1"/>
    <row r="10846" s="65" customFormat="1"/>
    <row r="10847" s="65" customFormat="1"/>
    <row r="10848" s="65" customFormat="1"/>
    <row r="10849" s="65" customFormat="1"/>
    <row r="10850" s="65" customFormat="1"/>
    <row r="10851" s="65" customFormat="1"/>
    <row r="10852" s="65" customFormat="1"/>
    <row r="10853" s="65" customFormat="1"/>
    <row r="10854" s="65" customFormat="1"/>
    <row r="10855" s="65" customFormat="1"/>
    <row r="10856" s="65" customFormat="1"/>
    <row r="10857" s="65" customFormat="1"/>
    <row r="10858" s="65" customFormat="1"/>
    <row r="10859" s="65" customFormat="1"/>
    <row r="10860" s="65" customFormat="1"/>
    <row r="10861" s="65" customFormat="1"/>
    <row r="10862" s="65" customFormat="1"/>
    <row r="10863" s="65" customFormat="1"/>
    <row r="10864" s="65" customFormat="1"/>
    <row r="10865" s="65" customFormat="1"/>
    <row r="10866" s="65" customFormat="1"/>
    <row r="10867" s="65" customFormat="1"/>
    <row r="10868" s="65" customFormat="1"/>
    <row r="10869" s="65" customFormat="1"/>
    <row r="10870" s="65" customFormat="1"/>
    <row r="10871" s="65" customFormat="1"/>
    <row r="10872" s="65" customFormat="1"/>
    <row r="10873" s="65" customFormat="1"/>
    <row r="10874" s="65" customFormat="1"/>
    <row r="10875" s="65" customFormat="1"/>
    <row r="10876" s="65" customFormat="1"/>
    <row r="10877" s="65" customFormat="1"/>
    <row r="10878" s="65" customFormat="1"/>
    <row r="10879" s="65" customFormat="1"/>
    <row r="10880" s="65" customFormat="1"/>
    <row r="10881" s="65" customFormat="1"/>
    <row r="10882" s="65" customFormat="1"/>
    <row r="10883" s="65" customFormat="1"/>
    <row r="10884" s="65" customFormat="1"/>
    <row r="10885" s="65" customFormat="1"/>
    <row r="10886" s="65" customFormat="1"/>
    <row r="10887" s="65" customFormat="1"/>
    <row r="10888" s="65" customFormat="1"/>
    <row r="10889" s="65" customFormat="1"/>
    <row r="10890" s="65" customFormat="1"/>
    <row r="10891" s="65" customFormat="1"/>
    <row r="10892" s="65" customFormat="1"/>
    <row r="10893" s="65" customFormat="1"/>
    <row r="10894" s="65" customFormat="1"/>
    <row r="10895" s="65" customFormat="1"/>
    <row r="10896" s="65" customFormat="1"/>
    <row r="10897" s="65" customFormat="1"/>
    <row r="10898" s="65" customFormat="1"/>
    <row r="10899" s="65" customFormat="1"/>
    <row r="10900" s="65" customFormat="1"/>
    <row r="10901" s="65" customFormat="1"/>
    <row r="10902" s="65" customFormat="1"/>
    <row r="10903" s="65" customFormat="1"/>
    <row r="10904" s="65" customFormat="1"/>
    <row r="10905" s="65" customFormat="1"/>
    <row r="10906" s="65" customFormat="1"/>
    <row r="10907" s="65" customFormat="1"/>
    <row r="10908" s="65" customFormat="1"/>
    <row r="10909" s="65" customFormat="1"/>
    <row r="10910" s="65" customFormat="1"/>
    <row r="10911" s="65" customFormat="1"/>
    <row r="10912" s="65" customFormat="1"/>
    <row r="10913" s="65" customFormat="1"/>
    <row r="10914" s="65" customFormat="1"/>
    <row r="10915" s="65" customFormat="1"/>
    <row r="10916" s="65" customFormat="1"/>
    <row r="10917" s="65" customFormat="1"/>
    <row r="10918" s="65" customFormat="1"/>
    <row r="10919" s="65" customFormat="1"/>
    <row r="10920" s="65" customFormat="1"/>
    <row r="10921" s="65" customFormat="1"/>
    <row r="10922" s="65" customFormat="1"/>
    <row r="10923" s="65" customFormat="1"/>
    <row r="10924" s="65" customFormat="1"/>
    <row r="10925" s="65" customFormat="1"/>
    <row r="10926" s="65" customFormat="1"/>
    <row r="10927" s="65" customFormat="1"/>
    <row r="10928" s="65" customFormat="1"/>
    <row r="10929" s="65" customFormat="1"/>
    <row r="10930" s="65" customFormat="1"/>
    <row r="10931" s="65" customFormat="1"/>
    <row r="10932" s="65" customFormat="1"/>
    <row r="10933" s="65" customFormat="1"/>
    <row r="10934" s="65" customFormat="1"/>
    <row r="10935" s="65" customFormat="1"/>
    <row r="10936" s="65" customFormat="1"/>
    <row r="10937" s="65" customFormat="1"/>
    <row r="10938" s="65" customFormat="1"/>
    <row r="10939" s="65" customFormat="1"/>
    <row r="10940" s="65" customFormat="1"/>
    <row r="10941" s="65" customFormat="1"/>
    <row r="10942" s="65" customFormat="1"/>
    <row r="10943" s="65" customFormat="1"/>
    <row r="10944" s="65" customFormat="1"/>
    <row r="10945" s="65" customFormat="1"/>
    <row r="10946" s="65" customFormat="1"/>
    <row r="10947" s="65" customFormat="1"/>
    <row r="10948" s="65" customFormat="1"/>
    <row r="10949" s="65" customFormat="1"/>
    <row r="10950" s="65" customFormat="1"/>
    <row r="10951" s="65" customFormat="1"/>
    <row r="10952" s="65" customFormat="1"/>
    <row r="10953" s="65" customFormat="1"/>
    <row r="10954" s="65" customFormat="1"/>
    <row r="10955" s="65" customFormat="1"/>
    <row r="10956" s="65" customFormat="1"/>
    <row r="10957" s="65" customFormat="1"/>
    <row r="10958" s="65" customFormat="1"/>
    <row r="10959" s="65" customFormat="1"/>
    <row r="10960" s="65" customFormat="1"/>
    <row r="10961" s="65" customFormat="1"/>
    <row r="10962" s="65" customFormat="1"/>
    <row r="10963" s="65" customFormat="1"/>
    <row r="10964" s="65" customFormat="1"/>
    <row r="10965" s="65" customFormat="1"/>
    <row r="10966" s="65" customFormat="1"/>
    <row r="10967" s="65" customFormat="1"/>
    <row r="10968" s="65" customFormat="1"/>
    <row r="10969" s="65" customFormat="1"/>
    <row r="10970" s="65" customFormat="1"/>
    <row r="10971" s="65" customFormat="1"/>
    <row r="10972" s="65" customFormat="1"/>
    <row r="10973" s="65" customFormat="1"/>
    <row r="10974" s="65" customFormat="1"/>
    <row r="10975" s="65" customFormat="1"/>
    <row r="10976" s="65" customFormat="1"/>
    <row r="10977" s="65" customFormat="1"/>
    <row r="10978" s="65" customFormat="1"/>
    <row r="10979" s="65" customFormat="1"/>
    <row r="10980" s="65" customFormat="1"/>
    <row r="10981" s="65" customFormat="1"/>
    <row r="10982" s="65" customFormat="1"/>
    <row r="10983" s="65" customFormat="1"/>
    <row r="10984" s="65" customFormat="1"/>
    <row r="10985" s="65" customFormat="1"/>
    <row r="10986" s="65" customFormat="1"/>
    <row r="10987" s="65" customFormat="1"/>
    <row r="10988" s="65" customFormat="1"/>
    <row r="10989" s="65" customFormat="1"/>
    <row r="10990" s="65" customFormat="1"/>
    <row r="10991" s="65" customFormat="1"/>
    <row r="10992" s="65" customFormat="1"/>
    <row r="10993" s="65" customFormat="1"/>
    <row r="10994" s="65" customFormat="1"/>
    <row r="10995" s="65" customFormat="1"/>
    <row r="10996" s="65" customFormat="1"/>
    <row r="10997" s="65" customFormat="1"/>
    <row r="10998" s="65" customFormat="1"/>
    <row r="10999" s="65" customFormat="1"/>
    <row r="11000" s="65" customFormat="1"/>
    <row r="11001" s="65" customFormat="1"/>
    <row r="11002" s="65" customFormat="1"/>
    <row r="11003" s="65" customFormat="1"/>
    <row r="11004" s="65" customFormat="1"/>
    <row r="11005" s="65" customFormat="1"/>
    <row r="11006" s="65" customFormat="1"/>
    <row r="11007" s="65" customFormat="1"/>
    <row r="11008" s="65" customFormat="1"/>
    <row r="11009" s="65" customFormat="1"/>
    <row r="11010" s="65" customFormat="1"/>
    <row r="11011" s="65" customFormat="1"/>
    <row r="11012" s="65" customFormat="1"/>
    <row r="11013" s="65" customFormat="1"/>
    <row r="11014" s="65" customFormat="1"/>
    <row r="11015" s="65" customFormat="1"/>
    <row r="11016" s="65" customFormat="1"/>
    <row r="11017" s="65" customFormat="1"/>
    <row r="11018" s="65" customFormat="1"/>
    <row r="11019" s="65" customFormat="1"/>
    <row r="11020" s="65" customFormat="1"/>
    <row r="11021" s="65" customFormat="1"/>
    <row r="11022" s="65" customFormat="1"/>
    <row r="11023" s="65" customFormat="1"/>
    <row r="11024" s="65" customFormat="1"/>
    <row r="11025" s="65" customFormat="1"/>
    <row r="11026" s="65" customFormat="1"/>
    <row r="11027" s="65" customFormat="1"/>
    <row r="11028" s="65" customFormat="1"/>
    <row r="11029" s="65" customFormat="1"/>
    <row r="11030" s="65" customFormat="1"/>
    <row r="11031" s="65" customFormat="1"/>
    <row r="11032" s="65" customFormat="1"/>
    <row r="11033" s="65" customFormat="1"/>
    <row r="11034" s="65" customFormat="1"/>
    <row r="11035" s="65" customFormat="1"/>
    <row r="11036" s="65" customFormat="1"/>
    <row r="11037" s="65" customFormat="1"/>
    <row r="11038" s="65" customFormat="1"/>
    <row r="11039" s="65" customFormat="1"/>
    <row r="11040" s="65" customFormat="1"/>
    <row r="11041" s="65" customFormat="1"/>
    <row r="11042" s="65" customFormat="1"/>
    <row r="11043" s="65" customFormat="1"/>
    <row r="11044" s="65" customFormat="1"/>
    <row r="11045" s="65" customFormat="1"/>
    <row r="11046" s="65" customFormat="1"/>
    <row r="11047" s="65" customFormat="1"/>
    <row r="11048" s="65" customFormat="1"/>
    <row r="11049" s="65" customFormat="1"/>
    <row r="11050" s="65" customFormat="1"/>
    <row r="11051" s="65" customFormat="1"/>
    <row r="11052" s="65" customFormat="1"/>
    <row r="11053" s="65" customFormat="1"/>
    <row r="11054" s="65" customFormat="1"/>
    <row r="11055" s="65" customFormat="1"/>
    <row r="11056" s="65" customFormat="1"/>
    <row r="11057" s="65" customFormat="1"/>
    <row r="11058" s="65" customFormat="1"/>
    <row r="11059" s="65" customFormat="1"/>
    <row r="11060" s="65" customFormat="1"/>
    <row r="11061" s="65" customFormat="1"/>
    <row r="11062" s="65" customFormat="1"/>
    <row r="11063" s="65" customFormat="1"/>
    <row r="11064" s="65" customFormat="1"/>
    <row r="11065" s="65" customFormat="1"/>
    <row r="11066" s="65" customFormat="1"/>
    <row r="11067" s="65" customFormat="1"/>
    <row r="11068" s="65" customFormat="1"/>
    <row r="11069" s="65" customFormat="1"/>
    <row r="11070" s="65" customFormat="1"/>
    <row r="11071" s="65" customFormat="1"/>
    <row r="11072" s="65" customFormat="1"/>
    <row r="11073" s="65" customFormat="1"/>
    <row r="11074" s="65" customFormat="1"/>
    <row r="11075" s="65" customFormat="1"/>
    <row r="11076" s="65" customFormat="1"/>
    <row r="11077" s="65" customFormat="1"/>
    <row r="11078" s="65" customFormat="1"/>
    <row r="11079" s="65" customFormat="1"/>
    <row r="11080" s="65" customFormat="1"/>
    <row r="11081" s="65" customFormat="1"/>
    <row r="11082" s="65" customFormat="1"/>
    <row r="11083" s="65" customFormat="1"/>
    <row r="11084" s="65" customFormat="1"/>
    <row r="11085" s="65" customFormat="1"/>
    <row r="11086" s="65" customFormat="1"/>
    <row r="11087" s="65" customFormat="1"/>
    <row r="11088" s="65" customFormat="1"/>
    <row r="11089" s="65" customFormat="1"/>
    <row r="11090" s="65" customFormat="1"/>
    <row r="11091" s="65" customFormat="1"/>
    <row r="11092" s="65" customFormat="1"/>
    <row r="11093" s="65" customFormat="1"/>
    <row r="11094" s="65" customFormat="1"/>
    <row r="11095" s="65" customFormat="1"/>
    <row r="11096" s="65" customFormat="1"/>
    <row r="11097" s="65" customFormat="1"/>
    <row r="11098" s="65" customFormat="1"/>
    <row r="11099" s="65" customFormat="1"/>
    <row r="11100" s="65" customFormat="1"/>
    <row r="11101" s="65" customFormat="1"/>
    <row r="11102" s="65" customFormat="1"/>
    <row r="11103" s="65" customFormat="1"/>
    <row r="11104" s="65" customFormat="1"/>
    <row r="11105" s="65" customFormat="1"/>
    <row r="11106" s="65" customFormat="1"/>
    <row r="11107" s="65" customFormat="1"/>
    <row r="11108" s="65" customFormat="1"/>
    <row r="11109" s="65" customFormat="1"/>
    <row r="11110" s="65" customFormat="1"/>
    <row r="11111" s="65" customFormat="1"/>
    <row r="11112" s="65" customFormat="1"/>
    <row r="11113" s="65" customFormat="1"/>
    <row r="11114" s="65" customFormat="1"/>
    <row r="11115" s="65" customFormat="1"/>
    <row r="11116" s="65" customFormat="1"/>
    <row r="11117" s="65" customFormat="1"/>
    <row r="11118" s="65" customFormat="1"/>
    <row r="11119" s="65" customFormat="1"/>
    <row r="11120" s="65" customFormat="1"/>
    <row r="11121" s="65" customFormat="1"/>
    <row r="11122" s="65" customFormat="1"/>
    <row r="11123" s="65" customFormat="1"/>
    <row r="11124" s="65" customFormat="1"/>
    <row r="11125" s="65" customFormat="1"/>
    <row r="11126" s="65" customFormat="1"/>
    <row r="11127" s="65" customFormat="1"/>
    <row r="11128" s="65" customFormat="1"/>
    <row r="11129" s="65" customFormat="1"/>
    <row r="11130" s="65" customFormat="1"/>
    <row r="11131" s="65" customFormat="1"/>
    <row r="11132" s="65" customFormat="1"/>
    <row r="11133" s="65" customFormat="1"/>
    <row r="11134" s="65" customFormat="1"/>
    <row r="11135" s="65" customFormat="1"/>
    <row r="11136" s="65" customFormat="1"/>
    <row r="11137" s="65" customFormat="1"/>
    <row r="11138" s="65" customFormat="1"/>
    <row r="11139" s="65" customFormat="1"/>
    <row r="11140" s="65" customFormat="1"/>
    <row r="11141" s="65" customFormat="1"/>
    <row r="11142" s="65" customFormat="1"/>
    <row r="11143" s="65" customFormat="1"/>
    <row r="11144" s="65" customFormat="1"/>
    <row r="11145" s="65" customFormat="1"/>
    <row r="11146" s="65" customFormat="1"/>
    <row r="11147" s="65" customFormat="1"/>
    <row r="11148" s="65" customFormat="1"/>
    <row r="11149" s="65" customFormat="1"/>
    <row r="11150" s="65" customFormat="1"/>
    <row r="11151" s="65" customFormat="1"/>
    <row r="11152" s="65" customFormat="1"/>
    <row r="11153" s="65" customFormat="1"/>
    <row r="11154" s="65" customFormat="1"/>
    <row r="11155" s="65" customFormat="1"/>
    <row r="11156" s="65" customFormat="1"/>
    <row r="11157" s="65" customFormat="1"/>
    <row r="11158" s="65" customFormat="1"/>
    <row r="11159" s="65" customFormat="1"/>
    <row r="11160" s="65" customFormat="1"/>
    <row r="11161" s="65" customFormat="1"/>
    <row r="11162" s="65" customFormat="1"/>
    <row r="11163" s="65" customFormat="1"/>
    <row r="11164" s="65" customFormat="1"/>
    <row r="11165" s="65" customFormat="1"/>
    <row r="11166" s="65" customFormat="1"/>
    <row r="11167" s="65" customFormat="1"/>
    <row r="11168" s="65" customFormat="1"/>
    <row r="11169" s="65" customFormat="1"/>
    <row r="11170" s="65" customFormat="1"/>
    <row r="11171" s="65" customFormat="1"/>
    <row r="11172" s="65" customFormat="1"/>
    <row r="11173" s="65" customFormat="1"/>
    <row r="11174" s="65" customFormat="1"/>
    <row r="11175" s="65" customFormat="1"/>
    <row r="11176" s="65" customFormat="1"/>
    <row r="11177" s="65" customFormat="1"/>
    <row r="11178" s="65" customFormat="1"/>
    <row r="11179" s="65" customFormat="1"/>
    <row r="11180" s="65" customFormat="1"/>
    <row r="11181" s="65" customFormat="1"/>
    <row r="11182" s="65" customFormat="1"/>
    <row r="11183" s="65" customFormat="1"/>
    <row r="11184" s="65" customFormat="1"/>
    <row r="11185" s="65" customFormat="1"/>
    <row r="11186" s="65" customFormat="1"/>
    <row r="11187" s="65" customFormat="1"/>
    <row r="11188" s="65" customFormat="1"/>
    <row r="11189" s="65" customFormat="1"/>
    <row r="11190" s="65" customFormat="1"/>
    <row r="11191" s="65" customFormat="1"/>
    <row r="11192" s="65" customFormat="1"/>
    <row r="11193" s="65" customFormat="1"/>
    <row r="11194" s="65" customFormat="1"/>
    <row r="11195" s="65" customFormat="1"/>
    <row r="11196" s="65" customFormat="1"/>
    <row r="11197" s="65" customFormat="1"/>
    <row r="11198" s="65" customFormat="1"/>
    <row r="11199" s="65" customFormat="1"/>
    <row r="11200" s="65" customFormat="1"/>
    <row r="11201" s="65" customFormat="1"/>
    <row r="11202" s="65" customFormat="1"/>
    <row r="11203" s="65" customFormat="1"/>
    <row r="11204" s="65" customFormat="1"/>
    <row r="11205" s="65" customFormat="1"/>
    <row r="11206" s="65" customFormat="1"/>
    <row r="11207" s="65" customFormat="1"/>
    <row r="11208" s="65" customFormat="1"/>
    <row r="11209" s="65" customFormat="1"/>
    <row r="11210" s="65" customFormat="1"/>
    <row r="11211" s="65" customFormat="1"/>
    <row r="11212" s="65" customFormat="1"/>
    <row r="11213" s="65" customFormat="1"/>
    <row r="11214" s="65" customFormat="1"/>
    <row r="11215" s="65" customFormat="1"/>
    <row r="11216" s="65" customFormat="1"/>
    <row r="11217" s="65" customFormat="1"/>
    <row r="11218" s="65" customFormat="1"/>
    <row r="11219" s="65" customFormat="1"/>
    <row r="11220" s="65" customFormat="1"/>
    <row r="11221" s="65" customFormat="1"/>
    <row r="11222" s="65" customFormat="1"/>
    <row r="11223" s="65" customFormat="1"/>
    <row r="11224" s="65" customFormat="1"/>
    <row r="11225" s="65" customFormat="1"/>
    <row r="11226" s="65" customFormat="1"/>
    <row r="11227" s="65" customFormat="1"/>
    <row r="11228" s="65" customFormat="1"/>
    <row r="11229" s="65" customFormat="1"/>
    <row r="11230" s="65" customFormat="1"/>
    <row r="11231" s="65" customFormat="1"/>
    <row r="11232" s="65" customFormat="1"/>
    <row r="11233" s="65" customFormat="1"/>
    <row r="11234" s="65" customFormat="1"/>
    <row r="11235" s="65" customFormat="1"/>
    <row r="11236" s="65" customFormat="1"/>
    <row r="11237" s="65" customFormat="1"/>
    <row r="11238" s="65" customFormat="1"/>
    <row r="11239" s="65" customFormat="1"/>
    <row r="11240" s="65" customFormat="1"/>
    <row r="11241" s="65" customFormat="1"/>
    <row r="11242" s="65" customFormat="1"/>
    <row r="11243" s="65" customFormat="1"/>
    <row r="11244" s="65" customFormat="1"/>
    <row r="11245" s="65" customFormat="1"/>
    <row r="11246" s="65" customFormat="1"/>
    <row r="11247" s="65" customFormat="1"/>
    <row r="11248" s="65" customFormat="1"/>
    <row r="11249" s="65" customFormat="1"/>
    <row r="11250" s="65" customFormat="1"/>
    <row r="11251" s="65" customFormat="1"/>
    <row r="11252" s="65" customFormat="1"/>
    <row r="11253" s="65" customFormat="1"/>
    <row r="11254" s="65" customFormat="1"/>
    <row r="11255" s="65" customFormat="1"/>
    <row r="11256" s="65" customFormat="1"/>
    <row r="11257" s="65" customFormat="1"/>
    <row r="11258" s="65" customFormat="1"/>
    <row r="11259" s="65" customFormat="1"/>
    <row r="11260" s="65" customFormat="1"/>
    <row r="11261" s="65" customFormat="1"/>
    <row r="11262" s="65" customFormat="1"/>
    <row r="11263" s="65" customFormat="1"/>
    <row r="11264" s="65" customFormat="1"/>
    <row r="11265" s="65" customFormat="1"/>
    <row r="11266" s="65" customFormat="1"/>
    <row r="11267" s="65" customFormat="1"/>
    <row r="11268" s="65" customFormat="1"/>
    <row r="11269" s="65" customFormat="1"/>
    <row r="11270" s="65" customFormat="1"/>
    <row r="11271" s="65" customFormat="1"/>
    <row r="11272" s="65" customFormat="1"/>
    <row r="11273" s="65" customFormat="1"/>
    <row r="11274" s="65" customFormat="1"/>
    <row r="11275" s="65" customFormat="1"/>
    <row r="11276" s="65" customFormat="1"/>
    <row r="11277" s="65" customFormat="1"/>
    <row r="11278" s="65" customFormat="1"/>
    <row r="11279" s="65" customFormat="1"/>
    <row r="11280" s="65" customFormat="1"/>
    <row r="11281" s="65" customFormat="1"/>
    <row r="11282" s="65" customFormat="1"/>
    <row r="11283" s="65" customFormat="1"/>
    <row r="11284" s="65" customFormat="1"/>
    <row r="11285" s="65" customFormat="1"/>
    <row r="11286" s="65" customFormat="1"/>
    <row r="11287" s="65" customFormat="1"/>
    <row r="11288" s="65" customFormat="1"/>
    <row r="11289" s="65" customFormat="1"/>
    <row r="11290" s="65" customFormat="1"/>
    <row r="11291" s="65" customFormat="1"/>
    <row r="11292" s="65" customFormat="1"/>
    <row r="11293" s="65" customFormat="1"/>
    <row r="11294" s="65" customFormat="1"/>
    <row r="11295" s="65" customFormat="1"/>
    <row r="11296" s="65" customFormat="1"/>
    <row r="11297" s="65" customFormat="1"/>
    <row r="11298" s="65" customFormat="1"/>
    <row r="11299" s="65" customFormat="1"/>
    <row r="11300" s="65" customFormat="1"/>
    <row r="11301" s="65" customFormat="1"/>
    <row r="11302" s="65" customFormat="1"/>
    <row r="11303" s="65" customFormat="1"/>
    <row r="11304" s="65" customFormat="1"/>
    <row r="11305" s="65" customFormat="1"/>
    <row r="11306" s="65" customFormat="1"/>
    <row r="11307" s="65" customFormat="1"/>
    <row r="11308" s="65" customFormat="1"/>
    <row r="11309" s="65" customFormat="1"/>
    <row r="11310" s="65" customFormat="1"/>
    <row r="11311" s="65" customFormat="1"/>
    <row r="11312" s="65" customFormat="1"/>
    <row r="11313" s="65" customFormat="1"/>
    <row r="11314" s="65" customFormat="1"/>
    <row r="11315" s="65" customFormat="1"/>
    <row r="11316" s="65" customFormat="1"/>
    <row r="11317" s="65" customFormat="1"/>
    <row r="11318" s="65" customFormat="1"/>
    <row r="11319" s="65" customFormat="1"/>
    <row r="11320" s="65" customFormat="1"/>
    <row r="11321" s="65" customFormat="1"/>
    <row r="11322" s="65" customFormat="1"/>
    <row r="11323" s="65" customFormat="1"/>
    <row r="11324" s="65" customFormat="1"/>
    <row r="11325" s="65" customFormat="1"/>
    <row r="11326" s="65" customFormat="1"/>
    <row r="11327" s="65" customFormat="1"/>
    <row r="11328" s="65" customFormat="1"/>
    <row r="11329" s="65" customFormat="1"/>
    <row r="11330" s="65" customFormat="1"/>
    <row r="11331" s="65" customFormat="1"/>
    <row r="11332" s="65" customFormat="1"/>
    <row r="11333" s="65" customFormat="1"/>
    <row r="11334" s="65" customFormat="1"/>
    <row r="11335" s="65" customFormat="1"/>
    <row r="11336" s="65" customFormat="1"/>
    <row r="11337" s="65" customFormat="1"/>
    <row r="11338" s="65" customFormat="1"/>
    <row r="11339" s="65" customFormat="1"/>
    <row r="11340" s="65" customFormat="1"/>
    <row r="11341" s="65" customFormat="1"/>
    <row r="11342" s="65" customFormat="1"/>
    <row r="11343" s="65" customFormat="1"/>
    <row r="11344" s="65" customFormat="1"/>
    <row r="11345" s="65" customFormat="1"/>
    <row r="11346" s="65" customFormat="1"/>
    <row r="11347" s="65" customFormat="1"/>
    <row r="11348" s="65" customFormat="1"/>
    <row r="11349" s="65" customFormat="1"/>
    <row r="11350" s="65" customFormat="1"/>
    <row r="11351" s="65" customFormat="1"/>
    <row r="11352" s="65" customFormat="1"/>
    <row r="11353" s="65" customFormat="1"/>
    <row r="11354" s="65" customFormat="1"/>
    <row r="11355" s="65" customFormat="1"/>
    <row r="11356" s="65" customFormat="1"/>
    <row r="11357" s="65" customFormat="1"/>
    <row r="11358" s="65" customFormat="1"/>
    <row r="11359" s="65" customFormat="1"/>
    <row r="11360" s="65" customFormat="1"/>
    <row r="11361" s="65" customFormat="1"/>
    <row r="11362" s="65" customFormat="1"/>
    <row r="11363" s="65" customFormat="1"/>
    <row r="11364" s="65" customFormat="1"/>
    <row r="11365" s="65" customFormat="1"/>
    <row r="11366" s="65" customFormat="1"/>
    <row r="11367" s="65" customFormat="1"/>
    <row r="11368" s="65" customFormat="1"/>
    <row r="11369" s="65" customFormat="1"/>
    <row r="11370" s="65" customFormat="1"/>
    <row r="11371" s="65" customFormat="1"/>
    <row r="11372" s="65" customFormat="1"/>
    <row r="11373" s="65" customFormat="1"/>
    <row r="11374" s="65" customFormat="1"/>
    <row r="11375" s="65" customFormat="1"/>
    <row r="11376" s="65" customFormat="1"/>
    <row r="11377" s="65" customFormat="1"/>
    <row r="11378" s="65" customFormat="1"/>
    <row r="11379" s="65" customFormat="1"/>
    <row r="11380" s="65" customFormat="1"/>
    <row r="11381" s="65" customFormat="1"/>
    <row r="11382" s="65" customFormat="1"/>
    <row r="11383" s="65" customFormat="1"/>
    <row r="11384" s="65" customFormat="1"/>
    <row r="11385" s="65" customFormat="1"/>
    <row r="11386" s="65" customFormat="1"/>
    <row r="11387" s="65" customFormat="1"/>
    <row r="11388" s="65" customFormat="1"/>
    <row r="11389" s="65" customFormat="1"/>
    <row r="11390" s="65" customFormat="1"/>
    <row r="11391" s="65" customFormat="1"/>
    <row r="11392" s="65" customFormat="1"/>
    <row r="11393" s="65" customFormat="1"/>
    <row r="11394" s="65" customFormat="1"/>
    <row r="11395" s="65" customFormat="1"/>
    <row r="11396" s="65" customFormat="1"/>
    <row r="11397" s="65" customFormat="1"/>
    <row r="11398" s="65" customFormat="1"/>
    <row r="11399" s="65" customFormat="1"/>
    <row r="11400" s="65" customFormat="1"/>
    <row r="11401" s="65" customFormat="1"/>
    <row r="11402" s="65" customFormat="1"/>
    <row r="11403" s="65" customFormat="1"/>
    <row r="11404" s="65" customFormat="1"/>
    <row r="11405" s="65" customFormat="1"/>
    <row r="11406" s="65" customFormat="1"/>
    <row r="11407" s="65" customFormat="1"/>
    <row r="11408" s="65" customFormat="1"/>
    <row r="11409" s="65" customFormat="1"/>
    <row r="11410" s="65" customFormat="1"/>
    <row r="11411" s="65" customFormat="1"/>
    <row r="11412" s="65" customFormat="1"/>
    <row r="11413" s="65" customFormat="1"/>
    <row r="11414" s="65" customFormat="1"/>
    <row r="11415" s="65" customFormat="1"/>
    <row r="11416" s="65" customFormat="1"/>
    <row r="11417" s="65" customFormat="1"/>
    <row r="11418" s="65" customFormat="1"/>
    <row r="11419" s="65" customFormat="1"/>
    <row r="11420" s="65" customFormat="1"/>
    <row r="11421" s="65" customFormat="1"/>
    <row r="11422" s="65" customFormat="1"/>
    <row r="11423" s="65" customFormat="1"/>
    <row r="11424" s="65" customFormat="1"/>
    <row r="11425" s="65" customFormat="1"/>
    <row r="11426" s="65" customFormat="1"/>
    <row r="11427" s="65" customFormat="1"/>
    <row r="11428" s="65" customFormat="1"/>
    <row r="11429" s="65" customFormat="1"/>
    <row r="11430" s="65" customFormat="1"/>
    <row r="11431" s="65" customFormat="1"/>
    <row r="11432" s="65" customFormat="1"/>
    <row r="11433" s="65" customFormat="1"/>
    <row r="11434" s="65" customFormat="1"/>
    <row r="11435" s="65" customFormat="1"/>
    <row r="11436" s="65" customFormat="1"/>
    <row r="11437" s="65" customFormat="1"/>
    <row r="11438" s="65" customFormat="1"/>
    <row r="11439" s="65" customFormat="1"/>
    <row r="11440" s="65" customFormat="1"/>
    <row r="11441" s="65" customFormat="1"/>
    <row r="11442" s="65" customFormat="1"/>
    <row r="11443" s="65" customFormat="1"/>
    <row r="11444" s="65" customFormat="1"/>
    <row r="11445" s="65" customFormat="1"/>
    <row r="11446" s="65" customFormat="1"/>
    <row r="11447" s="65" customFormat="1"/>
    <row r="11448" s="65" customFormat="1"/>
    <row r="11449" s="65" customFormat="1"/>
    <row r="11450" s="65" customFormat="1"/>
    <row r="11451" s="65" customFormat="1"/>
    <row r="11452" s="65" customFormat="1"/>
    <row r="11453" s="65" customFormat="1"/>
    <row r="11454" s="65" customFormat="1"/>
    <row r="11455" s="65" customFormat="1"/>
    <row r="11456" s="65" customFormat="1"/>
    <row r="11457" s="65" customFormat="1"/>
    <row r="11458" s="65" customFormat="1"/>
    <row r="11459" s="65" customFormat="1"/>
    <row r="11460" s="65" customFormat="1"/>
    <row r="11461" s="65" customFormat="1"/>
    <row r="11462" s="65" customFormat="1"/>
    <row r="11463" s="65" customFormat="1"/>
    <row r="11464" s="65" customFormat="1"/>
    <row r="11465" s="65" customFormat="1"/>
    <row r="11466" s="65" customFormat="1"/>
    <row r="11467" s="65" customFormat="1"/>
    <row r="11468" s="65" customFormat="1"/>
    <row r="11469" s="65" customFormat="1"/>
    <row r="11470" s="65" customFormat="1"/>
    <row r="11471" s="65" customFormat="1"/>
    <row r="11472" s="65" customFormat="1"/>
    <row r="11473" s="65" customFormat="1"/>
    <row r="11474" s="65" customFormat="1"/>
    <row r="11475" s="65" customFormat="1"/>
    <row r="11476" s="65" customFormat="1"/>
    <row r="11477" s="65" customFormat="1"/>
    <row r="11478" s="65" customFormat="1"/>
    <row r="11479" s="65" customFormat="1"/>
    <row r="11480" s="65" customFormat="1"/>
    <row r="11481" s="65" customFormat="1"/>
    <row r="11482" s="65" customFormat="1"/>
    <row r="11483" s="65" customFormat="1"/>
    <row r="11484" s="65" customFormat="1"/>
    <row r="11485" s="65" customFormat="1"/>
    <row r="11486" s="65" customFormat="1"/>
    <row r="11487" s="65" customFormat="1"/>
    <row r="11488" s="65" customFormat="1"/>
    <row r="11489" s="65" customFormat="1"/>
    <row r="11490" s="65" customFormat="1"/>
    <row r="11491" s="65" customFormat="1"/>
    <row r="11492" s="65" customFormat="1"/>
    <row r="11493" s="65" customFormat="1"/>
    <row r="11494" s="65" customFormat="1"/>
    <row r="11495" s="65" customFormat="1"/>
    <row r="11496" s="65" customFormat="1"/>
    <row r="11497" s="65" customFormat="1"/>
    <row r="11498" s="65" customFormat="1"/>
    <row r="11499" s="65" customFormat="1"/>
    <row r="11500" s="65" customFormat="1"/>
    <row r="11501" s="65" customFormat="1"/>
    <row r="11502" s="65" customFormat="1"/>
    <row r="11503" s="65" customFormat="1"/>
    <row r="11504" s="65" customFormat="1"/>
    <row r="11505" s="65" customFormat="1"/>
    <row r="11506" s="65" customFormat="1"/>
    <row r="11507" s="65" customFormat="1"/>
    <row r="11508" s="65" customFormat="1"/>
    <row r="11509" s="65" customFormat="1"/>
    <row r="11510" s="65" customFormat="1"/>
    <row r="11511" s="65" customFormat="1"/>
    <row r="11512" s="65" customFormat="1"/>
    <row r="11513" s="65" customFormat="1"/>
    <row r="11514" s="65" customFormat="1"/>
    <row r="11515" s="65" customFormat="1"/>
    <row r="11516" s="65" customFormat="1"/>
    <row r="11517" s="65" customFormat="1"/>
    <row r="11518" s="65" customFormat="1"/>
    <row r="11519" s="65" customFormat="1"/>
    <row r="11520" s="65" customFormat="1"/>
    <row r="11521" s="65" customFormat="1"/>
    <row r="11522" s="65" customFormat="1"/>
    <row r="11523" s="65" customFormat="1"/>
    <row r="11524" s="65" customFormat="1"/>
    <row r="11525" s="65" customFormat="1"/>
    <row r="11526" s="65" customFormat="1"/>
    <row r="11527" s="65" customFormat="1"/>
    <row r="11528" s="65" customFormat="1"/>
    <row r="11529" s="65" customFormat="1"/>
    <row r="11530" s="65" customFormat="1"/>
    <row r="11531" s="65" customFormat="1"/>
    <row r="11532" s="65" customFormat="1"/>
    <row r="11533" s="65" customFormat="1"/>
    <row r="11534" s="65" customFormat="1"/>
    <row r="11535" s="65" customFormat="1"/>
    <row r="11536" s="65" customFormat="1"/>
    <row r="11537" s="65" customFormat="1"/>
    <row r="11538" s="65" customFormat="1"/>
    <row r="11539" s="65" customFormat="1"/>
    <row r="11540" s="65" customFormat="1"/>
    <row r="11541" s="65" customFormat="1"/>
    <row r="11542" s="65" customFormat="1"/>
    <row r="11543" s="65" customFormat="1"/>
    <row r="11544" s="65" customFormat="1"/>
    <row r="11545" s="65" customFormat="1"/>
    <row r="11546" s="65" customFormat="1"/>
    <row r="11547" s="65" customFormat="1"/>
    <row r="11548" s="65" customFormat="1"/>
    <row r="11549" s="65" customFormat="1"/>
    <row r="11550" s="65" customFormat="1"/>
    <row r="11551" s="65" customFormat="1"/>
    <row r="11552" s="65" customFormat="1"/>
    <row r="11553" s="65" customFormat="1"/>
    <row r="11554" s="65" customFormat="1"/>
    <row r="11555" s="65" customFormat="1"/>
    <row r="11556" s="65" customFormat="1"/>
    <row r="11557" s="65" customFormat="1"/>
    <row r="11558" s="65" customFormat="1"/>
    <row r="11559" s="65" customFormat="1"/>
    <row r="11560" s="65" customFormat="1"/>
    <row r="11561" s="65" customFormat="1"/>
    <row r="11562" s="65" customFormat="1"/>
    <row r="11563" s="65" customFormat="1"/>
    <row r="11564" s="65" customFormat="1"/>
    <row r="11565" s="65" customFormat="1"/>
    <row r="11566" s="65" customFormat="1"/>
    <row r="11567" s="65" customFormat="1"/>
    <row r="11568" s="65" customFormat="1"/>
    <row r="11569" s="65" customFormat="1"/>
    <row r="11570" s="65" customFormat="1"/>
    <row r="11571" s="65" customFormat="1"/>
    <row r="11572" s="65" customFormat="1"/>
    <row r="11573" s="65" customFormat="1"/>
    <row r="11574" s="65" customFormat="1"/>
    <row r="11575" s="65" customFormat="1"/>
    <row r="11576" s="65" customFormat="1"/>
    <row r="11577" s="65" customFormat="1"/>
    <row r="11578" s="65" customFormat="1"/>
    <row r="11579" s="65" customFormat="1"/>
    <row r="11580" s="65" customFormat="1"/>
    <row r="11581" s="65" customFormat="1"/>
    <row r="11582" s="65" customFormat="1"/>
    <row r="11583" s="65" customFormat="1"/>
    <row r="11584" s="65" customFormat="1"/>
    <row r="11585" s="65" customFormat="1"/>
    <row r="11586" s="65" customFormat="1"/>
    <row r="11587" s="65" customFormat="1"/>
    <row r="11588" s="65" customFormat="1"/>
    <row r="11589" s="65" customFormat="1"/>
    <row r="11590" s="65" customFormat="1"/>
    <row r="11591" s="65" customFormat="1"/>
    <row r="11592" s="65" customFormat="1"/>
    <row r="11593" s="65" customFormat="1"/>
    <row r="11594" s="65" customFormat="1"/>
    <row r="11595" s="65" customFormat="1"/>
    <row r="11596" s="65" customFormat="1"/>
    <row r="11597" s="65" customFormat="1"/>
    <row r="11598" s="65" customFormat="1"/>
    <row r="11599" s="65" customFormat="1"/>
    <row r="11600" s="65" customFormat="1"/>
    <row r="11601" s="65" customFormat="1"/>
    <row r="11602" s="65" customFormat="1"/>
    <row r="11603" s="65" customFormat="1"/>
    <row r="11604" s="65" customFormat="1"/>
    <row r="11605" s="65" customFormat="1"/>
    <row r="11606" s="65" customFormat="1"/>
    <row r="11607" s="65" customFormat="1"/>
    <row r="11608" s="65" customFormat="1"/>
    <row r="11609" s="65" customFormat="1"/>
    <row r="11610" s="65" customFormat="1"/>
    <row r="11611" s="65" customFormat="1"/>
    <row r="11612" s="65" customFormat="1"/>
    <row r="11613" s="65" customFormat="1"/>
    <row r="11614" s="65" customFormat="1"/>
    <row r="11615" s="65" customFormat="1"/>
    <row r="11616" s="65" customFormat="1"/>
    <row r="11617" s="65" customFormat="1"/>
    <row r="11618" s="65" customFormat="1"/>
    <row r="11619" s="65" customFormat="1"/>
    <row r="11620" s="65" customFormat="1"/>
    <row r="11621" s="65" customFormat="1"/>
    <row r="11622" s="65" customFormat="1"/>
    <row r="11623" s="65" customFormat="1"/>
    <row r="11624" s="65" customFormat="1"/>
    <row r="11625" s="65" customFormat="1"/>
    <row r="11626" s="65" customFormat="1"/>
    <row r="11627" s="65" customFormat="1"/>
    <row r="11628" s="65" customFormat="1"/>
    <row r="11629" s="65" customFormat="1"/>
    <row r="11630" s="65" customFormat="1"/>
    <row r="11631" s="65" customFormat="1"/>
    <row r="11632" s="65" customFormat="1"/>
    <row r="11633" s="65" customFormat="1"/>
    <row r="11634" s="65" customFormat="1"/>
    <row r="11635" s="65" customFormat="1"/>
    <row r="11636" s="65" customFormat="1"/>
    <row r="11637" s="65" customFormat="1"/>
    <row r="11638" s="65" customFormat="1"/>
    <row r="11639" s="65" customFormat="1"/>
    <row r="11640" s="65" customFormat="1"/>
    <row r="11641" s="65" customFormat="1"/>
    <row r="11642" s="65" customFormat="1"/>
    <row r="11643" s="65" customFormat="1"/>
    <row r="11644" s="65" customFormat="1"/>
    <row r="11645" s="65" customFormat="1"/>
    <row r="11646" s="65" customFormat="1"/>
    <row r="11647" s="65" customFormat="1"/>
    <row r="11648" s="65" customFormat="1"/>
    <row r="11649" s="65" customFormat="1"/>
    <row r="11650" s="65" customFormat="1"/>
    <row r="11651" s="65" customFormat="1"/>
    <row r="11652" s="65" customFormat="1"/>
    <row r="11653" s="65" customFormat="1"/>
    <row r="11654" s="65" customFormat="1"/>
    <row r="11655" s="65" customFormat="1"/>
    <row r="11656" s="65" customFormat="1"/>
    <row r="11657" s="65" customFormat="1"/>
    <row r="11658" s="65" customFormat="1"/>
    <row r="11659" s="65" customFormat="1"/>
    <row r="11660" s="65" customFormat="1"/>
    <row r="11661" s="65" customFormat="1"/>
    <row r="11662" s="65" customFormat="1"/>
    <row r="11663" s="65" customFormat="1"/>
    <row r="11664" s="65" customFormat="1"/>
    <row r="11665" s="65" customFormat="1"/>
    <row r="11666" s="65" customFormat="1"/>
    <row r="11667" s="65" customFormat="1"/>
    <row r="11668" s="65" customFormat="1"/>
    <row r="11669" s="65" customFormat="1"/>
    <row r="11670" s="65" customFormat="1"/>
    <row r="11671" s="65" customFormat="1"/>
    <row r="11672" s="65" customFormat="1"/>
    <row r="11673" s="65" customFormat="1"/>
    <row r="11674" s="65" customFormat="1"/>
    <row r="11675" s="65" customFormat="1"/>
    <row r="11676" s="65" customFormat="1"/>
    <row r="11677" s="65" customFormat="1"/>
    <row r="11678" s="65" customFormat="1"/>
    <row r="11679" s="65" customFormat="1"/>
    <row r="11680" s="65" customFormat="1"/>
    <row r="11681" s="65" customFormat="1"/>
    <row r="11682" s="65" customFormat="1"/>
    <row r="11683" s="65" customFormat="1"/>
    <row r="11684" s="65" customFormat="1"/>
    <row r="11685" s="65" customFormat="1"/>
    <row r="11686" s="65" customFormat="1"/>
    <row r="11687" s="65" customFormat="1"/>
    <row r="11688" s="65" customFormat="1"/>
    <row r="11689" s="65" customFormat="1"/>
    <row r="11690" s="65" customFormat="1"/>
    <row r="11691" s="65" customFormat="1"/>
    <row r="11692" s="65" customFormat="1"/>
    <row r="11693" s="65" customFormat="1"/>
    <row r="11694" s="65" customFormat="1"/>
    <row r="11695" s="65" customFormat="1"/>
    <row r="11696" s="65" customFormat="1"/>
    <row r="11697" s="65" customFormat="1"/>
    <row r="11698" s="65" customFormat="1"/>
    <row r="11699" s="65" customFormat="1"/>
    <row r="11700" s="65" customFormat="1"/>
    <row r="11701" s="65" customFormat="1"/>
    <row r="11702" s="65" customFormat="1"/>
    <row r="11703" s="65" customFormat="1"/>
    <row r="11704" s="65" customFormat="1"/>
    <row r="11705" s="65" customFormat="1"/>
    <row r="11706" s="65" customFormat="1"/>
    <row r="11707" s="65" customFormat="1"/>
    <row r="11708" s="65" customFormat="1"/>
    <row r="11709" s="65" customFormat="1"/>
    <row r="11710" s="65" customFormat="1"/>
    <row r="11711" s="65" customFormat="1"/>
    <row r="11712" s="65" customFormat="1"/>
    <row r="11713" s="65" customFormat="1"/>
    <row r="11714" s="65" customFormat="1"/>
    <row r="11715" s="65" customFormat="1"/>
    <row r="11716" s="65" customFormat="1"/>
    <row r="11717" s="65" customFormat="1"/>
    <row r="11718" s="65" customFormat="1"/>
    <row r="11719" s="65" customFormat="1"/>
    <row r="11720" s="65" customFormat="1"/>
    <row r="11721" s="65" customFormat="1"/>
    <row r="11722" s="65" customFormat="1"/>
    <row r="11723" s="65" customFormat="1"/>
    <row r="11724" s="65" customFormat="1"/>
    <row r="11725" s="65" customFormat="1"/>
    <row r="11726" s="65" customFormat="1"/>
    <row r="11727" s="65" customFormat="1"/>
    <row r="11728" s="65" customFormat="1"/>
    <row r="11729" s="65" customFormat="1"/>
    <row r="11730" s="65" customFormat="1"/>
    <row r="11731" s="65" customFormat="1"/>
    <row r="11732" s="65" customFormat="1"/>
    <row r="11733" s="65" customFormat="1"/>
    <row r="11734" s="65" customFormat="1"/>
    <row r="11735" s="65" customFormat="1"/>
    <row r="11736" s="65" customFormat="1"/>
    <row r="11737" s="65" customFormat="1"/>
    <row r="11738" s="65" customFormat="1"/>
    <row r="11739" s="65" customFormat="1"/>
    <row r="11740" s="65" customFormat="1"/>
    <row r="11741" s="65" customFormat="1"/>
    <row r="11742" s="65" customFormat="1"/>
    <row r="11743" s="65" customFormat="1"/>
    <row r="11744" s="65" customFormat="1"/>
    <row r="11745" s="65" customFormat="1"/>
    <row r="11746" s="65" customFormat="1"/>
    <row r="11747" s="65" customFormat="1"/>
    <row r="11748" s="65" customFormat="1"/>
    <row r="11749" s="65" customFormat="1"/>
    <row r="11750" s="65" customFormat="1"/>
    <row r="11751" s="65" customFormat="1"/>
    <row r="11752" s="65" customFormat="1"/>
    <row r="11753" s="65" customFormat="1"/>
    <row r="11754" s="65" customFormat="1"/>
    <row r="11755" s="65" customFormat="1"/>
    <row r="11756" s="65" customFormat="1"/>
    <row r="11757" s="65" customFormat="1"/>
    <row r="11758" s="65" customFormat="1"/>
    <row r="11759" s="65" customFormat="1"/>
    <row r="11760" s="65" customFormat="1"/>
    <row r="11761" s="65" customFormat="1"/>
    <row r="11762" s="65" customFormat="1"/>
    <row r="11763" s="65" customFormat="1"/>
    <row r="11764" s="65" customFormat="1"/>
    <row r="11765" s="65" customFormat="1"/>
    <row r="11766" s="65" customFormat="1"/>
    <row r="11767" s="65" customFormat="1"/>
    <row r="11768" s="65" customFormat="1"/>
    <row r="11769" s="65" customFormat="1"/>
    <row r="11770" s="65" customFormat="1"/>
    <row r="11771" s="65" customFormat="1"/>
    <row r="11772" s="65" customFormat="1"/>
    <row r="11773" s="65" customFormat="1"/>
    <row r="11774" s="65" customFormat="1"/>
    <row r="11775" s="65" customFormat="1"/>
    <row r="11776" s="65" customFormat="1"/>
    <row r="11777" s="65" customFormat="1"/>
    <row r="11778" s="65" customFormat="1"/>
    <row r="11779" s="65" customFormat="1"/>
    <row r="11780" s="65" customFormat="1"/>
    <row r="11781" s="65" customFormat="1"/>
    <row r="11782" s="65" customFormat="1"/>
    <row r="11783" s="65" customFormat="1"/>
    <row r="11784" s="65" customFormat="1"/>
    <row r="11785" s="65" customFormat="1"/>
    <row r="11786" s="65" customFormat="1"/>
    <row r="11787" s="65" customFormat="1"/>
    <row r="11788" s="65" customFormat="1"/>
    <row r="11789" s="65" customFormat="1"/>
    <row r="11790" s="65" customFormat="1"/>
    <row r="11791" s="65" customFormat="1"/>
    <row r="11792" s="65" customFormat="1"/>
    <row r="11793" s="65" customFormat="1"/>
    <row r="11794" s="65" customFormat="1"/>
    <row r="11795" s="65" customFormat="1"/>
    <row r="11796" s="65" customFormat="1"/>
    <row r="11797" s="65" customFormat="1"/>
    <row r="11798" s="65" customFormat="1"/>
    <row r="11799" s="65" customFormat="1"/>
    <row r="11800" s="65" customFormat="1"/>
    <row r="11801" s="65" customFormat="1"/>
    <row r="11802" s="65" customFormat="1"/>
    <row r="11803" s="65" customFormat="1"/>
    <row r="11804" s="65" customFormat="1"/>
    <row r="11805" s="65" customFormat="1"/>
    <row r="11806" s="65" customFormat="1"/>
    <row r="11807" s="65" customFormat="1"/>
    <row r="11808" s="65" customFormat="1"/>
    <row r="11809" s="65" customFormat="1"/>
    <row r="11810" s="65" customFormat="1"/>
    <row r="11811" s="65" customFormat="1"/>
    <row r="11812" s="65" customFormat="1"/>
    <row r="11813" s="65" customFormat="1"/>
    <row r="11814" s="65" customFormat="1"/>
    <row r="11815" s="65" customFormat="1"/>
    <row r="11816" s="65" customFormat="1"/>
    <row r="11817" s="65" customFormat="1"/>
    <row r="11818" s="65" customFormat="1"/>
    <row r="11819" s="65" customFormat="1"/>
    <row r="11820" s="65" customFormat="1"/>
    <row r="11821" s="65" customFormat="1"/>
    <row r="11822" s="65" customFormat="1"/>
    <row r="11823" s="65" customFormat="1"/>
    <row r="11824" s="65" customFormat="1"/>
    <row r="11825" s="65" customFormat="1"/>
    <row r="11826" s="65" customFormat="1"/>
    <row r="11827" s="65" customFormat="1"/>
    <row r="11828" s="65" customFormat="1"/>
    <row r="11829" s="65" customFormat="1"/>
    <row r="11830" s="65" customFormat="1"/>
    <row r="11831" s="65" customFormat="1"/>
    <row r="11832" s="65" customFormat="1"/>
    <row r="11833" s="65" customFormat="1"/>
    <row r="11834" s="65" customFormat="1"/>
    <row r="11835" s="65" customFormat="1"/>
    <row r="11836" s="65" customFormat="1"/>
    <row r="11837" s="65" customFormat="1"/>
    <row r="11838" s="65" customFormat="1"/>
    <row r="11839" s="65" customFormat="1"/>
    <row r="11840" s="65" customFormat="1"/>
    <row r="11841" s="65" customFormat="1"/>
    <row r="11842" s="65" customFormat="1"/>
    <row r="11843" s="65" customFormat="1"/>
    <row r="11844" s="65" customFormat="1"/>
    <row r="11845" s="65" customFormat="1"/>
    <row r="11846" s="65" customFormat="1"/>
    <row r="11847" s="65" customFormat="1"/>
    <row r="11848" s="65" customFormat="1"/>
    <row r="11849" s="65" customFormat="1"/>
    <row r="11850" s="65" customFormat="1"/>
    <row r="11851" s="65" customFormat="1"/>
    <row r="11852" s="65" customFormat="1"/>
    <row r="11853" s="65" customFormat="1"/>
    <row r="11854" s="65" customFormat="1"/>
    <row r="11855" s="65" customFormat="1"/>
    <row r="11856" s="65" customFormat="1"/>
    <row r="11857" s="65" customFormat="1"/>
    <row r="11858" s="65" customFormat="1"/>
    <row r="11859" s="65" customFormat="1"/>
    <row r="11860" s="65" customFormat="1"/>
    <row r="11861" s="65" customFormat="1"/>
    <row r="11862" s="65" customFormat="1"/>
    <row r="11863" s="65" customFormat="1"/>
    <row r="11864" s="65" customFormat="1"/>
    <row r="11865" s="65" customFormat="1"/>
    <row r="11866" s="65" customFormat="1"/>
    <row r="11867" s="65" customFormat="1"/>
    <row r="11868" s="65" customFormat="1"/>
    <row r="11869" s="65" customFormat="1"/>
    <row r="11870" s="65" customFormat="1"/>
    <row r="11871" s="65" customFormat="1"/>
    <row r="11872" s="65" customFormat="1"/>
    <row r="11873" s="65" customFormat="1"/>
    <row r="11874" s="65" customFormat="1"/>
    <row r="11875" s="65" customFormat="1"/>
    <row r="11876" s="65" customFormat="1"/>
    <row r="11877" s="65" customFormat="1"/>
    <row r="11878" s="65" customFormat="1"/>
    <row r="11879" s="65" customFormat="1"/>
    <row r="11880" s="65" customFormat="1"/>
    <row r="11881" s="65" customFormat="1"/>
    <row r="11882" s="65" customFormat="1"/>
    <row r="11883" s="65" customFormat="1"/>
    <row r="11884" s="65" customFormat="1"/>
    <row r="11885" s="65" customFormat="1"/>
    <row r="11886" s="65" customFormat="1"/>
    <row r="11887" s="65" customFormat="1"/>
    <row r="11888" s="65" customFormat="1"/>
    <row r="11889" s="65" customFormat="1"/>
    <row r="11890" s="65" customFormat="1"/>
    <row r="11891" s="65" customFormat="1"/>
    <row r="11892" s="65" customFormat="1"/>
    <row r="11893" s="65" customFormat="1"/>
    <row r="11894" s="65" customFormat="1"/>
    <row r="11895" s="65" customFormat="1"/>
    <row r="11896" s="65" customFormat="1"/>
    <row r="11897" s="65" customFormat="1"/>
    <row r="11898" s="65" customFormat="1"/>
    <row r="11899" s="65" customFormat="1"/>
    <row r="11900" s="65" customFormat="1"/>
    <row r="11901" s="65" customFormat="1"/>
    <row r="11902" s="65" customFormat="1"/>
    <row r="11903" s="65" customFormat="1"/>
    <row r="11904" s="65" customFormat="1"/>
    <row r="11905" s="65" customFormat="1"/>
    <row r="11906" s="65" customFormat="1"/>
    <row r="11907" s="65" customFormat="1"/>
    <row r="11908" s="65" customFormat="1"/>
    <row r="11909" s="65" customFormat="1"/>
    <row r="11910" s="65" customFormat="1"/>
    <row r="11911" s="65" customFormat="1"/>
    <row r="11912" s="65" customFormat="1"/>
    <row r="11913" s="65" customFormat="1"/>
    <row r="11914" s="65" customFormat="1"/>
    <row r="11915" s="65" customFormat="1"/>
    <row r="11916" s="65" customFormat="1"/>
    <row r="11917" s="65" customFormat="1"/>
    <row r="11918" s="65" customFormat="1"/>
    <row r="11919" s="65" customFormat="1"/>
    <row r="11920" s="65" customFormat="1"/>
    <row r="11921" s="65" customFormat="1"/>
    <row r="11922" s="65" customFormat="1"/>
    <row r="11923" s="65" customFormat="1"/>
    <row r="11924" s="65" customFormat="1"/>
    <row r="11925" s="65" customFormat="1"/>
    <row r="11926" s="65" customFormat="1"/>
    <row r="11927" s="65" customFormat="1"/>
    <row r="11928" s="65" customFormat="1"/>
    <row r="11929" s="65" customFormat="1"/>
    <row r="11930" s="65" customFormat="1"/>
    <row r="11931" s="65" customFormat="1"/>
    <row r="11932" s="65" customFormat="1"/>
    <row r="11933" s="65" customFormat="1"/>
    <row r="11934" s="65" customFormat="1"/>
    <row r="11935" s="65" customFormat="1"/>
    <row r="11936" s="65" customFormat="1"/>
    <row r="11937" s="65" customFormat="1"/>
    <row r="11938" s="65" customFormat="1"/>
    <row r="11939" s="65" customFormat="1"/>
    <row r="11940" s="65" customFormat="1"/>
    <row r="11941" s="65" customFormat="1"/>
    <row r="11942" s="65" customFormat="1"/>
    <row r="11943" s="65" customFormat="1"/>
    <row r="11944" s="65" customFormat="1"/>
    <row r="11945" s="65" customFormat="1"/>
    <row r="11946" s="65" customFormat="1"/>
    <row r="11947" s="65" customFormat="1"/>
    <row r="11948" s="65" customFormat="1"/>
    <row r="11949" s="65" customFormat="1"/>
    <row r="11950" s="65" customFormat="1"/>
    <row r="11951" s="65" customFormat="1"/>
    <row r="11952" s="65" customFormat="1"/>
    <row r="11953" s="65" customFormat="1"/>
    <row r="11954" s="65" customFormat="1"/>
    <row r="11955" s="65" customFormat="1"/>
    <row r="11956" s="65" customFormat="1"/>
    <row r="11957" s="65" customFormat="1"/>
    <row r="11958" s="65" customFormat="1"/>
    <row r="11959" s="65" customFormat="1"/>
    <row r="11960" s="65" customFormat="1"/>
    <row r="11961" s="65" customFormat="1"/>
    <row r="11962" s="65" customFormat="1"/>
    <row r="11963" s="65" customFormat="1"/>
    <row r="11964" s="65" customFormat="1"/>
    <row r="11965" s="65" customFormat="1"/>
    <row r="11966" s="65" customFormat="1"/>
    <row r="11967" s="65" customFormat="1"/>
    <row r="11968" s="65" customFormat="1"/>
    <row r="11969" s="65" customFormat="1"/>
    <row r="11970" s="65" customFormat="1"/>
    <row r="11971" s="65" customFormat="1"/>
    <row r="11972" s="65" customFormat="1"/>
    <row r="11973" s="65" customFormat="1"/>
    <row r="11974" s="65" customFormat="1"/>
    <row r="11975" s="65" customFormat="1"/>
    <row r="11976" s="65" customFormat="1"/>
    <row r="11977" s="65" customFormat="1"/>
    <row r="11978" s="65" customFormat="1"/>
    <row r="11979" s="65" customFormat="1"/>
    <row r="11980" s="65" customFormat="1"/>
    <row r="11981" s="65" customFormat="1"/>
    <row r="11982" s="65" customFormat="1"/>
    <row r="11983" s="65" customFormat="1"/>
    <row r="11984" s="65" customFormat="1"/>
    <row r="11985" s="65" customFormat="1"/>
    <row r="11986" s="65" customFormat="1"/>
    <row r="11987" s="65" customFormat="1"/>
    <row r="11988" s="65" customFormat="1"/>
    <row r="11989" s="65" customFormat="1"/>
    <row r="11990" s="65" customFormat="1"/>
    <row r="11991" s="65" customFormat="1"/>
    <row r="11992" s="65" customFormat="1"/>
    <row r="11993" s="65" customFormat="1"/>
    <row r="11994" s="65" customFormat="1"/>
    <row r="11995" s="65" customFormat="1"/>
    <row r="11996" s="65" customFormat="1"/>
    <row r="11997" s="65" customFormat="1"/>
    <row r="11998" s="65" customFormat="1"/>
    <row r="11999" s="65" customFormat="1"/>
    <row r="12000" s="65" customFormat="1"/>
    <row r="12001" s="65" customFormat="1"/>
    <row r="12002" s="65" customFormat="1"/>
    <row r="12003" s="65" customFormat="1"/>
    <row r="12004" s="65" customFormat="1"/>
    <row r="12005" s="65" customFormat="1"/>
    <row r="12006" s="65" customFormat="1"/>
    <row r="12007" s="65" customFormat="1"/>
    <row r="12008" s="65" customFormat="1"/>
    <row r="12009" s="65" customFormat="1"/>
    <row r="12010" s="65" customFormat="1"/>
    <row r="12011" s="65" customFormat="1"/>
    <row r="12012" s="65" customFormat="1"/>
    <row r="12013" s="65" customFormat="1"/>
    <row r="12014" s="65" customFormat="1"/>
    <row r="12015" s="65" customFormat="1"/>
    <row r="12016" s="65" customFormat="1"/>
    <row r="12017" s="65" customFormat="1"/>
    <row r="12018" s="65" customFormat="1"/>
    <row r="12019" s="65" customFormat="1"/>
    <row r="12020" s="65" customFormat="1"/>
    <row r="12021" s="65" customFormat="1"/>
    <row r="12022" s="65" customFormat="1"/>
    <row r="12023" s="65" customFormat="1"/>
    <row r="12024" s="65" customFormat="1"/>
    <row r="12025" s="65" customFormat="1"/>
    <row r="12026" s="65" customFormat="1"/>
    <row r="12027" s="65" customFormat="1"/>
    <row r="12028" s="65" customFormat="1"/>
    <row r="12029" s="65" customFormat="1"/>
    <row r="12030" s="65" customFormat="1"/>
    <row r="12031" s="65" customFormat="1"/>
    <row r="12032" s="65" customFormat="1"/>
    <row r="12033" s="65" customFormat="1"/>
    <row r="12034" s="65" customFormat="1"/>
    <row r="12035" s="65" customFormat="1"/>
    <row r="12036" s="65" customFormat="1"/>
    <row r="12037" s="65" customFormat="1"/>
    <row r="12038" s="65" customFormat="1"/>
    <row r="12039" s="65" customFormat="1"/>
    <row r="12040" s="65" customFormat="1"/>
    <row r="12041" s="65" customFormat="1"/>
    <row r="12042" s="65" customFormat="1"/>
    <row r="12043" s="65" customFormat="1"/>
    <row r="12044" s="65" customFormat="1"/>
    <row r="12045" s="65" customFormat="1"/>
    <row r="12046" s="65" customFormat="1"/>
    <row r="12047" s="65" customFormat="1"/>
    <row r="12048" s="65" customFormat="1"/>
    <row r="12049" s="65" customFormat="1"/>
    <row r="12050" s="65" customFormat="1"/>
    <row r="12051" s="65" customFormat="1"/>
    <row r="12052" s="65" customFormat="1"/>
    <row r="12053" s="65" customFormat="1"/>
    <row r="12054" s="65" customFormat="1"/>
    <row r="12055" s="65" customFormat="1"/>
    <row r="12056" s="65" customFormat="1"/>
    <row r="12057" s="65" customFormat="1"/>
    <row r="12058" s="65" customFormat="1"/>
    <row r="12059" s="65" customFormat="1"/>
    <row r="12060" s="65" customFormat="1"/>
    <row r="12061" s="65" customFormat="1"/>
    <row r="12062" s="65" customFormat="1"/>
    <row r="12063" s="65" customFormat="1"/>
    <row r="12064" s="65" customFormat="1"/>
    <row r="12065" s="65" customFormat="1"/>
    <row r="12066" s="65" customFormat="1"/>
    <row r="12067" s="65" customFormat="1"/>
    <row r="12068" s="65" customFormat="1"/>
    <row r="12069" s="65" customFormat="1"/>
    <row r="12070" s="65" customFormat="1"/>
    <row r="12071" s="65" customFormat="1"/>
    <row r="12072" s="65" customFormat="1"/>
    <row r="12073" s="65" customFormat="1"/>
    <row r="12074" s="65" customFormat="1"/>
    <row r="12075" s="65" customFormat="1"/>
    <row r="12076" s="65" customFormat="1"/>
    <row r="12077" s="65" customFormat="1"/>
    <row r="12078" s="65" customFormat="1"/>
    <row r="12079" s="65" customFormat="1"/>
    <row r="12080" s="65" customFormat="1"/>
    <row r="12081" s="65" customFormat="1"/>
    <row r="12082" s="65" customFormat="1"/>
    <row r="12083" s="65" customFormat="1"/>
    <row r="12084" s="65" customFormat="1"/>
    <row r="12085" s="65" customFormat="1"/>
    <row r="12086" s="65" customFormat="1"/>
    <row r="12087" s="65" customFormat="1"/>
    <row r="12088" s="65" customFormat="1"/>
    <row r="12089" s="65" customFormat="1"/>
    <row r="12090" s="65" customFormat="1"/>
    <row r="12091" s="65" customFormat="1"/>
    <row r="12092" s="65" customFormat="1"/>
    <row r="12093" s="65" customFormat="1"/>
    <row r="12094" s="65" customFormat="1"/>
    <row r="12095" s="65" customFormat="1"/>
    <row r="12096" s="65" customFormat="1"/>
    <row r="12097" s="65" customFormat="1"/>
    <row r="12098" s="65" customFormat="1"/>
    <row r="12099" s="65" customFormat="1"/>
    <row r="12100" s="65" customFormat="1"/>
    <row r="12101" s="65" customFormat="1"/>
    <row r="12102" s="65" customFormat="1"/>
    <row r="12103" s="65" customFormat="1"/>
    <row r="12104" s="65" customFormat="1"/>
    <row r="12105" s="65" customFormat="1"/>
    <row r="12106" s="65" customFormat="1"/>
    <row r="12107" s="65" customFormat="1"/>
    <row r="12108" s="65" customFormat="1"/>
    <row r="12109" s="65" customFormat="1"/>
    <row r="12110" s="65" customFormat="1"/>
    <row r="12111" s="65" customFormat="1"/>
    <row r="12112" s="65" customFormat="1"/>
    <row r="12113" s="65" customFormat="1"/>
    <row r="12114" s="65" customFormat="1"/>
    <row r="12115" s="65" customFormat="1"/>
    <row r="12116" s="65" customFormat="1"/>
    <row r="12117" s="65" customFormat="1"/>
    <row r="12118" s="65" customFormat="1"/>
    <row r="12119" s="65" customFormat="1"/>
    <row r="12120" s="65" customFormat="1"/>
    <row r="12121" s="65" customFormat="1"/>
    <row r="12122" s="65" customFormat="1"/>
    <row r="12123" s="65" customFormat="1"/>
    <row r="12124" s="65" customFormat="1"/>
    <row r="12125" s="65" customFormat="1"/>
    <row r="12126" s="65" customFormat="1"/>
    <row r="12127" s="65" customFormat="1"/>
    <row r="12128" s="65" customFormat="1"/>
    <row r="12129" s="65" customFormat="1"/>
    <row r="12130" s="65" customFormat="1"/>
    <row r="12131" s="65" customFormat="1"/>
    <row r="12132" s="65" customFormat="1"/>
    <row r="12133" s="65" customFormat="1"/>
    <row r="12134" s="65" customFormat="1"/>
    <row r="12135" s="65" customFormat="1"/>
    <row r="12136" s="65" customFormat="1"/>
    <row r="12137" s="65" customFormat="1"/>
    <row r="12138" s="65" customFormat="1"/>
    <row r="12139" s="65" customFormat="1"/>
    <row r="12140" s="65" customFormat="1"/>
    <row r="12141" s="65" customFormat="1"/>
    <row r="12142" s="65" customFormat="1"/>
    <row r="12143" s="65" customFormat="1"/>
    <row r="12144" s="65" customFormat="1"/>
    <row r="12145" s="65" customFormat="1"/>
    <row r="12146" s="65" customFormat="1"/>
    <row r="12147" s="65" customFormat="1"/>
    <row r="12148" s="65" customFormat="1"/>
    <row r="12149" s="65" customFormat="1"/>
    <row r="12150" s="65" customFormat="1"/>
    <row r="12151" s="65" customFormat="1"/>
    <row r="12152" s="65" customFormat="1"/>
    <row r="12153" s="65" customFormat="1"/>
    <row r="12154" s="65" customFormat="1"/>
    <row r="12155" s="65" customFormat="1"/>
    <row r="12156" s="65" customFormat="1"/>
    <row r="12157" s="65" customFormat="1"/>
    <row r="12158" s="65" customFormat="1"/>
    <row r="12159" s="65" customFormat="1"/>
    <row r="12160" s="65" customFormat="1"/>
    <row r="12161" s="65" customFormat="1"/>
    <row r="12162" s="65" customFormat="1"/>
    <row r="12163" s="65" customFormat="1"/>
    <row r="12164" s="65" customFormat="1"/>
    <row r="12165" s="65" customFormat="1"/>
    <row r="12166" s="65" customFormat="1"/>
    <row r="12167" s="65" customFormat="1"/>
    <row r="12168" s="65" customFormat="1"/>
    <row r="12169" s="65" customFormat="1"/>
    <row r="12170" s="65" customFormat="1"/>
    <row r="12171" s="65" customFormat="1"/>
    <row r="12172" s="65" customFormat="1"/>
    <row r="12173" s="65" customFormat="1"/>
    <row r="12174" s="65" customFormat="1"/>
    <row r="12175" s="65" customFormat="1"/>
    <row r="12176" s="65" customFormat="1"/>
    <row r="12177" s="65" customFormat="1"/>
    <row r="12178" s="65" customFormat="1"/>
    <row r="12179" s="65" customFormat="1"/>
    <row r="12180" s="65" customFormat="1"/>
    <row r="12181" s="65" customFormat="1"/>
    <row r="12182" s="65" customFormat="1"/>
    <row r="12183" s="65" customFormat="1"/>
    <row r="12184" s="65" customFormat="1"/>
    <row r="12185" s="65" customFormat="1"/>
    <row r="12186" s="65" customFormat="1"/>
    <row r="12187" s="65" customFormat="1"/>
    <row r="12188" s="65" customFormat="1"/>
    <row r="12189" s="65" customFormat="1"/>
    <row r="12190" s="65" customFormat="1"/>
    <row r="12191" s="65" customFormat="1"/>
    <row r="12192" s="65" customFormat="1"/>
    <row r="12193" s="65" customFormat="1"/>
    <row r="12194" s="65" customFormat="1"/>
    <row r="12195" s="65" customFormat="1"/>
    <row r="12196" s="65" customFormat="1"/>
    <row r="12197" s="65" customFormat="1"/>
    <row r="12198" s="65" customFormat="1"/>
    <row r="12199" s="65" customFormat="1"/>
    <row r="12200" s="65" customFormat="1"/>
    <row r="12201" s="65" customFormat="1"/>
    <row r="12202" s="65" customFormat="1"/>
    <row r="12203" s="65" customFormat="1"/>
    <row r="12204" s="65" customFormat="1"/>
    <row r="12205" s="65" customFormat="1"/>
    <row r="12206" s="65" customFormat="1"/>
    <row r="12207" s="65" customFormat="1"/>
    <row r="12208" s="65" customFormat="1"/>
    <row r="12209" s="65" customFormat="1"/>
    <row r="12210" s="65" customFormat="1"/>
    <row r="12211" s="65" customFormat="1"/>
    <row r="12212" s="65" customFormat="1"/>
    <row r="12213" s="65" customFormat="1"/>
    <row r="12214" s="65" customFormat="1"/>
    <row r="12215" s="65" customFormat="1"/>
    <row r="12216" s="65" customFormat="1"/>
    <row r="12217" s="65" customFormat="1"/>
    <row r="12218" s="65" customFormat="1"/>
    <row r="12219" s="65" customFormat="1"/>
    <row r="12220" s="65" customFormat="1"/>
    <row r="12221" s="65" customFormat="1"/>
    <row r="12222" s="65" customFormat="1"/>
    <row r="12223" s="65" customFormat="1"/>
    <row r="12224" s="65" customFormat="1"/>
    <row r="12225" s="65" customFormat="1"/>
    <row r="12226" s="65" customFormat="1"/>
    <row r="12227" s="65" customFormat="1"/>
    <row r="12228" s="65" customFormat="1"/>
    <row r="12229" s="65" customFormat="1"/>
    <row r="12230" s="65" customFormat="1"/>
    <row r="12231" s="65" customFormat="1"/>
    <row r="12232" s="65" customFormat="1"/>
    <row r="12233" s="65" customFormat="1"/>
    <row r="12234" s="65" customFormat="1"/>
    <row r="12235" s="65" customFormat="1"/>
    <row r="12236" s="65" customFormat="1"/>
    <row r="12237" s="65" customFormat="1"/>
    <row r="12238" s="65" customFormat="1"/>
    <row r="12239" s="65" customFormat="1"/>
    <row r="12240" s="65" customFormat="1"/>
    <row r="12241" s="65" customFormat="1"/>
    <row r="12242" s="65" customFormat="1"/>
    <row r="12243" s="65" customFormat="1"/>
    <row r="12244" s="65" customFormat="1"/>
    <row r="12245" s="65" customFormat="1"/>
    <row r="12246" s="65" customFormat="1"/>
    <row r="12247" s="65" customFormat="1"/>
    <row r="12248" s="65" customFormat="1"/>
    <row r="12249" s="65" customFormat="1"/>
    <row r="12250" s="65" customFormat="1"/>
    <row r="12251" s="65" customFormat="1"/>
    <row r="12252" s="65" customFormat="1"/>
    <row r="12253" s="65" customFormat="1"/>
    <row r="12254" s="65" customFormat="1"/>
    <row r="12255" s="65" customFormat="1"/>
    <row r="12256" s="65" customFormat="1"/>
    <row r="12257" s="65" customFormat="1"/>
    <row r="12258" s="65" customFormat="1"/>
    <row r="12259" s="65" customFormat="1"/>
    <row r="12260" s="65" customFormat="1"/>
    <row r="12261" s="65" customFormat="1"/>
    <row r="12262" s="65" customFormat="1"/>
    <row r="12263" s="65" customFormat="1"/>
    <row r="12264" s="65" customFormat="1"/>
    <row r="12265" s="65" customFormat="1"/>
    <row r="12266" s="65" customFormat="1"/>
    <row r="12267" s="65" customFormat="1"/>
    <row r="12268" s="65" customFormat="1"/>
    <row r="12269" s="65" customFormat="1"/>
    <row r="12270" s="65" customFormat="1"/>
    <row r="12271" s="65" customFormat="1"/>
    <row r="12272" s="65" customFormat="1"/>
    <row r="12273" s="65" customFormat="1"/>
    <row r="12274" s="65" customFormat="1"/>
    <row r="12275" s="65" customFormat="1"/>
    <row r="12276" s="65" customFormat="1"/>
    <row r="12277" s="65" customFormat="1"/>
    <row r="12278" s="65" customFormat="1"/>
    <row r="12279" s="65" customFormat="1"/>
    <row r="12280" s="65" customFormat="1"/>
    <row r="12281" s="65" customFormat="1"/>
    <row r="12282" s="65" customFormat="1"/>
    <row r="12283" s="65" customFormat="1"/>
    <row r="12284" s="65" customFormat="1"/>
    <row r="12285" s="65" customFormat="1"/>
    <row r="12286" s="65" customFormat="1"/>
    <row r="12287" s="65" customFormat="1"/>
    <row r="12288" s="65" customFormat="1"/>
    <row r="12289" s="65" customFormat="1"/>
    <row r="12290" s="65" customFormat="1"/>
    <row r="12291" s="65" customFormat="1"/>
    <row r="12292" s="65" customFormat="1"/>
    <row r="12293" s="65" customFormat="1"/>
    <row r="12294" s="65" customFormat="1"/>
    <row r="12295" s="65" customFormat="1"/>
    <row r="12296" s="65" customFormat="1"/>
    <row r="12297" s="65" customFormat="1"/>
    <row r="12298" s="65" customFormat="1"/>
    <row r="12299" s="65" customFormat="1"/>
    <row r="12300" s="65" customFormat="1"/>
    <row r="12301" s="65" customFormat="1"/>
    <row r="12302" s="65" customFormat="1"/>
    <row r="12303" s="65" customFormat="1"/>
    <row r="12304" s="65" customFormat="1"/>
    <row r="12305" s="65" customFormat="1"/>
    <row r="12306" s="65" customFormat="1"/>
    <row r="12307" s="65" customFormat="1"/>
    <row r="12308" s="65" customFormat="1"/>
    <row r="12309" s="65" customFormat="1"/>
    <row r="12310" s="65" customFormat="1"/>
    <row r="12311" s="65" customFormat="1"/>
    <row r="12312" s="65" customFormat="1"/>
    <row r="12313" s="65" customFormat="1"/>
    <row r="12314" s="65" customFormat="1"/>
    <row r="12315" s="65" customFormat="1"/>
    <row r="12316" s="65" customFormat="1"/>
    <row r="12317" s="65" customFormat="1"/>
    <row r="12318" s="65" customFormat="1"/>
    <row r="12319" s="65" customFormat="1"/>
    <row r="12320" s="65" customFormat="1"/>
    <row r="12321" s="65" customFormat="1"/>
    <row r="12322" s="65" customFormat="1"/>
    <row r="12323" s="65" customFormat="1"/>
    <row r="12324" s="65" customFormat="1"/>
    <row r="12325" s="65" customFormat="1"/>
    <row r="12326" s="65" customFormat="1"/>
    <row r="12327" s="65" customFormat="1"/>
    <row r="12328" s="65" customFormat="1"/>
    <row r="12329" s="65" customFormat="1"/>
    <row r="12330" s="65" customFormat="1"/>
    <row r="12331" s="65" customFormat="1"/>
    <row r="12332" s="65" customFormat="1"/>
    <row r="12333" s="65" customFormat="1"/>
    <row r="12334" s="65" customFormat="1"/>
    <row r="12335" s="65" customFormat="1"/>
    <row r="12336" s="65" customFormat="1"/>
    <row r="12337" s="65" customFormat="1"/>
    <row r="12338" s="65" customFormat="1"/>
    <row r="12339" s="65" customFormat="1"/>
    <row r="12340" s="65" customFormat="1"/>
    <row r="12341" s="65" customFormat="1"/>
    <row r="12342" s="65" customFormat="1"/>
    <row r="12343" s="65" customFormat="1"/>
    <row r="12344" s="65" customFormat="1"/>
    <row r="12345" s="65" customFormat="1"/>
    <row r="12346" s="65" customFormat="1"/>
    <row r="12347" s="65" customFormat="1"/>
    <row r="12348" s="65" customFormat="1"/>
    <row r="12349" s="65" customFormat="1"/>
    <row r="12350" s="65" customFormat="1"/>
    <row r="12351" s="65" customFormat="1"/>
    <row r="12352" s="65" customFormat="1"/>
    <row r="12353" s="65" customFormat="1"/>
    <row r="12354" s="65" customFormat="1"/>
    <row r="12355" s="65" customFormat="1"/>
    <row r="12356" s="65" customFormat="1"/>
    <row r="12357" s="65" customFormat="1"/>
    <row r="12358" s="65" customFormat="1"/>
    <row r="12359" s="65" customFormat="1"/>
    <row r="12360" s="65" customFormat="1"/>
    <row r="12361" s="65" customFormat="1"/>
    <row r="12362" s="65" customFormat="1"/>
    <row r="12363" s="65" customFormat="1"/>
    <row r="12364" s="65" customFormat="1"/>
    <row r="12365" s="65" customFormat="1"/>
    <row r="12366" s="65" customFormat="1"/>
    <row r="12367" s="65" customFormat="1"/>
    <row r="12368" s="65" customFormat="1"/>
    <row r="12369" s="65" customFormat="1"/>
    <row r="12370" s="65" customFormat="1"/>
    <row r="12371" s="65" customFormat="1"/>
    <row r="12372" s="65" customFormat="1"/>
    <row r="12373" s="65" customFormat="1"/>
    <row r="12374" s="65" customFormat="1"/>
    <row r="12375" s="65" customFormat="1"/>
    <row r="12376" s="65" customFormat="1"/>
    <row r="12377" s="65" customFormat="1"/>
    <row r="12378" s="65" customFormat="1"/>
    <row r="12379" s="65" customFormat="1"/>
    <row r="12380" s="65" customFormat="1"/>
    <row r="12381" s="65" customFormat="1"/>
    <row r="12382" s="65" customFormat="1"/>
    <row r="12383" s="65" customFormat="1"/>
    <row r="12384" s="65" customFormat="1"/>
    <row r="12385" s="65" customFormat="1"/>
    <row r="12386" s="65" customFormat="1"/>
    <row r="12387" s="65" customFormat="1"/>
    <row r="12388" s="65" customFormat="1"/>
    <row r="12389" s="65" customFormat="1"/>
    <row r="12390" s="65" customFormat="1"/>
    <row r="12391" s="65" customFormat="1"/>
    <row r="12392" s="65" customFormat="1"/>
    <row r="12393" s="65" customFormat="1"/>
    <row r="12394" s="65" customFormat="1"/>
    <row r="12395" s="65" customFormat="1"/>
    <row r="12396" s="65" customFormat="1"/>
    <row r="12397" s="65" customFormat="1"/>
    <row r="12398" s="65" customFormat="1"/>
    <row r="12399" s="65" customFormat="1"/>
    <row r="12400" s="65" customFormat="1"/>
    <row r="12401" s="65" customFormat="1"/>
    <row r="12402" s="65" customFormat="1"/>
    <row r="12403" s="65" customFormat="1"/>
    <row r="12404" s="65" customFormat="1"/>
    <row r="12405" s="65" customFormat="1"/>
    <row r="12406" s="65" customFormat="1"/>
    <row r="12407" s="65" customFormat="1"/>
    <row r="12408" s="65" customFormat="1"/>
    <row r="12409" s="65" customFormat="1"/>
    <row r="12410" s="65" customFormat="1"/>
    <row r="12411" s="65" customFormat="1"/>
    <row r="12412" s="65" customFormat="1"/>
    <row r="12413" s="65" customFormat="1"/>
    <row r="12414" s="65" customFormat="1"/>
    <row r="12415" s="65" customFormat="1"/>
    <row r="12416" s="65" customFormat="1"/>
    <row r="12417" s="65" customFormat="1"/>
    <row r="12418" s="65" customFormat="1"/>
    <row r="12419" s="65" customFormat="1"/>
    <row r="12420" s="65" customFormat="1"/>
    <row r="12421" s="65" customFormat="1"/>
    <row r="12422" s="65" customFormat="1"/>
    <row r="12423" s="65" customFormat="1"/>
    <row r="12424" s="65" customFormat="1"/>
    <row r="12425" s="65" customFormat="1"/>
    <row r="12426" s="65" customFormat="1"/>
    <row r="12427" s="65" customFormat="1"/>
    <row r="12428" s="65" customFormat="1"/>
    <row r="12429" s="65" customFormat="1"/>
    <row r="12430" s="65" customFormat="1"/>
    <row r="12431" s="65" customFormat="1"/>
    <row r="12432" s="65" customFormat="1"/>
    <row r="12433" s="65" customFormat="1"/>
    <row r="12434" s="65" customFormat="1"/>
    <row r="12435" s="65" customFormat="1"/>
    <row r="12436" s="65" customFormat="1"/>
    <row r="12437" s="65" customFormat="1"/>
    <row r="12438" s="65" customFormat="1"/>
    <row r="12439" s="65" customFormat="1"/>
    <row r="12440" s="65" customFormat="1"/>
    <row r="12441" s="65" customFormat="1"/>
    <row r="12442" s="65" customFormat="1"/>
    <row r="12443" s="65" customFormat="1"/>
    <row r="12444" s="65" customFormat="1"/>
    <row r="12445" s="65" customFormat="1"/>
    <row r="12446" s="65" customFormat="1"/>
    <row r="12447" s="65" customFormat="1"/>
    <row r="12448" s="65" customFormat="1"/>
    <row r="12449" s="65" customFormat="1"/>
    <row r="12450" s="65" customFormat="1"/>
    <row r="12451" s="65" customFormat="1"/>
    <row r="12452" s="65" customFormat="1"/>
    <row r="12453" s="65" customFormat="1"/>
    <row r="12454" s="65" customFormat="1"/>
    <row r="12455" s="65" customFormat="1"/>
    <row r="12456" s="65" customFormat="1"/>
    <row r="12457" s="65" customFormat="1"/>
    <row r="12458" s="65" customFormat="1"/>
    <row r="12459" s="65" customFormat="1"/>
    <row r="12460" s="65" customFormat="1"/>
    <row r="12461" s="65" customFormat="1"/>
    <row r="12462" s="65" customFormat="1"/>
    <row r="12463" s="65" customFormat="1"/>
    <row r="12464" s="65" customFormat="1"/>
    <row r="12465" s="65" customFormat="1"/>
    <row r="12466" s="65" customFormat="1"/>
    <row r="12467" s="65" customFormat="1"/>
    <row r="12468" s="65" customFormat="1"/>
    <row r="12469" s="65" customFormat="1"/>
    <row r="12470" s="65" customFormat="1"/>
    <row r="12471" s="65" customFormat="1"/>
    <row r="12472" s="65" customFormat="1"/>
    <row r="12473" s="65" customFormat="1"/>
    <row r="12474" s="65" customFormat="1"/>
    <row r="12475" s="65" customFormat="1"/>
    <row r="12476" s="65" customFormat="1"/>
    <row r="12477" s="65" customFormat="1"/>
    <row r="12478" s="65" customFormat="1"/>
    <row r="12479" s="65" customFormat="1"/>
    <row r="12480" s="65" customFormat="1"/>
    <row r="12481" s="65" customFormat="1"/>
    <row r="12482" s="65" customFormat="1"/>
    <row r="12483" s="65" customFormat="1"/>
    <row r="12484" s="65" customFormat="1"/>
    <row r="12485" s="65" customFormat="1"/>
    <row r="12486" s="65" customFormat="1"/>
    <row r="12487" s="65" customFormat="1"/>
    <row r="12488" s="65" customFormat="1"/>
    <row r="12489" s="65" customFormat="1"/>
    <row r="12490" s="65" customFormat="1"/>
    <row r="12491" s="65" customFormat="1"/>
    <row r="12492" s="65" customFormat="1"/>
    <row r="12493" s="65" customFormat="1"/>
    <row r="12494" s="65" customFormat="1"/>
    <row r="12495" s="65" customFormat="1"/>
    <row r="12496" s="65" customFormat="1"/>
    <row r="12497" s="65" customFormat="1"/>
    <row r="12498" s="65" customFormat="1"/>
    <row r="12499" s="65" customFormat="1"/>
    <row r="12500" s="65" customFormat="1"/>
    <row r="12501" s="65" customFormat="1"/>
    <row r="12502" s="65" customFormat="1"/>
    <row r="12503" s="65" customFormat="1"/>
    <row r="12504" s="65" customFormat="1"/>
    <row r="12505" s="65" customFormat="1"/>
    <row r="12506" s="65" customFormat="1"/>
    <row r="12507" s="65" customFormat="1"/>
    <row r="12508" s="65" customFormat="1"/>
    <row r="12509" s="65" customFormat="1"/>
    <row r="12510" s="65" customFormat="1"/>
    <row r="12511" s="65" customFormat="1"/>
    <row r="12512" s="65" customFormat="1"/>
    <row r="12513" s="65" customFormat="1"/>
    <row r="12514" s="65" customFormat="1"/>
    <row r="12515" s="65" customFormat="1"/>
    <row r="12516" s="65" customFormat="1"/>
    <row r="12517" s="65" customFormat="1"/>
    <row r="12518" s="65" customFormat="1"/>
    <row r="12519" s="65" customFormat="1"/>
    <row r="12520" s="65" customFormat="1"/>
    <row r="12521" s="65" customFormat="1"/>
    <row r="12522" s="65" customFormat="1"/>
    <row r="12523" s="65" customFormat="1"/>
    <row r="12524" s="65" customFormat="1"/>
    <row r="12525" s="65" customFormat="1"/>
    <row r="12526" s="65" customFormat="1"/>
    <row r="12527" s="65" customFormat="1"/>
    <row r="12528" s="65" customFormat="1"/>
    <row r="12529" s="65" customFormat="1"/>
    <row r="12530" s="65" customFormat="1"/>
    <row r="12531" s="65" customFormat="1"/>
    <row r="12532" s="65" customFormat="1"/>
    <row r="12533" s="65" customFormat="1"/>
    <row r="12534" s="65" customFormat="1"/>
    <row r="12535" s="65" customFormat="1"/>
    <row r="12536" s="65" customFormat="1"/>
    <row r="12537" s="65" customFormat="1"/>
    <row r="12538" s="65" customFormat="1"/>
    <row r="12539" s="65" customFormat="1"/>
    <row r="12540" s="65" customFormat="1"/>
    <row r="12541" s="65" customFormat="1"/>
    <row r="12542" s="65" customFormat="1"/>
    <row r="12543" s="65" customFormat="1"/>
    <row r="12544" s="65" customFormat="1"/>
    <row r="12545" s="65" customFormat="1"/>
    <row r="12546" s="65" customFormat="1"/>
    <row r="12547" s="65" customFormat="1"/>
    <row r="12548" s="65" customFormat="1"/>
    <row r="12549" s="65" customFormat="1"/>
    <row r="12550" s="65" customFormat="1"/>
    <row r="12551" s="65" customFormat="1"/>
    <row r="12552" s="65" customFormat="1"/>
    <row r="12553" s="65" customFormat="1"/>
    <row r="12554" s="65" customFormat="1"/>
    <row r="12555" s="65" customFormat="1"/>
    <row r="12556" s="65" customFormat="1"/>
    <row r="12557" s="65" customFormat="1"/>
    <row r="12558" s="65" customFormat="1"/>
    <row r="12559" s="65" customFormat="1"/>
    <row r="12560" s="65" customFormat="1"/>
    <row r="12561" s="65" customFormat="1"/>
    <row r="12562" s="65" customFormat="1"/>
    <row r="12563" s="65" customFormat="1"/>
    <row r="12564" s="65" customFormat="1"/>
    <row r="12565" s="65" customFormat="1"/>
    <row r="12566" s="65" customFormat="1"/>
    <row r="12567" s="65" customFormat="1"/>
    <row r="12568" s="65" customFormat="1"/>
    <row r="12569" s="65" customFormat="1"/>
    <row r="12570" s="65" customFormat="1"/>
    <row r="12571" s="65" customFormat="1"/>
    <row r="12572" s="65" customFormat="1"/>
    <row r="12573" s="65" customFormat="1"/>
    <row r="12574" s="65" customFormat="1"/>
    <row r="12575" s="65" customFormat="1"/>
    <row r="12576" s="65" customFormat="1"/>
    <row r="12577" s="65" customFormat="1"/>
    <row r="12578" s="65" customFormat="1"/>
    <row r="12579" s="65" customFormat="1"/>
    <row r="12580" s="65" customFormat="1"/>
    <row r="12581" s="65" customFormat="1"/>
    <row r="12582" s="65" customFormat="1"/>
    <row r="12583" s="65" customFormat="1"/>
    <row r="12584" s="65" customFormat="1"/>
    <row r="12585" s="65" customFormat="1"/>
    <row r="12586" s="65" customFormat="1"/>
    <row r="12587" s="65" customFormat="1"/>
    <row r="12588" s="65" customFormat="1"/>
    <row r="12589" s="65" customFormat="1"/>
    <row r="12590" s="65" customFormat="1"/>
    <row r="12591" s="65" customFormat="1"/>
    <row r="12592" s="65" customFormat="1"/>
    <row r="12593" s="65" customFormat="1"/>
    <row r="12594" s="65" customFormat="1"/>
    <row r="12595" s="65" customFormat="1"/>
    <row r="12596" s="65" customFormat="1"/>
    <row r="12597" s="65" customFormat="1"/>
    <row r="12598" s="65" customFormat="1"/>
    <row r="12599" s="65" customFormat="1"/>
    <row r="12600" s="65" customFormat="1"/>
    <row r="12601" s="65" customFormat="1"/>
    <row r="12602" s="65" customFormat="1"/>
    <row r="12603" s="65" customFormat="1"/>
    <row r="12604" s="65" customFormat="1"/>
    <row r="12605" s="65" customFormat="1"/>
    <row r="12606" s="65" customFormat="1"/>
    <row r="12607" s="65" customFormat="1"/>
    <row r="12608" s="65" customFormat="1"/>
    <row r="12609" s="65" customFormat="1"/>
    <row r="12610" s="65" customFormat="1"/>
    <row r="12611" s="65" customFormat="1"/>
    <row r="12612" s="65" customFormat="1"/>
    <row r="12613" s="65" customFormat="1"/>
    <row r="12614" s="65" customFormat="1"/>
    <row r="12615" s="65" customFormat="1"/>
    <row r="12616" s="65" customFormat="1"/>
    <row r="12617" s="65" customFormat="1"/>
    <row r="12618" s="65" customFormat="1"/>
    <row r="12619" s="65" customFormat="1"/>
    <row r="12620" s="65" customFormat="1"/>
    <row r="12621" s="65" customFormat="1"/>
    <row r="12622" s="65" customFormat="1"/>
    <row r="12623" s="65" customFormat="1"/>
    <row r="12624" s="65" customFormat="1"/>
    <row r="12625" s="65" customFormat="1"/>
    <row r="12626" s="65" customFormat="1"/>
    <row r="12627" s="65" customFormat="1"/>
    <row r="12628" s="65" customFormat="1"/>
    <row r="12629" s="65" customFormat="1"/>
    <row r="12630" s="65" customFormat="1"/>
    <row r="12631" s="65" customFormat="1"/>
    <row r="12632" s="65" customFormat="1"/>
    <row r="12633" s="65" customFormat="1"/>
    <row r="12634" s="65" customFormat="1"/>
    <row r="12635" s="65" customFormat="1"/>
    <row r="12636" s="65" customFormat="1"/>
    <row r="12637" s="65" customFormat="1"/>
    <row r="12638" s="65" customFormat="1"/>
    <row r="12639" s="65" customFormat="1"/>
    <row r="12640" s="65" customFormat="1"/>
    <row r="12641" s="65" customFormat="1"/>
    <row r="12642" s="65" customFormat="1"/>
    <row r="12643" s="65" customFormat="1"/>
    <row r="12644" s="65" customFormat="1"/>
    <row r="12645" s="65" customFormat="1"/>
    <row r="12646" s="65" customFormat="1"/>
    <row r="12647" s="65" customFormat="1"/>
    <row r="12648" s="65" customFormat="1"/>
    <row r="12649" s="65" customFormat="1"/>
    <row r="12650" s="65" customFormat="1"/>
    <row r="12651" s="65" customFormat="1"/>
    <row r="12652" s="65" customFormat="1"/>
    <row r="12653" s="65" customFormat="1"/>
    <row r="12654" s="65" customFormat="1"/>
    <row r="12655" s="65" customFormat="1"/>
    <row r="12656" s="65" customFormat="1"/>
    <row r="12657" s="65" customFormat="1"/>
    <row r="12658" s="65" customFormat="1"/>
    <row r="12659" s="65" customFormat="1"/>
    <row r="12660" s="65" customFormat="1"/>
    <row r="12661" s="65" customFormat="1"/>
    <row r="12662" s="65" customFormat="1"/>
    <row r="12663" s="65" customFormat="1"/>
    <row r="12664" s="65" customFormat="1"/>
    <row r="12665" s="65" customFormat="1"/>
    <row r="12666" s="65" customFormat="1"/>
    <row r="12667" s="65" customFormat="1"/>
    <row r="12668" s="65" customFormat="1"/>
    <row r="12669" s="65" customFormat="1"/>
    <row r="12670" s="65" customFormat="1"/>
    <row r="12671" s="65" customFormat="1"/>
    <row r="12672" s="65" customFormat="1"/>
    <row r="12673" s="65" customFormat="1"/>
    <row r="12674" s="65" customFormat="1"/>
    <row r="12675" s="65" customFormat="1"/>
    <row r="12676" s="65" customFormat="1"/>
    <row r="12677" s="65" customFormat="1"/>
    <row r="12678" s="65" customFormat="1"/>
    <row r="12679" s="65" customFormat="1"/>
    <row r="12680" s="65" customFormat="1"/>
    <row r="12681" s="65" customFormat="1"/>
    <row r="12682" s="65" customFormat="1"/>
    <row r="12683" s="65" customFormat="1"/>
    <row r="12684" s="65" customFormat="1"/>
    <row r="12685" s="65" customFormat="1"/>
    <row r="12686" s="65" customFormat="1"/>
    <row r="12687" s="65" customFormat="1"/>
    <row r="12688" s="65" customFormat="1"/>
    <row r="12689" s="65" customFormat="1"/>
    <row r="12690" s="65" customFormat="1"/>
    <row r="12691" s="65" customFormat="1"/>
    <row r="12692" s="65" customFormat="1"/>
    <row r="12693" s="65" customFormat="1"/>
    <row r="12694" s="65" customFormat="1"/>
    <row r="12695" s="65" customFormat="1"/>
    <row r="12696" s="65" customFormat="1"/>
    <row r="12697" s="65" customFormat="1"/>
    <row r="12698" s="65" customFormat="1"/>
    <row r="12699" s="65" customFormat="1"/>
    <row r="12700" s="65" customFormat="1"/>
    <row r="12701" s="65" customFormat="1"/>
    <row r="12702" s="65" customFormat="1"/>
    <row r="12703" s="65" customFormat="1"/>
    <row r="12704" s="65" customFormat="1"/>
    <row r="12705" s="65" customFormat="1"/>
    <row r="12706" s="65" customFormat="1"/>
    <row r="12707" s="65" customFormat="1"/>
    <row r="12708" s="65" customFormat="1"/>
    <row r="12709" s="65" customFormat="1"/>
    <row r="12710" s="65" customFormat="1"/>
    <row r="12711" s="65" customFormat="1"/>
    <row r="12712" s="65" customFormat="1"/>
    <row r="12713" s="65" customFormat="1"/>
    <row r="12714" s="65" customFormat="1"/>
    <row r="12715" s="65" customFormat="1"/>
    <row r="12716" s="65" customFormat="1"/>
    <row r="12717" s="65" customFormat="1"/>
    <row r="12718" s="65" customFormat="1"/>
    <row r="12719" s="65" customFormat="1"/>
    <row r="12720" s="65" customFormat="1"/>
    <row r="12721" s="65" customFormat="1"/>
    <row r="12722" s="65" customFormat="1"/>
    <row r="12723" s="65" customFormat="1"/>
    <row r="12724" s="65" customFormat="1"/>
    <row r="12725" s="65" customFormat="1"/>
    <row r="12726" s="65" customFormat="1"/>
    <row r="12727" s="65" customFormat="1"/>
    <row r="12728" s="65" customFormat="1"/>
    <row r="12729" s="65" customFormat="1"/>
    <row r="12730" s="65" customFormat="1"/>
    <row r="12731" s="65" customFormat="1"/>
    <row r="12732" s="65" customFormat="1"/>
    <row r="12733" s="65" customFormat="1"/>
    <row r="12734" s="65" customFormat="1"/>
    <row r="12735" s="65" customFormat="1"/>
    <row r="12736" s="65" customFormat="1"/>
    <row r="12737" s="65" customFormat="1"/>
    <row r="12738" s="65" customFormat="1"/>
    <row r="12739" s="65" customFormat="1"/>
    <row r="12740" s="65" customFormat="1"/>
    <row r="12741" s="65" customFormat="1"/>
    <row r="12742" s="65" customFormat="1"/>
    <row r="12743" s="65" customFormat="1"/>
    <row r="12744" s="65" customFormat="1"/>
    <row r="12745" s="65" customFormat="1"/>
    <row r="12746" s="65" customFormat="1"/>
    <row r="12747" s="65" customFormat="1"/>
    <row r="12748" s="65" customFormat="1"/>
    <row r="12749" s="65" customFormat="1"/>
    <row r="12750" s="65" customFormat="1"/>
    <row r="12751" s="65" customFormat="1"/>
    <row r="12752" s="65" customFormat="1"/>
    <row r="12753" s="65" customFormat="1"/>
    <row r="12754" s="65" customFormat="1"/>
    <row r="12755" s="65" customFormat="1"/>
    <row r="12756" s="65" customFormat="1"/>
    <row r="12757" s="65" customFormat="1"/>
    <row r="12758" s="65" customFormat="1"/>
    <row r="12759" s="65" customFormat="1"/>
    <row r="12760" s="65" customFormat="1"/>
    <row r="12761" s="65" customFormat="1"/>
    <row r="12762" s="65" customFormat="1"/>
    <row r="12763" s="65" customFormat="1"/>
    <row r="12764" s="65" customFormat="1"/>
    <row r="12765" s="65" customFormat="1"/>
    <row r="12766" s="65" customFormat="1"/>
    <row r="12767" s="65" customFormat="1"/>
    <row r="12768" s="65" customFormat="1"/>
    <row r="12769" s="65" customFormat="1"/>
    <row r="12770" s="65" customFormat="1"/>
    <row r="12771" s="65" customFormat="1"/>
    <row r="12772" s="65" customFormat="1"/>
    <row r="12773" s="65" customFormat="1"/>
    <row r="12774" s="65" customFormat="1"/>
    <row r="12775" s="65" customFormat="1"/>
    <row r="12776" s="65" customFormat="1"/>
    <row r="12777" s="65" customFormat="1"/>
    <row r="12778" s="65" customFormat="1"/>
    <row r="12779" s="65" customFormat="1"/>
    <row r="12780" s="65" customFormat="1"/>
    <row r="12781" s="65" customFormat="1"/>
    <row r="12782" s="65" customFormat="1"/>
    <row r="12783" s="65" customFormat="1"/>
    <row r="12784" s="65" customFormat="1"/>
    <row r="12785" s="65" customFormat="1"/>
    <row r="12786" s="65" customFormat="1"/>
    <row r="12787" s="65" customFormat="1"/>
    <row r="12788" s="65" customFormat="1"/>
    <row r="12789" s="65" customFormat="1"/>
    <row r="12790" s="65" customFormat="1"/>
    <row r="12791" s="65" customFormat="1"/>
    <row r="12792" s="65" customFormat="1"/>
    <row r="12793" s="65" customFormat="1"/>
    <row r="12794" s="65" customFormat="1"/>
    <row r="12795" s="65" customFormat="1"/>
    <row r="12796" s="65" customFormat="1"/>
    <row r="12797" s="65" customFormat="1"/>
    <row r="12798" s="65" customFormat="1"/>
    <row r="12799" s="65" customFormat="1"/>
    <row r="12800" s="65" customFormat="1"/>
    <row r="12801" s="65" customFormat="1"/>
    <row r="12802" s="65" customFormat="1"/>
    <row r="12803" s="65" customFormat="1"/>
    <row r="12804" s="65" customFormat="1"/>
    <row r="12805" s="65" customFormat="1"/>
    <row r="12806" s="65" customFormat="1"/>
    <row r="12807" s="65" customFormat="1"/>
    <row r="12808" s="65" customFormat="1"/>
    <row r="12809" s="65" customFormat="1"/>
    <row r="12810" s="65" customFormat="1"/>
    <row r="12811" s="65" customFormat="1"/>
    <row r="12812" s="65" customFormat="1"/>
    <row r="12813" s="65" customFormat="1"/>
    <row r="12814" s="65" customFormat="1"/>
    <row r="12815" s="65" customFormat="1"/>
    <row r="12816" s="65" customFormat="1"/>
    <row r="12817" s="65" customFormat="1"/>
    <row r="12818" s="65" customFormat="1"/>
    <row r="12819" s="65" customFormat="1"/>
    <row r="12820" s="65" customFormat="1"/>
    <row r="12821" s="65" customFormat="1"/>
    <row r="12822" s="65" customFormat="1"/>
    <row r="12823" s="65" customFormat="1"/>
    <row r="12824" s="65" customFormat="1"/>
    <row r="12825" s="65" customFormat="1"/>
    <row r="12826" s="65" customFormat="1"/>
    <row r="12827" s="65" customFormat="1"/>
    <row r="12828" s="65" customFormat="1"/>
    <row r="12829" s="65" customFormat="1"/>
    <row r="12830" s="65" customFormat="1"/>
    <row r="12831" s="65" customFormat="1"/>
    <row r="12832" s="65" customFormat="1"/>
    <row r="12833" s="65" customFormat="1"/>
    <row r="12834" s="65" customFormat="1"/>
    <row r="12835" s="65" customFormat="1"/>
    <row r="12836" s="65" customFormat="1"/>
    <row r="12837" s="65" customFormat="1"/>
    <row r="12838" s="65" customFormat="1"/>
    <row r="12839" s="65" customFormat="1"/>
    <row r="12840" s="65" customFormat="1"/>
    <row r="12841" s="65" customFormat="1"/>
    <row r="12842" s="65" customFormat="1"/>
    <row r="12843" s="65" customFormat="1"/>
    <row r="12844" s="65" customFormat="1"/>
    <row r="12845" s="65" customFormat="1"/>
    <row r="12846" s="65" customFormat="1"/>
    <row r="12847" s="65" customFormat="1"/>
    <row r="12848" s="65" customFormat="1"/>
    <row r="12849" s="65" customFormat="1"/>
    <row r="12850" s="65" customFormat="1"/>
    <row r="12851" s="65" customFormat="1"/>
    <row r="12852" s="65" customFormat="1"/>
    <row r="12853" s="65" customFormat="1"/>
    <row r="12854" s="65" customFormat="1"/>
    <row r="12855" s="65" customFormat="1"/>
    <row r="12856" s="65" customFormat="1"/>
    <row r="12857" s="65" customFormat="1"/>
    <row r="12858" s="65" customFormat="1"/>
    <row r="12859" s="65" customFormat="1"/>
    <row r="12860" s="65" customFormat="1"/>
    <row r="12861" s="65" customFormat="1"/>
    <row r="12862" s="65" customFormat="1"/>
    <row r="12863" s="65" customFormat="1"/>
    <row r="12864" s="65" customFormat="1"/>
    <row r="12865" s="65" customFormat="1"/>
    <row r="12866" s="65" customFormat="1"/>
    <row r="12867" s="65" customFormat="1"/>
    <row r="12868" s="65" customFormat="1"/>
    <row r="12869" s="65" customFormat="1"/>
    <row r="12870" s="65" customFormat="1"/>
    <row r="12871" s="65" customFormat="1"/>
    <row r="12872" s="65" customFormat="1"/>
    <row r="12873" s="65" customFormat="1"/>
    <row r="12874" s="65" customFormat="1"/>
    <row r="12875" s="65" customFormat="1"/>
    <row r="12876" s="65" customFormat="1"/>
    <row r="12877" s="65" customFormat="1"/>
    <row r="12878" s="65" customFormat="1"/>
    <row r="12879" s="65" customFormat="1"/>
    <row r="12880" s="65" customFormat="1"/>
    <row r="12881" s="65" customFormat="1"/>
    <row r="12882" s="65" customFormat="1"/>
    <row r="12883" s="65" customFormat="1"/>
    <row r="12884" s="65" customFormat="1"/>
    <row r="12885" s="65" customFormat="1"/>
    <row r="12886" s="65" customFormat="1"/>
    <row r="12887" s="65" customFormat="1"/>
    <row r="12888" s="65" customFormat="1"/>
    <row r="12889" s="65" customFormat="1"/>
    <row r="12890" s="65" customFormat="1"/>
    <row r="12891" s="65" customFormat="1"/>
    <row r="12892" s="65" customFormat="1"/>
    <row r="12893" s="65" customFormat="1"/>
    <row r="12894" s="65" customFormat="1"/>
    <row r="12895" s="65" customFormat="1"/>
    <row r="12896" s="65" customFormat="1"/>
    <row r="12897" s="65" customFormat="1"/>
    <row r="12898" s="65" customFormat="1"/>
    <row r="12899" s="65" customFormat="1"/>
    <row r="12900" s="65" customFormat="1"/>
    <row r="12901" s="65" customFormat="1"/>
    <row r="12902" s="65" customFormat="1"/>
    <row r="12903" s="65" customFormat="1"/>
    <row r="12904" s="65" customFormat="1"/>
    <row r="12905" s="65" customFormat="1"/>
    <row r="12906" s="65" customFormat="1"/>
    <row r="12907" s="65" customFormat="1"/>
    <row r="12908" s="65" customFormat="1"/>
    <row r="12909" s="65" customFormat="1"/>
    <row r="12910" s="65" customFormat="1"/>
    <row r="12911" s="65" customFormat="1"/>
    <row r="12912" s="65" customFormat="1"/>
    <row r="12913" s="65" customFormat="1"/>
    <row r="12914" s="65" customFormat="1"/>
    <row r="12915" s="65" customFormat="1"/>
    <row r="12916" s="65" customFormat="1"/>
    <row r="12917" s="65" customFormat="1"/>
    <row r="12918" s="65" customFormat="1"/>
    <row r="12919" s="65" customFormat="1"/>
    <row r="12920" s="65" customFormat="1"/>
    <row r="12921" s="65" customFormat="1"/>
    <row r="12922" s="65" customFormat="1"/>
    <row r="12923" s="65" customFormat="1"/>
    <row r="12924" s="65" customFormat="1"/>
    <row r="12925" s="65" customFormat="1"/>
    <row r="12926" s="65" customFormat="1"/>
    <row r="12927" s="65" customFormat="1"/>
    <row r="12928" s="65" customFormat="1"/>
    <row r="12929" s="65" customFormat="1"/>
    <row r="12930" s="65" customFormat="1"/>
    <row r="12931" s="65" customFormat="1"/>
    <row r="12932" s="65" customFormat="1"/>
    <row r="12933" s="65" customFormat="1"/>
    <row r="12934" s="65" customFormat="1"/>
    <row r="12935" s="65" customFormat="1"/>
    <row r="12936" s="65" customFormat="1"/>
    <row r="12937" s="65" customFormat="1"/>
    <row r="12938" s="65" customFormat="1"/>
    <row r="12939" s="65" customFormat="1"/>
    <row r="12940" s="65" customFormat="1"/>
    <row r="12941" s="65" customFormat="1"/>
    <row r="12942" s="65" customFormat="1"/>
    <row r="12943" s="65" customFormat="1"/>
    <row r="12944" s="65" customFormat="1"/>
    <row r="12945" s="65" customFormat="1"/>
    <row r="12946" s="65" customFormat="1"/>
    <row r="12947" s="65" customFormat="1"/>
    <row r="12948" s="65" customFormat="1"/>
    <row r="12949" s="65" customFormat="1"/>
    <row r="12950" s="65" customFormat="1"/>
    <row r="12951" s="65" customFormat="1"/>
    <row r="12952" s="65" customFormat="1"/>
    <row r="12953" s="65" customFormat="1"/>
    <row r="12954" s="65" customFormat="1"/>
    <row r="12955" s="65" customFormat="1"/>
    <row r="12956" s="65" customFormat="1"/>
    <row r="12957" s="65" customFormat="1"/>
    <row r="12958" s="65" customFormat="1"/>
    <row r="12959" s="65" customFormat="1"/>
    <row r="12960" s="65" customFormat="1"/>
    <row r="12961" s="65" customFormat="1"/>
    <row r="12962" s="65" customFormat="1"/>
    <row r="12963" s="65" customFormat="1"/>
    <row r="12964" s="65" customFormat="1"/>
    <row r="12965" s="65" customFormat="1"/>
    <row r="12966" s="65" customFormat="1"/>
    <row r="12967" s="65" customFormat="1"/>
    <row r="12968" s="65" customFormat="1"/>
    <row r="12969" s="65" customFormat="1"/>
    <row r="12970" s="65" customFormat="1"/>
    <row r="12971" s="65" customFormat="1"/>
    <row r="12972" s="65" customFormat="1"/>
    <row r="12973" s="65" customFormat="1"/>
    <row r="12974" s="65" customFormat="1"/>
    <row r="12975" s="65" customFormat="1"/>
    <row r="12976" s="65" customFormat="1"/>
    <row r="12977" s="65" customFormat="1"/>
    <row r="12978" s="65" customFormat="1"/>
    <row r="12979" s="65" customFormat="1"/>
    <row r="12980" s="65" customFormat="1"/>
    <row r="12981" s="65" customFormat="1"/>
    <row r="12982" s="65" customFormat="1"/>
    <row r="12983" s="65" customFormat="1"/>
    <row r="12984" s="65" customFormat="1"/>
    <row r="12985" s="65" customFormat="1"/>
    <row r="12986" s="65" customFormat="1"/>
    <row r="12987" s="65" customFormat="1"/>
    <row r="12988" s="65" customFormat="1"/>
    <row r="12989" s="65" customFormat="1"/>
    <row r="12990" s="65" customFormat="1"/>
    <row r="12991" s="65" customFormat="1"/>
    <row r="12992" s="65" customFormat="1"/>
    <row r="12993" s="65" customFormat="1"/>
    <row r="12994" s="65" customFormat="1"/>
    <row r="12995" s="65" customFormat="1"/>
    <row r="12996" s="65" customFormat="1"/>
    <row r="12997" s="65" customFormat="1"/>
    <row r="12998" s="65" customFormat="1"/>
    <row r="12999" s="65" customFormat="1"/>
    <row r="13000" s="65" customFormat="1"/>
    <row r="13001" s="65" customFormat="1"/>
    <row r="13002" s="65" customFormat="1"/>
    <row r="13003" s="65" customFormat="1"/>
    <row r="13004" s="65" customFormat="1"/>
    <row r="13005" s="65" customFormat="1"/>
    <row r="13006" s="65" customFormat="1"/>
    <row r="13007" s="65" customFormat="1"/>
    <row r="13008" s="65" customFormat="1"/>
    <row r="13009" s="65" customFormat="1"/>
    <row r="13010" s="65" customFormat="1"/>
    <row r="13011" s="65" customFormat="1"/>
    <row r="13012" s="65" customFormat="1"/>
    <row r="13013" s="65" customFormat="1"/>
    <row r="13014" s="65" customFormat="1"/>
    <row r="13015" s="65" customFormat="1"/>
    <row r="13016" s="65" customFormat="1"/>
    <row r="13017" s="65" customFormat="1"/>
    <row r="13018" s="65" customFormat="1"/>
    <row r="13019" s="65" customFormat="1"/>
    <row r="13020" s="65" customFormat="1"/>
    <row r="13021" s="65" customFormat="1"/>
    <row r="13022" s="65" customFormat="1"/>
    <row r="13023" s="65" customFormat="1"/>
    <row r="13024" s="65" customFormat="1"/>
    <row r="13025" s="65" customFormat="1"/>
    <row r="13026" s="65" customFormat="1"/>
    <row r="13027" s="65" customFormat="1"/>
    <row r="13028" s="65" customFormat="1"/>
    <row r="13029" s="65" customFormat="1"/>
    <row r="13030" s="65" customFormat="1"/>
    <row r="13031" s="65" customFormat="1"/>
    <row r="13032" s="65" customFormat="1"/>
    <row r="13033" s="65" customFormat="1"/>
    <row r="13034" s="65" customFormat="1"/>
    <row r="13035" s="65" customFormat="1"/>
    <row r="13036" s="65" customFormat="1"/>
    <row r="13037" s="65" customFormat="1"/>
    <row r="13038" s="65" customFormat="1"/>
    <row r="13039" s="65" customFormat="1"/>
    <row r="13040" s="65" customFormat="1"/>
    <row r="13041" s="65" customFormat="1"/>
    <row r="13042" s="65" customFormat="1"/>
    <row r="13043" s="65" customFormat="1"/>
    <row r="13044" s="65" customFormat="1"/>
    <row r="13045" s="65" customFormat="1"/>
    <row r="13046" s="65" customFormat="1"/>
    <row r="13047" s="65" customFormat="1"/>
    <row r="13048" s="65" customFormat="1"/>
    <row r="13049" s="65" customFormat="1"/>
    <row r="13050" s="65" customFormat="1"/>
    <row r="13051" s="65" customFormat="1"/>
    <row r="13052" s="65" customFormat="1"/>
    <row r="13053" s="65" customFormat="1"/>
    <row r="13054" s="65" customFormat="1"/>
    <row r="13055" s="65" customFormat="1"/>
    <row r="13056" s="65" customFormat="1"/>
    <row r="13057" s="65" customFormat="1"/>
    <row r="13058" s="65" customFormat="1"/>
    <row r="13059" s="65" customFormat="1"/>
    <row r="13060" s="65" customFormat="1"/>
    <row r="13061" s="65" customFormat="1"/>
    <row r="13062" s="65" customFormat="1"/>
    <row r="13063" s="65" customFormat="1"/>
    <row r="13064" s="65" customFormat="1"/>
    <row r="13065" s="65" customFormat="1"/>
    <row r="13066" s="65" customFormat="1"/>
    <row r="13067" s="65" customFormat="1"/>
    <row r="13068" s="65" customFormat="1"/>
    <row r="13069" s="65" customFormat="1"/>
    <row r="13070" s="65" customFormat="1"/>
    <row r="13071" s="65" customFormat="1"/>
    <row r="13072" s="65" customFormat="1"/>
    <row r="13073" s="65" customFormat="1"/>
    <row r="13074" s="65" customFormat="1"/>
    <row r="13075" s="65" customFormat="1"/>
    <row r="13076" s="65" customFormat="1"/>
    <row r="13077" s="65" customFormat="1"/>
    <row r="13078" s="65" customFormat="1"/>
    <row r="13079" s="65" customFormat="1"/>
    <row r="13080" s="65" customFormat="1"/>
    <row r="13081" s="65" customFormat="1"/>
    <row r="13082" s="65" customFormat="1"/>
    <row r="13083" s="65" customFormat="1"/>
    <row r="13084" s="65" customFormat="1"/>
    <row r="13085" s="65" customFormat="1"/>
    <row r="13086" s="65" customFormat="1"/>
    <row r="13087" s="65" customFormat="1"/>
    <row r="13088" s="65" customFormat="1"/>
    <row r="13089" s="65" customFormat="1"/>
    <row r="13090" s="65" customFormat="1"/>
    <row r="13091" s="65" customFormat="1"/>
    <row r="13092" s="65" customFormat="1"/>
    <row r="13093" s="65" customFormat="1"/>
    <row r="13094" s="65" customFormat="1"/>
    <row r="13095" s="65" customFormat="1"/>
    <row r="13096" s="65" customFormat="1"/>
    <row r="13097" s="65" customFormat="1"/>
    <row r="13098" s="65" customFormat="1"/>
    <row r="13099" s="65" customFormat="1"/>
    <row r="13100" s="65" customFormat="1"/>
    <row r="13101" s="65" customFormat="1"/>
    <row r="13102" s="65" customFormat="1"/>
    <row r="13103" s="65" customFormat="1"/>
    <row r="13104" s="65" customFormat="1"/>
    <row r="13105" s="65" customFormat="1"/>
    <row r="13106" s="65" customFormat="1"/>
    <row r="13107" s="65" customFormat="1"/>
    <row r="13108" s="65" customFormat="1"/>
    <row r="13109" s="65" customFormat="1"/>
    <row r="13110" s="65" customFormat="1"/>
    <row r="13111" s="65" customFormat="1"/>
    <row r="13112" s="65" customFormat="1"/>
    <row r="13113" s="65" customFormat="1"/>
    <row r="13114" s="65" customFormat="1"/>
    <row r="13115" s="65" customFormat="1"/>
    <row r="13116" s="65" customFormat="1"/>
    <row r="13117" s="65" customFormat="1"/>
    <row r="13118" s="65" customFormat="1"/>
    <row r="13119" s="65" customFormat="1"/>
    <row r="13120" s="65" customFormat="1"/>
    <row r="13121" s="65" customFormat="1"/>
    <row r="13122" s="65" customFormat="1"/>
    <row r="13123" s="65" customFormat="1"/>
    <row r="13124" s="65" customFormat="1"/>
    <row r="13125" s="65" customFormat="1"/>
    <row r="13126" s="65" customFormat="1"/>
    <row r="13127" s="65" customFormat="1"/>
    <row r="13128" s="65" customFormat="1"/>
    <row r="13129" s="65" customFormat="1"/>
    <row r="13130" s="65" customFormat="1"/>
    <row r="13131" s="65" customFormat="1"/>
    <row r="13132" s="65" customFormat="1"/>
    <row r="13133" s="65" customFormat="1"/>
    <row r="13134" s="65" customFormat="1"/>
    <row r="13135" s="65" customFormat="1"/>
    <row r="13136" s="65" customFormat="1"/>
    <row r="13137" s="65" customFormat="1"/>
    <row r="13138" s="65" customFormat="1"/>
    <row r="13139" s="65" customFormat="1"/>
    <row r="13140" s="65" customFormat="1"/>
    <row r="13141" s="65" customFormat="1"/>
    <row r="13142" s="65" customFormat="1"/>
    <row r="13143" s="65" customFormat="1"/>
    <row r="13144" s="65" customFormat="1"/>
    <row r="13145" s="65" customFormat="1"/>
    <row r="13146" s="65" customFormat="1"/>
    <row r="13147" s="65" customFormat="1"/>
    <row r="13148" s="65" customFormat="1"/>
    <row r="13149" s="65" customFormat="1"/>
    <row r="13150" s="65" customFormat="1"/>
    <row r="13151" s="65" customFormat="1"/>
    <row r="13152" s="65" customFormat="1"/>
    <row r="13153" s="65" customFormat="1"/>
    <row r="13154" s="65" customFormat="1"/>
    <row r="13155" s="65" customFormat="1"/>
    <row r="13156" s="65" customFormat="1"/>
    <row r="13157" s="65" customFormat="1"/>
    <row r="13158" s="65" customFormat="1"/>
    <row r="13159" s="65" customFormat="1"/>
    <row r="13160" s="65" customFormat="1"/>
    <row r="13161" s="65" customFormat="1"/>
    <row r="13162" s="65" customFormat="1"/>
    <row r="13163" s="65" customFormat="1"/>
    <row r="13164" s="65" customFormat="1"/>
    <row r="13165" s="65" customFormat="1"/>
    <row r="13166" s="65" customFormat="1"/>
    <row r="13167" s="65" customFormat="1"/>
    <row r="13168" s="65" customFormat="1"/>
    <row r="13169" s="65" customFormat="1"/>
    <row r="13170" s="65" customFormat="1"/>
    <row r="13171" s="65" customFormat="1"/>
    <row r="13172" s="65" customFormat="1"/>
    <row r="13173" s="65" customFormat="1"/>
    <row r="13174" s="65" customFormat="1"/>
    <row r="13175" s="65" customFormat="1"/>
    <row r="13176" s="65" customFormat="1"/>
    <row r="13177" s="65" customFormat="1"/>
    <row r="13178" s="65" customFormat="1"/>
    <row r="13179" s="65" customFormat="1"/>
    <row r="13180" s="65" customFormat="1"/>
    <row r="13181" s="65" customFormat="1"/>
    <row r="13182" s="65" customFormat="1"/>
    <row r="13183" s="65" customFormat="1"/>
    <row r="13184" s="65" customFormat="1"/>
    <row r="13185" s="65" customFormat="1"/>
    <row r="13186" s="65" customFormat="1"/>
    <row r="13187" s="65" customFormat="1"/>
    <row r="13188" s="65" customFormat="1"/>
    <row r="13189" s="65" customFormat="1"/>
    <row r="13190" s="65" customFormat="1"/>
    <row r="13191" s="65" customFormat="1"/>
    <row r="13192" s="65" customFormat="1"/>
    <row r="13193" s="65" customFormat="1"/>
    <row r="13194" s="65" customFormat="1"/>
    <row r="13195" s="65" customFormat="1"/>
    <row r="13196" s="65" customFormat="1"/>
    <row r="13197" s="65" customFormat="1"/>
    <row r="13198" s="65" customFormat="1"/>
    <row r="13199" s="65" customFormat="1"/>
    <row r="13200" s="65" customFormat="1"/>
    <row r="13201" s="65" customFormat="1"/>
    <row r="13202" s="65" customFormat="1"/>
    <row r="13203" s="65" customFormat="1"/>
    <row r="13204" s="65" customFormat="1"/>
    <row r="13205" s="65" customFormat="1"/>
    <row r="13206" s="65" customFormat="1"/>
    <row r="13207" s="65" customFormat="1"/>
    <row r="13208" s="65" customFormat="1"/>
    <row r="13209" s="65" customFormat="1"/>
    <row r="13210" s="65" customFormat="1"/>
    <row r="13211" s="65" customFormat="1"/>
    <row r="13212" s="65" customFormat="1"/>
    <row r="13213" s="65" customFormat="1"/>
    <row r="13214" s="65" customFormat="1"/>
    <row r="13215" s="65" customFormat="1"/>
    <row r="13216" s="65" customFormat="1"/>
    <row r="13217" s="65" customFormat="1"/>
    <row r="13218" s="65" customFormat="1"/>
    <row r="13219" s="65" customFormat="1"/>
    <row r="13220" s="65" customFormat="1"/>
    <row r="13221" s="65" customFormat="1"/>
    <row r="13222" s="65" customFormat="1"/>
    <row r="13223" s="65" customFormat="1"/>
    <row r="13224" s="65" customFormat="1"/>
    <row r="13225" s="65" customFormat="1"/>
    <row r="13226" s="65" customFormat="1"/>
    <row r="13227" s="65" customFormat="1"/>
    <row r="13228" s="65" customFormat="1"/>
    <row r="13229" s="65" customFormat="1"/>
    <row r="13230" s="65" customFormat="1"/>
    <row r="13231" s="65" customFormat="1"/>
    <row r="13232" s="65" customFormat="1"/>
    <row r="13233" s="65" customFormat="1"/>
    <row r="13234" s="65" customFormat="1"/>
    <row r="13235" s="65" customFormat="1"/>
    <row r="13236" s="65" customFormat="1"/>
    <row r="13237" s="65" customFormat="1"/>
    <row r="13238" s="65" customFormat="1"/>
    <row r="13239" s="65" customFormat="1"/>
    <row r="13240" s="65" customFormat="1"/>
    <row r="13241" s="65" customFormat="1"/>
    <row r="13242" s="65" customFormat="1"/>
    <row r="13243" s="65" customFormat="1"/>
    <row r="13244" s="65" customFormat="1"/>
    <row r="13245" s="65" customFormat="1"/>
    <row r="13246" s="65" customFormat="1"/>
    <row r="13247" s="65" customFormat="1"/>
    <row r="13248" s="65" customFormat="1"/>
    <row r="13249" s="65" customFormat="1"/>
    <row r="13250" s="65" customFormat="1"/>
    <row r="13251" s="65" customFormat="1"/>
    <row r="13252" s="65" customFormat="1"/>
    <row r="13253" s="65" customFormat="1"/>
    <row r="13254" s="65" customFormat="1"/>
    <row r="13255" s="65" customFormat="1"/>
    <row r="13256" s="65" customFormat="1"/>
    <row r="13257" s="65" customFormat="1"/>
    <row r="13258" s="65" customFormat="1"/>
    <row r="13259" s="65" customFormat="1"/>
    <row r="13260" s="65" customFormat="1"/>
    <row r="13261" s="65" customFormat="1"/>
    <row r="13262" s="65" customFormat="1"/>
    <row r="13263" s="65" customFormat="1"/>
    <row r="13264" s="65" customFormat="1"/>
    <row r="13265" s="65" customFormat="1"/>
    <row r="13266" s="65" customFormat="1"/>
    <row r="13267" s="65" customFormat="1"/>
    <row r="13268" s="65" customFormat="1"/>
    <row r="13269" s="65" customFormat="1"/>
    <row r="13270" s="65" customFormat="1"/>
    <row r="13271" s="65" customFormat="1"/>
    <row r="13272" s="65" customFormat="1"/>
    <row r="13273" s="65" customFormat="1"/>
    <row r="13274" s="65" customFormat="1"/>
    <row r="13275" s="65" customFormat="1"/>
    <row r="13276" s="65" customFormat="1"/>
    <row r="13277" s="65" customFormat="1"/>
    <row r="13278" s="65" customFormat="1"/>
    <row r="13279" s="65" customFormat="1"/>
    <row r="13280" s="65" customFormat="1"/>
    <row r="13281" s="65" customFormat="1"/>
    <row r="13282" s="65" customFormat="1"/>
    <row r="13283" s="65" customFormat="1"/>
    <row r="13284" s="65" customFormat="1"/>
    <row r="13285" s="65" customFormat="1"/>
    <row r="13286" s="65" customFormat="1"/>
    <row r="13287" s="65" customFormat="1"/>
    <row r="13288" s="65" customFormat="1"/>
    <row r="13289" s="65" customFormat="1"/>
    <row r="13290" s="65" customFormat="1"/>
    <row r="13291" s="65" customFormat="1"/>
    <row r="13292" s="65" customFormat="1"/>
    <row r="13293" s="65" customFormat="1"/>
    <row r="13294" s="65" customFormat="1"/>
    <row r="13295" s="65" customFormat="1"/>
    <row r="13296" s="65" customFormat="1"/>
    <row r="13297" s="65" customFormat="1"/>
    <row r="13298" s="65" customFormat="1"/>
    <row r="13299" s="65" customFormat="1"/>
    <row r="13300" s="65" customFormat="1"/>
    <row r="13301" s="65" customFormat="1"/>
    <row r="13302" s="65" customFormat="1"/>
    <row r="13303" s="65" customFormat="1"/>
    <row r="13304" s="65" customFormat="1"/>
    <row r="13305" s="65" customFormat="1"/>
    <row r="13306" s="65" customFormat="1"/>
    <row r="13307" s="65" customFormat="1"/>
    <row r="13308" s="65" customFormat="1"/>
    <row r="13309" s="65" customFormat="1"/>
    <row r="13310" s="65" customFormat="1"/>
    <row r="13311" s="65" customFormat="1"/>
    <row r="13312" s="65" customFormat="1"/>
    <row r="13313" s="65" customFormat="1"/>
    <row r="13314" s="65" customFormat="1"/>
    <row r="13315" s="65" customFormat="1"/>
    <row r="13316" s="65" customFormat="1"/>
    <row r="13317" s="65" customFormat="1"/>
    <row r="13318" s="65" customFormat="1"/>
    <row r="13319" s="65" customFormat="1"/>
    <row r="13320" s="65" customFormat="1"/>
    <row r="13321" s="65" customFormat="1"/>
    <row r="13322" s="65" customFormat="1"/>
    <row r="13323" s="65" customFormat="1"/>
    <row r="13324" s="65" customFormat="1"/>
    <row r="13325" s="65" customFormat="1"/>
    <row r="13326" s="65" customFormat="1"/>
    <row r="13327" s="65" customFormat="1"/>
    <row r="13328" s="65" customFormat="1"/>
    <row r="13329" s="65" customFormat="1"/>
    <row r="13330" s="65" customFormat="1"/>
    <row r="13331" s="65" customFormat="1"/>
    <row r="13332" s="65" customFormat="1"/>
    <row r="13333" s="65" customFormat="1"/>
    <row r="13334" s="65" customFormat="1"/>
    <row r="13335" s="65" customFormat="1"/>
    <row r="13336" s="65" customFormat="1"/>
    <row r="13337" s="65" customFormat="1"/>
    <row r="13338" s="65" customFormat="1"/>
    <row r="13339" s="65" customFormat="1"/>
    <row r="13340" s="65" customFormat="1"/>
    <row r="13341" s="65" customFormat="1"/>
    <row r="13342" s="65" customFormat="1"/>
    <row r="13343" s="65" customFormat="1"/>
    <row r="13344" s="65" customFormat="1"/>
    <row r="13345" s="65" customFormat="1"/>
    <row r="13346" s="65" customFormat="1"/>
    <row r="13347" s="65" customFormat="1"/>
    <row r="13348" s="65" customFormat="1"/>
    <row r="13349" s="65" customFormat="1"/>
    <row r="13350" s="65" customFormat="1"/>
    <row r="13351" s="65" customFormat="1"/>
    <row r="13352" s="65" customFormat="1"/>
    <row r="13353" s="65" customFormat="1"/>
    <row r="13354" s="65" customFormat="1"/>
    <row r="13355" s="65" customFormat="1"/>
    <row r="13356" s="65" customFormat="1"/>
    <row r="13357" s="65" customFormat="1"/>
    <row r="13358" s="65" customFormat="1"/>
    <row r="13359" s="65" customFormat="1"/>
    <row r="13360" s="65" customFormat="1"/>
    <row r="13361" s="65" customFormat="1"/>
    <row r="13362" s="65" customFormat="1"/>
    <row r="13363" s="65" customFormat="1"/>
    <row r="13364" s="65" customFormat="1"/>
    <row r="13365" s="65" customFormat="1"/>
    <row r="13366" s="65" customFormat="1"/>
    <row r="13367" s="65" customFormat="1"/>
    <row r="13368" s="65" customFormat="1"/>
    <row r="13369" s="65" customFormat="1"/>
    <row r="13370" s="65" customFormat="1"/>
    <row r="13371" s="65" customFormat="1"/>
    <row r="13372" s="65" customFormat="1"/>
    <row r="13373" s="65" customFormat="1"/>
    <row r="13374" s="65" customFormat="1"/>
    <row r="13375" s="65" customFormat="1"/>
    <row r="13376" s="65" customFormat="1"/>
    <row r="13377" s="65" customFormat="1"/>
    <row r="13378" s="65" customFormat="1"/>
    <row r="13379" s="65" customFormat="1"/>
    <row r="13380" s="65" customFormat="1"/>
    <row r="13381" s="65" customFormat="1"/>
    <row r="13382" s="65" customFormat="1"/>
    <row r="13383" s="65" customFormat="1"/>
    <row r="13384" s="65" customFormat="1"/>
    <row r="13385" s="65" customFormat="1"/>
    <row r="13386" s="65" customFormat="1"/>
    <row r="13387" s="65" customFormat="1"/>
    <row r="13388" s="65" customFormat="1"/>
    <row r="13389" s="65" customFormat="1"/>
    <row r="13390" s="65" customFormat="1"/>
    <row r="13391" s="65" customFormat="1"/>
    <row r="13392" s="65" customFormat="1"/>
    <row r="13393" s="65" customFormat="1"/>
    <row r="13394" s="65" customFormat="1"/>
    <row r="13395" s="65" customFormat="1"/>
    <row r="13396" s="65" customFormat="1"/>
    <row r="13397" s="65" customFormat="1"/>
    <row r="13398" s="65" customFormat="1"/>
    <row r="13399" s="65" customFormat="1"/>
    <row r="13400" s="65" customFormat="1"/>
    <row r="13401" s="65" customFormat="1"/>
    <row r="13402" s="65" customFormat="1"/>
    <row r="13403" s="65" customFormat="1"/>
    <row r="13404" s="65" customFormat="1"/>
    <row r="13405" s="65" customFormat="1"/>
    <row r="13406" s="65" customFormat="1"/>
    <row r="13407" s="65" customFormat="1"/>
    <row r="13408" s="65" customFormat="1"/>
    <row r="13409" s="65" customFormat="1"/>
    <row r="13410" s="65" customFormat="1"/>
    <row r="13411" s="65" customFormat="1"/>
    <row r="13412" s="65" customFormat="1"/>
    <row r="13413" s="65" customFormat="1"/>
    <row r="13414" s="65" customFormat="1"/>
    <row r="13415" s="65" customFormat="1"/>
    <row r="13416" s="65" customFormat="1"/>
    <row r="13417" s="65" customFormat="1"/>
    <row r="13418" s="65" customFormat="1"/>
    <row r="13419" s="65" customFormat="1"/>
    <row r="13420" s="65" customFormat="1"/>
    <row r="13421" s="65" customFormat="1"/>
    <row r="13422" s="65" customFormat="1"/>
    <row r="13423" s="65" customFormat="1"/>
    <row r="13424" s="65" customFormat="1"/>
    <row r="13425" s="65" customFormat="1"/>
    <row r="13426" s="65" customFormat="1"/>
    <row r="13427" s="65" customFormat="1"/>
    <row r="13428" s="65" customFormat="1"/>
    <row r="13429" s="65" customFormat="1"/>
    <row r="13430" s="65" customFormat="1"/>
    <row r="13431" s="65" customFormat="1"/>
    <row r="13432" s="65" customFormat="1"/>
    <row r="13433" s="65" customFormat="1"/>
    <row r="13434" s="65" customFormat="1"/>
    <row r="13435" s="65" customFormat="1"/>
    <row r="13436" s="65" customFormat="1"/>
    <row r="13437" s="65" customFormat="1"/>
    <row r="13438" s="65" customFormat="1"/>
    <row r="13439" s="65" customFormat="1"/>
    <row r="13440" s="65" customFormat="1"/>
    <row r="13441" s="65" customFormat="1"/>
    <row r="13442" s="65" customFormat="1"/>
    <row r="13443" s="65" customFormat="1"/>
    <row r="13444" s="65" customFormat="1"/>
    <row r="13445" s="65" customFormat="1"/>
    <row r="13446" s="65" customFormat="1"/>
    <row r="13447" s="65" customFormat="1"/>
    <row r="13448" s="65" customFormat="1"/>
    <row r="13449" s="65" customFormat="1"/>
    <row r="13450" s="65" customFormat="1"/>
    <row r="13451" s="65" customFormat="1"/>
    <row r="13452" s="65" customFormat="1"/>
    <row r="13453" s="65" customFormat="1"/>
    <row r="13454" s="65" customFormat="1"/>
    <row r="13455" s="65" customFormat="1"/>
    <row r="13456" s="65" customFormat="1"/>
    <row r="13457" s="65" customFormat="1"/>
    <row r="13458" s="65" customFormat="1"/>
    <row r="13459" s="65" customFormat="1"/>
    <row r="13460" s="65" customFormat="1"/>
    <row r="13461" s="65" customFormat="1"/>
    <row r="13462" s="65" customFormat="1"/>
    <row r="13463" s="65" customFormat="1"/>
    <row r="13464" s="65" customFormat="1"/>
    <row r="13465" s="65" customFormat="1"/>
    <row r="13466" s="65" customFormat="1"/>
    <row r="13467" s="65" customFormat="1"/>
    <row r="13468" s="65" customFormat="1"/>
    <row r="13469" s="65" customFormat="1"/>
    <row r="13470" s="65" customFormat="1"/>
    <row r="13471" s="65" customFormat="1"/>
    <row r="13472" s="65" customFormat="1"/>
    <row r="13473" s="65" customFormat="1"/>
    <row r="13474" s="65" customFormat="1"/>
    <row r="13475" s="65" customFormat="1"/>
    <row r="13476" s="65" customFormat="1"/>
    <row r="13477" s="65" customFormat="1"/>
    <row r="13478" s="65" customFormat="1"/>
    <row r="13479" s="65" customFormat="1"/>
    <row r="13480" s="65" customFormat="1"/>
    <row r="13481" s="65" customFormat="1"/>
    <row r="13482" s="65" customFormat="1"/>
    <row r="13483" s="65" customFormat="1"/>
    <row r="13484" s="65" customFormat="1"/>
    <row r="13485" s="65" customFormat="1"/>
    <row r="13486" s="65" customFormat="1"/>
    <row r="13487" s="65" customFormat="1"/>
    <row r="13488" s="65" customFormat="1"/>
    <row r="13489" s="65" customFormat="1"/>
    <row r="13490" s="65" customFormat="1"/>
    <row r="13491" s="65" customFormat="1"/>
    <row r="13492" s="65" customFormat="1"/>
    <row r="13493" s="65" customFormat="1"/>
    <row r="13494" s="65" customFormat="1"/>
    <row r="13495" s="65" customFormat="1"/>
    <row r="13496" s="65" customFormat="1"/>
    <row r="13497" s="65" customFormat="1"/>
    <row r="13498" s="65" customFormat="1"/>
    <row r="13499" s="65" customFormat="1"/>
    <row r="13500" s="65" customFormat="1"/>
    <row r="13501" s="65" customFormat="1"/>
    <row r="13502" s="65" customFormat="1"/>
    <row r="13503" s="65" customFormat="1"/>
    <row r="13504" s="65" customFormat="1"/>
    <row r="13505" s="65" customFormat="1"/>
    <row r="13506" s="65" customFormat="1"/>
    <row r="13507" s="65" customFormat="1"/>
    <row r="13508" s="65" customFormat="1"/>
    <row r="13509" s="65" customFormat="1"/>
    <row r="13510" s="65" customFormat="1"/>
    <row r="13511" s="65" customFormat="1"/>
    <row r="13512" s="65" customFormat="1"/>
    <row r="13513" s="65" customFormat="1"/>
    <row r="13514" s="65" customFormat="1"/>
    <row r="13515" s="65" customFormat="1"/>
    <row r="13516" s="65" customFormat="1"/>
    <row r="13517" s="65" customFormat="1"/>
    <row r="13518" s="65" customFormat="1"/>
    <row r="13519" s="65" customFormat="1"/>
    <row r="13520" s="65" customFormat="1"/>
    <row r="13521" s="65" customFormat="1"/>
    <row r="13522" s="65" customFormat="1"/>
    <row r="13523" s="65" customFormat="1"/>
    <row r="13524" s="65" customFormat="1"/>
    <row r="13525" s="65" customFormat="1"/>
    <row r="13526" s="65" customFormat="1"/>
    <row r="13527" s="65" customFormat="1"/>
    <row r="13528" s="65" customFormat="1"/>
    <row r="13529" s="65" customFormat="1"/>
    <row r="13530" s="65" customFormat="1"/>
    <row r="13531" s="65" customFormat="1"/>
    <row r="13532" s="65" customFormat="1"/>
    <row r="13533" s="65" customFormat="1"/>
    <row r="13534" s="65" customFormat="1"/>
    <row r="13535" s="65" customFormat="1"/>
    <row r="13536" s="65" customFormat="1"/>
    <row r="13537" s="65" customFormat="1"/>
    <row r="13538" s="65" customFormat="1"/>
    <row r="13539" s="65" customFormat="1"/>
    <row r="13540" s="65" customFormat="1"/>
    <row r="13541" s="65" customFormat="1"/>
    <row r="13542" s="65" customFormat="1"/>
    <row r="13543" s="65" customFormat="1"/>
    <row r="13544" s="65" customFormat="1"/>
    <row r="13545" s="65" customFormat="1"/>
    <row r="13546" s="65" customFormat="1"/>
    <row r="13547" s="65" customFormat="1"/>
    <row r="13548" s="65" customFormat="1"/>
    <row r="13549" s="65" customFormat="1"/>
    <row r="13550" s="65" customFormat="1"/>
    <row r="13551" s="65" customFormat="1"/>
    <row r="13552" s="65" customFormat="1"/>
    <row r="13553" s="65" customFormat="1"/>
    <row r="13554" s="65" customFormat="1"/>
    <row r="13555" s="65" customFormat="1"/>
    <row r="13556" s="65" customFormat="1"/>
    <row r="13557" s="65" customFormat="1"/>
    <row r="13558" s="65" customFormat="1"/>
    <row r="13559" s="65" customFormat="1"/>
    <row r="13560" s="65" customFormat="1"/>
    <row r="13561" s="65" customFormat="1"/>
    <row r="13562" s="65" customFormat="1"/>
    <row r="13563" s="65" customFormat="1"/>
    <row r="13564" s="65" customFormat="1"/>
    <row r="13565" s="65" customFormat="1"/>
    <row r="13566" s="65" customFormat="1"/>
    <row r="13567" s="65" customFormat="1"/>
    <row r="13568" s="65" customFormat="1"/>
    <row r="13569" s="65" customFormat="1"/>
    <row r="13570" s="65" customFormat="1"/>
    <row r="13571" s="65" customFormat="1"/>
    <row r="13572" s="65" customFormat="1"/>
    <row r="13573" s="65" customFormat="1"/>
    <row r="13574" s="65" customFormat="1"/>
    <row r="13575" s="65" customFormat="1"/>
    <row r="13576" s="65" customFormat="1"/>
    <row r="13577" s="65" customFormat="1"/>
    <row r="13578" s="65" customFormat="1"/>
    <row r="13579" s="65" customFormat="1"/>
    <row r="13580" s="65" customFormat="1"/>
    <row r="13581" s="65" customFormat="1"/>
    <row r="13582" s="65" customFormat="1"/>
    <row r="13583" s="65" customFormat="1"/>
    <row r="13584" s="65" customFormat="1"/>
    <row r="13585" s="65" customFormat="1"/>
    <row r="13586" s="65" customFormat="1"/>
    <row r="13587" s="65" customFormat="1"/>
    <row r="13588" s="65" customFormat="1"/>
    <row r="13589" s="65" customFormat="1"/>
    <row r="13590" s="65" customFormat="1"/>
    <row r="13591" s="65" customFormat="1"/>
    <row r="13592" s="65" customFormat="1"/>
    <row r="13593" s="65" customFormat="1"/>
    <row r="13594" s="65" customFormat="1"/>
    <row r="13595" s="65" customFormat="1"/>
    <row r="13596" s="65" customFormat="1"/>
    <row r="13597" s="65" customFormat="1"/>
    <row r="13598" s="65" customFormat="1"/>
    <row r="13599" s="65" customFormat="1"/>
    <row r="13600" s="65" customFormat="1"/>
    <row r="13601" s="65" customFormat="1"/>
    <row r="13602" s="65" customFormat="1"/>
    <row r="13603" s="65" customFormat="1"/>
    <row r="13604" s="65" customFormat="1"/>
    <row r="13605" s="65" customFormat="1"/>
    <row r="13606" s="65" customFormat="1"/>
    <row r="13607" s="65" customFormat="1"/>
    <row r="13608" s="65" customFormat="1"/>
    <row r="13609" s="65" customFormat="1"/>
    <row r="13610" s="65" customFormat="1"/>
    <row r="13611" s="65" customFormat="1"/>
    <row r="13612" s="65" customFormat="1"/>
    <row r="13613" s="65" customFormat="1"/>
    <row r="13614" s="65" customFormat="1"/>
    <row r="13615" s="65" customFormat="1"/>
    <row r="13616" s="65" customFormat="1"/>
    <row r="13617" s="65" customFormat="1"/>
    <row r="13618" s="65" customFormat="1"/>
    <row r="13619" s="65" customFormat="1"/>
    <row r="13620" s="65" customFormat="1"/>
    <row r="13621" s="65" customFormat="1"/>
    <row r="13622" s="65" customFormat="1"/>
    <row r="13623" s="65" customFormat="1"/>
    <row r="13624" s="65" customFormat="1"/>
    <row r="13625" s="65" customFormat="1"/>
    <row r="13626" s="65" customFormat="1"/>
    <row r="13627" s="65" customFormat="1"/>
    <row r="13628" s="65" customFormat="1"/>
    <row r="13629" s="65" customFormat="1"/>
    <row r="13630" s="65" customFormat="1"/>
    <row r="13631" s="65" customFormat="1"/>
    <row r="13632" s="65" customFormat="1"/>
    <row r="13633" s="65" customFormat="1"/>
    <row r="13634" s="65" customFormat="1"/>
    <row r="13635" s="65" customFormat="1"/>
    <row r="13636" s="65" customFormat="1"/>
    <row r="13637" s="65" customFormat="1"/>
    <row r="13638" s="65" customFormat="1"/>
    <row r="13639" s="65" customFormat="1"/>
    <row r="13640" s="65" customFormat="1"/>
    <row r="13641" s="65" customFormat="1"/>
    <row r="13642" s="65" customFormat="1"/>
    <row r="13643" s="65" customFormat="1"/>
    <row r="13644" s="65" customFormat="1"/>
    <row r="13645" s="65" customFormat="1"/>
    <row r="13646" s="65" customFormat="1"/>
    <row r="13647" s="65" customFormat="1"/>
    <row r="13648" s="65" customFormat="1"/>
    <row r="13649" s="65" customFormat="1"/>
    <row r="13650" s="65" customFormat="1"/>
    <row r="13651" s="65" customFormat="1"/>
    <row r="13652" s="65" customFormat="1"/>
    <row r="13653" s="65" customFormat="1"/>
    <row r="13654" s="65" customFormat="1"/>
    <row r="13655" s="65" customFormat="1"/>
    <row r="13656" s="65" customFormat="1"/>
    <row r="13657" s="65" customFormat="1"/>
    <row r="13658" s="65" customFormat="1"/>
    <row r="13659" s="65" customFormat="1"/>
    <row r="13660" s="65" customFormat="1"/>
    <row r="13661" s="65" customFormat="1"/>
    <row r="13662" s="65" customFormat="1"/>
    <row r="13663" s="65" customFormat="1"/>
    <row r="13664" s="65" customFormat="1"/>
    <row r="13665" s="65" customFormat="1"/>
    <row r="13666" s="65" customFormat="1"/>
    <row r="13667" s="65" customFormat="1"/>
    <row r="13668" s="65" customFormat="1"/>
    <row r="13669" s="65" customFormat="1"/>
    <row r="13670" s="65" customFormat="1"/>
    <row r="13671" s="65" customFormat="1"/>
    <row r="13672" s="65" customFormat="1"/>
    <row r="13673" s="65" customFormat="1"/>
    <row r="13674" s="65" customFormat="1"/>
    <row r="13675" s="65" customFormat="1"/>
    <row r="13676" s="65" customFormat="1"/>
    <row r="13677" s="65" customFormat="1"/>
    <row r="13678" s="65" customFormat="1"/>
    <row r="13679" s="65" customFormat="1"/>
    <row r="13680" s="65" customFormat="1"/>
    <row r="13681" s="65" customFormat="1"/>
    <row r="13682" s="65" customFormat="1"/>
    <row r="13683" s="65" customFormat="1"/>
    <row r="13684" s="65" customFormat="1"/>
    <row r="13685" s="65" customFormat="1"/>
    <row r="13686" s="65" customFormat="1"/>
    <row r="13687" s="65" customFormat="1"/>
    <row r="13688" s="65" customFormat="1"/>
    <row r="13689" s="65" customFormat="1"/>
    <row r="13690" s="65" customFormat="1"/>
    <row r="13691" s="65" customFormat="1"/>
    <row r="13692" s="65" customFormat="1"/>
    <row r="13693" s="65" customFormat="1"/>
    <row r="13694" s="65" customFormat="1"/>
    <row r="13695" s="65" customFormat="1"/>
    <row r="13696" s="65" customFormat="1"/>
    <row r="13697" s="65" customFormat="1"/>
    <row r="13698" s="65" customFormat="1"/>
    <row r="13699" s="65" customFormat="1"/>
    <row r="13700" s="65" customFormat="1"/>
    <row r="13701" s="65" customFormat="1"/>
    <row r="13702" s="65" customFormat="1"/>
    <row r="13703" s="65" customFormat="1"/>
    <row r="13704" s="65" customFormat="1"/>
    <row r="13705" s="65" customFormat="1"/>
    <row r="13706" s="65" customFormat="1"/>
    <row r="13707" s="65" customFormat="1"/>
    <row r="13708" s="65" customFormat="1"/>
    <row r="13709" s="65" customFormat="1"/>
    <row r="13710" s="65" customFormat="1"/>
    <row r="13711" s="65" customFormat="1"/>
    <row r="13712" s="65" customFormat="1"/>
    <row r="13713" s="65" customFormat="1"/>
    <row r="13714" s="65" customFormat="1"/>
    <row r="13715" s="65" customFormat="1"/>
    <row r="13716" s="65" customFormat="1"/>
    <row r="13717" s="65" customFormat="1"/>
    <row r="13718" s="65" customFormat="1"/>
    <row r="13719" s="65" customFormat="1"/>
    <row r="13720" s="65" customFormat="1"/>
    <row r="13721" s="65" customFormat="1"/>
    <row r="13722" s="65" customFormat="1"/>
    <row r="13723" s="65" customFormat="1"/>
    <row r="13724" s="65" customFormat="1"/>
    <row r="13725" s="65" customFormat="1"/>
    <row r="13726" s="65" customFormat="1"/>
    <row r="13727" s="65" customFormat="1"/>
    <row r="13728" s="65" customFormat="1"/>
    <row r="13729" s="65" customFormat="1"/>
    <row r="13730" s="65" customFormat="1"/>
    <row r="13731" s="65" customFormat="1"/>
    <row r="13732" s="65" customFormat="1"/>
    <row r="13733" s="65" customFormat="1"/>
    <row r="13734" s="65" customFormat="1"/>
    <row r="13735" s="65" customFormat="1"/>
    <row r="13736" s="65" customFormat="1"/>
    <row r="13737" s="65" customFormat="1"/>
    <row r="13738" s="65" customFormat="1"/>
    <row r="13739" s="65" customFormat="1"/>
    <row r="13740" s="65" customFormat="1"/>
    <row r="13741" s="65" customFormat="1"/>
    <row r="13742" s="65" customFormat="1"/>
    <row r="13743" s="65" customFormat="1"/>
    <row r="13744" s="65" customFormat="1"/>
    <row r="13745" s="65" customFormat="1"/>
    <row r="13746" s="65" customFormat="1"/>
    <row r="13747" s="65" customFormat="1"/>
    <row r="13748" s="65" customFormat="1"/>
    <row r="13749" s="65" customFormat="1"/>
    <row r="13750" s="65" customFormat="1"/>
    <row r="13751" s="65" customFormat="1"/>
    <row r="13752" s="65" customFormat="1"/>
    <row r="13753" s="65" customFormat="1"/>
    <row r="13754" s="65" customFormat="1"/>
    <row r="13755" s="65" customFormat="1"/>
    <row r="13756" s="65" customFormat="1"/>
    <row r="13757" s="65" customFormat="1"/>
    <row r="13758" s="65" customFormat="1"/>
    <row r="13759" s="65" customFormat="1"/>
    <row r="13760" s="65" customFormat="1"/>
    <row r="13761" spans="1:4">
      <c r="A13761" s="65"/>
      <c r="D13761" s="65"/>
    </row>
    <row r="13762" spans="1:4">
      <c r="A13762" s="65"/>
      <c r="D13762" s="65"/>
    </row>
    <row r="13763" spans="1:4">
      <c r="A13763" s="65"/>
      <c r="D13763" s="65"/>
    </row>
    <row r="13764" spans="1:4">
      <c r="A13764" s="65"/>
      <c r="D13764" s="65"/>
    </row>
    <row r="13765" spans="1:4">
      <c r="A13765" s="65"/>
      <c r="D13765" s="65"/>
    </row>
    <row r="13766" spans="1:4">
      <c r="A13766" s="65"/>
      <c r="D13766" s="65"/>
    </row>
    <row r="13767" spans="1:4">
      <c r="A13767" s="65"/>
      <c r="D13767" s="65"/>
    </row>
    <row r="13768" spans="1:4">
      <c r="A13768" s="65"/>
      <c r="D13768" s="65"/>
    </row>
    <row r="13769" spans="1:4">
      <c r="A13769" s="65"/>
      <c r="D13769" s="65"/>
    </row>
    <row r="13770" spans="1:4">
      <c r="A13770" s="65"/>
      <c r="D13770" s="65"/>
    </row>
    <row r="13771" spans="1:4">
      <c r="A13771" s="65"/>
      <c r="D13771" s="65"/>
    </row>
    <row r="13772" spans="1:4">
      <c r="A13772" s="65"/>
      <c r="D13772" s="65"/>
    </row>
    <row r="13773" spans="1:4">
      <c r="A13773" s="65"/>
      <c r="D13773" s="65"/>
    </row>
    <row r="13774" spans="1:4">
      <c r="A13774" s="65"/>
      <c r="D13774" s="65"/>
    </row>
    <row r="13775" spans="1:4">
      <c r="A13775" s="65"/>
      <c r="D13775" s="65"/>
    </row>
    <row r="13776" spans="1:4">
      <c r="D13776" s="65"/>
    </row>
    <row r="13777" s="65" customFormat="1"/>
    <row r="13778" s="65" customFormat="1"/>
    <row r="13779" s="65" customFormat="1"/>
    <row r="13780" s="65" customFormat="1"/>
    <row r="13781" s="65" customFormat="1"/>
    <row r="13782" s="65" customFormat="1"/>
    <row r="13783" s="65" customFormat="1"/>
    <row r="13784" s="65" customFormat="1"/>
    <row r="13785" s="65" customFormat="1"/>
    <row r="13786" s="65" customFormat="1"/>
    <row r="13787" s="65" customFormat="1"/>
    <row r="13788" s="65" customFormat="1"/>
    <row r="13789" s="65" customFormat="1"/>
    <row r="13790" s="65" customFormat="1"/>
    <row r="13791" s="65" customFormat="1"/>
    <row r="13792" s="65" customFormat="1"/>
    <row r="13793" s="65" customFormat="1"/>
    <row r="13794" s="65" customFormat="1"/>
    <row r="13795" s="65" customFormat="1"/>
    <row r="13796" s="65" customFormat="1"/>
    <row r="13797" s="65" customFormat="1"/>
    <row r="13798" s="65" customFormat="1"/>
    <row r="13799" s="65" customFormat="1"/>
    <row r="13800" s="65" customFormat="1"/>
    <row r="13801" s="65" customFormat="1"/>
    <row r="13802" s="65" customFormat="1"/>
    <row r="13803" s="65" customFormat="1"/>
    <row r="13804" s="65" customFormat="1"/>
    <row r="13805" s="65" customFormat="1"/>
    <row r="13806" s="65" customFormat="1"/>
    <row r="13807" s="65" customFormat="1"/>
    <row r="13808" s="65" customFormat="1"/>
    <row r="13809" s="65" customFormat="1"/>
    <row r="13810" s="65" customFormat="1"/>
    <row r="13811" s="65" customFormat="1"/>
    <row r="13812" s="65" customFormat="1"/>
    <row r="13813" s="65" customFormat="1"/>
    <row r="13814" s="65" customFormat="1"/>
    <row r="13815" s="65" customFormat="1"/>
    <row r="13816" s="65" customFormat="1"/>
    <row r="13817" s="65" customFormat="1"/>
    <row r="13818" s="65" customFormat="1"/>
    <row r="13819" s="65" customFormat="1"/>
    <row r="13820" s="65" customFormat="1"/>
    <row r="13821" s="65" customFormat="1"/>
    <row r="13822" s="65" customFormat="1"/>
    <row r="13823" s="65" customFormat="1"/>
    <row r="13824" s="65" customFormat="1"/>
    <row r="13825" s="65" customFormat="1"/>
    <row r="13826" s="65" customFormat="1"/>
    <row r="13827" s="65" customFormat="1"/>
    <row r="13828" s="65" customFormat="1"/>
    <row r="13829" s="65" customFormat="1"/>
    <row r="13830" s="65" customFormat="1"/>
    <row r="13831" s="65" customFormat="1"/>
    <row r="13832" s="65" customFormat="1"/>
    <row r="13833" s="65" customFormat="1"/>
    <row r="13834" s="65" customFormat="1"/>
    <row r="13835" s="65" customFormat="1"/>
    <row r="13836" s="65" customFormat="1"/>
    <row r="13837" s="65" customFormat="1"/>
    <row r="13838" s="65" customFormat="1"/>
    <row r="13839" s="65" customFormat="1"/>
    <row r="13840" s="65" customFormat="1"/>
    <row r="13841" s="65" customFormat="1"/>
    <row r="13842" s="65" customFormat="1"/>
    <row r="13843" s="65" customFormat="1"/>
    <row r="13844" s="65" customFormat="1"/>
    <row r="13845" s="65" customFormat="1"/>
    <row r="13846" s="65" customFormat="1"/>
    <row r="13847" s="65" customFormat="1"/>
    <row r="13848" s="65" customFormat="1"/>
    <row r="13849" s="65" customFormat="1"/>
    <row r="13850" s="65" customFormat="1"/>
    <row r="13851" s="65" customFormat="1"/>
    <row r="13852" s="65" customFormat="1"/>
    <row r="13853" s="65" customFormat="1"/>
    <row r="13854" s="65" customFormat="1"/>
    <row r="13855" s="65" customFormat="1"/>
    <row r="13856" s="65" customFormat="1"/>
    <row r="13857" s="65" customFormat="1"/>
    <row r="13858" s="65" customFormat="1"/>
    <row r="13859" s="65" customFormat="1"/>
    <row r="13860" s="65" customFormat="1"/>
    <row r="13861" s="65" customFormat="1"/>
    <row r="13862" s="65" customFormat="1"/>
    <row r="13863" s="65" customFormat="1"/>
    <row r="13864" s="65" customFormat="1"/>
    <row r="13865" s="65" customFormat="1"/>
    <row r="13866" s="65" customFormat="1"/>
    <row r="13867" s="65" customFormat="1"/>
    <row r="13868" s="65" customFormat="1"/>
    <row r="13869" s="65" customFormat="1"/>
    <row r="13870" s="65" customFormat="1"/>
    <row r="13871" s="65" customFormat="1"/>
    <row r="13872" s="65" customFormat="1"/>
    <row r="13873" s="65" customFormat="1"/>
    <row r="13874" s="65" customFormat="1"/>
    <row r="13875" s="65" customFormat="1"/>
    <row r="13876" s="65" customFormat="1"/>
    <row r="13877" s="65" customFormat="1"/>
    <row r="13878" s="65" customFormat="1"/>
    <row r="13879" s="65" customFormat="1"/>
    <row r="13880" s="65" customFormat="1"/>
    <row r="13881" s="65" customFormat="1"/>
    <row r="13882" s="65" customFormat="1"/>
    <row r="13883" s="65" customFormat="1"/>
    <row r="13884" s="65" customFormat="1"/>
    <row r="13885" s="65" customFormat="1"/>
    <row r="13886" s="65" customFormat="1"/>
    <row r="13887" s="65" customFormat="1"/>
    <row r="13888" s="65" customFormat="1"/>
    <row r="13889" s="65" customFormat="1"/>
    <row r="13890" s="65" customFormat="1"/>
    <row r="13891" s="65" customFormat="1"/>
    <row r="13892" s="65" customFormat="1"/>
    <row r="13893" s="65" customFormat="1"/>
    <row r="13894" s="65" customFormat="1"/>
    <row r="13895" s="65" customFormat="1"/>
    <row r="13896" s="65" customFormat="1"/>
    <row r="13897" s="65" customFormat="1"/>
    <row r="13898" s="65" customFormat="1"/>
    <row r="13899" s="65" customFormat="1"/>
    <row r="13900" s="65" customFormat="1"/>
    <row r="13901" s="65" customFormat="1"/>
    <row r="13902" s="65" customFormat="1"/>
    <row r="13903" s="65" customFormat="1"/>
    <row r="13904" s="65" customFormat="1"/>
    <row r="13905" s="65" customFormat="1"/>
    <row r="13906" s="65" customFormat="1"/>
    <row r="13907" s="65" customFormat="1"/>
    <row r="13908" s="65" customFormat="1"/>
    <row r="13909" s="65" customFormat="1"/>
    <row r="13910" s="65" customFormat="1"/>
    <row r="13911" s="65" customFormat="1"/>
    <row r="13912" s="65" customFormat="1"/>
    <row r="13913" s="65" customFormat="1"/>
    <row r="13914" s="65" customFormat="1"/>
    <row r="13915" s="65" customFormat="1"/>
    <row r="13916" s="65" customFormat="1"/>
    <row r="13917" s="65" customFormat="1"/>
    <row r="13918" s="65" customFormat="1"/>
    <row r="13919" s="65" customFormat="1"/>
    <row r="13920" s="65" customFormat="1"/>
    <row r="13921" s="65" customFormat="1"/>
    <row r="13922" s="65" customFormat="1"/>
    <row r="13923" s="65" customFormat="1"/>
    <row r="13924" s="65" customFormat="1"/>
    <row r="13925" s="65" customFormat="1"/>
    <row r="13926" s="65" customFormat="1"/>
    <row r="13927" s="65" customFormat="1"/>
    <row r="13928" s="65" customFormat="1"/>
    <row r="13929" s="65" customFormat="1"/>
    <row r="13930" s="65" customFormat="1"/>
    <row r="13931" s="65" customFormat="1"/>
    <row r="13932" s="65" customFormat="1"/>
    <row r="13933" s="65" customFormat="1"/>
    <row r="13934" s="65" customFormat="1"/>
    <row r="13935" s="65" customFormat="1"/>
    <row r="13936" s="65" customFormat="1"/>
    <row r="13937" s="65" customFormat="1"/>
    <row r="13938" s="65" customFormat="1"/>
    <row r="13939" s="65" customFormat="1"/>
    <row r="13940" s="65" customFormat="1"/>
    <row r="13941" s="65" customFormat="1"/>
    <row r="13942" s="65" customFormat="1"/>
    <row r="13943" s="65" customFormat="1"/>
    <row r="13944" s="65" customFormat="1"/>
    <row r="13945" s="65" customFormat="1"/>
    <row r="13946" s="65" customFormat="1"/>
    <row r="13947" s="65" customFormat="1"/>
    <row r="13948" s="65" customFormat="1"/>
    <row r="13949" s="65" customFormat="1"/>
    <row r="13950" s="65" customFormat="1"/>
    <row r="13951" s="65" customFormat="1"/>
    <row r="13952" s="65" customFormat="1"/>
    <row r="13953" s="65" customFormat="1"/>
    <row r="13954" s="65" customFormat="1"/>
    <row r="13955" s="65" customFormat="1"/>
    <row r="13956" s="65" customFormat="1"/>
    <row r="13957" s="65" customFormat="1"/>
    <row r="13958" s="65" customFormat="1"/>
    <row r="13959" s="65" customFormat="1"/>
    <row r="13960" s="65" customFormat="1"/>
    <row r="13961" s="65" customFormat="1"/>
    <row r="13962" s="65" customFormat="1"/>
    <row r="13963" s="65" customFormat="1"/>
    <row r="13964" s="65" customFormat="1"/>
    <row r="13965" s="65" customFormat="1"/>
    <row r="13966" s="65" customFormat="1"/>
    <row r="13967" s="65" customFormat="1"/>
    <row r="13968" s="65" customFormat="1"/>
    <row r="13969" s="65" customFormat="1"/>
    <row r="13970" s="65" customFormat="1"/>
    <row r="13971" s="65" customFormat="1"/>
    <row r="13972" s="65" customFormat="1"/>
    <row r="13973" s="65" customFormat="1"/>
    <row r="13974" s="65" customFormat="1"/>
    <row r="13975" s="65" customFormat="1"/>
    <row r="13976" s="65" customFormat="1"/>
    <row r="13977" s="65" customFormat="1"/>
    <row r="13978" s="65" customFormat="1"/>
    <row r="13979" s="65" customFormat="1"/>
    <row r="13980" s="65" customFormat="1"/>
    <row r="13981" s="65" customFormat="1"/>
    <row r="13982" s="65" customFormat="1"/>
    <row r="13983" s="65" customFormat="1"/>
    <row r="13984" s="65" customFormat="1"/>
    <row r="13985" s="65" customFormat="1"/>
    <row r="13986" s="65" customFormat="1"/>
    <row r="13987" s="65" customFormat="1"/>
    <row r="13988" s="65" customFormat="1"/>
    <row r="13989" s="65" customFormat="1"/>
    <row r="13990" s="65" customFormat="1"/>
    <row r="13991" s="65" customFormat="1"/>
    <row r="13992" s="65" customFormat="1"/>
    <row r="13993" s="65" customFormat="1"/>
    <row r="13994" s="65" customFormat="1"/>
    <row r="13995" s="65" customFormat="1"/>
    <row r="13996" s="65" customFormat="1"/>
    <row r="13997" s="65" customFormat="1"/>
    <row r="13998" s="65" customFormat="1"/>
    <row r="13999" s="65" customFormat="1"/>
    <row r="14000" s="65" customFormat="1"/>
    <row r="14001" s="65" customFormat="1"/>
    <row r="14002" s="65" customFormat="1"/>
    <row r="14003" s="65" customFormat="1"/>
    <row r="14004" s="65" customFormat="1"/>
    <row r="14005" s="65" customFormat="1"/>
    <row r="14006" s="65" customFormat="1"/>
    <row r="14007" s="65" customFormat="1"/>
    <row r="14008" s="65" customFormat="1"/>
    <row r="14009" s="65" customFormat="1"/>
    <row r="14010" s="65" customFormat="1"/>
    <row r="14011" s="65" customFormat="1"/>
    <row r="14012" s="65" customFormat="1"/>
    <row r="14013" s="65" customFormat="1"/>
    <row r="14014" s="65" customFormat="1"/>
    <row r="14015" s="65" customFormat="1"/>
    <row r="14016" s="65" customFormat="1"/>
    <row r="14017" s="65" customFormat="1"/>
    <row r="14018" s="65" customFormat="1"/>
    <row r="14019" s="65" customFormat="1"/>
    <row r="14020" s="65" customFormat="1"/>
    <row r="14021" s="65" customFormat="1"/>
    <row r="14022" s="65" customFormat="1"/>
    <row r="14023" s="65" customFormat="1"/>
    <row r="14024" s="65" customFormat="1"/>
    <row r="14025" s="65" customFormat="1"/>
    <row r="14026" s="65" customFormat="1"/>
    <row r="14027" s="65" customFormat="1"/>
    <row r="14028" s="65" customFormat="1"/>
    <row r="14029" s="65" customFormat="1"/>
    <row r="14030" s="65" customFormat="1"/>
    <row r="14031" s="65" customFormat="1"/>
    <row r="14032" s="65" customFormat="1"/>
    <row r="14033" s="65" customFormat="1"/>
    <row r="14034" s="65" customFormat="1"/>
    <row r="14035" s="65" customFormat="1"/>
    <row r="14036" s="65" customFormat="1"/>
    <row r="14037" s="65" customFormat="1"/>
    <row r="14038" s="65" customFormat="1"/>
    <row r="14039" s="65" customFormat="1"/>
    <row r="14040" s="65" customFormat="1"/>
    <row r="14041" s="65" customFormat="1"/>
    <row r="14042" s="65" customFormat="1"/>
    <row r="14043" s="65" customFormat="1"/>
    <row r="14044" s="65" customFormat="1"/>
    <row r="14045" s="65" customFormat="1"/>
    <row r="14046" s="65" customFormat="1"/>
    <row r="14047" s="65" customFormat="1"/>
    <row r="14048" s="65" customFormat="1"/>
    <row r="14049" s="65" customFormat="1"/>
    <row r="14050" s="65" customFormat="1"/>
    <row r="14051" s="65" customFormat="1"/>
    <row r="14052" s="65" customFormat="1"/>
    <row r="14053" s="65" customFormat="1"/>
    <row r="14054" s="65" customFormat="1"/>
    <row r="14055" s="65" customFormat="1"/>
    <row r="14056" s="65" customFormat="1"/>
    <row r="14057" s="65" customFormat="1"/>
    <row r="14058" s="65" customFormat="1"/>
    <row r="14059" s="65" customFormat="1"/>
    <row r="14060" s="65" customFormat="1"/>
    <row r="14061" s="65" customFormat="1"/>
    <row r="14062" s="65" customFormat="1"/>
    <row r="14063" s="65" customFormat="1"/>
    <row r="14064" s="65" customFormat="1"/>
    <row r="14065" s="65" customFormat="1"/>
    <row r="14066" s="65" customFormat="1"/>
    <row r="14067" s="65" customFormat="1"/>
    <row r="14068" s="65" customFormat="1"/>
    <row r="14069" s="65" customFormat="1"/>
    <row r="14070" s="65" customFormat="1"/>
    <row r="14071" s="65" customFormat="1"/>
    <row r="14072" s="65" customFormat="1"/>
    <row r="14073" s="65" customFormat="1"/>
    <row r="14074" s="65" customFormat="1"/>
    <row r="14075" s="65" customFormat="1"/>
    <row r="14076" s="65" customFormat="1"/>
    <row r="14077" s="65" customFormat="1"/>
    <row r="14078" s="65" customFormat="1"/>
    <row r="14079" s="65" customFormat="1"/>
    <row r="14080" s="65" customFormat="1"/>
    <row r="14081" s="65" customFormat="1"/>
    <row r="14082" s="65" customFormat="1"/>
    <row r="14083" s="65" customFormat="1"/>
    <row r="14084" s="65" customFormat="1"/>
    <row r="14085" s="65" customFormat="1"/>
    <row r="14086" s="65" customFormat="1"/>
    <row r="14087" s="65" customFormat="1"/>
    <row r="14088" s="65" customFormat="1"/>
    <row r="14089" s="65" customFormat="1"/>
    <row r="14090" s="65" customFormat="1"/>
    <row r="14091" s="65" customFormat="1"/>
    <row r="14092" s="65" customFormat="1"/>
    <row r="14093" s="65" customFormat="1"/>
    <row r="14094" s="65" customFormat="1"/>
    <row r="14095" s="65" customFormat="1"/>
    <row r="14096" s="65" customFormat="1"/>
    <row r="14097" s="65" customFormat="1"/>
    <row r="14098" s="65" customFormat="1"/>
    <row r="14099" s="65" customFormat="1"/>
    <row r="14100" s="65" customFormat="1"/>
    <row r="14101" s="65" customFormat="1"/>
    <row r="14102" s="65" customFormat="1"/>
    <row r="14103" s="65" customFormat="1"/>
    <row r="14104" s="65" customFormat="1"/>
    <row r="14105" s="65" customFormat="1"/>
    <row r="14106" s="65" customFormat="1"/>
    <row r="14107" s="65" customFormat="1"/>
    <row r="14108" s="65" customFormat="1"/>
    <row r="14109" s="65" customFormat="1"/>
    <row r="14110" s="65" customFormat="1"/>
    <row r="14111" s="65" customFormat="1"/>
    <row r="14112" s="65" customFormat="1"/>
    <row r="14113" s="65" customFormat="1"/>
    <row r="14114" s="65" customFormat="1"/>
    <row r="14115" s="65" customFormat="1"/>
    <row r="14116" s="65" customFormat="1"/>
    <row r="14117" s="65" customFormat="1"/>
    <row r="14118" s="65" customFormat="1"/>
    <row r="14119" s="65" customFormat="1"/>
    <row r="14120" s="65" customFormat="1"/>
    <row r="14121" s="65" customFormat="1"/>
    <row r="14122" s="65" customFormat="1"/>
    <row r="14123" s="65" customFormat="1"/>
    <row r="14124" s="65" customFormat="1"/>
    <row r="14125" s="65" customFormat="1"/>
    <row r="14126" s="65" customFormat="1"/>
    <row r="14127" s="65" customFormat="1"/>
    <row r="14128" s="65" customFormat="1"/>
    <row r="14129" s="65" customFormat="1"/>
    <row r="14130" s="65" customFormat="1"/>
    <row r="14131" s="65" customFormat="1"/>
    <row r="14132" s="65" customFormat="1"/>
    <row r="14133" s="65" customFormat="1"/>
    <row r="14134" s="65" customFormat="1"/>
    <row r="14135" s="65" customFormat="1"/>
    <row r="14136" s="65" customFormat="1"/>
    <row r="14137" s="65" customFormat="1"/>
    <row r="14138" s="65" customFormat="1"/>
    <row r="14139" s="65" customFormat="1"/>
    <row r="14140" s="65" customFormat="1"/>
    <row r="14141" s="65" customFormat="1"/>
    <row r="14142" s="65" customFormat="1"/>
    <row r="14143" s="65" customFormat="1"/>
    <row r="14144" s="65" customFormat="1"/>
    <row r="14145" s="65" customFormat="1"/>
    <row r="14146" s="65" customFormat="1"/>
    <row r="14147" s="65" customFormat="1"/>
    <row r="14148" s="65" customFormat="1"/>
    <row r="14149" s="65" customFormat="1"/>
    <row r="14150" s="65" customFormat="1"/>
    <row r="14151" s="65" customFormat="1"/>
    <row r="14152" s="65" customFormat="1"/>
    <row r="14153" s="65" customFormat="1"/>
    <row r="14154" s="65" customFormat="1"/>
    <row r="14155" s="65" customFormat="1"/>
    <row r="14156" s="65" customFormat="1"/>
    <row r="14157" s="65" customFormat="1"/>
    <row r="14158" s="65" customFormat="1"/>
    <row r="14159" s="65" customFormat="1"/>
    <row r="14160" s="65" customFormat="1"/>
    <row r="14161" s="65" customFormat="1"/>
    <row r="14162" s="65" customFormat="1"/>
    <row r="14163" s="65" customFormat="1"/>
    <row r="14164" s="65" customFormat="1"/>
    <row r="14165" s="65" customFormat="1"/>
    <row r="14166" s="65" customFormat="1"/>
    <row r="14167" s="65" customFormat="1"/>
    <row r="14168" s="65" customFormat="1"/>
    <row r="14169" s="65" customFormat="1"/>
    <row r="14170" s="65" customFormat="1"/>
    <row r="14171" s="65" customFormat="1"/>
    <row r="14172" s="65" customFormat="1"/>
    <row r="14173" s="65" customFormat="1"/>
    <row r="14174" s="65" customFormat="1"/>
    <row r="14175" s="65" customFormat="1"/>
    <row r="14176" s="65" customFormat="1"/>
    <row r="14177" s="65" customFormat="1"/>
    <row r="14178" s="65" customFormat="1"/>
    <row r="14179" s="65" customFormat="1"/>
    <row r="14180" s="65" customFormat="1"/>
    <row r="14181" s="65" customFormat="1"/>
    <row r="14182" s="65" customFormat="1"/>
    <row r="14183" s="65" customFormat="1"/>
    <row r="14184" s="65" customFormat="1"/>
    <row r="14185" s="65" customFormat="1"/>
    <row r="14186" s="65" customFormat="1"/>
    <row r="14187" s="65" customFormat="1"/>
    <row r="14188" s="65" customFormat="1"/>
    <row r="14189" s="65" customFormat="1"/>
    <row r="14190" s="65" customFormat="1"/>
    <row r="14191" s="65" customFormat="1"/>
    <row r="14192" s="65" customFormat="1"/>
    <row r="14193" s="65" customFormat="1"/>
    <row r="14194" s="65" customFormat="1"/>
    <row r="14195" s="65" customFormat="1"/>
    <row r="14196" s="65" customFormat="1"/>
    <row r="14197" s="65" customFormat="1"/>
    <row r="14198" s="65" customFormat="1"/>
    <row r="14199" s="65" customFormat="1"/>
    <row r="14200" s="65" customFormat="1"/>
    <row r="14201" s="65" customFormat="1"/>
    <row r="14202" s="65" customFormat="1"/>
    <row r="14203" s="65" customFormat="1"/>
    <row r="14204" s="65" customFormat="1"/>
    <row r="14205" s="65" customFormat="1"/>
    <row r="14206" s="65" customFormat="1"/>
    <row r="14207" s="65" customFormat="1"/>
    <row r="14208" s="65" customFormat="1"/>
    <row r="14209" s="65" customFormat="1"/>
    <row r="14210" s="65" customFormat="1"/>
    <row r="14211" s="65" customFormat="1"/>
    <row r="14212" s="65" customFormat="1"/>
    <row r="14213" s="65" customFormat="1"/>
    <row r="14214" s="65" customFormat="1"/>
    <row r="14215" s="65" customFormat="1"/>
    <row r="14216" s="65" customFormat="1"/>
    <row r="14217" s="65" customFormat="1"/>
    <row r="14218" s="65" customFormat="1"/>
    <row r="14219" s="65" customFormat="1"/>
    <row r="14220" s="65" customFormat="1"/>
    <row r="14221" s="65" customFormat="1"/>
    <row r="14222" s="65" customFormat="1"/>
    <row r="14223" s="65" customFormat="1"/>
    <row r="14224" s="65" customFormat="1"/>
    <row r="14225" s="65" customFormat="1"/>
    <row r="14226" s="65" customFormat="1"/>
    <row r="14227" s="65" customFormat="1"/>
    <row r="14228" s="65" customFormat="1"/>
    <row r="14229" s="65" customFormat="1"/>
    <row r="14230" s="65" customFormat="1"/>
    <row r="14231" s="65" customFormat="1"/>
    <row r="14232" s="65" customFormat="1"/>
    <row r="14233" s="65" customFormat="1"/>
    <row r="14234" s="65" customFormat="1"/>
    <row r="14235" s="65" customFormat="1"/>
    <row r="14236" s="65" customFormat="1"/>
    <row r="14237" s="65" customFormat="1"/>
    <row r="14238" s="65" customFormat="1"/>
    <row r="14239" s="65" customFormat="1"/>
    <row r="14240" s="65" customFormat="1"/>
    <row r="14241" s="65" customFormat="1"/>
    <row r="14242" s="65" customFormat="1"/>
    <row r="14243" s="65" customFormat="1"/>
    <row r="14244" s="65" customFormat="1"/>
    <row r="14245" s="65" customFormat="1"/>
    <row r="14246" s="65" customFormat="1"/>
    <row r="14247" s="65" customFormat="1"/>
    <row r="14248" s="65" customFormat="1"/>
    <row r="14249" s="65" customFormat="1"/>
    <row r="14250" s="65" customFormat="1"/>
    <row r="14251" s="65" customFormat="1"/>
    <row r="14252" s="65" customFormat="1"/>
    <row r="14253" s="65" customFormat="1"/>
    <row r="14254" s="65" customFormat="1"/>
    <row r="14255" s="65" customFormat="1"/>
    <row r="14256" s="65" customFormat="1"/>
    <row r="14257" s="65" customFormat="1"/>
    <row r="14258" s="65" customFormat="1"/>
    <row r="14259" s="65" customFormat="1"/>
    <row r="14260" s="65" customFormat="1"/>
    <row r="14261" s="65" customFormat="1"/>
    <row r="14262" s="65" customFormat="1"/>
    <row r="14263" s="65" customFormat="1"/>
    <row r="14264" s="65" customFormat="1"/>
    <row r="14265" s="65" customFormat="1"/>
    <row r="14266" s="65" customFormat="1"/>
    <row r="14267" s="65" customFormat="1"/>
    <row r="14268" s="65" customFormat="1"/>
    <row r="14269" s="65" customFormat="1"/>
    <row r="14270" s="65" customFormat="1"/>
    <row r="14271" s="65" customFormat="1"/>
    <row r="14272" s="65" customFormat="1"/>
    <row r="14273" s="65" customFormat="1"/>
    <row r="14274" s="65" customFormat="1"/>
    <row r="14275" s="65" customFormat="1"/>
    <row r="14276" s="65" customFormat="1"/>
    <row r="14277" s="65" customFormat="1"/>
    <row r="14278" s="65" customFormat="1"/>
    <row r="14279" s="65" customFormat="1"/>
    <row r="14280" s="65" customFormat="1"/>
    <row r="14281" s="65" customFormat="1"/>
    <row r="14282" s="65" customFormat="1"/>
    <row r="14283" s="65" customFormat="1"/>
    <row r="14284" s="65" customFormat="1"/>
    <row r="14285" s="65" customFormat="1"/>
    <row r="14286" s="65" customFormat="1"/>
    <row r="14287" s="65" customFormat="1"/>
    <row r="14288" s="65" customFormat="1"/>
    <row r="14289" s="65" customFormat="1"/>
    <row r="14290" s="65" customFormat="1"/>
    <row r="14291" s="65" customFormat="1"/>
    <row r="14292" s="65" customFormat="1"/>
    <row r="14293" s="65" customFormat="1"/>
    <row r="14294" s="65" customFormat="1"/>
    <row r="14295" s="65" customFormat="1"/>
    <row r="14296" s="65" customFormat="1"/>
    <row r="14297" s="65" customFormat="1"/>
    <row r="14298" s="65" customFormat="1"/>
    <row r="14299" s="65" customFormat="1"/>
    <row r="14300" s="65" customFormat="1"/>
    <row r="14301" s="65" customFormat="1"/>
    <row r="14302" s="65" customFormat="1"/>
    <row r="14303" s="65" customFormat="1"/>
    <row r="14304" s="65" customFormat="1"/>
    <row r="14305" s="65" customFormat="1"/>
    <row r="14306" s="65" customFormat="1"/>
    <row r="14307" s="65" customFormat="1"/>
    <row r="14308" s="65" customFormat="1"/>
    <row r="14309" s="65" customFormat="1"/>
    <row r="14310" s="65" customFormat="1"/>
    <row r="14311" s="65" customFormat="1"/>
    <row r="14312" s="65" customFormat="1"/>
    <row r="14313" s="65" customFormat="1"/>
    <row r="14314" s="65" customFormat="1"/>
    <row r="14315" s="65" customFormat="1"/>
    <row r="14316" s="65" customFormat="1"/>
    <row r="14317" s="65" customFormat="1"/>
    <row r="14318" s="65" customFormat="1"/>
    <row r="14319" s="65" customFormat="1"/>
    <row r="14320" s="65" customFormat="1"/>
    <row r="14321" s="65" customFormat="1"/>
    <row r="14322" s="65" customFormat="1"/>
    <row r="14323" s="65" customFormat="1"/>
    <row r="14324" s="65" customFormat="1"/>
    <row r="14325" s="65" customFormat="1"/>
    <row r="14326" s="65" customFormat="1"/>
    <row r="14327" s="65" customFormat="1"/>
    <row r="14328" s="65" customFormat="1"/>
    <row r="14329" s="65" customFormat="1"/>
    <row r="14330" s="65" customFormat="1"/>
    <row r="14331" s="65" customFormat="1"/>
    <row r="14332" s="65" customFormat="1"/>
    <row r="14333" s="65" customFormat="1"/>
    <row r="14334" s="65" customFormat="1"/>
    <row r="14335" s="65" customFormat="1"/>
    <row r="14336" s="65" customFormat="1"/>
    <row r="14337" s="65" customFormat="1"/>
    <row r="14338" s="65" customFormat="1"/>
    <row r="14339" s="65" customFormat="1"/>
    <row r="14340" s="65" customFormat="1"/>
    <row r="14341" s="65" customFormat="1"/>
    <row r="14342" s="65" customFormat="1"/>
    <row r="14343" s="65" customFormat="1"/>
    <row r="14344" s="65" customFormat="1"/>
    <row r="14345" s="65" customFormat="1"/>
    <row r="14346" s="65" customFormat="1"/>
    <row r="14347" s="65" customFormat="1"/>
    <row r="14348" s="65" customFormat="1"/>
    <row r="14349" s="65" customFormat="1"/>
    <row r="14350" s="65" customFormat="1"/>
    <row r="14351" s="65" customFormat="1"/>
    <row r="14352" s="65" customFormat="1"/>
    <row r="14353" s="65" customFormat="1"/>
    <row r="14354" s="65" customFormat="1"/>
    <row r="14355" s="65" customFormat="1"/>
    <row r="14356" s="65" customFormat="1"/>
    <row r="14357" s="65" customFormat="1"/>
    <row r="14358" s="65" customFormat="1"/>
    <row r="14359" s="65" customFormat="1"/>
    <row r="14360" s="65" customFormat="1"/>
    <row r="14361" s="65" customFormat="1"/>
    <row r="14362" s="65" customFormat="1"/>
    <row r="14363" s="65" customFormat="1"/>
    <row r="14364" s="65" customFormat="1"/>
    <row r="14365" s="65" customFormat="1"/>
    <row r="14366" s="65" customFormat="1"/>
    <row r="14367" s="65" customFormat="1"/>
    <row r="14368" s="65" customFormat="1"/>
    <row r="14369" s="65" customFormat="1"/>
    <row r="14370" s="65" customFormat="1"/>
    <row r="14371" s="65" customFormat="1"/>
    <row r="14372" s="65" customFormat="1"/>
    <row r="14373" s="65" customFormat="1"/>
    <row r="14374" s="65" customFormat="1"/>
    <row r="14375" s="65" customFormat="1"/>
    <row r="14376" s="65" customFormat="1"/>
    <row r="14377" s="65" customFormat="1"/>
    <row r="14378" s="65" customFormat="1"/>
    <row r="14379" s="65" customFormat="1"/>
    <row r="14380" s="65" customFormat="1"/>
    <row r="14381" s="65" customFormat="1"/>
    <row r="14382" s="65" customFormat="1"/>
    <row r="14383" s="65" customFormat="1"/>
    <row r="14384" s="65" customFormat="1"/>
    <row r="14385" s="65" customFormat="1"/>
    <row r="14386" s="65" customFormat="1"/>
    <row r="14387" s="65" customFormat="1"/>
    <row r="14388" s="65" customFormat="1"/>
    <row r="14389" s="65" customFormat="1"/>
    <row r="14390" s="65" customFormat="1"/>
    <row r="14391" s="65" customFormat="1"/>
    <row r="14392" s="65" customFormat="1"/>
    <row r="14393" s="65" customFormat="1"/>
    <row r="14394" s="65" customFormat="1"/>
    <row r="14395" s="65" customFormat="1"/>
    <row r="14396" s="65" customFormat="1"/>
    <row r="14397" s="65" customFormat="1"/>
    <row r="14398" s="65" customFormat="1"/>
    <row r="14399" s="65" customFormat="1"/>
    <row r="14400" s="65" customFormat="1"/>
    <row r="14401" s="65" customFormat="1"/>
    <row r="14402" s="65" customFormat="1"/>
    <row r="14403" s="65" customFormat="1"/>
    <row r="14404" s="65" customFormat="1"/>
    <row r="14405" s="65" customFormat="1"/>
    <row r="14406" s="65" customFormat="1"/>
    <row r="14407" s="65" customFormat="1"/>
    <row r="14408" s="65" customFormat="1"/>
    <row r="14409" s="65" customFormat="1"/>
    <row r="14410" s="65" customFormat="1"/>
    <row r="14411" s="65" customFormat="1"/>
    <row r="14412" s="65" customFormat="1"/>
    <row r="14413" s="65" customFormat="1"/>
    <row r="14414" s="65" customFormat="1"/>
    <row r="14415" s="65" customFormat="1"/>
    <row r="14416" s="65" customFormat="1"/>
    <row r="14417" s="65" customFormat="1"/>
    <row r="14418" s="65" customFormat="1"/>
    <row r="14419" s="65" customFormat="1"/>
    <row r="14420" s="65" customFormat="1"/>
    <row r="14421" s="65" customFormat="1"/>
    <row r="14422" s="65" customFormat="1"/>
    <row r="14423" s="65" customFormat="1"/>
    <row r="14424" s="65" customFormat="1"/>
    <row r="14425" s="65" customFormat="1"/>
    <row r="14426" s="65" customFormat="1"/>
    <row r="14427" s="65" customFormat="1"/>
    <row r="14428" s="65" customFormat="1"/>
    <row r="14429" s="65" customFormat="1"/>
    <row r="14430" s="65" customFormat="1"/>
    <row r="14431" s="65" customFormat="1"/>
    <row r="14432" s="65" customFormat="1"/>
    <row r="14433" s="65" customFormat="1"/>
    <row r="14434" s="65" customFormat="1"/>
    <row r="14435" s="65" customFormat="1"/>
    <row r="14436" s="65" customFormat="1"/>
    <row r="14437" s="65" customFormat="1"/>
    <row r="14438" s="65" customFormat="1"/>
    <row r="14439" s="65" customFormat="1"/>
    <row r="14440" s="65" customFormat="1"/>
    <row r="14441" s="65" customFormat="1"/>
    <row r="14442" s="65" customFormat="1"/>
    <row r="14443" s="65" customFormat="1"/>
    <row r="14444" s="65" customFormat="1"/>
    <row r="14445" s="65" customFormat="1"/>
    <row r="14446" s="65" customFormat="1"/>
    <row r="14447" s="65" customFormat="1"/>
    <row r="14448" s="65" customFormat="1"/>
    <row r="14449" s="65" customFormat="1"/>
    <row r="14450" s="65" customFormat="1"/>
    <row r="14451" s="65" customFormat="1"/>
    <row r="14452" s="65" customFormat="1"/>
    <row r="14453" s="65" customFormat="1"/>
    <row r="14454" s="65" customFormat="1"/>
    <row r="14455" s="65" customFormat="1"/>
    <row r="14456" s="65" customFormat="1"/>
    <row r="14457" s="65" customFormat="1"/>
    <row r="14458" s="65" customFormat="1"/>
    <row r="14459" s="65" customFormat="1"/>
    <row r="14460" s="65" customFormat="1"/>
    <row r="14461" s="65" customFormat="1"/>
    <row r="14462" s="65" customFormat="1"/>
    <row r="14463" s="65" customFormat="1"/>
    <row r="14464" s="65" customFormat="1"/>
    <row r="14465" s="65" customFormat="1"/>
    <row r="14466" s="65" customFormat="1"/>
    <row r="14467" s="65" customFormat="1"/>
    <row r="14468" s="65" customFormat="1"/>
    <row r="14469" s="65" customFormat="1"/>
    <row r="14470" s="65" customFormat="1"/>
    <row r="14471" s="65" customFormat="1"/>
    <row r="14472" s="65" customFormat="1"/>
    <row r="14473" s="65" customFormat="1"/>
    <row r="14474" s="65" customFormat="1"/>
    <row r="14475" s="65" customFormat="1"/>
    <row r="14476" s="65" customFormat="1"/>
    <row r="14477" s="65" customFormat="1"/>
    <row r="14478" s="65" customFormat="1"/>
    <row r="14479" s="65" customFormat="1"/>
    <row r="14480" s="65" customFormat="1"/>
    <row r="14481" s="65" customFormat="1"/>
    <row r="14482" s="65" customFormat="1"/>
    <row r="14483" s="65" customFormat="1"/>
    <row r="14484" s="65" customFormat="1"/>
    <row r="14485" s="65" customFormat="1"/>
    <row r="14486" s="65" customFormat="1"/>
    <row r="14487" s="65" customFormat="1"/>
    <row r="14488" s="65" customFormat="1"/>
    <row r="14489" s="65" customFormat="1"/>
    <row r="14490" s="65" customFormat="1"/>
    <row r="14491" s="65" customFormat="1"/>
    <row r="14492" s="65" customFormat="1"/>
    <row r="14493" s="65" customFormat="1"/>
    <row r="14494" s="65" customFormat="1"/>
    <row r="14495" s="65" customFormat="1"/>
    <row r="14496" s="65" customFormat="1"/>
    <row r="14497" s="65" customFormat="1"/>
    <row r="14498" s="65" customFormat="1"/>
    <row r="14499" s="65" customFormat="1"/>
    <row r="14500" s="65" customFormat="1"/>
    <row r="14501" s="65" customFormat="1"/>
    <row r="14502" s="65" customFormat="1"/>
    <row r="14503" s="65" customFormat="1"/>
    <row r="14504" s="65" customFormat="1"/>
    <row r="14505" s="65" customFormat="1"/>
    <row r="14506" s="65" customFormat="1"/>
    <row r="14507" s="65" customFormat="1"/>
    <row r="14508" s="65" customFormat="1"/>
    <row r="14509" s="65" customFormat="1"/>
    <row r="14510" s="65" customFormat="1"/>
    <row r="14511" s="65" customFormat="1"/>
    <row r="14512" s="65" customFormat="1"/>
    <row r="14513" s="65" customFormat="1"/>
    <row r="14514" s="65" customFormat="1"/>
    <row r="14515" s="65" customFormat="1"/>
    <row r="14516" s="65" customFormat="1"/>
    <row r="14517" s="65" customFormat="1"/>
    <row r="14518" s="65" customFormat="1"/>
    <row r="14519" s="65" customFormat="1"/>
    <row r="14520" s="65" customFormat="1"/>
    <row r="14521" s="65" customFormat="1"/>
    <row r="14522" s="65" customFormat="1"/>
    <row r="14523" s="65" customFormat="1"/>
    <row r="14524" s="65" customFormat="1"/>
    <row r="14525" s="65" customFormat="1"/>
    <row r="14526" s="65" customFormat="1"/>
    <row r="14527" s="65" customFormat="1"/>
    <row r="14528" s="65" customFormat="1"/>
    <row r="14529" s="65" customFormat="1"/>
    <row r="14530" s="65" customFormat="1"/>
    <row r="14531" s="65" customFormat="1"/>
    <row r="14532" s="65" customFormat="1"/>
    <row r="14533" s="65" customFormat="1"/>
    <row r="14534" s="65" customFormat="1"/>
    <row r="14535" s="65" customFormat="1"/>
    <row r="14536" s="65" customFormat="1"/>
    <row r="14537" s="65" customFormat="1"/>
    <row r="14538" s="65" customFormat="1"/>
    <row r="14539" s="65" customFormat="1"/>
    <row r="14540" s="65" customFormat="1"/>
    <row r="14541" s="65" customFormat="1"/>
    <row r="14542" s="65" customFormat="1"/>
    <row r="14543" s="65" customFormat="1"/>
    <row r="14544" s="65" customFormat="1"/>
    <row r="14545" s="65" customFormat="1"/>
    <row r="14546" s="65" customFormat="1"/>
    <row r="14547" s="65" customFormat="1"/>
    <row r="14548" s="65" customFormat="1"/>
    <row r="14549" s="65" customFormat="1"/>
    <row r="14550" s="65" customFormat="1"/>
    <row r="14551" s="65" customFormat="1"/>
    <row r="14552" s="65" customFormat="1"/>
    <row r="14553" s="65" customFormat="1"/>
    <row r="14554" s="65" customFormat="1"/>
    <row r="14555" s="65" customFormat="1"/>
    <row r="14556" s="65" customFormat="1"/>
    <row r="14557" s="65" customFormat="1"/>
    <row r="14558" s="65" customFormat="1"/>
    <row r="14559" s="65" customFormat="1"/>
    <row r="14560" s="65" customFormat="1"/>
    <row r="14561" s="65" customFormat="1"/>
    <row r="14562" s="65" customFormat="1"/>
    <row r="14563" s="65" customFormat="1"/>
    <row r="14564" s="65" customFormat="1"/>
    <row r="14565" s="65" customFormat="1"/>
    <row r="14566" s="65" customFormat="1"/>
    <row r="14567" s="65" customFormat="1"/>
    <row r="14568" s="65" customFormat="1"/>
    <row r="14569" s="65" customFormat="1"/>
    <row r="14570" s="65" customFormat="1"/>
    <row r="14571" s="65" customFormat="1"/>
    <row r="14572" s="65" customFormat="1"/>
    <row r="14573" s="65" customFormat="1"/>
    <row r="14574" s="65" customFormat="1"/>
    <row r="14575" s="65" customFormat="1"/>
    <row r="14576" s="65" customFormat="1"/>
    <row r="14577" s="65" customFormat="1"/>
    <row r="14578" s="65" customFormat="1"/>
    <row r="14579" s="65" customFormat="1"/>
    <row r="14580" s="65" customFormat="1"/>
    <row r="14581" s="65" customFormat="1"/>
    <row r="14582" s="65" customFormat="1"/>
    <row r="14583" s="65" customFormat="1"/>
    <row r="14584" s="65" customFormat="1"/>
    <row r="14585" s="65" customFormat="1"/>
    <row r="14586" s="65" customFormat="1"/>
    <row r="14587" s="65" customFormat="1"/>
    <row r="14588" s="65" customFormat="1"/>
    <row r="14589" s="65" customFormat="1"/>
    <row r="14590" s="65" customFormat="1"/>
    <row r="14591" s="65" customFormat="1"/>
    <row r="14592" s="65" customFormat="1"/>
    <row r="14593" s="65" customFormat="1"/>
    <row r="14594" s="65" customFormat="1"/>
    <row r="14595" s="65" customFormat="1"/>
    <row r="14596" s="65" customFormat="1"/>
    <row r="14597" s="65" customFormat="1"/>
    <row r="14598" s="65" customFormat="1"/>
    <row r="14599" s="65" customFormat="1"/>
    <row r="14600" s="65" customFormat="1"/>
    <row r="14601" s="65" customFormat="1"/>
    <row r="14602" s="65" customFormat="1"/>
    <row r="14603" s="65" customFormat="1"/>
    <row r="14604" s="65" customFormat="1"/>
    <row r="14605" s="65" customFormat="1"/>
    <row r="14606" s="65" customFormat="1"/>
    <row r="14607" s="65" customFormat="1"/>
    <row r="14608" s="65" customFormat="1"/>
    <row r="14609" s="65" customFormat="1"/>
    <row r="14610" s="65" customFormat="1"/>
    <row r="14611" s="65" customFormat="1"/>
    <row r="14612" s="65" customFormat="1"/>
    <row r="14613" s="65" customFormat="1"/>
    <row r="14614" s="65" customFormat="1"/>
    <row r="14615" s="65" customFormat="1"/>
    <row r="14616" s="65" customFormat="1"/>
    <row r="14617" s="65" customFormat="1"/>
    <row r="14618" s="65" customFormat="1"/>
    <row r="14619" s="65" customFormat="1"/>
    <row r="14620" s="65" customFormat="1"/>
    <row r="14621" s="65" customFormat="1"/>
    <row r="14622" s="65" customFormat="1"/>
    <row r="14623" s="65" customFormat="1"/>
    <row r="14624" s="65" customFormat="1"/>
    <row r="14625" s="65" customFormat="1"/>
    <row r="14626" s="65" customFormat="1"/>
    <row r="14627" s="65" customFormat="1"/>
    <row r="14628" s="65" customFormat="1"/>
    <row r="14629" s="65" customFormat="1"/>
    <row r="14630" s="65" customFormat="1"/>
    <row r="14631" s="65" customFormat="1"/>
    <row r="14632" s="65" customFormat="1"/>
    <row r="14633" s="65" customFormat="1"/>
    <row r="14634" s="65" customFormat="1"/>
    <row r="14635" s="65" customFormat="1"/>
    <row r="14636" s="65" customFormat="1"/>
    <row r="14637" s="65" customFormat="1"/>
    <row r="14638" s="65" customFormat="1"/>
    <row r="14639" s="65" customFormat="1"/>
    <row r="14640" s="65" customFormat="1"/>
    <row r="14641" s="65" customFormat="1"/>
    <row r="14642" s="65" customFormat="1"/>
    <row r="14643" s="65" customFormat="1"/>
    <row r="14644" s="65" customFormat="1"/>
    <row r="14645" s="65" customFormat="1"/>
    <row r="14646" s="65" customFormat="1"/>
    <row r="14647" s="65" customFormat="1"/>
    <row r="14648" s="65" customFormat="1"/>
    <row r="14649" s="65" customFormat="1"/>
    <row r="14650" s="65" customFormat="1"/>
    <row r="14651" s="65" customFormat="1"/>
    <row r="14652" s="65" customFormat="1"/>
    <row r="14653" s="65" customFormat="1"/>
    <row r="14654" s="65" customFormat="1"/>
    <row r="14655" s="65" customFormat="1"/>
    <row r="14656" s="65" customFormat="1"/>
    <row r="14657" s="65" customFormat="1"/>
    <row r="14658" s="65" customFormat="1"/>
    <row r="14659" s="65" customFormat="1"/>
    <row r="14660" s="65" customFormat="1"/>
    <row r="14661" s="65" customFormat="1"/>
    <row r="14662" s="65" customFormat="1"/>
    <row r="14663" s="65" customFormat="1"/>
    <row r="14664" s="65" customFormat="1"/>
    <row r="14665" s="65" customFormat="1"/>
    <row r="14666" s="65" customFormat="1"/>
    <row r="14667" s="65" customFormat="1"/>
    <row r="14668" s="65" customFormat="1"/>
    <row r="14669" s="65" customFormat="1"/>
    <row r="14670" s="65" customFormat="1"/>
    <row r="14671" s="65" customFormat="1"/>
    <row r="14672" s="65" customFormat="1"/>
    <row r="14673" s="65" customFormat="1"/>
    <row r="14674" s="65" customFormat="1"/>
    <row r="14675" s="65" customFormat="1"/>
    <row r="14676" s="65" customFormat="1"/>
    <row r="14677" s="65" customFormat="1"/>
    <row r="14678" s="65" customFormat="1"/>
    <row r="14679" s="65" customFormat="1"/>
    <row r="14680" s="65" customFormat="1"/>
    <row r="14681" s="65" customFormat="1"/>
    <row r="14682" s="65" customFormat="1"/>
    <row r="14683" s="65" customFormat="1"/>
    <row r="14684" s="65" customFormat="1"/>
    <row r="14685" s="65" customFormat="1"/>
    <row r="14686" s="65" customFormat="1"/>
    <row r="14687" s="65" customFormat="1"/>
    <row r="14688" s="65" customFormat="1"/>
    <row r="14689" s="65" customFormat="1"/>
    <row r="14690" s="65" customFormat="1"/>
    <row r="14691" s="65" customFormat="1"/>
    <row r="14692" s="65" customFormat="1"/>
    <row r="14693" s="65" customFormat="1"/>
    <row r="14694" s="65" customFormat="1"/>
    <row r="14695" s="65" customFormat="1"/>
    <row r="14696" s="65" customFormat="1"/>
    <row r="14697" s="65" customFormat="1"/>
    <row r="14698" s="65" customFormat="1"/>
    <row r="14699" s="65" customFormat="1"/>
    <row r="14700" s="65" customFormat="1"/>
    <row r="14701" s="65" customFormat="1"/>
    <row r="14702" s="65" customFormat="1"/>
    <row r="14703" s="65" customFormat="1"/>
    <row r="14704" s="65" customFormat="1"/>
    <row r="14705" s="65" customFormat="1"/>
    <row r="14706" s="65" customFormat="1"/>
    <row r="14707" s="65" customFormat="1"/>
    <row r="14708" s="65" customFormat="1"/>
    <row r="14709" s="65" customFormat="1"/>
    <row r="14710" s="65" customFormat="1"/>
    <row r="14711" s="65" customFormat="1"/>
    <row r="14712" s="65" customFormat="1"/>
    <row r="14713" s="65" customFormat="1"/>
    <row r="14714" s="65" customFormat="1"/>
    <row r="14715" s="65" customFormat="1"/>
    <row r="14716" s="65" customFormat="1"/>
    <row r="14717" s="65" customFormat="1"/>
    <row r="14718" s="65" customFormat="1"/>
    <row r="14719" s="65" customFormat="1"/>
    <row r="14720" s="65" customFormat="1"/>
    <row r="14721" s="65" customFormat="1"/>
    <row r="14722" s="65" customFormat="1"/>
    <row r="14723" s="65" customFormat="1"/>
    <row r="14724" s="65" customFormat="1"/>
    <row r="14725" s="65" customFormat="1"/>
    <row r="14726" s="65" customFormat="1"/>
    <row r="14727" s="65" customFormat="1"/>
    <row r="14728" s="65" customFormat="1"/>
    <row r="14729" s="65" customFormat="1"/>
    <row r="14730" s="65" customFormat="1"/>
    <row r="14731" s="65" customFormat="1"/>
    <row r="14732" s="65" customFormat="1"/>
    <row r="14733" s="65" customFormat="1"/>
    <row r="14734" s="65" customFormat="1"/>
    <row r="14735" s="65" customFormat="1"/>
    <row r="14736" s="65" customFormat="1"/>
    <row r="14737" s="65" customFormat="1"/>
    <row r="14738" s="65" customFormat="1"/>
    <row r="14739" s="65" customFormat="1"/>
    <row r="14740" s="65" customFormat="1"/>
    <row r="14741" s="65" customFormat="1"/>
    <row r="14742" s="65" customFormat="1"/>
    <row r="14743" s="65" customFormat="1"/>
    <row r="14744" s="65" customFormat="1"/>
    <row r="14745" s="65" customFormat="1"/>
    <row r="14746" s="65" customFormat="1"/>
    <row r="14747" s="65" customFormat="1"/>
    <row r="14748" s="65" customFormat="1"/>
    <row r="14749" s="65" customFormat="1"/>
    <row r="14750" s="65" customFormat="1"/>
    <row r="14751" s="65" customFormat="1"/>
    <row r="14752" s="65" customFormat="1"/>
    <row r="14753" s="65" customFormat="1"/>
    <row r="14754" s="65" customFormat="1"/>
    <row r="14755" s="65" customFormat="1"/>
    <row r="14756" s="65" customFormat="1"/>
    <row r="14757" s="65" customFormat="1"/>
    <row r="14758" s="65" customFormat="1"/>
    <row r="14759" s="65" customFormat="1"/>
    <row r="14760" s="65" customFormat="1"/>
    <row r="14761" s="65" customFormat="1"/>
    <row r="14762" s="65" customFormat="1"/>
    <row r="14763" s="65" customFormat="1"/>
    <row r="14764" s="65" customFormat="1"/>
    <row r="14765" s="65" customFormat="1"/>
    <row r="14766" s="65" customFormat="1"/>
    <row r="14767" s="65" customFormat="1"/>
    <row r="14768" s="65" customFormat="1"/>
    <row r="14769" s="65" customFormat="1"/>
    <row r="14770" s="65" customFormat="1"/>
    <row r="14771" s="65" customFormat="1"/>
    <row r="14772" s="65" customFormat="1"/>
    <row r="14773" s="65" customFormat="1"/>
    <row r="14774" s="65" customFormat="1"/>
    <row r="14775" s="65" customFormat="1"/>
    <row r="14776" s="65" customFormat="1"/>
    <row r="14777" s="65" customFormat="1"/>
    <row r="14778" s="65" customFormat="1"/>
    <row r="14779" s="65" customFormat="1"/>
    <row r="14780" s="65" customFormat="1"/>
    <row r="14781" s="65" customFormat="1"/>
    <row r="14782" s="65" customFormat="1"/>
    <row r="14783" s="65" customFormat="1"/>
    <row r="14784" s="65" customFormat="1"/>
    <row r="14785" s="65" customFormat="1"/>
    <row r="14786" s="65" customFormat="1"/>
    <row r="14787" s="65" customFormat="1"/>
    <row r="14788" s="65" customFormat="1"/>
    <row r="14789" s="65" customFormat="1"/>
    <row r="14790" s="65" customFormat="1"/>
    <row r="14791" s="65" customFormat="1"/>
    <row r="14792" s="65" customFormat="1"/>
    <row r="14793" s="65" customFormat="1"/>
    <row r="14794" s="65" customFormat="1"/>
    <row r="14795" s="65" customFormat="1"/>
    <row r="14796" s="65" customFormat="1"/>
    <row r="14797" s="65" customFormat="1"/>
    <row r="14798" s="65" customFormat="1"/>
    <row r="14799" s="65" customFormat="1"/>
    <row r="14800" s="65" customFormat="1"/>
    <row r="14801" s="65" customFormat="1"/>
    <row r="14802" s="65" customFormat="1"/>
    <row r="14803" s="65" customFormat="1"/>
    <row r="14804" s="65" customFormat="1"/>
    <row r="14805" s="65" customFormat="1"/>
    <row r="14806" s="65" customFormat="1"/>
    <row r="14807" s="65" customFormat="1"/>
    <row r="14808" s="65" customFormat="1"/>
    <row r="14809" s="65" customFormat="1"/>
    <row r="14810" s="65" customFormat="1"/>
    <row r="14811" s="65" customFormat="1"/>
    <row r="14812" s="65" customFormat="1"/>
    <row r="14813" s="65" customFormat="1"/>
    <row r="14814" s="65" customFormat="1"/>
    <row r="14815" s="65" customFormat="1"/>
    <row r="14816" s="65" customFormat="1"/>
    <row r="14817" s="65" customFormat="1"/>
    <row r="14818" s="65" customFormat="1"/>
    <row r="14819" s="65" customFormat="1"/>
    <row r="14820" s="65" customFormat="1"/>
    <row r="14821" s="65" customFormat="1"/>
    <row r="14822" s="65" customFormat="1"/>
    <row r="14823" s="65" customFormat="1"/>
    <row r="14824" s="65" customFormat="1"/>
    <row r="14825" s="65" customFormat="1"/>
    <row r="14826" s="65" customFormat="1"/>
    <row r="14827" s="65" customFormat="1"/>
    <row r="14828" s="65" customFormat="1"/>
    <row r="14829" s="65" customFormat="1"/>
    <row r="14830" s="65" customFormat="1"/>
    <row r="14831" s="65" customFormat="1"/>
    <row r="14832" s="65" customFormat="1"/>
    <row r="14833" s="65" customFormat="1"/>
    <row r="14834" s="65" customFormat="1"/>
    <row r="14835" s="65" customFormat="1"/>
    <row r="14836" s="65" customFormat="1"/>
    <row r="14837" s="65" customFormat="1"/>
    <row r="14838" s="65" customFormat="1"/>
    <row r="14839" s="65" customFormat="1"/>
    <row r="14840" s="65" customFormat="1"/>
    <row r="14841" s="65" customFormat="1"/>
    <row r="14842" s="65" customFormat="1"/>
    <row r="14843" s="65" customFormat="1"/>
    <row r="14844" s="65" customFormat="1"/>
    <row r="14845" s="65" customFormat="1"/>
    <row r="14846" s="65" customFormat="1"/>
    <row r="14847" s="65" customFormat="1"/>
    <row r="14848" s="65" customFormat="1"/>
    <row r="14849" s="65" customFormat="1"/>
    <row r="14850" s="65" customFormat="1"/>
    <row r="14851" s="65" customFormat="1"/>
    <row r="14852" s="65" customFormat="1"/>
    <row r="14853" s="65" customFormat="1"/>
    <row r="14854" s="65" customFormat="1"/>
    <row r="14855" s="65" customFormat="1"/>
    <row r="14856" s="65" customFormat="1"/>
    <row r="14857" s="65" customFormat="1"/>
    <row r="14858" s="65" customFormat="1"/>
    <row r="14859" s="65" customFormat="1"/>
    <row r="14860" s="65" customFormat="1"/>
    <row r="14861" s="65" customFormat="1"/>
    <row r="14862" s="65" customFormat="1"/>
    <row r="14863" s="65" customFormat="1"/>
    <row r="14864" s="65" customFormat="1"/>
    <row r="14865" s="65" customFormat="1"/>
    <row r="14866" s="65" customFormat="1"/>
    <row r="14867" s="65" customFormat="1"/>
    <row r="14868" s="65" customFormat="1"/>
    <row r="14869" s="65" customFormat="1"/>
    <row r="14870" s="65" customFormat="1"/>
    <row r="14871" s="65" customFormat="1"/>
    <row r="14872" s="65" customFormat="1"/>
    <row r="14873" s="65" customFormat="1"/>
    <row r="14874" s="65" customFormat="1"/>
    <row r="14875" s="65" customFormat="1"/>
    <row r="14876" s="65" customFormat="1"/>
    <row r="14877" s="65" customFormat="1"/>
    <row r="14878" s="65" customFormat="1"/>
    <row r="14879" s="65" customFormat="1"/>
    <row r="14880" s="65" customFormat="1"/>
    <row r="14881" s="65" customFormat="1"/>
    <row r="14882" s="65" customFormat="1"/>
    <row r="14883" s="65" customFormat="1"/>
    <row r="14884" s="65" customFormat="1"/>
    <row r="14885" s="65" customFormat="1"/>
    <row r="14886" s="65" customFormat="1"/>
    <row r="14887" s="65" customFormat="1"/>
    <row r="14888" s="65" customFormat="1"/>
    <row r="14889" s="65" customFormat="1"/>
    <row r="14890" s="65" customFormat="1"/>
    <row r="14891" s="65" customFormat="1"/>
    <row r="14892" s="65" customFormat="1"/>
    <row r="14893" s="65" customFormat="1"/>
    <row r="14894" s="65" customFormat="1"/>
    <row r="14895" s="65" customFormat="1"/>
    <row r="14896" s="65" customFormat="1"/>
    <row r="14897" s="65" customFormat="1"/>
    <row r="14898" s="65" customFormat="1"/>
    <row r="14899" s="65" customFormat="1"/>
    <row r="14900" s="65" customFormat="1"/>
    <row r="14901" s="65" customFormat="1"/>
    <row r="14902" s="65" customFormat="1"/>
    <row r="14903" s="65" customFormat="1"/>
    <row r="14904" s="65" customFormat="1"/>
    <row r="14905" s="65" customFormat="1"/>
    <row r="14906" s="65" customFormat="1"/>
    <row r="14907" s="65" customFormat="1"/>
    <row r="14908" s="65" customFormat="1"/>
    <row r="14909" s="65" customFormat="1"/>
    <row r="14910" s="65" customFormat="1"/>
    <row r="14911" s="65" customFormat="1"/>
    <row r="14912" s="65" customFormat="1"/>
    <row r="14913" s="65" customFormat="1"/>
    <row r="14914" s="65" customFormat="1"/>
    <row r="14915" s="65" customFormat="1"/>
    <row r="14916" s="65" customFormat="1"/>
    <row r="14917" s="65" customFormat="1"/>
    <row r="14918" s="65" customFormat="1"/>
    <row r="14919" s="65" customFormat="1"/>
    <row r="14920" s="65" customFormat="1"/>
    <row r="14921" s="65" customFormat="1"/>
    <row r="14922" s="65" customFormat="1"/>
    <row r="14923" s="65" customFormat="1"/>
    <row r="14924" s="65" customFormat="1"/>
    <row r="14925" s="65" customFormat="1"/>
    <row r="14926" s="65" customFormat="1"/>
    <row r="14927" s="65" customFormat="1"/>
    <row r="14928" s="65" customFormat="1"/>
    <row r="14929" s="65" customFormat="1"/>
    <row r="14930" s="65" customFormat="1"/>
    <row r="14931" s="65" customFormat="1"/>
    <row r="14932" s="65" customFormat="1"/>
    <row r="14933" s="65" customFormat="1"/>
    <row r="14934" s="65" customFormat="1"/>
    <row r="14935" s="65" customFormat="1"/>
    <row r="14936" s="65" customFormat="1"/>
    <row r="14937" s="65" customFormat="1"/>
    <row r="14938" s="65" customFormat="1"/>
    <row r="14939" s="65" customFormat="1"/>
    <row r="14940" s="65" customFormat="1"/>
    <row r="14941" s="65" customFormat="1"/>
    <row r="14942" s="65" customFormat="1"/>
    <row r="14943" s="65" customFormat="1"/>
    <row r="14944" s="65" customFormat="1"/>
    <row r="14945" s="65" customFormat="1"/>
    <row r="14946" s="65" customFormat="1"/>
    <row r="14947" s="65" customFormat="1"/>
    <row r="14948" s="65" customFormat="1"/>
    <row r="14949" s="65" customFormat="1"/>
    <row r="14950" s="65" customFormat="1"/>
    <row r="14951" s="65" customFormat="1"/>
    <row r="14952" s="65" customFormat="1"/>
    <row r="14953" s="65" customFormat="1"/>
    <row r="14954" s="65" customFormat="1"/>
    <row r="14955" s="65" customFormat="1"/>
    <row r="14956" s="65" customFormat="1"/>
    <row r="14957" s="65" customFormat="1"/>
    <row r="14958" s="65" customFormat="1"/>
    <row r="14959" s="65" customFormat="1"/>
    <row r="14960" s="65" customFormat="1"/>
    <row r="14961" s="65" customFormat="1"/>
    <row r="14962" s="65" customFormat="1"/>
    <row r="14963" s="65" customFormat="1"/>
    <row r="14964" s="65" customFormat="1"/>
    <row r="14965" s="65" customFormat="1"/>
    <row r="14966" s="65" customFormat="1"/>
    <row r="14967" s="65" customFormat="1"/>
    <row r="14968" s="65" customFormat="1"/>
    <row r="14969" s="65" customFormat="1"/>
    <row r="14970" s="65" customFormat="1"/>
    <row r="14971" s="65" customFormat="1"/>
    <row r="14972" s="65" customFormat="1"/>
    <row r="14973" s="65" customFormat="1"/>
    <row r="14974" s="65" customFormat="1"/>
    <row r="14975" s="65" customFormat="1"/>
    <row r="14976" s="65" customFormat="1"/>
    <row r="14977" s="65" customFormat="1"/>
    <row r="14978" s="65" customFormat="1"/>
    <row r="14979" s="65" customFormat="1"/>
    <row r="14980" s="65" customFormat="1"/>
    <row r="14981" s="65" customFormat="1"/>
    <row r="14982" s="65" customFormat="1"/>
    <row r="14983" s="65" customFormat="1"/>
    <row r="14984" s="65" customFormat="1"/>
    <row r="14985" s="65" customFormat="1"/>
    <row r="14986" s="65" customFormat="1"/>
    <row r="14987" s="65" customFormat="1"/>
    <row r="14988" s="65" customFormat="1"/>
    <row r="14989" s="65" customFormat="1"/>
    <row r="14990" s="65" customFormat="1"/>
    <row r="14991" s="65" customFormat="1"/>
    <row r="14992" s="65" customFormat="1"/>
    <row r="14993" s="65" customFormat="1"/>
    <row r="14994" s="65" customFormat="1"/>
    <row r="14995" s="65" customFormat="1"/>
    <row r="14996" s="65" customFormat="1"/>
    <row r="14997" s="65" customFormat="1"/>
    <row r="14998" s="65" customFormat="1"/>
    <row r="14999" s="65" customFormat="1"/>
    <row r="15000" s="65" customFormat="1"/>
    <row r="15001" s="65" customFormat="1"/>
    <row r="15002" s="65" customFormat="1"/>
    <row r="15003" s="65" customFormat="1"/>
    <row r="15004" s="65" customFormat="1"/>
    <row r="15005" s="65" customFormat="1"/>
    <row r="15006" s="65" customFormat="1"/>
    <row r="15007" s="65" customFormat="1"/>
    <row r="15008" s="65" customFormat="1"/>
    <row r="15009" s="65" customFormat="1"/>
    <row r="15010" s="65" customFormat="1"/>
    <row r="15011" s="65" customFormat="1"/>
    <row r="15012" s="65" customFormat="1"/>
    <row r="15013" s="65" customFormat="1"/>
    <row r="15014" s="65" customFormat="1"/>
    <row r="15015" s="65" customFormat="1"/>
    <row r="15016" s="65" customFormat="1"/>
    <row r="15017" s="65" customFormat="1"/>
    <row r="15018" s="65" customFormat="1"/>
    <row r="15019" s="65" customFormat="1"/>
    <row r="15020" s="65" customFormat="1"/>
    <row r="15021" s="65" customFormat="1"/>
    <row r="15022" s="65" customFormat="1"/>
    <row r="15023" s="65" customFormat="1"/>
    <row r="15024" s="65" customFormat="1"/>
    <row r="15025" s="65" customFormat="1"/>
    <row r="15026" s="65" customFormat="1"/>
    <row r="15027" s="65" customFormat="1"/>
    <row r="15028" s="65" customFormat="1"/>
    <row r="15029" s="65" customFormat="1"/>
    <row r="15030" s="65" customFormat="1"/>
    <row r="15031" s="65" customFormat="1"/>
    <row r="15032" s="65" customFormat="1"/>
    <row r="15033" s="65" customFormat="1"/>
    <row r="15034" s="65" customFormat="1"/>
    <row r="15035" s="65" customFormat="1"/>
    <row r="15036" s="65" customFormat="1"/>
    <row r="15037" s="65" customFormat="1"/>
    <row r="15038" s="65" customFormat="1"/>
    <row r="15039" s="65" customFormat="1"/>
    <row r="15040" s="65" customFormat="1"/>
    <row r="15041" s="65" customFormat="1"/>
    <row r="15042" s="65" customFormat="1"/>
    <row r="15043" s="65" customFormat="1"/>
    <row r="15044" s="65" customFormat="1"/>
    <row r="15045" s="65" customFormat="1"/>
    <row r="15046" s="65" customFormat="1"/>
    <row r="15047" s="65" customFormat="1"/>
    <row r="15048" s="65" customFormat="1"/>
    <row r="15049" s="65" customFormat="1"/>
    <row r="15050" s="65" customFormat="1"/>
    <row r="15051" s="65" customFormat="1"/>
    <row r="15052" s="65" customFormat="1"/>
    <row r="15053" s="65" customFormat="1"/>
    <row r="15054" s="65" customFormat="1"/>
    <row r="15055" s="65" customFormat="1"/>
    <row r="15056" s="65" customFormat="1"/>
    <row r="15057" s="65" customFormat="1"/>
    <row r="15058" s="65" customFormat="1"/>
    <row r="15059" s="65" customFormat="1"/>
    <row r="15060" s="65" customFormat="1"/>
    <row r="15061" s="65" customFormat="1"/>
    <row r="15062" s="65" customFormat="1"/>
    <row r="15063" s="65" customFormat="1"/>
    <row r="15064" s="65" customFormat="1"/>
    <row r="15065" s="65" customFormat="1"/>
    <row r="15066" s="65" customFormat="1"/>
    <row r="15067" s="65" customFormat="1"/>
    <row r="15068" s="65" customFormat="1"/>
    <row r="15069" s="65" customFormat="1"/>
    <row r="15070" s="65" customFormat="1"/>
    <row r="15071" s="65" customFormat="1"/>
    <row r="15072" s="65" customFormat="1"/>
    <row r="15073" s="65" customFormat="1"/>
    <row r="15074" s="65" customFormat="1"/>
    <row r="15075" s="65" customFormat="1"/>
    <row r="15076" s="65" customFormat="1"/>
    <row r="15077" s="65" customFormat="1"/>
    <row r="15078" s="65" customFormat="1"/>
    <row r="15079" s="65" customFormat="1"/>
    <row r="15080" s="65" customFormat="1"/>
    <row r="15081" s="65" customFormat="1"/>
    <row r="15082" s="65" customFormat="1"/>
    <row r="15083" s="65" customFormat="1"/>
    <row r="15084" s="65" customFormat="1"/>
    <row r="15085" s="65" customFormat="1"/>
    <row r="15086" s="65" customFormat="1"/>
    <row r="15087" s="65" customFormat="1"/>
    <row r="15088" s="65" customFormat="1"/>
    <row r="15089" s="65" customFormat="1"/>
    <row r="15090" s="65" customFormat="1"/>
    <row r="15091" s="65" customFormat="1"/>
    <row r="15092" s="65" customFormat="1"/>
    <row r="15093" s="65" customFormat="1"/>
    <row r="15094" s="65" customFormat="1"/>
    <row r="15095" s="65" customFormat="1"/>
    <row r="15096" s="65" customFormat="1"/>
    <row r="15097" s="65" customFormat="1"/>
    <row r="15098" s="65" customFormat="1"/>
    <row r="15099" s="65" customFormat="1"/>
    <row r="15100" s="65" customFormat="1"/>
    <row r="15101" s="65" customFormat="1"/>
    <row r="15102" s="65" customFormat="1"/>
    <row r="15103" s="65" customFormat="1"/>
    <row r="15104" s="65" customFormat="1"/>
    <row r="15105" s="65" customFormat="1"/>
    <row r="15106" s="65" customFormat="1"/>
    <row r="15107" s="65" customFormat="1"/>
    <row r="15108" s="65" customFormat="1"/>
    <row r="15109" s="65" customFormat="1"/>
    <row r="15110" s="65" customFormat="1"/>
    <row r="15111" s="65" customFormat="1"/>
    <row r="15112" s="65" customFormat="1"/>
    <row r="15113" s="65" customFormat="1"/>
    <row r="15114" s="65" customFormat="1"/>
    <row r="15115" s="65" customFormat="1"/>
    <row r="15116" s="65" customFormat="1"/>
    <row r="15117" s="65" customFormat="1"/>
    <row r="15118" s="65" customFormat="1"/>
    <row r="15119" s="65" customFormat="1"/>
    <row r="15120" s="65" customFormat="1"/>
    <row r="15121" s="65" customFormat="1"/>
    <row r="15122" s="65" customFormat="1"/>
    <row r="15123" s="65" customFormat="1"/>
    <row r="15124" s="65" customFormat="1"/>
    <row r="15125" s="65" customFormat="1"/>
    <row r="15126" s="65" customFormat="1"/>
    <row r="15127" s="65" customFormat="1"/>
    <row r="15128" s="65" customFormat="1"/>
    <row r="15129" s="65" customFormat="1"/>
    <row r="15130" s="65" customFormat="1"/>
    <row r="15131" s="65" customFormat="1"/>
    <row r="15132" s="65" customFormat="1"/>
    <row r="15133" s="65" customFormat="1"/>
    <row r="15134" s="65" customFormat="1"/>
    <row r="15135" s="65" customFormat="1"/>
    <row r="15136" s="65" customFormat="1"/>
    <row r="15137" s="65" customFormat="1"/>
    <row r="15138" s="65" customFormat="1"/>
    <row r="15139" s="65" customFormat="1"/>
    <row r="15140" s="65" customFormat="1"/>
    <row r="15141" s="65" customFormat="1"/>
    <row r="15142" s="65" customFormat="1"/>
    <row r="15143" s="65" customFormat="1"/>
    <row r="15144" s="65" customFormat="1"/>
    <row r="15145" s="65" customFormat="1"/>
    <row r="15146" s="65" customFormat="1"/>
    <row r="15147" s="65" customFormat="1"/>
    <row r="15148" s="65" customFormat="1"/>
    <row r="15149" s="65" customFormat="1"/>
    <row r="15150" s="65" customFormat="1"/>
    <row r="15151" s="65" customFormat="1"/>
    <row r="15152" s="65" customFormat="1"/>
    <row r="15153" s="65" customFormat="1"/>
    <row r="15154" s="65" customFormat="1"/>
    <row r="15155" s="65" customFormat="1"/>
    <row r="15156" s="65" customFormat="1"/>
    <row r="15157" s="65" customFormat="1"/>
    <row r="15158" s="65" customFormat="1"/>
    <row r="15159" s="65" customFormat="1"/>
    <row r="15160" s="65" customFormat="1"/>
    <row r="15161" s="65" customFormat="1"/>
    <row r="15162" s="65" customFormat="1"/>
    <row r="15163" s="65" customFormat="1"/>
    <row r="15164" s="65" customFormat="1"/>
    <row r="15165" s="65" customFormat="1"/>
    <row r="15166" s="65" customFormat="1"/>
    <row r="15167" s="65" customFormat="1"/>
    <row r="15168" s="65" customFormat="1"/>
    <row r="15169" s="65" customFormat="1"/>
    <row r="15170" s="65" customFormat="1"/>
    <row r="15171" s="65" customFormat="1"/>
    <row r="15172" s="65" customFormat="1"/>
    <row r="15173" s="65" customFormat="1"/>
    <row r="15174" s="65" customFormat="1"/>
    <row r="15175" s="65" customFormat="1"/>
    <row r="15176" s="65" customFormat="1"/>
    <row r="15177" s="65" customFormat="1"/>
    <row r="15178" s="65" customFormat="1"/>
    <row r="15179" s="65" customFormat="1"/>
    <row r="15180" s="65" customFormat="1"/>
    <row r="15181" s="65" customFormat="1"/>
    <row r="15182" s="65" customFormat="1"/>
    <row r="15183" s="65" customFormat="1"/>
    <row r="15184" s="65" customFormat="1"/>
    <row r="15185" s="65" customFormat="1"/>
    <row r="15186" s="65" customFormat="1"/>
    <row r="15187" s="65" customFormat="1"/>
    <row r="15188" s="65" customFormat="1"/>
    <row r="15189" s="65" customFormat="1"/>
    <row r="15190" s="65" customFormat="1"/>
    <row r="15191" s="65" customFormat="1"/>
    <row r="15192" s="65" customFormat="1"/>
    <row r="15193" s="65" customFormat="1"/>
    <row r="15194" s="65" customFormat="1"/>
    <row r="15195" s="65" customFormat="1"/>
    <row r="15196" s="65" customFormat="1"/>
    <row r="15197" s="65" customFormat="1"/>
    <row r="15198" s="65" customFormat="1"/>
    <row r="15199" s="65" customFormat="1"/>
    <row r="15200" s="65" customFormat="1"/>
    <row r="15201" s="65" customFormat="1"/>
    <row r="15202" s="65" customFormat="1"/>
    <row r="15203" s="65" customFormat="1"/>
    <row r="15204" s="65" customFormat="1"/>
    <row r="15205" s="65" customFormat="1"/>
    <row r="15206" s="65" customFormat="1"/>
    <row r="15207" s="65" customFormat="1"/>
    <row r="15208" s="65" customFormat="1"/>
    <row r="15209" s="65" customFormat="1"/>
    <row r="15210" s="65" customFormat="1"/>
    <row r="15211" s="65" customFormat="1"/>
    <row r="15212" s="65" customFormat="1"/>
    <row r="15213" s="65" customFormat="1"/>
    <row r="15214" s="65" customFormat="1"/>
    <row r="15215" s="65" customFormat="1"/>
    <row r="15216" s="65" customFormat="1"/>
    <row r="15217" s="65" customFormat="1"/>
    <row r="15218" s="65" customFormat="1"/>
    <row r="15219" s="65" customFormat="1"/>
    <row r="15220" s="65" customFormat="1"/>
    <row r="15221" s="65" customFormat="1"/>
    <row r="15222" s="65" customFormat="1"/>
    <row r="15223" s="65" customFormat="1"/>
    <row r="15224" s="65" customFormat="1"/>
    <row r="15225" s="65" customFormat="1"/>
    <row r="15226" s="65" customFormat="1"/>
    <row r="15227" s="65" customFormat="1"/>
    <row r="15228" s="65" customFormat="1"/>
    <row r="15229" s="65" customFormat="1"/>
    <row r="15230" s="65" customFormat="1"/>
    <row r="15231" s="65" customFormat="1"/>
    <row r="15232" s="65" customFormat="1"/>
    <row r="15233" s="65" customFormat="1"/>
    <row r="15234" s="65" customFormat="1"/>
    <row r="15235" s="65" customFormat="1"/>
    <row r="15236" s="65" customFormat="1"/>
    <row r="15237" s="65" customFormat="1"/>
    <row r="15238" s="65" customFormat="1"/>
    <row r="15239" s="65" customFormat="1"/>
    <row r="15240" s="65" customFormat="1"/>
    <row r="15241" s="65" customFormat="1"/>
    <row r="15242" s="65" customFormat="1"/>
    <row r="15243" s="65" customFormat="1"/>
    <row r="15244" s="65" customFormat="1"/>
    <row r="15245" s="65" customFormat="1"/>
    <row r="15246" s="65" customFormat="1"/>
    <row r="15247" s="65" customFormat="1"/>
    <row r="15248" s="65" customFormat="1"/>
    <row r="15249" s="65" customFormat="1"/>
    <row r="15250" s="65" customFormat="1"/>
    <row r="15251" s="65" customFormat="1"/>
    <row r="15252" s="65" customFormat="1"/>
    <row r="15253" s="65" customFormat="1"/>
    <row r="15254" s="65" customFormat="1"/>
    <row r="15255" s="65" customFormat="1"/>
    <row r="15256" s="65" customFormat="1"/>
    <row r="15257" s="65" customFormat="1"/>
    <row r="15258" s="65" customFormat="1"/>
    <row r="15259" s="65" customFormat="1"/>
    <row r="15260" s="65" customFormat="1"/>
    <row r="15261" s="65" customFormat="1"/>
    <row r="15262" s="65" customFormat="1"/>
    <row r="15263" s="65" customFormat="1"/>
    <row r="15264" s="65" customFormat="1"/>
    <row r="15265" s="65" customFormat="1"/>
    <row r="15266" s="65" customFormat="1"/>
    <row r="15267" s="65" customFormat="1"/>
    <row r="15268" s="65" customFormat="1"/>
    <row r="15269" s="65" customFormat="1"/>
    <row r="15270" s="65" customFormat="1"/>
    <row r="15271" s="65" customFormat="1"/>
    <row r="15272" s="65" customFormat="1"/>
    <row r="15273" s="65" customFormat="1"/>
    <row r="15274" s="65" customFormat="1"/>
    <row r="15275" s="65" customFormat="1"/>
    <row r="15276" s="65" customFormat="1"/>
    <row r="15277" s="65" customFormat="1"/>
    <row r="15278" s="65" customFormat="1"/>
    <row r="15279" s="65" customFormat="1"/>
    <row r="15280" s="65" customFormat="1"/>
    <row r="15281" s="65" customFormat="1"/>
    <row r="15282" s="65" customFormat="1"/>
    <row r="15283" s="65" customFormat="1"/>
    <row r="15284" s="65" customFormat="1"/>
    <row r="15285" s="65" customFormat="1"/>
    <row r="15286" s="65" customFormat="1"/>
    <row r="15287" s="65" customFormat="1"/>
    <row r="15288" s="65" customFormat="1"/>
    <row r="15289" s="65" customFormat="1"/>
    <row r="15290" s="65" customFormat="1"/>
    <row r="15291" s="65" customFormat="1"/>
    <row r="15292" s="65" customFormat="1"/>
    <row r="15293" s="65" customFormat="1"/>
    <row r="15294" s="65" customFormat="1"/>
    <row r="15295" s="65" customFormat="1"/>
    <row r="15296" s="65" customFormat="1"/>
    <row r="15297" s="65" customFormat="1"/>
    <row r="15298" s="65" customFormat="1"/>
    <row r="15299" s="65" customFormat="1"/>
    <row r="15300" s="65" customFormat="1"/>
    <row r="15301" s="65" customFormat="1"/>
    <row r="15302" s="65" customFormat="1"/>
    <row r="15303" s="65" customFormat="1"/>
    <row r="15304" s="65" customFormat="1"/>
    <row r="15305" s="65" customFormat="1"/>
    <row r="15306" s="65" customFormat="1"/>
    <row r="15307" s="65" customFormat="1"/>
    <row r="15308" s="65" customFormat="1"/>
    <row r="15309" s="65" customFormat="1"/>
    <row r="15310" s="65" customFormat="1"/>
    <row r="15311" s="65" customFormat="1"/>
    <row r="15312" s="65" customFormat="1"/>
    <row r="15313" s="65" customFormat="1"/>
    <row r="15314" s="65" customFormat="1"/>
    <row r="15315" s="65" customFormat="1"/>
    <row r="15316" s="65" customFormat="1"/>
    <row r="15317" s="65" customFormat="1"/>
    <row r="15318" s="65" customFormat="1"/>
    <row r="15319" s="65" customFormat="1"/>
    <row r="15320" s="65" customFormat="1"/>
    <row r="15321" s="65" customFormat="1"/>
    <row r="15322" s="65" customFormat="1"/>
    <row r="15323" s="65" customFormat="1"/>
    <row r="15324" s="65" customFormat="1"/>
    <row r="15325" s="65" customFormat="1"/>
    <row r="15326" s="65" customFormat="1"/>
    <row r="15327" s="65" customFormat="1"/>
    <row r="15328" s="65" customFormat="1"/>
    <row r="15329" s="65" customFormat="1"/>
    <row r="15330" s="65" customFormat="1"/>
    <row r="15331" s="65" customFormat="1"/>
    <row r="15332" s="65" customFormat="1"/>
    <row r="15333" s="65" customFormat="1"/>
    <row r="15334" s="65" customFormat="1"/>
    <row r="15335" s="65" customFormat="1"/>
    <row r="15336" s="65" customFormat="1"/>
    <row r="15337" s="65" customFormat="1"/>
    <row r="15338" s="65" customFormat="1"/>
    <row r="15339" s="65" customFormat="1"/>
    <row r="15340" s="65" customFormat="1"/>
    <row r="15341" s="65" customFormat="1"/>
    <row r="15342" s="65" customFormat="1"/>
    <row r="15343" s="65" customFormat="1"/>
    <row r="15344" s="65" customFormat="1"/>
    <row r="15345" s="65" customFormat="1"/>
    <row r="15346" s="65" customFormat="1"/>
    <row r="15347" s="65" customFormat="1"/>
    <row r="15348" s="65" customFormat="1"/>
    <row r="15349" s="65" customFormat="1"/>
    <row r="15350" s="65" customFormat="1"/>
    <row r="15351" s="65" customFormat="1"/>
    <row r="15352" s="65" customFormat="1"/>
    <row r="15353" s="65" customFormat="1"/>
    <row r="15354" s="65" customFormat="1"/>
    <row r="15355" s="65" customFormat="1"/>
    <row r="15356" s="65" customFormat="1"/>
    <row r="15357" s="65" customFormat="1"/>
    <row r="15358" s="65" customFormat="1"/>
    <row r="15359" s="65" customFormat="1"/>
    <row r="15360" s="65" customFormat="1"/>
    <row r="15361" s="65" customFormat="1"/>
    <row r="15362" s="65" customFormat="1"/>
    <row r="15363" s="65" customFormat="1"/>
    <row r="15364" s="65" customFormat="1"/>
    <row r="15365" s="65" customFormat="1"/>
    <row r="15366" s="65" customFormat="1"/>
    <row r="15367" s="65" customFormat="1"/>
    <row r="15368" s="65" customFormat="1"/>
    <row r="15369" s="65" customFormat="1"/>
    <row r="15370" s="65" customFormat="1"/>
    <row r="15371" s="65" customFormat="1"/>
    <row r="15372" s="65" customFormat="1"/>
    <row r="15373" s="65" customFormat="1"/>
    <row r="15374" s="65" customFormat="1"/>
    <row r="15375" s="65" customFormat="1"/>
    <row r="15376" s="65" customFormat="1"/>
    <row r="15377" s="65" customFormat="1"/>
    <row r="15378" s="65" customFormat="1"/>
    <row r="15379" s="65" customFormat="1"/>
    <row r="15380" s="65" customFormat="1"/>
    <row r="15381" s="65" customFormat="1"/>
    <row r="15382" s="65" customFormat="1"/>
    <row r="15383" s="65" customFormat="1"/>
    <row r="15384" s="65" customFormat="1"/>
    <row r="15385" s="65" customFormat="1"/>
    <row r="15386" s="65" customFormat="1"/>
    <row r="15387" s="65" customFormat="1"/>
    <row r="15388" s="65" customFormat="1"/>
    <row r="15389" s="65" customFormat="1"/>
    <row r="15390" s="65" customFormat="1"/>
    <row r="15391" s="65" customFormat="1"/>
    <row r="15392" s="65" customFormat="1"/>
    <row r="15393" s="65" customFormat="1"/>
    <row r="15394" s="65" customFormat="1"/>
    <row r="15395" s="65" customFormat="1"/>
    <row r="15396" s="65" customFormat="1"/>
    <row r="15397" s="65" customFormat="1"/>
    <row r="15398" s="65" customFormat="1"/>
    <row r="15399" s="65" customFormat="1"/>
    <row r="15400" s="65" customFormat="1"/>
    <row r="15401" s="65" customFormat="1"/>
    <row r="15402" s="65" customFormat="1"/>
    <row r="15403" s="65" customFormat="1"/>
    <row r="15404" s="65" customFormat="1"/>
    <row r="15405" s="65" customFormat="1"/>
    <row r="15406" s="65" customFormat="1"/>
    <row r="15407" s="65" customFormat="1"/>
    <row r="15408" s="65" customFormat="1"/>
    <row r="15409" s="65" customFormat="1"/>
    <row r="15410" s="65" customFormat="1"/>
    <row r="15411" s="65" customFormat="1"/>
    <row r="15412" s="65" customFormat="1"/>
    <row r="15413" s="65" customFormat="1"/>
    <row r="15414" s="65" customFormat="1"/>
    <row r="15415" s="65" customFormat="1"/>
    <row r="15416" s="65" customFormat="1"/>
    <row r="15417" s="65" customFormat="1"/>
    <row r="15418" s="65" customFormat="1"/>
    <row r="15419" s="65" customFormat="1"/>
    <row r="15420" s="65" customFormat="1"/>
    <row r="15421" s="65" customFormat="1"/>
    <row r="15422" s="65" customFormat="1"/>
    <row r="15423" s="65" customFormat="1"/>
    <row r="15424" s="65" customFormat="1"/>
    <row r="15425" s="65" customFormat="1"/>
    <row r="15426" s="65" customFormat="1"/>
    <row r="15427" s="65" customFormat="1"/>
    <row r="15428" s="65" customFormat="1"/>
    <row r="15429" s="65" customFormat="1"/>
    <row r="15430" s="65" customFormat="1"/>
    <row r="15431" s="65" customFormat="1"/>
    <row r="15432" s="65" customFormat="1"/>
    <row r="15433" s="65" customFormat="1"/>
    <row r="15434" s="65" customFormat="1"/>
    <row r="15435" s="65" customFormat="1"/>
    <row r="15436" s="65" customFormat="1"/>
    <row r="15437" s="65" customFormat="1"/>
    <row r="15438" s="65" customFormat="1"/>
    <row r="15439" s="65" customFormat="1"/>
    <row r="15440" s="65" customFormat="1"/>
    <row r="15441" s="65" customFormat="1"/>
    <row r="15442" s="65" customFormat="1"/>
    <row r="15443" s="65" customFormat="1"/>
    <row r="15444" s="65" customFormat="1"/>
    <row r="15445" s="65" customFormat="1"/>
    <row r="15446" s="65" customFormat="1"/>
    <row r="15447" s="65" customFormat="1"/>
    <row r="15448" s="65" customFormat="1"/>
    <row r="15449" s="65" customFormat="1"/>
    <row r="15450" s="65" customFormat="1"/>
    <row r="15451" s="65" customFormat="1"/>
    <row r="15452" s="65" customFormat="1"/>
    <row r="15453" s="65" customFormat="1"/>
    <row r="15454" s="65" customFormat="1"/>
    <row r="15455" s="65" customFormat="1"/>
    <row r="15456" s="65" customFormat="1"/>
    <row r="15457" s="65" customFormat="1"/>
    <row r="15458" s="65" customFormat="1"/>
    <row r="15459" s="65" customFormat="1"/>
    <row r="15460" s="65" customFormat="1"/>
    <row r="15461" s="65" customFormat="1"/>
    <row r="15462" s="65" customFormat="1"/>
    <row r="15463" s="65" customFormat="1"/>
    <row r="15464" s="65" customFormat="1"/>
    <row r="15465" s="65" customFormat="1"/>
    <row r="15466" s="65" customFormat="1"/>
    <row r="15467" s="65" customFormat="1"/>
    <row r="15468" s="65" customFormat="1"/>
    <row r="15469" s="65" customFormat="1"/>
    <row r="15470" s="65" customFormat="1"/>
    <row r="15471" s="65" customFormat="1"/>
    <row r="15472" s="65" customFormat="1"/>
    <row r="15473" s="65" customFormat="1"/>
    <row r="15474" s="65" customFormat="1"/>
    <row r="15475" s="65" customFormat="1"/>
    <row r="15476" s="65" customFormat="1"/>
    <row r="15477" s="65" customFormat="1"/>
    <row r="15478" s="65" customFormat="1"/>
    <row r="15479" s="65" customFormat="1"/>
    <row r="15480" s="65" customFormat="1"/>
    <row r="15481" s="65" customFormat="1"/>
    <row r="15482" s="65" customFormat="1"/>
    <row r="15483" s="65" customFormat="1"/>
    <row r="15484" s="65" customFormat="1"/>
    <row r="15485" s="65" customFormat="1"/>
    <row r="15486" s="65" customFormat="1"/>
    <row r="15487" s="65" customFormat="1"/>
    <row r="15488" s="65" customFormat="1"/>
    <row r="15489" s="65" customFormat="1"/>
    <row r="15490" s="65" customFormat="1"/>
    <row r="15491" s="65" customFormat="1"/>
    <row r="15492" s="65" customFormat="1"/>
    <row r="15493" s="65" customFormat="1"/>
    <row r="15494" s="65" customFormat="1"/>
    <row r="15495" s="65" customFormat="1"/>
    <row r="15496" s="65" customFormat="1"/>
    <row r="15497" s="65" customFormat="1"/>
    <row r="15498" s="65" customFormat="1"/>
    <row r="15499" s="65" customFormat="1"/>
    <row r="15500" s="65" customFormat="1"/>
    <row r="15501" s="65" customFormat="1"/>
    <row r="15502" s="65" customFormat="1"/>
    <row r="15503" s="65" customFormat="1"/>
    <row r="15504" s="65" customFormat="1"/>
    <row r="15505" s="65" customFormat="1"/>
    <row r="15506" s="65" customFormat="1"/>
    <row r="15507" s="65" customFormat="1"/>
    <row r="15508" s="65" customFormat="1"/>
    <row r="15509" s="65" customFormat="1"/>
    <row r="15510" s="65" customFormat="1"/>
    <row r="15511" s="65" customFormat="1"/>
    <row r="15512" s="65" customFormat="1"/>
    <row r="15513" s="65" customFormat="1"/>
    <row r="15514" s="65" customFormat="1"/>
    <row r="15515" s="65" customFormat="1"/>
    <row r="15516" s="65" customFormat="1"/>
    <row r="15517" s="65" customFormat="1"/>
    <row r="15518" s="65" customFormat="1"/>
    <row r="15519" s="65" customFormat="1"/>
    <row r="15520" s="65" customFormat="1"/>
    <row r="15521" s="65" customFormat="1"/>
    <row r="15522" s="65" customFormat="1"/>
    <row r="15523" s="65" customFormat="1"/>
    <row r="15524" s="65" customFormat="1"/>
    <row r="15525" s="65" customFormat="1"/>
    <row r="15526" s="65" customFormat="1"/>
    <row r="15527" s="65" customFormat="1"/>
    <row r="15528" s="65" customFormat="1"/>
    <row r="15529" s="65" customFormat="1"/>
    <row r="15530" s="65" customFormat="1"/>
    <row r="15531" s="65" customFormat="1"/>
    <row r="15532" s="65" customFormat="1"/>
    <row r="15533" s="65" customFormat="1"/>
    <row r="15534" s="65" customFormat="1"/>
    <row r="15535" s="65" customFormat="1"/>
    <row r="15536" s="65" customFormat="1"/>
    <row r="15537" s="65" customFormat="1"/>
    <row r="15538" s="65" customFormat="1"/>
    <row r="15539" s="65" customFormat="1"/>
    <row r="15540" s="65" customFormat="1"/>
    <row r="15541" s="65" customFormat="1"/>
    <row r="15542" s="65" customFormat="1"/>
    <row r="15543" s="65" customFormat="1"/>
    <row r="15544" s="65" customFormat="1"/>
    <row r="15545" s="65" customFormat="1"/>
    <row r="15546" s="65" customFormat="1"/>
    <row r="15547" s="65" customFormat="1"/>
    <row r="15548" s="65" customFormat="1"/>
    <row r="15549" s="65" customFormat="1"/>
    <row r="15550" s="65" customFormat="1"/>
    <row r="15551" s="65" customFormat="1"/>
    <row r="15552" s="65" customFormat="1"/>
    <row r="15553" s="65" customFormat="1"/>
    <row r="15554" s="65" customFormat="1"/>
    <row r="15555" s="65" customFormat="1"/>
    <row r="15556" s="65" customFormat="1"/>
    <row r="15557" s="65" customFormat="1"/>
    <row r="15558" s="65" customFormat="1"/>
    <row r="15559" s="65" customFormat="1"/>
    <row r="15560" s="65" customFormat="1"/>
    <row r="15561" s="65" customFormat="1"/>
    <row r="15562" s="65" customFormat="1"/>
    <row r="15563" s="65" customFormat="1"/>
    <row r="15564" s="65" customFormat="1"/>
    <row r="15565" s="65" customFormat="1"/>
    <row r="15566" s="65" customFormat="1"/>
    <row r="15567" s="65" customFormat="1"/>
    <row r="15568" s="65" customFormat="1"/>
    <row r="15569" s="65" customFormat="1"/>
    <row r="15570" s="65" customFormat="1"/>
    <row r="15571" s="65" customFormat="1"/>
    <row r="15572" s="65" customFormat="1"/>
    <row r="15573" s="65" customFormat="1"/>
    <row r="15574" s="65" customFormat="1"/>
    <row r="15575" s="65" customFormat="1"/>
    <row r="15576" s="65" customFormat="1"/>
    <row r="15577" s="65" customFormat="1"/>
    <row r="15578" s="65" customFormat="1"/>
    <row r="15579" s="65" customFormat="1"/>
    <row r="15580" s="65" customFormat="1"/>
    <row r="15581" s="65" customFormat="1"/>
    <row r="15582" s="65" customFormat="1"/>
    <row r="15583" s="65" customFormat="1"/>
    <row r="15584" s="65" customFormat="1"/>
    <row r="15585" s="65" customFormat="1"/>
    <row r="15586" s="65" customFormat="1"/>
    <row r="15587" s="65" customFormat="1"/>
    <row r="15588" s="65" customFormat="1"/>
    <row r="15589" s="65" customFormat="1"/>
    <row r="15590" s="65" customFormat="1"/>
    <row r="15591" s="65" customFormat="1"/>
    <row r="15592" s="65" customFormat="1"/>
    <row r="15593" s="65" customFormat="1"/>
    <row r="15594" s="65" customFormat="1"/>
    <row r="15595" s="65" customFormat="1"/>
    <row r="15596" s="65" customFormat="1"/>
    <row r="15597" s="65" customFormat="1"/>
    <row r="15598" s="65" customFormat="1"/>
    <row r="15599" s="65" customFormat="1"/>
    <row r="15600" s="65" customFormat="1"/>
    <row r="15601" s="65" customFormat="1"/>
    <row r="15602" s="65" customFormat="1"/>
    <row r="15603" s="65" customFormat="1"/>
    <row r="15604" s="65" customFormat="1"/>
    <row r="15605" s="65" customFormat="1"/>
    <row r="15606" s="65" customFormat="1"/>
    <row r="15607" s="65" customFormat="1"/>
    <row r="15608" s="65" customFormat="1"/>
    <row r="15609" s="65" customFormat="1"/>
    <row r="15610" s="65" customFormat="1"/>
    <row r="15611" s="65" customFormat="1"/>
    <row r="15612" s="65" customFormat="1"/>
    <row r="15613" s="65" customFormat="1"/>
    <row r="15614" s="65" customFormat="1"/>
    <row r="15615" s="65" customFormat="1"/>
    <row r="15616" s="65" customFormat="1"/>
    <row r="15617" s="65" customFormat="1"/>
    <row r="15618" s="65" customFormat="1"/>
    <row r="15619" s="65" customFormat="1"/>
    <row r="15620" s="65" customFormat="1"/>
    <row r="15621" s="65" customFormat="1"/>
    <row r="15622" s="65" customFormat="1"/>
    <row r="15623" s="65" customFormat="1"/>
    <row r="15624" s="65" customFormat="1"/>
    <row r="15625" s="65" customFormat="1"/>
    <row r="15626" s="65" customFormat="1"/>
    <row r="15627" s="65" customFormat="1"/>
    <row r="15628" s="65" customFormat="1"/>
    <row r="15629" s="65" customFormat="1"/>
    <row r="15630" s="65" customFormat="1"/>
    <row r="15631" s="65" customFormat="1"/>
    <row r="15632" s="65" customFormat="1"/>
    <row r="15633" s="65" customFormat="1"/>
    <row r="15634" s="65" customFormat="1"/>
    <row r="15635" s="65" customFormat="1"/>
    <row r="15636" s="65" customFormat="1"/>
    <row r="15637" s="65" customFormat="1"/>
    <row r="15638" s="65" customFormat="1"/>
    <row r="15639" s="65" customFormat="1"/>
    <row r="15640" s="65" customFormat="1"/>
    <row r="15641" s="65" customFormat="1"/>
    <row r="15642" s="65" customFormat="1"/>
    <row r="15643" s="65" customFormat="1"/>
    <row r="15644" s="65" customFormat="1"/>
    <row r="15645" s="65" customFormat="1"/>
    <row r="15646" s="65" customFormat="1"/>
    <row r="15647" s="65" customFormat="1"/>
    <row r="15648" s="65" customFormat="1"/>
    <row r="15649" s="65" customFormat="1"/>
    <row r="15650" s="65" customFormat="1"/>
    <row r="15651" s="65" customFormat="1"/>
    <row r="15652" s="65" customFormat="1"/>
    <row r="15653" s="65" customFormat="1"/>
    <row r="15654" s="65" customFormat="1"/>
    <row r="15655" s="65" customFormat="1"/>
    <row r="15656" s="65" customFormat="1"/>
    <row r="15657" s="65" customFormat="1"/>
    <row r="15658" s="65" customFormat="1"/>
    <row r="15659" s="65" customFormat="1"/>
    <row r="15660" s="65" customFormat="1"/>
    <row r="15661" s="65" customFormat="1"/>
    <row r="15662" s="65" customFormat="1"/>
    <row r="15663" s="65" customFormat="1"/>
    <row r="15664" s="65" customFormat="1"/>
    <row r="15665" s="65" customFormat="1"/>
    <row r="15666" s="65" customFormat="1"/>
    <row r="15667" s="65" customFormat="1"/>
    <row r="15668" s="65" customFormat="1"/>
    <row r="15669" s="65" customFormat="1"/>
    <row r="15670" s="65" customFormat="1"/>
    <row r="15671" s="65" customFormat="1"/>
    <row r="15672" s="65" customFormat="1"/>
    <row r="15673" s="65" customFormat="1"/>
    <row r="15674" s="65" customFormat="1"/>
    <row r="15675" s="65" customFormat="1"/>
    <row r="15676" s="65" customFormat="1"/>
    <row r="15677" s="65" customFormat="1"/>
    <row r="15678" s="65" customFormat="1"/>
    <row r="15679" s="65" customFormat="1"/>
    <row r="15680" s="65" customFormat="1"/>
    <row r="15681" s="65" customFormat="1"/>
    <row r="15682" s="65" customFormat="1"/>
    <row r="15683" s="65" customFormat="1"/>
    <row r="15684" s="65" customFormat="1"/>
    <row r="15685" s="65" customFormat="1"/>
    <row r="15686" s="65" customFormat="1"/>
    <row r="15687" s="65" customFormat="1"/>
    <row r="15688" s="65" customFormat="1"/>
    <row r="15689" s="65" customFormat="1"/>
    <row r="15690" s="65" customFormat="1"/>
    <row r="15691" s="65" customFormat="1"/>
    <row r="15692" s="65" customFormat="1"/>
    <row r="15693" s="65" customFormat="1"/>
    <row r="15694" s="65" customFormat="1"/>
    <row r="15695" s="65" customFormat="1"/>
    <row r="15696" s="65" customFormat="1"/>
    <row r="15697" s="65" customFormat="1"/>
    <row r="15698" s="65" customFormat="1"/>
    <row r="15699" s="65" customFormat="1"/>
    <row r="15700" s="65" customFormat="1"/>
    <row r="15701" s="65" customFormat="1"/>
    <row r="15702" s="65" customFormat="1"/>
    <row r="15703" s="65" customFormat="1"/>
    <row r="15704" s="65" customFormat="1"/>
    <row r="15705" s="65" customFormat="1"/>
    <row r="15706" s="65" customFormat="1"/>
    <row r="15707" s="65" customFormat="1"/>
    <row r="15708" s="65" customFormat="1"/>
    <row r="15709" s="65" customFormat="1"/>
    <row r="15710" s="65" customFormat="1"/>
    <row r="15711" s="65" customFormat="1"/>
    <row r="15712" s="65" customFormat="1"/>
    <row r="15713" s="65" customFormat="1"/>
    <row r="15714" s="65" customFormat="1"/>
    <row r="15715" s="65" customFormat="1"/>
    <row r="15716" s="65" customFormat="1"/>
    <row r="15717" s="65" customFormat="1"/>
    <row r="15718" s="65" customFormat="1"/>
    <row r="15719" s="65" customFormat="1"/>
    <row r="15720" s="65" customFormat="1"/>
    <row r="15721" s="65" customFormat="1"/>
    <row r="15722" s="65" customFormat="1"/>
    <row r="15723" s="65" customFormat="1"/>
    <row r="15724" s="65" customFormat="1"/>
    <row r="15725" s="65" customFormat="1"/>
    <row r="15726" s="65" customFormat="1"/>
    <row r="15727" s="65" customFormat="1"/>
    <row r="15728" s="65" customFormat="1"/>
    <row r="15729" s="65" customFormat="1"/>
    <row r="15730" s="65" customFormat="1"/>
    <row r="15731" s="65" customFormat="1"/>
    <row r="15732" s="65" customFormat="1"/>
    <row r="15733" s="65" customFormat="1"/>
    <row r="15734" s="65" customFormat="1"/>
    <row r="15735" s="65" customFormat="1"/>
    <row r="15736" s="65" customFormat="1"/>
    <row r="15737" s="65" customFormat="1"/>
    <row r="15738" s="65" customFormat="1"/>
    <row r="15739" s="65" customFormat="1"/>
    <row r="15740" s="65" customFormat="1"/>
    <row r="15741" s="65" customFormat="1"/>
    <row r="15742" s="65" customFormat="1"/>
    <row r="15743" s="65" customFormat="1"/>
    <row r="15744" s="65" customFormat="1"/>
    <row r="15745" s="65" customFormat="1"/>
    <row r="15746" s="65" customFormat="1"/>
    <row r="15747" s="65" customFormat="1"/>
    <row r="15748" s="65" customFormat="1"/>
    <row r="15749" s="65" customFormat="1"/>
    <row r="15750" s="65" customFormat="1"/>
    <row r="15751" s="65" customFormat="1"/>
    <row r="15752" s="65" customFormat="1"/>
    <row r="15753" s="65" customFormat="1"/>
    <row r="15754" s="65" customFormat="1"/>
    <row r="15755" s="65" customFormat="1"/>
    <row r="15756" s="65" customFormat="1"/>
    <row r="15757" s="65" customFormat="1"/>
    <row r="15758" s="65" customFormat="1"/>
    <row r="15759" s="65" customFormat="1"/>
    <row r="15760" s="65" customFormat="1"/>
    <row r="15761" s="65" customFormat="1"/>
    <row r="15762" s="65" customFormat="1"/>
    <row r="15763" s="65" customFormat="1"/>
    <row r="15764" s="65" customFormat="1"/>
    <row r="15765" s="65" customFormat="1"/>
    <row r="15766" s="65" customFormat="1"/>
    <row r="15767" s="65" customFormat="1"/>
    <row r="15768" s="65" customFormat="1"/>
    <row r="15769" s="65" customFormat="1"/>
    <row r="15770" s="65" customFormat="1"/>
    <row r="15771" s="65" customFormat="1"/>
    <row r="15772" s="65" customFormat="1"/>
    <row r="15773" s="65" customFormat="1"/>
    <row r="15774" s="65" customFormat="1"/>
    <row r="15775" s="65" customFormat="1"/>
    <row r="15776" s="65" customFormat="1"/>
    <row r="15777" s="65" customFormat="1"/>
    <row r="15778" s="65" customFormat="1"/>
    <row r="15779" s="65" customFormat="1"/>
    <row r="15780" s="65" customFormat="1"/>
    <row r="15781" s="65" customFormat="1"/>
    <row r="15782" s="65" customFormat="1"/>
    <row r="15783" s="65" customFormat="1"/>
    <row r="15784" s="65" customFormat="1"/>
    <row r="15785" s="65" customFormat="1"/>
    <row r="15786" s="65" customFormat="1"/>
    <row r="15787" s="65" customFormat="1"/>
    <row r="15788" s="65" customFormat="1"/>
    <row r="15789" s="65" customFormat="1"/>
    <row r="15790" s="65" customFormat="1"/>
    <row r="15791" s="65" customFormat="1"/>
    <row r="15792" s="65" customFormat="1"/>
    <row r="15793" s="65" customFormat="1"/>
    <row r="15794" s="65" customFormat="1"/>
    <row r="15795" s="65" customFormat="1"/>
    <row r="15796" s="65" customFormat="1"/>
    <row r="15797" s="65" customFormat="1"/>
    <row r="15798" s="65" customFormat="1"/>
    <row r="15799" s="65" customFormat="1"/>
    <row r="15800" s="65" customFormat="1"/>
    <row r="15801" s="65" customFormat="1"/>
    <row r="15802" s="65" customFormat="1"/>
    <row r="15803" s="65" customFormat="1"/>
    <row r="15804" s="65" customFormat="1"/>
    <row r="15805" s="65" customFormat="1"/>
    <row r="15806" s="65" customFormat="1"/>
    <row r="15807" s="65" customFormat="1"/>
    <row r="15808" s="65" customFormat="1"/>
    <row r="15809" s="65" customFormat="1"/>
    <row r="15810" s="65" customFormat="1"/>
    <row r="15811" s="65" customFormat="1"/>
    <row r="15812" s="65" customFormat="1"/>
    <row r="15813" s="65" customFormat="1"/>
    <row r="15814" s="65" customFormat="1"/>
    <row r="15815" s="65" customFormat="1"/>
    <row r="15816" s="65" customFormat="1"/>
    <row r="15817" s="65" customFormat="1"/>
    <row r="15818" s="65" customFormat="1"/>
    <row r="15819" s="65" customFormat="1"/>
    <row r="15820" s="65" customFormat="1"/>
    <row r="15821" s="65" customFormat="1"/>
    <row r="15822" s="65" customFormat="1"/>
    <row r="15823" s="65" customFormat="1"/>
    <row r="15824" s="65" customFormat="1"/>
    <row r="15825" s="65" customFormat="1"/>
    <row r="15826" s="65" customFormat="1"/>
    <row r="15827" s="65" customFormat="1"/>
    <row r="15828" s="65" customFormat="1"/>
    <row r="15829" s="65" customFormat="1"/>
    <row r="15830" s="65" customFormat="1"/>
    <row r="15831" s="65" customFormat="1"/>
    <row r="15832" s="65" customFormat="1"/>
    <row r="15833" s="65" customFormat="1"/>
    <row r="15834" s="65" customFormat="1"/>
    <row r="15835" s="65" customFormat="1"/>
    <row r="15836" s="65" customFormat="1"/>
    <row r="15837" s="65" customFormat="1"/>
    <row r="15838" s="65" customFormat="1"/>
    <row r="15839" s="65" customFormat="1"/>
    <row r="15840" s="65" customFormat="1"/>
    <row r="15841" s="65" customFormat="1"/>
    <row r="15842" s="65" customFormat="1"/>
    <row r="15843" s="65" customFormat="1"/>
    <row r="15844" s="65" customFormat="1"/>
    <row r="15845" s="65" customFormat="1"/>
    <row r="15846" s="65" customFormat="1"/>
    <row r="15847" s="65" customFormat="1"/>
    <row r="15848" s="65" customFormat="1"/>
    <row r="15849" s="65" customFormat="1"/>
    <row r="15850" s="65" customFormat="1"/>
    <row r="15851" s="65" customFormat="1"/>
    <row r="15852" s="65" customFormat="1"/>
    <row r="15853" s="65" customFormat="1"/>
    <row r="15854" s="65" customFormat="1"/>
    <row r="15855" s="65" customFormat="1"/>
    <row r="15856" s="65" customFormat="1"/>
    <row r="15857" s="65" customFormat="1"/>
    <row r="15858" s="65" customFormat="1"/>
    <row r="15859" s="65" customFormat="1"/>
    <row r="15860" s="65" customFormat="1"/>
    <row r="15861" s="65" customFormat="1"/>
    <row r="15862" s="65" customFormat="1"/>
    <row r="15863" s="65" customFormat="1"/>
    <row r="15864" s="65" customFormat="1"/>
    <row r="15865" s="65" customFormat="1"/>
    <row r="15866" s="65" customFormat="1"/>
    <row r="15867" s="65" customFormat="1"/>
    <row r="15868" s="65" customFormat="1"/>
    <row r="15869" s="65" customFormat="1"/>
    <row r="15870" s="65" customFormat="1"/>
    <row r="15871" s="65" customFormat="1"/>
    <row r="15872" s="65" customFormat="1"/>
    <row r="15873" s="65" customFormat="1"/>
    <row r="15874" s="65" customFormat="1"/>
    <row r="15875" s="65" customFormat="1"/>
    <row r="15876" s="65" customFormat="1"/>
    <row r="15877" s="65" customFormat="1"/>
    <row r="15878" s="65" customFormat="1"/>
    <row r="15879" s="65" customFormat="1"/>
    <row r="15880" s="65" customFormat="1"/>
    <row r="15881" s="65" customFormat="1"/>
    <row r="15882" s="65" customFormat="1"/>
    <row r="15883" s="65" customFormat="1"/>
    <row r="15884" s="65" customFormat="1"/>
    <row r="15885" s="65" customFormat="1"/>
    <row r="15886" s="65" customFormat="1"/>
    <row r="15887" s="65" customFormat="1"/>
    <row r="15888" s="65" customFormat="1"/>
    <row r="15889" s="65" customFormat="1"/>
    <row r="15890" s="65" customFormat="1"/>
    <row r="15891" s="65" customFormat="1"/>
    <row r="15892" s="65" customFormat="1"/>
    <row r="15893" s="65" customFormat="1"/>
    <row r="15894" s="65" customFormat="1"/>
    <row r="15895" s="65" customFormat="1"/>
    <row r="15896" s="65" customFormat="1"/>
    <row r="15897" s="65" customFormat="1"/>
    <row r="15898" s="65" customFormat="1"/>
    <row r="15899" s="65" customFormat="1"/>
    <row r="15900" s="65" customFormat="1"/>
    <row r="15901" s="65" customFormat="1"/>
    <row r="15902" s="65" customFormat="1"/>
    <row r="15903" s="65" customFormat="1"/>
    <row r="15904" s="65" customFormat="1"/>
    <row r="15905" s="65" customFormat="1"/>
    <row r="15906" s="65" customFormat="1"/>
    <row r="15907" s="65" customFormat="1"/>
    <row r="15908" s="65" customFormat="1"/>
    <row r="15909" s="65" customFormat="1"/>
    <row r="15910" s="65" customFormat="1"/>
    <row r="15911" s="65" customFormat="1"/>
    <row r="15912" s="65" customFormat="1"/>
    <row r="15913" s="65" customFormat="1"/>
    <row r="15914" s="65" customFormat="1"/>
    <row r="15915" s="65" customFormat="1"/>
    <row r="15916" s="65" customFormat="1"/>
    <row r="15917" s="65" customFormat="1"/>
    <row r="15918" s="65" customFormat="1"/>
    <row r="15919" s="65" customFormat="1"/>
    <row r="15920" s="65" customFormat="1"/>
    <row r="15921" s="65" customFormat="1"/>
    <row r="15922" s="65" customFormat="1"/>
    <row r="15923" s="65" customFormat="1"/>
    <row r="15924" s="65" customFormat="1"/>
    <row r="15925" s="65" customFormat="1"/>
    <row r="15926" s="65" customFormat="1"/>
    <row r="15927" s="65" customFormat="1"/>
    <row r="15928" s="65" customFormat="1"/>
    <row r="15929" s="65" customFormat="1"/>
    <row r="15930" s="65" customFormat="1"/>
    <row r="15931" s="65" customFormat="1"/>
    <row r="15932" s="65" customFormat="1"/>
    <row r="15933" s="65" customFormat="1"/>
    <row r="15934" s="65" customFormat="1"/>
    <row r="15935" s="65" customFormat="1"/>
    <row r="15936" s="65" customFormat="1"/>
    <row r="15937" s="65" customFormat="1"/>
    <row r="15938" s="65" customFormat="1"/>
    <row r="15939" s="65" customFormat="1"/>
    <row r="15940" s="65" customFormat="1"/>
    <row r="15941" s="65" customFormat="1"/>
    <row r="15942" s="65" customFormat="1"/>
    <row r="15943" s="65" customFormat="1"/>
    <row r="15944" s="65" customFormat="1"/>
    <row r="15945" s="65" customFormat="1"/>
    <row r="15946" s="65" customFormat="1"/>
    <row r="15947" s="65" customFormat="1"/>
    <row r="15948" s="65" customFormat="1"/>
    <row r="15949" s="65" customFormat="1"/>
    <row r="15950" s="65" customFormat="1"/>
    <row r="15951" s="65" customFormat="1"/>
    <row r="15952" s="65" customFormat="1"/>
    <row r="15953" s="65" customFormat="1"/>
    <row r="15954" s="65" customFormat="1"/>
    <row r="15955" s="65" customFormat="1"/>
    <row r="15956" s="65" customFormat="1"/>
    <row r="15957" s="65" customFormat="1"/>
    <row r="15958" s="65" customFormat="1"/>
    <row r="15959" s="65" customFormat="1"/>
    <row r="15960" s="65" customFormat="1"/>
    <row r="15961" s="65" customFormat="1"/>
    <row r="15962" s="65" customFormat="1"/>
    <row r="15963" s="65" customFormat="1"/>
    <row r="15964" s="65" customFormat="1"/>
    <row r="15965" s="65" customFormat="1"/>
    <row r="15966" s="65" customFormat="1"/>
    <row r="15967" s="65" customFormat="1"/>
    <row r="15968" s="65" customFormat="1"/>
    <row r="15969" s="65" customFormat="1"/>
    <row r="15970" s="65" customFormat="1"/>
    <row r="15971" s="65" customFormat="1"/>
    <row r="15972" s="65" customFormat="1"/>
    <row r="15973" s="65" customFormat="1"/>
    <row r="15974" s="65" customFormat="1"/>
    <row r="15975" s="65" customFormat="1"/>
    <row r="15976" s="65" customFormat="1"/>
    <row r="15977" s="65" customFormat="1"/>
    <row r="15978" s="65" customFormat="1"/>
    <row r="15979" s="65" customFormat="1"/>
    <row r="15980" s="65" customFormat="1"/>
    <row r="15981" s="65" customFormat="1"/>
    <row r="15982" s="65" customFormat="1"/>
    <row r="15983" s="65" customFormat="1"/>
    <row r="15984" s="65" customFormat="1"/>
    <row r="15985" s="65" customFormat="1"/>
    <row r="15986" s="65" customFormat="1"/>
    <row r="15987" s="65" customFormat="1"/>
    <row r="15988" s="65" customFormat="1"/>
    <row r="15989" s="65" customFormat="1"/>
    <row r="15990" s="65" customFormat="1"/>
    <row r="15991" s="65" customFormat="1"/>
    <row r="15992" s="65" customFormat="1"/>
    <row r="15993" s="65" customFormat="1"/>
    <row r="15994" s="65" customFormat="1"/>
    <row r="15995" s="65" customFormat="1"/>
    <row r="15996" s="65" customFormat="1"/>
    <row r="15997" s="65" customFormat="1"/>
    <row r="15998" s="65" customFormat="1"/>
    <row r="15999" s="65" customFormat="1"/>
    <row r="16000" s="65" customFormat="1"/>
    <row r="16001" s="65" customFormat="1"/>
    <row r="16002" s="65" customFormat="1"/>
    <row r="16003" s="65" customFormat="1"/>
    <row r="16004" s="65" customFormat="1"/>
    <row r="16005" s="65" customFormat="1"/>
    <row r="16006" s="65" customFormat="1"/>
    <row r="16007" s="65" customFormat="1"/>
    <row r="16008" s="65" customFormat="1"/>
    <row r="16009" s="65" customFormat="1"/>
    <row r="16010" s="65" customFormat="1"/>
    <row r="16011" s="65" customFormat="1"/>
    <row r="16012" s="65" customFormat="1"/>
    <row r="16013" s="65" customFormat="1"/>
    <row r="16014" s="65" customFormat="1"/>
    <row r="16015" s="65" customFormat="1"/>
    <row r="16016" s="65" customFormat="1"/>
    <row r="16017" s="65" customFormat="1"/>
    <row r="16018" s="65" customFormat="1"/>
    <row r="16019" s="65" customFormat="1"/>
    <row r="16020" s="65" customFormat="1"/>
    <row r="16021" s="65" customFormat="1"/>
    <row r="16022" s="65" customFormat="1"/>
    <row r="16023" s="65" customFormat="1"/>
    <row r="16024" s="65" customFormat="1"/>
    <row r="16025" s="65" customFormat="1"/>
    <row r="16026" s="65" customFormat="1"/>
    <row r="16027" s="65" customFormat="1"/>
    <row r="16028" s="65" customFormat="1"/>
    <row r="16029" s="65" customFormat="1"/>
    <row r="16030" s="65" customFormat="1"/>
    <row r="16031" s="65" customFormat="1"/>
    <row r="16032" s="65" customFormat="1"/>
    <row r="16033" s="65" customFormat="1"/>
    <row r="16034" s="65" customFormat="1"/>
    <row r="16035" s="65" customFormat="1"/>
    <row r="16036" s="65" customFormat="1"/>
    <row r="16037" s="65" customFormat="1"/>
    <row r="16038" s="65" customFormat="1"/>
    <row r="16039" s="65" customFormat="1"/>
    <row r="16040" s="65" customFormat="1"/>
    <row r="16041" s="65" customFormat="1"/>
    <row r="16042" s="65" customFormat="1"/>
    <row r="16043" s="65" customFormat="1"/>
    <row r="16044" s="65" customFormat="1"/>
    <row r="16045" s="65" customFormat="1"/>
    <row r="16046" s="65" customFormat="1"/>
    <row r="16047" s="65" customFormat="1"/>
    <row r="16048" s="65" customFormat="1"/>
    <row r="16049" s="65" customFormat="1"/>
    <row r="16050" s="65" customFormat="1"/>
    <row r="16051" s="65" customFormat="1"/>
    <row r="16052" s="65" customFormat="1"/>
    <row r="16053" s="65" customFormat="1"/>
    <row r="16054" s="65" customFormat="1"/>
    <row r="16055" s="65" customFormat="1"/>
    <row r="16056" s="65" customFormat="1"/>
    <row r="16057" s="65" customFormat="1"/>
    <row r="16058" s="65" customFormat="1"/>
    <row r="16059" s="65" customFormat="1"/>
    <row r="16060" s="65" customFormat="1"/>
    <row r="16061" s="65" customFormat="1"/>
    <row r="16062" s="65" customFormat="1"/>
    <row r="16063" s="65" customFormat="1"/>
    <row r="16064" s="65" customFormat="1"/>
    <row r="16065" s="65" customFormat="1"/>
    <row r="16066" s="65" customFormat="1"/>
    <row r="16067" s="65" customFormat="1"/>
    <row r="16068" s="65" customFormat="1"/>
    <row r="16069" s="65" customFormat="1"/>
    <row r="16070" s="65" customFormat="1"/>
    <row r="16071" s="65" customFormat="1"/>
    <row r="16072" s="65" customFormat="1"/>
    <row r="16073" s="65" customFormat="1"/>
    <row r="16074" s="65" customFormat="1"/>
    <row r="16075" s="65" customFormat="1"/>
    <row r="16076" s="65" customFormat="1"/>
    <row r="16077" s="65" customFormat="1"/>
    <row r="16078" s="65" customFormat="1"/>
    <row r="16079" s="65" customFormat="1"/>
    <row r="16080" s="65" customFormat="1"/>
    <row r="16081" s="65" customFormat="1"/>
    <row r="16082" s="65" customFormat="1"/>
    <row r="16083" s="65" customFormat="1"/>
    <row r="16084" s="65" customFormat="1"/>
    <row r="16085" s="65" customFormat="1"/>
    <row r="16086" s="65" customFormat="1"/>
    <row r="16087" s="65" customFormat="1"/>
    <row r="16088" s="65" customFormat="1"/>
    <row r="16089" s="65" customFormat="1"/>
    <row r="16090" s="65" customFormat="1"/>
    <row r="16091" s="65" customFormat="1"/>
    <row r="16092" s="65" customFormat="1"/>
    <row r="16093" s="65" customFormat="1"/>
    <row r="16094" s="65" customFormat="1"/>
    <row r="16095" s="65" customFormat="1"/>
    <row r="16096" s="65" customFormat="1"/>
    <row r="16097" s="65" customFormat="1"/>
    <row r="16098" s="65" customFormat="1"/>
    <row r="16099" s="65" customFormat="1"/>
    <row r="16100" s="65" customFormat="1"/>
    <row r="16101" s="65" customFormat="1"/>
    <row r="16102" s="65" customFormat="1"/>
    <row r="16103" s="65" customFormat="1"/>
    <row r="16104" s="65" customFormat="1"/>
    <row r="16105" s="65" customFormat="1"/>
    <row r="16106" s="65" customFormat="1"/>
    <row r="16107" s="65" customFormat="1"/>
    <row r="16108" s="65" customFormat="1"/>
    <row r="16109" s="65" customFormat="1"/>
    <row r="16110" s="65" customFormat="1"/>
    <row r="16111" s="65" customFormat="1"/>
    <row r="16112" s="65" customFormat="1"/>
    <row r="16113" s="65" customFormat="1"/>
    <row r="16114" s="65" customFormat="1"/>
    <row r="16115" s="65" customFormat="1"/>
    <row r="16116" s="65" customFormat="1"/>
    <row r="16117" s="65" customFormat="1"/>
    <row r="16118" s="65" customFormat="1"/>
    <row r="16119" s="65" customFormat="1"/>
    <row r="16120" s="65" customFormat="1"/>
    <row r="16121" s="65" customFormat="1"/>
    <row r="16122" s="65" customFormat="1"/>
    <row r="16123" s="65" customFormat="1"/>
    <row r="16124" s="65" customFormat="1"/>
    <row r="16125" s="65" customFormat="1"/>
    <row r="16126" s="65" customFormat="1"/>
    <row r="16127" s="65" customFormat="1"/>
    <row r="16128" s="65" customFormat="1"/>
    <row r="16129" s="65" customFormat="1"/>
    <row r="16130" s="65" customFormat="1"/>
    <row r="16131" s="65" customFormat="1"/>
    <row r="16132" s="65" customFormat="1"/>
    <row r="16133" s="65" customFormat="1"/>
    <row r="16134" s="65" customFormat="1"/>
    <row r="16135" s="65" customFormat="1"/>
    <row r="16136" s="65" customFormat="1"/>
    <row r="16137" s="65" customFormat="1"/>
    <row r="16138" s="65" customFormat="1"/>
    <row r="16139" s="65" customFormat="1"/>
    <row r="16140" s="65" customFormat="1"/>
    <row r="16141" s="65" customFormat="1"/>
    <row r="16142" s="65" customFormat="1"/>
    <row r="16143" s="65" customFormat="1"/>
    <row r="16144" s="65" customFormat="1"/>
    <row r="16145" s="65" customFormat="1"/>
    <row r="16146" s="65" customFormat="1"/>
    <row r="16147" s="65" customFormat="1"/>
    <row r="16148" s="65" customFormat="1"/>
    <row r="16149" s="65" customFormat="1"/>
    <row r="16150" s="65" customFormat="1"/>
    <row r="16151" s="65" customFormat="1"/>
    <row r="16152" s="65" customFormat="1"/>
    <row r="16153" s="65" customFormat="1"/>
    <row r="16154" s="65" customFormat="1"/>
    <row r="16155" s="65" customFormat="1"/>
    <row r="16156" s="65" customFormat="1"/>
    <row r="16157" s="65" customFormat="1"/>
    <row r="16158" s="65" customFormat="1"/>
    <row r="16159" s="65" customFormat="1"/>
    <row r="16160" s="65" customFormat="1"/>
    <row r="16161" s="65" customFormat="1"/>
    <row r="16162" s="65" customFormat="1"/>
    <row r="16163" s="65" customFormat="1"/>
    <row r="16164" s="65" customFormat="1"/>
    <row r="16165" s="65" customFormat="1"/>
    <row r="16166" s="65" customFormat="1"/>
    <row r="16167" s="65" customFormat="1"/>
    <row r="16168" s="65" customFormat="1"/>
    <row r="16169" s="65" customFormat="1"/>
    <row r="16170" s="65" customFormat="1"/>
    <row r="16171" s="65" customFormat="1"/>
    <row r="16172" s="65" customFormat="1"/>
    <row r="16173" s="65" customFormat="1"/>
    <row r="16174" s="65" customFormat="1"/>
    <row r="16175" s="65" customFormat="1"/>
    <row r="16176" s="65" customFormat="1"/>
    <row r="16177" s="65" customFormat="1"/>
    <row r="16178" s="65" customFormat="1"/>
    <row r="16179" s="65" customFormat="1"/>
    <row r="16180" s="65" customFormat="1"/>
    <row r="16181" s="65" customFormat="1"/>
    <row r="16182" s="65" customFormat="1"/>
    <row r="16183" s="65" customFormat="1"/>
    <row r="16184" s="65" customFormat="1"/>
    <row r="16185" s="65" customFormat="1"/>
    <row r="16186" s="65" customFormat="1"/>
    <row r="16187" s="65" customFormat="1"/>
    <row r="16188" s="65" customFormat="1"/>
    <row r="16189" s="65" customFormat="1"/>
    <row r="16190" s="65" customFormat="1"/>
    <row r="16191" s="65" customFormat="1"/>
    <row r="16192" s="65" customFormat="1"/>
    <row r="16193" s="65" customFormat="1"/>
    <row r="16194" s="65" customFormat="1"/>
    <row r="16195" s="65" customFormat="1"/>
    <row r="16196" s="65" customFormat="1"/>
    <row r="16197" s="65" customFormat="1"/>
    <row r="16198" s="65" customFormat="1"/>
    <row r="16199" s="65" customFormat="1"/>
    <row r="16200" s="65" customFormat="1"/>
    <row r="16201" s="65" customFormat="1"/>
    <row r="16202" s="65" customFormat="1"/>
    <row r="16203" s="65" customFormat="1"/>
    <row r="16204" s="65" customFormat="1"/>
    <row r="16205" s="65" customFormat="1"/>
    <row r="16206" s="65" customFormat="1"/>
    <row r="16207" s="65" customFormat="1"/>
    <row r="16208" s="65" customFormat="1"/>
    <row r="16209" s="65" customFormat="1"/>
    <row r="16210" s="65" customFormat="1"/>
    <row r="16211" s="65" customFormat="1"/>
    <row r="16212" s="65" customFormat="1"/>
    <row r="16213" s="65" customFormat="1"/>
    <row r="16214" s="65" customFormat="1"/>
    <row r="16215" s="65" customFormat="1"/>
    <row r="16216" s="65" customFormat="1"/>
    <row r="16217" s="65" customFormat="1"/>
    <row r="16218" s="65" customFormat="1"/>
    <row r="16219" s="65" customFormat="1"/>
    <row r="16220" s="65" customFormat="1"/>
    <row r="16221" s="65" customFormat="1"/>
    <row r="16222" s="65" customFormat="1"/>
    <row r="16223" s="65" customFormat="1"/>
    <row r="16224" s="65" customFormat="1"/>
    <row r="16225" s="65" customFormat="1"/>
    <row r="16226" s="65" customFormat="1"/>
    <row r="16227" s="65" customFormat="1"/>
    <row r="16228" s="65" customFormat="1"/>
    <row r="16229" s="65" customFormat="1"/>
    <row r="16230" s="65" customFormat="1"/>
    <row r="16231" s="65" customFormat="1"/>
    <row r="16232" s="65" customFormat="1"/>
    <row r="16233" s="65" customFormat="1"/>
    <row r="16234" s="65" customFormat="1"/>
    <row r="16235" s="65" customFormat="1"/>
    <row r="16236" s="65" customFormat="1"/>
    <row r="16237" s="65" customFormat="1"/>
    <row r="16238" s="65" customFormat="1"/>
    <row r="16239" s="65" customFormat="1"/>
    <row r="16240" s="65" customFormat="1"/>
    <row r="16241" s="65" customFormat="1"/>
    <row r="16242" s="65" customFormat="1"/>
    <row r="16243" s="65" customFormat="1"/>
    <row r="16244" s="65" customFormat="1"/>
    <row r="16245" s="65" customFormat="1"/>
    <row r="16246" s="65" customFormat="1"/>
    <row r="16247" s="65" customFormat="1"/>
    <row r="16248" s="65" customFormat="1"/>
    <row r="16249" s="65" customFormat="1"/>
    <row r="16250" s="65" customFormat="1"/>
    <row r="16251" s="65" customFormat="1"/>
    <row r="16252" s="65" customFormat="1"/>
    <row r="16253" s="65" customFormat="1"/>
    <row r="16254" s="65" customFormat="1"/>
    <row r="16255" s="65" customFormat="1"/>
    <row r="16256" s="65" customFormat="1"/>
    <row r="16257" s="65" customFormat="1"/>
    <row r="16258" s="65" customFormat="1"/>
    <row r="16259" s="65" customFormat="1"/>
    <row r="16260" s="65" customFormat="1"/>
    <row r="16261" s="65" customFormat="1"/>
    <row r="16262" s="65" customFormat="1"/>
    <row r="16263" s="65" customFormat="1"/>
    <row r="16264" s="65" customFormat="1"/>
    <row r="16265" s="65" customFormat="1"/>
    <row r="16266" s="65" customFormat="1"/>
    <row r="16267" s="65" customFormat="1"/>
    <row r="16268" s="65" customFormat="1"/>
    <row r="16269" s="65" customFormat="1"/>
    <row r="16270" s="65" customFormat="1"/>
    <row r="16271" s="65" customFormat="1"/>
    <row r="16272" s="65" customFormat="1"/>
    <row r="16273" s="65" customFormat="1"/>
    <row r="16274" s="65" customFormat="1"/>
    <row r="16275" s="65" customFormat="1"/>
    <row r="16276" s="65" customFormat="1"/>
    <row r="16277" s="65" customFormat="1"/>
    <row r="16278" s="65" customFormat="1"/>
    <row r="16279" s="65" customFormat="1"/>
    <row r="16280" s="65" customFormat="1"/>
    <row r="16281" s="65" customFormat="1"/>
    <row r="16282" s="65" customFormat="1"/>
    <row r="16283" s="65" customFormat="1"/>
    <row r="16284" s="65" customFormat="1"/>
    <row r="16285" s="65" customFormat="1"/>
    <row r="16286" s="65" customFormat="1"/>
    <row r="16287" s="65" customFormat="1"/>
    <row r="16288" s="65" customFormat="1"/>
    <row r="16289" s="65" customFormat="1"/>
    <row r="16290" s="65" customFormat="1"/>
    <row r="16291" s="65" customFormat="1"/>
    <row r="16292" s="65" customFormat="1"/>
    <row r="16293" s="65" customFormat="1"/>
    <row r="16294" s="65" customFormat="1"/>
    <row r="16295" s="65" customFormat="1"/>
    <row r="16296" s="65" customFormat="1"/>
    <row r="16297" s="65" customFormat="1"/>
    <row r="16298" s="65" customFormat="1"/>
    <row r="16299" s="65" customFormat="1"/>
    <row r="16300" s="65" customFormat="1"/>
    <row r="16301" s="65" customFormat="1"/>
    <row r="16302" s="65" customFormat="1"/>
    <row r="16303" s="65" customFormat="1"/>
    <row r="16304" s="65" customFormat="1"/>
    <row r="16305" s="65" customFormat="1"/>
    <row r="16306" s="65" customFormat="1"/>
    <row r="16307" s="65" customFormat="1"/>
    <row r="16308" s="65" customFormat="1"/>
    <row r="16309" s="65" customFormat="1"/>
    <row r="16310" s="65" customFormat="1"/>
    <row r="16311" s="65" customFormat="1"/>
    <row r="16312" s="65" customFormat="1"/>
    <row r="16313" s="65" customFormat="1"/>
    <row r="16314" s="65" customFormat="1"/>
    <row r="16315" s="65" customFormat="1"/>
    <row r="16316" s="65" customFormat="1"/>
    <row r="16317" s="65" customFormat="1"/>
    <row r="16318" s="65" customFormat="1"/>
    <row r="16319" s="65" customFormat="1"/>
    <row r="16320" s="65" customFormat="1"/>
    <row r="16321" s="65" customFormat="1"/>
    <row r="16322" s="65" customFormat="1"/>
    <row r="16323" s="65" customFormat="1"/>
    <row r="16324" s="65" customFormat="1"/>
    <row r="16325" s="65" customFormat="1"/>
    <row r="16326" s="65" customFormat="1"/>
    <row r="16327" s="65" customFormat="1"/>
    <row r="16328" s="65" customFormat="1"/>
    <row r="16329" s="65" customFormat="1"/>
    <row r="16330" s="65" customFormat="1"/>
    <row r="16331" s="65" customFormat="1"/>
    <row r="16332" s="65" customFormat="1"/>
    <row r="16333" s="65" customFormat="1"/>
    <row r="16334" s="65" customFormat="1"/>
    <row r="16335" s="65" customFormat="1"/>
    <row r="16336" s="65" customFormat="1"/>
    <row r="16337" s="65" customFormat="1"/>
    <row r="16338" s="65" customFormat="1"/>
    <row r="16339" s="65" customFormat="1"/>
    <row r="16340" s="65" customFormat="1"/>
    <row r="16341" s="65" customFormat="1"/>
    <row r="16342" s="65" customFormat="1"/>
    <row r="16343" s="65" customFormat="1"/>
    <row r="16344" s="65" customFormat="1"/>
    <row r="16345" s="65" customFormat="1"/>
    <row r="16346" s="65" customFormat="1"/>
    <row r="16347" s="65" customFormat="1"/>
    <row r="16348" s="65" customFormat="1"/>
    <row r="16349" s="65" customFormat="1"/>
    <row r="16350" s="65" customFormat="1"/>
    <row r="16351" s="65" customFormat="1"/>
    <row r="16352" s="65" customFormat="1"/>
    <row r="16353" s="65" customFormat="1"/>
    <row r="16354" s="65" customFormat="1"/>
    <row r="16355" s="65" customFormat="1"/>
    <row r="16356" s="65" customFormat="1"/>
    <row r="16357" s="65" customFormat="1"/>
    <row r="16358" s="65" customFormat="1"/>
    <row r="16359" s="65" customFormat="1"/>
    <row r="16360" s="65" customFormat="1"/>
    <row r="16361" s="65" customFormat="1"/>
    <row r="16362" s="65" customFormat="1"/>
    <row r="16363" s="65" customFormat="1"/>
    <row r="16364" s="65" customFormat="1"/>
    <row r="16365" s="65" customFormat="1"/>
    <row r="16366" s="65" customFormat="1"/>
    <row r="16367" s="65" customFormat="1"/>
    <row r="16368" s="65" customFormat="1"/>
    <row r="16369" s="65" customFormat="1"/>
    <row r="16370" s="65" customFormat="1"/>
    <row r="16371" s="65" customFormat="1"/>
    <row r="16372" s="65" customFormat="1"/>
    <row r="16373" s="65" customFormat="1"/>
    <row r="16374" s="65" customFormat="1"/>
    <row r="16375" s="65" customFormat="1"/>
    <row r="16376" s="65" customFormat="1"/>
    <row r="16377" s="65" customFormat="1"/>
    <row r="16378" s="65" customFormat="1"/>
    <row r="16379" s="65" customFormat="1"/>
    <row r="16380" s="65" customFormat="1"/>
    <row r="16381" s="65" customFormat="1"/>
    <row r="16382" s="65" customFormat="1"/>
    <row r="16383" s="65" customFormat="1"/>
    <row r="16384" s="65" customFormat="1"/>
    <row r="16385" s="65" customFormat="1"/>
    <row r="16386" s="65" customFormat="1"/>
    <row r="16387" s="65" customFormat="1"/>
    <row r="16388" s="65" customFormat="1"/>
    <row r="16389" s="65" customFormat="1"/>
    <row r="16390" s="65" customFormat="1"/>
    <row r="16391" s="65" customFormat="1"/>
    <row r="16392" s="65" customFormat="1"/>
    <row r="16393" s="65" customFormat="1"/>
    <row r="16394" s="65" customFormat="1"/>
    <row r="16395" s="65" customFormat="1"/>
    <row r="16396" s="65" customFormat="1"/>
    <row r="16397" s="65" customFormat="1"/>
    <row r="16398" s="65" customFormat="1"/>
    <row r="16399" s="65" customFormat="1"/>
    <row r="16400" s="65" customFormat="1"/>
    <row r="16401" s="65" customFormat="1"/>
    <row r="16402" s="65" customFormat="1"/>
    <row r="16403" s="65" customFormat="1"/>
    <row r="16404" s="65" customFormat="1"/>
    <row r="16405" s="65" customFormat="1"/>
    <row r="16406" s="65" customFormat="1"/>
    <row r="16407" s="65" customFormat="1"/>
    <row r="16408" s="65" customFormat="1"/>
    <row r="16409" s="65" customFormat="1"/>
    <row r="16410" s="65" customFormat="1"/>
    <row r="16411" s="65" customFormat="1"/>
    <row r="16412" s="65" customFormat="1"/>
    <row r="16413" s="65" customFormat="1"/>
    <row r="16414" s="65" customFormat="1"/>
    <row r="16415" s="65" customFormat="1"/>
    <row r="16416" s="65" customFormat="1"/>
    <row r="16417" s="65" customFormat="1"/>
    <row r="16418" s="65" customFormat="1"/>
    <row r="16419" s="65" customFormat="1"/>
    <row r="16420" s="65" customFormat="1"/>
    <row r="16421" s="65" customFormat="1"/>
    <row r="16422" s="65" customFormat="1"/>
    <row r="16423" s="65" customFormat="1"/>
    <row r="16424" s="65" customFormat="1"/>
    <row r="16425" s="65" customFormat="1"/>
    <row r="16426" s="65" customFormat="1"/>
    <row r="16427" s="65" customFormat="1"/>
    <row r="16428" s="65" customFormat="1"/>
    <row r="16429" s="65" customFormat="1"/>
    <row r="16430" s="65" customFormat="1"/>
    <row r="16431" s="65" customFormat="1"/>
    <row r="16432" s="65" customFormat="1"/>
    <row r="16433" s="65" customFormat="1"/>
    <row r="16434" s="65" customFormat="1"/>
    <row r="16435" s="65" customFormat="1"/>
    <row r="16436" s="65" customFormat="1"/>
    <row r="16437" s="65" customFormat="1"/>
    <row r="16438" s="65" customFormat="1"/>
    <row r="16439" s="65" customFormat="1"/>
    <row r="16440" s="65" customFormat="1"/>
    <row r="16441" s="65" customFormat="1"/>
    <row r="16442" s="65" customFormat="1"/>
    <row r="16443" s="65" customFormat="1"/>
    <row r="16444" s="65" customFormat="1"/>
    <row r="16445" s="65" customFormat="1"/>
    <row r="16446" s="65" customFormat="1"/>
    <row r="16447" s="65" customFormat="1"/>
    <row r="16448" s="65" customFormat="1"/>
    <row r="16449" s="65" customFormat="1"/>
    <row r="16450" s="65" customFormat="1"/>
    <row r="16451" s="65" customFormat="1"/>
    <row r="16452" s="65" customFormat="1"/>
    <row r="16453" s="65" customFormat="1"/>
    <row r="16454" s="65" customFormat="1"/>
    <row r="16455" s="65" customFormat="1"/>
    <row r="16456" s="65" customFormat="1"/>
    <row r="16457" s="65" customFormat="1"/>
    <row r="16458" s="65" customFormat="1"/>
    <row r="16459" s="65" customFormat="1"/>
    <row r="16460" s="65" customFormat="1"/>
    <row r="16461" s="65" customFormat="1"/>
    <row r="16462" s="65" customFormat="1"/>
    <row r="16463" s="65" customFormat="1"/>
    <row r="16464" s="65" customFormat="1"/>
    <row r="16465" s="65" customFormat="1"/>
    <row r="16466" s="65" customFormat="1"/>
    <row r="16467" s="65" customFormat="1"/>
    <row r="16468" s="65" customFormat="1"/>
    <row r="16469" s="65" customFormat="1"/>
    <row r="16470" s="65" customFormat="1"/>
    <row r="16471" s="65" customFormat="1"/>
    <row r="16472" s="65" customFormat="1"/>
    <row r="16473" s="65" customFormat="1"/>
    <row r="16474" s="65" customFormat="1"/>
    <row r="16475" s="65" customFormat="1"/>
    <row r="16476" s="65" customFormat="1"/>
    <row r="16477" s="65" customFormat="1"/>
    <row r="16478" s="65" customFormat="1"/>
    <row r="16479" s="65" customFormat="1"/>
    <row r="16480" s="65" customFormat="1"/>
    <row r="16481" s="65" customFormat="1"/>
    <row r="16482" s="65" customFormat="1"/>
    <row r="16483" s="65" customFormat="1"/>
    <row r="16484" s="65" customFormat="1"/>
    <row r="16485" s="65" customFormat="1"/>
    <row r="16486" s="65" customFormat="1"/>
    <row r="16487" s="65" customFormat="1"/>
    <row r="16488" s="65" customFormat="1"/>
    <row r="16489" s="65" customFormat="1"/>
    <row r="16490" s="65" customFormat="1"/>
    <row r="16491" s="65" customFormat="1"/>
    <row r="16492" s="65" customFormat="1"/>
    <row r="16493" s="65" customFormat="1"/>
    <row r="16494" s="65" customFormat="1"/>
    <row r="16495" s="65" customFormat="1"/>
    <row r="16496" s="65" customFormat="1"/>
    <row r="16497" s="65" customFormat="1"/>
    <row r="16498" s="65" customFormat="1"/>
    <row r="16499" s="65" customFormat="1"/>
    <row r="16500" s="65" customFormat="1"/>
    <row r="16501" s="65" customFormat="1"/>
    <row r="16502" s="65" customFormat="1"/>
    <row r="16503" s="65" customFormat="1"/>
    <row r="16504" s="65" customFormat="1"/>
    <row r="16505" s="65" customFormat="1"/>
    <row r="16506" s="65" customFormat="1"/>
    <row r="16507" s="65" customFormat="1"/>
    <row r="16508" s="65" customFormat="1"/>
    <row r="16509" s="65" customFormat="1"/>
    <row r="16510" s="65" customFormat="1"/>
    <row r="16511" s="65" customFormat="1"/>
    <row r="16512" s="65" customFormat="1"/>
    <row r="16513" s="65" customFormat="1"/>
    <row r="16514" s="65" customFormat="1"/>
    <row r="16515" s="65" customFormat="1"/>
    <row r="16516" s="65" customFormat="1"/>
    <row r="16517" s="65" customFormat="1"/>
    <row r="16518" s="65" customFormat="1"/>
    <row r="16519" s="65" customFormat="1"/>
    <row r="16520" s="65" customFormat="1"/>
    <row r="16521" s="65" customFormat="1"/>
    <row r="16522" s="65" customFormat="1"/>
    <row r="16523" s="65" customFormat="1"/>
    <row r="16524" s="65" customFormat="1"/>
    <row r="16525" s="65" customFormat="1"/>
    <row r="16526" s="65" customFormat="1"/>
    <row r="16527" s="65" customFormat="1"/>
    <row r="16528" s="65" customFormat="1"/>
    <row r="16529" s="65" customFormat="1"/>
    <row r="16530" s="65" customFormat="1"/>
    <row r="16531" s="65" customFormat="1"/>
    <row r="16532" s="65" customFormat="1"/>
    <row r="16533" s="65" customFormat="1"/>
    <row r="16534" s="65" customFormat="1"/>
    <row r="16535" s="65" customFormat="1"/>
    <row r="16536" s="65" customFormat="1"/>
    <row r="16537" s="65" customFormat="1"/>
    <row r="16538" s="65" customFormat="1"/>
    <row r="16539" s="65" customFormat="1"/>
    <row r="16540" s="65" customFormat="1"/>
    <row r="16541" s="65" customFormat="1"/>
    <row r="16542" s="65" customFormat="1"/>
    <row r="16543" s="65" customFormat="1"/>
    <row r="16544" s="65" customFormat="1"/>
    <row r="16545" s="65" customFormat="1"/>
    <row r="16546" s="65" customFormat="1"/>
    <row r="16547" s="65" customFormat="1"/>
    <row r="16548" s="65" customFormat="1"/>
    <row r="16549" s="65" customFormat="1"/>
    <row r="16550" s="65" customFormat="1"/>
    <row r="16551" s="65" customFormat="1"/>
    <row r="16552" s="65" customFormat="1"/>
    <row r="16553" s="65" customFormat="1"/>
    <row r="16554" s="65" customFormat="1"/>
    <row r="16555" s="65" customFormat="1"/>
    <row r="16556" s="65" customFormat="1"/>
    <row r="16557" s="65" customFormat="1"/>
    <row r="16558" s="65" customFormat="1"/>
    <row r="16559" s="65" customFormat="1"/>
    <row r="16560" s="65" customFormat="1"/>
    <row r="16561" s="65" customFormat="1"/>
    <row r="16562" s="65" customFormat="1"/>
    <row r="16563" s="65" customFormat="1"/>
    <row r="16564" s="65" customFormat="1"/>
    <row r="16565" s="65" customFormat="1"/>
    <row r="16566" s="65" customFormat="1"/>
    <row r="16567" s="65" customFormat="1"/>
    <row r="16568" s="65" customFormat="1"/>
    <row r="16569" s="65" customFormat="1"/>
    <row r="16570" s="65" customFormat="1"/>
    <row r="16571" s="65" customFormat="1"/>
    <row r="16572" s="65" customFormat="1"/>
    <row r="16573" s="65" customFormat="1"/>
    <row r="16574" s="65" customFormat="1"/>
    <row r="16575" s="65" customFormat="1"/>
    <row r="16576" s="65" customFormat="1"/>
    <row r="16577" s="65" customFormat="1"/>
    <row r="16578" s="65" customFormat="1"/>
    <row r="16579" s="65" customFormat="1"/>
    <row r="16580" s="65" customFormat="1"/>
    <row r="16581" s="65" customFormat="1"/>
    <row r="16582" s="65" customFormat="1"/>
    <row r="16583" s="65" customFormat="1"/>
    <row r="16584" s="65" customFormat="1"/>
    <row r="16585" s="65" customFormat="1"/>
    <row r="16586" s="65" customFormat="1"/>
    <row r="16587" s="65" customFormat="1"/>
    <row r="16588" s="65" customFormat="1"/>
    <row r="16589" s="65" customFormat="1"/>
    <row r="16590" s="65" customFormat="1"/>
    <row r="16591" s="65" customFormat="1"/>
    <row r="16592" s="65" customFormat="1"/>
    <row r="16593" s="65" customFormat="1"/>
    <row r="16594" s="65" customFormat="1"/>
    <row r="16595" s="65" customFormat="1"/>
    <row r="16596" s="65" customFormat="1"/>
    <row r="16597" s="65" customFormat="1"/>
    <row r="16598" s="65" customFormat="1"/>
    <row r="16599" s="65" customFormat="1"/>
    <row r="16600" s="65" customFormat="1"/>
    <row r="16601" s="65" customFormat="1"/>
    <row r="16602" s="65" customFormat="1"/>
    <row r="16603" s="65" customFormat="1"/>
    <row r="16604" s="65" customFormat="1"/>
    <row r="16605" s="65" customFormat="1"/>
    <row r="16606" s="65" customFormat="1"/>
    <row r="16607" s="65" customFormat="1"/>
    <row r="16608" s="65" customFormat="1"/>
    <row r="16609" s="65" customFormat="1"/>
    <row r="16610" s="65" customFormat="1"/>
    <row r="16611" s="65" customFormat="1"/>
    <row r="16612" s="65" customFormat="1"/>
    <row r="16613" s="65" customFormat="1"/>
    <row r="16614" s="65" customFormat="1"/>
    <row r="16615" s="65" customFormat="1"/>
    <row r="16616" s="65" customFormat="1"/>
    <row r="16617" s="65" customFormat="1"/>
    <row r="16618" s="65" customFormat="1"/>
    <row r="16619" s="65" customFormat="1"/>
    <row r="16620" s="65" customFormat="1"/>
    <row r="16621" s="65" customFormat="1"/>
    <row r="16622" s="65" customFormat="1"/>
    <row r="16623" s="65" customFormat="1"/>
    <row r="16624" s="65" customFormat="1"/>
    <row r="16625" s="65" customFormat="1"/>
    <row r="16626" s="65" customFormat="1"/>
    <row r="16627" s="65" customFormat="1"/>
    <row r="16628" s="65" customFormat="1"/>
    <row r="16629" s="65" customFormat="1"/>
    <row r="16630" s="65" customFormat="1"/>
    <row r="16631" s="65" customFormat="1"/>
    <row r="16632" s="65" customFormat="1"/>
    <row r="16633" s="65" customFormat="1"/>
    <row r="16634" s="65" customFormat="1"/>
    <row r="16635" s="65" customFormat="1"/>
    <row r="16636" s="65" customFormat="1"/>
    <row r="16637" s="65" customFormat="1"/>
    <row r="16638" s="65" customFormat="1"/>
    <row r="16639" s="65" customFormat="1"/>
    <row r="16640" s="65" customFormat="1"/>
    <row r="16641" s="65" customFormat="1"/>
    <row r="16642" s="65" customFormat="1"/>
    <row r="16643" s="65" customFormat="1"/>
    <row r="16644" s="65" customFormat="1"/>
    <row r="16645" s="65" customFormat="1"/>
    <row r="16646" s="65" customFormat="1"/>
    <row r="16647" s="65" customFormat="1"/>
    <row r="16648" s="65" customFormat="1"/>
    <row r="16649" s="65" customFormat="1"/>
    <row r="16650" s="65" customFormat="1"/>
    <row r="16651" s="65" customFormat="1"/>
    <row r="16652" s="65" customFormat="1"/>
    <row r="16653" s="65" customFormat="1"/>
    <row r="16654" s="65" customFormat="1"/>
    <row r="16655" s="65" customFormat="1"/>
    <row r="16656" s="65" customFormat="1"/>
    <row r="16657" s="65" customFormat="1"/>
    <row r="16658" s="65" customFormat="1"/>
    <row r="16659" s="65" customFormat="1"/>
    <row r="16660" s="65" customFormat="1"/>
    <row r="16661" s="65" customFormat="1"/>
    <row r="16662" s="65" customFormat="1"/>
    <row r="16663" s="65" customFormat="1"/>
    <row r="16664" s="65" customFormat="1"/>
    <row r="16665" s="65" customFormat="1"/>
    <row r="16666" s="65" customFormat="1"/>
    <row r="16667" s="65" customFormat="1"/>
    <row r="16668" s="65" customFormat="1"/>
    <row r="16669" s="65" customFormat="1"/>
    <row r="16670" s="65" customFormat="1"/>
    <row r="16671" s="65" customFormat="1"/>
    <row r="16672" s="65" customFormat="1"/>
    <row r="16673" s="65" customFormat="1"/>
    <row r="16674" s="65" customFormat="1"/>
    <row r="16675" s="65" customFormat="1"/>
    <row r="16676" s="65" customFormat="1"/>
    <row r="16677" s="65" customFormat="1"/>
    <row r="16678" s="65" customFormat="1"/>
    <row r="16679" s="65" customFormat="1"/>
    <row r="16680" s="65" customFormat="1"/>
    <row r="16681" s="65" customFormat="1"/>
    <row r="16682" s="65" customFormat="1"/>
    <row r="16683" s="65" customFormat="1"/>
    <row r="16684" s="65" customFormat="1"/>
    <row r="16685" s="65" customFormat="1"/>
    <row r="16686" s="65" customFormat="1"/>
    <row r="16687" s="65" customFormat="1"/>
    <row r="16688" s="65" customFormat="1"/>
    <row r="16689" s="65" customFormat="1"/>
    <row r="16690" s="65" customFormat="1"/>
    <row r="16691" s="65" customFormat="1"/>
    <row r="16692" s="65" customFormat="1"/>
    <row r="16693" s="65" customFormat="1"/>
    <row r="16694" s="65" customFormat="1"/>
    <row r="16695" s="65" customFormat="1"/>
    <row r="16696" s="65" customFormat="1"/>
    <row r="16697" s="65" customFormat="1"/>
    <row r="16698" s="65" customFormat="1"/>
    <row r="16699" s="65" customFormat="1"/>
    <row r="16700" s="65" customFormat="1"/>
    <row r="16701" s="65" customFormat="1"/>
    <row r="16702" s="65" customFormat="1"/>
    <row r="16703" s="65" customFormat="1"/>
    <row r="16704" s="65" customFormat="1"/>
    <row r="16705" s="65" customFormat="1"/>
    <row r="16706" s="65" customFormat="1"/>
    <row r="16707" s="65" customFormat="1"/>
    <row r="16708" s="65" customFormat="1"/>
    <row r="16709" s="65" customFormat="1"/>
    <row r="16710" s="65" customFormat="1"/>
    <row r="16711" s="65" customFormat="1"/>
    <row r="16712" s="65" customFormat="1"/>
    <row r="16713" s="65" customFormat="1"/>
    <row r="16714" s="65" customFormat="1"/>
    <row r="16715" s="65" customFormat="1"/>
    <row r="16716" s="65" customFormat="1"/>
    <row r="16717" s="65" customFormat="1"/>
    <row r="16718" s="65" customFormat="1"/>
    <row r="16719" s="65" customFormat="1"/>
    <row r="16720" s="65" customFormat="1"/>
    <row r="16721" s="65" customFormat="1"/>
    <row r="16722" s="65" customFormat="1"/>
    <row r="16723" s="65" customFormat="1"/>
    <row r="16724" s="65" customFormat="1"/>
    <row r="16725" s="65" customFormat="1"/>
    <row r="16726" s="65" customFormat="1"/>
    <row r="16727" s="65" customFormat="1"/>
    <row r="16728" s="65" customFormat="1"/>
    <row r="16729" s="65" customFormat="1"/>
    <row r="16730" s="65" customFormat="1"/>
    <row r="16731" s="65" customFormat="1"/>
    <row r="16732" s="65" customFormat="1"/>
    <row r="16733" s="65" customFormat="1"/>
    <row r="16734" s="65" customFormat="1"/>
    <row r="16735" s="65" customFormat="1"/>
    <row r="16736" s="65" customFormat="1"/>
    <row r="16737" s="65" customFormat="1"/>
    <row r="16738" s="65" customFormat="1"/>
    <row r="16739" s="65" customFormat="1"/>
    <row r="16740" s="65" customFormat="1"/>
    <row r="16741" s="65" customFormat="1"/>
    <row r="16742" s="65" customFormat="1"/>
    <row r="16743" s="65" customFormat="1"/>
    <row r="16744" s="65" customFormat="1"/>
    <row r="16745" s="65" customFormat="1"/>
    <row r="16746" s="65" customFormat="1"/>
    <row r="16747" s="65" customFormat="1"/>
    <row r="16748" s="65" customFormat="1"/>
    <row r="16749" s="65" customFormat="1"/>
    <row r="16750" s="65" customFormat="1"/>
    <row r="16751" s="65" customFormat="1"/>
    <row r="16752" s="65" customFormat="1"/>
    <row r="16753" s="65" customFormat="1"/>
    <row r="16754" s="65" customFormat="1"/>
    <row r="16755" s="65" customFormat="1"/>
    <row r="16756" s="65" customFormat="1"/>
    <row r="16757" s="65" customFormat="1"/>
    <row r="16758" s="65" customFormat="1"/>
    <row r="16759" s="65" customFormat="1"/>
    <row r="16760" s="65" customFormat="1"/>
    <row r="16761" s="65" customFormat="1"/>
    <row r="16762" s="65" customFormat="1"/>
    <row r="16763" s="65" customFormat="1"/>
    <row r="16764" s="65" customFormat="1"/>
    <row r="16765" s="65" customFormat="1"/>
    <row r="16766" s="65" customFormat="1"/>
    <row r="16767" s="65" customFormat="1"/>
    <row r="16768" s="65" customFormat="1"/>
    <row r="16769" s="65" customFormat="1"/>
    <row r="16770" s="65" customFormat="1"/>
    <row r="16771" s="65" customFormat="1"/>
    <row r="16772" s="65" customFormat="1"/>
    <row r="16773" s="65" customFormat="1"/>
    <row r="16774" s="65" customFormat="1"/>
    <row r="16775" s="65" customFormat="1"/>
    <row r="16776" s="65" customFormat="1"/>
    <row r="16777" s="65" customFormat="1"/>
    <row r="16778" s="65" customFormat="1"/>
    <row r="16779" s="65" customFormat="1"/>
    <row r="16780" s="65" customFormat="1"/>
    <row r="16781" s="65" customFormat="1"/>
    <row r="16782" s="65" customFormat="1"/>
    <row r="16783" s="65" customFormat="1"/>
    <row r="16784" s="65" customFormat="1"/>
    <row r="16785" s="65" customFormat="1"/>
    <row r="16786" s="65" customFormat="1"/>
    <row r="16787" s="65" customFormat="1"/>
    <row r="16788" s="65" customFormat="1"/>
    <row r="16789" s="65" customFormat="1"/>
    <row r="16790" s="65" customFormat="1"/>
    <row r="16791" s="65" customFormat="1"/>
    <row r="16792" s="65" customFormat="1"/>
    <row r="16793" s="65" customFormat="1"/>
    <row r="16794" s="65" customFormat="1"/>
    <row r="16795" s="65" customFormat="1"/>
    <row r="16796" s="65" customFormat="1"/>
    <row r="16797" s="65" customFormat="1"/>
    <row r="16798" s="65" customFormat="1"/>
    <row r="16799" s="65" customFormat="1"/>
    <row r="16800" s="65" customFormat="1"/>
    <row r="16801" s="65" customFormat="1"/>
    <row r="16802" s="65" customFormat="1"/>
    <row r="16803" s="65" customFormat="1"/>
    <row r="16804" s="65" customFormat="1"/>
    <row r="16805" s="65" customFormat="1"/>
    <row r="16806" s="65" customFormat="1"/>
    <row r="16807" s="65" customFormat="1"/>
    <row r="16808" s="65" customFormat="1"/>
    <row r="16809" s="65" customFormat="1"/>
    <row r="16810" s="65" customFormat="1"/>
    <row r="16811" s="65" customFormat="1"/>
    <row r="16812" s="65" customFormat="1"/>
    <row r="16813" s="65" customFormat="1"/>
    <row r="16814" s="65" customFormat="1"/>
    <row r="16815" s="65" customFormat="1"/>
    <row r="16816" s="65" customFormat="1"/>
    <row r="16817" s="65" customFormat="1"/>
    <row r="16818" s="65" customFormat="1"/>
    <row r="16819" s="65" customFormat="1"/>
    <row r="16820" s="65" customFormat="1"/>
    <row r="16821" s="65" customFormat="1"/>
    <row r="16822" s="65" customFormat="1"/>
    <row r="16823" s="65" customFormat="1"/>
    <row r="16824" s="65" customFormat="1"/>
    <row r="16825" s="65" customFormat="1"/>
    <row r="16826" s="65" customFormat="1"/>
    <row r="16827" s="65" customFormat="1"/>
    <row r="16828" s="65" customFormat="1"/>
    <row r="16829" s="65" customFormat="1"/>
    <row r="16830" s="65" customFormat="1"/>
    <row r="16831" s="65" customFormat="1"/>
    <row r="16832" s="65" customFormat="1"/>
    <row r="16833" s="65" customFormat="1"/>
    <row r="16834" s="65" customFormat="1"/>
    <row r="16835" s="65" customFormat="1"/>
    <row r="16836" s="65" customFormat="1"/>
    <row r="16837" s="65" customFormat="1"/>
    <row r="16838" s="65" customFormat="1"/>
    <row r="16839" s="65" customFormat="1"/>
    <row r="16840" s="65" customFormat="1"/>
    <row r="16841" s="65" customFormat="1"/>
    <row r="16842" s="65" customFormat="1"/>
    <row r="16843" s="65" customFormat="1"/>
    <row r="16844" s="65" customFormat="1"/>
    <row r="16845" s="65" customFormat="1"/>
    <row r="16846" s="65" customFormat="1"/>
    <row r="16847" s="65" customFormat="1"/>
    <row r="16848" s="65" customFormat="1"/>
    <row r="16849" s="65" customFormat="1"/>
    <row r="16850" s="65" customFormat="1"/>
    <row r="16851" s="65" customFormat="1"/>
    <row r="16852" s="65" customFormat="1"/>
    <row r="16853" s="65" customFormat="1"/>
    <row r="16854" s="65" customFormat="1"/>
    <row r="16855" s="65" customFormat="1"/>
    <row r="16856" s="65" customFormat="1"/>
    <row r="16857" s="65" customFormat="1"/>
    <row r="16858" s="65" customFormat="1"/>
    <row r="16859" s="65" customFormat="1"/>
    <row r="16860" s="65" customFormat="1"/>
    <row r="16861" s="65" customFormat="1"/>
    <row r="16862" s="65" customFormat="1"/>
    <row r="16863" s="65" customFormat="1"/>
    <row r="16864" s="65" customFormat="1"/>
    <row r="16865" s="65" customFormat="1"/>
    <row r="16866" s="65" customFormat="1"/>
    <row r="16867" s="65" customFormat="1"/>
    <row r="16868" s="65" customFormat="1"/>
    <row r="16869" s="65" customFormat="1"/>
    <row r="16870" s="65" customFormat="1"/>
    <row r="16871" s="65" customFormat="1"/>
    <row r="16872" s="65" customFormat="1"/>
    <row r="16873" s="65" customFormat="1"/>
    <row r="16874" s="65" customFormat="1"/>
    <row r="16875" s="65" customFormat="1"/>
    <row r="16876" s="65" customFormat="1"/>
    <row r="16877" s="65" customFormat="1"/>
    <row r="16878" s="65" customFormat="1"/>
    <row r="16879" s="65" customFormat="1"/>
    <row r="16880" s="65" customFormat="1"/>
    <row r="16881" s="65" customFormat="1"/>
    <row r="16882" s="65" customFormat="1"/>
    <row r="16883" s="65" customFormat="1"/>
    <row r="16884" s="65" customFormat="1"/>
    <row r="16885" s="65" customFormat="1"/>
    <row r="16886" s="65" customFormat="1"/>
    <row r="16887" s="65" customFormat="1"/>
    <row r="16888" s="65" customFormat="1"/>
    <row r="16889" s="65" customFormat="1"/>
    <row r="16890" s="65" customFormat="1"/>
    <row r="16891" s="65" customFormat="1"/>
    <row r="16892" s="65" customFormat="1"/>
    <row r="16893" s="65" customFormat="1"/>
    <row r="16894" s="65" customFormat="1"/>
    <row r="16895" s="65" customFormat="1"/>
    <row r="16896" s="65" customFormat="1"/>
    <row r="16897" s="65" customFormat="1"/>
    <row r="16898" s="65" customFormat="1"/>
    <row r="16899" s="65" customFormat="1"/>
    <row r="16900" s="65" customFormat="1"/>
    <row r="16901" s="65" customFormat="1"/>
    <row r="16902" s="65" customFormat="1"/>
    <row r="16903" s="65" customFormat="1"/>
    <row r="16904" s="65" customFormat="1"/>
    <row r="16905" s="65" customFormat="1"/>
    <row r="16906" s="65" customFormat="1"/>
    <row r="16907" s="65" customFormat="1"/>
    <row r="16908" s="65" customFormat="1"/>
    <row r="16909" s="65" customFormat="1"/>
    <row r="16910" s="65" customFormat="1"/>
    <row r="16911" s="65" customFormat="1"/>
    <row r="16912" s="65" customFormat="1"/>
    <row r="16913" s="65" customFormat="1"/>
    <row r="16914" s="65" customFormat="1"/>
    <row r="16915" s="65" customFormat="1"/>
    <row r="16916" s="65" customFormat="1"/>
    <row r="16917" s="65" customFormat="1"/>
    <row r="16918" s="65" customFormat="1"/>
    <row r="16919" s="65" customFormat="1"/>
    <row r="16920" s="65" customFormat="1"/>
    <row r="16921" s="65" customFormat="1"/>
    <row r="16922" s="65" customFormat="1"/>
    <row r="16923" s="65" customFormat="1"/>
    <row r="16924" s="65" customFormat="1"/>
    <row r="16925" s="65" customFormat="1"/>
    <row r="16926" s="65" customFormat="1"/>
    <row r="16927" s="65" customFormat="1"/>
    <row r="16928" s="65" customFormat="1"/>
    <row r="16929" s="65" customFormat="1"/>
    <row r="16930" s="65" customFormat="1"/>
    <row r="16931" s="65" customFormat="1"/>
    <row r="16932" s="65" customFormat="1"/>
    <row r="16933" s="65" customFormat="1"/>
    <row r="16934" s="65" customFormat="1"/>
    <row r="16935" s="65" customFormat="1"/>
    <row r="16936" s="65" customFormat="1"/>
    <row r="16937" s="65" customFormat="1"/>
    <row r="16938" s="65" customFormat="1"/>
    <row r="16939" s="65" customFormat="1"/>
    <row r="16940" s="65" customFormat="1"/>
    <row r="16941" s="65" customFormat="1"/>
    <row r="16942" s="65" customFormat="1"/>
    <row r="16943" s="65" customFormat="1"/>
    <row r="16944" s="65" customFormat="1"/>
    <row r="16945" s="65" customFormat="1"/>
    <row r="16946" s="65" customFormat="1"/>
    <row r="16947" s="65" customFormat="1"/>
    <row r="16948" s="65" customFormat="1"/>
    <row r="16949" s="65" customFormat="1"/>
    <row r="16950" s="65" customFormat="1"/>
    <row r="16951" s="65" customFormat="1"/>
    <row r="16952" s="65" customFormat="1"/>
    <row r="16953" s="65" customFormat="1"/>
    <row r="16954" s="65" customFormat="1"/>
    <row r="16955" s="65" customFormat="1"/>
    <row r="16956" s="65" customFormat="1"/>
    <row r="16957" s="65" customFormat="1"/>
    <row r="16958" s="65" customFormat="1"/>
    <row r="16959" s="65" customFormat="1"/>
    <row r="16960" s="65" customFormat="1"/>
    <row r="16961" s="65" customFormat="1"/>
    <row r="16962" s="65" customFormat="1"/>
    <row r="16963" s="65" customFormat="1"/>
    <row r="16964" s="65" customFormat="1"/>
    <row r="16965" s="65" customFormat="1"/>
    <row r="16966" s="65" customFormat="1"/>
    <row r="16967" s="65" customFormat="1"/>
    <row r="16968" s="65" customFormat="1"/>
    <row r="16969" s="65" customFormat="1"/>
    <row r="16970" s="65" customFormat="1"/>
    <row r="16971" s="65" customFormat="1"/>
    <row r="16972" s="65" customFormat="1"/>
    <row r="16973" s="65" customFormat="1"/>
    <row r="16974" s="65" customFormat="1"/>
    <row r="16975" s="65" customFormat="1"/>
    <row r="16976" s="65" customFormat="1"/>
    <row r="16977" s="65" customFormat="1"/>
    <row r="16978" s="65" customFormat="1"/>
    <row r="16979" s="65" customFormat="1"/>
    <row r="16980" s="65" customFormat="1"/>
    <row r="16981" s="65" customFormat="1"/>
    <row r="16982" s="65" customFormat="1"/>
    <row r="16983" s="65" customFormat="1"/>
    <row r="16984" s="65" customFormat="1"/>
    <row r="16985" s="65" customFormat="1"/>
    <row r="16986" s="65" customFormat="1"/>
    <row r="16987" s="65" customFormat="1"/>
    <row r="16988" s="65" customFormat="1"/>
    <row r="16989" s="65" customFormat="1"/>
    <row r="16990" s="65" customFormat="1"/>
    <row r="16991" s="65" customFormat="1"/>
    <row r="16992" s="65" customFormat="1"/>
    <row r="16993" s="65" customFormat="1"/>
    <row r="16994" s="65" customFormat="1"/>
    <row r="16995" s="65" customFormat="1"/>
    <row r="16996" s="65" customFormat="1"/>
    <row r="16997" s="65" customFormat="1"/>
    <row r="16998" s="65" customFormat="1"/>
    <row r="16999" s="65" customFormat="1"/>
    <row r="17000" s="65" customFormat="1"/>
    <row r="17001" s="65" customFormat="1"/>
    <row r="17002" s="65" customFormat="1"/>
    <row r="17003" s="65" customFormat="1"/>
    <row r="17004" s="65" customFormat="1"/>
    <row r="17005" s="65" customFormat="1"/>
    <row r="17006" s="65" customFormat="1"/>
    <row r="17007" s="65" customFormat="1"/>
    <row r="17008" s="65" customFormat="1"/>
    <row r="17009" s="65" customFormat="1"/>
    <row r="17010" s="65" customFormat="1"/>
    <row r="17011" s="65" customFormat="1"/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1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8.xml"/></Relationships>
</file>

<file path=customXml/_rels/item1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9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2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0.xml"/></Relationships>
</file>

<file path=customXml/_rels/item2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1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9207C4D8AB6E4A9864D320D8693611" ma:contentTypeVersion="11" ma:contentTypeDescription="Create a new document." ma:contentTypeScope="" ma:versionID="1ae8a50db7085f5ae1dcf34ff77a61f1">
  <xsd:schema xmlns:xsd="http://www.w3.org/2001/XMLSchema" xmlns:xs="http://www.w3.org/2001/XMLSchema" xmlns:p="http://schemas.microsoft.com/office/2006/metadata/properties" xmlns:ns2="d3553cee-4ecc-4eb5-80d8-f24f98131822" xmlns:ns3="fc2f2499-f938-4cc0-a2cd-f3e7b3a200ae" targetNamespace="http://schemas.microsoft.com/office/2006/metadata/properties" ma:root="true" ma:fieldsID="17b6e3ff09c248479d51477e5c5657c0" ns2:_="" ns3:_="">
    <xsd:import namespace="d3553cee-4ecc-4eb5-80d8-f24f98131822"/>
    <xsd:import namespace="fc2f2499-f938-4cc0-a2cd-f3e7b3a200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3553cee-4ecc-4eb5-80d8-f24f9813182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c2f2499-f938-4cc0-a2cd-f3e7b3a200ae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10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1.xml>��< ? x m l   v e r s i o n = " 1 . 0 "   e n c o d i n g = " U T F - 1 6 " ? > < G e m i n i   x m l n s = " h t t p : / / g e m i n i / w o r k b o o k c u s t o m i z a t i o n / F i e l d L i s t R e f r e s h N e e d e d D i c t i o n a r y " > < C u s t o m C o n t e n t > < ! [ C D A T A [ < D i c t i o n a r y   / > ] ] > < / C u s t o m C o n t e n t > < / G e m i n i > 
</file>

<file path=customXml/item12.xml>��< ? x m l   v e r s i o n = " 1 . 0 "   e n c o d i n g = " U T F - 1 6 " ? > < G e m i n i   x m l n s = " h t t p : / / g e m i n i / w o r k b o o k c u s t o m i z a t i o n / L i n k e d T a b l e s " > < C u s t o m C o n t e n t > < ! [ C D A T A [ < L i n k e d T a b l e s   x m l n s : x s d = " h t t p : / / w w w . w 3 . o r g / 2 0 0 1 / X M L S c h e m a "   x m l n s : x s i = " h t t p : / / w w w . w 3 . o r g / 2 0 0 1 / X M L S c h e m a - i n s t a n c e " > < L i n k e d T a b l e L i s t   / > < / L i n k e d T a b l e s > ] ] > < / C u s t o m C o n t e n t > < / G e m i n i > 
</file>

<file path=customXml/item13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1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fc2f2499-f938-4cc0-a2cd-f3e7b3a200ae">
      <UserInfo>
        <DisplayName>Susan Lounsbury</DisplayName>
        <AccountId>6</AccountId>
        <AccountType/>
      </UserInfo>
      <UserInfo>
        <DisplayName>Robert Aycock</DisplayName>
        <AccountId>75</AccountId>
        <AccountType/>
      </UserInfo>
    </SharedWithUsers>
  </documentManagement>
</p:properties>
</file>

<file path=customXml/item15.xml>��< ? x m l   v e r s i o n = " 1 . 0 "   e n c o d i n g = " U T F - 1 6 " ? > < G e m i n i   x m l n s = " h t t p : / / g e m i n i / w o r k b o o k c u s t o m i z a t i o n / R e l a t i o n s h i p A u t o D e t e c t i o n E n a b l e d " > < C u s t o m C o n t e n t > < ! [ C D A T A [ T r u e ] ] > < / C u s t o m C o n t e n t > < / G e m i n i > 
</file>

<file path=customXml/item16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17.xml>��< ? x m l   v e r s i o n = " 1 . 0 "   e n c o d i n g = " U T F - 1 6 " ? > < G e m i n i   x m l n s = " h t t p : / / g e m i n i / p i v o t c u s t o m i z a t i o n / T a b l e C o u n t I n S a n d b o x " > < C u s t o m C o n t e n t > < ! [ C D A T A [ 0 ] ] > < / C u s t o m C o n t e n t > < / G e m i n i > 
</file>

<file path=customXml/item18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19.xml>��< ? x m l   v e r s i o n = " 1 . 0 "   e n c o d i n g = " U T F - 1 6 " ? > < G e m i n i   x m l n s = " h t t p : / / g e m i n i / w o r k b o o k c u s t o m i z a t i o n / P o w e r P i v o t V e r s i o n " > < C u s t o m C o n t e n t > < ! [ C D A T A [ 1 1 . 0 . 2 1 0 0 . 6 0 ] ] > < / C u s t o m C o n t e n t > < / G e m i n i > 
</file>

<file path=customXml/item2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/ > ] ] > < / C u s t o m C o n t e n t > < / G e m i n i > 
</file>

<file path=customXml/item20.xml>��< ? x m l   v e r s i o n = " 1 . 0 "   e n c o d i n g = " U T F - 1 6 " ? > < G e m i n i   x m l n s = " h t t p : / / g e m i n i / w o r k b o o k c u s t o m i z a t i o n / M e t a d a t a R e c o v e r y I n f o r m a t i o n " > < C u s t o m C o n t e n t > < ! [ C D A T A [ < ? x m l   v e r s i o n = " 1 . 0 "   e n c o d i n g = " u t f - 1 6 " ? > < C r e a t e   A l l o w O v e r w r i t e = " t r u e "   x m l n s = " h t t p : / / s c h e m a s . m i c r o s o f t . c o m / a n a l y s i s s e r v i c e s / 2 0 0 3 / e n g i n e " > < O b j e c t D e f i n i t i o n > < D a t a b a s e   x m l n s : x s d = " h t t p : / / w w w . w 3 . o r g / 2 0 0 1 / X M L S c h e m a "   x m l n s : x s i = " h t t p : / / w w w . w 3 . o r g / 2 0 0 1 / X M L S c h e m a - i n s t a n c e "   x m l n s : d d l 2 = " h t t p : / / s c h e m a s . m i c r o s o f t . c o m / a n a l y s i s s e r v i c e s / 2 0 0 3 / e n g i n e / 2 "   x m l n s : d d l 2 _ 2 = " h t t p : / / s c h e m a s . m i c r o s o f t . c o m / a n a l y s i s s e r v i c e s / 2 0 0 3 / e n g i n e / 2 / 2 "   x m l n s : d d l 1 0 0 _ 1 0 0 = " h t t p : / / s c h e m a s . m i c r o s o f t . c o m / a n a l y s i s s e r v i c e s / 2 0 0 8 / e n g i n e / 1 0 0 / 1 0 0 "   x m l n s : d d l 2 0 0 = " h t t p : / / s c h e m a s . m i c r o s o f t . c o m / a n a l y s i s s e r v i c e s / 2 0 1 0 / e n g i n e / 2 0 0 "   x m l n s : d d l 2 0 0 _ 2 0 0 = " h t t p : / / s c h e m a s . m i c r o s o f t . c o m / a n a l y s i s s e r v i c e s / 2 0 1 0 / e n g i n e / 2 0 0 / 2 0 0 "   x m l n s : d d l 3 0 0 = " h t t p : / / s c h e m a s . m i c r o s o f t . c o m / a n a l y s i s s e r v i c e s / 2 0 1 1 / e n g i n e / 3 0 0 "   x m l n s : d d l 3 0 0 _ 3 0 0 = " h t t p : / / s c h e m a s . m i c r o s o f t . c o m / a n a l y s i s s e r v i c e s / 2 0 1 1 / e n g i n e / 3 0 0 / 3 0 0 " > < I D > e 4 7 5 c 3 7 7 - c c b 4 - 4 7 9 c - 9 8 1 a - 5 6 e 7 5 4 8 9 9 7 2 e < / I D > < N a m e > M i c r o s o f t _ S Q L S e r v e r _ A n a l y s i s S e r v i c e s < / N a m e > < A n n o t a t i o n s > < A n n o t a t i o n > < N a m e > S a n d b o x V e r s i o n < / N a m e > < V a l u e > S Q L 1 1 _ D e n a l i < / V a l u e > < / A n n o t a t i o n > < / A n n o t a t i o n s > < L a n g u a g e > 1 0 3 3 < / L a n g u a g e > < C u b e s > < C u b e > < I D > M o d e l < / I D > < N a m e > M o d e l < / N a m e > < A n n o t a t i o n s > < A n n o t a t i o n > < N a m e > D e f a u l t M e a s u r e < / N a m e > < V a l u e > _ _ N o   m e a s u r e s   d e f i n e d < / V a l u e > < / A n n o t a t i o n > < / A n n o t a t i o n s > < M d x S c r i p t s > < M d x S c r i p t > < I D > M d x S c r i p t < / I D > < N a m e > M d x S c r i p t < / N a m e > < C o m m a n d s > < C o m m a n d > < T e x t > C A L C U L A T E ;    
 C R E A T E   M E M B E R   C U R R E N T C U B E . M e a s u r e s . [ _ _ N o   m e a s u r e s   d e f i n e d ]   A S   1 ;    
 A L T E R   C U B E   C U R R E N T C U B E   U P D A T E   D I M E N S I O N   M e a s u r e s ,   D e f a u l t _ M e m b e r   =   [ _ _ N o   m e a s u r e s   d e f i n e d ] ;   < / T e x t > < / C o m m a n d > < / C o m m a n d s > < / M d x S c r i p t > < / M d x S c r i p t s > < S t o r a g e M o d e   v a l u e n s = " d d l 2 0 0 _ 2 0 0 " > I n M e m o r y < / S t o r a g e M o d e > < / C u b e > < / C u b e s > < d d l 2 0 0 _ 2 0 0 : S t o r a g e E n g i n e U s e d > I n M e m o r y < / d d l 2 0 0 _ 2 0 0 : S t o r a g e E n g i n e U s e d > < d d l 2 0 0 : C o m p a t i b i l i t y L e v e l > 1 1 0 0 < / d d l 2 0 0 : C o m p a t i b i l i t y L e v e l > < / D a t a b a s e > < / O b j e c t D e f i n i t i o n > < / C r e a t e > ] ] > < / C u s t o m C o n t e n t > < / G e m i n i > 
</file>

<file path=customXml/item21.xml>��< ? x m l   v e r s i o n = " 1 . 0 "   e n c o d i n g = " U T F - 1 6 " ? > < G e m i n i   x m l n s = " h t t p : / / g e m i n i / p i v o t c u s t o m i z a t i o n / T a b l e O r d e r " > < C u s t o m C o n t e n t > < ! [ C D A T A [ ] ] > < / C u s t o m C o n t e n t > < / G e m i n i > 
</file>

<file path=customXml/item3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4.xml>��< ? x m l   v e r s i o n = " 1 . 0 "   e n c o d i n g = " U T F - 1 6 " ? > < G e m i n i   x m l n s = " h t t p : / / g e m i n i / w o r k b o o k c u s t o m i z a t i o n / I s S a n d b o x E m b e d d e d " > < C u s t o m C o n t e n t > < ! [ C D A T A [ y e s ] ] > < / C u s t o m C o n t e n t > < / G e m i n i > 
</file>

<file path=customXml/item5.xml>��< ? x m l   v e r s i o n = " 1 . 0 "   e n c o d i n g = " U T F - 1 6 " ? > < G e m i n i   x m l n s = " h t t p : / / g e m i n i / w o r k b o o k c u s t o m i z a t i o n / R e l a t i o n s h i p D e t e c t i o n N e e d e d D i c t i o n a r y " > < C u s t o m C o n t e n t > < ! [ C D A T A [ < D i c t i o n a r y   / > ] ] > < / C u s t o m C o n t e n t > < / G e m i n i > 
</file>

<file path=customXml/item6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P r e v i o u s D i a g r a m " > < C u s t o m C o n t e n t > < ! [ C D A T A [ < S a n d b o x E d i t o r D i a g r a m K e y   i : n i l = " t r u e "   x m l n s = " h t t p : / / s c h e m a s . d a t a c o n t r a c t . o r g / 2 0 0 4 / 0 7 / M i c r o s o f t . A n a l y s i s S e r v i c e s . C o m m o n "   x m l n s : i = " h t t p : / / w w w . w 3 . o r g / 2 0 0 1 / X M L S c h e m a - i n s t a n c e " / > ] ] > < / C u s t o m C o n t e n t > < / G e m i n i > 
</file>

<file path=customXml/item8.xml>��< ? x m l   v e r s i o n = " 1 . 0 "   e n c o d i n g = " U T F - 1 6 " ? > < G e m i n i   x m l n s = " h t t p : / / g e m i n i / w o r k b o o k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 2 0 1 2 - 1 2 - 1 2 T 1 4 : 4 2 : 0 5 . 2 2 0 6 9 4 5 - 0 5 : 0 0 < / L a s t P r o c e s s e d T i m e > < / D a t a M o d e l i n g S a n d b o x . S e r i a l i z e d S a n d b o x E r r o r C a c h e > ] ] > < / C u s t o m C o n t e n t > < / G e m i n i > 
</file>

<file path=customXml/item9.xml>��< ? x m l   v e r s i o n = " 1 . 0 "   e n c o d i n g = " U T F - 1 6 " ? > < G e m i n i   x m l n s = " h t t p : / / g e m i n i / w o r k b o o k c u s t o m i z a t i o n / S a n d b o x N o n E m p t y " > < C u s t o m C o n t e n t > < ! [ C D A T A [ 0 ] ] > < / C u s t o m C o n t e n t > < / G e m i n i > 
</file>

<file path=customXml/itemProps1.xml><?xml version="1.0" encoding="utf-8"?>
<ds:datastoreItem xmlns:ds="http://schemas.openxmlformats.org/officeDocument/2006/customXml" ds:itemID="{7A61BD44-B90E-4AE6-B79E-C506A157E20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3553cee-4ecc-4eb5-80d8-f24f98131822"/>
    <ds:schemaRef ds:uri="fc2f2499-f938-4cc0-a2cd-f3e7b3a20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10.xml><?xml version="1.0" encoding="utf-8"?>
<ds:datastoreItem xmlns:ds="http://schemas.openxmlformats.org/officeDocument/2006/customXml" ds:itemID="{1E79C55C-3DF4-4A62-A58D-BF50894FA67C}">
  <ds:schemaRefs>
    <ds:schemaRef ds:uri="http://gemini/pivotcustomization/ManualCalcMode"/>
  </ds:schemaRefs>
</ds:datastoreItem>
</file>

<file path=customXml/itemProps11.xml><?xml version="1.0" encoding="utf-8"?>
<ds:datastoreItem xmlns:ds="http://schemas.openxmlformats.org/officeDocument/2006/customXml" ds:itemID="{29D0C5E3-04E9-45DE-99DE-718415182B7C}">
  <ds:schemaRefs>
    <ds:schemaRef ds:uri="http://gemini/workbookcustomization/FieldListRefreshNeededDictionary"/>
  </ds:schemaRefs>
</ds:datastoreItem>
</file>

<file path=customXml/itemProps12.xml><?xml version="1.0" encoding="utf-8"?>
<ds:datastoreItem xmlns:ds="http://schemas.openxmlformats.org/officeDocument/2006/customXml" ds:itemID="{58DFB9C7-D467-4EB0-8BB1-0EABCB8C54ED}">
  <ds:schemaRefs>
    <ds:schemaRef ds:uri="http://gemini/workbookcustomization/LinkedTables"/>
  </ds:schemaRefs>
</ds:datastoreItem>
</file>

<file path=customXml/itemProps13.xml><?xml version="1.0" encoding="utf-8"?>
<ds:datastoreItem xmlns:ds="http://schemas.openxmlformats.org/officeDocument/2006/customXml" ds:itemID="{3C502304-90FF-451C-BF08-481ABD8EDBFB}">
  <ds:schemaRefs>
    <ds:schemaRef ds:uri="http://gemini/pivotcustomization/ShowImplicitMeasures"/>
  </ds:schemaRefs>
</ds:datastoreItem>
</file>

<file path=customXml/itemProps14.xml><?xml version="1.0" encoding="utf-8"?>
<ds:datastoreItem xmlns:ds="http://schemas.openxmlformats.org/officeDocument/2006/customXml" ds:itemID="{01C8E711-5A17-41FF-A1E4-768719371F90}">
  <ds:schemaRefs>
    <ds:schemaRef ds:uri="http://schemas.microsoft.com/office/2006/documentManagement/types"/>
    <ds:schemaRef ds:uri="http://www.w3.org/XML/1998/namespace"/>
    <ds:schemaRef ds:uri="http://purl.org/dc/terms/"/>
    <ds:schemaRef ds:uri="http://schemas.openxmlformats.org/package/2006/metadata/core-properties"/>
    <ds:schemaRef ds:uri="fc2f2499-f938-4cc0-a2cd-f3e7b3a200ae"/>
    <ds:schemaRef ds:uri="http://schemas.microsoft.com/office/2006/metadata/properties"/>
    <ds:schemaRef ds:uri="http://schemas.microsoft.com/office/infopath/2007/PartnerControls"/>
    <ds:schemaRef ds:uri="d3553cee-4ecc-4eb5-80d8-f24f98131822"/>
    <ds:schemaRef ds:uri="http://purl.org/dc/dcmitype/"/>
    <ds:schemaRef ds:uri="http://purl.org/dc/elements/1.1/"/>
  </ds:schemaRefs>
</ds:datastoreItem>
</file>

<file path=customXml/itemProps15.xml><?xml version="1.0" encoding="utf-8"?>
<ds:datastoreItem xmlns:ds="http://schemas.openxmlformats.org/officeDocument/2006/customXml" ds:itemID="{7BB98525-AC73-4553-861E-702A9BDB9F60}">
  <ds:schemaRefs>
    <ds:schemaRef ds:uri="http://gemini/workbookcustomization/RelationshipAutoDetectionEnabled"/>
  </ds:schemaRefs>
</ds:datastoreItem>
</file>

<file path=customXml/itemProps16.xml><?xml version="1.0" encoding="utf-8"?>
<ds:datastoreItem xmlns:ds="http://schemas.openxmlformats.org/officeDocument/2006/customXml" ds:itemID="{DF3D5C12-F672-432A-AA37-56B3A5E729B9}">
  <ds:schemaRefs>
    <ds:schemaRef ds:uri="http://schemas.microsoft.com/sharepoint/v3/contenttype/forms"/>
  </ds:schemaRefs>
</ds:datastoreItem>
</file>

<file path=customXml/itemProps17.xml><?xml version="1.0" encoding="utf-8"?>
<ds:datastoreItem xmlns:ds="http://schemas.openxmlformats.org/officeDocument/2006/customXml" ds:itemID="{5B666AB3-FAB7-4100-8C3F-E4DF26ECD4D4}">
  <ds:schemaRefs>
    <ds:schemaRef ds:uri="http://gemini/pivotcustomization/TableCountInSandbox"/>
  </ds:schemaRefs>
</ds:datastoreItem>
</file>

<file path=customXml/itemProps18.xml><?xml version="1.0" encoding="utf-8"?>
<ds:datastoreItem xmlns:ds="http://schemas.openxmlformats.org/officeDocument/2006/customXml" ds:itemID="{7211EA1C-B5AB-49B5-B706-A1DDA78C2526}">
  <ds:schemaRefs>
    <ds:schemaRef ds:uri="http://gemini/pivotcustomization/ShowHidden"/>
  </ds:schemaRefs>
</ds:datastoreItem>
</file>

<file path=customXml/itemProps19.xml><?xml version="1.0" encoding="utf-8"?>
<ds:datastoreItem xmlns:ds="http://schemas.openxmlformats.org/officeDocument/2006/customXml" ds:itemID="{E0ACD490-C02F-42AE-99BA-EDECFD300BCB}">
  <ds:schemaRefs>
    <ds:schemaRef ds:uri="http://gemini/workbookcustomization/PowerPivotVersion"/>
  </ds:schemaRefs>
</ds:datastoreItem>
</file>

<file path=customXml/itemProps2.xml><?xml version="1.0" encoding="utf-8"?>
<ds:datastoreItem xmlns:ds="http://schemas.openxmlformats.org/officeDocument/2006/customXml" ds:itemID="{69289496-B43C-4DD4-9A48-124C030433C7}">
  <ds:schemaRefs>
    <ds:schemaRef ds:uri="http://gemini/pivotcustomization/MeasureGridState"/>
  </ds:schemaRefs>
</ds:datastoreItem>
</file>

<file path=customXml/itemProps20.xml><?xml version="1.0" encoding="utf-8"?>
<ds:datastoreItem xmlns:ds="http://schemas.openxmlformats.org/officeDocument/2006/customXml" ds:itemID="{CFBBA170-B46A-4F6C-B5A3-7F174A4CD145}">
  <ds:schemaRefs>
    <ds:schemaRef ds:uri="http://gemini/workbookcustomization/MetadataRecoveryInformation"/>
  </ds:schemaRefs>
</ds:datastoreItem>
</file>

<file path=customXml/itemProps21.xml><?xml version="1.0" encoding="utf-8"?>
<ds:datastoreItem xmlns:ds="http://schemas.openxmlformats.org/officeDocument/2006/customXml" ds:itemID="{ED37E685-FCA6-4C9F-B4A4-C39FD214F000}">
  <ds:schemaRefs>
    <ds:schemaRef ds:uri="http://gemini/pivotcustomization/TableOrder"/>
  </ds:schemaRefs>
</ds:datastoreItem>
</file>

<file path=customXml/itemProps3.xml><?xml version="1.0" encoding="utf-8"?>
<ds:datastoreItem xmlns:ds="http://schemas.openxmlformats.org/officeDocument/2006/customXml" ds:itemID="{178D6A2A-B321-450C-9A09-809CA7BA3375}">
  <ds:schemaRefs>
    <ds:schemaRef ds:uri="http://gemini/pivotcustomization/Diagrams"/>
  </ds:schemaRefs>
</ds:datastoreItem>
</file>

<file path=customXml/itemProps4.xml><?xml version="1.0" encoding="utf-8"?>
<ds:datastoreItem xmlns:ds="http://schemas.openxmlformats.org/officeDocument/2006/customXml" ds:itemID="{DCF0A24A-EE87-487C-8F84-CADE1F4FAFDD}">
  <ds:schemaRefs>
    <ds:schemaRef ds:uri="http://gemini/workbookcustomization/IsSandboxEmbedded"/>
  </ds:schemaRefs>
</ds:datastoreItem>
</file>

<file path=customXml/itemProps5.xml><?xml version="1.0" encoding="utf-8"?>
<ds:datastoreItem xmlns:ds="http://schemas.openxmlformats.org/officeDocument/2006/customXml" ds:itemID="{9813A414-233D-4DE5-800B-06BA5366F3BB}">
  <ds:schemaRefs>
    <ds:schemaRef ds:uri="http://gemini/workbookcustomization/RelationshipDetectionNeededDictionary"/>
  </ds:schemaRefs>
</ds:datastoreItem>
</file>

<file path=customXml/itemProps6.xml><?xml version="1.0" encoding="utf-8"?>
<ds:datastoreItem xmlns:ds="http://schemas.openxmlformats.org/officeDocument/2006/customXml" ds:itemID="{0A14321F-FFEC-4D53-A011-60FE6A64C17A}">
  <ds:schemaRefs>
    <ds:schemaRef ds:uri="http://gemini/pivotcustomization/LinkedTableUpdateMode"/>
  </ds:schemaRefs>
</ds:datastoreItem>
</file>

<file path=customXml/itemProps7.xml><?xml version="1.0" encoding="utf-8"?>
<ds:datastoreItem xmlns:ds="http://schemas.openxmlformats.org/officeDocument/2006/customXml" ds:itemID="{76DDFF66-56D2-4B4B-A77A-5991AB458C64}">
  <ds:schemaRefs>
    <ds:schemaRef ds:uri="http://gemini/pivotcustomization/PreviousDiagram"/>
  </ds:schemaRefs>
</ds:datastoreItem>
</file>

<file path=customXml/itemProps8.xml><?xml version="1.0" encoding="utf-8"?>
<ds:datastoreItem xmlns:ds="http://schemas.openxmlformats.org/officeDocument/2006/customXml" ds:itemID="{6EA321FE-81DE-4E9F-B785-103BD7313AF4}">
  <ds:schemaRefs>
    <ds:schemaRef ds:uri="http://gemini/workbookcustomization/ErrorCache"/>
  </ds:schemaRefs>
</ds:datastoreItem>
</file>

<file path=customXml/itemProps9.xml><?xml version="1.0" encoding="utf-8"?>
<ds:datastoreItem xmlns:ds="http://schemas.openxmlformats.org/officeDocument/2006/customXml" ds:itemID="{FCCF10C1-0790-4C30-A29F-A398BD4392DE}">
  <ds:schemaRefs>
    <ds:schemaRef ds:uri="http://gemini/workbookcustomization/SandboxNonEmpty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</vt:i4>
      </vt:variant>
    </vt:vector>
  </HeadingPairs>
  <TitlesOfParts>
    <vt:vector size="12" baseType="lpstr">
      <vt:lpstr>New Tables 1-12</vt:lpstr>
      <vt:lpstr>Old 1-12</vt:lpstr>
      <vt:lpstr>Pivot Table for 1-11</vt:lpstr>
      <vt:lpstr>Pivot Table for 12</vt:lpstr>
      <vt:lpstr>01Degrees</vt:lpstr>
      <vt:lpstr>Sheet1</vt:lpstr>
      <vt:lpstr>Pivot Table for Trends</vt:lpstr>
      <vt:lpstr>Formats 1-11 pivot</vt:lpstr>
      <vt:lpstr>Formats 12 pivot</vt:lpstr>
      <vt:lpstr>Formats trends pivot</vt:lpstr>
      <vt:lpstr>'New Tables 1-12'!Print_Area</vt:lpstr>
      <vt:lpstr>'Old 1-12'!Print_Area</vt:lpstr>
    </vt:vector>
  </TitlesOfParts>
  <Manager/>
  <Company>SREB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SREB</dc:creator>
  <cp:keywords/>
  <dc:description/>
  <cp:lastModifiedBy>Robert Aycock</cp:lastModifiedBy>
  <cp:revision/>
  <dcterms:created xsi:type="dcterms:W3CDTF">1999-02-24T13:58:47Z</dcterms:created>
  <dcterms:modified xsi:type="dcterms:W3CDTF">2023-03-01T15:09:01Z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urvey">
    <vt:lpwstr>01Degrees</vt:lpwstr>
  </property>
  <property fmtid="{D5CDD505-2E9C-101B-9397-08002B2CF9AE}" pid="3" name="Survey Status">
    <vt:lpwstr>Template</vt:lpwstr>
  </property>
  <property fmtid="{D5CDD505-2E9C-101B-9397-08002B2CF9AE}" pid="4" name="State">
    <vt:lpwstr>AL</vt:lpwstr>
  </property>
  <property fmtid="{D5CDD505-2E9C-101B-9397-08002B2CF9AE}" pid="5" name="Agency">
    <vt:lpwstr>ACHE</vt:lpwstr>
  </property>
  <property fmtid="{D5CDD505-2E9C-101B-9397-08002B2CF9AE}" pid="6" name="ContentTypeId">
    <vt:lpwstr>0x0101008C9207C4D8AB6E4A9864D320D8693611</vt:lpwstr>
  </property>
  <property fmtid="{D5CDD505-2E9C-101B-9397-08002B2CF9AE}" pid="7" name="WorkflowChangePath">
    <vt:lpwstr>133843d5-d372-4001-96eb-52efd1ea8343,2;133843d5-d372-4001-96eb-52efd1ea8343,2;133843d5-d372-4001-96eb-52efd1ea8343,2;174aa824-b68b-432b-9a94-9f44d7273531,4;174aa824-b68b-432b-9a94-9f44d7273531,4;174aa824-b68b-432b-9a94-9f44d7273531,4;174aa824-b68b-432b-9a</vt:lpwstr>
  </property>
  <property fmtid="{D5CDD505-2E9C-101B-9397-08002B2CF9AE}" pid="8" name="Order">
    <vt:r8>29500</vt:r8>
  </property>
  <property fmtid="{D5CDD505-2E9C-101B-9397-08002B2CF9AE}" pid="9" name="xd_ProgID">
    <vt:lpwstr/>
  </property>
  <property fmtid="{D5CDD505-2E9C-101B-9397-08002B2CF9AE}" pid="10" name="TemplateUrl">
    <vt:lpwstr/>
  </property>
  <property fmtid="{D5CDD505-2E9C-101B-9397-08002B2CF9AE}" pid="11" name="upload_id">
    <vt:lpwstr/>
  </property>
  <property fmtid="{D5CDD505-2E9C-101B-9397-08002B2CF9AE}" pid="12" name="MSIP_Label_00260771-a9fd-4aa8-a138-a40ac53a5467_Enabled">
    <vt:lpwstr>True</vt:lpwstr>
  </property>
  <property fmtid="{D5CDD505-2E9C-101B-9397-08002B2CF9AE}" pid="13" name="MSIP_Label_00260771-a9fd-4aa8-a138-a40ac53a5467_SiteId">
    <vt:lpwstr>eb20950b-168c-497a-9845-2b099844f3ef</vt:lpwstr>
  </property>
  <property fmtid="{D5CDD505-2E9C-101B-9397-08002B2CF9AE}" pid="14" name="MSIP_Label_00260771-a9fd-4aa8-a138-a40ac53a5467_Owner">
    <vt:lpwstr>Christiana.Datubo-Brown@SREB.ORG</vt:lpwstr>
  </property>
  <property fmtid="{D5CDD505-2E9C-101B-9397-08002B2CF9AE}" pid="15" name="MSIP_Label_00260771-a9fd-4aa8-a138-a40ac53a5467_SetDate">
    <vt:lpwstr>2018-09-21T14:08:31.3147289Z</vt:lpwstr>
  </property>
  <property fmtid="{D5CDD505-2E9C-101B-9397-08002B2CF9AE}" pid="16" name="MSIP_Label_00260771-a9fd-4aa8-a138-a40ac53a5467_Name">
    <vt:lpwstr>General</vt:lpwstr>
  </property>
  <property fmtid="{D5CDD505-2E9C-101B-9397-08002B2CF9AE}" pid="17" name="MSIP_Label_00260771-a9fd-4aa8-a138-a40ac53a5467_Application">
    <vt:lpwstr>Microsoft Azure Information Protection</vt:lpwstr>
  </property>
  <property fmtid="{D5CDD505-2E9C-101B-9397-08002B2CF9AE}" pid="18" name="MSIP_Label_00260771-a9fd-4aa8-a138-a40ac53a5467_Extended_MSFT_Method">
    <vt:lpwstr>Automatic</vt:lpwstr>
  </property>
  <property fmtid="{D5CDD505-2E9C-101B-9397-08002B2CF9AE}" pid="19" name="Sensitivity">
    <vt:lpwstr>General</vt:lpwstr>
  </property>
</Properties>
</file>